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bookViews>
    <workbookView xWindow="0" yWindow="0" windowWidth="20730" windowHeight="9270" tabRatio="931" firstSheet="5" activeTab="8"/>
  </bookViews>
  <sheets>
    <sheet name="TOP SHEET" sheetId="3" r:id="rId1"/>
    <sheet name="ABSTRACT" sheetId="7" r:id="rId2"/>
    <sheet name="APP. BASIC RATE" sheetId="23" r:id="rId3"/>
    <sheet name="RMC BASIC RATE DIFF" sheetId="27" r:id="rId4"/>
    <sheet name="EARTH WORK MB" sheetId="8" r:id="rId5"/>
    <sheet name="CONCRETE SUMMARY" sheetId="21" r:id="rId6"/>
    <sheet name="CONCRETE RECO." sheetId="17" r:id="rId7"/>
    <sheet name="PCC &amp; RCC REC." sheetId="18" r:id="rId8"/>
    <sheet name="RMC RECEIVING" sheetId="22" r:id="rId9"/>
    <sheet name="CONCRETE WORK MB" sheetId="9" r:id="rId10"/>
    <sheet name="SHUTT. WORK SUMMARY" sheetId="19" r:id="rId11"/>
    <sheet name="SHUTTERING WORK MB" sheetId="10" r:id="rId12"/>
    <sheet name="BRICK WORK SUMMARY" sheetId="20" r:id="rId13"/>
    <sheet name="BRICK WORK MB" sheetId="13" r:id="rId14"/>
    <sheet name="TMT STEEL RECO." sheetId="15" r:id="rId15"/>
    <sheet name="TMT STEEL REC." sheetId="16" r:id="rId16"/>
    <sheet name="TMT SUMMARY" sheetId="14" r:id="rId17"/>
    <sheet name="RAFT BBS" sheetId="11" r:id="rId18"/>
    <sheet name="COL BBS" sheetId="12" r:id="rId19"/>
    <sheet name="PLINTH BEAM BBS" sheetId="24" r:id="rId20"/>
    <sheet name="TYP COL BBS" sheetId="25" r:id="rId21"/>
    <sheet name="1ST FLOOR LVL SLAB BBS" sheetId="26" r:id="rId22"/>
  </sheets>
  <definedNames>
    <definedName name="\" hidden="1">{#N/A,#N/A,TRUE,"Front";#N/A,#N/A,TRUE,"Simple Letter";#N/A,#N/A,TRUE,"Inside";#N/A,#N/A,TRUE,"Contents";#N/A,#N/A,TRUE,"Basis";#N/A,#N/A,TRUE,"Inclusions";#N/A,#N/A,TRUE,"Exclusions";#N/A,#N/A,TRUE,"Areas";#N/A,#N/A,TRUE,"Summary";#N/A,#N/A,TRUE,"Detail"}</definedName>
    <definedName name="\0" localSheetId="8">#REF!</definedName>
    <definedName name="\0">#REF!</definedName>
    <definedName name="\B" localSheetId="8">#REF!</definedName>
    <definedName name="\B">#REF!</definedName>
    <definedName name="\C" localSheetId="8">#REF!</definedName>
    <definedName name="\C">#REF!</definedName>
    <definedName name="\G">#REF!</definedName>
    <definedName name="\I">#REF!</definedName>
    <definedName name="\M">#REF!</definedName>
    <definedName name="\O">#REF!</definedName>
    <definedName name="\P">#REF!</definedName>
    <definedName name="\Q">#REF!</definedName>
    <definedName name="\R">#REF!</definedName>
    <definedName name="\S">#REF!</definedName>
    <definedName name="______________________cat12" hidden="1">{#N/A,#N/A,TRUE,"Front";#N/A,#N/A,TRUE,"Simple Letter";#N/A,#N/A,TRUE,"Inside";#N/A,#N/A,TRUE,"Contents";#N/A,#N/A,TRUE,"Basis";#N/A,#N/A,TRUE,"Inclusions";#N/A,#N/A,TRUE,"Exclusions";#N/A,#N/A,TRUE,"Areas";#N/A,#N/A,TRUE,"Summary";#N/A,#N/A,TRUE,"Detail"}</definedName>
    <definedName name="____________________cat12" hidden="1">{#N/A,#N/A,TRUE,"Front";#N/A,#N/A,TRUE,"Simple Letter";#N/A,#N/A,TRUE,"Inside";#N/A,#N/A,TRUE,"Contents";#N/A,#N/A,TRUE,"Basis";#N/A,#N/A,TRUE,"Inclusions";#N/A,#N/A,TRUE,"Exclusions";#N/A,#N/A,TRUE,"Areas";#N/A,#N/A,TRUE,"Summary";#N/A,#N/A,TRUE,"Detail"}</definedName>
    <definedName name="__________________cat12" hidden="1">{#N/A,#N/A,TRUE,"Front";#N/A,#N/A,TRUE,"Simple Letter";#N/A,#N/A,TRUE,"Inside";#N/A,#N/A,TRUE,"Contents";#N/A,#N/A,TRUE,"Basis";#N/A,#N/A,TRUE,"Inclusions";#N/A,#N/A,TRUE,"Exclusions";#N/A,#N/A,TRUE,"Areas";#N/A,#N/A,TRUE,"Summary";#N/A,#N/A,TRUE,"Detail"}</definedName>
    <definedName name="_________________cat12" hidden="1">{#N/A,#N/A,TRUE,"Front";#N/A,#N/A,TRUE,"Simple Letter";#N/A,#N/A,TRUE,"Inside";#N/A,#N/A,TRUE,"Contents";#N/A,#N/A,TRUE,"Basis";#N/A,#N/A,TRUE,"Inclusions";#N/A,#N/A,TRUE,"Exclusions";#N/A,#N/A,TRUE,"Areas";#N/A,#N/A,TRUE,"Summary";#N/A,#N/A,TRUE,"Detail"}</definedName>
    <definedName name="________________cat12" hidden="1">{#N/A,#N/A,TRUE,"Front";#N/A,#N/A,TRUE,"Simple Letter";#N/A,#N/A,TRUE,"Inside";#N/A,#N/A,TRUE,"Contents";#N/A,#N/A,TRUE,"Basis";#N/A,#N/A,TRUE,"Inclusions";#N/A,#N/A,TRUE,"Exclusions";#N/A,#N/A,TRUE,"Areas";#N/A,#N/A,TRUE,"Summary";#N/A,#N/A,TRUE,"Detail"}</definedName>
    <definedName name="_______________cat12" hidden="1">{#N/A,#N/A,TRUE,"Front";#N/A,#N/A,TRUE,"Simple Letter";#N/A,#N/A,TRUE,"Inside";#N/A,#N/A,TRUE,"Contents";#N/A,#N/A,TRUE,"Basis";#N/A,#N/A,TRUE,"Inclusions";#N/A,#N/A,TRUE,"Exclusions";#N/A,#N/A,TRUE,"Areas";#N/A,#N/A,TRUE,"Summary";#N/A,#N/A,TRUE,"Detail"}</definedName>
    <definedName name="______________cat12" hidden="1">{#N/A,#N/A,TRUE,"Front";#N/A,#N/A,TRUE,"Simple Letter";#N/A,#N/A,TRUE,"Inside";#N/A,#N/A,TRUE,"Contents";#N/A,#N/A,TRUE,"Basis";#N/A,#N/A,TRUE,"Inclusions";#N/A,#N/A,TRUE,"Exclusions";#N/A,#N/A,TRUE,"Areas";#N/A,#N/A,TRUE,"Summary";#N/A,#N/A,TRUE,"Detail"}</definedName>
    <definedName name="_____________cat12" hidden="1">{#N/A,#N/A,TRUE,"Front";#N/A,#N/A,TRUE,"Simple Letter";#N/A,#N/A,TRUE,"Inside";#N/A,#N/A,TRUE,"Contents";#N/A,#N/A,TRUE,"Basis";#N/A,#N/A,TRUE,"Inclusions";#N/A,#N/A,TRUE,"Exclusions";#N/A,#N/A,TRUE,"Areas";#N/A,#N/A,TRUE,"Summary";#N/A,#N/A,TRUE,"Detail"}</definedName>
    <definedName name="____________cat12" hidden="1">{#N/A,#N/A,TRUE,"Front";#N/A,#N/A,TRUE,"Simple Letter";#N/A,#N/A,TRUE,"Inside";#N/A,#N/A,TRUE,"Contents";#N/A,#N/A,TRUE,"Basis";#N/A,#N/A,TRUE,"Inclusions";#N/A,#N/A,TRUE,"Exclusions";#N/A,#N/A,TRUE,"Areas";#N/A,#N/A,TRUE,"Summary";#N/A,#N/A,TRUE,"Detail"}</definedName>
    <definedName name="__________cat12" hidden="1">{#N/A,#N/A,TRUE,"Front";#N/A,#N/A,TRUE,"Simple Letter";#N/A,#N/A,TRUE,"Inside";#N/A,#N/A,TRUE,"Contents";#N/A,#N/A,TRUE,"Basis";#N/A,#N/A,TRUE,"Inclusions";#N/A,#N/A,TRUE,"Exclusions";#N/A,#N/A,TRUE,"Areas";#N/A,#N/A,TRUE,"Summary";#N/A,#N/A,TRUE,"Detail"}</definedName>
    <definedName name="_________cat12" hidden="1">{#N/A,#N/A,TRUE,"Front";#N/A,#N/A,TRUE,"Simple Letter";#N/A,#N/A,TRUE,"Inside";#N/A,#N/A,TRUE,"Contents";#N/A,#N/A,TRUE,"Basis";#N/A,#N/A,TRUE,"Inclusions";#N/A,#N/A,TRUE,"Exclusions";#N/A,#N/A,TRUE,"Areas";#N/A,#N/A,TRUE,"Summary";#N/A,#N/A,TRUE,"Detail"}</definedName>
    <definedName name="________cat12" hidden="1">{#N/A,#N/A,TRUE,"Front";#N/A,#N/A,TRUE,"Simple Letter";#N/A,#N/A,TRUE,"Inside";#N/A,#N/A,TRUE,"Contents";#N/A,#N/A,TRUE,"Basis";#N/A,#N/A,TRUE,"Inclusions";#N/A,#N/A,TRUE,"Exclusions";#N/A,#N/A,TRUE,"Areas";#N/A,#N/A,TRUE,"Summary";#N/A,#N/A,TRUE,"Detail"}</definedName>
    <definedName name="_______cat12" hidden="1">{#N/A,#N/A,TRUE,"Front";#N/A,#N/A,TRUE,"Simple Letter";#N/A,#N/A,TRUE,"Inside";#N/A,#N/A,TRUE,"Contents";#N/A,#N/A,TRUE,"Basis";#N/A,#N/A,TRUE,"Inclusions";#N/A,#N/A,TRUE,"Exclusions";#N/A,#N/A,TRUE,"Areas";#N/A,#N/A,TRUE,"Summary";#N/A,#N/A,TRUE,"Detail"}</definedName>
    <definedName name="______cat12" hidden="1">{#N/A,#N/A,TRUE,"Front";#N/A,#N/A,TRUE,"Simple Letter";#N/A,#N/A,TRUE,"Inside";#N/A,#N/A,TRUE,"Contents";#N/A,#N/A,TRUE,"Basis";#N/A,#N/A,TRUE,"Inclusions";#N/A,#N/A,TRUE,"Exclusions";#N/A,#N/A,TRUE,"Areas";#N/A,#N/A,TRUE,"Summary";#N/A,#N/A,TRUE,"Detail"}</definedName>
    <definedName name="_____cat12" hidden="1">{#N/A,#N/A,TRUE,"Front";#N/A,#N/A,TRUE,"Simple Letter";#N/A,#N/A,TRUE,"Inside";#N/A,#N/A,TRUE,"Contents";#N/A,#N/A,TRUE,"Basis";#N/A,#N/A,TRUE,"Inclusions";#N/A,#N/A,TRUE,"Exclusions";#N/A,#N/A,TRUE,"Areas";#N/A,#N/A,TRUE,"Summary";#N/A,#N/A,TRUE,"Detail"}</definedName>
    <definedName name="____cat12" hidden="1">{#N/A,#N/A,TRUE,"Front";#N/A,#N/A,TRUE,"Simple Letter";#N/A,#N/A,TRUE,"Inside";#N/A,#N/A,TRUE,"Contents";#N/A,#N/A,TRUE,"Basis";#N/A,#N/A,TRUE,"Inclusions";#N/A,#N/A,TRUE,"Exclusions";#N/A,#N/A,TRUE,"Areas";#N/A,#N/A,TRUE,"Summary";#N/A,#N/A,TRUE,"Detail"}</definedName>
    <definedName name="___cat12"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xlfn.BAHTTEXT" hidden="1">#NAME?</definedName>
    <definedName name="__aoc10">#N/A</definedName>
    <definedName name="__aoc11" localSheetId="7">#REF!</definedName>
    <definedName name="__aoc11" localSheetId="8">#REF!</definedName>
    <definedName name="__aoc11">#REF!</definedName>
    <definedName name="__aoc7" localSheetId="7">#REF!</definedName>
    <definedName name="__aoc7" localSheetId="8">#REF!</definedName>
    <definedName name="__aoc7">#REF!</definedName>
    <definedName name="__aoc8" localSheetId="7">#REF!</definedName>
    <definedName name="__aoc8">#REF!</definedName>
    <definedName name="__aoc9" localSheetId="7">#REF!</definedName>
    <definedName name="__aoc9">#REF!</definedName>
    <definedName name="__cat12" hidden="1">{#N/A,#N/A,TRUE,"Front";#N/A,#N/A,TRUE,"Simple Letter";#N/A,#N/A,TRUE,"Inside";#N/A,#N/A,TRUE,"Contents";#N/A,#N/A,TRUE,"Basis";#N/A,#N/A,TRUE,"Inclusions";#N/A,#N/A,TRUE,"Exclusions";#N/A,#N/A,TRUE,"Areas";#N/A,#N/A,TRUE,"Summary";#N/A,#N/A,TRUE,"Detail"}</definedName>
    <definedName name="__ERA1" localSheetId="8">#REF!</definedName>
    <definedName name="__ERA1">#REF!</definedName>
    <definedName name="__ERA10" localSheetId="8">#REF!</definedName>
    <definedName name="__ERA10">#REF!</definedName>
    <definedName name="__ERA11" localSheetId="8">#REF!</definedName>
    <definedName name="__ERA11">#REF!</definedName>
    <definedName name="__ERA2">#REF!</definedName>
    <definedName name="__ERA3">#REF!</definedName>
    <definedName name="__ERA5" localSheetId="8">#REF!</definedName>
    <definedName name="__ERA5">#REF!</definedName>
    <definedName name="__ERA9" localSheetId="8">#REF!</definedName>
    <definedName name="__ERA9">#REF!</definedName>
    <definedName name="__FDS_HYPERLINK_TOGGLE_STATE__" hidden="1">"ON"</definedName>
    <definedName name="__HED1" localSheetId="8">#REF!</definedName>
    <definedName name="__HED1">#REF!</definedName>
    <definedName name="__HED2" localSheetId="8">#REF!</definedName>
    <definedName name="__HED2">#REF!</definedName>
    <definedName name="__hp10" hidden="1">{#N/A,#N/A,TRUE,"Front";#N/A,#N/A,TRUE,"Simple Letter";#N/A,#N/A,TRUE,"Inside";#N/A,#N/A,TRUE,"Contents";#N/A,#N/A,TRUE,"Basis";#N/A,#N/A,TRUE,"Inclusions";#N/A,#N/A,TRUE,"Exclusions";#N/A,#N/A,TRUE,"Areas";#N/A,#N/A,TRUE,"Summary";#N/A,#N/A,TRUE,"Detail"}</definedName>
    <definedName name="__IntlFixup" hidden="1">TRUE</definedName>
    <definedName name="__IntlFixupTable" hidden="1">#REF!</definedName>
    <definedName name="__vut02533" localSheetId="7">#REF!</definedName>
    <definedName name="__vut02533" localSheetId="8">#REF!</definedName>
    <definedName name="__vut02533">#REF!</definedName>
    <definedName name="__xlfn.BAHTTEXT" hidden="1">#NAME?</definedName>
    <definedName name="__xlnm.Print_Area">"$#REF!.$A$2:$I$161"</definedName>
    <definedName name="__xlnm.Print_Area_1" localSheetId="7">#REF!</definedName>
    <definedName name="__xlnm.Print_Area_1" localSheetId="8">#REF!</definedName>
    <definedName name="__xlnm.Print_Area_1">#REF!</definedName>
    <definedName name="__xlnm.Print_Area_10" localSheetId="7">#REF!</definedName>
    <definedName name="__xlnm.Print_Area_10">#REF!</definedName>
    <definedName name="__xlnm.Print_Area_11" localSheetId="7">#REF!</definedName>
    <definedName name="__xlnm.Print_Area_11">#REF!</definedName>
    <definedName name="__xlnm.Print_Area_12" localSheetId="7">#REF!</definedName>
    <definedName name="__xlnm.Print_Area_12">#REF!</definedName>
    <definedName name="__xlnm.Print_Area_13" localSheetId="7">#REF!</definedName>
    <definedName name="__xlnm.Print_Area_13">#REF!</definedName>
    <definedName name="__xlnm.Print_Area_14" localSheetId="7">#REF!</definedName>
    <definedName name="__xlnm.Print_Area_14">#REF!</definedName>
    <definedName name="__xlnm.Print_Area_15" localSheetId="7">#REF!</definedName>
    <definedName name="__xlnm.Print_Area_15">#REF!</definedName>
    <definedName name="__xlnm.Print_Area_16" localSheetId="7">#REF!</definedName>
    <definedName name="__xlnm.Print_Area_16">#REF!</definedName>
    <definedName name="__xlnm.Print_Area_17" localSheetId="7">#REF!</definedName>
    <definedName name="__xlnm.Print_Area_17">#REF!</definedName>
    <definedName name="__xlnm.Print_Area_18" localSheetId="7">#REF!</definedName>
    <definedName name="__xlnm.Print_Area_18">#REF!</definedName>
    <definedName name="__xlnm.Print_Area_19" localSheetId="7">#REF!</definedName>
    <definedName name="__xlnm.Print_Area_19">#REF!</definedName>
    <definedName name="__xlnm.Print_Area_2" localSheetId="7">#REF!</definedName>
    <definedName name="__xlnm.Print_Area_2">#REF!</definedName>
    <definedName name="__xlnm.Print_Area_20" localSheetId="7">#REF!</definedName>
    <definedName name="__xlnm.Print_Area_20">#REF!</definedName>
    <definedName name="__xlnm.Print_Area_22" localSheetId="7">#REF!</definedName>
    <definedName name="__xlnm.Print_Area_22">#REF!</definedName>
    <definedName name="__xlnm.Print_Area_25" localSheetId="7">#REF!</definedName>
    <definedName name="__xlnm.Print_Area_25">#REF!</definedName>
    <definedName name="__xlnm.Print_Area_26" localSheetId="7">#REF!</definedName>
    <definedName name="__xlnm.Print_Area_26">#REF!</definedName>
    <definedName name="__xlnm.Print_Area_27" localSheetId="7">#REF!</definedName>
    <definedName name="__xlnm.Print_Area_27">#REF!</definedName>
    <definedName name="__xlnm.Print_Area_3" localSheetId="7">#REF!</definedName>
    <definedName name="__xlnm.Print_Area_3">#REF!</definedName>
    <definedName name="__xlnm.Print_Area_4" localSheetId="7">#REF!</definedName>
    <definedName name="__xlnm.Print_Area_4">#REF!</definedName>
    <definedName name="__xlnm.Print_Area_5" localSheetId="7">#REF!</definedName>
    <definedName name="__xlnm.Print_Area_5">#REF!</definedName>
    <definedName name="__xlnm.Print_Area_6" localSheetId="7">#REF!</definedName>
    <definedName name="__xlnm.Print_Area_6">#REF!</definedName>
    <definedName name="__xlnm.Print_Area_8" localSheetId="7">#REF!</definedName>
    <definedName name="__xlnm.Print_Area_8">#REF!</definedName>
    <definedName name="__xlnm.Print_Area_9" localSheetId="7">#REF!</definedName>
    <definedName name="__xlnm.Print_Area_9">#REF!</definedName>
    <definedName name="__xlnm.Print_Titles">#N/A</definedName>
    <definedName name="__xlnm.Print_Titles_1">"$'Soft landscape'.$A$4:$AMJ$5"</definedName>
    <definedName name="__xlnm.Print_Titles_10" localSheetId="7">#REF!</definedName>
    <definedName name="__xlnm.Print_Titles_10" localSheetId="8">#REF!</definedName>
    <definedName name="__xlnm.Print_Titles_10">#REF!</definedName>
    <definedName name="__xlnm.Print_Titles_11" localSheetId="7">#REF!</definedName>
    <definedName name="__xlnm.Print_Titles_11">#REF!</definedName>
    <definedName name="__xlnm.Print_Titles_12" localSheetId="7">#REF!</definedName>
    <definedName name="__xlnm.Print_Titles_12">#REF!</definedName>
    <definedName name="__xlnm.Print_Titles_14" localSheetId="7">#REF!</definedName>
    <definedName name="__xlnm.Print_Titles_14">#REF!</definedName>
    <definedName name="__xlnm.Print_Titles_15" localSheetId="7">#REF!</definedName>
    <definedName name="__xlnm.Print_Titles_15">#REF!</definedName>
    <definedName name="__xlnm.Print_Titles_16" localSheetId="7">#REF!</definedName>
    <definedName name="__xlnm.Print_Titles_16">#REF!</definedName>
    <definedName name="__xlnm.Print_Titles_17" localSheetId="7">#REF!</definedName>
    <definedName name="__xlnm.Print_Titles_17">#REF!</definedName>
    <definedName name="__xlnm.Print_Titles_18" localSheetId="7">#REF!</definedName>
    <definedName name="__xlnm.Print_Titles_18">#REF!</definedName>
    <definedName name="__xlnm.Print_Titles_19" localSheetId="7">#REF!</definedName>
    <definedName name="__xlnm.Print_Titles_19">#REF!</definedName>
    <definedName name="__xlnm.Print_Titles_2" localSheetId="7">#REF!</definedName>
    <definedName name="__xlnm.Print_Titles_2">#REF!</definedName>
    <definedName name="__xlnm.Print_Titles_20" localSheetId="7">#REF!</definedName>
    <definedName name="__xlnm.Print_Titles_20">#REF!</definedName>
    <definedName name="__xlnm.Print_Titles_22" localSheetId="7">#REF!</definedName>
    <definedName name="__xlnm.Print_Titles_22">#REF!</definedName>
    <definedName name="__xlnm.Print_Titles_23" localSheetId="7">#REF!</definedName>
    <definedName name="__xlnm.Print_Titles_23">#REF!</definedName>
    <definedName name="__xlnm.Print_Titles_24" localSheetId="7">#REF!</definedName>
    <definedName name="__xlnm.Print_Titles_24">#REF!</definedName>
    <definedName name="__xlnm.Print_Titles_27" localSheetId="7">#REF!</definedName>
    <definedName name="__xlnm.Print_Titles_27">#REF!</definedName>
    <definedName name="__xlnm.Print_Titles_3" localSheetId="7">#REF!</definedName>
    <definedName name="__xlnm.Print_Titles_3">#REF!</definedName>
    <definedName name="__xlnm.Print_Titles_4" localSheetId="7">#REF!</definedName>
    <definedName name="__xlnm.Print_Titles_4">#REF!</definedName>
    <definedName name="__xlnm.Print_Titles_5" localSheetId="7">#REF!</definedName>
    <definedName name="__xlnm.Print_Titles_5">#REF!</definedName>
    <definedName name="__xlnm.Print_Titles_6" localSheetId="7">#REF!</definedName>
    <definedName name="__xlnm.Print_Titles_6">#REF!</definedName>
    <definedName name="__xlnm.Print_Titles_7" localSheetId="7">#REF!</definedName>
    <definedName name="__xlnm.Print_Titles_7">#REF!</definedName>
    <definedName name="__xlnm.Print_Titles_8" localSheetId="7">#REF!</definedName>
    <definedName name="__xlnm.Print_Titles_8">#REF!</definedName>
    <definedName name="__xlnm.Print_Titles_9" localSheetId="7">#REF!</definedName>
    <definedName name="__xlnm.Print_Titles_9">#REF!</definedName>
    <definedName name="_1" localSheetId="7">#N/A</definedName>
    <definedName name="_1" localSheetId="8">#N/A</definedName>
    <definedName name="_10" localSheetId="7">#N/A</definedName>
    <definedName name="_10" localSheetId="8">#N/A</definedName>
    <definedName name="_11" localSheetId="7">#N/A</definedName>
    <definedName name="_11" localSheetId="8">#N/A</definedName>
    <definedName name="_11A">#N/A</definedName>
    <definedName name="_12" localSheetId="7">#N/A</definedName>
    <definedName name="_12" localSheetId="8">#N/A</definedName>
    <definedName name="_12Excel_BuiltIn_Print_Area_5_1_1" localSheetId="7">#REF!</definedName>
    <definedName name="_12Excel_BuiltIn_Print_Area_5_1_1" localSheetId="8">#REF!</definedName>
    <definedName name="_12Excel_BuiltIn_Print_Area_5_1_1">#REF!</definedName>
    <definedName name="_13" localSheetId="7">#N/A</definedName>
    <definedName name="_13" localSheetId="8">#N/A</definedName>
    <definedName name="_14" localSheetId="7">#N/A</definedName>
    <definedName name="_14" localSheetId="8">#N/A</definedName>
    <definedName name="_15" localSheetId="7">#N/A</definedName>
    <definedName name="_15" localSheetId="8">#N/A</definedName>
    <definedName name="_16" localSheetId="7">#N/A</definedName>
    <definedName name="_16" localSheetId="8">#N/A</definedName>
    <definedName name="_17" localSheetId="7">#N/A</definedName>
    <definedName name="_17" localSheetId="8">#N/A</definedName>
    <definedName name="_18" localSheetId="7">#N/A</definedName>
    <definedName name="_18" localSheetId="8">#N/A</definedName>
    <definedName name="_19" localSheetId="7">#N/A</definedName>
    <definedName name="_19" localSheetId="8">#N/A</definedName>
    <definedName name="_1Excel_BuiltIn_Print_Area_5_1_1" localSheetId="7">#REF!</definedName>
    <definedName name="_1Excel_BuiltIn_Print_Area_5_1_1" localSheetId="8">#REF!</definedName>
    <definedName name="_1Excel_BuiltIn_Print_Area_5_1_1">#REF!</definedName>
    <definedName name="_2" localSheetId="7">#N/A</definedName>
    <definedName name="_2" localSheetId="8">#N/A</definedName>
    <definedName name="_20" localSheetId="7">#N/A</definedName>
    <definedName name="_20" localSheetId="8">#N/A</definedName>
    <definedName name="_21" localSheetId="7">#N/A</definedName>
    <definedName name="_21" localSheetId="8">#N/A</definedName>
    <definedName name="_22" localSheetId="7">#N/A</definedName>
    <definedName name="_22" localSheetId="8">#N/A</definedName>
    <definedName name="_23" localSheetId="7">#N/A</definedName>
    <definedName name="_23" localSheetId="8">#N/A</definedName>
    <definedName name="_24" localSheetId="7">#N/A</definedName>
    <definedName name="_24" localSheetId="8">#N/A</definedName>
    <definedName name="_25" localSheetId="7">#N/A</definedName>
    <definedName name="_25" localSheetId="8">#N/A</definedName>
    <definedName name="_26" localSheetId="7">#N/A</definedName>
    <definedName name="_26" localSheetId="8">#N/A</definedName>
    <definedName name="_27" localSheetId="7">#N/A</definedName>
    <definedName name="_27" localSheetId="8">#N/A</definedName>
    <definedName name="_28" localSheetId="7">#N/A</definedName>
    <definedName name="_28" localSheetId="8">#N/A</definedName>
    <definedName name="_29" localSheetId="7">#N/A</definedName>
    <definedName name="_29" localSheetId="8">#N/A</definedName>
    <definedName name="_3" localSheetId="7">#N/A</definedName>
    <definedName name="_3" localSheetId="8">#N/A</definedName>
    <definedName name="_30" localSheetId="7">#N/A</definedName>
    <definedName name="_30" localSheetId="8">#N/A</definedName>
    <definedName name="_31" localSheetId="7">#N/A</definedName>
    <definedName name="_31" localSheetId="8">#N/A</definedName>
    <definedName name="_32" localSheetId="7">#N/A</definedName>
    <definedName name="_32" localSheetId="8">#N/A</definedName>
    <definedName name="_33" localSheetId="7">#N/A</definedName>
    <definedName name="_33" localSheetId="8">#N/A</definedName>
    <definedName name="_4" localSheetId="7">#N/A</definedName>
    <definedName name="_4" localSheetId="8">#N/A</definedName>
    <definedName name="_5" localSheetId="7">#N/A</definedName>
    <definedName name="_5" localSheetId="8">#N/A</definedName>
    <definedName name="_6" localSheetId="7">#N/A</definedName>
    <definedName name="_6" localSheetId="8">#N/A</definedName>
    <definedName name="_7" localSheetId="7">#N/A</definedName>
    <definedName name="_7" localSheetId="8">#N/A</definedName>
    <definedName name="_8" localSheetId="7">#N/A</definedName>
    <definedName name="_8" localSheetId="8">#N/A</definedName>
    <definedName name="_9" localSheetId="7">#N/A</definedName>
    <definedName name="_9" localSheetId="8">#N/A</definedName>
    <definedName name="_aoc10" localSheetId="7">#REF!</definedName>
    <definedName name="_aoc10" localSheetId="8">#REF!</definedName>
    <definedName name="_aoc10">#REF!</definedName>
    <definedName name="_aoc11" localSheetId="7">#REF!</definedName>
    <definedName name="_aoc11">#REF!</definedName>
    <definedName name="_aoc7" localSheetId="7">#REF!</definedName>
    <definedName name="_aoc7" localSheetId="8">#REF!</definedName>
    <definedName name="_aoc7">#REF!</definedName>
    <definedName name="_aoc8" localSheetId="7">#REF!</definedName>
    <definedName name="_aoc8">#REF!</definedName>
    <definedName name="_aoc9" localSheetId="7">#REF!</definedName>
    <definedName name="_aoc9">#REF!</definedName>
    <definedName name="_B98518">#REF!</definedName>
    <definedName name="_cat12" hidden="1">{#N/A,#N/A,TRUE,"Front";#N/A,#N/A,TRUE,"Simple Letter";#N/A,#N/A,TRUE,"Inside";#N/A,#N/A,TRUE,"Contents";#N/A,#N/A,TRUE,"Basis";#N/A,#N/A,TRUE,"Inclusions";#N/A,#N/A,TRUE,"Exclusions";#N/A,#N/A,TRUE,"Areas";#N/A,#N/A,TRUE,"Summary";#N/A,#N/A,TRUE,"Detail"}</definedName>
    <definedName name="_e772" localSheetId="7">#REF!</definedName>
    <definedName name="_e772" localSheetId="8">#REF!</definedName>
    <definedName name="_e772">#REF!</definedName>
    <definedName name="_ERA1" localSheetId="8">#REF!</definedName>
    <definedName name="_ERA1">#REF!</definedName>
    <definedName name="_ERA10">#REF!</definedName>
    <definedName name="_ERA11">#REF!</definedName>
    <definedName name="_ERA2">#REF!</definedName>
    <definedName name="_ERA3">#REF!</definedName>
    <definedName name="_ERA5" localSheetId="8">#REF!</definedName>
    <definedName name="_ERA5">#REF!</definedName>
    <definedName name="_ERA9" localSheetId="8">#REF!</definedName>
    <definedName name="_ERA9">#REF!</definedName>
    <definedName name="_Fill" localSheetId="7" hidden="1">#REF!</definedName>
    <definedName name="_Fill" localSheetId="8" hidden="1">#REF!</definedName>
    <definedName name="_Fill" hidden="1">#REF!</definedName>
    <definedName name="_xlnm._FilterDatabase" localSheetId="7" hidden="1">'PCC &amp; RCC REC.'!$A$3:$U$3</definedName>
    <definedName name="_xlnm._FilterDatabase" localSheetId="17" hidden="1">'RAFT BBS'!$A$3:$X$3</definedName>
    <definedName name="_xlnm._FilterDatabase" localSheetId="3" hidden="1">'RMC BASIC RATE DIFF'!$A$2:$O$96</definedName>
    <definedName name="_xlnm._FilterDatabase" localSheetId="8" hidden="1">'RMC RECEIVING'!$A$2:$T$309</definedName>
    <definedName name="_g147114">#REF!</definedName>
    <definedName name="_hp10" hidden="1">{#N/A,#N/A,TRUE,"Front";#N/A,#N/A,TRUE,"Simple Letter";#N/A,#N/A,TRUE,"Inside";#N/A,#N/A,TRUE,"Contents";#N/A,#N/A,TRUE,"Basis";#N/A,#N/A,TRUE,"Inclusions";#N/A,#N/A,TRUE,"Exclusions";#N/A,#N/A,TRUE,"Areas";#N/A,#N/A,TRUE,"Summary";#N/A,#N/A,TRUE,"Detail"}</definedName>
    <definedName name="_ll17" localSheetId="7">#REF!</definedName>
    <definedName name="_ll17" localSheetId="8">#REF!</definedName>
    <definedName name="_ll17">#REF!</definedName>
    <definedName name="_Order1" hidden="1">0</definedName>
    <definedName name="_Order2" hidden="1">0</definedName>
    <definedName name="_ra4" localSheetId="7">#REF!</definedName>
    <definedName name="_ra4" localSheetId="8">#REF!</definedName>
    <definedName name="_ra4">#REF!</definedName>
    <definedName name="_Ra6" localSheetId="7">#REF!</definedName>
    <definedName name="_Ra6">#REF!</definedName>
    <definedName name="_s056" localSheetId="7">#REF!</definedName>
    <definedName name="_s056">#REF!</definedName>
    <definedName name="_s0564" localSheetId="7">#REF!</definedName>
    <definedName name="_s0564">#REF!</definedName>
    <definedName name="_s105640" localSheetId="7">#REF!</definedName>
    <definedName name="_s105640">#REF!</definedName>
    <definedName name="_s12" localSheetId="7">#REF!</definedName>
    <definedName name="_s12">#REF!</definedName>
    <definedName name="_s15604" localSheetId="7">#REF!</definedName>
    <definedName name="_s15604">#REF!</definedName>
    <definedName name="_s1564" localSheetId="7">#REF!</definedName>
    <definedName name="_s1564">#REF!</definedName>
    <definedName name="_s4560" localSheetId="7">#REF!</definedName>
    <definedName name="_s4560">#REF!</definedName>
    <definedName name="_s45620" localSheetId="7">#REF!</definedName>
    <definedName name="_s45620">#REF!</definedName>
    <definedName name="_s560" localSheetId="7">#REF!</definedName>
    <definedName name="_s560">#REF!</definedName>
    <definedName name="_sep05" localSheetId="7">#REF!</definedName>
    <definedName name="_sep05">#REF!</definedName>
    <definedName name="_sls5" localSheetId="7">#REF!</definedName>
    <definedName name="_sls5">#REF!</definedName>
    <definedName name="_vbr8" localSheetId="8">#REF!</definedName>
    <definedName name="_vbr8">#REF!</definedName>
    <definedName name="_vut02533" localSheetId="7">#REF!</definedName>
    <definedName name="_vut02533" localSheetId="8">#REF!</definedName>
    <definedName name="_vut02533">#REF!</definedName>
    <definedName name="a" hidden="1">{"'AC LOAD'!$H$14:$J$15"}</definedName>
    <definedName name="a0">#REF!</definedName>
    <definedName name="aa" localSheetId="7">#REF!</definedName>
    <definedName name="aa" localSheetId="8">#REF!</definedName>
    <definedName name="aa">#REF!</definedName>
    <definedName name="AA.Report.Files" hidden="1">#REF!</definedName>
    <definedName name="AA.Reports.Available" hidden="1">#REF!</definedName>
    <definedName name="aaa" localSheetId="7">#N/A</definedName>
    <definedName name="aaa" localSheetId="8">#N/A</definedName>
    <definedName name="AAA" hidden="1">{#N/A,#N/A,TRUE,"Front";#N/A,#N/A,TRUE,"Simple Letter";#N/A,#N/A,TRUE,"Inside";#N/A,#N/A,TRUE,"Contents";#N/A,#N/A,TRUE,"Basis";#N/A,#N/A,TRUE,"Inclusions";#N/A,#N/A,TRUE,"Exclusions";#N/A,#N/A,TRUE,"Areas";#N/A,#N/A,TRUE,"Summary";#N/A,#N/A,TRUE,"Detail"}</definedName>
    <definedName name="aaaa">#REF!</definedName>
    <definedName name="AB" hidden="1">{"'AC LOAD'!$H$14:$J$15"}</definedName>
    <definedName name="abc">#REF!</definedName>
    <definedName name="ABUTCAP1" localSheetId="8">#REF!</definedName>
    <definedName name="ABUTCAP1">#REF!</definedName>
    <definedName name="ABUTCAP2" localSheetId="8">#REF!</definedName>
    <definedName name="ABUTCAP2">#REF!</definedName>
    <definedName name="AC" localSheetId="8">#REF!</definedName>
    <definedName name="AC">#REF!</definedName>
    <definedName name="acBridge" localSheetId="7">#REF!</definedName>
    <definedName name="acBridge">#REF!</definedName>
    <definedName name="AccessDatabase" hidden="1">"D:\VOLTAGE DROP FOR THREE PHASE.mdb"</definedName>
    <definedName name="ADD" localSheetId="7">#REF!</definedName>
    <definedName name="ADD" localSheetId="8">#REF!</definedName>
    <definedName name="ADD">#REF!</definedName>
    <definedName name="AE">#REF!</definedName>
    <definedName name="ag">#REF!</definedName>
    <definedName name="aggr10" localSheetId="7">#REF!</definedName>
    <definedName name="aggr10" localSheetId="8">#REF!</definedName>
    <definedName name="aggr10">#REF!</definedName>
    <definedName name="aggr11" localSheetId="7">#REF!</definedName>
    <definedName name="aggr11">#REF!</definedName>
    <definedName name="aggr13" localSheetId="7">#REF!</definedName>
    <definedName name="aggr13">#REF!</definedName>
    <definedName name="aggr2" localSheetId="7">#REF!</definedName>
    <definedName name="aggr2">#REF!</definedName>
    <definedName name="aggr2.36" localSheetId="7">#REF!</definedName>
    <definedName name="aggr2.36">#REF!</definedName>
    <definedName name="aggr20" localSheetId="7">#REF!</definedName>
    <definedName name="aggr20">#REF!</definedName>
    <definedName name="aggr22" localSheetId="7">#REF!</definedName>
    <definedName name="aggr22">#REF!</definedName>
    <definedName name="aggr26" localSheetId="7">#REF!</definedName>
    <definedName name="aggr26">#REF!</definedName>
    <definedName name="aggr40" localSheetId="7">#REF!</definedName>
    <definedName name="aggr40">#REF!</definedName>
    <definedName name="aggr53" localSheetId="7">#REF!</definedName>
    <definedName name="aggr53">#REF!</definedName>
    <definedName name="aggr6" localSheetId="7">#REF!</definedName>
    <definedName name="aggr6">#REF!</definedName>
    <definedName name="aggr63" localSheetId="7">#REF!</definedName>
    <definedName name="aggr63">#REF!</definedName>
    <definedName name="AGN" localSheetId="7">#REF!</definedName>
    <definedName name="AGN">#REF!</definedName>
    <definedName name="agrr10" localSheetId="7">#REF!</definedName>
    <definedName name="agrr10">#REF!</definedName>
    <definedName name="agrr63mm" localSheetId="7">#REF!</definedName>
    <definedName name="agrr63mm">#REF!</definedName>
    <definedName name="aja" localSheetId="7">#REF!</definedName>
    <definedName name="aja">#REF!</definedName>
    <definedName name="AJAY" localSheetId="7">#REF!</definedName>
    <definedName name="AJAY">#REF!</definedName>
    <definedName name="ALPHA">#REF!</definedName>
    <definedName name="an" localSheetId="7">#REF!</definedName>
    <definedName name="an">#REF!</definedName>
    <definedName name="ankit" localSheetId="7">#REF!</definedName>
    <definedName name="ankit" localSheetId="8">#REF!</definedName>
    <definedName name="ankit">#REF!</definedName>
    <definedName name="anscount" hidden="1">1</definedName>
    <definedName name="anu" localSheetId="7">#REF!</definedName>
    <definedName name="anu" localSheetId="8">#REF!</definedName>
    <definedName name="anu">#REF!</definedName>
    <definedName name="anuj101"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94"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pproachslab" localSheetId="7">#REF!</definedName>
    <definedName name="approachslab" localSheetId="8">#REF!</definedName>
    <definedName name="approachslab">#REF!</definedName>
    <definedName name="ard">#REF!</definedName>
    <definedName name="area" localSheetId="7">#REF!</definedName>
    <definedName name="area" localSheetId="8">#REF!</definedName>
    <definedName name="area">#REF!</definedName>
    <definedName name="AREAS_CA_CANOPY__WAREHOUSE" localSheetId="7">#REF!</definedName>
    <definedName name="AREAS_CA_CANOPY__WAREHOUSE">#REF!</definedName>
    <definedName name="AREAS_CB_Canteen_Building" localSheetId="7">#REF!</definedName>
    <definedName name="AREAS_CB_Canteen_Building">#REF!</definedName>
    <definedName name="AREAS_CIPT_Tanker_CIP_Shed" localSheetId="7">#REF!</definedName>
    <definedName name="AREAS_CIPT_Tanker_CIP_Shed">#REF!</definedName>
    <definedName name="AREAS_CLRR_Contract_Labour_Rest_Room" localSheetId="7">#REF!</definedName>
    <definedName name="AREAS_CLRR_Contract_Labour_Rest_Room">#REF!</definedName>
    <definedName name="AREAS_CS_Chemical_Store" localSheetId="7">#REF!</definedName>
    <definedName name="AREAS_CS_Chemical_Store">#REF!</definedName>
    <definedName name="AREAS_ETPC_ETP_Civil_Works" localSheetId="7">#REF!</definedName>
    <definedName name="AREAS_ETPC_ETP_Civil_Works">#REF!</definedName>
    <definedName name="AREAS_EX_EXTERNAL_WORKS" localSheetId="7">#REF!</definedName>
    <definedName name="AREAS_EX_EXTERNAL_WORKS">#REF!</definedName>
    <definedName name="AREAS_FC_Farmer_s_Conference" localSheetId="7">#REF!</definedName>
    <definedName name="AREAS_FC_Farmer_s_Conference">#REF!</definedName>
    <definedName name="AREAS_FU_Fumigation" localSheetId="7">#REF!</definedName>
    <definedName name="AREAS_FU_Fumigation">#REF!</definedName>
    <definedName name="AREAS_GA_General_Area___Overall" localSheetId="7">#REF!</definedName>
    <definedName name="AREAS_GA_General_Area___Overall">#REF!</definedName>
    <definedName name="AREAS_GP_Guard_Posts" localSheetId="7">#REF!</definedName>
    <definedName name="AREAS_GP_Guard_Posts">#REF!</definedName>
    <definedName name="AREAS_LS_LubeOil_Stores" localSheetId="7">#REF!</definedName>
    <definedName name="AREAS_LS_LubeOil_Stores">#REF!</definedName>
    <definedName name="AREAS_MR_TB_Milk_Reception_Tanker_s_Bay" localSheetId="7">#REF!</definedName>
    <definedName name="AREAS_MR_TB_Milk_Reception_Tanker_s_Bay">#REF!</definedName>
    <definedName name="AREAS_MTF_Milk_Tank_Foundations" localSheetId="7">#REF!</definedName>
    <definedName name="AREAS_MTF_Milk_Tank_Foundations">#REF!</definedName>
    <definedName name="AREAS_PB_PROCESS_BUILDING" localSheetId="7">#REF!</definedName>
    <definedName name="AREAS_PB_PROCESS_BUILDING">#REF!</definedName>
    <definedName name="AREAS_PR_Pipe_Racks" localSheetId="7">#REF!</definedName>
    <definedName name="AREAS_PR_Pipe_Racks">#REF!</definedName>
    <definedName name="AREAS_SR_2_Security_Room___2" localSheetId="7">#REF!</definedName>
    <definedName name="AREAS_SR_2_Security_Room___2">#REF!</definedName>
    <definedName name="AREAS_SR_3_Store_Room" localSheetId="7">#REF!</definedName>
    <definedName name="AREAS_SR_3_Store_Room">#REF!</definedName>
    <definedName name="AREAS_ST_Stacks_near_Utility_Buildings" localSheetId="7">#REF!</definedName>
    <definedName name="AREAS_ST_Stacks_near_Utility_Buildings">#REF!</definedName>
    <definedName name="AREAS_SY_Scrap_Yard" localSheetId="7">#REF!</definedName>
    <definedName name="AREAS_SY_Scrap_Yard">#REF!</definedName>
    <definedName name="AREAS_TWW_Truck_Wheel_Wash" localSheetId="7">#REF!</definedName>
    <definedName name="AREAS_TWW_Truck_Wheel_Wash">#REF!</definedName>
    <definedName name="AREAS_TY_Transformer_Yard" localSheetId="7">#REF!</definedName>
    <definedName name="AREAS_TY_Transformer_Yard">#REF!</definedName>
    <definedName name="AREAS_UB_UTILITY_BLOCK" localSheetId="7">#REF!</definedName>
    <definedName name="AREAS_UB_UTILITY_BLOCK">#REF!</definedName>
    <definedName name="AREAS_WH_Ware_House_Area" localSheetId="7">#REF!</definedName>
    <definedName name="AREAS_WH_Ware_House_Area">#REF!</definedName>
    <definedName name="areatitle" localSheetId="7">#REF!</definedName>
    <definedName name="areatitle">#REF!</definedName>
    <definedName name="as" localSheetId="7">#REF!</definedName>
    <definedName name="as">#REF!</definedName>
    <definedName name="AS2DocOpenMode" hidden="1">"AS2DocumentEdit"</definedName>
    <definedName name="AS2HasNoAutoHeaderFooter" hidden="1">" "</definedName>
    <definedName name="ASD">#REF!</definedName>
    <definedName name="asdsf" localSheetId="7">#REF!</definedName>
    <definedName name="asdsf" localSheetId="8">#REF!</definedName>
    <definedName name="asdsf">#REF!</definedName>
    <definedName name="ASE" localSheetId="7">#REF!</definedName>
    <definedName name="ASE">#REF!</definedName>
    <definedName name="ass">#REF!</definedName>
    <definedName name="asw">#REF!</definedName>
    <definedName name="av3333333">#REF!</definedName>
    <definedName name="AvgFlowTable2040">#REF!</definedName>
    <definedName name="b" hidden="1">{"'AC LOAD'!$H$14:$J$15"}</definedName>
    <definedName name="Barkedasalam" localSheetId="7">#REF!</definedName>
    <definedName name="Barkedasalam" localSheetId="8">#REF!</definedName>
    <definedName name="Barkedasalam">#REF!</definedName>
    <definedName name="Barkhedabondar" localSheetId="7">#REF!</definedName>
    <definedName name="Barkhedabondar">#REF!</definedName>
    <definedName name="BB" hidden="1">{#N/A,#N/A,FALSE,"Organisation Chart"}</definedName>
    <definedName name="bbb">#REF!</definedName>
    <definedName name="bf" localSheetId="7">#REF!</definedName>
    <definedName name="bf" localSheetId="8">#REF!</definedName>
    <definedName name="bf">#REF!</definedName>
    <definedName name="bheel" localSheetId="8">#REF!</definedName>
    <definedName name="bheel">#REF!</definedName>
    <definedName name="bhistee" localSheetId="7">#REF!</definedName>
    <definedName name="bhistee">#REF!</definedName>
    <definedName name="bhisti" localSheetId="7">#REF!</definedName>
    <definedName name="bhisti">#REF!</definedName>
    <definedName name="bill" localSheetId="7" hidden="1">{"'AC LOAD'!$H$14:$J$15"}</definedName>
    <definedName name="bill" localSheetId="8" hidden="1">{"'AC LOAD'!$H$14:$J$15"}</definedName>
    <definedName name="bill" hidden="1">{"'AC LOAD'!$H$14:$J$15"}</definedName>
    <definedName name="bit">#REF!</definedName>
    <definedName name="bitumen">#REF!</definedName>
    <definedName name="bitumen6070" localSheetId="7">#REF!</definedName>
    <definedName name="bitumen6070">#REF!</definedName>
    <definedName name="bitumenboiler" localSheetId="7">#REF!</definedName>
    <definedName name="bitumenboiler">#REF!</definedName>
    <definedName name="bitumenemul" localSheetId="7">#REF!</definedName>
    <definedName name="bitumenemul">#REF!</definedName>
    <definedName name="blacksmith" localSheetId="7">#REF!</definedName>
    <definedName name="blacksmith">#REF!</definedName>
    <definedName name="blacksmithhelper" localSheetId="7">#REF!</definedName>
    <definedName name="blacksmithhelper">#REF!</definedName>
    <definedName name="blaster" localSheetId="7">#REF!</definedName>
    <definedName name="blaster">#REF!</definedName>
    <definedName name="BLOCK" localSheetId="7">#REF!</definedName>
    <definedName name="BLOCK">#REF!</definedName>
    <definedName name="Block1" localSheetId="7">#REF!</definedName>
    <definedName name="Block1">#REF!</definedName>
    <definedName name="BM" localSheetId="7">#REF!</definedName>
    <definedName name="BM" localSheetId="8">#REF!</definedName>
    <definedName name="BM">#REF!</definedName>
    <definedName name="bose" localSheetId="7">#REF!</definedName>
    <definedName name="bose" localSheetId="8">#REF!</definedName>
    <definedName name="bose">#REF!</definedName>
    <definedName name="boulder" localSheetId="7">#REF!</definedName>
    <definedName name="boulder">#REF!</definedName>
    <definedName name="bricks" localSheetId="7">#REF!</definedName>
    <definedName name="bricks">#REF!</definedName>
    <definedName name="Bsalam" localSheetId="7">#REF!</definedName>
    <definedName name="Bsalam">#REF!</definedName>
    <definedName name="BSNmeasure">#REF!</definedName>
    <definedName name="btoe">#REF!</definedName>
    <definedName name="BuiltIn_Print_Area___0" localSheetId="7">#REF!</definedName>
    <definedName name="BuiltIn_Print_Area___0">#REF!</definedName>
    <definedName name="BuiltIn_Print_Titles___0">#N/A</definedName>
    <definedName name="Button_1">"VOLTAGE_DROP_FOR_THREE_PHASE_Sheet2_List"</definedName>
    <definedName name="Button_5">"AS_PER_TALLY_31_09_04_ONYX_List"</definedName>
    <definedName name="Button_7">"AS_PER_TALLY_31_09_04_ONYX_List1"</definedName>
    <definedName name="Button_8">"AS_PER_TALLY_31_09_04_ONYX_List1"</definedName>
    <definedName name="bw" localSheetId="8">#REF!</definedName>
    <definedName name="bw">#REF!</definedName>
    <definedName name="C_">#N/A</definedName>
    <definedName name="carpenter" localSheetId="7">#REF!</definedName>
    <definedName name="carpenter" localSheetId="8">#REF!</definedName>
    <definedName name="carpenter">#REF!</definedName>
    <definedName name="carpenter1" localSheetId="7">#REF!</definedName>
    <definedName name="carpenter1">#REF!</definedName>
    <definedName name="carpenter2" localSheetId="7">#REF!</definedName>
    <definedName name="carpenter2">#REF!</definedName>
    <definedName name="carpenterI" localSheetId="7">#REF!</definedName>
    <definedName name="carpenterI">#REF!</definedName>
    <definedName name="carpenterII" localSheetId="7">#REF!</definedName>
    <definedName name="carpenterII">#REF!</definedName>
    <definedName name="ccc" localSheetId="8">#REF!</definedName>
    <definedName name="ccc">#REF!</definedName>
    <definedName name="CCCC" localSheetId="7">#REF!</definedName>
    <definedName name="CCCC" localSheetId="8">#REF!</definedName>
    <definedName name="ccv" hidden="1">{#N/A,#N/A,TRUE,"Front";#N/A,#N/A,TRUE,"Simple Letter";#N/A,#N/A,TRUE,"Inside";#N/A,#N/A,TRUE,"Contents";#N/A,#N/A,TRUE,"Basis";#N/A,#N/A,TRUE,"Inclusions";#N/A,#N/A,TRUE,"Exclusions";#N/A,#N/A,TRUE,"Areas";#N/A,#N/A,TRUE,"Summary";#N/A,#N/A,TRUE,"Detail"}</definedName>
    <definedName name="CE">#REF!</definedName>
    <definedName name="CEE">#REF!</definedName>
    <definedName name="Cement" localSheetId="8">#REF!</definedName>
    <definedName name="Cement">#REF!</definedName>
    <definedName name="chiseler" localSheetId="7">#REF!</definedName>
    <definedName name="chiseler" localSheetId="8">#REF!</definedName>
    <definedName name="chiseler">#REF!</definedName>
    <definedName name="CI_SPECIALS" localSheetId="8">#REF!</definedName>
    <definedName name="CI_SPECIALS">#REF!</definedName>
    <definedName name="clearspan11" localSheetId="8">#REF!</definedName>
    <definedName name="clearspan11">#REF!</definedName>
    <definedName name="cod">#REF!</definedName>
    <definedName name="COLM25">#REF!</definedName>
    <definedName name="COLM30">#REF!</definedName>
    <definedName name="COMELEC" localSheetId="7">#REF!</definedName>
    <definedName name="COMELEC" localSheetId="8">#REF!</definedName>
    <definedName name="COMELEC">#REF!</definedName>
    <definedName name="compactor" localSheetId="7">#REF!</definedName>
    <definedName name="compactor" localSheetId="8">#REF!</definedName>
    <definedName name="compactor">#REF!</definedName>
    <definedName name="COMPLUMB">#REF!</definedName>
    <definedName name="conc_dens" localSheetId="8">#REF!</definedName>
    <definedName name="conc_dens">#REF!</definedName>
    <definedName name="concretepump" localSheetId="7">#REF!</definedName>
    <definedName name="concretepump" localSheetId="8">#REF!</definedName>
    <definedName name="concretepump">#REF!</definedName>
    <definedName name="Contra" hidden="1">{#N/A,#N/A,TRUE,"Front";#N/A,#N/A,TRUE,"Simple Letter";#N/A,#N/A,TRUE,"Inside";#N/A,#N/A,TRUE,"Contents";#N/A,#N/A,TRUE,"Basis";#N/A,#N/A,TRUE,"Inclusions";#N/A,#N/A,TRUE,"Exclusions";#N/A,#N/A,TRUE,"Areas";#N/A,#N/A,TRUE,"Summary";#N/A,#N/A,TRUE,"Detail"}</definedName>
    <definedName name="Contractdetors" hidden="1">{#N/A,#N/A,TRUE,"Front";#N/A,#N/A,TRUE,"Simple Letter";#N/A,#N/A,TRUE,"Inside";#N/A,#N/A,TRUE,"Contents";#N/A,#N/A,TRUE,"Basis";#N/A,#N/A,TRUE,"Inclusions";#N/A,#N/A,TRUE,"Exclusions";#N/A,#N/A,TRUE,"Areas";#N/A,#N/A,TRUE,"Summary";#N/A,#N/A,TRUE,"Detail"}</definedName>
    <definedName name="copperplate" localSheetId="7">#REF!</definedName>
    <definedName name="copperplate" localSheetId="8">#REF!</definedName>
    <definedName name="copperplate">#REF!</definedName>
    <definedName name="cost" hidden="1">{#N/A,#N/A,TRUE,"Front";#N/A,#N/A,TRUE,"Simple Letter";#N/A,#N/A,TRUE,"Inside";#N/A,#N/A,TRUE,"Contents";#N/A,#N/A,TRUE,"Basis";#N/A,#N/A,TRUE,"Inclusions";#N/A,#N/A,TRUE,"Exclusions";#N/A,#N/A,TRUE,"Areas";#N/A,#N/A,TRUE,"Summary";#N/A,#N/A,TRUE,"Detail"}</definedName>
    <definedName name="CP">#REF!</definedName>
    <definedName name="crane" localSheetId="7">#REF!</definedName>
    <definedName name="crane" localSheetId="8">#REF!</definedName>
    <definedName name="crane">#REF!</definedName>
    <definedName name="crashbarrier" localSheetId="7">#REF!</definedName>
    <definedName name="crashbarrier">#REF!</definedName>
    <definedName name="_xlnm.Criteria" localSheetId="7">#REF!</definedName>
    <definedName name="_xlnm.Criteria">#REF!</definedName>
    <definedName name="cvrtoe" localSheetId="8">#REF!</definedName>
    <definedName name="cvrtoe">#REF!</definedName>
    <definedName name="cxz" localSheetId="7">#REF!</definedName>
    <definedName name="cxz" localSheetId="8">#REF!</definedName>
    <definedName name="cxz">#REF!</definedName>
    <definedName name="Damkheda" localSheetId="7">#REF!</definedName>
    <definedName name="Damkheda">#REF!</definedName>
    <definedName name="DATA1">#REF!</definedName>
    <definedName name="DATA10">#REF!</definedName>
    <definedName name="DATA11">#REF!</definedName>
    <definedName name="DATA12">#REF!</definedName>
    <definedName name="DATA13">#REF!</definedName>
    <definedName name="DATA134110" localSheetId="7">#REF!</definedName>
    <definedName name="DATA134110">#REF!</definedName>
    <definedName name="DATA134125" localSheetId="7">#REF!</definedName>
    <definedName name="DATA134125">#REF!</definedName>
    <definedName name="DATA134140" localSheetId="7">#REF!</definedName>
    <definedName name="DATA134140">#REF!</definedName>
    <definedName name="DATA134160" localSheetId="7">#REF!</definedName>
    <definedName name="DATA134160">#REF!</definedName>
    <definedName name="DATA134180" localSheetId="7">#REF!</definedName>
    <definedName name="DATA134180">#REF!</definedName>
    <definedName name="DATA134200" localSheetId="7">#REF!</definedName>
    <definedName name="DATA134200">#REF!</definedName>
    <definedName name="DATA134225" localSheetId="7">#REF!</definedName>
    <definedName name="DATA134225">#REF!</definedName>
    <definedName name="DATA134250" localSheetId="7">#REF!</definedName>
    <definedName name="DATA134250">#REF!</definedName>
    <definedName name="DATA134280" localSheetId="7">#REF!</definedName>
    <definedName name="DATA134280">#REF!</definedName>
    <definedName name="DATA134315" localSheetId="7">#REF!</definedName>
    <definedName name="DATA134315">#REF!</definedName>
    <definedName name="DATA134355" localSheetId="7">#REF!</definedName>
    <definedName name="DATA134355">#REF!</definedName>
    <definedName name="DATA134400" localSheetId="7">#REF!</definedName>
    <definedName name="DATA134400">#REF!</definedName>
    <definedName name="DATA13450" localSheetId="7">#REF!</definedName>
    <definedName name="DATA13450">#REF!</definedName>
    <definedName name="DATA13463" localSheetId="7">#REF!</definedName>
    <definedName name="DATA13463">#REF!</definedName>
    <definedName name="DATA13475" localSheetId="7">#REF!</definedName>
    <definedName name="DATA13475">#REF!</definedName>
    <definedName name="DATA13490" localSheetId="7">#REF!</definedName>
    <definedName name="DATA13490">#REF!</definedName>
    <definedName name="DATA135110" localSheetId="7">#REF!</definedName>
    <definedName name="DATA135110">#REF!</definedName>
    <definedName name="DATA135125" localSheetId="7">#REF!</definedName>
    <definedName name="DATA135125">#REF!</definedName>
    <definedName name="DATA135140" localSheetId="7">#REF!</definedName>
    <definedName name="DATA135140">#REF!</definedName>
    <definedName name="DATA135160" localSheetId="7">#REF!</definedName>
    <definedName name="DATA135160">#REF!</definedName>
    <definedName name="DATA135180" localSheetId="7">#REF!</definedName>
    <definedName name="DATA135180">#REF!</definedName>
    <definedName name="DATA135200" localSheetId="7">#REF!</definedName>
    <definedName name="DATA135200">#REF!</definedName>
    <definedName name="DATA135225" localSheetId="7">#REF!</definedName>
    <definedName name="DATA135225">#REF!</definedName>
    <definedName name="DATA135250" localSheetId="7">#REF!</definedName>
    <definedName name="DATA135250">#REF!</definedName>
    <definedName name="DATA135280" localSheetId="7">#REF!</definedName>
    <definedName name="DATA135280">#REF!</definedName>
    <definedName name="DATA135315" localSheetId="7">#REF!</definedName>
    <definedName name="DATA135315">#REF!</definedName>
    <definedName name="DATA135355" localSheetId="7">#REF!</definedName>
    <definedName name="DATA135355">#REF!</definedName>
    <definedName name="DATA135400" localSheetId="7">#REF!</definedName>
    <definedName name="DATA135400">#REF!</definedName>
    <definedName name="DATA13550" localSheetId="7">#REF!</definedName>
    <definedName name="DATA13550">#REF!</definedName>
    <definedName name="DATA13563" localSheetId="7">#REF!</definedName>
    <definedName name="DATA13563">#REF!</definedName>
    <definedName name="DATA13575" localSheetId="7">#REF!</definedName>
    <definedName name="DATA13575">#REF!</definedName>
    <definedName name="DATA13590" localSheetId="7">#REF!</definedName>
    <definedName name="DATA13590">#REF!</definedName>
    <definedName name="DATA136A" localSheetId="7">#REF!</definedName>
    <definedName name="DATA136A">#REF!</definedName>
    <definedName name="DATA136B" localSheetId="7">#REF!</definedName>
    <definedName name="DATA136B">#REF!</definedName>
    <definedName name="DATA136C" localSheetId="7">#REF!</definedName>
    <definedName name="DATA136C">#REF!</definedName>
    <definedName name="DATA136D" localSheetId="7">#REF!</definedName>
    <definedName name="DATA136D">#REF!</definedName>
    <definedName name="DATA136E" localSheetId="7">#REF!</definedName>
    <definedName name="DATA136E">#REF!</definedName>
    <definedName name="DATA136F" localSheetId="7">#REF!</definedName>
    <definedName name="DATA136F">#REF!</definedName>
    <definedName name="DATA136G" localSheetId="7">#REF!</definedName>
    <definedName name="DATA136G">#REF!</definedName>
    <definedName name="DATA136H" localSheetId="7">#REF!</definedName>
    <definedName name="DATA136H">#REF!</definedName>
    <definedName name="DATA136I" localSheetId="7">#REF!</definedName>
    <definedName name="DATA136I">#REF!</definedName>
    <definedName name="DATA136J" localSheetId="7">#REF!</definedName>
    <definedName name="DATA136J">#REF!</definedName>
    <definedName name="DATA136K" localSheetId="7">#REF!</definedName>
    <definedName name="DATA136K">#REF!</definedName>
    <definedName name="DATA136L" localSheetId="7">#REF!</definedName>
    <definedName name="DATA136L">#REF!</definedName>
    <definedName name="DATA136M" localSheetId="7">#REF!</definedName>
    <definedName name="DATA136M">#REF!</definedName>
    <definedName name="DATA136N" localSheetId="7">#REF!</definedName>
    <definedName name="DATA136N">#REF!</definedName>
    <definedName name="DATA136O" localSheetId="7">#REF!</definedName>
    <definedName name="DATA136O">#REF!</definedName>
    <definedName name="DATA136P" localSheetId="7">#REF!</definedName>
    <definedName name="DATA136P">#REF!</definedName>
    <definedName name="DATA137I" localSheetId="7">#REF!</definedName>
    <definedName name="DATA137I">#REF!</definedName>
    <definedName name="DATA137II" localSheetId="7">#REF!</definedName>
    <definedName name="DATA137II">#REF!</definedName>
    <definedName name="DATA137III" localSheetId="7">#REF!</definedName>
    <definedName name="DATA137III">#REF!</definedName>
    <definedName name="DATA137IV" localSheetId="7">#REF!</definedName>
    <definedName name="DATA137IV">#REF!</definedName>
    <definedName name="DATA137V" localSheetId="7">#REF!</definedName>
    <definedName name="DATA137V">#REF!</definedName>
    <definedName name="DATA138I" localSheetId="7">#REF!</definedName>
    <definedName name="DATA138I">#REF!</definedName>
    <definedName name="DATA138II" localSheetId="7">#REF!</definedName>
    <definedName name="DATA138II">#REF!</definedName>
    <definedName name="DATA138III" localSheetId="7">#REF!</definedName>
    <definedName name="DATA138III">#REF!</definedName>
    <definedName name="DATA138IV" localSheetId="7">#REF!</definedName>
    <definedName name="DATA138IV">#REF!</definedName>
    <definedName name="DATA138V" localSheetId="7">#REF!</definedName>
    <definedName name="DATA138V">#REF!</definedName>
    <definedName name="DATA138VI" localSheetId="7">#REF!</definedName>
    <definedName name="DATA138VI">#REF!</definedName>
    <definedName name="DATA139IX" localSheetId="7">#REF!</definedName>
    <definedName name="DATA139IX">#REF!</definedName>
    <definedName name="DATA139V" localSheetId="7">#REF!</definedName>
    <definedName name="DATA139V">#REF!</definedName>
    <definedName name="DATA139VI" localSheetId="7">#REF!</definedName>
    <definedName name="DATA139VI">#REF!</definedName>
    <definedName name="DATA139VII" localSheetId="7">#REF!</definedName>
    <definedName name="DATA139VII">#REF!</definedName>
    <definedName name="DATA139VIII" localSheetId="7">#REF!</definedName>
    <definedName name="DATA139VIII">#REF!</definedName>
    <definedName name="DATA14">#REF!</definedName>
    <definedName name="DATA140I" localSheetId="7">#REF!</definedName>
    <definedName name="DATA140I">#REF!</definedName>
    <definedName name="DATA140II" localSheetId="7">#REF!</definedName>
    <definedName name="DATA140II">#REF!</definedName>
    <definedName name="DATA140III" localSheetId="7">#REF!</definedName>
    <definedName name="DATA140III">#REF!</definedName>
    <definedName name="DATA140IV" localSheetId="7">#REF!</definedName>
    <definedName name="DATA140IV">#REF!</definedName>
    <definedName name="DATA140V" localSheetId="7">#REF!</definedName>
    <definedName name="DATA140V">#REF!</definedName>
    <definedName name="DATA141I" localSheetId="7">#REF!</definedName>
    <definedName name="DATA141I">#REF!</definedName>
    <definedName name="DATA141II" localSheetId="7">#REF!</definedName>
    <definedName name="DATA141II">#REF!</definedName>
    <definedName name="DATA141III" localSheetId="7">#REF!</definedName>
    <definedName name="DATA141III">#REF!</definedName>
    <definedName name="DATA141IV" localSheetId="7">#REF!</definedName>
    <definedName name="DATA141IV">#REF!</definedName>
    <definedName name="DATA141V" localSheetId="7">#REF!</definedName>
    <definedName name="DATA141V">#REF!</definedName>
    <definedName name="DATA142I" localSheetId="7">#REF!</definedName>
    <definedName name="DATA142I">#REF!</definedName>
    <definedName name="DATA142II" localSheetId="7">#REF!</definedName>
    <definedName name="DATA142II">#REF!</definedName>
    <definedName name="DATA142III" localSheetId="7">#REF!</definedName>
    <definedName name="DATA142III">#REF!</definedName>
    <definedName name="DATA142IV" localSheetId="7">#REF!</definedName>
    <definedName name="DATA142IV">#REF!</definedName>
    <definedName name="DATA142V" localSheetId="7">#REF!</definedName>
    <definedName name="DATA142V">#REF!</definedName>
    <definedName name="DATA15">#REF!</definedName>
    <definedName name="DATA16">#REF!</definedName>
    <definedName name="DATA17">#REF!</definedName>
    <definedName name="DATA18">#REF!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 localSheetId="7">#REF!</definedName>
    <definedName name="_xlnm.Database">#REF!</definedName>
    <definedName name="Database.File" hidden="1">#REF!</definedName>
    <definedName name="datonators" localSheetId="7">#REF!</definedName>
    <definedName name="datonators" localSheetId="8">#REF!</definedName>
    <definedName name="datonators">#REF!</definedName>
    <definedName name="DBM" localSheetId="7">#REF!</definedName>
    <definedName name="DBM">#REF!</definedName>
    <definedName name="DCX">#REF!</definedName>
    <definedName name="dd" localSheetId="7">#REF!</definedName>
    <definedName name="dd" localSheetId="8">#REF!</definedName>
    <definedName name="dd">#REF!</definedName>
    <definedName name="DDD" localSheetId="7">#REF!</definedName>
    <definedName name="DDD">#REF!</definedName>
    <definedName name="dddddddd" localSheetId="7">#REF!</definedName>
    <definedName name="dddddddd" localSheetId="8">#REF!</definedName>
    <definedName name="dddddddd">#REF!</definedName>
    <definedName name="ddfdfgfg" localSheetId="8">#REF!</definedName>
    <definedName name="ddfdfgfg">#REF!</definedName>
    <definedName name="Deck_hh">#REF!</definedName>
    <definedName name="Deck_hv">#REF!</definedName>
    <definedName name="delta">#REF!</definedName>
    <definedName name="DEPTH" localSheetId="7">#REF!</definedName>
    <definedName name="DEPTH" localSheetId="8">#REF!</definedName>
    <definedName name="DEPTH">#REF!</definedName>
    <definedName name="Depth1" localSheetId="7">#REF!</definedName>
    <definedName name="Depth1">#REF!</definedName>
    <definedName name="DERF">#REF!</definedName>
    <definedName name="Detonator" localSheetId="7">#REF!</definedName>
    <definedName name="Detonator">#REF!</definedName>
    <definedName name="dffds" hidden="1">{#N/A,#N/A,TRUE,"Front";#N/A,#N/A,TRUE,"Simple Letter";#N/A,#N/A,TRUE,"Inside";#N/A,#N/A,TRUE,"Contents";#N/A,#N/A,TRUE,"Basis";#N/A,#N/A,TRUE,"Inclusions";#N/A,#N/A,TRUE,"Exclusions";#N/A,#N/A,TRUE,"Areas";#N/A,#N/A,TRUE,"Summary";#N/A,#N/A,TRUE,"Detail"}</definedName>
    <definedName name="dia">#REF!</definedName>
    <definedName name="dia_12">#N/A</definedName>
    <definedName name="dia_13">#N/A</definedName>
    <definedName name="dia_14">#N/A</definedName>
    <definedName name="dia_23">#N/A</definedName>
    <definedName name="dia_24">#N/A</definedName>
    <definedName name="dia_25">#N/A</definedName>
    <definedName name="dia_3">#N/A</definedName>
    <definedName name="diameter" localSheetId="7">#REF!</definedName>
    <definedName name="diameter" localSheetId="8">#REF!</definedName>
    <definedName name="diameter">#REF!</definedName>
    <definedName name="diameter_14">#N/A</definedName>
    <definedName name="diameter_3">#N/A</definedName>
    <definedName name="diesel">#REF!</definedName>
    <definedName name="Dis" localSheetId="8">#REF!</definedName>
    <definedName name="Dis">#REF!</definedName>
    <definedName name="DK" localSheetId="7">#REF!</definedName>
    <definedName name="DK" localSheetId="8">#REF!</definedName>
    <definedName name="DK">#REF!</definedName>
    <definedName name="DLP" localSheetId="7">#REF!</definedName>
    <definedName name="DLP">#REF!</definedName>
    <definedName name="DM" localSheetId="7">#REF!</definedName>
    <definedName name="DM">#REF!</definedName>
    <definedName name="dozer" localSheetId="7">#REF!</definedName>
    <definedName name="dozer" localSheetId="8">#REF!</definedName>
    <definedName name="dozer">#REF!</definedName>
    <definedName name="dozer200" localSheetId="7">#REF!</definedName>
    <definedName name="dozer200">#REF!</definedName>
    <definedName name="drains" localSheetId="7">#REF!</definedName>
    <definedName name="drains">#REF!</definedName>
    <definedName name="dresser" localSheetId="7">#REF!</definedName>
    <definedName name="dresser">#REF!</definedName>
    <definedName name="driller" localSheetId="7">#REF!</definedName>
    <definedName name="driller">#REF!</definedName>
    <definedName name="drillingequipment" localSheetId="7">#REF!</definedName>
    <definedName name="drillingequipment">#REF!</definedName>
    <definedName name="DRREW">#REF!</definedName>
    <definedName name="Dust" localSheetId="7">#REF!</definedName>
    <definedName name="Dust" localSheetId="8">#REF!</definedName>
    <definedName name="Dust">#REF!</definedName>
    <definedName name="DWIT22" localSheetId="7">#REF!</definedName>
    <definedName name="DWIT22">#REF!</definedName>
    <definedName name="Dx">#REF!</definedName>
    <definedName name="Dy">#REF!</definedName>
    <definedName name="E" localSheetId="7">#REF!</definedName>
    <definedName name="e">#REF!</definedName>
    <definedName name="E_span">#REF!</definedName>
    <definedName name="ee" localSheetId="7">#REF!</definedName>
    <definedName name="ee" localSheetId="8">#REF!</definedName>
    <definedName name="EE">#REF!</definedName>
    <definedName name="electrician" localSheetId="7">#REF!</definedName>
    <definedName name="electrician">#REF!</definedName>
    <definedName name="electricpoles">#N/A</definedName>
    <definedName name="Embankment" localSheetId="7">#REF!</definedName>
    <definedName name="Embankment" localSheetId="8">#REF!</definedName>
    <definedName name="Embankment">#REF!</definedName>
    <definedName name="emulsion" localSheetId="7">#REF!</definedName>
    <definedName name="emulsion">#REF!</definedName>
    <definedName name="environmentalcost">#N/A</definedName>
    <definedName name="erer"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tyqw">#REF!</definedName>
    <definedName name="ertyw">#REF!</definedName>
    <definedName name="ESSR1" localSheetId="7">#REF!</definedName>
    <definedName name="ESSR1">#REF!</definedName>
    <definedName name="ESSR10" localSheetId="7">#REF!</definedName>
    <definedName name="ESSR10">#REF!</definedName>
    <definedName name="ESSR11" localSheetId="7">#REF!</definedName>
    <definedName name="ESSR11">#REF!</definedName>
    <definedName name="ESSR12" localSheetId="7">#REF!</definedName>
    <definedName name="ESSR12">#REF!</definedName>
    <definedName name="ESSR13" localSheetId="7">#REF!</definedName>
    <definedName name="ESSR13">#REF!</definedName>
    <definedName name="ESSR2" localSheetId="7">#REF!</definedName>
    <definedName name="ESSR2">#REF!</definedName>
    <definedName name="ESSR3" localSheetId="7">#REF!</definedName>
    <definedName name="ESSR3">#REF!</definedName>
    <definedName name="ESSR4" localSheetId="7">#REF!</definedName>
    <definedName name="ESSR4">#REF!</definedName>
    <definedName name="ESSR5" localSheetId="7">#REF!</definedName>
    <definedName name="ESSR5">#REF!</definedName>
    <definedName name="ESSR6" localSheetId="7">#REF!</definedName>
    <definedName name="ESSR6">#REF!</definedName>
    <definedName name="ESSR7" localSheetId="7">#REF!</definedName>
    <definedName name="ESSR7">#REF!</definedName>
    <definedName name="ESSR8" localSheetId="7">#REF!</definedName>
    <definedName name="ESSR8">#REF!</definedName>
    <definedName name="ESSR9" localSheetId="7">#REF!</definedName>
    <definedName name="ESSR9">#REF!</definedName>
    <definedName name="ew" localSheetId="7">#REF!</definedName>
    <definedName name="ew">#REF!</definedName>
    <definedName name="Excavation" localSheetId="7">#REF!</definedName>
    <definedName name="Excavation" localSheetId="8">#REF!</definedName>
    <definedName name="Excavation">#REF!</definedName>
    <definedName name="excavator" localSheetId="7">#REF!</definedName>
    <definedName name="excavator">#REF!</definedName>
    <definedName name="excel">#REF!</definedName>
    <definedName name="Excel_BuiltIn_Database_0" localSheetId="7">#REF!</definedName>
    <definedName name="Excel_BuiltIn_Database_0">#REF!</definedName>
    <definedName name="Excel_BuiltIn_Print_Area_1" localSheetId="7">#REF!</definedName>
    <definedName name="Excel_BuiltIn_Print_Area_1">#REF!</definedName>
    <definedName name="Excel_BuiltIn_Print_Area_1_1_1" localSheetId="7">#REF!</definedName>
    <definedName name="Excel_BuiltIn_Print_Area_1_1_1">#REF!</definedName>
    <definedName name="Excel_BuiltIn_Print_Area_10" localSheetId="7">#REF!</definedName>
    <definedName name="Excel_BuiltIn_Print_Area_10">#REF!</definedName>
    <definedName name="Excel_BuiltIn_Print_Area_12" localSheetId="7">#REF!</definedName>
    <definedName name="Excel_BuiltIn_Print_Area_12">#REF!</definedName>
    <definedName name="Excel_BuiltIn_Print_Area_14" localSheetId="7">#REF!</definedName>
    <definedName name="Excel_BuiltIn_Print_Area_14">#REF!</definedName>
    <definedName name="Excel_BuiltIn_Print_Area_15" localSheetId="7">#REF!</definedName>
    <definedName name="Excel_BuiltIn_Print_Area_15">#REF!</definedName>
    <definedName name="Excel_BuiltIn_Print_Area_16" localSheetId="7">#REF!</definedName>
    <definedName name="Excel_BuiltIn_Print_Area_16">#REF!</definedName>
    <definedName name="Excel_BuiltIn_Print_Area_17" localSheetId="7">#REF!</definedName>
    <definedName name="Excel_BuiltIn_Print_Area_17">#REF!</definedName>
    <definedName name="Excel_BuiltIn_Print_Area_18" localSheetId="7">#REF!</definedName>
    <definedName name="Excel_BuiltIn_Print_Area_18">#REF!</definedName>
    <definedName name="Excel_BuiltIn_Print_Area_19" localSheetId="7">#REF!</definedName>
    <definedName name="Excel_BuiltIn_Print_Area_19">#REF!</definedName>
    <definedName name="Excel_BuiltIn_Print_Area_2" localSheetId="7">#REF!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0" localSheetId="7">#REF!</definedName>
    <definedName name="Excel_BuiltIn_Print_Area_20">#REF!</definedName>
    <definedName name="Excel_BuiltIn_Print_Area_21" localSheetId="7">#REF!</definedName>
    <definedName name="Excel_BuiltIn_Print_Area_21">#REF!</definedName>
    <definedName name="Excel_BuiltIn_Print_Area_3_1" localSheetId="7">#REF!</definedName>
    <definedName name="Excel_BuiltIn_Print_Area_3_1">#REF!</definedName>
    <definedName name="Excel_BuiltIn_Print_Area_3_1_1" localSheetId="7">#REF!</definedName>
    <definedName name="Excel_BuiltIn_Print_Area_3_1_1">#REF!</definedName>
    <definedName name="Excel_BuiltIn_Print_Area_4_1" localSheetId="7">#REF!</definedName>
    <definedName name="Excel_BuiltIn_Print_Area_4_1">#REF!</definedName>
    <definedName name="Excel_BuiltIn_Print_Area_4_1_1" localSheetId="7">#REF!</definedName>
    <definedName name="Excel_BuiltIn_Print_Area_4_1_1">#REF!</definedName>
    <definedName name="Excel_BuiltIn_Print_Area_4_1_1_1" localSheetId="7">#REF!</definedName>
    <definedName name="Excel_BuiltIn_Print_Area_4_1_1_1">#REF!</definedName>
    <definedName name="Excel_BuiltIn_Print_Area_5_1" localSheetId="7">#REF!</definedName>
    <definedName name="Excel_BuiltIn_Print_Area_5_1">#REF!</definedName>
    <definedName name="Excel_BuiltIn_Print_Area_6" localSheetId="7">#REF!</definedName>
    <definedName name="Excel_BuiltIn_Print_Area_6">#REF!</definedName>
    <definedName name="Excel_BuiltIn_Print_Area_6_1" localSheetId="7">#REF!</definedName>
    <definedName name="Excel_BuiltIn_Print_Area_6_1">#REF!</definedName>
    <definedName name="Excel_BuiltIn_Print_Area_7" localSheetId="7">#REF!</definedName>
    <definedName name="Excel_BuiltIn_Print_Area_7">#REF!</definedName>
    <definedName name="Excel_BuiltIn_Print_Area_8" localSheetId="7">#REF!</definedName>
    <definedName name="Excel_BuiltIn_Print_Area_8">#REF!</definedName>
    <definedName name="Excel_BuiltIn_Print_Area_9" localSheetId="7">#REF!</definedName>
    <definedName name="Excel_BuiltIn_Print_Area_9">#REF!</definedName>
    <definedName name="Excel_BuiltIn_Print_Titles_1_1">#REF!</definedName>
    <definedName name="Excel_BuiltIn_Print_Titles_2" localSheetId="7">#REF!</definedName>
    <definedName name="Excel_BuiltIn_Print_Titles_2">#REF!</definedName>
    <definedName name="Excel_BuiltIn_Print_Titles_4" localSheetId="7">#REF!</definedName>
    <definedName name="Excel_BuiltIn_Print_Titles_4">#REF!</definedName>
    <definedName name="_xlnm.Extract">#REF!</definedName>
    <definedName name="facia" localSheetId="7">#REF!</definedName>
    <definedName name="facia" localSheetId="8">#REF!</definedName>
    <definedName name="facia">#REF!</definedName>
    <definedName name="faraz" localSheetId="7">#REF!</definedName>
    <definedName name="faraz" localSheetId="8">#REF!</definedName>
    <definedName name="faraz">#REF!</definedName>
    <definedName name="farazd7723" localSheetId="7">#REF!</definedName>
    <definedName name="farazd7723">#REF!</definedName>
    <definedName name="FBLbearing14" localSheetId="8">#REF!</definedName>
    <definedName name="FBLbearing14">#REF!</definedName>
    <definedName name="FBLclearspan11" localSheetId="8">#REF!</definedName>
    <definedName name="FBLclearspan11">#REF!</definedName>
    <definedName name="FBLeffectivespan12" localSheetId="8">#REF!</definedName>
    <definedName name="FBLeffectivespan12">#REF!</definedName>
    <definedName name="FBLoverallspan13" localSheetId="8">#REF!</definedName>
    <definedName name="FBLoverallspan13">#REF!</definedName>
    <definedName name="fc" localSheetId="8">#REF!</definedName>
    <definedName name="fc">#REF!</definedName>
    <definedName name="FCK" localSheetId="8">#REF!</definedName>
    <definedName name="FCK">#REF!</definedName>
    <definedName name="ff" hidden="1">{#N/A,#N/A,TRUE,"Front";#N/A,#N/A,TRUE,"Simple Letter";#N/A,#N/A,TRUE,"Inside";#N/A,#N/A,TRUE,"Contents";#N/A,#N/A,TRUE,"Basis";#N/A,#N/A,TRUE,"Inclusions";#N/A,#N/A,TRUE,"Exclusions";#N/A,#N/A,TRUE,"Areas";#N/A,#N/A,TRUE,"Summary";#N/A,#N/A,TRUE,"Detail"}</definedName>
    <definedName name="fgfgsfdg" hidden="1">{#N/A,#N/A,FALSE,"Organisation Chart"}</definedName>
    <definedName name="fiberboard" localSheetId="7">#REF!</definedName>
    <definedName name="fiberboard" localSheetId="8">#REF!</definedName>
    <definedName name="fiberboard">#REF!</definedName>
    <definedName name="fiberboard20" localSheetId="7">#REF!</definedName>
    <definedName name="fiberboard20">#REF!</definedName>
    <definedName name="fiberboard5" localSheetId="7">#REF!</definedName>
    <definedName name="fiberboard5">#REF!</definedName>
    <definedName name="fibreboard12" localSheetId="7">#REF!</definedName>
    <definedName name="fibreboard12">#REF!</definedName>
    <definedName name="File.Type" hidden="1">#REF!</definedName>
    <definedName name="filtermaterial" localSheetId="7">#REF!</definedName>
    <definedName name="filtermaterial">#REF!</definedName>
    <definedName name="final" localSheetId="7" hidden="1">{"'Sheet1'!$A$4386:$N$4591"}</definedName>
    <definedName name="final" localSheetId="8" hidden="1">{"'Sheet1'!$A$4386:$N$4591"}</definedName>
    <definedName name="final" hidden="1">{"'Sheet1'!$A$4386:$N$4591"}</definedName>
    <definedName name="fitter">#REF!</definedName>
    <definedName name="FLAT30X5" localSheetId="7">#REF!</definedName>
    <definedName name="FLAT30X5">#REF!</definedName>
    <definedName name="FLAT32X5" localSheetId="7">#REF!</definedName>
    <definedName name="FLAT32X5">#REF!</definedName>
    <definedName name="FLAT40X5" localSheetId="7">#REF!</definedName>
    <definedName name="FLAT40X5">#REF!</definedName>
    <definedName name="FLOOR">#REF!</definedName>
    <definedName name="fm" localSheetId="7">#REF!</definedName>
    <definedName name="fm" localSheetId="8">#REF!</definedName>
    <definedName name="fm">#REF!</definedName>
    <definedName name="FOIUY" localSheetId="8">City&amp;" "&amp;State</definedName>
    <definedName name="FOIUY">City&amp;" "&amp;State</definedName>
    <definedName name="FOOTERLFT2" localSheetId="8">#REF!</definedName>
    <definedName name="FOOTERLFT2">#REF!</definedName>
    <definedName name="FOOTERLFT3" localSheetId="8">#REF!</definedName>
    <definedName name="FOOTERLFT3">#REF!</definedName>
    <definedName name="FOOTERLFTM" localSheetId="8">#REF!</definedName>
    <definedName name="FOOTERLFTM">#REF!</definedName>
    <definedName name="FOOTERRGHT">#REF!</definedName>
    <definedName name="FOOTERRGHT1">#REF!</definedName>
    <definedName name="Footing_Shuttering">#REF!</definedName>
    <definedName name="format" localSheetId="7" hidden="1">#REF!</definedName>
    <definedName name="format" localSheetId="8" hidden="1">#REF!</definedName>
    <definedName name="format" hidden="1">#REF!</definedName>
    <definedName name="FSLclearspan11" localSheetId="8">#REF!</definedName>
    <definedName name="FSLclearspan11">#REF!</definedName>
    <definedName name="FSLeffectivespan12" localSheetId="8">#REF!</definedName>
    <definedName name="FSLeffectivespan12">#REF!</definedName>
    <definedName name="FSLoverallspan13" localSheetId="8">#REF!</definedName>
    <definedName name="FSLoverallspan13">#REF!</definedName>
    <definedName name="FST." localSheetId="8">#REF!</definedName>
    <definedName name="FST.">#REF!</definedName>
    <definedName name="fusewire" localSheetId="7">#REF!</definedName>
    <definedName name="fusewire" localSheetId="8">#REF!</definedName>
    <definedName name="fusewire">#REF!</definedName>
    <definedName name="fv" hidden="1">{#N/A,#N/A,FALSE,"Organisation Chart"}</definedName>
    <definedName name="g6216.">#REF!</definedName>
    <definedName name="Garhakala" localSheetId="7">#REF!</definedName>
    <definedName name="Garhakala" localSheetId="8">#REF!</definedName>
    <definedName name="Garhakala">#REF!</definedName>
    <definedName name="gelatine" localSheetId="7">#REF!</definedName>
    <definedName name="gelatine">#REF!</definedName>
    <definedName name="geofabric" localSheetId="7">#REF!</definedName>
    <definedName name="geofabric" localSheetId="8">#REF!</definedName>
    <definedName name="geofabric">#REF!</definedName>
    <definedName name="GGG" localSheetId="7">#REF!</definedName>
    <definedName name="GGG">#REF!</definedName>
    <definedName name="grader" localSheetId="7">#REF!</definedName>
    <definedName name="grader" localSheetId="8">#REF!</definedName>
    <definedName name="grader">#REF!</definedName>
    <definedName name="group"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SB">#REF!</definedName>
    <definedName name="guhj">#REF!</definedName>
    <definedName name="gunga" localSheetId="7">#REF!</definedName>
    <definedName name="gunga" localSheetId="8">#REF!</definedName>
    <definedName name="gunga">#REF!</definedName>
    <definedName name="gungakalara" localSheetId="7">#REF!</definedName>
    <definedName name="gungakalara">#REF!</definedName>
    <definedName name="Hammerman" localSheetId="7">#REF!</definedName>
    <definedName name="Hammerman">#REF!</definedName>
    <definedName name="headblacksmith" localSheetId="7">#REF!</definedName>
    <definedName name="headblacksmith">#REF!</definedName>
    <definedName name="header">#REF!</definedName>
    <definedName name="HEADERGHT">#REF!</definedName>
    <definedName name="HEADERGT">#REF!</definedName>
    <definedName name="HEADERLFT2" localSheetId="8">#REF!</definedName>
    <definedName name="HEADERLFT2">#REF!</definedName>
    <definedName name="HEADERLFT3" localSheetId="8">#REF!</definedName>
    <definedName name="HEADERLFT3">#REF!</definedName>
    <definedName name="HEADERRT2" localSheetId="8">#REF!</definedName>
    <definedName name="HEADERRT2">#REF!</definedName>
    <definedName name="headmason" localSheetId="7">#REF!</definedName>
    <definedName name="headmason" localSheetId="8">#REF!</definedName>
    <definedName name="headmason">#REF!</definedName>
    <definedName name="hghjh" localSheetId="7">#REF!</definedName>
    <definedName name="hghjh" localSheetId="8">#REF!</definedName>
    <definedName name="hghjh">#REF!</definedName>
    <definedName name="hkjjhkhkhk" hidden="1">{#N/A,#N/A,TRUE,"Front";#N/A,#N/A,TRUE,"Simple Letter";#N/A,#N/A,TRUE,"Inside";#N/A,#N/A,TRUE,"Contents";#N/A,#N/A,TRUE,"Basis";#N/A,#N/A,TRUE,"Inclusions";#N/A,#N/A,TRUE,"Exclusions";#N/A,#N/A,TRUE,"Areas";#N/A,#N/A,TRUE,"Summary";#N/A,#N/A,TRUE,"Detail"}</definedName>
    <definedName name="hmplant" localSheetId="7">#REF!</definedName>
    <definedName name="hmplant" localSheetId="8">#REF!</definedName>
    <definedName name="hmplant">#REF!</definedName>
    <definedName name="hmplant10" localSheetId="7">#REF!</definedName>
    <definedName name="hmplant10">#REF!</definedName>
    <definedName name="hmplant30" localSheetId="7">#REF!</definedName>
    <definedName name="hmplant30">#REF!</definedName>
    <definedName name="hotmixmidium" localSheetId="7">#REF!</definedName>
    <definedName name="hotmixmidium">#REF!</definedName>
    <definedName name="hotmixplant" localSheetId="7">#REF!</definedName>
    <definedName name="hotmixplant">#REF!</definedName>
    <definedName name="hotmixsmall" localSheetId="7">#REF!</definedName>
    <definedName name="hotmixsmall">#REF!</definedName>
    <definedName name="HT" localSheetId="8">#REF!</definedName>
    <definedName name="HT">#REF!</definedName>
    <definedName name="HTA" localSheetId="8">#REF!</definedName>
    <definedName name="HTA">#REF!</definedName>
    <definedName name="HTML_CodePage" hidden="1">1252</definedName>
    <definedName name="HTML_Control" hidden="1">{"'AC LOAD'!$H$14:$J$15"}</definedName>
    <definedName name="HTML_Description" hidden="1">""</definedName>
    <definedName name="HTML_Email" hidden="1">""</definedName>
    <definedName name="HTML_Header" hidden="1">"AC LOAD"</definedName>
    <definedName name="HTML_LastUpdate" hidden="1">"4/10/03"</definedName>
    <definedName name="HTML_LineAfter" hidden="1">FALSE</definedName>
    <definedName name="HTML_LineBefore" hidden="1">FALSE</definedName>
    <definedName name="HTML_Name" hidden="1">"RAJIV Kr. MEHTA"</definedName>
    <definedName name="HTML_OBDlg2" hidden="1">TRUE</definedName>
    <definedName name="HTML_OBDlg4" hidden="1">TRUE</definedName>
    <definedName name="HTML_OS" hidden="1">0</definedName>
    <definedName name="HTML_PathFile" hidden="1">"C:\My Documents\MyHTML.htm"</definedName>
    <definedName name="HTML_Title" hidden="1">"MD HOUSE AC"</definedName>
    <definedName name="humepipe1000" localSheetId="7">#REF!</definedName>
    <definedName name="humepipe1000" localSheetId="8">#REF!</definedName>
    <definedName name="humepipe1000">#REF!</definedName>
    <definedName name="Humepipe600" localSheetId="7">#REF!</definedName>
    <definedName name="Humepipe600" localSheetId="8">#REF!</definedName>
    <definedName name="Humepipe600">#REF!</definedName>
    <definedName name="Humepipe900" localSheetId="7">#REF!</definedName>
    <definedName name="Humepipe900">#REF!</definedName>
    <definedName name="hysd" localSheetId="7">#REF!</definedName>
    <definedName name="hysd" localSheetId="8">#REF!</definedName>
    <definedName name="hysd">#REF!</definedName>
    <definedName name="Interior" localSheetId="7">#REF!</definedName>
    <definedName name="Interior" localSheetId="8">#REF!</definedName>
    <definedName name="Interior">#REF!</definedName>
    <definedName name="INTT">#REF!</definedName>
    <definedName name="invoice1">#REF!</definedName>
    <definedName name="io" hidden="1">{#N/A,#N/A,TRUE,"Front";#N/A,#N/A,TRUE,"Simple Letter";#N/A,#N/A,TRUE,"Inside";#N/A,#N/A,TRUE,"Contents";#N/A,#N/A,TRUE,"Basis";#N/A,#N/A,TRUE,"Inclusions";#N/A,#N/A,TRUE,"Exclusions";#N/A,#N/A,TRUE,"Areas";#N/A,#N/A,TRUE,"Summary";#N/A,#N/A,TRUE,"Detail"}</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39245.8345138889</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SA35X5">#REF!</definedName>
    <definedName name="ISA40X5" localSheetId="7">#REF!</definedName>
    <definedName name="ISA40X5" localSheetId="8">#REF!</definedName>
    <definedName name="ISA40X5">#REF!</definedName>
    <definedName name="ISA65X5">#REF!</definedName>
    <definedName name="ISMB100">#REF!</definedName>
    <definedName name="ISMC100X50X5">#REF!</definedName>
    <definedName name="ISMC75">#REF!</definedName>
    <definedName name="ISMC75X40X5" localSheetId="7">#REF!</definedName>
    <definedName name="ISMC75X40X5">#REF!</definedName>
    <definedName name="J">#REF!</definedName>
    <definedName name="JHH">#REF!</definedName>
    <definedName name="jhjkh">#REF!</definedName>
    <definedName name="jlk" localSheetId="7">#REF!</definedName>
    <definedName name="jlk" localSheetId="8">#REF!</definedName>
    <definedName name="jlk">#REF!</definedName>
    <definedName name="JMBVC">#REF!</definedName>
    <definedName name="kap" localSheetId="8">#REF!</definedName>
    <definedName name="kap">#REF!</definedName>
    <definedName name="khalasi" localSheetId="7">#REF!</definedName>
    <definedName name="khalasi" localSheetId="8">#REF!</definedName>
    <definedName name="khalasi">#REF!</definedName>
    <definedName name="khamkheda" localSheetId="7">#REF!</definedName>
    <definedName name="khamkheda">#REF!</definedName>
    <definedName name="kkkkkkkkk">#REF!</definedName>
    <definedName name="kolukhedi" localSheetId="7">#REF!</definedName>
    <definedName name="kolukhedi">#REF!</definedName>
    <definedName name="KOMT2341" localSheetId="7">#REF!</definedName>
    <definedName name="KOMT2341">#REF!</definedName>
    <definedName name="kopui">#REF!</definedName>
    <definedName name="ksnagar_abs">#REF!</definedName>
    <definedName name="ksnagar_meas">#REF!</definedName>
    <definedName name="L" localSheetId="7">#REF!</definedName>
    <definedName name="L" localSheetId="8">#REF!</definedName>
    <definedName name="l" hidden="1">{#N/A,#N/A,TRUE,"Front";#N/A,#N/A,TRUE,"Simple Letter";#N/A,#N/A,TRUE,"Inside";#N/A,#N/A,TRUE,"Contents";#N/A,#N/A,TRUE,"Basis";#N/A,#N/A,TRUE,"Inclusions";#N/A,#N/A,TRUE,"Exclusions";#N/A,#N/A,TRUE,"Areas";#N/A,#N/A,TRUE,"Summary";#N/A,#N/A,TRUE,"Detail"}</definedName>
    <definedName name="landacqcost">#N/A</definedName>
    <definedName name="LBMod" localSheetId="8">#REF!</definedName>
    <definedName name="LBMod">#REF!</definedName>
    <definedName name="levelling" localSheetId="7">#REF!</definedName>
    <definedName name="levelling" localSheetId="8">#REF!</definedName>
    <definedName name="levelling">#REF!</definedName>
    <definedName name="light" localSheetId="7">#REF!</definedName>
    <definedName name="light">#REF!</definedName>
    <definedName name="limcount" hidden="1">1</definedName>
    <definedName name="lk" localSheetId="7">#REF!</definedName>
    <definedName name="lk" localSheetId="8">#REF!</definedName>
    <definedName name="lk">#REF!</definedName>
    <definedName name="loader" localSheetId="7">#REF!</definedName>
    <definedName name="loader">#REF!</definedName>
    <definedName name="Location" localSheetId="8">City&amp;" "&amp;State</definedName>
    <definedName name="Location">City&amp;" "&amp;State</definedName>
    <definedName name="Location___0">#N/A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OP" localSheetId="8">#REF!</definedName>
    <definedName name="LOOP">#REF!</definedName>
    <definedName name="LOP" hidden="1">{#N/A,#N/A,TRUE,"Front";#N/A,#N/A,TRUE,"Simple Letter";#N/A,#N/A,TRUE,"Inside";#N/A,#N/A,TRUE,"Contents";#N/A,#N/A,TRUE,"Basis";#N/A,#N/A,TRUE,"Inclusions";#N/A,#N/A,TRUE,"Exclusions";#N/A,#N/A,TRUE,"Areas";#N/A,#N/A,TRUE,"Summary";#N/A,#N/A,TRUE,"Detail"}</definedName>
    <definedName name="LSNO1" localSheetId="7">#REF!</definedName>
    <definedName name="LSNO1" localSheetId="8">#REF!</definedName>
    <definedName name="LSNO1">#REF!</definedName>
    <definedName name="LSNO10" localSheetId="7">#REF!</definedName>
    <definedName name="LSNO10">#REF!</definedName>
    <definedName name="LSNO100" localSheetId="7">#REF!</definedName>
    <definedName name="LSNO100">#REF!</definedName>
    <definedName name="LSNO101" localSheetId="7">#REF!</definedName>
    <definedName name="LSNO101">#REF!</definedName>
    <definedName name="LSNO102" localSheetId="7">#REF!</definedName>
    <definedName name="LSNO102">#REF!</definedName>
    <definedName name="LSNO103" localSheetId="7">#REF!</definedName>
    <definedName name="LSNO103">#REF!</definedName>
    <definedName name="LSNO104" localSheetId="7">#REF!</definedName>
    <definedName name="LSNO104">#REF!</definedName>
    <definedName name="LSNO105" localSheetId="7">#REF!</definedName>
    <definedName name="LSNO105">#REF!</definedName>
    <definedName name="LSNO106" localSheetId="7">#REF!</definedName>
    <definedName name="LSNO106">#REF!</definedName>
    <definedName name="LSNO107" localSheetId="7">#REF!</definedName>
    <definedName name="LSNO107">#REF!</definedName>
    <definedName name="LSNO108" localSheetId="7">#REF!</definedName>
    <definedName name="LSNO108">#REF!</definedName>
    <definedName name="LSNO109" localSheetId="7">#REF!</definedName>
    <definedName name="LSNO109">#REF!</definedName>
    <definedName name="LSNO11" localSheetId="7">#REF!</definedName>
    <definedName name="LSNO11">#REF!</definedName>
    <definedName name="LSNO110" localSheetId="7">#REF!</definedName>
    <definedName name="LSNO110">#REF!</definedName>
    <definedName name="LSNO111" localSheetId="7">#REF!</definedName>
    <definedName name="LSNO111">#REF!</definedName>
    <definedName name="LSNO112" localSheetId="7">#REF!</definedName>
    <definedName name="LSNO112">#REF!</definedName>
    <definedName name="LSNO113" localSheetId="7">#REF!</definedName>
    <definedName name="LSNO113">#REF!</definedName>
    <definedName name="LSNO114" localSheetId="7">#REF!</definedName>
    <definedName name="LSNO114">#REF!</definedName>
    <definedName name="LSNO115" localSheetId="7">#REF!</definedName>
    <definedName name="LSNO115">#REF!</definedName>
    <definedName name="LSNO116" localSheetId="7">#REF!</definedName>
    <definedName name="LSNO116">#REF!</definedName>
    <definedName name="LSNO117" localSheetId="7">#REF!</definedName>
    <definedName name="LSNO117">#REF!</definedName>
    <definedName name="LSNO118" localSheetId="7">#REF!</definedName>
    <definedName name="LSNO118">#REF!</definedName>
    <definedName name="LSNO119" localSheetId="7">#REF!</definedName>
    <definedName name="LSNO119">#REF!</definedName>
    <definedName name="LSNO12" localSheetId="7">#REF!</definedName>
    <definedName name="LSNO12">#REF!</definedName>
    <definedName name="LSNO120" localSheetId="7">#REF!</definedName>
    <definedName name="LSNO120">#REF!</definedName>
    <definedName name="LSNO121" localSheetId="7">#REF!</definedName>
    <definedName name="LSNO121">#REF!</definedName>
    <definedName name="LSNO122" localSheetId="7">#REF!</definedName>
    <definedName name="LSNO122">#REF!</definedName>
    <definedName name="LSNO123" localSheetId="7">#REF!</definedName>
    <definedName name="LSNO123">#REF!</definedName>
    <definedName name="LSNO124" localSheetId="7">#REF!</definedName>
    <definedName name="LSNO124">#REF!</definedName>
    <definedName name="LSNO125" localSheetId="7">#REF!</definedName>
    <definedName name="LSNO125">#REF!</definedName>
    <definedName name="LSNO126" localSheetId="7">#REF!</definedName>
    <definedName name="LSNO126">#REF!</definedName>
    <definedName name="LSNO127" localSheetId="7">#REF!</definedName>
    <definedName name="LSNO127">#REF!</definedName>
    <definedName name="LSNO128" localSheetId="7">#REF!</definedName>
    <definedName name="LSNO128">#REF!</definedName>
    <definedName name="LSNO129" localSheetId="7">#REF!</definedName>
    <definedName name="LSNO129">#REF!</definedName>
    <definedName name="LSNO13" localSheetId="7">#REF!</definedName>
    <definedName name="LSNO13">#REF!</definedName>
    <definedName name="LSNO130" localSheetId="7">#REF!</definedName>
    <definedName name="LSNO130">#REF!</definedName>
    <definedName name="LSNO131" localSheetId="7">#REF!</definedName>
    <definedName name="LSNO131">#REF!</definedName>
    <definedName name="LSNO132" localSheetId="7">#REF!</definedName>
    <definedName name="LSNO132">#REF!</definedName>
    <definedName name="LSNO133" localSheetId="7">#REF!</definedName>
    <definedName name="LSNO133">#REF!</definedName>
    <definedName name="LSNO134" localSheetId="7">#REF!</definedName>
    <definedName name="LSNO134">#REF!</definedName>
    <definedName name="LSNO135" localSheetId="7">#REF!</definedName>
    <definedName name="LSNO135">#REF!</definedName>
    <definedName name="LSNO136" localSheetId="7">#REF!</definedName>
    <definedName name="LSNO136">#REF!</definedName>
    <definedName name="LSNO137" localSheetId="7">#REF!</definedName>
    <definedName name="LSNO137">#REF!</definedName>
    <definedName name="LSNO138" localSheetId="7">#REF!</definedName>
    <definedName name="LSNO138">#REF!</definedName>
    <definedName name="LSNO139" localSheetId="7">#REF!</definedName>
    <definedName name="LSNO139">#REF!</definedName>
    <definedName name="LSNO14" localSheetId="7">#REF!</definedName>
    <definedName name="LSNO14">#REF!</definedName>
    <definedName name="LSNO140" localSheetId="7">#REF!</definedName>
    <definedName name="LSNO140">#REF!</definedName>
    <definedName name="LSNO141" localSheetId="7">#REF!</definedName>
    <definedName name="LSNO141">#REF!</definedName>
    <definedName name="LSNO142" localSheetId="7">#REF!</definedName>
    <definedName name="LSNO142">#REF!</definedName>
    <definedName name="LSNO143" localSheetId="7">#REF!</definedName>
    <definedName name="LSNO143">#REF!</definedName>
    <definedName name="LSNO144" localSheetId="7">#REF!</definedName>
    <definedName name="LSNO144">#REF!</definedName>
    <definedName name="LSNO145" localSheetId="7">#REF!</definedName>
    <definedName name="LSNO145">#REF!</definedName>
    <definedName name="LSNO146" localSheetId="7">#REF!</definedName>
    <definedName name="LSNO146">#REF!</definedName>
    <definedName name="LSNO147" localSheetId="7">#REF!</definedName>
    <definedName name="LSNO147">#REF!</definedName>
    <definedName name="LSNO148" localSheetId="7">#REF!</definedName>
    <definedName name="LSNO148">#REF!</definedName>
    <definedName name="LSNO149" localSheetId="7">#REF!</definedName>
    <definedName name="LSNO149">#REF!</definedName>
    <definedName name="LSNO15" localSheetId="7">#REF!</definedName>
    <definedName name="LSNO15">#REF!</definedName>
    <definedName name="LSNO150" localSheetId="7">#REF!</definedName>
    <definedName name="LSNO150">#REF!</definedName>
    <definedName name="LSNO151" localSheetId="7">#REF!</definedName>
    <definedName name="LSNO151">#REF!</definedName>
    <definedName name="LSNO152" localSheetId="7">#REF!</definedName>
    <definedName name="LSNO152">#REF!</definedName>
    <definedName name="LSNO153" localSheetId="7">#REF!</definedName>
    <definedName name="LSNO153">#REF!</definedName>
    <definedName name="LSNO154" localSheetId="7">#REF!</definedName>
    <definedName name="LSNO154">#REF!</definedName>
    <definedName name="LSNO155" localSheetId="7">#REF!</definedName>
    <definedName name="LSNO155">#REF!</definedName>
    <definedName name="LSNO156" localSheetId="7">#REF!</definedName>
    <definedName name="LSNO156">#REF!</definedName>
    <definedName name="LSNO157" localSheetId="7">#REF!</definedName>
    <definedName name="LSNO157">#REF!</definedName>
    <definedName name="LSNO158" localSheetId="7">#REF!</definedName>
    <definedName name="LSNO158">#REF!</definedName>
    <definedName name="LSNO159" localSheetId="7">#REF!</definedName>
    <definedName name="LSNO159">#REF!</definedName>
    <definedName name="LSNO16" localSheetId="7">#REF!</definedName>
    <definedName name="LSNO16">#REF!</definedName>
    <definedName name="LSNO160" localSheetId="7">#REF!</definedName>
    <definedName name="LSNO160">#REF!</definedName>
    <definedName name="LSNO161" localSheetId="7">#REF!</definedName>
    <definedName name="LSNO161">#REF!</definedName>
    <definedName name="LSNO162" localSheetId="7">#REF!</definedName>
    <definedName name="LSNO162">#REF!</definedName>
    <definedName name="LSNO163" localSheetId="7">#REF!</definedName>
    <definedName name="LSNO163">#REF!</definedName>
    <definedName name="LSNO164" localSheetId="7">#REF!</definedName>
    <definedName name="LSNO164">#REF!</definedName>
    <definedName name="LSNO165" localSheetId="7">#REF!</definedName>
    <definedName name="LSNO165">#REF!</definedName>
    <definedName name="LSNO166" localSheetId="7">#REF!</definedName>
    <definedName name="LSNO166">#REF!</definedName>
    <definedName name="LSNO167" localSheetId="7">#REF!</definedName>
    <definedName name="LSNO167">#REF!</definedName>
    <definedName name="LSNO168" localSheetId="7">#REF!</definedName>
    <definedName name="LSNO168">#REF!</definedName>
    <definedName name="LSNO169" localSheetId="7">#REF!</definedName>
    <definedName name="LSNO169">#REF!</definedName>
    <definedName name="LSNO17" localSheetId="7">#REF!</definedName>
    <definedName name="LSNO17">#REF!</definedName>
    <definedName name="LSNO170" localSheetId="7">#REF!</definedName>
    <definedName name="LSNO170">#REF!</definedName>
    <definedName name="LSNO171" localSheetId="7">#REF!</definedName>
    <definedName name="LSNO171">#REF!</definedName>
    <definedName name="LSNO172" localSheetId="7">#REF!</definedName>
    <definedName name="LSNO172">#REF!</definedName>
    <definedName name="LSNO173" localSheetId="7">#REF!</definedName>
    <definedName name="LSNO173">#REF!</definedName>
    <definedName name="LSNO174" localSheetId="7">#REF!</definedName>
    <definedName name="LSNO174">#REF!</definedName>
    <definedName name="LSNO175" localSheetId="7">#REF!</definedName>
    <definedName name="LSNO175">#REF!</definedName>
    <definedName name="LSNO176" localSheetId="7">#REF!</definedName>
    <definedName name="LSNO176">#REF!</definedName>
    <definedName name="LSNO177" localSheetId="7">#REF!</definedName>
    <definedName name="LSNO177">#REF!</definedName>
    <definedName name="LSNO178" localSheetId="7">#REF!</definedName>
    <definedName name="LSNO178">#REF!</definedName>
    <definedName name="LSNO179" localSheetId="7">#REF!</definedName>
    <definedName name="LSNO179">#REF!</definedName>
    <definedName name="LSNO18" localSheetId="7">#REF!</definedName>
    <definedName name="LSNO18">#REF!</definedName>
    <definedName name="LSNO180" localSheetId="7">#REF!</definedName>
    <definedName name="LSNO180">#REF!</definedName>
    <definedName name="LSNO181" localSheetId="7">#REF!</definedName>
    <definedName name="LSNO181">#REF!</definedName>
    <definedName name="LSNO182" localSheetId="7">#REF!</definedName>
    <definedName name="LSNO182">#REF!</definedName>
    <definedName name="LSNO183" localSheetId="7">#REF!</definedName>
    <definedName name="LSNO183">#REF!</definedName>
    <definedName name="LSNO184" localSheetId="7">#REF!</definedName>
    <definedName name="LSNO184">#REF!</definedName>
    <definedName name="LSNO185" localSheetId="7">#REF!</definedName>
    <definedName name="LSNO185">#REF!</definedName>
    <definedName name="LSNO186" localSheetId="7">#REF!</definedName>
    <definedName name="LSNO186">#REF!</definedName>
    <definedName name="LSNO187" localSheetId="7">#REF!</definedName>
    <definedName name="LSNO187">#REF!</definedName>
    <definedName name="LSNO188" localSheetId="7">#REF!</definedName>
    <definedName name="LSNO188">#REF!</definedName>
    <definedName name="LSNO189" localSheetId="7">#REF!</definedName>
    <definedName name="LSNO189">#REF!</definedName>
    <definedName name="LSNO19" localSheetId="7">#REF!</definedName>
    <definedName name="LSNO19">#REF!</definedName>
    <definedName name="LSNO190" localSheetId="7">#REF!</definedName>
    <definedName name="LSNO190">#REF!</definedName>
    <definedName name="LSNO191" localSheetId="7">#REF!</definedName>
    <definedName name="LSNO191">#REF!</definedName>
    <definedName name="LSNO192" localSheetId="7">#REF!</definedName>
    <definedName name="LSNO192">#REF!</definedName>
    <definedName name="LSNO193" localSheetId="7">#REF!</definedName>
    <definedName name="LSNO193">#REF!</definedName>
    <definedName name="LSNO194" localSheetId="7">#REF!</definedName>
    <definedName name="LSNO194">#REF!</definedName>
    <definedName name="LSNO195" localSheetId="7">#REF!</definedName>
    <definedName name="LSNO195">#REF!</definedName>
    <definedName name="LSNO196" localSheetId="7">#REF!</definedName>
    <definedName name="LSNO196">#REF!</definedName>
    <definedName name="LSNO197" localSheetId="7">#REF!</definedName>
    <definedName name="LSNO197">#REF!</definedName>
    <definedName name="LSNO198" localSheetId="7">#REF!</definedName>
    <definedName name="LSNO198">#REF!</definedName>
    <definedName name="LSNO199" localSheetId="7">#REF!</definedName>
    <definedName name="LSNO199">#REF!</definedName>
    <definedName name="LSNO2" localSheetId="7">#REF!</definedName>
    <definedName name="LSNO2">#REF!</definedName>
    <definedName name="LSNO20" localSheetId="7">#REF!</definedName>
    <definedName name="LSNO20">#REF!</definedName>
    <definedName name="LSNO200" localSheetId="7">#REF!</definedName>
    <definedName name="LSNO200">#REF!</definedName>
    <definedName name="LSNO201" localSheetId="7">#REF!</definedName>
    <definedName name="LSNO201">#REF!</definedName>
    <definedName name="LSNO202" localSheetId="7">#REF!</definedName>
    <definedName name="LSNO202">#REF!</definedName>
    <definedName name="LSNO203" localSheetId="7">#REF!</definedName>
    <definedName name="LSNO203">#REF!</definedName>
    <definedName name="LSNO204" localSheetId="7">#REF!</definedName>
    <definedName name="LSNO204">#REF!</definedName>
    <definedName name="LSNO205" localSheetId="7">#REF!</definedName>
    <definedName name="LSNO205">#REF!</definedName>
    <definedName name="LSNO206" localSheetId="7">#REF!</definedName>
    <definedName name="LSNO206">#REF!</definedName>
    <definedName name="LSNO207" localSheetId="7">#REF!</definedName>
    <definedName name="LSNO207">#REF!</definedName>
    <definedName name="LSNO208" localSheetId="7">#REF!</definedName>
    <definedName name="LSNO208">#REF!</definedName>
    <definedName name="LSNO209" localSheetId="7">#REF!</definedName>
    <definedName name="LSNO209">#REF!</definedName>
    <definedName name="LSNO21" localSheetId="7">#REF!</definedName>
    <definedName name="LSNO21">#REF!</definedName>
    <definedName name="LSNO210" localSheetId="7">#REF!</definedName>
    <definedName name="LSNO210">#REF!</definedName>
    <definedName name="LSNO211" localSheetId="7">#REF!</definedName>
    <definedName name="LSNO211">#REF!</definedName>
    <definedName name="LSNO212" localSheetId="7">#REF!</definedName>
    <definedName name="LSNO212">#REF!</definedName>
    <definedName name="LSNO213" localSheetId="7">#REF!</definedName>
    <definedName name="LSNO213">#REF!</definedName>
    <definedName name="LSNO214" localSheetId="7">#REF!</definedName>
    <definedName name="LSNO214">#REF!</definedName>
    <definedName name="LSNO215" localSheetId="7">#REF!</definedName>
    <definedName name="LSNO215">#REF!</definedName>
    <definedName name="LSNO216" localSheetId="7">#REF!</definedName>
    <definedName name="LSNO216">#REF!</definedName>
    <definedName name="LSNO217" localSheetId="7">#REF!</definedName>
    <definedName name="LSNO217">#REF!</definedName>
    <definedName name="LSNO218" localSheetId="7">#REF!</definedName>
    <definedName name="LSNO218">#REF!</definedName>
    <definedName name="LSNO219" localSheetId="7">#REF!</definedName>
    <definedName name="LSNO219">#REF!</definedName>
    <definedName name="LSNO22" localSheetId="7">#REF!</definedName>
    <definedName name="LSNO22">#REF!</definedName>
    <definedName name="LSNO220" localSheetId="7">#REF!</definedName>
    <definedName name="LSNO220">#REF!</definedName>
    <definedName name="LSNO221" localSheetId="7">#REF!</definedName>
    <definedName name="LSNO221">#REF!</definedName>
    <definedName name="LSNO222" localSheetId="7">#REF!</definedName>
    <definedName name="LSNO222">#REF!</definedName>
    <definedName name="LSNO223" localSheetId="7">#REF!</definedName>
    <definedName name="LSNO223">#REF!</definedName>
    <definedName name="LSNO224" localSheetId="7">#REF!</definedName>
    <definedName name="LSNO224">#REF!</definedName>
    <definedName name="LSNO225" localSheetId="7">#REF!</definedName>
    <definedName name="LSNO225">#REF!</definedName>
    <definedName name="LSNO226" localSheetId="7">#REF!</definedName>
    <definedName name="LSNO226">#REF!</definedName>
    <definedName name="LSNO227" localSheetId="7">#REF!</definedName>
    <definedName name="LSNO227">#REF!</definedName>
    <definedName name="LSNO228" localSheetId="7">#REF!</definedName>
    <definedName name="LSNO228">#REF!</definedName>
    <definedName name="LSNO229" localSheetId="7">#REF!</definedName>
    <definedName name="LSNO229">#REF!</definedName>
    <definedName name="LSNO23" localSheetId="7">#REF!</definedName>
    <definedName name="LSNO23">#REF!</definedName>
    <definedName name="LSNO230" localSheetId="7">#REF!</definedName>
    <definedName name="LSNO230">#REF!</definedName>
    <definedName name="LSNO231" localSheetId="7">#REF!</definedName>
    <definedName name="LSNO231">#REF!</definedName>
    <definedName name="LSNO232" localSheetId="7">#REF!</definedName>
    <definedName name="LSNO232">#REF!</definedName>
    <definedName name="LSNO233" localSheetId="7">#REF!</definedName>
    <definedName name="LSNO233">#REF!</definedName>
    <definedName name="LSNO234" localSheetId="7">#REF!</definedName>
    <definedName name="LSNO234">#REF!</definedName>
    <definedName name="LSNO235" localSheetId="7">#REF!</definedName>
    <definedName name="LSNO235">#REF!</definedName>
    <definedName name="LSNO236" localSheetId="7">#REF!</definedName>
    <definedName name="LSNO236">#REF!</definedName>
    <definedName name="LSNO237" localSheetId="7">#REF!</definedName>
    <definedName name="LSNO237">#REF!</definedName>
    <definedName name="LSNO238" localSheetId="7">#REF!</definedName>
    <definedName name="LSNO238">#REF!</definedName>
    <definedName name="LSNO239" localSheetId="7">#REF!</definedName>
    <definedName name="LSNO239">#REF!</definedName>
    <definedName name="LSNO24" localSheetId="7">#REF!</definedName>
    <definedName name="LSNO24">#REF!</definedName>
    <definedName name="LSNO240" localSheetId="7">#REF!</definedName>
    <definedName name="LSNO240">#REF!</definedName>
    <definedName name="LSNO241" localSheetId="7">#REF!</definedName>
    <definedName name="LSNO241">#REF!</definedName>
    <definedName name="LSNO242" localSheetId="7">#REF!</definedName>
    <definedName name="LSNO242">#REF!</definedName>
    <definedName name="LSNO243" localSheetId="7">#REF!</definedName>
    <definedName name="LSNO243">#REF!</definedName>
    <definedName name="LSNO244" localSheetId="7">#REF!</definedName>
    <definedName name="LSNO244">#REF!</definedName>
    <definedName name="LSNO245" localSheetId="7">#REF!</definedName>
    <definedName name="LSNO245">#REF!</definedName>
    <definedName name="LSNO246" localSheetId="7">#REF!</definedName>
    <definedName name="LSNO246">#REF!</definedName>
    <definedName name="LSNO247" localSheetId="7">#REF!</definedName>
    <definedName name="LSNO247">#REF!</definedName>
    <definedName name="LSNO248" localSheetId="7">#REF!</definedName>
    <definedName name="LSNO248">#REF!</definedName>
    <definedName name="LSNO249" localSheetId="7">#REF!</definedName>
    <definedName name="LSNO249">#REF!</definedName>
    <definedName name="LSNO25" localSheetId="7">#REF!</definedName>
    <definedName name="LSNO25">#REF!</definedName>
    <definedName name="LSNO250" localSheetId="7">#REF!</definedName>
    <definedName name="LSNO250">#REF!</definedName>
    <definedName name="LSNO251" localSheetId="7">#REF!</definedName>
    <definedName name="LSNO251">#REF!</definedName>
    <definedName name="LSNO26" localSheetId="7">#REF!</definedName>
    <definedName name="LSNO26">#REF!</definedName>
    <definedName name="LSNO27" localSheetId="7">#REF!</definedName>
    <definedName name="LSNO27">#REF!</definedName>
    <definedName name="LSNO28" localSheetId="7">#REF!</definedName>
    <definedName name="LSNO28">#REF!</definedName>
    <definedName name="LSNO29" localSheetId="7">#REF!</definedName>
    <definedName name="LSNO29">#REF!</definedName>
    <definedName name="LSNO3" localSheetId="7">#REF!</definedName>
    <definedName name="LSNO3">#REF!</definedName>
    <definedName name="LSNO30" localSheetId="7">#REF!</definedName>
    <definedName name="LSNO30">#REF!</definedName>
    <definedName name="LSNO31" localSheetId="7">#REF!</definedName>
    <definedName name="LSNO31">#REF!</definedName>
    <definedName name="LSNO32" localSheetId="7">#REF!</definedName>
    <definedName name="LSNO32">#REF!</definedName>
    <definedName name="LSNO33" localSheetId="7">#REF!</definedName>
    <definedName name="LSNO33">#REF!</definedName>
    <definedName name="LSNO34" localSheetId="7">#REF!</definedName>
    <definedName name="LSNO34">#REF!</definedName>
    <definedName name="LSNO35" localSheetId="7">#REF!</definedName>
    <definedName name="LSNO35">#REF!</definedName>
    <definedName name="LSNO36" localSheetId="7">#REF!</definedName>
    <definedName name="LSNO36">#REF!</definedName>
    <definedName name="LSNO37" localSheetId="7">#REF!</definedName>
    <definedName name="LSNO37">#REF!</definedName>
    <definedName name="LSNO38" localSheetId="7">#REF!</definedName>
    <definedName name="LSNO38">#REF!</definedName>
    <definedName name="LSNO39" localSheetId="7">#REF!</definedName>
    <definedName name="LSNO39">#REF!</definedName>
    <definedName name="LSNO4" localSheetId="7">#REF!</definedName>
    <definedName name="LSNO4">#REF!</definedName>
    <definedName name="LSNO40" localSheetId="7">#REF!</definedName>
    <definedName name="LSNO40">#REF!</definedName>
    <definedName name="LSNO41" localSheetId="7">#REF!</definedName>
    <definedName name="LSNO41">#REF!</definedName>
    <definedName name="LSNO42" localSheetId="7">#REF!</definedName>
    <definedName name="LSNO42">#REF!</definedName>
    <definedName name="LSNO43" localSheetId="7">#REF!</definedName>
    <definedName name="LSNO43">#REF!</definedName>
    <definedName name="LSNO44" localSheetId="7">#REF!</definedName>
    <definedName name="LSNO44">#REF!</definedName>
    <definedName name="LSNO45" localSheetId="7">#REF!</definedName>
    <definedName name="LSNO45">#REF!</definedName>
    <definedName name="LSNO46" localSheetId="7">#REF!</definedName>
    <definedName name="LSNO46">#REF!</definedName>
    <definedName name="LSNO47" localSheetId="7">#REF!</definedName>
    <definedName name="LSNO47">#REF!</definedName>
    <definedName name="LSNO48" localSheetId="7">#REF!</definedName>
    <definedName name="LSNO48">#REF!</definedName>
    <definedName name="LSNO49" localSheetId="7">#REF!</definedName>
    <definedName name="LSNO49">#REF!</definedName>
    <definedName name="LSNO5" localSheetId="7">#REF!</definedName>
    <definedName name="LSNO5">#REF!</definedName>
    <definedName name="LSNO50" localSheetId="7">#REF!</definedName>
    <definedName name="LSNO50">#REF!</definedName>
    <definedName name="LSNO51" localSheetId="7">#REF!</definedName>
    <definedName name="LSNO51">#REF!</definedName>
    <definedName name="LSNO52" localSheetId="7">#REF!</definedName>
    <definedName name="LSNO52">#REF!</definedName>
    <definedName name="LSNO53" localSheetId="7">#REF!</definedName>
    <definedName name="LSNO53">#REF!</definedName>
    <definedName name="LSNO54" localSheetId="7">#REF!</definedName>
    <definedName name="LSNO54">#REF!</definedName>
    <definedName name="LSNO55" localSheetId="7">#REF!</definedName>
    <definedName name="LSNO55">#REF!</definedName>
    <definedName name="LSNO56" localSheetId="7">#REF!</definedName>
    <definedName name="LSNO56">#REF!</definedName>
    <definedName name="LSNO57" localSheetId="7">#REF!</definedName>
    <definedName name="LSNO57">#REF!</definedName>
    <definedName name="LSNO58" localSheetId="7">#REF!</definedName>
    <definedName name="LSNO58">#REF!</definedName>
    <definedName name="LSNO59" localSheetId="7">#REF!</definedName>
    <definedName name="LSNO59">#REF!</definedName>
    <definedName name="LSNO6" localSheetId="7">#REF!</definedName>
    <definedName name="LSNO6">#REF!</definedName>
    <definedName name="LSNO60" localSheetId="7">#REF!</definedName>
    <definedName name="LSNO60">#REF!</definedName>
    <definedName name="LSNO61" localSheetId="7">#REF!</definedName>
    <definedName name="LSNO61">#REF!</definedName>
    <definedName name="LSNO62" localSheetId="7">#REF!</definedName>
    <definedName name="LSNO62">#REF!</definedName>
    <definedName name="LSNO63" localSheetId="7">#REF!</definedName>
    <definedName name="LSNO63">#REF!</definedName>
    <definedName name="LSNO64" localSheetId="7">#REF!</definedName>
    <definedName name="LSNO64">#REF!</definedName>
    <definedName name="LSNO65" localSheetId="7">#REF!</definedName>
    <definedName name="LSNO65">#REF!</definedName>
    <definedName name="LSNO66" localSheetId="7">#REF!</definedName>
    <definedName name="LSNO66">#REF!</definedName>
    <definedName name="LSNO67" localSheetId="7">#REF!</definedName>
    <definedName name="LSNO67">#REF!</definedName>
    <definedName name="LSNO68" localSheetId="7">#REF!</definedName>
    <definedName name="LSNO68">#REF!</definedName>
    <definedName name="LSNO69" localSheetId="7">#REF!</definedName>
    <definedName name="LSNO69">#REF!</definedName>
    <definedName name="LSNO7" localSheetId="7">#REF!</definedName>
    <definedName name="LSNO7">#REF!</definedName>
    <definedName name="LSNO70" localSheetId="7">#REF!</definedName>
    <definedName name="LSNO70">#REF!</definedName>
    <definedName name="LSNO71" localSheetId="7">#REF!</definedName>
    <definedName name="LSNO71">#REF!</definedName>
    <definedName name="LSNO72" localSheetId="7">#REF!</definedName>
    <definedName name="LSNO72">#REF!</definedName>
    <definedName name="LSNO73" localSheetId="7">#REF!</definedName>
    <definedName name="LSNO73">#REF!</definedName>
    <definedName name="LSNO74" localSheetId="7">#REF!</definedName>
    <definedName name="LSNO74">#REF!</definedName>
    <definedName name="LSNO75" localSheetId="7">#REF!</definedName>
    <definedName name="LSNO75">#REF!</definedName>
    <definedName name="LSNO76" localSheetId="7">#REF!</definedName>
    <definedName name="LSNO76">#REF!</definedName>
    <definedName name="LSNO77" localSheetId="7">#REF!</definedName>
    <definedName name="LSNO77">#REF!</definedName>
    <definedName name="LSNO78" localSheetId="7">#REF!</definedName>
    <definedName name="LSNO78">#REF!</definedName>
    <definedName name="LSNO79" localSheetId="7">#REF!</definedName>
    <definedName name="LSNO79">#REF!</definedName>
    <definedName name="LSNO8" localSheetId="7">#REF!</definedName>
    <definedName name="LSNO8">#REF!</definedName>
    <definedName name="LSNO80" localSheetId="7">#REF!</definedName>
    <definedName name="LSNO80">#REF!</definedName>
    <definedName name="LSNO81" localSheetId="7">#REF!</definedName>
    <definedName name="LSNO81">#REF!</definedName>
    <definedName name="LSNO82" localSheetId="7">#REF!</definedName>
    <definedName name="LSNO82">#REF!</definedName>
    <definedName name="LSNO83" localSheetId="7">#REF!</definedName>
    <definedName name="LSNO83">#REF!</definedName>
    <definedName name="LSNO84" localSheetId="7">#REF!</definedName>
    <definedName name="LSNO84">#REF!</definedName>
    <definedName name="LSNO85" localSheetId="7">#REF!</definedName>
    <definedName name="LSNO85">#REF!</definedName>
    <definedName name="LSNO86" localSheetId="7">#REF!</definedName>
    <definedName name="LSNO86">#REF!</definedName>
    <definedName name="LSNO87" localSheetId="7">#REF!</definedName>
    <definedName name="LSNO87">#REF!</definedName>
    <definedName name="LSNO88" localSheetId="7">#REF!</definedName>
    <definedName name="LSNO88">#REF!</definedName>
    <definedName name="LSNO89" localSheetId="7">#REF!</definedName>
    <definedName name="LSNO89">#REF!</definedName>
    <definedName name="LSNO9" localSheetId="7">#REF!</definedName>
    <definedName name="LSNO9">#REF!</definedName>
    <definedName name="LSNO90" localSheetId="7">#REF!</definedName>
    <definedName name="LSNO90">#REF!</definedName>
    <definedName name="LSNO91" localSheetId="7">#REF!</definedName>
    <definedName name="LSNO91">#REF!</definedName>
    <definedName name="LSNO92" localSheetId="7">#REF!</definedName>
    <definedName name="LSNO92">#REF!</definedName>
    <definedName name="LSNO93" localSheetId="7">#REF!</definedName>
    <definedName name="LSNO93">#REF!</definedName>
    <definedName name="LSNO94" localSheetId="7">#REF!</definedName>
    <definedName name="LSNO94">#REF!</definedName>
    <definedName name="LSNO95" localSheetId="7">#REF!</definedName>
    <definedName name="LSNO95">#REF!</definedName>
    <definedName name="LSNO96" localSheetId="7">#REF!</definedName>
    <definedName name="LSNO96">#REF!</definedName>
    <definedName name="LSNO97" localSheetId="7">#REF!</definedName>
    <definedName name="LSNO97">#REF!</definedName>
    <definedName name="LSNO98" localSheetId="7">#REF!</definedName>
    <definedName name="LSNO98">#REF!</definedName>
    <definedName name="LSNO99" localSheetId="7">#REF!</definedName>
    <definedName name="LSNO99">#REF!</definedName>
    <definedName name="m">#REF!</definedName>
    <definedName name="M.B.">#REF!</definedName>
    <definedName name="M_25_box_Culvert" localSheetId="7">#REF!</definedName>
    <definedName name="M_25_box_Culvert">#REF!</definedName>
    <definedName name="m15levelling" localSheetId="7">#REF!</definedName>
    <definedName name="m15levelling" localSheetId="8">#REF!</definedName>
    <definedName name="m15levelling">#REF!</definedName>
    <definedName name="Macro1">#N/A</definedName>
    <definedName name="Macro2">#N/A</definedName>
    <definedName name="March_11">#REF!</definedName>
    <definedName name="mason" localSheetId="7">#REF!</definedName>
    <definedName name="mason" localSheetId="8">#REF!</definedName>
    <definedName name="mason">#REF!</definedName>
    <definedName name="masonhelper" localSheetId="7">#REF!</definedName>
    <definedName name="masonhelper" localSheetId="8">#REF!</definedName>
    <definedName name="masonhelper">#REF!</definedName>
    <definedName name="mat" localSheetId="7" hidden="1">{#N/A,#N/A,TRUE,"Front";#N/A,#N/A,TRUE,"Simple Letter";#N/A,#N/A,TRUE,"Inside";#N/A,#N/A,TRUE,"Contents";#N/A,#N/A,TRUE,"Basis";#N/A,#N/A,TRUE,"Inclusions";#N/A,#N/A,TRUE,"Exclusions";#N/A,#N/A,TRUE,"Areas";#N/A,#N/A,TRUE,"Summary";#N/A,#N/A,TRUE,"Detail"}</definedName>
    <definedName name="mat" localSheetId="8" hidden="1">{#N/A,#N/A,TRUE,"Front";#N/A,#N/A,TRUE,"Simple Letter";#N/A,#N/A,TRUE,"Inside";#N/A,#N/A,TRUE,"Contents";#N/A,#N/A,TRUE,"Basis";#N/A,#N/A,TRUE,"Inclusions";#N/A,#N/A,TRUE,"Exclusions";#N/A,#N/A,TRUE,"Areas";#N/A,#N/A,TRUE,"Summary";#N/A,#N/A,TRUE,"Detail"}</definedName>
    <definedName name="mat" hidden="1">{#N/A,#N/A,TRUE,"Front";#N/A,#N/A,TRUE,"Simple Letter";#N/A,#N/A,TRUE,"Inside";#N/A,#N/A,TRUE,"Contents";#N/A,#N/A,TRUE,"Basis";#N/A,#N/A,TRUE,"Inclusions";#N/A,#N/A,TRUE,"Exclusions";#N/A,#N/A,TRUE,"Areas";#N/A,#N/A,TRUE,"Summary";#N/A,#N/A,TRUE,"Detail"}</definedName>
    <definedName name="Mate" localSheetId="7">#REF!</definedName>
    <definedName name="Mate" localSheetId="8">#REF!</definedName>
    <definedName name="Mate">#REF!</definedName>
    <definedName name="Mazdoor" localSheetId="7">#REF!</definedName>
    <definedName name="Mazdoor" localSheetId="8">#REF!</definedName>
    <definedName name="Mazdoor">#REF!</definedName>
    <definedName name="MB" hidden="1">{"'AC LOAD'!$H$14:$J$15"}</definedName>
    <definedName name="measur" hidden="1">{#N/A,#N/A,TRUE,"Front";#N/A,#N/A,TRUE,"Simple Letter";#N/A,#N/A,TRUE,"Inside";#N/A,#N/A,TRUE,"Contents";#N/A,#N/A,TRUE,"Basis";#N/A,#N/A,TRUE,"Inclusions";#N/A,#N/A,TRUE,"Exclusions";#N/A,#N/A,TRUE,"Areas";#N/A,#N/A,TRUE,"Summary";#N/A,#N/A,TRUE,"Detail"}</definedName>
    <definedName name="Median" localSheetId="7">#REF!</definedName>
    <definedName name="Median" localSheetId="8">#REF!</definedName>
    <definedName name="Median">#REF!</definedName>
    <definedName name="Mera" localSheetId="7">#REF!</definedName>
    <definedName name="Mera" localSheetId="8">#REF!</definedName>
    <definedName name="Mera">#REF!</definedName>
    <definedName name="Miss" hidden="1">{#N/A,#N/A,TRUE,"Front";#N/A,#N/A,TRUE,"Simple Letter";#N/A,#N/A,TRUE,"Inside";#N/A,#N/A,TRUE,"Contents";#N/A,#N/A,TRUE,"Basis";#N/A,#N/A,TRUE,"Inclusions";#N/A,#N/A,TRUE,"Exclusions";#N/A,#N/A,TRUE,"Areas";#N/A,#N/A,TRUE,"Summary";#N/A,#N/A,TRUE,"Detail"}</definedName>
    <definedName name="mixer" localSheetId="7">#REF!</definedName>
    <definedName name="mixer" localSheetId="8">#REF!</definedName>
    <definedName name="mixer">#REF!</definedName>
    <definedName name="modifiedbitumen" localSheetId="7">#REF!</definedName>
    <definedName name="modifiedbitumen" localSheetId="8">#REF!</definedName>
    <definedName name="modifiedbitumen">#REF!</definedName>
    <definedName name="Moh" localSheetId="7">#REF!</definedName>
    <definedName name="Moh">#REF!</definedName>
    <definedName name="msbars" localSheetId="7">#REF!</definedName>
    <definedName name="msbars">#REF!</definedName>
    <definedName name="MSFLAT32X5">#REF!</definedName>
    <definedName name="msssssssssssssssssssssss">#REF!</definedName>
    <definedName name="mta" hidden="1">{#N/A,#N/A,TRUE,"Front";#N/A,#N/A,TRUE,"Simple Letter";#N/A,#N/A,TRUE,"Inside";#N/A,#N/A,TRUE,"Contents";#N/A,#N/A,TRUE,"Basis";#N/A,#N/A,TRUE,"Inclusions";#N/A,#N/A,TRUE,"Exclusions";#N/A,#N/A,TRUE,"Areas";#N/A,#N/A,TRUE,"Summary";#N/A,#N/A,TRUE,"Detail"}</definedName>
    <definedName name="Mugaliyahat" localSheetId="7">#REF!</definedName>
    <definedName name="Mugaliyahat" localSheetId="8">#REF!</definedName>
    <definedName name="Mugaliyahat">#REF!</definedName>
    <definedName name="Muram" localSheetId="7">#REF!</definedName>
    <definedName name="Muram">#REF!</definedName>
    <definedName name="mus">#REF!</definedName>
    <definedName name="MWL">#REF!</definedName>
    <definedName name="Nalkheda" localSheetId="7">#REF!</definedName>
    <definedName name="Nalkheda">#REF!</definedName>
    <definedName name="ncrtovn_abs" localSheetId="8">#REF!</definedName>
    <definedName name="ncrtovn_abs">#REF!</definedName>
    <definedName name="ncrtovn_meas" localSheetId="8">#REF!</definedName>
    <definedName name="ncrtovn_meas">#REF!</definedName>
    <definedName name="neoprene" localSheetId="7">#REF!</definedName>
    <definedName name="neoprene">#REF!</definedName>
    <definedName name="neoprinbearing" localSheetId="7">#REF!</definedName>
    <definedName name="neoprinbearing">#REF!</definedName>
    <definedName name="nothing" localSheetId="7">#REF!</definedName>
    <definedName name="nothing" localSheetId="8">#REF!</definedName>
    <definedName name="nothing">#REF!</definedName>
    <definedName name="NP3HP450" localSheetId="7">#REF!</definedName>
    <definedName name="NP3HP450">#REF!</definedName>
    <definedName name="NP3HP600" localSheetId="7">#REF!</definedName>
    <definedName name="NP3HP600">#REF!</definedName>
    <definedName name="NP3HP750" localSheetId="7">#REF!</definedName>
    <definedName name="NP3HP750">#REF!</definedName>
    <definedName name="np3humepipe600" localSheetId="7">#REF!</definedName>
    <definedName name="np3humepipe600">#REF!</definedName>
    <definedName name="np3humepipe750" localSheetId="7">#REF!</definedName>
    <definedName name="np3humepipe750">#REF!</definedName>
    <definedName name="NP4Hume1.2" localSheetId="7">#REF!</definedName>
    <definedName name="NP4Hume1.2">#REF!</definedName>
    <definedName name="NP4Hume1000" localSheetId="7">#REF!</definedName>
    <definedName name="NP4Hume1000">#REF!</definedName>
    <definedName name="NP4Hume1200" localSheetId="7">#REF!</definedName>
    <definedName name="NP4Hume1200">#REF!</definedName>
    <definedName name="NP4Hume600" localSheetId="7">#REF!</definedName>
    <definedName name="NP4Hume600">#REF!</definedName>
    <definedName name="NP4Hume900" localSheetId="7">#REF!</definedName>
    <definedName name="NP4Hume900">#REF!</definedName>
    <definedName name="NSSR1" localSheetId="7">#REF!</definedName>
    <definedName name="NSSR1">#REF!</definedName>
    <definedName name="NSSR10" localSheetId="7">#REF!</definedName>
    <definedName name="NSSR10">#REF!</definedName>
    <definedName name="NSSR100" localSheetId="7">#REF!</definedName>
    <definedName name="NSSR100">#REF!</definedName>
    <definedName name="NSSR101" localSheetId="7">#REF!</definedName>
    <definedName name="NSSR101">#REF!</definedName>
    <definedName name="NSSR102" localSheetId="7">#REF!</definedName>
    <definedName name="NSSR102">#REF!</definedName>
    <definedName name="NSSR103" localSheetId="7">#REF!</definedName>
    <definedName name="NSSR103">#REF!</definedName>
    <definedName name="NSSR104" localSheetId="7">#REF!</definedName>
    <definedName name="NSSR104">#REF!</definedName>
    <definedName name="NSSR105" localSheetId="7">#REF!</definedName>
    <definedName name="NSSR105">#REF!</definedName>
    <definedName name="NSSR106" localSheetId="7">#REF!</definedName>
    <definedName name="NSSR106">#REF!</definedName>
    <definedName name="NSSR107" localSheetId="7">#REF!</definedName>
    <definedName name="NSSR107">#REF!</definedName>
    <definedName name="NSSR108" localSheetId="7">#REF!</definedName>
    <definedName name="NSSR108">#REF!</definedName>
    <definedName name="NSSR109" localSheetId="7">#REF!</definedName>
    <definedName name="NSSR109">#REF!</definedName>
    <definedName name="NSSR11" localSheetId="7">#REF!</definedName>
    <definedName name="NSSR11">#REF!</definedName>
    <definedName name="NSSR110" localSheetId="7">#REF!</definedName>
    <definedName name="NSSR110">#REF!</definedName>
    <definedName name="NSSR111" localSheetId="7">#REF!</definedName>
    <definedName name="NSSR111">#REF!</definedName>
    <definedName name="NSSR112" localSheetId="7">#REF!</definedName>
    <definedName name="NSSR112">#REF!</definedName>
    <definedName name="NSSR113" localSheetId="7">#REF!</definedName>
    <definedName name="NSSR113">#REF!</definedName>
    <definedName name="NSSR114" localSheetId="7">#REF!</definedName>
    <definedName name="NSSR114">#REF!</definedName>
    <definedName name="NSSR115" localSheetId="7">#REF!</definedName>
    <definedName name="NSSR115">#REF!</definedName>
    <definedName name="NSSR116" localSheetId="7">#REF!</definedName>
    <definedName name="NSSR116">#REF!</definedName>
    <definedName name="NSSR117" localSheetId="7">#REF!</definedName>
    <definedName name="NSSR117">#REF!</definedName>
    <definedName name="NSSR118" localSheetId="7">#REF!</definedName>
    <definedName name="NSSR118">#REF!</definedName>
    <definedName name="NSSR119" localSheetId="7">#REF!</definedName>
    <definedName name="NSSR119">#REF!</definedName>
    <definedName name="NSSR12" localSheetId="7">#REF!</definedName>
    <definedName name="NSSR12">#REF!</definedName>
    <definedName name="NSSR120" localSheetId="7">#REF!</definedName>
    <definedName name="NSSR120">#REF!</definedName>
    <definedName name="NSSR121" localSheetId="7">#REF!</definedName>
    <definedName name="NSSR121">#REF!</definedName>
    <definedName name="NSSR122" localSheetId="7">#REF!</definedName>
    <definedName name="NSSR122">#REF!</definedName>
    <definedName name="NSSR123" localSheetId="7">#REF!</definedName>
    <definedName name="NSSR123">#REF!</definedName>
    <definedName name="NSSR124" localSheetId="7">#REF!</definedName>
    <definedName name="NSSR124">#REF!</definedName>
    <definedName name="NSSR125" localSheetId="7">#REF!</definedName>
    <definedName name="NSSR125">#REF!</definedName>
    <definedName name="NSSR126" localSheetId="7">#REF!</definedName>
    <definedName name="NSSR126">#REF!</definedName>
    <definedName name="NSSR127" localSheetId="7">#REF!</definedName>
    <definedName name="NSSR127">#REF!</definedName>
    <definedName name="NSSR128" localSheetId="7">#REF!</definedName>
    <definedName name="NSSR128">#REF!</definedName>
    <definedName name="NSSR129" localSheetId="7">#REF!</definedName>
    <definedName name="NSSR129">#REF!</definedName>
    <definedName name="NSSR13" localSheetId="7">#REF!</definedName>
    <definedName name="NSSR13">#REF!</definedName>
    <definedName name="NSSR130" localSheetId="7">#REF!</definedName>
    <definedName name="NSSR130">#REF!</definedName>
    <definedName name="NSSR131" localSheetId="7">#REF!</definedName>
    <definedName name="NSSR131">#REF!</definedName>
    <definedName name="NSSR132" localSheetId="7">#REF!</definedName>
    <definedName name="NSSR132">#REF!</definedName>
    <definedName name="NSSR133" localSheetId="7">#REF!</definedName>
    <definedName name="NSSR133">#REF!</definedName>
    <definedName name="NSSR134" localSheetId="7">#REF!</definedName>
    <definedName name="NSSR134">#REF!</definedName>
    <definedName name="NSSR135" localSheetId="7">#REF!</definedName>
    <definedName name="NSSR135">#REF!</definedName>
    <definedName name="NSSR136" localSheetId="7">#REF!</definedName>
    <definedName name="NSSR136">#REF!</definedName>
    <definedName name="NSSR137" localSheetId="7">#REF!</definedName>
    <definedName name="NSSR137">#REF!</definedName>
    <definedName name="NSSR138" localSheetId="7">#REF!</definedName>
    <definedName name="NSSR138">#REF!</definedName>
    <definedName name="NSSR139" localSheetId="7">#REF!</definedName>
    <definedName name="NSSR139">#REF!</definedName>
    <definedName name="NSSR14" localSheetId="7">#REF!</definedName>
    <definedName name="NSSR14">#REF!</definedName>
    <definedName name="NSSR140" localSheetId="7">#REF!</definedName>
    <definedName name="NSSR140">#REF!</definedName>
    <definedName name="NSSR141" localSheetId="7">#REF!</definedName>
    <definedName name="NSSR141">#REF!</definedName>
    <definedName name="NSSR142" localSheetId="7">#REF!</definedName>
    <definedName name="NSSR142">#REF!</definedName>
    <definedName name="NSSR143" localSheetId="7">#REF!</definedName>
    <definedName name="NSSR143">#REF!</definedName>
    <definedName name="NSSR144" localSheetId="7">#REF!</definedName>
    <definedName name="NSSR144">#REF!</definedName>
    <definedName name="NSSR145" localSheetId="7">#REF!</definedName>
    <definedName name="NSSR145">#REF!</definedName>
    <definedName name="NSSR146" localSheetId="7">#REF!</definedName>
    <definedName name="NSSR146">#REF!</definedName>
    <definedName name="NSSR147" localSheetId="7">#REF!</definedName>
    <definedName name="NSSR147">#REF!</definedName>
    <definedName name="NSSR148" localSheetId="7">#REF!</definedName>
    <definedName name="NSSR148">#REF!</definedName>
    <definedName name="NSSR149" localSheetId="7">#REF!</definedName>
    <definedName name="NSSR149">#REF!</definedName>
    <definedName name="NSSR15" localSheetId="7">#REF!</definedName>
    <definedName name="NSSR15">#REF!</definedName>
    <definedName name="NSSR150" localSheetId="7">#REF!</definedName>
    <definedName name="NSSR150">#REF!</definedName>
    <definedName name="NSSR151" localSheetId="7">#REF!</definedName>
    <definedName name="NSSR151">#REF!</definedName>
    <definedName name="NSSR152" localSheetId="7">#REF!</definedName>
    <definedName name="NSSR152">#REF!</definedName>
    <definedName name="NSSR153" localSheetId="7">#REF!</definedName>
    <definedName name="NSSR153">#REF!</definedName>
    <definedName name="NSSR154" localSheetId="7">#REF!</definedName>
    <definedName name="NSSR154">#REF!</definedName>
    <definedName name="NSSR155" localSheetId="7">#REF!</definedName>
    <definedName name="NSSR155">#REF!</definedName>
    <definedName name="NSSR156" localSheetId="7">#REF!</definedName>
    <definedName name="NSSR156">#REF!</definedName>
    <definedName name="NSSR157" localSheetId="7">#REF!</definedName>
    <definedName name="NSSR157">#REF!</definedName>
    <definedName name="NSSR158" localSheetId="7">#REF!</definedName>
    <definedName name="NSSR158">#REF!</definedName>
    <definedName name="NSSR159" localSheetId="7">#REF!</definedName>
    <definedName name="NSSR159">#REF!</definedName>
    <definedName name="NSSR16" localSheetId="7">#REF!</definedName>
    <definedName name="NSSR16">#REF!</definedName>
    <definedName name="NSSR160" localSheetId="7">#REF!</definedName>
    <definedName name="NSSR160">#REF!</definedName>
    <definedName name="NSSR161" localSheetId="7">#REF!</definedName>
    <definedName name="NSSR161">#REF!</definedName>
    <definedName name="NSSR162" localSheetId="7">#REF!</definedName>
    <definedName name="NSSR162">#REF!</definedName>
    <definedName name="NSSR163" localSheetId="7">#REF!</definedName>
    <definedName name="NSSR163">#REF!</definedName>
    <definedName name="NSSR164" localSheetId="7">#REF!</definedName>
    <definedName name="NSSR164">#REF!</definedName>
    <definedName name="NSSR165" localSheetId="7">#REF!</definedName>
    <definedName name="NSSR165">#REF!</definedName>
    <definedName name="NSSR166" localSheetId="7">#REF!</definedName>
    <definedName name="NSSR166">#REF!</definedName>
    <definedName name="NSSR167" localSheetId="7">#REF!</definedName>
    <definedName name="NSSR167">#REF!</definedName>
    <definedName name="NSSR168" localSheetId="7">#REF!</definedName>
    <definedName name="NSSR168">#REF!</definedName>
    <definedName name="NSSR169" localSheetId="7">#REF!</definedName>
    <definedName name="NSSR169">#REF!</definedName>
    <definedName name="NSSR17" localSheetId="7">#REF!</definedName>
    <definedName name="NSSR17">#REF!</definedName>
    <definedName name="NSSR170" localSheetId="7">#REF!</definedName>
    <definedName name="NSSR170">#REF!</definedName>
    <definedName name="NSSR171" localSheetId="7">#REF!</definedName>
    <definedName name="NSSR171">#REF!</definedName>
    <definedName name="NSSR172" localSheetId="7">#REF!</definedName>
    <definedName name="NSSR172">#REF!</definedName>
    <definedName name="NSSR173" localSheetId="7">#REF!</definedName>
    <definedName name="NSSR173">#REF!</definedName>
    <definedName name="NSSR174" localSheetId="7">#REF!</definedName>
    <definedName name="NSSR174">#REF!</definedName>
    <definedName name="NSSR18" localSheetId="7">#REF!</definedName>
    <definedName name="NSSR18">#REF!</definedName>
    <definedName name="NSSR19" localSheetId="7">#REF!</definedName>
    <definedName name="NSSR19">#REF!</definedName>
    <definedName name="NSSR2" localSheetId="7">#REF!</definedName>
    <definedName name="NSSR2">#REF!</definedName>
    <definedName name="NSSR20" localSheetId="7">#REF!</definedName>
    <definedName name="NSSR20">#REF!</definedName>
    <definedName name="NSSR21" localSheetId="7">#REF!</definedName>
    <definedName name="NSSR21">#REF!</definedName>
    <definedName name="NSSR22" localSheetId="7">#REF!</definedName>
    <definedName name="NSSR22">#REF!</definedName>
    <definedName name="NSSR23" localSheetId="7">#REF!</definedName>
    <definedName name="NSSR23">#REF!</definedName>
    <definedName name="NSSR24" localSheetId="7">#REF!</definedName>
    <definedName name="NSSR24">#REF!</definedName>
    <definedName name="NSSR25" localSheetId="7">#REF!</definedName>
    <definedName name="NSSR25">#REF!</definedName>
    <definedName name="NSSR26" localSheetId="7">#REF!</definedName>
    <definedName name="NSSR26">#REF!</definedName>
    <definedName name="NSSR27" localSheetId="7">#REF!</definedName>
    <definedName name="NSSR27">#REF!</definedName>
    <definedName name="NSSR28" localSheetId="7">#REF!</definedName>
    <definedName name="NSSR28">#REF!</definedName>
    <definedName name="NSSR29" localSheetId="7">#REF!</definedName>
    <definedName name="NSSR29">#REF!</definedName>
    <definedName name="NSSR3" localSheetId="7">#REF!</definedName>
    <definedName name="NSSR3">#REF!</definedName>
    <definedName name="NSSR30" localSheetId="7">#REF!</definedName>
    <definedName name="NSSR30">#REF!</definedName>
    <definedName name="NSSR31" localSheetId="7">#REF!</definedName>
    <definedName name="NSSR31">#REF!</definedName>
    <definedName name="NSSR32" localSheetId="7">#REF!</definedName>
    <definedName name="NSSR32">#REF!</definedName>
    <definedName name="NSSR33" localSheetId="7">#REF!</definedName>
    <definedName name="NSSR33">#REF!</definedName>
    <definedName name="NSSR34" localSheetId="7">#REF!</definedName>
    <definedName name="NSSR34">#REF!</definedName>
    <definedName name="NSSR35" localSheetId="7">#REF!</definedName>
    <definedName name="NSSR35">#REF!</definedName>
    <definedName name="NSSR36" localSheetId="7">#REF!</definedName>
    <definedName name="NSSR36">#REF!</definedName>
    <definedName name="NSSR37" localSheetId="7">#REF!</definedName>
    <definedName name="NSSR37">#REF!</definedName>
    <definedName name="NSSR38" localSheetId="7">#REF!</definedName>
    <definedName name="NSSR38">#REF!</definedName>
    <definedName name="NSSR39" localSheetId="7">#REF!</definedName>
    <definedName name="NSSR39">#REF!</definedName>
    <definedName name="NSSR4" localSheetId="7">#REF!</definedName>
    <definedName name="NSSR4">#REF!</definedName>
    <definedName name="NSSR40" localSheetId="7">#REF!</definedName>
    <definedName name="NSSR40">#REF!</definedName>
    <definedName name="NSSR41" localSheetId="7">#REF!</definedName>
    <definedName name="NSSR41">#REF!</definedName>
    <definedName name="NSSR42" localSheetId="7">#REF!</definedName>
    <definedName name="NSSR42">#REF!</definedName>
    <definedName name="NSSR43" localSheetId="7">#REF!</definedName>
    <definedName name="NSSR43">#REF!</definedName>
    <definedName name="NSSR44" localSheetId="7">#REF!</definedName>
    <definedName name="NSSR44">#REF!</definedName>
    <definedName name="NSSR45" localSheetId="7">#REF!</definedName>
    <definedName name="NSSR45">#REF!</definedName>
    <definedName name="NSSR46" localSheetId="7">#REF!</definedName>
    <definedName name="NSSR46">#REF!</definedName>
    <definedName name="NSSR47" localSheetId="7">#REF!</definedName>
    <definedName name="NSSR47">#REF!</definedName>
    <definedName name="NSSR48" localSheetId="7">#REF!</definedName>
    <definedName name="NSSR48">#REF!</definedName>
    <definedName name="NSSR49" localSheetId="7">#REF!</definedName>
    <definedName name="NSSR49">#REF!</definedName>
    <definedName name="NSSR5" localSheetId="7">#REF!</definedName>
    <definedName name="NSSR5">#REF!</definedName>
    <definedName name="NSSR50" localSheetId="7">#REF!</definedName>
    <definedName name="NSSR50">#REF!</definedName>
    <definedName name="NSSR51" localSheetId="7">#REF!</definedName>
    <definedName name="NSSR51">#REF!</definedName>
    <definedName name="NSSR52" localSheetId="7">#REF!</definedName>
    <definedName name="NSSR52">#REF!</definedName>
    <definedName name="NSSR53" localSheetId="7">#REF!</definedName>
    <definedName name="NSSR53">#REF!</definedName>
    <definedName name="NSSR54" localSheetId="7">#REF!</definedName>
    <definedName name="NSSR54">#REF!</definedName>
    <definedName name="NSSR55" localSheetId="7">#REF!</definedName>
    <definedName name="NSSR55">#REF!</definedName>
    <definedName name="NSSR56" localSheetId="7">#REF!</definedName>
    <definedName name="NSSR56">#REF!</definedName>
    <definedName name="NSSR57" localSheetId="7">#REF!</definedName>
    <definedName name="NSSR57">#REF!</definedName>
    <definedName name="NSSR58" localSheetId="7">#REF!</definedName>
    <definedName name="NSSR58">#REF!</definedName>
    <definedName name="NSSR59" localSheetId="7">#REF!</definedName>
    <definedName name="NSSR59">#REF!</definedName>
    <definedName name="NSSR6" localSheetId="7">#REF!</definedName>
    <definedName name="NSSR6">#REF!</definedName>
    <definedName name="NSSR60" localSheetId="7">#REF!</definedName>
    <definedName name="NSSR60">#REF!</definedName>
    <definedName name="NSSR61" localSheetId="7">#REF!</definedName>
    <definedName name="NSSR61">#REF!</definedName>
    <definedName name="NSSR62" localSheetId="7">#REF!</definedName>
    <definedName name="NSSR62">#REF!</definedName>
    <definedName name="NSSR63" localSheetId="7">#REF!</definedName>
    <definedName name="NSSR63">#REF!</definedName>
    <definedName name="NSSR64" localSheetId="7">#REF!</definedName>
    <definedName name="NSSR64">#REF!</definedName>
    <definedName name="NSSR65" localSheetId="7">#REF!</definedName>
    <definedName name="NSSR65">#REF!</definedName>
    <definedName name="NSSR66" localSheetId="7">#REF!</definedName>
    <definedName name="NSSR66">#REF!</definedName>
    <definedName name="NSSR67" localSheetId="7">#REF!</definedName>
    <definedName name="NSSR67">#REF!</definedName>
    <definedName name="NSSR68" localSheetId="7">#REF!</definedName>
    <definedName name="NSSR68">#REF!</definedName>
    <definedName name="NSSR69" localSheetId="7">#REF!</definedName>
    <definedName name="NSSR69">#REF!</definedName>
    <definedName name="NSSR7" localSheetId="7">#REF!</definedName>
    <definedName name="NSSR7">#REF!</definedName>
    <definedName name="NSSR70" localSheetId="7">#REF!</definedName>
    <definedName name="NSSR70">#REF!</definedName>
    <definedName name="NSSR71" localSheetId="7">#REF!</definedName>
    <definedName name="NSSR71">#REF!</definedName>
    <definedName name="NSSR72" localSheetId="7">#REF!</definedName>
    <definedName name="NSSR72">#REF!</definedName>
    <definedName name="NSSR73" localSheetId="7">#REF!</definedName>
    <definedName name="NSSR73">#REF!</definedName>
    <definedName name="NSSR74" localSheetId="7">#REF!</definedName>
    <definedName name="NSSR74">#REF!</definedName>
    <definedName name="NSSR75" localSheetId="7">#REF!</definedName>
    <definedName name="NSSR75">#REF!</definedName>
    <definedName name="NSSR76" localSheetId="7">#REF!</definedName>
    <definedName name="NSSR76">#REF!</definedName>
    <definedName name="NSSR77" localSheetId="7">#REF!</definedName>
    <definedName name="NSSR77">#REF!</definedName>
    <definedName name="NSSR78" localSheetId="7">#REF!</definedName>
    <definedName name="NSSR78">#REF!</definedName>
    <definedName name="NSSR79" localSheetId="7">#REF!</definedName>
    <definedName name="NSSR79">#REF!</definedName>
    <definedName name="NSSR8" localSheetId="7">#REF!</definedName>
    <definedName name="NSSR8">#REF!</definedName>
    <definedName name="NSSR80" localSheetId="7">#REF!</definedName>
    <definedName name="NSSR80">#REF!</definedName>
    <definedName name="NSSR81" localSheetId="7">#REF!</definedName>
    <definedName name="NSSR81">#REF!</definedName>
    <definedName name="NSSR82" localSheetId="7">#REF!</definedName>
    <definedName name="NSSR82">#REF!</definedName>
    <definedName name="NSSR83" localSheetId="7">#REF!</definedName>
    <definedName name="NSSR83">#REF!</definedName>
    <definedName name="NSSR84" localSheetId="7">#REF!</definedName>
    <definedName name="NSSR84">#REF!</definedName>
    <definedName name="NSSR85" localSheetId="7">#REF!</definedName>
    <definedName name="NSSR85">#REF!</definedName>
    <definedName name="NSSR86" localSheetId="7">#REF!</definedName>
    <definedName name="NSSR86">#REF!</definedName>
    <definedName name="NSSR87" localSheetId="7">#REF!</definedName>
    <definedName name="NSSR87">#REF!</definedName>
    <definedName name="NSSR88" localSheetId="7">#REF!</definedName>
    <definedName name="NSSR88">#REF!</definedName>
    <definedName name="NSSR89" localSheetId="7">#REF!</definedName>
    <definedName name="NSSR89">#REF!</definedName>
    <definedName name="NSSR9" localSheetId="7">#REF!</definedName>
    <definedName name="NSSR9">#REF!</definedName>
    <definedName name="NSSR90" localSheetId="7">#REF!</definedName>
    <definedName name="NSSR90">#REF!</definedName>
    <definedName name="NSSR91" localSheetId="7">#REF!</definedName>
    <definedName name="NSSR91">#REF!</definedName>
    <definedName name="NSSR92" localSheetId="7">#REF!</definedName>
    <definedName name="NSSR92">#REF!</definedName>
    <definedName name="NSSR93" localSheetId="7">#REF!</definedName>
    <definedName name="NSSR93">#REF!</definedName>
    <definedName name="NSSR94" localSheetId="7">#REF!</definedName>
    <definedName name="NSSR94">#REF!</definedName>
    <definedName name="NSSR95" localSheetId="7">#REF!</definedName>
    <definedName name="NSSR95">#REF!</definedName>
    <definedName name="NSSR96" localSheetId="7">#REF!</definedName>
    <definedName name="NSSR96">#REF!</definedName>
    <definedName name="NSSR97" localSheetId="7">#REF!</definedName>
    <definedName name="NSSR97">#REF!</definedName>
    <definedName name="NSSR98" localSheetId="7">#REF!</definedName>
    <definedName name="NSSR98">#REF!</definedName>
    <definedName name="NSSR99" localSheetId="7">#REF!</definedName>
    <definedName name="NSSR99">#REF!</definedName>
    <definedName name="nta">#REF!</definedName>
    <definedName name="OB" localSheetId="7">#REF!</definedName>
    <definedName name="OB">#REF!</definedName>
    <definedName name="ofcablescost">#N/A</definedName>
    <definedName name="off" localSheetId="8">City&amp;" "&amp;State</definedName>
    <definedName name="off">City&amp;" "&amp;State</definedName>
    <definedName name="offset">1</definedName>
    <definedName name="OLE_LINK1">"$boq.$"</definedName>
    <definedName name="OLE_LINK2">"$boq.$"</definedName>
    <definedName name="OrdinaryRodBinder" localSheetId="7">#REF!</definedName>
    <definedName name="OrdinaryRodBinder" localSheetId="8">#REF!</definedName>
    <definedName name="OrdinaryRodBinder">#REF!</definedName>
    <definedName name="os">#REF!</definedName>
    <definedName name="p">#REF!</definedName>
    <definedName name="painter" localSheetId="7">#REF!</definedName>
    <definedName name="painter" localSheetId="8">#REF!</definedName>
    <definedName name="painter">#REF!</definedName>
    <definedName name="painting" localSheetId="7">#REF!</definedName>
    <definedName name="painting" localSheetId="8">#REF!</definedName>
    <definedName name="painting">#REF!</definedName>
    <definedName name="paver">#REF!</definedName>
    <definedName name="pawan">#REF!</definedName>
    <definedName name="PCC" localSheetId="7">#REF!</definedName>
    <definedName name="PCC" localSheetId="8">#REF!</definedName>
    <definedName name="PCC">#REF!</definedName>
    <definedName name="pilingfinal" hidden="1">{#N/A,#N/A,FALSE,"Organisation Chart"}</definedName>
    <definedName name="pitching" localSheetId="7">#REF!</definedName>
    <definedName name="pitching" localSheetId="8">#REF!</definedName>
    <definedName name="pitching">#REF!</definedName>
    <definedName name="platecompactor" localSheetId="7">#REF!</definedName>
    <definedName name="platecompactor">#REF!</definedName>
    <definedName name="plumber" localSheetId="7">#REF!</definedName>
    <definedName name="plumber">#REF!</definedName>
    <definedName name="PM">#REF!</definedName>
    <definedName name="POP">#REF!</definedName>
    <definedName name="Premould20" localSheetId="7">#REF!</definedName>
    <definedName name="Premould20" localSheetId="8">#REF!</definedName>
    <definedName name="Premould20">#REF!</definedName>
    <definedName name="premoulded" localSheetId="7">#REF!</definedName>
    <definedName name="premoulded">#REF!</definedName>
    <definedName name="pRICE">0</definedName>
    <definedName name="_xlnm.Print_Area" localSheetId="1">ABSTRACT!$A$1:$N$110</definedName>
    <definedName name="_xlnm.Print_Area" localSheetId="9">'CONCRETE WORK MB'!$A$1:$J$700</definedName>
    <definedName name="_xlnm.Print_Area" localSheetId="4">'EARTH WORK MB'!$A$1:$J$88</definedName>
    <definedName name="_xlnm.Print_Area" localSheetId="8">'RMC RECEIVING'!$A$1:$T$370</definedName>
    <definedName name="_xlnm.Print_Area" localSheetId="0">'TOP SHEET'!$A$1:$G$45</definedName>
    <definedName name="_xlnm.Print_Area">#REF!</definedName>
    <definedName name="Print_Area_MI" localSheetId="7">#REF!</definedName>
    <definedName name="Print_Area_MI" localSheetId="8">#REF!</definedName>
    <definedName name="Print_Area_MI">#REF!</definedName>
    <definedName name="_xlnm.Print_Titles" localSheetId="21">'1ST FLOOR LVL SLAB BBS'!$2:$3</definedName>
    <definedName name="_xlnm.Print_Titles" localSheetId="1">ABSTRACT!$1:$6</definedName>
    <definedName name="_xlnm.Print_Titles" localSheetId="18">'COL BBS'!$3:$4</definedName>
    <definedName name="_xlnm.Print_Titles" localSheetId="7">'PCC &amp; RCC REC.'!$1:$3</definedName>
    <definedName name="_xlnm.Print_Titles" localSheetId="17">'RAFT BBS'!$3:$3</definedName>
    <definedName name="_xlnm.Print_Titles" localSheetId="8">'RMC RECEIVING'!$2:$2</definedName>
    <definedName name="_xlnm.Print_Titles">#REF!</definedName>
    <definedName name="program" hidden="1">{#N/A,#N/A,TRUE,"Front";#N/A,#N/A,TRUE,"Simple Letter";#N/A,#N/A,TRUE,"Inside";#N/A,#N/A,TRUE,"Contents";#N/A,#N/A,TRUE,"Basis";#N/A,#N/A,TRUE,"Inclusions";#N/A,#N/A,TRUE,"Exclusions";#N/A,#N/A,TRUE,"Areas";#N/A,#N/A,TRUE,"Summary";#N/A,#N/A,TRUE,"Detail"}</definedName>
    <definedName name="PRWMAY07" localSheetId="7">#REF!</definedName>
    <definedName name="PRWMAY07" localSheetId="8">#REF!</definedName>
    <definedName name="PRWMAY07">#REF!</definedName>
    <definedName name="PRWSEP05" localSheetId="7">#REF!</definedName>
    <definedName name="PRWSEP05">#REF!</definedName>
    <definedName name="PT">#REF!</definedName>
    <definedName name="Ptroller" localSheetId="7">#REF!</definedName>
    <definedName name="Ptroller">#REF!</definedName>
    <definedName name="PUB_FileID" hidden="1">"L10003363.xls"</definedName>
    <definedName name="PUB_UserID" hidden="1">"MAYERX"</definedName>
    <definedName name="Pugmill" localSheetId="7">#REF!</definedName>
    <definedName name="Pugmill" localSheetId="8">#REF!</definedName>
    <definedName name="Pugmill">#REF!</definedName>
    <definedName name="Punjab_National_Bank">#REF!</definedName>
    <definedName name="pvcpipe100" localSheetId="7">#REF!</definedName>
    <definedName name="pvcpipe100">#REF!</definedName>
    <definedName name="pvcpipe150" localSheetId="7">#REF!</definedName>
    <definedName name="pvcpipe150">#REF!</definedName>
    <definedName name="pvcpipe50" localSheetId="7">#REF!</definedName>
    <definedName name="pvcpipe50">#REF!</definedName>
    <definedName name="PW" localSheetId="8">City&amp;" "&amp;State</definedName>
    <definedName name="PW">City&amp;" "&amp;State</definedName>
    <definedName name="PWF" localSheetId="8">#REF!</definedName>
    <definedName name="PWF">#REF!</definedName>
    <definedName name="q">#REF!</definedName>
    <definedName name="qr" localSheetId="7">#REF!</definedName>
    <definedName name="qr">#REF!</definedName>
    <definedName name="QS" localSheetId="7">#REF!</definedName>
    <definedName name="QS">#REF!</definedName>
    <definedName name="qwe" hidden="1">{#N/A,#N/A,TRUE,"Front";#N/A,#N/A,TRUE,"Simple Letter";#N/A,#N/A,TRUE,"Inside";#N/A,#N/A,TRUE,"Contents";#N/A,#N/A,TRUE,"Basis";#N/A,#N/A,TRUE,"Inclusions";#N/A,#N/A,TRUE,"Exclusions";#N/A,#N/A,TRUE,"Areas";#N/A,#N/A,TRUE,"Summary";#N/A,#N/A,TRUE,"Detail"}</definedName>
    <definedName name="qwera">#REF!</definedName>
    <definedName name="RA" localSheetId="7">#REF!</definedName>
    <definedName name="RA" localSheetId="8">#REF!</definedName>
    <definedName name="RA">#REF!</definedName>
    <definedName name="Raj" hidden="1">{"'Sheet1'!$A$4386:$N$4591"}</definedName>
    <definedName name="Rampura">#REF!</definedName>
    <definedName name="_xlnm.Recorder" localSheetId="7">#REF!</definedName>
    <definedName name="_xlnm.Recorder" localSheetId="8">#REF!</definedName>
    <definedName name="_xlnm.Recorder">#REF!</definedName>
    <definedName name="Resources" hidden="1">{#N/A,#N/A,FALSE,"Organisation Chart"}</definedName>
    <definedName name="RiskAutoStopPercChange">1.5</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howRiskWindowAtEndOfSimulation">TRUE</definedName>
    <definedName name="RiskStandardRecalc">1</definedName>
    <definedName name="RiskStatFunctionsUpdateFreq">1</definedName>
    <definedName name="RiskTemplateSheetName">"myTemplate"</definedName>
    <definedName name="RiskUpdateDisplay">TRUE</definedName>
    <definedName name="RiskUpdateStatFunctions">TRUE</definedName>
    <definedName name="RiskUseDifferentSeedForEachSim">FALSE</definedName>
    <definedName name="RiskUseFixedSeed">FALSE</definedName>
    <definedName name="RiskUseMultipleCPUs">FALSE</definedName>
    <definedName name="Rodbinder" localSheetId="7">#REF!</definedName>
    <definedName name="Rodbinder" localSheetId="8">#REF!</definedName>
    <definedName name="Rodbinder">#REF!</definedName>
    <definedName name="roller" localSheetId="7">#REF!</definedName>
    <definedName name="roller">#REF!</definedName>
    <definedName name="roughstone" localSheetId="7">#REF!</definedName>
    <definedName name="roughstone">#REF!</definedName>
    <definedName name="ROUNDPIPE40DIA">#REF!</definedName>
    <definedName name="rr" localSheetId="7">#REF!</definedName>
    <definedName name="rr">#REF!</definedName>
    <definedName name="rrcost">#N/A</definedName>
    <definedName name="rt" localSheetId="7">#REF!</definedName>
    <definedName name="rt" localSheetId="8">#REF!</definedName>
    <definedName name="rt">#REF!</definedName>
    <definedName name="s1234560">#REF!</definedName>
    <definedName name="sa" hidden="1">{"'AC LOAD'!$H$14:$J$15"}</definedName>
    <definedName name="sab">#REF!</definedName>
    <definedName name="salballies" localSheetId="7">#REF!</definedName>
    <definedName name="salballies">#REF!</definedName>
    <definedName name="Saleable_Area__Sq.M">#REF!</definedName>
    <definedName name="sand" localSheetId="7">#REF!</definedName>
    <definedName name="sand">#REF!</definedName>
    <definedName name="sandfilling" localSheetId="7">#REF!</definedName>
    <definedName name="sandfilling">#REF!</definedName>
    <definedName name="SANITARY">#REF!</definedName>
    <definedName name="sarkna" localSheetId="7">#REF!</definedName>
    <definedName name="sarkna">#REF!</definedName>
    <definedName name="sat" hidden="1">{#N/A,#N/A,TRUE,"Front";#N/A,#N/A,TRUE,"Simple Letter";#N/A,#N/A,TRUE,"Inside";#N/A,#N/A,TRUE,"Contents";#N/A,#N/A,TRUE,"Basis";#N/A,#N/A,TRUE,"Inclusions";#N/A,#N/A,TRUE,"Exclusions";#N/A,#N/A,TRUE,"Areas";#N/A,#N/A,TRUE,"Summary";#N/A,#N/A,TRUE,"Detail"}</definedName>
    <definedName name="scraper" localSheetId="7">#REF!</definedName>
    <definedName name="scraper" localSheetId="8">#REF!</definedName>
    <definedName name="scraper">#REF!</definedName>
    <definedName name="SCS" localSheetId="7">#REF!</definedName>
    <definedName name="SCS">#REF!</definedName>
    <definedName name="SCSS" localSheetId="7">#REF!</definedName>
    <definedName name="SCSS">#REF!</definedName>
    <definedName name="sdafdsa" hidden="1">{#N/A,#N/A,TRUE,"Front";#N/A,#N/A,TRUE,"Simple Letter";#N/A,#N/A,TRUE,"Inside";#N/A,#N/A,TRUE,"Contents";#N/A,#N/A,TRUE,"Basis";#N/A,#N/A,TRUE,"Inclusions";#N/A,#N/A,TRUE,"Exclusions";#N/A,#N/A,TRUE,"Areas";#N/A,#N/A,TRUE,"Summary";#N/A,#N/A,TRUE,"Detail"}</definedName>
    <definedName name="sdassdad" localSheetId="7">#REF!</definedName>
    <definedName name="sdassdad" localSheetId="8">#REF!</definedName>
    <definedName name="sdassdad">#REF!</definedName>
    <definedName name="sddff455">#REF!</definedName>
    <definedName name="SDERT" localSheetId="7">#REF!</definedName>
    <definedName name="SDERT" localSheetId="8">#REF!</definedName>
    <definedName name="SDERT">#REF!</definedName>
    <definedName name="sdfds" hidden="1">{#N/A,#N/A,TRUE,"Front";#N/A,#N/A,TRUE,"Simple Letter";#N/A,#N/A,TRUE,"Inside";#N/A,#N/A,TRUE,"Contents";#N/A,#N/A,TRUE,"Basis";#N/A,#N/A,TRUE,"Inclusions";#N/A,#N/A,TRUE,"Exclusions";#N/A,#N/A,TRUE,"Areas";#N/A,#N/A,TRUE,"Summary";#N/A,#N/A,TRUE,"Detail"}</definedName>
    <definedName name="Sdfgh" localSheetId="7">#REF!</definedName>
    <definedName name="Sdfgh" localSheetId="8">#REF!</definedName>
    <definedName name="Sdfgh">#REF!</definedName>
    <definedName name="sdfsd" hidden="1">{#N/A,#N/A,TRUE,"Front";#N/A,#N/A,TRUE,"Simple Letter";#N/A,#N/A,TRUE,"Inside";#N/A,#N/A,TRUE,"Contents";#N/A,#N/A,TRUE,"Basis";#N/A,#N/A,TRUE,"Inclusions";#N/A,#N/A,TRUE,"Exclusions";#N/A,#N/A,TRUE,"Areas";#N/A,#N/A,TRUE,"Summary";#N/A,#N/A,TRUE,"Detail"}</definedName>
    <definedName name="SE" localSheetId="7">#REF!</definedName>
    <definedName name="SE" localSheetId="8">#REF!</definedName>
    <definedName name="SE">#REF!</definedName>
    <definedName name="sencount" hidden="1">1</definedName>
    <definedName name="senserpaver" localSheetId="7">#REF!</definedName>
    <definedName name="senserpaver" localSheetId="8">#REF!</definedName>
    <definedName name="senserpaver">#REF!</definedName>
    <definedName name="Services_Floor">#REF!</definedName>
    <definedName name="SEWERAGE">#REF!</definedName>
    <definedName name="sfvdafv" hidden="1">{#N/A,#N/A,TRUE,"Front";#N/A,#N/A,TRUE,"Simple Letter";#N/A,#N/A,TRUE,"Inside";#N/A,#N/A,TRUE,"Contents";#N/A,#N/A,TRUE,"Basis";#N/A,#N/A,TRUE,"Inclusions";#N/A,#N/A,TRUE,"Exclusions";#N/A,#N/A,TRUE,"Areas";#N/A,#N/A,TRUE,"Summary";#N/A,#N/A,TRUE,"Detail"}</definedName>
    <definedName name="SHARED_FORMULA_5_239_5_239_3">+((5200)*1.03)</definedName>
    <definedName name="SHARED_FORMULA_5_256_5_256_8">300*10.764*1.1+((((0.024*0.25*1.02*1000*1.05)+2*1.05)*(275/50)+4.5*1.05*23)+((1.07/2)*0.024*(8000/2.83)*1.05*1.15)+((1.07/2)*0.024*(6000/2.83)*1.05*1.15)+50*1.05)</definedName>
    <definedName name="SHARED_FORMULA_5_284_5_284_8">300*10.764*1.1+((((0.024*0.25*1.05*1000)+4.5*1.05)*(275/50)+2*23*1.05)+((1.07/2)*0.024*(8000/2.83)*1.05*1.15)+((1.07/2)*0.024*(6000/2.83)*1.05*1.15)+50*1.05)</definedName>
    <definedName name="SHARED_FORMULA_5_335_5_335_8">(200*10.764*1.15+(((0.024*0.38*1000*1.05))*(5.5)+3*1.05*23)+((1.07/2)*0.024*(8000/2.83)*1.05*1.15)+((1.07/2)*0.024*(6000/2.83)*1.05*1.15)+(50*1.05))*0.3</definedName>
    <definedName name="SHARED_FORMULA_5_382_5_382_8">300*10.764*1.15+(((0.024*0.38*1.05*1000)*(275/50)+5*1.05*23))+((1.07/2)*0.024*(8000/2.83)*1.05*1.15)+((1.07/2)*0.024*(6000/2.83)*1.05*1.15)+50*1.05</definedName>
    <definedName name="SHARED_FORMULA_5_413_5_413_8">300*10.764*1.15+250*1.05</definedName>
    <definedName name="Shoulder" localSheetId="7">#REF!</definedName>
    <definedName name="Shoulder" localSheetId="8">#REF!</definedName>
    <definedName name="Shoulder">#REF!</definedName>
    <definedName name="Show.Acct.Update.Warning" hidden="1">#REF!</definedName>
    <definedName name="Show.MDB.Update.Warning" hidden="1">#REF!</definedName>
    <definedName name="shutter">#REF!</definedName>
    <definedName name="shutteringtimber" localSheetId="7">#REF!</definedName>
    <definedName name="shutteringtimber" localSheetId="8">#REF!</definedName>
    <definedName name="shutteringtimber">#REF!</definedName>
    <definedName name="SK">#REF!</definedName>
    <definedName name="skilldresser" localSheetId="7">#REF!</definedName>
    <definedName name="skilldresser" localSheetId="8">#REF!</definedName>
    <definedName name="skilldresser">#REF!</definedName>
    <definedName name="skilledmazdoor" localSheetId="7">#REF!</definedName>
    <definedName name="skilledmazdoor">#REF!</definedName>
    <definedName name="skillmazdoor" localSheetId="7">#REF!</definedName>
    <definedName name="skillmazdoor">#REF!</definedName>
    <definedName name="slss">#REF!</definedName>
    <definedName name="slsssss" localSheetId="7">#REF!</definedName>
    <definedName name="slsssss" localSheetId="8">#REF!</definedName>
    <definedName name="slsssss">#REF!</definedName>
    <definedName name="slssssss" localSheetId="7">#REF!</definedName>
    <definedName name="slssssss">#REF!</definedName>
    <definedName name="SM" localSheetId="7">#REF!</definedName>
    <definedName name="SM">#REF!</definedName>
    <definedName name="sohan">#REF!</definedName>
    <definedName name="SOIL" localSheetId="7">#REF!</definedName>
    <definedName name="SOIL" localSheetId="8">#REF!</definedName>
    <definedName name="SOIL">#REF!</definedName>
    <definedName name="soil_dens">#REF!</definedName>
    <definedName name="soil_sub">#REF!</definedName>
    <definedName name="soilden">#REF!</definedName>
    <definedName name="span">#REF!</definedName>
    <definedName name="SPR" localSheetId="7">#REF!</definedName>
    <definedName name="SPR" localSheetId="8">#REF!</definedName>
    <definedName name="SPR">#REF!</definedName>
    <definedName name="sprayer" localSheetId="7">#REF!</definedName>
    <definedName name="sprayer">#REF!</definedName>
    <definedName name="srtthyrt" hidden="1">{#N/A,#N/A,TRUE,"Front";#N/A,#N/A,TRUE,"Simple Letter";#N/A,#N/A,TRUE,"Inside";#N/A,#N/A,TRUE,"Contents";#N/A,#N/A,TRUE,"Basis";#N/A,#N/A,TRUE,"Inclusions";#N/A,#N/A,TRUE,"Exclusions";#N/A,#N/A,TRUE,"Areas";#N/A,#N/A,TRUE,"Summary";#N/A,#N/A,TRUE,"Detail"}</definedName>
    <definedName name="sss">#REF!</definedName>
    <definedName name="ssss">#REF!</definedName>
    <definedName name="ssss056">#REF!</definedName>
    <definedName name="sssss15605" localSheetId="7">#REF!</definedName>
    <definedName name="sssss15605">#REF!</definedName>
    <definedName name="ssssss" localSheetId="7">#REF!</definedName>
    <definedName name="ssssss">#REF!</definedName>
    <definedName name="sssssss" localSheetId="7">#REF!</definedName>
    <definedName name="sssssss">#REF!</definedName>
    <definedName name="ssssssslff" localSheetId="7">#REF!</definedName>
    <definedName name="ssssssslff">#REF!</definedName>
    <definedName name="ssssssss" localSheetId="7">#REF!</definedName>
    <definedName name="ssssssss">#REF!</definedName>
    <definedName name="ssssssss456" localSheetId="7">#REF!</definedName>
    <definedName name="ssssssss456">#REF!</definedName>
    <definedName name="sssssssssss" localSheetId="7">#REF!</definedName>
    <definedName name="sssssssssss">#REF!</definedName>
    <definedName name="ssssssSsssss45566s" localSheetId="7">#REF!</definedName>
    <definedName name="ssssssSsssss45566s">#REF!</definedName>
    <definedName name="staff" hidden="1">{#N/A,#N/A,TRUE,"Front";#N/A,#N/A,TRUE,"Simple Letter";#N/A,#N/A,TRUE,"Inside";#N/A,#N/A,TRUE,"Contents";#N/A,#N/A,TRUE,"Basis";#N/A,#N/A,TRUE,"Inclusions";#N/A,#N/A,TRUE,"Exclusions";#N/A,#N/A,TRUE,"Areas";#N/A,#N/A,TRUE,"Summary";#N/A,#N/A,TRUE,"Detail"}</definedName>
    <definedName name="Start1" localSheetId="8">#REF!</definedName>
    <definedName name="Start1">#REF!</definedName>
    <definedName name="Start10" localSheetId="8">#REF!</definedName>
    <definedName name="Start10">#REF!</definedName>
    <definedName name="Start11" localSheetId="8">#REF!</definedName>
    <definedName name="Start11">#REF!</definedName>
    <definedName name="Start12">#REF!</definedName>
    <definedName name="Start13">#REF!</definedName>
    <definedName name="Start14">#REF!</definedName>
    <definedName name="Start15">#REF!</definedName>
    <definedName name="Start27" localSheetId="8">#REF!</definedName>
    <definedName name="Start27">#REF!</definedName>
    <definedName name="Start28" localSheetId="8">#REF!</definedName>
    <definedName name="Start28">#REF!</definedName>
    <definedName name="Start7" localSheetId="8">#REF!</definedName>
    <definedName name="Start7">#REF!</definedName>
    <definedName name="Start8" localSheetId="8">#REF!</definedName>
    <definedName name="Start8">#REF!</definedName>
    <definedName name="staticpaver" localSheetId="7">#REF!</definedName>
    <definedName name="staticpaver">#REF!</definedName>
    <definedName name="stationary">#REF!</definedName>
    <definedName name="STE">#REF!</definedName>
    <definedName name="steelbars" localSheetId="7">#REF!</definedName>
    <definedName name="steelbars" localSheetId="8">#REF!</definedName>
    <definedName name="steelbars">#REF!</definedName>
    <definedName name="steelrod" localSheetId="7">#REF!</definedName>
    <definedName name="steelrod">#REF!</definedName>
    <definedName name="steelstrands" localSheetId="7">#REF!</definedName>
    <definedName name="steelstrands">#REF!</definedName>
    <definedName name="steelwire" localSheetId="7">#REF!</definedName>
    <definedName name="steelwire">#REF!</definedName>
    <definedName name="steelwires" localSheetId="7">#REF!</definedName>
    <definedName name="steelwires">#REF!</definedName>
    <definedName name="Stirrups" localSheetId="7">#REF!</definedName>
    <definedName name="Stirrups">#REF!</definedName>
    <definedName name="stonebreaker" localSheetId="7">#REF!</definedName>
    <definedName name="stonebreaker">#REF!</definedName>
    <definedName name="strands" localSheetId="7">#REF!</definedName>
    <definedName name="strands">#REF!</definedName>
    <definedName name="structuralsteel" localSheetId="7">#REF!</definedName>
    <definedName name="structuralsteel">#REF!</definedName>
    <definedName name="SUB" localSheetId="8">#REF!</definedName>
    <definedName name="SUB">#REF!</definedName>
    <definedName name="Subgrade" localSheetId="7">#REF!</definedName>
    <definedName name="Subgrade" localSheetId="8">#REF!</definedName>
    <definedName name="Subgrade">#REF!</definedName>
    <definedName name="substructure" localSheetId="7">#REF!</definedName>
    <definedName name="substructure">#REF!</definedName>
    <definedName name="sumana" localSheetId="7">#REF!</definedName>
    <definedName name="sumana">#REF!</definedName>
    <definedName name="SUMCOLUMN">#REF!</definedName>
    <definedName name="summ" hidden="1">{#N/A,#N/A,TRUE,"Front";#N/A,#N/A,TRUE,"Simple Letter";#N/A,#N/A,TRUE,"Inside";#N/A,#N/A,TRUE,"Contents";#N/A,#N/A,TRUE,"Basis";#N/A,#N/A,TRUE,"Inclusions";#N/A,#N/A,TRUE,"Exclusions";#N/A,#N/A,TRUE,"Areas";#N/A,#N/A,TRUE,"Summary";#N/A,#N/A,TRUE,"Detail"}</definedName>
    <definedName name="SUMSHEAR" localSheetId="7">#REF!</definedName>
    <definedName name="SUMSHEAR" localSheetId="8">#REF!</definedName>
    <definedName name="SUMSHEAR">#REF!</definedName>
    <definedName name="super" localSheetId="7">#REF!</definedName>
    <definedName name="super">#REF!</definedName>
    <definedName name="suresh" hidden="1">{#N/A,#N/A,TRUE,"Front";#N/A,#N/A,TRUE,"Simple Letter";#N/A,#N/A,TRUE,"Inside";#N/A,#N/A,TRUE,"Contents";#N/A,#N/A,TRUE,"Basis";#N/A,#N/A,TRUE,"Inclusions";#N/A,#N/A,TRUE,"Exclusions";#N/A,#N/A,TRUE,"Areas";#N/A,#N/A,TRUE,"Summary";#N/A,#N/A,TRUE,"Detail"}</definedName>
    <definedName name="SuS">#REF!</definedName>
    <definedName name="TableName">"Dummy"</definedName>
    <definedName name="TAHOMA" localSheetId="7">#REF!</definedName>
    <definedName name="TAHOMA" localSheetId="8">#REF!</definedName>
    <definedName name="TAHOMA">#REF!</definedName>
    <definedName name="tarnian" localSheetId="7">#REF!</definedName>
    <definedName name="tarnian" localSheetId="8">#REF!</definedName>
    <definedName name="tarnian">#REF!</definedName>
    <definedName name="tcr" localSheetId="8">#REF!</definedName>
    <definedName name="tcr">#REF!</definedName>
    <definedName name="TE" localSheetId="8">#REF!</definedName>
    <definedName name="TE">#REF!</definedName>
    <definedName name="telephonepoles">#N/A</definedName>
    <definedName name="TEST" localSheetId="8">#REF!</definedName>
    <definedName name="TEST">#REF!</definedName>
    <definedName name="TEST0">#REF!</definedName>
    <definedName name="TESTHKEY">#REF!</definedName>
    <definedName name="TESTKEYS">#REF!</definedName>
    <definedName name="TESTVKEY">#REF!</definedName>
    <definedName name="teta">#REF!</definedName>
    <definedName name="TextRefCopyRangeCount" hidden="1">2</definedName>
    <definedName name="Tiles" localSheetId="7">#REF!</definedName>
    <definedName name="Tiles" localSheetId="8">#REF!</definedName>
    <definedName name="Tiles">#REF!</definedName>
    <definedName name="tipp5t" localSheetId="7">#REF!</definedName>
    <definedName name="tipp5t" localSheetId="8">#REF!</definedName>
    <definedName name="tipp5t">#REF!</definedName>
    <definedName name="tipper" localSheetId="7">#REF!</definedName>
    <definedName name="tipper">#REF!</definedName>
    <definedName name="tipper5t" localSheetId="7">#REF!</definedName>
    <definedName name="tipper5t" localSheetId="8">#REF!</definedName>
    <definedName name="tipper5t">#REF!</definedName>
    <definedName name="Title">#REF!</definedName>
    <definedName name="TOED2">#REF!</definedName>
    <definedName name="TOEHT">#REF!</definedName>
    <definedName name="TOPW">#REF!</definedName>
    <definedName name="tractor" localSheetId="7">#REF!</definedName>
    <definedName name="tractor" localSheetId="8">#REF!</definedName>
    <definedName name="tractor">#REF!</definedName>
    <definedName name="transitmixer" localSheetId="7">#REF!</definedName>
    <definedName name="transitmixer">#REF!</definedName>
    <definedName name="truck5t" localSheetId="7">#REF!</definedName>
    <definedName name="truck5t">#REF!</definedName>
    <definedName name="tttt" hidden="1">{#N/A,#N/A,TRUE,"Front";#N/A,#N/A,TRUE,"Simple Letter";#N/A,#N/A,TRUE,"Inside";#N/A,#N/A,TRUE,"Contents";#N/A,#N/A,TRUE,"Basis";#N/A,#N/A,TRUE,"Inclusions";#N/A,#N/A,TRUE,"Exclusions";#N/A,#N/A,TRUE,"Areas";#N/A,#N/A,TRUE,"Summary";#N/A,#N/A,TRUE,"Detail"}</definedName>
    <definedName name="ty" localSheetId="7">#REF!</definedName>
    <definedName name="ty" localSheetId="8">#REF!</definedName>
    <definedName name="ty">#REF!</definedName>
    <definedName name="Unit" localSheetId="7">#REF!</definedName>
    <definedName name="Unit" localSheetId="8">#REF!</definedName>
    <definedName name="Unit">#REF!</definedName>
    <definedName name="unit_wts_22">#N/A</definedName>
    <definedName name="Unit_wts_23">#N/A</definedName>
    <definedName name="Unit_wts_24">#N/A</definedName>
    <definedName name="v" localSheetId="7" hidden="1">{"'AC LOAD'!$H$14:$J$15"}</definedName>
    <definedName name="v" localSheetId="8" hidden="1">{"'AC LOAD'!$H$14:$J$15"}</definedName>
    <definedName name="v" hidden="1">{"'AC LOAD'!$H$14:$J$15"}</definedName>
    <definedName name="vbvbvb" hidden="1">{#N/A,#N/A,TRUE,"Front";#N/A,#N/A,TRUE,"Simple Letter";#N/A,#N/A,TRUE,"Inside";#N/A,#N/A,TRUE,"Contents";#N/A,#N/A,TRUE,"Basis";#N/A,#N/A,TRUE,"Inclusions";#N/A,#N/A,TRUE,"Exclusions";#N/A,#N/A,TRUE,"Areas";#N/A,#N/A,TRUE,"Summary";#N/A,#N/A,TRUE,"Detail"}</definedName>
    <definedName name="vbvbvvv" hidden="1">{#N/A,#N/A,TRUE,"Front";#N/A,#N/A,TRUE,"Simple Letter";#N/A,#N/A,TRUE,"Inside";#N/A,#N/A,TRUE,"Contents";#N/A,#N/A,TRUE,"Basis";#N/A,#N/A,TRUE,"Inclusions";#N/A,#N/A,TRUE,"Exclusions";#N/A,#N/A,TRUE,"Areas";#N/A,#N/A,TRUE,"Summary";#N/A,#N/A,TRUE,"Detail"}</definedName>
    <definedName name="vibrator" localSheetId="7">#REF!</definedName>
    <definedName name="vibrator" localSheetId="8">#REF!</definedName>
    <definedName name="vibrator">#REF!</definedName>
    <definedName name="vibro" localSheetId="7">#REF!</definedName>
    <definedName name="vibro" localSheetId="8">#REF!</definedName>
    <definedName name="vibro">#REF!</definedName>
    <definedName name="vvvvv" localSheetId="7">#REF!</definedName>
    <definedName name="vvvvv">#REF!</definedName>
    <definedName name="W">#REF!</definedName>
    <definedName name="Waiting">"Picture 1"</definedName>
    <definedName name="WATER">#REF!</definedName>
    <definedName name="watertank" localSheetId="7">#REF!</definedName>
    <definedName name="watertank" localSheetId="8">#REF!</definedName>
    <definedName name="watertank">#REF!</definedName>
    <definedName name="watertanker" localSheetId="7">#REF!</definedName>
    <definedName name="watertanker">#REF!</definedName>
    <definedName name="wearingcourse" localSheetId="7">#REF!</definedName>
    <definedName name="wearingcourse" localSheetId="8">#REF!</definedName>
    <definedName name="wearingcourse">#REF!</definedName>
    <definedName name="weepholes" localSheetId="7">#REF!</definedName>
    <definedName name="weepholes">#REF!</definedName>
    <definedName name="Welder" localSheetId="7">#REF!</definedName>
    <definedName name="Welder">#REF!</definedName>
    <definedName name="welderhelper" localSheetId="7">#REF!</definedName>
    <definedName name="welderhelper">#REF!</definedName>
    <definedName name="wertdft" localSheetId="7">#REF!</definedName>
    <definedName name="wertdft">#REF!</definedName>
    <definedName name="WMM">#REF!</definedName>
    <definedName name="wmmplant" localSheetId="7">#REF!</definedName>
    <definedName name="wmmplant" localSheetId="8">#REF!</definedName>
    <definedName name="wmmplant">#REF!</definedName>
    <definedName name="wrn.ADSS._.CONT._.432._._._.Organisation._.Chart." hidden="1">{#N/A,#N/A,FALSE,"Organisation Chart"}</definedName>
    <definedName name="wrn.Full._.Report." localSheetId="7" hidden="1">{#N/A,#N/A,TRUE,"Front";#N/A,#N/A,TRUE,"Simple Letter";#N/A,#N/A,TRUE,"Inside";#N/A,#N/A,TRUE,"Contents";#N/A,#N/A,TRUE,"Basis";#N/A,#N/A,TRUE,"Inclusions";#N/A,#N/A,TRUE,"Exclusions";#N/A,#N/A,TRUE,"Areas";#N/A,#N/A,TRUE,"Summary";#N/A,#N/A,TRUE,"Detail"}</definedName>
    <definedName name="wrn.Full._.Report." localSheetId="8"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fulla"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WWRTCF" localSheetId="7">#REF!</definedName>
    <definedName name="WWWRTCF" localSheetId="8">#REF!</definedName>
    <definedName name="WWWRTCF">#REF!</definedName>
    <definedName name="x" hidden="1">{"'AC LOAD'!$H$14:$J$15"}</definedName>
    <definedName name="XRefColumnsCount" hidden="1">12</definedName>
    <definedName name="XRefCopyRangeCount" hidden="1">7</definedName>
    <definedName name="XRefPasteRangeCount" hidden="1">142</definedName>
    <definedName name="xxxx" localSheetId="7">#REF!</definedName>
    <definedName name="xxxx" localSheetId="8">#REF!</definedName>
    <definedName name="xxxx" hidden="1">{#N/A,#N/A,TRUE,"Front";#N/A,#N/A,TRUE,"Simple Letter";#N/A,#N/A,TRUE,"Inside";#N/A,#N/A,TRUE,"Contents";#N/A,#N/A,TRUE,"Basis";#N/A,#N/A,TRUE,"Inclusions";#N/A,#N/A,TRUE,"Exclusions";#N/A,#N/A,TRUE,"Areas";#N/A,#N/A,TRUE,"Summary";#N/A,#N/A,TRUE,"Detail"}</definedName>
    <definedName name="xxxxxxxxx">#REF!</definedName>
    <definedName name="Y" hidden="1">{#N/A,#N/A,TRUE,"Front";#N/A,#N/A,TRUE,"Simple Letter";#N/A,#N/A,TRUE,"Inside";#N/A,#N/A,TRUE,"Contents";#N/A,#N/A,TRUE,"Basis";#N/A,#N/A,TRUE,"Inclusions";#N/A,#N/A,TRUE,"Exclusions";#N/A,#N/A,TRUE,"Areas";#N/A,#N/A,TRUE,"Summary";#N/A,#N/A,TRUE,"Detail"}</definedName>
    <definedName name="yyyy" hidden="1">{#N/A,#N/A,TRUE,"Front";#N/A,#N/A,TRUE,"Simple Letter";#N/A,#N/A,TRUE,"Inside";#N/A,#N/A,TRUE,"Contents";#N/A,#N/A,TRUE,"Basis";#N/A,#N/A,TRUE,"Inclusions";#N/A,#N/A,TRUE,"Exclusions";#N/A,#N/A,TRUE,"Areas";#N/A,#N/A,TRUE,"Summary";#N/A,#N/A,TRUE,"Detail"}</definedName>
    <definedName name="yyyyyy" hidden="1">{#N/A,#N/A,TRUE,"Front";#N/A,#N/A,TRUE,"Simple Letter";#N/A,#N/A,TRUE,"Inside";#N/A,#N/A,TRUE,"Contents";#N/A,#N/A,TRUE,"Basis";#N/A,#N/A,TRUE,"Inclusions";#N/A,#N/A,TRUE,"Exclusions";#N/A,#N/A,TRUE,"Areas";#N/A,#N/A,TRUE,"Summary";#N/A,#N/A,TRUE,"Detail"}</definedName>
    <definedName name="z">#REF!</definedName>
    <definedName name="Zero" localSheetId="7">#REF!</definedName>
    <definedName name="Zero" localSheetId="8">#REF!</definedName>
    <definedName name="Zero">#REF!</definedName>
    <definedName name="Zip1" hidden="1">{#N/A,#N/A,TRUE,"Front";#N/A,#N/A,TRUE,"Simple Letter";#N/A,#N/A,TRUE,"Inside";#N/A,#N/A,TRUE,"Contents";#N/A,#N/A,TRUE,"Basis";#N/A,#N/A,TRUE,"Inclusions";#N/A,#N/A,TRUE,"Exclusions";#N/A,#N/A,TRUE,"Areas";#N/A,#N/A,TRUE,"Summary";#N/A,#N/A,TRUE,"Detail"}</definedName>
    <definedName name="ZONE">#REF!</definedName>
    <definedName name="zxcdfe">#REF!</definedName>
    <definedName name="管理施設費計" localSheetId="7">#REF!</definedName>
    <definedName name="管理施設費計">#REF!</definedName>
  </definedName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51" i="22" l="1"/>
  <c r="N351" i="22" s="1"/>
  <c r="L350" i="22"/>
  <c r="N350" i="22" s="1"/>
  <c r="L349" i="22"/>
  <c r="N349" i="22" s="1"/>
  <c r="L355" i="22"/>
  <c r="N355" i="22"/>
  <c r="L354" i="22"/>
  <c r="N354" i="22"/>
  <c r="L353" i="22"/>
  <c r="N353" i="22"/>
  <c r="L352" i="22"/>
  <c r="N352" i="22" s="1"/>
  <c r="L348" i="22"/>
  <c r="N348" i="22" s="1"/>
  <c r="L347" i="22"/>
  <c r="N347" i="22"/>
  <c r="L346" i="22"/>
  <c r="N346" i="22"/>
  <c r="L345" i="22"/>
  <c r="N345" i="22"/>
  <c r="L344" i="22"/>
  <c r="N344" i="22"/>
  <c r="L343" i="22"/>
  <c r="N343" i="22"/>
  <c r="I1240" i="10" l="1"/>
  <c r="G1239" i="10"/>
  <c r="I1239" i="10" s="1"/>
  <c r="I1238" i="10"/>
  <c r="I1237" i="10"/>
  <c r="I1236" i="10"/>
  <c r="G1235" i="10"/>
  <c r="I1235" i="10" s="1"/>
  <c r="I1234" i="10"/>
  <c r="I1233" i="10"/>
  <c r="I1232" i="10"/>
  <c r="I1231" i="10"/>
  <c r="I1230" i="10"/>
  <c r="I1229" i="10"/>
  <c r="I1228" i="10"/>
  <c r="G1227" i="10"/>
  <c r="I1227" i="10" s="1"/>
  <c r="I1226" i="10"/>
  <c r="G1225" i="10"/>
  <c r="I1225" i="10" s="1"/>
  <c r="I1224" i="10"/>
  <c r="I1223" i="10"/>
  <c r="I1222" i="10"/>
  <c r="I1241" i="10" s="1"/>
  <c r="I1221" i="10"/>
  <c r="I1220" i="10"/>
  <c r="I1216" i="10"/>
  <c r="I1215" i="10"/>
  <c r="G1215" i="10"/>
  <c r="I1214" i="10"/>
  <c r="I1213" i="10"/>
  <c r="I1212" i="10"/>
  <c r="I1210" i="10"/>
  <c r="G1209" i="10"/>
  <c r="I1209" i="10" s="1"/>
  <c r="I1208" i="10"/>
  <c r="I1207" i="10"/>
  <c r="I1206" i="10"/>
  <c r="I1205" i="10"/>
  <c r="I1204" i="10"/>
  <c r="I1202" i="10"/>
  <c r="I1201" i="10"/>
  <c r="I1200" i="10"/>
  <c r="I1199" i="10"/>
  <c r="I1198" i="10"/>
  <c r="I1197" i="10"/>
  <c r="I1194" i="10"/>
  <c r="I1193" i="10"/>
  <c r="F1193" i="10"/>
  <c r="I1192" i="10"/>
  <c r="I1191" i="10"/>
  <c r="I1190" i="10"/>
  <c r="I1189" i="10"/>
  <c r="I1188" i="10"/>
  <c r="I1187" i="10"/>
  <c r="I1186" i="10"/>
  <c r="I1185" i="10"/>
  <c r="I1184" i="10"/>
  <c r="I1183" i="10"/>
  <c r="I1182" i="10"/>
  <c r="I1181" i="10"/>
  <c r="I1195" i="10" s="1"/>
  <c r="I1177" i="10"/>
  <c r="I1176" i="10"/>
  <c r="I1175" i="10"/>
  <c r="I1174" i="10"/>
  <c r="I1173" i="10"/>
  <c r="I1172" i="10"/>
  <c r="I1171" i="10"/>
  <c r="I1170" i="10"/>
  <c r="I1169" i="10"/>
  <c r="I1168" i="10"/>
  <c r="I1167" i="10"/>
  <c r="I1166" i="10"/>
  <c r="I1163" i="10"/>
  <c r="I1162" i="10"/>
  <c r="I1161" i="10"/>
  <c r="I1160" i="10"/>
  <c r="I1159" i="10"/>
  <c r="I1158" i="10"/>
  <c r="I1157" i="10"/>
  <c r="I1156" i="10"/>
  <c r="I1155" i="10"/>
  <c r="I1154" i="10"/>
  <c r="I1153" i="10"/>
  <c r="I1152" i="10"/>
  <c r="I1164" i="10" s="1"/>
  <c r="I1151" i="10"/>
  <c r="I1150" i="10"/>
  <c r="I1149" i="10"/>
  <c r="I1148" i="10"/>
  <c r="I1145" i="10"/>
  <c r="I1144" i="10"/>
  <c r="I1143" i="10"/>
  <c r="I1142" i="10"/>
  <c r="I1141" i="10"/>
  <c r="I1140" i="10"/>
  <c r="I1139" i="10"/>
  <c r="I1138" i="10"/>
  <c r="I1137" i="10"/>
  <c r="I1136" i="10"/>
  <c r="I1135" i="10"/>
  <c r="I1134" i="10"/>
  <c r="I1133" i="10"/>
  <c r="I1132" i="10"/>
  <c r="I1131" i="10"/>
  <c r="I1130" i="10"/>
  <c r="I1146" i="10" s="1"/>
  <c r="H1126" i="10"/>
  <c r="I1126" i="10" s="1"/>
  <c r="H1125" i="10"/>
  <c r="I1125" i="10" s="1"/>
  <c r="H1124" i="10"/>
  <c r="F1124" i="10"/>
  <c r="H1123" i="10"/>
  <c r="F1123" i="10"/>
  <c r="I1123" i="10" s="1"/>
  <c r="I1122" i="10"/>
  <c r="I1121" i="10"/>
  <c r="H1120" i="10"/>
  <c r="I1120" i="10" s="1"/>
  <c r="I1119" i="10"/>
  <c r="H1118" i="10"/>
  <c r="I1118" i="10" s="1"/>
  <c r="H1117" i="10"/>
  <c r="I1117" i="10" s="1"/>
  <c r="I1116" i="10"/>
  <c r="H1115" i="10"/>
  <c r="I1115" i="10" s="1"/>
  <c r="H1114" i="10"/>
  <c r="I1114" i="10" s="1"/>
  <c r="I1113" i="10"/>
  <c r="I1112" i="10"/>
  <c r="H1111" i="10"/>
  <c r="I1111" i="10" s="1"/>
  <c r="I1110" i="10"/>
  <c r="I1109" i="10"/>
  <c r="H1108" i="10"/>
  <c r="I1108" i="10" s="1"/>
  <c r="I1107" i="10"/>
  <c r="I1106" i="10"/>
  <c r="H1105" i="10"/>
  <c r="I1105" i="10" s="1"/>
  <c r="I1104" i="10"/>
  <c r="I1103" i="10"/>
  <c r="H1103" i="10"/>
  <c r="I1102" i="10"/>
  <c r="H1101" i="10"/>
  <c r="I1101" i="10" s="1"/>
  <c r="I1100" i="10"/>
  <c r="H1099" i="10"/>
  <c r="I1099" i="10" s="1"/>
  <c r="H1098" i="10"/>
  <c r="I1098" i="10" s="1"/>
  <c r="I1097" i="10"/>
  <c r="I1096" i="10"/>
  <c r="I1095" i="10"/>
  <c r="H1094" i="10"/>
  <c r="I1094" i="10" s="1"/>
  <c r="F1094" i="10"/>
  <c r="I1093" i="10"/>
  <c r="H1092" i="10"/>
  <c r="I1092" i="10" s="1"/>
  <c r="I1091" i="10"/>
  <c r="H1090" i="10"/>
  <c r="I1090" i="10" s="1"/>
  <c r="H1089" i="10"/>
  <c r="I1089" i="10" s="1"/>
  <c r="I1088" i="10"/>
  <c r="H1087" i="10"/>
  <c r="I1087" i="10" s="1"/>
  <c r="H1086" i="10"/>
  <c r="I1086" i="10" s="1"/>
  <c r="I1085" i="10"/>
  <c r="H1084" i="10"/>
  <c r="I1084" i="10" s="1"/>
  <c r="H1083" i="10"/>
  <c r="I1083" i="10" s="1"/>
  <c r="I1082" i="10"/>
  <c r="H1081" i="10"/>
  <c r="I1081" i="10" s="1"/>
  <c r="H1080" i="10"/>
  <c r="I1080" i="10" s="1"/>
  <c r="I1079" i="10"/>
  <c r="H1078" i="10"/>
  <c r="F1078" i="10"/>
  <c r="I1078" i="10" s="1"/>
  <c r="H1077" i="10"/>
  <c r="I1077" i="10" s="1"/>
  <c r="H1076" i="10"/>
  <c r="I1076" i="10" s="1"/>
  <c r="I1075" i="10"/>
  <c r="H1074" i="10"/>
  <c r="I1074" i="10" s="1"/>
  <c r="H1073" i="10"/>
  <c r="I1073" i="10" s="1"/>
  <c r="I1072" i="10"/>
  <c r="H1071" i="10"/>
  <c r="I1071" i="10" s="1"/>
  <c r="H1070" i="10"/>
  <c r="I1070" i="10" s="1"/>
  <c r="I1069" i="10"/>
  <c r="H1068" i="10"/>
  <c r="I1068" i="10" s="1"/>
  <c r="I1067" i="10"/>
  <c r="I1066" i="10"/>
  <c r="H1065" i="10"/>
  <c r="I1065" i="10" s="1"/>
  <c r="I1064" i="10"/>
  <c r="H1063" i="10"/>
  <c r="I1063" i="10" s="1"/>
  <c r="H1062" i="10"/>
  <c r="I1062" i="10" s="1"/>
  <c r="I1061" i="10"/>
  <c r="I1060" i="10"/>
  <c r="H1059" i="10"/>
  <c r="I1059" i="10" s="1"/>
  <c r="I1058" i="10"/>
  <c r="H1057" i="10"/>
  <c r="F1057" i="10"/>
  <c r="I1057" i="10" s="1"/>
  <c r="F1056" i="10"/>
  <c r="I1056" i="10" s="1"/>
  <c r="I1055" i="10"/>
  <c r="I1054" i="10"/>
  <c r="I1053" i="10"/>
  <c r="H1052" i="10"/>
  <c r="I1052" i="10" s="1"/>
  <c r="I1051" i="10"/>
  <c r="H1050" i="10"/>
  <c r="I1050" i="10" s="1"/>
  <c r="H1049" i="10"/>
  <c r="I1049" i="10" s="1"/>
  <c r="I1048" i="10"/>
  <c r="H1047" i="10"/>
  <c r="I1047" i="10" s="1"/>
  <c r="H1046" i="10"/>
  <c r="I1046" i="10" s="1"/>
  <c r="I1045" i="10"/>
  <c r="H1044" i="10"/>
  <c r="I1044" i="10" s="1"/>
  <c r="I1043" i="10"/>
  <c r="H1042" i="10"/>
  <c r="F1042" i="10"/>
  <c r="H1041" i="10"/>
  <c r="I1041" i="10" s="1"/>
  <c r="H1040" i="10"/>
  <c r="I1040" i="10" s="1"/>
  <c r="I1039" i="10"/>
  <c r="H1038" i="10"/>
  <c r="F1038" i="10"/>
  <c r="I1038" i="10" s="1"/>
  <c r="I1037" i="10"/>
  <c r="H1037" i="10"/>
  <c r="I1036" i="10"/>
  <c r="I1035" i="10"/>
  <c r="I1034" i="10"/>
  <c r="H1034" i="10"/>
  <c r="I1033" i="10"/>
  <c r="I1032" i="10"/>
  <c r="I1031" i="10"/>
  <c r="H1031" i="10"/>
  <c r="F1031" i="10"/>
  <c r="H1030" i="10"/>
  <c r="I1030" i="10" s="1"/>
  <c r="I1029" i="10"/>
  <c r="F1028" i="10"/>
  <c r="I1028" i="10" s="1"/>
  <c r="H1027" i="10"/>
  <c r="I1027" i="10" s="1"/>
  <c r="H1026" i="10"/>
  <c r="I1026" i="10" s="1"/>
  <c r="I1025" i="10"/>
  <c r="H1024" i="10"/>
  <c r="I1024" i="10" s="1"/>
  <c r="I1023" i="10"/>
  <c r="H1023" i="10"/>
  <c r="I1022" i="10"/>
  <c r="H1021" i="10"/>
  <c r="I1021" i="10" s="1"/>
  <c r="I1020" i="10"/>
  <c r="H1020" i="10"/>
  <c r="I1019" i="10"/>
  <c r="H1018" i="10"/>
  <c r="I1018" i="10" s="1"/>
  <c r="H1017" i="10"/>
  <c r="I1017" i="10" s="1"/>
  <c r="I1016" i="10"/>
  <c r="H1015" i="10"/>
  <c r="I1015" i="10" s="1"/>
  <c r="I1014" i="10"/>
  <c r="H1013" i="10"/>
  <c r="I1013" i="10" s="1"/>
  <c r="H1012" i="10"/>
  <c r="I1012" i="10" s="1"/>
  <c r="I1011" i="10"/>
  <c r="H1010" i="10"/>
  <c r="I1010" i="10" s="1"/>
  <c r="H1009" i="10"/>
  <c r="I1009" i="10" s="1"/>
  <c r="I1008" i="10"/>
  <c r="H1007" i="10"/>
  <c r="F1007" i="10"/>
  <c r="I1007" i="10" s="1"/>
  <c r="I1006" i="10"/>
  <c r="H1006" i="10"/>
  <c r="F1006" i="10"/>
  <c r="F1005" i="10"/>
  <c r="I1005" i="10" s="1"/>
  <c r="H1004" i="10"/>
  <c r="I1004" i="10" s="1"/>
  <c r="H1003" i="10"/>
  <c r="I1003" i="10" s="1"/>
  <c r="I1002" i="10"/>
  <c r="H1001" i="10"/>
  <c r="I1001" i="10" s="1"/>
  <c r="H1000" i="10"/>
  <c r="I1000" i="10" s="1"/>
  <c r="I999" i="10"/>
  <c r="I998" i="10"/>
  <c r="H998" i="10"/>
  <c r="H997" i="10"/>
  <c r="I997" i="10" s="1"/>
  <c r="I996" i="10"/>
  <c r="I995" i="10"/>
  <c r="H995" i="10"/>
  <c r="I994" i="10"/>
  <c r="I993" i="10"/>
  <c r="H993" i="10"/>
  <c r="H992" i="10"/>
  <c r="I992" i="10" s="1"/>
  <c r="I991" i="10"/>
  <c r="I990" i="10"/>
  <c r="I989" i="10"/>
  <c r="I988" i="10"/>
  <c r="I987" i="10"/>
  <c r="I986" i="10"/>
  <c r="H986" i="10"/>
  <c r="I985" i="10"/>
  <c r="I984" i="10"/>
  <c r="I983" i="10"/>
  <c r="H983" i="10"/>
  <c r="I982" i="10"/>
  <c r="H981" i="10"/>
  <c r="I981" i="10" s="1"/>
  <c r="H980" i="10"/>
  <c r="I980" i="10" s="1"/>
  <c r="I979" i="10"/>
  <c r="H978" i="10"/>
  <c r="I978" i="10" s="1"/>
  <c r="F978" i="10"/>
  <c r="H977" i="10"/>
  <c r="I977" i="10" s="1"/>
  <c r="H976" i="10"/>
  <c r="I976" i="10" s="1"/>
  <c r="I975" i="10"/>
  <c r="H974" i="10"/>
  <c r="F974" i="10"/>
  <c r="I974" i="10" s="1"/>
  <c r="H973" i="10"/>
  <c r="I973" i="10" s="1"/>
  <c r="H972" i="10"/>
  <c r="I972" i="10" s="1"/>
  <c r="I971" i="10"/>
  <c r="H970" i="10"/>
  <c r="I970" i="10" s="1"/>
  <c r="H969" i="10"/>
  <c r="I969" i="10" s="1"/>
  <c r="I968" i="10"/>
  <c r="I967" i="10"/>
  <c r="H966" i="10"/>
  <c r="I966" i="10" s="1"/>
  <c r="I965" i="10"/>
  <c r="F964" i="10"/>
  <c r="I964" i="10" s="1"/>
  <c r="F963" i="10"/>
  <c r="I963" i="10" s="1"/>
  <c r="F962" i="10"/>
  <c r="I962" i="10" s="1"/>
  <c r="I961" i="10"/>
  <c r="H961" i="10"/>
  <c r="H960" i="10"/>
  <c r="I960" i="10" s="1"/>
  <c r="I959" i="10"/>
  <c r="I958" i="10"/>
  <c r="H958" i="10"/>
  <c r="H957" i="10"/>
  <c r="I957" i="10" s="1"/>
  <c r="I956" i="10"/>
  <c r="H955" i="10"/>
  <c r="I955" i="10" s="1"/>
  <c r="H954" i="10"/>
  <c r="I954" i="10" s="1"/>
  <c r="H953" i="10"/>
  <c r="I953" i="10" s="1"/>
  <c r="I952" i="10"/>
  <c r="H951" i="10"/>
  <c r="F951" i="10"/>
  <c r="I951" i="10" s="1"/>
  <c r="I950" i="10"/>
  <c r="H949" i="10"/>
  <c r="I949" i="10" s="1"/>
  <c r="I948" i="10"/>
  <c r="I947" i="10"/>
  <c r="H947" i="10"/>
  <c r="I946" i="10"/>
  <c r="I945" i="10"/>
  <c r="I944" i="10"/>
  <c r="H944" i="10"/>
  <c r="I943" i="10"/>
  <c r="I942" i="10"/>
  <c r="I941" i="10"/>
  <c r="H941" i="10"/>
  <c r="I940" i="10"/>
  <c r="H939" i="10"/>
  <c r="I939" i="10" s="1"/>
  <c r="I938" i="10"/>
  <c r="H938" i="10"/>
  <c r="H937" i="10"/>
  <c r="I937" i="10" s="1"/>
  <c r="I936" i="10"/>
  <c r="I935" i="10"/>
  <c r="H934" i="10"/>
  <c r="I934" i="10" s="1"/>
  <c r="I933" i="10"/>
  <c r="I932" i="10"/>
  <c r="H931" i="10"/>
  <c r="I931" i="10" s="1"/>
  <c r="I930" i="10"/>
  <c r="H929" i="10"/>
  <c r="I929" i="10" s="1"/>
  <c r="H928" i="10"/>
  <c r="I928" i="10" s="1"/>
  <c r="H927" i="10"/>
  <c r="I927" i="10" s="1"/>
  <c r="I926" i="10"/>
  <c r="H925" i="10"/>
  <c r="I925" i="10" s="1"/>
  <c r="H924" i="10"/>
  <c r="I924" i="10" s="1"/>
  <c r="H923" i="10"/>
  <c r="I923" i="10" s="1"/>
  <c r="I922" i="10"/>
  <c r="H921" i="10"/>
  <c r="I921" i="10" s="1"/>
  <c r="I920" i="10"/>
  <c r="I919" i="10"/>
  <c r="H918" i="10"/>
  <c r="I918" i="10" s="1"/>
  <c r="I917" i="10"/>
  <c r="H916" i="10"/>
  <c r="I916" i="10" s="1"/>
  <c r="I915" i="10"/>
  <c r="I914" i="10"/>
  <c r="I913" i="10"/>
  <c r="I912" i="10"/>
  <c r="H912" i="10"/>
  <c r="H911" i="10"/>
  <c r="I911" i="10" s="1"/>
  <c r="I910" i="10"/>
  <c r="I909" i="10"/>
  <c r="H909" i="10"/>
  <c r="H908" i="10"/>
  <c r="I908" i="10" s="1"/>
  <c r="I907" i="10"/>
  <c r="H906" i="10"/>
  <c r="I906" i="10" s="1"/>
  <c r="I905" i="10"/>
  <c r="I904" i="10"/>
  <c r="H903" i="10"/>
  <c r="I903" i="10" s="1"/>
  <c r="I902" i="10"/>
  <c r="I901" i="10"/>
  <c r="I900" i="10"/>
  <c r="I899" i="10"/>
  <c r="I898" i="10"/>
  <c r="H898" i="10"/>
  <c r="H897" i="10"/>
  <c r="I897" i="10" s="1"/>
  <c r="I896" i="10"/>
  <c r="I895" i="10"/>
  <c r="H894" i="10"/>
  <c r="I894" i="10" s="1"/>
  <c r="I893" i="10"/>
  <c r="H892" i="10"/>
  <c r="I892" i="10" s="1"/>
  <c r="H891" i="10"/>
  <c r="I891" i="10" s="1"/>
  <c r="I890" i="10"/>
  <c r="I889" i="10"/>
  <c r="H888" i="10"/>
  <c r="F888" i="10"/>
  <c r="H887" i="10"/>
  <c r="I887" i="10" s="1"/>
  <c r="I886" i="10"/>
  <c r="I885" i="10"/>
  <c r="H885" i="10"/>
  <c r="H884" i="10"/>
  <c r="I884" i="10" s="1"/>
  <c r="I883" i="10"/>
  <c r="I882" i="10"/>
  <c r="H881" i="10"/>
  <c r="I881" i="10" s="1"/>
  <c r="I880" i="10"/>
  <c r="I879" i="10"/>
  <c r="H878" i="10"/>
  <c r="I878" i="10" s="1"/>
  <c r="I877" i="10"/>
  <c r="H876" i="10"/>
  <c r="I876" i="10" s="1"/>
  <c r="H875" i="10"/>
  <c r="I875" i="10" s="1"/>
  <c r="I874" i="10"/>
  <c r="H873" i="10"/>
  <c r="I873" i="10" s="1"/>
  <c r="H872" i="10"/>
  <c r="I872" i="10" s="1"/>
  <c r="I871" i="10"/>
  <c r="H870" i="10"/>
  <c r="I870" i="10" s="1"/>
  <c r="H869" i="10"/>
  <c r="I869" i="10" s="1"/>
  <c r="H868" i="10"/>
  <c r="I868" i="10" s="1"/>
  <c r="I867" i="10"/>
  <c r="I866" i="10"/>
  <c r="H865" i="10"/>
  <c r="I865" i="10" s="1"/>
  <c r="I864" i="10"/>
  <c r="I863" i="10"/>
  <c r="I862" i="10"/>
  <c r="H862" i="10"/>
  <c r="H861" i="10"/>
  <c r="I861" i="10" s="1"/>
  <c r="I860" i="10"/>
  <c r="H860" i="10"/>
  <c r="I859" i="10"/>
  <c r="H858" i="10"/>
  <c r="I858" i="10" s="1"/>
  <c r="I857" i="10"/>
  <c r="H857" i="10"/>
  <c r="I856" i="10"/>
  <c r="H855" i="10"/>
  <c r="I855" i="10" s="1"/>
  <c r="H854" i="10"/>
  <c r="I854" i="10" s="1"/>
  <c r="I853" i="10"/>
  <c r="H852" i="10"/>
  <c r="I852" i="10" s="1"/>
  <c r="H851" i="10"/>
  <c r="I851" i="10" s="1"/>
  <c r="I850" i="10"/>
  <c r="I849" i="10"/>
  <c r="H848" i="10"/>
  <c r="F848" i="10"/>
  <c r="H847" i="10"/>
  <c r="I847" i="10" s="1"/>
  <c r="I846" i="10"/>
  <c r="I845" i="10"/>
  <c r="H845" i="10"/>
  <c r="H844" i="10"/>
  <c r="I844" i="10" s="1"/>
  <c r="H843" i="10"/>
  <c r="I843" i="10" s="1"/>
  <c r="I842" i="10"/>
  <c r="H841" i="10"/>
  <c r="I841" i="10" s="1"/>
  <c r="H840" i="10"/>
  <c r="I840" i="10" s="1"/>
  <c r="I839" i="10"/>
  <c r="I838" i="10"/>
  <c r="H837" i="10"/>
  <c r="I837" i="10" s="1"/>
  <c r="I836" i="10"/>
  <c r="H836" i="10"/>
  <c r="I835" i="10"/>
  <c r="H834" i="10"/>
  <c r="I834" i="10" s="1"/>
  <c r="I833" i="10"/>
  <c r="H833" i="10"/>
  <c r="I832" i="10"/>
  <c r="H831" i="10"/>
  <c r="I831" i="10" s="1"/>
  <c r="I830" i="10"/>
  <c r="I829" i="10"/>
  <c r="I828" i="10"/>
  <c r="I827" i="10"/>
  <c r="F826" i="10"/>
  <c r="I826" i="10" s="1"/>
  <c r="F825" i="10"/>
  <c r="I825" i="10" s="1"/>
  <c r="F824" i="10"/>
  <c r="I824" i="10" s="1"/>
  <c r="F823" i="10"/>
  <c r="I823" i="10" s="1"/>
  <c r="F822" i="10"/>
  <c r="I822" i="10" s="1"/>
  <c r="I821" i="10"/>
  <c r="F821" i="10"/>
  <c r="I820" i="10"/>
  <c r="I819" i="10"/>
  <c r="I818" i="10"/>
  <c r="I817" i="10"/>
  <c r="I816" i="10"/>
  <c r="I815" i="10"/>
  <c r="I814" i="10"/>
  <c r="H814" i="10"/>
  <c r="H813" i="10"/>
  <c r="I813" i="10" s="1"/>
  <c r="I812" i="10"/>
  <c r="I811" i="10"/>
  <c r="H811" i="10"/>
  <c r="H810" i="10"/>
  <c r="I810" i="10" s="1"/>
  <c r="I809" i="10"/>
  <c r="H808" i="10"/>
  <c r="I808" i="10" s="1"/>
  <c r="H807" i="10"/>
  <c r="I807" i="10" s="1"/>
  <c r="I806" i="10"/>
  <c r="I848" i="10" l="1"/>
  <c r="I888" i="10"/>
  <c r="I1042" i="10"/>
  <c r="I1124" i="10"/>
  <c r="I1243" i="10" s="1"/>
  <c r="J7" i="19" s="1"/>
  <c r="J18" i="19" s="1"/>
  <c r="I1178" i="10"/>
  <c r="I1218" i="10"/>
  <c r="I1128" i="10"/>
  <c r="I20" i="17"/>
  <c r="K20" i="17"/>
  <c r="L20" i="17"/>
  <c r="I21" i="17"/>
  <c r="K21" i="17"/>
  <c r="L21" i="17"/>
  <c r="M21" i="17"/>
  <c r="I695" i="9"/>
  <c r="G694" i="9"/>
  <c r="I694" i="9" s="1"/>
  <c r="I693" i="9"/>
  <c r="I692" i="9"/>
  <c r="I691" i="9"/>
  <c r="I690" i="9"/>
  <c r="G690" i="9"/>
  <c r="I689" i="9"/>
  <c r="I688" i="9"/>
  <c r="I687" i="9"/>
  <c r="I686" i="9"/>
  <c r="I685" i="9"/>
  <c r="I684" i="9"/>
  <c r="I683" i="9"/>
  <c r="G682" i="9"/>
  <c r="I682" i="9" s="1"/>
  <c r="I681" i="9"/>
  <c r="I680" i="9"/>
  <c r="G680" i="9"/>
  <c r="I679" i="9"/>
  <c r="I678" i="9"/>
  <c r="I696" i="9" s="1"/>
  <c r="I677" i="9"/>
  <c r="I676" i="9"/>
  <c r="I675" i="9"/>
  <c r="I672" i="9"/>
  <c r="I671" i="9"/>
  <c r="I670" i="9"/>
  <c r="I668" i="9"/>
  <c r="I667" i="9"/>
  <c r="I666" i="9"/>
  <c r="I665" i="9"/>
  <c r="I664" i="9"/>
  <c r="I662" i="9"/>
  <c r="I661" i="9"/>
  <c r="I660" i="9"/>
  <c r="I659" i="9"/>
  <c r="I673" i="9" s="1"/>
  <c r="I658" i="9"/>
  <c r="I657" i="9"/>
  <c r="I654" i="9"/>
  <c r="H654" i="9"/>
  <c r="H653" i="9"/>
  <c r="F653" i="9"/>
  <c r="I653" i="9" s="1"/>
  <c r="H652" i="9"/>
  <c r="I652" i="9" s="1"/>
  <c r="I651" i="9"/>
  <c r="I650" i="9"/>
  <c r="I649" i="9"/>
  <c r="I648" i="9"/>
  <c r="I647" i="9"/>
  <c r="I646" i="9"/>
  <c r="I645" i="9"/>
  <c r="I644" i="9"/>
  <c r="I643" i="9"/>
  <c r="I655" i="9" s="1"/>
  <c r="I642" i="9"/>
  <c r="I641" i="9"/>
  <c r="I637" i="9"/>
  <c r="H637" i="9"/>
  <c r="H636" i="9"/>
  <c r="I636" i="9" s="1"/>
  <c r="I635" i="9"/>
  <c r="I634" i="9"/>
  <c r="I633" i="9"/>
  <c r="I632" i="9"/>
  <c r="I631" i="9"/>
  <c r="I630" i="9"/>
  <c r="I629" i="9"/>
  <c r="I628" i="9"/>
  <c r="I627" i="9"/>
  <c r="I638" i="9" s="1"/>
  <c r="I626" i="9"/>
  <c r="H623" i="9"/>
  <c r="I623" i="9" s="1"/>
  <c r="I622" i="9"/>
  <c r="H622" i="9"/>
  <c r="H621" i="9"/>
  <c r="I621" i="9" s="1"/>
  <c r="I620" i="9"/>
  <c r="I619" i="9"/>
  <c r="I618" i="9"/>
  <c r="I617" i="9"/>
  <c r="I616" i="9"/>
  <c r="I615" i="9"/>
  <c r="I614" i="9"/>
  <c r="I613" i="9"/>
  <c r="I612" i="9"/>
  <c r="I611" i="9"/>
  <c r="I610" i="9"/>
  <c r="I609" i="9"/>
  <c r="I624" i="9" s="1"/>
  <c r="I608" i="9"/>
  <c r="I605" i="9"/>
  <c r="H604" i="9"/>
  <c r="I604" i="9" s="1"/>
  <c r="I603" i="9"/>
  <c r="H603" i="9"/>
  <c r="H602" i="9"/>
  <c r="I602" i="9" s="1"/>
  <c r="I601" i="9"/>
  <c r="I600" i="9"/>
  <c r="I599" i="9"/>
  <c r="I598" i="9"/>
  <c r="I597" i="9"/>
  <c r="I596" i="9"/>
  <c r="I595" i="9"/>
  <c r="I594" i="9"/>
  <c r="I593" i="9"/>
  <c r="I592" i="9"/>
  <c r="I591" i="9"/>
  <c r="I590" i="9"/>
  <c r="I606" i="9" s="1"/>
  <c r="I586" i="9"/>
  <c r="I585" i="9"/>
  <c r="I584" i="9"/>
  <c r="I583" i="9"/>
  <c r="I582" i="9"/>
  <c r="I581" i="9"/>
  <c r="I580" i="9"/>
  <c r="I579" i="9"/>
  <c r="I578" i="9"/>
  <c r="I577" i="9"/>
  <c r="I576" i="9"/>
  <c r="I575" i="9"/>
  <c r="I574" i="9"/>
  <c r="I573" i="9"/>
  <c r="I572" i="9"/>
  <c r="I571" i="9"/>
  <c r="I570" i="9"/>
  <c r="I569" i="9"/>
  <c r="I568" i="9"/>
  <c r="I567" i="9"/>
  <c r="F566" i="9"/>
  <c r="I566" i="9" s="1"/>
  <c r="I565" i="9"/>
  <c r="I564" i="9"/>
  <c r="I563" i="9"/>
  <c r="I562" i="9"/>
  <c r="I561" i="9"/>
  <c r="I560" i="9"/>
  <c r="I559" i="9"/>
  <c r="I558" i="9"/>
  <c r="I557" i="9"/>
  <c r="I556" i="9"/>
  <c r="I555" i="9"/>
  <c r="I554" i="9"/>
  <c r="I553" i="9"/>
  <c r="I552" i="9"/>
  <c r="I551" i="9"/>
  <c r="I550" i="9"/>
  <c r="F549" i="9"/>
  <c r="I549" i="9" s="1"/>
  <c r="I548" i="9"/>
  <c r="I547" i="9"/>
  <c r="I546" i="9"/>
  <c r="I545" i="9"/>
  <c r="I544" i="9"/>
  <c r="I543" i="9"/>
  <c r="I542" i="9"/>
  <c r="I541" i="9"/>
  <c r="I540" i="9"/>
  <c r="I539" i="9"/>
  <c r="I538" i="9"/>
  <c r="I537" i="9"/>
  <c r="I536" i="9"/>
  <c r="I535" i="9"/>
  <c r="F535" i="9"/>
  <c r="I534" i="9"/>
  <c r="I533" i="9"/>
  <c r="I532" i="9"/>
  <c r="I531" i="9"/>
  <c r="I530" i="9"/>
  <c r="I529" i="9"/>
  <c r="I528" i="9"/>
  <c r="I527" i="9"/>
  <c r="I526" i="9"/>
  <c r="I525" i="9"/>
  <c r="I524" i="9"/>
  <c r="I523" i="9"/>
  <c r="I522" i="9"/>
  <c r="I521" i="9"/>
  <c r="I520" i="9"/>
  <c r="I519" i="9"/>
  <c r="I518" i="9"/>
  <c r="I517" i="9"/>
  <c r="I516" i="9"/>
  <c r="I515" i="9"/>
  <c r="I514" i="9"/>
  <c r="I513" i="9"/>
  <c r="I512" i="9"/>
  <c r="I511" i="9"/>
  <c r="I510" i="9"/>
  <c r="I509" i="9"/>
  <c r="I508" i="9"/>
  <c r="I507" i="9"/>
  <c r="I506" i="9"/>
  <c r="I505" i="9"/>
  <c r="I504" i="9"/>
  <c r="I503" i="9"/>
  <c r="I502" i="9"/>
  <c r="I501" i="9"/>
  <c r="I500" i="9"/>
  <c r="I499" i="9"/>
  <c r="I498" i="9"/>
  <c r="I497" i="9"/>
  <c r="I496" i="9"/>
  <c r="I495" i="9"/>
  <c r="I494" i="9"/>
  <c r="I493" i="9"/>
  <c r="I492" i="9"/>
  <c r="F492" i="9"/>
  <c r="F491" i="9"/>
  <c r="I491" i="9" s="1"/>
  <c r="I490" i="9"/>
  <c r="F490" i="9"/>
  <c r="I489" i="9"/>
  <c r="I488" i="9"/>
  <c r="I487" i="9"/>
  <c r="I486" i="9"/>
  <c r="I485" i="9"/>
  <c r="I484" i="9"/>
  <c r="I588" i="9" l="1"/>
  <c r="I698" i="9" s="1"/>
  <c r="F21" i="17" l="1"/>
  <c r="J14" i="21"/>
  <c r="J24" i="21" s="1"/>
  <c r="G29" i="17"/>
  <c r="G28" i="17"/>
  <c r="Q794" i="11" l="1"/>
  <c r="R794" i="11"/>
  <c r="S794" i="11"/>
  <c r="T794" i="11"/>
  <c r="U794" i="11"/>
  <c r="V794" i="11"/>
  <c r="Q795" i="11"/>
  <c r="R795" i="11"/>
  <c r="S795" i="11"/>
  <c r="T795" i="11"/>
  <c r="U795" i="11"/>
  <c r="V795" i="11"/>
  <c r="Q796" i="11"/>
  <c r="R796" i="11"/>
  <c r="S796" i="11"/>
  <c r="U796" i="11"/>
  <c r="V796" i="11"/>
  <c r="Q797" i="11"/>
  <c r="R797" i="11"/>
  <c r="S797" i="11"/>
  <c r="T797" i="11"/>
  <c r="U797" i="11"/>
  <c r="V797" i="11"/>
  <c r="Q798" i="11"/>
  <c r="R798" i="11"/>
  <c r="S798" i="11"/>
  <c r="T798" i="11"/>
  <c r="U798" i="11"/>
  <c r="V798" i="11"/>
  <c r="Q799" i="11"/>
  <c r="R799" i="11"/>
  <c r="S799" i="11"/>
  <c r="U799" i="11"/>
  <c r="V799" i="11"/>
  <c r="Q800" i="11"/>
  <c r="R800" i="11"/>
  <c r="S800" i="11"/>
  <c r="T800" i="11"/>
  <c r="U800" i="11"/>
  <c r="V800" i="11"/>
  <c r="Q801" i="11"/>
  <c r="R801" i="11"/>
  <c r="S801" i="11"/>
  <c r="T801" i="11"/>
  <c r="U801" i="11"/>
  <c r="V801" i="11"/>
  <c r="Q802" i="11"/>
  <c r="R802" i="11"/>
  <c r="S802" i="11"/>
  <c r="U802" i="11"/>
  <c r="V802" i="11"/>
  <c r="Q803" i="11"/>
  <c r="R803" i="11"/>
  <c r="S803" i="11"/>
  <c r="T803" i="11"/>
  <c r="U803" i="11"/>
  <c r="V803" i="11"/>
  <c r="Q804" i="11"/>
  <c r="R804" i="11"/>
  <c r="S804" i="11"/>
  <c r="T804" i="11"/>
  <c r="U804" i="11"/>
  <c r="V804" i="11"/>
  <c r="Q805" i="11"/>
  <c r="R805" i="11"/>
  <c r="S805" i="11"/>
  <c r="U805" i="11"/>
  <c r="V805" i="11"/>
  <c r="Q806" i="11"/>
  <c r="R806" i="11"/>
  <c r="S806" i="11"/>
  <c r="T806" i="11"/>
  <c r="U806" i="11"/>
  <c r="V806" i="11"/>
  <c r="Q807" i="11"/>
  <c r="R807" i="11"/>
  <c r="S807" i="11"/>
  <c r="T807" i="11"/>
  <c r="U807" i="11"/>
  <c r="V807" i="11"/>
  <c r="Q808" i="11"/>
  <c r="R808" i="11"/>
  <c r="S808" i="11"/>
  <c r="U808" i="11"/>
  <c r="V808" i="11"/>
  <c r="Q809" i="11"/>
  <c r="R809" i="11"/>
  <c r="S809" i="11"/>
  <c r="T809" i="11"/>
  <c r="U809" i="11"/>
  <c r="V809" i="11"/>
  <c r="Q810" i="11"/>
  <c r="R810" i="11"/>
  <c r="S810" i="11"/>
  <c r="T810" i="11"/>
  <c r="U810" i="11"/>
  <c r="V810" i="11"/>
  <c r="Q811" i="11"/>
  <c r="R811" i="11"/>
  <c r="S811" i="11"/>
  <c r="U811" i="11"/>
  <c r="V811" i="11"/>
  <c r="Q812" i="11"/>
  <c r="R812" i="11"/>
  <c r="S812" i="11"/>
  <c r="T812" i="11"/>
  <c r="U812" i="11"/>
  <c r="V812" i="11"/>
  <c r="Q813" i="11"/>
  <c r="R813" i="11"/>
  <c r="S813" i="11"/>
  <c r="T813" i="11"/>
  <c r="U813" i="11"/>
  <c r="V813" i="11"/>
  <c r="Q814" i="11"/>
  <c r="R814" i="11"/>
  <c r="S814" i="11"/>
  <c r="U814" i="11"/>
  <c r="V814" i="11"/>
  <c r="Q815" i="11"/>
  <c r="R815" i="11"/>
  <c r="S815" i="11"/>
  <c r="T815" i="11"/>
  <c r="U815" i="11"/>
  <c r="V815" i="11"/>
  <c r="Q816" i="11"/>
  <c r="R816" i="11"/>
  <c r="S816" i="11"/>
  <c r="T816" i="11"/>
  <c r="U816" i="11"/>
  <c r="V816" i="11"/>
  <c r="Q817" i="11"/>
  <c r="R817" i="11"/>
  <c r="S817" i="11"/>
  <c r="U817" i="11"/>
  <c r="V817" i="11"/>
  <c r="Q818" i="11"/>
  <c r="R818" i="11"/>
  <c r="S818" i="11"/>
  <c r="T818" i="11"/>
  <c r="U818" i="11"/>
  <c r="V818" i="11"/>
  <c r="Q819" i="11"/>
  <c r="R819" i="11"/>
  <c r="S819" i="11"/>
  <c r="T819" i="11"/>
  <c r="U819" i="11"/>
  <c r="V819" i="11"/>
  <c r="Q820" i="11"/>
  <c r="R820" i="11"/>
  <c r="S820" i="11"/>
  <c r="U820" i="11"/>
  <c r="V820" i="11"/>
  <c r="Q821" i="11"/>
  <c r="R821" i="11"/>
  <c r="S821" i="11"/>
  <c r="T821" i="11"/>
  <c r="U821" i="11"/>
  <c r="V821" i="11"/>
  <c r="Q822" i="11"/>
  <c r="R822" i="11"/>
  <c r="S822" i="11"/>
  <c r="T822" i="11"/>
  <c r="U822" i="11"/>
  <c r="V822" i="11"/>
  <c r="Q823" i="11"/>
  <c r="R823" i="11"/>
  <c r="S823" i="11"/>
  <c r="U823" i="11"/>
  <c r="V823" i="11"/>
  <c r="Q824" i="11"/>
  <c r="R824" i="11"/>
  <c r="S824" i="11"/>
  <c r="T824" i="11"/>
  <c r="U824" i="11"/>
  <c r="V824" i="11"/>
  <c r="Q825" i="11"/>
  <c r="R825" i="11"/>
  <c r="S825" i="11"/>
  <c r="T825" i="11"/>
  <c r="U825" i="11"/>
  <c r="V825" i="11"/>
  <c r="Q826" i="11"/>
  <c r="R826" i="11"/>
  <c r="S826" i="11"/>
  <c r="U826" i="11"/>
  <c r="V826" i="11"/>
  <c r="Q827" i="11"/>
  <c r="R827" i="11"/>
  <c r="S827" i="11"/>
  <c r="T827" i="11"/>
  <c r="U827" i="11"/>
  <c r="V827" i="11"/>
  <c r="Q828" i="11"/>
  <c r="R828" i="11"/>
  <c r="S828" i="11"/>
  <c r="T828" i="11"/>
  <c r="U828" i="11"/>
  <c r="V828" i="11"/>
  <c r="Q829" i="11"/>
  <c r="R829" i="11"/>
  <c r="S829" i="11"/>
  <c r="U829" i="11"/>
  <c r="V829" i="11"/>
  <c r="Q830" i="11"/>
  <c r="R830" i="11"/>
  <c r="S830" i="11"/>
  <c r="T830" i="11"/>
  <c r="U830" i="11"/>
  <c r="V830" i="11"/>
  <c r="Q831" i="11"/>
  <c r="R831" i="11"/>
  <c r="S831" i="11"/>
  <c r="T831" i="11"/>
  <c r="U831" i="11"/>
  <c r="V831" i="11"/>
  <c r="Q832" i="11"/>
  <c r="R832" i="11"/>
  <c r="S832" i="11"/>
  <c r="T832" i="11"/>
  <c r="U832" i="11"/>
  <c r="V832" i="11"/>
  <c r="Q833" i="11"/>
  <c r="R833" i="11"/>
  <c r="S833" i="11"/>
  <c r="T833" i="11"/>
  <c r="U833" i="11"/>
  <c r="V833" i="11"/>
  <c r="Q834" i="11"/>
  <c r="R834" i="11"/>
  <c r="S834" i="11"/>
  <c r="U834" i="11"/>
  <c r="V834" i="11"/>
  <c r="Q835" i="11"/>
  <c r="R835" i="11"/>
  <c r="S835" i="11"/>
  <c r="T835" i="11"/>
  <c r="U835" i="11"/>
  <c r="V835" i="11"/>
  <c r="Q836" i="11"/>
  <c r="R836" i="11"/>
  <c r="S836" i="11"/>
  <c r="T836" i="11"/>
  <c r="U836" i="11"/>
  <c r="V836" i="11"/>
  <c r="Q837" i="11"/>
  <c r="R837" i="11"/>
  <c r="S837" i="11"/>
  <c r="U837" i="11"/>
  <c r="V837" i="11"/>
  <c r="Q838" i="11"/>
  <c r="R838" i="11"/>
  <c r="S838" i="11"/>
  <c r="T838" i="11"/>
  <c r="U838" i="11"/>
  <c r="V838" i="11"/>
  <c r="Q839" i="11"/>
  <c r="R839" i="11"/>
  <c r="S839" i="11"/>
  <c r="T839" i="11"/>
  <c r="U839" i="11"/>
  <c r="V839" i="11"/>
  <c r="Q840" i="11"/>
  <c r="R840" i="11"/>
  <c r="S840" i="11"/>
  <c r="U840" i="11"/>
  <c r="V840" i="11"/>
  <c r="Q841" i="11"/>
  <c r="R841" i="11"/>
  <c r="S841" i="11"/>
  <c r="T841" i="11"/>
  <c r="U841" i="11"/>
  <c r="V841" i="11"/>
  <c r="Q842" i="11"/>
  <c r="R842" i="11"/>
  <c r="S842" i="11"/>
  <c r="T842" i="11"/>
  <c r="U842" i="11"/>
  <c r="V842" i="11"/>
  <c r="Q843" i="11"/>
  <c r="R843" i="11"/>
  <c r="S843" i="11"/>
  <c r="U843" i="11"/>
  <c r="V843" i="11"/>
  <c r="Q844" i="11"/>
  <c r="R844" i="11"/>
  <c r="S844" i="11"/>
  <c r="T844" i="11"/>
  <c r="U844" i="11"/>
  <c r="V844" i="11"/>
  <c r="Q845" i="11"/>
  <c r="R845" i="11"/>
  <c r="S845" i="11"/>
  <c r="T845" i="11"/>
  <c r="U845" i="11"/>
  <c r="V845" i="11"/>
  <c r="Q846" i="11"/>
  <c r="R846" i="11"/>
  <c r="S846" i="11"/>
  <c r="U846" i="11"/>
  <c r="V846" i="11"/>
  <c r="Q847" i="11"/>
  <c r="R847" i="11"/>
  <c r="S847" i="11"/>
  <c r="T847" i="11"/>
  <c r="U847" i="11"/>
  <c r="V847" i="11"/>
  <c r="Q848" i="11"/>
  <c r="R848" i="11"/>
  <c r="S848" i="11"/>
  <c r="T848" i="11"/>
  <c r="U848" i="11"/>
  <c r="V848" i="11"/>
  <c r="Q849" i="11"/>
  <c r="R849" i="11"/>
  <c r="S849" i="11"/>
  <c r="U849" i="11"/>
  <c r="V849" i="11"/>
  <c r="Q850" i="11"/>
  <c r="R850" i="11"/>
  <c r="S850" i="11"/>
  <c r="T850" i="11"/>
  <c r="U850" i="11"/>
  <c r="V850" i="11"/>
  <c r="Q851" i="11"/>
  <c r="R851" i="11"/>
  <c r="S851" i="11"/>
  <c r="T851" i="11"/>
  <c r="U851" i="11"/>
  <c r="V851" i="11"/>
  <c r="Q852" i="11"/>
  <c r="R852" i="11"/>
  <c r="S852" i="11"/>
  <c r="U852" i="11"/>
  <c r="V852" i="11"/>
  <c r="Q853" i="11"/>
  <c r="R853" i="11"/>
  <c r="S853" i="11"/>
  <c r="T853" i="11"/>
  <c r="U853" i="11"/>
  <c r="V853" i="11"/>
  <c r="Q854" i="11"/>
  <c r="R854" i="11"/>
  <c r="S854" i="11"/>
  <c r="T854" i="11"/>
  <c r="U854" i="11"/>
  <c r="V854" i="11"/>
  <c r="Q855" i="11"/>
  <c r="R855" i="11"/>
  <c r="S855" i="11"/>
  <c r="T855" i="11"/>
  <c r="U855" i="11"/>
  <c r="V855" i="11"/>
  <c r="Q856" i="11"/>
  <c r="R856" i="11"/>
  <c r="S856" i="11"/>
  <c r="T856" i="11"/>
  <c r="U856" i="11"/>
  <c r="V856" i="11"/>
  <c r="Q857" i="11"/>
  <c r="R857" i="11"/>
  <c r="S857" i="11"/>
  <c r="U857" i="11"/>
  <c r="V857" i="11"/>
  <c r="Q858" i="11"/>
  <c r="R858" i="11"/>
  <c r="S858" i="11"/>
  <c r="T858" i="11"/>
  <c r="U858" i="11"/>
  <c r="V858" i="11"/>
  <c r="Q859" i="11"/>
  <c r="R859" i="11"/>
  <c r="S859" i="11"/>
  <c r="T859" i="11"/>
  <c r="U859" i="11"/>
  <c r="V859" i="11"/>
  <c r="Q860" i="11"/>
  <c r="R860" i="11"/>
  <c r="S860" i="11"/>
  <c r="U860" i="11"/>
  <c r="V860" i="11"/>
  <c r="Q861" i="11"/>
  <c r="R861" i="11"/>
  <c r="S861" i="11"/>
  <c r="T861" i="11"/>
  <c r="U861" i="11"/>
  <c r="V861" i="11"/>
  <c r="Q862" i="11"/>
  <c r="R862" i="11"/>
  <c r="S862" i="11"/>
  <c r="T862" i="11"/>
  <c r="U862" i="11"/>
  <c r="V862" i="11"/>
  <c r="Q863" i="11"/>
  <c r="R863" i="11"/>
  <c r="S863" i="11"/>
  <c r="U863" i="11"/>
  <c r="V863" i="11"/>
  <c r="Q864" i="11"/>
  <c r="R864" i="11"/>
  <c r="S864" i="11"/>
  <c r="T864" i="11"/>
  <c r="U864" i="11"/>
  <c r="V864" i="11"/>
  <c r="Q865" i="11"/>
  <c r="R865" i="11"/>
  <c r="S865" i="11"/>
  <c r="T865" i="11"/>
  <c r="U865" i="11"/>
  <c r="V865" i="11"/>
  <c r="Q866" i="11"/>
  <c r="R866" i="11"/>
  <c r="S866" i="11"/>
  <c r="U866" i="11"/>
  <c r="V866" i="11"/>
  <c r="Q867" i="11"/>
  <c r="R867" i="11"/>
  <c r="S867" i="11"/>
  <c r="T867" i="11"/>
  <c r="U867" i="11"/>
  <c r="V867" i="11"/>
  <c r="Q868" i="11"/>
  <c r="R868" i="11"/>
  <c r="S868" i="11"/>
  <c r="T868" i="11"/>
  <c r="U868" i="11"/>
  <c r="V868" i="11"/>
  <c r="Q869" i="11"/>
  <c r="R869" i="11"/>
  <c r="S869" i="11"/>
  <c r="U869" i="11"/>
  <c r="V869" i="11"/>
  <c r="Q870" i="11"/>
  <c r="R870" i="11"/>
  <c r="S870" i="11"/>
  <c r="T870" i="11"/>
  <c r="U870" i="11"/>
  <c r="V870" i="11"/>
  <c r="Q871" i="11"/>
  <c r="R871" i="11"/>
  <c r="S871" i="11"/>
  <c r="T871" i="11"/>
  <c r="U871" i="11"/>
  <c r="V871" i="11"/>
  <c r="Q872" i="11"/>
  <c r="R872" i="11"/>
  <c r="S872" i="11"/>
  <c r="U872" i="11"/>
  <c r="V872" i="11"/>
  <c r="Q873" i="11"/>
  <c r="R873" i="11"/>
  <c r="S873" i="11"/>
  <c r="T873" i="11"/>
  <c r="U873" i="11"/>
  <c r="V873" i="11"/>
  <c r="Q874" i="11"/>
  <c r="R874" i="11"/>
  <c r="S874" i="11"/>
  <c r="T874" i="11"/>
  <c r="U874" i="11"/>
  <c r="V874" i="11"/>
  <c r="Q875" i="11"/>
  <c r="R875" i="11"/>
  <c r="S875" i="11"/>
  <c r="U875" i="11"/>
  <c r="V875" i="11"/>
  <c r="Q876" i="11"/>
  <c r="R876" i="11"/>
  <c r="S876" i="11"/>
  <c r="T876" i="11"/>
  <c r="U876" i="11"/>
  <c r="V876" i="11"/>
  <c r="Q877" i="11"/>
  <c r="R877" i="11"/>
  <c r="S877" i="11"/>
  <c r="T877" i="11"/>
  <c r="U877" i="11"/>
  <c r="V877" i="11"/>
  <c r="Q878" i="11"/>
  <c r="R878" i="11"/>
  <c r="S878" i="11"/>
  <c r="U878" i="11"/>
  <c r="V878" i="11"/>
  <c r="Q879" i="11"/>
  <c r="R879" i="11"/>
  <c r="S879" i="11"/>
  <c r="T879" i="11"/>
  <c r="U879" i="11"/>
  <c r="V879" i="11"/>
  <c r="Q880" i="11"/>
  <c r="R880" i="11"/>
  <c r="S880" i="11"/>
  <c r="T880" i="11"/>
  <c r="U880" i="11"/>
  <c r="V880" i="11"/>
  <c r="Q881" i="11"/>
  <c r="R881" i="11"/>
  <c r="S881" i="11"/>
  <c r="U881" i="11"/>
  <c r="V881" i="11"/>
  <c r="Q882" i="11"/>
  <c r="R882" i="11"/>
  <c r="S882" i="11"/>
  <c r="T882" i="11"/>
  <c r="U882" i="11"/>
  <c r="V882" i="11"/>
  <c r="Q883" i="11"/>
  <c r="R883" i="11"/>
  <c r="S883" i="11"/>
  <c r="T883" i="11"/>
  <c r="U883" i="11"/>
  <c r="V883" i="11"/>
  <c r="Q884" i="11"/>
  <c r="R884" i="11"/>
  <c r="S884" i="11"/>
  <c r="U884" i="11"/>
  <c r="V884" i="11"/>
  <c r="Q885" i="11"/>
  <c r="R885" i="11"/>
  <c r="S885" i="11"/>
  <c r="T885" i="11"/>
  <c r="U885" i="11"/>
  <c r="V885" i="11"/>
  <c r="Q886" i="11"/>
  <c r="R886" i="11"/>
  <c r="S886" i="11"/>
  <c r="T886" i="11"/>
  <c r="U886" i="11"/>
  <c r="V886" i="11"/>
  <c r="Q887" i="11"/>
  <c r="R887" i="11"/>
  <c r="S887" i="11"/>
  <c r="U887" i="11"/>
  <c r="V887" i="11"/>
  <c r="Q888" i="11"/>
  <c r="R888" i="11"/>
  <c r="S888" i="11"/>
  <c r="T888" i="11"/>
  <c r="U888" i="11"/>
  <c r="V888" i="11"/>
  <c r="Q889" i="11"/>
  <c r="R889" i="11"/>
  <c r="S889" i="11"/>
  <c r="T889" i="11"/>
  <c r="U889" i="11"/>
  <c r="V889" i="11"/>
  <c r="Q890" i="11"/>
  <c r="R890" i="11"/>
  <c r="S890" i="11"/>
  <c r="U890" i="11"/>
  <c r="V890" i="11"/>
  <c r="Q891" i="11"/>
  <c r="R891" i="11"/>
  <c r="S891" i="11"/>
  <c r="T891" i="11"/>
  <c r="U891" i="11"/>
  <c r="V891" i="11"/>
  <c r="Q892" i="11"/>
  <c r="R892" i="11"/>
  <c r="S892" i="11"/>
  <c r="T892" i="11"/>
  <c r="U892" i="11"/>
  <c r="V892" i="11"/>
  <c r="Q893" i="11"/>
  <c r="R893" i="11"/>
  <c r="S893" i="11"/>
  <c r="U893" i="11"/>
  <c r="V893" i="11"/>
  <c r="Q894" i="11"/>
  <c r="R894" i="11"/>
  <c r="S894" i="11"/>
  <c r="T894" i="11"/>
  <c r="U894" i="11"/>
  <c r="V894" i="11"/>
  <c r="Q895" i="11"/>
  <c r="R895" i="11"/>
  <c r="S895" i="11"/>
  <c r="T895" i="11"/>
  <c r="U895" i="11"/>
  <c r="V895" i="11"/>
  <c r="Q896" i="11"/>
  <c r="R896" i="11"/>
  <c r="S896" i="11"/>
  <c r="T896" i="11"/>
  <c r="U896" i="11"/>
  <c r="V896" i="11"/>
  <c r="Q897" i="11"/>
  <c r="R897" i="11"/>
  <c r="S897" i="11"/>
  <c r="T897" i="11"/>
  <c r="U897" i="11"/>
  <c r="V897" i="11"/>
  <c r="Q898" i="11"/>
  <c r="R898" i="11"/>
  <c r="S898" i="11"/>
  <c r="U898" i="11"/>
  <c r="V898" i="11"/>
  <c r="Q899" i="11"/>
  <c r="R899" i="11"/>
  <c r="S899" i="11"/>
  <c r="T899" i="11"/>
  <c r="U899" i="11"/>
  <c r="V899" i="11"/>
  <c r="Q900" i="11"/>
  <c r="R900" i="11"/>
  <c r="S900" i="11"/>
  <c r="T900" i="11"/>
  <c r="U900" i="11"/>
  <c r="V900" i="11"/>
  <c r="Q901" i="11"/>
  <c r="R901" i="11"/>
  <c r="S901" i="11"/>
  <c r="U901" i="11"/>
  <c r="V901" i="11"/>
  <c r="Q902" i="11"/>
  <c r="R902" i="11"/>
  <c r="S902" i="11"/>
  <c r="T902" i="11"/>
  <c r="U902" i="11"/>
  <c r="V902" i="11"/>
  <c r="Q903" i="11"/>
  <c r="R903" i="11"/>
  <c r="S903" i="11"/>
  <c r="T903" i="11"/>
  <c r="U903" i="11"/>
  <c r="V903" i="11"/>
  <c r="Q904" i="11"/>
  <c r="R904" i="11"/>
  <c r="S904" i="11"/>
  <c r="U904" i="11"/>
  <c r="V904" i="11"/>
  <c r="Q905" i="11"/>
  <c r="R905" i="11"/>
  <c r="S905" i="11"/>
  <c r="T905" i="11"/>
  <c r="U905" i="11"/>
  <c r="V905" i="11"/>
  <c r="Q906" i="11"/>
  <c r="R906" i="11"/>
  <c r="S906" i="11"/>
  <c r="T906" i="11"/>
  <c r="U906" i="11"/>
  <c r="V906" i="11"/>
  <c r="Q907" i="11"/>
  <c r="R907" i="11"/>
  <c r="S907" i="11"/>
  <c r="U907" i="11"/>
  <c r="V907" i="11"/>
  <c r="Q908" i="11"/>
  <c r="R908" i="11"/>
  <c r="S908" i="11"/>
  <c r="T908" i="11"/>
  <c r="U908" i="11"/>
  <c r="V908" i="11"/>
  <c r="Q909" i="11"/>
  <c r="R909" i="11"/>
  <c r="S909" i="11"/>
  <c r="T909" i="11"/>
  <c r="U909" i="11"/>
  <c r="V909" i="11"/>
  <c r="Q910" i="11"/>
  <c r="R910" i="11"/>
  <c r="S910" i="11"/>
  <c r="U910" i="11"/>
  <c r="V910" i="11"/>
  <c r="Q911" i="11"/>
  <c r="R911" i="11"/>
  <c r="S911" i="11"/>
  <c r="T911" i="11"/>
  <c r="U911" i="11"/>
  <c r="V911" i="11"/>
  <c r="Q912" i="11"/>
  <c r="R912" i="11"/>
  <c r="S912" i="11"/>
  <c r="T912" i="11"/>
  <c r="U912" i="11"/>
  <c r="V912" i="11"/>
  <c r="Q913" i="11"/>
  <c r="R913" i="11"/>
  <c r="S913" i="11"/>
  <c r="U913" i="11"/>
  <c r="V913" i="11"/>
  <c r="Q914" i="11"/>
  <c r="R914" i="11"/>
  <c r="S914" i="11"/>
  <c r="T914" i="11"/>
  <c r="U914" i="11"/>
  <c r="V914" i="11"/>
  <c r="Q915" i="11"/>
  <c r="R915" i="11"/>
  <c r="S915" i="11"/>
  <c r="T915" i="11"/>
  <c r="U915" i="11"/>
  <c r="V915" i="11"/>
  <c r="Q916" i="11"/>
  <c r="R916" i="11"/>
  <c r="S916" i="11"/>
  <c r="U916" i="11"/>
  <c r="V916" i="11"/>
  <c r="Q917" i="11"/>
  <c r="R917" i="11"/>
  <c r="S917" i="11"/>
  <c r="T917" i="11"/>
  <c r="U917" i="11"/>
  <c r="V917" i="11"/>
  <c r="Q918" i="11"/>
  <c r="R918" i="11"/>
  <c r="S918" i="11"/>
  <c r="T918" i="11"/>
  <c r="U918" i="11"/>
  <c r="V918" i="11"/>
  <c r="Q919" i="11"/>
  <c r="R919" i="11"/>
  <c r="S919" i="11"/>
  <c r="T919" i="11"/>
  <c r="U919" i="11"/>
  <c r="V919" i="11"/>
  <c r="Q920" i="11"/>
  <c r="R920" i="11"/>
  <c r="T920" i="11"/>
  <c r="U920" i="11"/>
  <c r="V920" i="11"/>
  <c r="Q921" i="11"/>
  <c r="R921" i="11"/>
  <c r="S921" i="11"/>
  <c r="T921" i="11"/>
  <c r="U921" i="11"/>
  <c r="V921" i="11"/>
  <c r="Q922" i="11"/>
  <c r="R922" i="11"/>
  <c r="T922" i="11"/>
  <c r="U922" i="11"/>
  <c r="V922" i="11"/>
  <c r="Q923" i="11"/>
  <c r="R923" i="11"/>
  <c r="S923" i="11"/>
  <c r="T923" i="11"/>
  <c r="U923" i="11"/>
  <c r="V923" i="11"/>
  <c r="Q924" i="11"/>
  <c r="R924" i="11"/>
  <c r="T924" i="11"/>
  <c r="U924" i="11"/>
  <c r="V924" i="11"/>
  <c r="Q925" i="11"/>
  <c r="R925" i="11"/>
  <c r="S925" i="11"/>
  <c r="T925" i="11"/>
  <c r="U925" i="11"/>
  <c r="V925" i="11"/>
  <c r="Q926" i="11"/>
  <c r="R926" i="11"/>
  <c r="T926" i="11"/>
  <c r="U926" i="11"/>
  <c r="V926" i="11"/>
  <c r="Q927" i="11"/>
  <c r="R927" i="11"/>
  <c r="S927" i="11"/>
  <c r="T927" i="11"/>
  <c r="U927" i="11"/>
  <c r="V927" i="11"/>
  <c r="Q928" i="11"/>
  <c r="R928" i="11"/>
  <c r="T928" i="11"/>
  <c r="U928" i="11"/>
  <c r="V928" i="11"/>
  <c r="Q929" i="11"/>
  <c r="R929" i="11"/>
  <c r="S929" i="11"/>
  <c r="T929" i="11"/>
  <c r="U929" i="11"/>
  <c r="V929" i="11"/>
  <c r="Q930" i="11"/>
  <c r="R930" i="11"/>
  <c r="T930" i="11"/>
  <c r="U930" i="11"/>
  <c r="V930" i="11"/>
  <c r="Q931" i="11"/>
  <c r="R931" i="11"/>
  <c r="S931" i="11"/>
  <c r="T931" i="11"/>
  <c r="U931" i="11"/>
  <c r="V931" i="11"/>
  <c r="Q932" i="11"/>
  <c r="R932" i="11"/>
  <c r="T932" i="11"/>
  <c r="U932" i="11"/>
  <c r="V932" i="11"/>
  <c r="Q933" i="11"/>
  <c r="R933" i="11"/>
  <c r="S933" i="11"/>
  <c r="T933" i="11"/>
  <c r="U933" i="11"/>
  <c r="V933" i="11"/>
  <c r="Q934" i="11"/>
  <c r="R934" i="11"/>
  <c r="T934" i="11"/>
  <c r="U934" i="11"/>
  <c r="V934" i="11"/>
  <c r="Q935" i="11"/>
  <c r="R935" i="11"/>
  <c r="S935" i="11"/>
  <c r="T935" i="11"/>
  <c r="U935" i="11"/>
  <c r="V935" i="11"/>
  <c r="Q936" i="11"/>
  <c r="R936" i="11"/>
  <c r="T936" i="11"/>
  <c r="U936" i="11"/>
  <c r="V936" i="11"/>
  <c r="Q937" i="11"/>
  <c r="R937" i="11"/>
  <c r="S937" i="11"/>
  <c r="T937" i="11"/>
  <c r="U937" i="11"/>
  <c r="V937" i="11"/>
  <c r="Q938" i="11"/>
  <c r="R938" i="11"/>
  <c r="T938" i="11"/>
  <c r="U938" i="11"/>
  <c r="V938" i="11"/>
  <c r="Q939" i="11"/>
  <c r="R939" i="11"/>
  <c r="S939" i="11"/>
  <c r="T939" i="11"/>
  <c r="U939" i="11"/>
  <c r="V939" i="11"/>
  <c r="Q940" i="11"/>
  <c r="R940" i="11"/>
  <c r="T940" i="11"/>
  <c r="U940" i="11"/>
  <c r="V940" i="11"/>
  <c r="Q941" i="11"/>
  <c r="R941" i="11"/>
  <c r="S941" i="11"/>
  <c r="T941" i="11"/>
  <c r="U941" i="11"/>
  <c r="V941" i="11"/>
  <c r="Q942" i="11"/>
  <c r="R942" i="11"/>
  <c r="T942" i="11"/>
  <c r="U942" i="11"/>
  <c r="V942" i="11"/>
  <c r="Q943" i="11"/>
  <c r="R943" i="11"/>
  <c r="S943" i="11"/>
  <c r="T943" i="11"/>
  <c r="U943" i="11"/>
  <c r="V943" i="11"/>
  <c r="Q944" i="11"/>
  <c r="R944" i="11"/>
  <c r="T944" i="11"/>
  <c r="U944" i="11"/>
  <c r="V944" i="11"/>
  <c r="Q945" i="11"/>
  <c r="R945" i="11"/>
  <c r="S945" i="11"/>
  <c r="T945" i="11"/>
  <c r="U945" i="11"/>
  <c r="V945" i="11"/>
  <c r="Q946" i="11"/>
  <c r="R946" i="11"/>
  <c r="S946" i="11"/>
  <c r="T946" i="11"/>
  <c r="U946" i="11"/>
  <c r="V946" i="11"/>
  <c r="Q947" i="11"/>
  <c r="R947" i="11"/>
  <c r="S947" i="11"/>
  <c r="T947" i="11"/>
  <c r="U947" i="11"/>
  <c r="V947" i="11"/>
  <c r="Q948" i="11"/>
  <c r="R948" i="11"/>
  <c r="S948" i="11"/>
  <c r="T948" i="11"/>
  <c r="V948" i="11"/>
  <c r="Q949" i="11"/>
  <c r="R949" i="11"/>
  <c r="S949" i="11"/>
  <c r="T949" i="11"/>
  <c r="U949" i="11"/>
  <c r="V949" i="11"/>
  <c r="Q950" i="11"/>
  <c r="R950" i="11"/>
  <c r="S950" i="11"/>
  <c r="T950" i="11"/>
  <c r="U950" i="11"/>
  <c r="V950" i="11"/>
  <c r="Q951" i="11"/>
  <c r="R951" i="11"/>
  <c r="S951" i="11"/>
  <c r="T951" i="11"/>
  <c r="U951" i="11"/>
  <c r="V951" i="11"/>
  <c r="Q952" i="11"/>
  <c r="R952" i="11"/>
  <c r="S952" i="11"/>
  <c r="T952" i="11"/>
  <c r="U952" i="11"/>
  <c r="V952" i="11"/>
  <c r="Q953" i="11"/>
  <c r="R953" i="11"/>
  <c r="S953" i="11"/>
  <c r="T953" i="11"/>
  <c r="U953" i="11"/>
  <c r="V953" i="11"/>
  <c r="Q954" i="11"/>
  <c r="R954" i="11"/>
  <c r="S954" i="11"/>
  <c r="T954" i="11"/>
  <c r="V954" i="11"/>
  <c r="Q955" i="11"/>
  <c r="R955" i="11"/>
  <c r="S955" i="11"/>
  <c r="T955" i="11"/>
  <c r="U955" i="11"/>
  <c r="V955" i="11"/>
  <c r="Q956" i="11"/>
  <c r="R956" i="11"/>
  <c r="S956" i="11"/>
  <c r="T956" i="11"/>
  <c r="U956" i="11"/>
  <c r="V956" i="11"/>
  <c r="Q957" i="11"/>
  <c r="R957" i="11"/>
  <c r="T957" i="11"/>
  <c r="U957" i="11"/>
  <c r="V957" i="11"/>
  <c r="Q958" i="11"/>
  <c r="R958" i="11"/>
  <c r="S958" i="11"/>
  <c r="T958" i="11"/>
  <c r="U958" i="11"/>
  <c r="V958" i="11"/>
  <c r="Q959" i="11"/>
  <c r="R959" i="11"/>
  <c r="S959" i="11"/>
  <c r="T959" i="11"/>
  <c r="U959" i="11"/>
  <c r="V959" i="11"/>
  <c r="Q960" i="11"/>
  <c r="R960" i="11"/>
  <c r="S960" i="11"/>
  <c r="T960" i="11"/>
  <c r="U960" i="11"/>
  <c r="Q961" i="11"/>
  <c r="R961" i="11"/>
  <c r="S961" i="11"/>
  <c r="T961" i="11"/>
  <c r="U961" i="11"/>
  <c r="V961" i="11"/>
  <c r="Q962" i="11"/>
  <c r="R962" i="11"/>
  <c r="S962" i="11"/>
  <c r="T962" i="11"/>
  <c r="U962" i="11"/>
  <c r="V962" i="11"/>
  <c r="Q963" i="11"/>
  <c r="R963" i="11"/>
  <c r="S963" i="11"/>
  <c r="T963" i="11"/>
  <c r="V963" i="11"/>
  <c r="Q964" i="11"/>
  <c r="R964" i="11"/>
  <c r="S964" i="11"/>
  <c r="T964" i="11"/>
  <c r="U964" i="11"/>
  <c r="V964" i="11"/>
  <c r="Q965" i="11"/>
  <c r="R965" i="11"/>
  <c r="S965" i="11"/>
  <c r="T965" i="11"/>
  <c r="U965" i="11"/>
  <c r="V965" i="11"/>
  <c r="Q966" i="11"/>
  <c r="R966" i="11"/>
  <c r="S966" i="11"/>
  <c r="T966" i="11"/>
  <c r="V966" i="11"/>
  <c r="Q967" i="11"/>
  <c r="R967" i="11"/>
  <c r="S967" i="11"/>
  <c r="T967" i="11"/>
  <c r="U967" i="11"/>
  <c r="V967" i="11"/>
  <c r="Q968" i="11"/>
  <c r="R968" i="11"/>
  <c r="S968" i="11"/>
  <c r="T968" i="11"/>
  <c r="U968" i="11"/>
  <c r="V968" i="11"/>
  <c r="Q969" i="11"/>
  <c r="R969" i="11"/>
  <c r="S969" i="11"/>
  <c r="T969" i="11"/>
  <c r="V969" i="11"/>
  <c r="Q970" i="11"/>
  <c r="R970" i="11"/>
  <c r="S970" i="11"/>
  <c r="T970" i="11"/>
  <c r="U970" i="11"/>
  <c r="V970" i="11"/>
  <c r="Q971" i="11"/>
  <c r="R971" i="11"/>
  <c r="S971" i="11"/>
  <c r="T971" i="11"/>
  <c r="U971" i="11"/>
  <c r="V971" i="11"/>
  <c r="Q972" i="11"/>
  <c r="R972" i="11"/>
  <c r="S972" i="11"/>
  <c r="T972" i="11"/>
  <c r="V972" i="11"/>
  <c r="Q973" i="11"/>
  <c r="R973" i="11"/>
  <c r="S973" i="11"/>
  <c r="T973" i="11"/>
  <c r="U973" i="11"/>
  <c r="V973" i="11"/>
  <c r="Q974" i="11"/>
  <c r="R974" i="11"/>
  <c r="S974" i="11"/>
  <c r="T974" i="11"/>
  <c r="U974" i="11"/>
  <c r="V974" i="11"/>
  <c r="Q975" i="11"/>
  <c r="R975" i="11"/>
  <c r="S975" i="11"/>
  <c r="T975" i="11"/>
  <c r="U975" i="11"/>
  <c r="Q976" i="11"/>
  <c r="R976" i="11"/>
  <c r="S976" i="11"/>
  <c r="T976" i="11"/>
  <c r="U976" i="11"/>
  <c r="V976" i="11"/>
  <c r="Q977" i="11"/>
  <c r="R977" i="11"/>
  <c r="S977" i="11"/>
  <c r="T977" i="11"/>
  <c r="U977" i="11"/>
  <c r="V977" i="11"/>
  <c r="Q978" i="11"/>
  <c r="R978" i="11"/>
  <c r="S978" i="11"/>
  <c r="T978" i="11"/>
  <c r="U978" i="11"/>
  <c r="Q979" i="11"/>
  <c r="R979" i="11"/>
  <c r="S979" i="11"/>
  <c r="T979" i="11"/>
  <c r="U979" i="11"/>
  <c r="V979" i="11"/>
  <c r="Q980" i="11"/>
  <c r="R980" i="11"/>
  <c r="S980" i="11"/>
  <c r="T980" i="11"/>
  <c r="U980" i="11"/>
  <c r="V980" i="11"/>
  <c r="Q981" i="11"/>
  <c r="R981" i="11"/>
  <c r="S981" i="11"/>
  <c r="T981" i="11"/>
  <c r="U981" i="11"/>
  <c r="Q982" i="11"/>
  <c r="R982" i="11"/>
  <c r="S982" i="11"/>
  <c r="T982" i="11"/>
  <c r="U982" i="11"/>
  <c r="V982" i="11"/>
  <c r="Q983" i="11"/>
  <c r="R983" i="11"/>
  <c r="S983" i="11"/>
  <c r="T983" i="11"/>
  <c r="U983" i="11"/>
  <c r="V983" i="11"/>
  <c r="Q984" i="11"/>
  <c r="R984" i="11"/>
  <c r="S984" i="11"/>
  <c r="T984" i="11"/>
  <c r="U984" i="11"/>
  <c r="Q985" i="11"/>
  <c r="R985" i="11"/>
  <c r="S985" i="11"/>
  <c r="T985" i="11"/>
  <c r="U985" i="11"/>
  <c r="V985" i="11"/>
  <c r="Q986" i="11"/>
  <c r="R986" i="11"/>
  <c r="S986" i="11"/>
  <c r="T986" i="11"/>
  <c r="U986" i="11"/>
  <c r="V986" i="11"/>
  <c r="Q987" i="11"/>
  <c r="R987" i="11"/>
  <c r="S987" i="11"/>
  <c r="T987" i="11"/>
  <c r="V987" i="11"/>
  <c r="Q988" i="11"/>
  <c r="R988" i="11"/>
  <c r="S988" i="11"/>
  <c r="T988" i="11"/>
  <c r="U988" i="11"/>
  <c r="V988" i="11"/>
  <c r="Q989" i="11"/>
  <c r="R989" i="11"/>
  <c r="S989" i="11"/>
  <c r="T989" i="11"/>
  <c r="U989" i="11"/>
  <c r="V989" i="11"/>
  <c r="Q990" i="11"/>
  <c r="R990" i="11"/>
  <c r="S990" i="11"/>
  <c r="T990" i="11"/>
  <c r="U990" i="11"/>
  <c r="Q991" i="11"/>
  <c r="R991" i="11"/>
  <c r="S991" i="11"/>
  <c r="T991" i="11"/>
  <c r="U991" i="11"/>
  <c r="V991" i="11"/>
  <c r="Q992" i="11"/>
  <c r="R992" i="11"/>
  <c r="S992" i="11"/>
  <c r="T992" i="11"/>
  <c r="U992" i="11"/>
  <c r="V992" i="11"/>
  <c r="Q993" i="11"/>
  <c r="R993" i="11"/>
  <c r="S993" i="11"/>
  <c r="T993" i="11"/>
  <c r="V993" i="11"/>
  <c r="Q994" i="11"/>
  <c r="R994" i="11"/>
  <c r="S994" i="11"/>
  <c r="T994" i="11"/>
  <c r="U994" i="11"/>
  <c r="V994" i="11"/>
  <c r="Q995" i="11"/>
  <c r="R995" i="11"/>
  <c r="S995" i="11"/>
  <c r="T995" i="11"/>
  <c r="U995" i="11"/>
  <c r="V995" i="11"/>
  <c r="Q996" i="11"/>
  <c r="R996" i="11"/>
  <c r="S996" i="11"/>
  <c r="T996" i="11"/>
  <c r="U996" i="11"/>
  <c r="Q997" i="11"/>
  <c r="R997" i="11"/>
  <c r="S997" i="11"/>
  <c r="T997" i="11"/>
  <c r="U997" i="11"/>
  <c r="V997" i="11"/>
  <c r="Q998" i="11"/>
  <c r="R998" i="11"/>
  <c r="S998" i="11"/>
  <c r="T998" i="11"/>
  <c r="U998" i="11"/>
  <c r="V998" i="11"/>
  <c r="Q999" i="11"/>
  <c r="R999" i="11"/>
  <c r="S999" i="11"/>
  <c r="T999" i="11"/>
  <c r="U999" i="11"/>
  <c r="Q1000" i="11"/>
  <c r="R1000" i="11"/>
  <c r="S1000" i="11"/>
  <c r="T1000" i="11"/>
  <c r="U1000" i="11"/>
  <c r="V1000" i="11"/>
  <c r="Q1001" i="11"/>
  <c r="R1001" i="11"/>
  <c r="S1001" i="11"/>
  <c r="T1001" i="11"/>
  <c r="U1001" i="11"/>
  <c r="V1001" i="11"/>
  <c r="Q1002" i="11"/>
  <c r="R1002" i="11"/>
  <c r="S1002" i="11"/>
  <c r="T1002" i="11"/>
  <c r="V1002" i="11"/>
  <c r="Q1003" i="11"/>
  <c r="R1003" i="11"/>
  <c r="S1003" i="11"/>
  <c r="T1003" i="11"/>
  <c r="U1003" i="11"/>
  <c r="V1003" i="11"/>
  <c r="Q1004" i="11"/>
  <c r="R1004" i="11"/>
  <c r="S1004" i="11"/>
  <c r="T1004" i="11"/>
  <c r="U1004" i="11"/>
  <c r="V1004" i="11"/>
  <c r="Q1005" i="11"/>
  <c r="R1005" i="11"/>
  <c r="T1005" i="11"/>
  <c r="U1005" i="11"/>
  <c r="V1005" i="11"/>
  <c r="Q1006" i="11"/>
  <c r="R1006" i="11"/>
  <c r="S1006" i="11"/>
  <c r="T1006" i="11"/>
  <c r="U1006" i="11"/>
  <c r="V1006" i="11"/>
  <c r="Q1007" i="11"/>
  <c r="R1007" i="11"/>
  <c r="S1007" i="11"/>
  <c r="T1007" i="11"/>
  <c r="U1007" i="11"/>
  <c r="V1007" i="11"/>
  <c r="Q1008" i="11"/>
  <c r="R1008" i="11"/>
  <c r="S1008" i="11"/>
  <c r="T1008" i="11"/>
  <c r="V1008" i="11"/>
  <c r="Q1009" i="11"/>
  <c r="R1009" i="11"/>
  <c r="S1009" i="11"/>
  <c r="T1009" i="11"/>
  <c r="U1009" i="11"/>
  <c r="V1009" i="11"/>
  <c r="Q1010" i="11"/>
  <c r="R1010" i="11"/>
  <c r="S1010" i="11"/>
  <c r="T1010" i="11"/>
  <c r="U1010" i="11"/>
  <c r="V1010" i="11"/>
  <c r="Q1011" i="11"/>
  <c r="R1011" i="11"/>
  <c r="S1011" i="11"/>
  <c r="T1011" i="11"/>
  <c r="V1011" i="11"/>
  <c r="Q1012" i="11"/>
  <c r="R1012" i="11"/>
  <c r="S1012" i="11"/>
  <c r="T1012" i="11"/>
  <c r="U1012" i="11"/>
  <c r="V1012" i="11"/>
  <c r="Q1013" i="11"/>
  <c r="R1013" i="11"/>
  <c r="S1013" i="11"/>
  <c r="T1013" i="11"/>
  <c r="U1013" i="11"/>
  <c r="V1013" i="11"/>
  <c r="Q1014" i="11"/>
  <c r="R1014" i="11"/>
  <c r="S1014" i="11"/>
  <c r="T1014" i="11"/>
  <c r="V1014" i="11"/>
  <c r="Q1015" i="11"/>
  <c r="R1015" i="11"/>
  <c r="S1015" i="11"/>
  <c r="T1015" i="11"/>
  <c r="U1015" i="11"/>
  <c r="V1015" i="11"/>
  <c r="Q1016" i="11"/>
  <c r="R1016" i="11"/>
  <c r="S1016" i="11"/>
  <c r="T1016" i="11"/>
  <c r="U1016" i="11"/>
  <c r="V1016" i="11"/>
  <c r="Q1017" i="11"/>
  <c r="R1017" i="11"/>
  <c r="S1017" i="11"/>
  <c r="T1017" i="11"/>
  <c r="U1017" i="11"/>
  <c r="Q1018" i="11"/>
  <c r="R1018" i="11"/>
  <c r="S1018" i="11"/>
  <c r="T1018" i="11"/>
  <c r="U1018" i="11"/>
  <c r="V1018" i="11"/>
  <c r="Q1019" i="11"/>
  <c r="R1019" i="11"/>
  <c r="S1019" i="11"/>
  <c r="T1019" i="11"/>
  <c r="U1019" i="11"/>
  <c r="V1019" i="11"/>
  <c r="Q1020" i="11"/>
  <c r="R1020" i="11"/>
  <c r="S1020" i="11"/>
  <c r="T1020" i="11"/>
  <c r="V1020" i="11"/>
  <c r="Q1021" i="11"/>
  <c r="R1021" i="11"/>
  <c r="S1021" i="11"/>
  <c r="T1021" i="11"/>
  <c r="U1021" i="11"/>
  <c r="V1021" i="11"/>
  <c r="Q1022" i="11"/>
  <c r="R1022" i="11"/>
  <c r="S1022" i="11"/>
  <c r="T1022" i="11"/>
  <c r="U1022" i="11"/>
  <c r="V1022" i="11"/>
  <c r="Q1023" i="11"/>
  <c r="R1023" i="11"/>
  <c r="S1023" i="11"/>
  <c r="T1023" i="11"/>
  <c r="U1023" i="11"/>
  <c r="Q1024" i="11"/>
  <c r="R1024" i="11"/>
  <c r="S1024" i="11"/>
  <c r="T1024" i="11"/>
  <c r="U1024" i="11"/>
  <c r="V1024" i="11"/>
  <c r="Q1025" i="11"/>
  <c r="R1025" i="11"/>
  <c r="S1025" i="11"/>
  <c r="T1025" i="11"/>
  <c r="U1025" i="11"/>
  <c r="V1025" i="11"/>
  <c r="Q1026" i="11"/>
  <c r="R1026" i="11"/>
  <c r="S1026" i="11"/>
  <c r="T1026" i="11"/>
  <c r="V1026" i="11"/>
  <c r="Q1027" i="11"/>
  <c r="R1027" i="11"/>
  <c r="S1027" i="11"/>
  <c r="T1027" i="11"/>
  <c r="U1027" i="11"/>
  <c r="V1027" i="11"/>
  <c r="Q1028" i="11"/>
  <c r="R1028" i="11"/>
  <c r="S1028" i="11"/>
  <c r="T1028" i="11"/>
  <c r="U1028" i="11"/>
  <c r="V1028" i="11"/>
  <c r="Q1029" i="11"/>
  <c r="R1029" i="11"/>
  <c r="S1029" i="11"/>
  <c r="T1029" i="11"/>
  <c r="V1029" i="11"/>
  <c r="Q1030" i="11"/>
  <c r="R1030" i="11"/>
  <c r="S1030" i="11"/>
  <c r="T1030" i="11"/>
  <c r="U1030" i="11"/>
  <c r="V1030" i="11"/>
  <c r="Q1031" i="11"/>
  <c r="R1031" i="11"/>
  <c r="S1031" i="11"/>
  <c r="T1031" i="11"/>
  <c r="U1031" i="11"/>
  <c r="V1031" i="11"/>
  <c r="Q1032" i="11"/>
  <c r="R1032" i="11"/>
  <c r="S1032" i="11"/>
  <c r="T1032" i="11"/>
  <c r="V1032" i="11"/>
  <c r="Q1033" i="11"/>
  <c r="R1033" i="11"/>
  <c r="S1033" i="11"/>
  <c r="T1033" i="11"/>
  <c r="U1033" i="11"/>
  <c r="V1033" i="11"/>
  <c r="Q1034" i="11"/>
  <c r="R1034" i="11"/>
  <c r="S1034" i="11"/>
  <c r="T1034" i="11"/>
  <c r="U1034" i="11"/>
  <c r="V1034" i="11"/>
  <c r="Q1035" i="11"/>
  <c r="R1035" i="11"/>
  <c r="S1035" i="11"/>
  <c r="T1035" i="11"/>
  <c r="V1035" i="11"/>
  <c r="Q1036" i="11"/>
  <c r="R1036" i="11"/>
  <c r="S1036" i="11"/>
  <c r="T1036" i="11"/>
  <c r="U1036" i="11"/>
  <c r="V1036" i="11"/>
  <c r="Q1037" i="11"/>
  <c r="R1037" i="11"/>
  <c r="S1037" i="11"/>
  <c r="T1037" i="11"/>
  <c r="U1037" i="11"/>
  <c r="V1037" i="11"/>
  <c r="Q1038" i="11"/>
  <c r="R1038" i="11"/>
  <c r="S1038" i="11"/>
  <c r="U1038" i="11"/>
  <c r="V1038" i="11"/>
  <c r="Q1039" i="11"/>
  <c r="R1039" i="11"/>
  <c r="S1039" i="11"/>
  <c r="T1039" i="11"/>
  <c r="U1039" i="11"/>
  <c r="V1039" i="11"/>
  <c r="Q1040" i="11"/>
  <c r="R1040" i="11"/>
  <c r="S1040" i="11"/>
  <c r="T1040" i="11"/>
  <c r="U1040" i="11"/>
  <c r="V1040" i="11"/>
  <c r="Q1041" i="11"/>
  <c r="R1041" i="11"/>
  <c r="S1041" i="11"/>
  <c r="T1041" i="11"/>
  <c r="V1041" i="11"/>
  <c r="Q1042" i="11"/>
  <c r="R1042" i="11"/>
  <c r="S1042" i="11"/>
  <c r="T1042" i="11"/>
  <c r="U1042" i="11"/>
  <c r="V1042" i="11"/>
  <c r="Q1043" i="11"/>
  <c r="R1043" i="11"/>
  <c r="S1043" i="11"/>
  <c r="T1043" i="11"/>
  <c r="U1043" i="11"/>
  <c r="V1043" i="11"/>
  <c r="Q1044" i="11"/>
  <c r="R1044" i="11"/>
  <c r="S1044" i="11"/>
  <c r="T1044" i="11"/>
  <c r="V1044" i="11"/>
  <c r="Q1045" i="11"/>
  <c r="R1045" i="11"/>
  <c r="S1045" i="11"/>
  <c r="T1045" i="11"/>
  <c r="U1045" i="11"/>
  <c r="V1045" i="11"/>
  <c r="Q1046" i="11"/>
  <c r="R1046" i="11"/>
  <c r="S1046" i="11"/>
  <c r="T1046" i="11"/>
  <c r="U1046" i="11"/>
  <c r="V1046" i="11"/>
  <c r="Q1047" i="11"/>
  <c r="R1047" i="11"/>
  <c r="S1047" i="11"/>
  <c r="T1047" i="11"/>
  <c r="U1047" i="11"/>
  <c r="Q1048" i="11"/>
  <c r="R1048" i="11"/>
  <c r="S1048" i="11"/>
  <c r="T1048" i="11"/>
  <c r="U1048" i="11"/>
  <c r="V1048" i="11"/>
  <c r="Q1049" i="11"/>
  <c r="R1049" i="11"/>
  <c r="S1049" i="11"/>
  <c r="T1049" i="11"/>
  <c r="U1049" i="11"/>
  <c r="V1049" i="11"/>
  <c r="Q1050" i="11"/>
  <c r="R1050" i="11"/>
  <c r="S1050" i="11"/>
  <c r="T1050" i="11"/>
  <c r="U1050" i="11"/>
  <c r="Q1051" i="11"/>
  <c r="R1051" i="11"/>
  <c r="S1051" i="11"/>
  <c r="T1051" i="11"/>
  <c r="U1051" i="11"/>
  <c r="V1051" i="11"/>
  <c r="Q1052" i="11"/>
  <c r="R1052" i="11"/>
  <c r="S1052" i="11"/>
  <c r="T1052" i="11"/>
  <c r="U1052" i="11"/>
  <c r="V1052" i="11"/>
  <c r="Q1053" i="11"/>
  <c r="R1053" i="11"/>
  <c r="S1053" i="11"/>
  <c r="T1053" i="11"/>
  <c r="V1053" i="11"/>
  <c r="Q1054" i="11"/>
  <c r="R1054" i="11"/>
  <c r="S1054" i="11"/>
  <c r="T1054" i="11"/>
  <c r="U1054" i="11"/>
  <c r="V1054" i="11"/>
  <c r="Q1055" i="11"/>
  <c r="R1055" i="11"/>
  <c r="S1055" i="11"/>
  <c r="T1055" i="11"/>
  <c r="U1055" i="11"/>
  <c r="V1055" i="11"/>
  <c r="Q1056" i="11"/>
  <c r="R1056" i="11"/>
  <c r="S1056" i="11"/>
  <c r="T1056" i="11"/>
  <c r="U1056" i="11"/>
  <c r="Q1057" i="11"/>
  <c r="R1057" i="11"/>
  <c r="S1057" i="11"/>
  <c r="T1057" i="11"/>
  <c r="U1057" i="11"/>
  <c r="V1057" i="11"/>
  <c r="Q1058" i="11"/>
  <c r="R1058" i="11"/>
  <c r="S1058" i="11"/>
  <c r="T1058" i="11"/>
  <c r="U1058" i="11"/>
  <c r="V1058" i="11"/>
  <c r="Q1059" i="11"/>
  <c r="R1059" i="11"/>
  <c r="S1059" i="11"/>
  <c r="T1059" i="11"/>
  <c r="U1059" i="11"/>
  <c r="Q1060" i="11"/>
  <c r="R1060" i="11"/>
  <c r="S1060" i="11"/>
  <c r="T1060" i="11"/>
  <c r="U1060" i="11"/>
  <c r="V1060" i="11"/>
  <c r="Q1061" i="11"/>
  <c r="R1061" i="11"/>
  <c r="S1061" i="11"/>
  <c r="T1061" i="11"/>
  <c r="U1061" i="11"/>
  <c r="V1061" i="11"/>
  <c r="Q1062" i="11"/>
  <c r="R1062" i="11"/>
  <c r="S1062" i="11"/>
  <c r="T1062" i="11"/>
  <c r="U1062" i="11"/>
  <c r="Q1063" i="11"/>
  <c r="R1063" i="11"/>
  <c r="S1063" i="11"/>
  <c r="T1063" i="11"/>
  <c r="U1063" i="11"/>
  <c r="V1063" i="11"/>
  <c r="Q1064" i="11"/>
  <c r="R1064" i="11"/>
  <c r="S1064" i="11"/>
  <c r="T1064" i="11"/>
  <c r="U1064" i="11"/>
  <c r="V1064" i="11"/>
  <c r="Q1065" i="11"/>
  <c r="R1065" i="11"/>
  <c r="S1065" i="11"/>
  <c r="T1065" i="11"/>
  <c r="U1065" i="11"/>
  <c r="Q1066" i="11"/>
  <c r="R1066" i="11"/>
  <c r="S1066" i="11"/>
  <c r="T1066" i="11"/>
  <c r="U1066" i="11"/>
  <c r="V1066" i="11"/>
  <c r="Q1067" i="11"/>
  <c r="R1067" i="11"/>
  <c r="S1067" i="11"/>
  <c r="T1067" i="11"/>
  <c r="U1067" i="11"/>
  <c r="V1067" i="11"/>
  <c r="Q1068" i="11"/>
  <c r="R1068" i="11"/>
  <c r="S1068" i="11"/>
  <c r="T1068" i="11"/>
  <c r="V1068" i="11"/>
  <c r="Q1069" i="11"/>
  <c r="R1069" i="11"/>
  <c r="S1069" i="11"/>
  <c r="T1069" i="11"/>
  <c r="U1069" i="11"/>
  <c r="V1069" i="11"/>
  <c r="Q1070" i="11"/>
  <c r="R1070" i="11"/>
  <c r="S1070" i="11"/>
  <c r="T1070" i="11"/>
  <c r="U1070" i="11"/>
  <c r="V1070" i="11"/>
  <c r="Q1071" i="11"/>
  <c r="R1071" i="11"/>
  <c r="S1071" i="11"/>
  <c r="T1071" i="11"/>
  <c r="V1071" i="11"/>
  <c r="Q1072" i="11"/>
  <c r="R1072" i="11"/>
  <c r="S1072" i="11"/>
  <c r="T1072" i="11"/>
  <c r="U1072" i="11"/>
  <c r="V1072" i="11"/>
  <c r="Q1073" i="11"/>
  <c r="R1073" i="11"/>
  <c r="S1073" i="11"/>
  <c r="T1073" i="11"/>
  <c r="U1073" i="11"/>
  <c r="V1073" i="11"/>
  <c r="Q1074" i="11"/>
  <c r="R1074" i="11"/>
  <c r="S1074" i="11"/>
  <c r="T1074" i="11"/>
  <c r="U1074" i="11"/>
  <c r="Q1075" i="11"/>
  <c r="R1075" i="11"/>
  <c r="S1075" i="11"/>
  <c r="T1075" i="11"/>
  <c r="U1075" i="11"/>
  <c r="V1075" i="11"/>
  <c r="Q1076" i="11"/>
  <c r="R1076" i="11"/>
  <c r="S1076" i="11"/>
  <c r="T1076" i="11"/>
  <c r="U1076" i="11"/>
  <c r="V1076" i="11"/>
  <c r="Q1077" i="11"/>
  <c r="R1077" i="11"/>
  <c r="S1077" i="11"/>
  <c r="T1077" i="11"/>
  <c r="V1077" i="11"/>
  <c r="Q1078" i="11"/>
  <c r="R1078" i="11"/>
  <c r="S1078" i="11"/>
  <c r="T1078" i="11"/>
  <c r="U1078" i="11"/>
  <c r="V1078" i="11"/>
  <c r="Q1079" i="11"/>
  <c r="R1079" i="11"/>
  <c r="S1079" i="11"/>
  <c r="T1079" i="11"/>
  <c r="U1079" i="11"/>
  <c r="V1079" i="11"/>
  <c r="Q1080" i="11"/>
  <c r="R1080" i="11"/>
  <c r="S1080" i="11"/>
  <c r="T1080" i="11"/>
  <c r="V1080" i="11"/>
  <c r="Q1081" i="11"/>
  <c r="R1081" i="11"/>
  <c r="S1081" i="11"/>
  <c r="T1081" i="11"/>
  <c r="U1081" i="11"/>
  <c r="V1081" i="11"/>
  <c r="Q1082" i="11"/>
  <c r="R1082" i="11"/>
  <c r="S1082" i="11"/>
  <c r="T1082" i="11"/>
  <c r="U1082" i="11"/>
  <c r="V1082" i="11"/>
  <c r="Q1083" i="11"/>
  <c r="R1083" i="11"/>
  <c r="S1083" i="11"/>
  <c r="T1083" i="11"/>
  <c r="U1083" i="11"/>
  <c r="Q1084" i="11"/>
  <c r="R1084" i="11"/>
  <c r="S1084" i="11"/>
  <c r="T1084" i="11"/>
  <c r="U1084" i="11"/>
  <c r="V1084" i="11"/>
  <c r="Q1085" i="11"/>
  <c r="R1085" i="11"/>
  <c r="S1085" i="11"/>
  <c r="T1085" i="11"/>
  <c r="U1085" i="11"/>
  <c r="V1085" i="11"/>
  <c r="Q1086" i="11"/>
  <c r="R1086" i="11"/>
  <c r="S1086" i="11"/>
  <c r="T1086" i="11"/>
  <c r="U1086" i="11"/>
  <c r="Q1087" i="11"/>
  <c r="R1087" i="11"/>
  <c r="S1087" i="11"/>
  <c r="T1087" i="11"/>
  <c r="U1087" i="11"/>
  <c r="V1087" i="11"/>
  <c r="Q1088" i="11"/>
  <c r="R1088" i="11"/>
  <c r="S1088" i="11"/>
  <c r="T1088" i="11"/>
  <c r="U1088" i="11"/>
  <c r="V1088" i="11"/>
  <c r="Q1089" i="11"/>
  <c r="R1089" i="11"/>
  <c r="S1089" i="11"/>
  <c r="T1089" i="11"/>
  <c r="U1089" i="11"/>
  <c r="Q1090" i="11"/>
  <c r="R1090" i="11"/>
  <c r="S1090" i="11"/>
  <c r="T1090" i="11"/>
  <c r="U1090" i="11"/>
  <c r="V1090" i="11"/>
  <c r="Q1091" i="11"/>
  <c r="R1091" i="11"/>
  <c r="S1091" i="11"/>
  <c r="T1091" i="11"/>
  <c r="U1091" i="11"/>
  <c r="V1091" i="11"/>
  <c r="Q1092" i="11"/>
  <c r="R1092" i="11"/>
  <c r="S1092" i="11"/>
  <c r="T1092" i="11"/>
  <c r="V1092" i="11"/>
  <c r="Q1093" i="11"/>
  <c r="R1093" i="11"/>
  <c r="S1093" i="11"/>
  <c r="T1093" i="11"/>
  <c r="U1093" i="11"/>
  <c r="V1093" i="11"/>
  <c r="Q1094" i="11"/>
  <c r="R1094" i="11"/>
  <c r="S1094" i="11"/>
  <c r="T1094" i="11"/>
  <c r="U1094" i="11"/>
  <c r="V1094" i="11"/>
  <c r="Q1095" i="11"/>
  <c r="R1095" i="11"/>
  <c r="S1095" i="11"/>
  <c r="T1095" i="11"/>
  <c r="V1095" i="11"/>
  <c r="Q1096" i="11"/>
  <c r="R1096" i="11"/>
  <c r="S1096" i="11"/>
  <c r="T1096" i="11"/>
  <c r="U1096" i="11"/>
  <c r="V1096" i="11"/>
  <c r="Q1097" i="11"/>
  <c r="R1097" i="11"/>
  <c r="S1097" i="11"/>
  <c r="T1097" i="11"/>
  <c r="U1097" i="11"/>
  <c r="V1097" i="11"/>
  <c r="Q1098" i="11"/>
  <c r="R1098" i="11"/>
  <c r="S1098" i="11"/>
  <c r="T1098" i="11"/>
  <c r="V1098" i="11"/>
  <c r="Q1099" i="11"/>
  <c r="R1099" i="11"/>
  <c r="S1099" i="11"/>
  <c r="T1099" i="11"/>
  <c r="U1099" i="11"/>
  <c r="V1099" i="11"/>
  <c r="Q1100" i="11"/>
  <c r="R1100" i="11"/>
  <c r="S1100" i="11"/>
  <c r="T1100" i="11"/>
  <c r="U1100" i="11"/>
  <c r="V1100" i="11"/>
  <c r="Q1101" i="11"/>
  <c r="R1101" i="11"/>
  <c r="S1101" i="11"/>
  <c r="T1101" i="11"/>
  <c r="V1101" i="11"/>
  <c r="Q1102" i="11"/>
  <c r="R1102" i="11"/>
  <c r="S1102" i="11"/>
  <c r="T1102" i="11"/>
  <c r="U1102" i="11"/>
  <c r="V1102" i="11"/>
  <c r="Q1103" i="11"/>
  <c r="R1103" i="11"/>
  <c r="S1103" i="11"/>
  <c r="T1103" i="11"/>
  <c r="U1103" i="11"/>
  <c r="V1103" i="11"/>
  <c r="Q1104" i="11"/>
  <c r="R1104" i="11"/>
  <c r="S1104" i="11"/>
  <c r="T1104" i="11"/>
  <c r="U1104" i="11"/>
  <c r="Q1105" i="11"/>
  <c r="R1105" i="11"/>
  <c r="S1105" i="11"/>
  <c r="T1105" i="11"/>
  <c r="U1105" i="11"/>
  <c r="V1105" i="11"/>
  <c r="Q1106" i="11"/>
  <c r="R1106" i="11"/>
  <c r="S1106" i="11"/>
  <c r="T1106" i="11"/>
  <c r="U1106" i="11"/>
  <c r="V1106" i="11"/>
  <c r="Q1107" i="11"/>
  <c r="R1107" i="11"/>
  <c r="S1107" i="11"/>
  <c r="T1107" i="11"/>
  <c r="U1107" i="11"/>
  <c r="Q1108" i="11"/>
  <c r="R1108" i="11"/>
  <c r="S1108" i="11"/>
  <c r="T1108" i="11"/>
  <c r="U1108" i="11"/>
  <c r="V1108" i="11"/>
  <c r="Q1109" i="11"/>
  <c r="R1109" i="11"/>
  <c r="S1109" i="11"/>
  <c r="T1109" i="11"/>
  <c r="U1109" i="11"/>
  <c r="V1109" i="11"/>
  <c r="Q1110" i="11"/>
  <c r="R1110" i="11"/>
  <c r="S1110" i="11"/>
  <c r="T1110" i="11"/>
  <c r="U1110" i="11"/>
  <c r="Q1111" i="11"/>
  <c r="R1111" i="11"/>
  <c r="S1111" i="11"/>
  <c r="T1111" i="11"/>
  <c r="U1111" i="11"/>
  <c r="V1111" i="11"/>
  <c r="Q1112" i="11"/>
  <c r="R1112" i="11"/>
  <c r="S1112" i="11"/>
  <c r="T1112" i="11"/>
  <c r="U1112" i="11"/>
  <c r="V1112" i="11"/>
  <c r="Q1113" i="11"/>
  <c r="R1113" i="11"/>
  <c r="S1113" i="11"/>
  <c r="T1113" i="11"/>
  <c r="U1113" i="11"/>
  <c r="Q1114" i="11"/>
  <c r="R1114" i="11"/>
  <c r="S1114" i="11"/>
  <c r="T1114" i="11"/>
  <c r="U1114" i="11"/>
  <c r="V1114" i="11"/>
  <c r="Q1115" i="11"/>
  <c r="R1115" i="11"/>
  <c r="S1115" i="11"/>
  <c r="T1115" i="11"/>
  <c r="U1115" i="11"/>
  <c r="V1115" i="11"/>
  <c r="Q1116" i="11"/>
  <c r="R1116" i="11"/>
  <c r="S1116" i="11"/>
  <c r="T1116" i="11"/>
  <c r="V1116" i="11"/>
  <c r="Q1117" i="11"/>
  <c r="R1117" i="11"/>
  <c r="S1117" i="11"/>
  <c r="T1117" i="11"/>
  <c r="U1117" i="11"/>
  <c r="V1117" i="11"/>
  <c r="Q1118" i="11"/>
  <c r="R1118" i="11"/>
  <c r="S1118" i="11"/>
  <c r="T1118" i="11"/>
  <c r="U1118" i="11"/>
  <c r="V1118" i="11"/>
  <c r="Q1119" i="11"/>
  <c r="R1119" i="11"/>
  <c r="S1119" i="11"/>
  <c r="T1119" i="11"/>
  <c r="U1119" i="11"/>
  <c r="Q1120" i="11"/>
  <c r="R1120" i="11"/>
  <c r="S1120" i="11"/>
  <c r="T1120" i="11"/>
  <c r="U1120" i="11"/>
  <c r="V1120" i="11"/>
  <c r="Q1121" i="11"/>
  <c r="R1121" i="11"/>
  <c r="S1121" i="11"/>
  <c r="T1121" i="11"/>
  <c r="U1121" i="11"/>
  <c r="V1121" i="11"/>
  <c r="Q1122" i="11"/>
  <c r="R1122" i="11"/>
  <c r="S1122" i="11"/>
  <c r="T1122" i="11"/>
  <c r="V1122" i="11"/>
  <c r="Q1123" i="11"/>
  <c r="R1123" i="11"/>
  <c r="S1123" i="11"/>
  <c r="T1123" i="11"/>
  <c r="U1123" i="11"/>
  <c r="V1123" i="11"/>
  <c r="Q1124" i="11"/>
  <c r="R1124" i="11"/>
  <c r="S1124" i="11"/>
  <c r="T1124" i="11"/>
  <c r="U1124" i="11"/>
  <c r="V1124" i="11"/>
  <c r="Q1125" i="11"/>
  <c r="R1125" i="11"/>
  <c r="S1125" i="11"/>
  <c r="T1125" i="11"/>
  <c r="U1125" i="11"/>
  <c r="Q1126" i="11"/>
  <c r="R1126" i="11"/>
  <c r="S1126" i="11"/>
  <c r="T1126" i="11"/>
  <c r="U1126" i="11"/>
  <c r="V1126" i="11"/>
  <c r="Q1127" i="11"/>
  <c r="R1127" i="11"/>
  <c r="S1127" i="11"/>
  <c r="T1127" i="11"/>
  <c r="U1127" i="11"/>
  <c r="V1127" i="11"/>
  <c r="Q1128" i="11"/>
  <c r="R1128" i="11"/>
  <c r="S1128" i="11"/>
  <c r="T1128" i="11"/>
  <c r="V1128" i="11"/>
  <c r="Q1129" i="11"/>
  <c r="R1129" i="11"/>
  <c r="S1129" i="11"/>
  <c r="T1129" i="11"/>
  <c r="U1129" i="11"/>
  <c r="V1129" i="11"/>
  <c r="Q1130" i="11"/>
  <c r="R1130" i="11"/>
  <c r="S1130" i="11"/>
  <c r="T1130" i="11"/>
  <c r="U1130" i="11"/>
  <c r="V1130" i="11"/>
  <c r="Q1131" i="11"/>
  <c r="R1131" i="11"/>
  <c r="S1131" i="11"/>
  <c r="T1131" i="11"/>
  <c r="V1131" i="11"/>
  <c r="Q1132" i="11"/>
  <c r="R1132" i="11"/>
  <c r="S1132" i="11"/>
  <c r="T1132" i="11"/>
  <c r="U1132" i="11"/>
  <c r="V1132" i="11"/>
  <c r="Q1133" i="11"/>
  <c r="R1133" i="11"/>
  <c r="S1133" i="11"/>
  <c r="T1133" i="11"/>
  <c r="U1133" i="11"/>
  <c r="V1133" i="11"/>
  <c r="Q1134" i="11"/>
  <c r="R1134" i="11"/>
  <c r="S1134" i="11"/>
  <c r="T1134" i="11"/>
  <c r="U1134" i="11"/>
  <c r="Q1135" i="11"/>
  <c r="R1135" i="11"/>
  <c r="S1135" i="11"/>
  <c r="T1135" i="11"/>
  <c r="U1135" i="11"/>
  <c r="V1135" i="11"/>
  <c r="Q1136" i="11"/>
  <c r="R1136" i="11"/>
  <c r="S1136" i="11"/>
  <c r="T1136" i="11"/>
  <c r="U1136" i="11"/>
  <c r="V1136" i="11"/>
  <c r="Q1137" i="11"/>
  <c r="R1137" i="11"/>
  <c r="S1137" i="11"/>
  <c r="T1137" i="11"/>
  <c r="V1137" i="11"/>
  <c r="Q1138" i="11"/>
  <c r="R1138" i="11"/>
  <c r="S1138" i="11"/>
  <c r="T1138" i="11"/>
  <c r="U1138" i="11"/>
  <c r="V1138" i="11"/>
  <c r="Q1139" i="11"/>
  <c r="R1139" i="11"/>
  <c r="S1139" i="11"/>
  <c r="T1139" i="11"/>
  <c r="U1139" i="11"/>
  <c r="V1139" i="11"/>
  <c r="Q1140" i="11"/>
  <c r="R1140" i="11"/>
  <c r="S1140" i="11"/>
  <c r="T1140" i="11"/>
  <c r="V1140" i="11"/>
  <c r="Q1141" i="11"/>
  <c r="R1141" i="11"/>
  <c r="S1141" i="11"/>
  <c r="T1141" i="11"/>
  <c r="U1141" i="11"/>
  <c r="V1141" i="11"/>
  <c r="Q1142" i="11"/>
  <c r="R1142" i="11"/>
  <c r="S1142" i="11"/>
  <c r="T1142" i="11"/>
  <c r="U1142" i="11"/>
  <c r="V1142" i="11"/>
  <c r="Q1143" i="11"/>
  <c r="R1143" i="11"/>
  <c r="S1143" i="11"/>
  <c r="T1143" i="11"/>
  <c r="U1143" i="11"/>
  <c r="Q1144" i="11"/>
  <c r="R1144" i="11"/>
  <c r="S1144" i="11"/>
  <c r="T1144" i="11"/>
  <c r="U1144" i="11"/>
  <c r="V1144" i="11"/>
  <c r="Q1145" i="11"/>
  <c r="R1145" i="11"/>
  <c r="S1145" i="11"/>
  <c r="T1145" i="11"/>
  <c r="U1145" i="11"/>
  <c r="V1145" i="11"/>
  <c r="Q1146" i="11"/>
  <c r="R1146" i="11"/>
  <c r="S1146" i="11"/>
  <c r="T1146" i="11"/>
  <c r="V1146" i="11"/>
  <c r="Q1147" i="11"/>
  <c r="R1147" i="11"/>
  <c r="S1147" i="11"/>
  <c r="T1147" i="11"/>
  <c r="U1147" i="11"/>
  <c r="V1147" i="11"/>
  <c r="Q1148" i="11"/>
  <c r="R1148" i="11"/>
  <c r="S1148" i="11"/>
  <c r="T1148" i="11"/>
  <c r="U1148" i="11"/>
  <c r="V1148" i="11"/>
  <c r="Q1149" i="11"/>
  <c r="R1149" i="11"/>
  <c r="S1149" i="11"/>
  <c r="U1149" i="11"/>
  <c r="V1149" i="11"/>
  <c r="Q1150" i="11"/>
  <c r="R1150" i="11"/>
  <c r="S1150" i="11"/>
  <c r="T1150" i="11"/>
  <c r="U1150" i="11"/>
  <c r="V1150" i="11"/>
  <c r="Q1151" i="11"/>
  <c r="R1151" i="11"/>
  <c r="S1151" i="11"/>
  <c r="T1151" i="11"/>
  <c r="U1151" i="11"/>
  <c r="V1151" i="11"/>
  <c r="Q1152" i="11"/>
  <c r="R1152" i="11"/>
  <c r="S1152" i="11"/>
  <c r="T1152" i="11"/>
  <c r="V1152" i="11"/>
  <c r="Q1153" i="11"/>
  <c r="R1153" i="11"/>
  <c r="S1153" i="11"/>
  <c r="T1153" i="11"/>
  <c r="U1153" i="11"/>
  <c r="V1153" i="11"/>
  <c r="Q1154" i="11"/>
  <c r="R1154" i="11"/>
  <c r="S1154" i="11"/>
  <c r="T1154" i="11"/>
  <c r="U1154" i="11"/>
  <c r="V1154" i="11"/>
  <c r="Q1155" i="11"/>
  <c r="R1155" i="11"/>
  <c r="S1155" i="11"/>
  <c r="T1155" i="11"/>
  <c r="V1155" i="11"/>
  <c r="Q1156" i="11"/>
  <c r="R1156" i="11"/>
  <c r="S1156" i="11"/>
  <c r="T1156" i="11"/>
  <c r="U1156" i="11"/>
  <c r="V1156" i="11"/>
  <c r="Q1157" i="11"/>
  <c r="R1157" i="11"/>
  <c r="S1157" i="11"/>
  <c r="T1157" i="11"/>
  <c r="U1157" i="11"/>
  <c r="V1157" i="11"/>
  <c r="Q1158" i="11"/>
  <c r="R1158" i="11"/>
  <c r="S1158" i="11"/>
  <c r="T1158" i="11"/>
  <c r="U1158" i="11"/>
  <c r="Q1159" i="11"/>
  <c r="R1159" i="11"/>
  <c r="S1159" i="11"/>
  <c r="T1159" i="11"/>
  <c r="U1159" i="11"/>
  <c r="V1159" i="11"/>
  <c r="Q1160" i="11"/>
  <c r="R1160" i="11"/>
  <c r="S1160" i="11"/>
  <c r="T1160" i="11"/>
  <c r="U1160" i="11"/>
  <c r="V1160" i="11"/>
  <c r="Q1161" i="11"/>
  <c r="R1161" i="11"/>
  <c r="S1161" i="11"/>
  <c r="T1161" i="11"/>
  <c r="V1161" i="11"/>
  <c r="Q1162" i="11"/>
  <c r="R1162" i="11"/>
  <c r="S1162" i="11"/>
  <c r="T1162" i="11"/>
  <c r="U1162" i="11"/>
  <c r="V1162" i="11"/>
  <c r="Q1163" i="11"/>
  <c r="R1163" i="11"/>
  <c r="S1163" i="11"/>
  <c r="T1163" i="11"/>
  <c r="U1163" i="11"/>
  <c r="V1163" i="11"/>
  <c r="Q1164" i="11"/>
  <c r="R1164" i="11"/>
  <c r="S1164" i="11"/>
  <c r="T1164" i="11"/>
  <c r="U1164" i="11"/>
  <c r="Q1165" i="11"/>
  <c r="R1165" i="11"/>
  <c r="S1165" i="11"/>
  <c r="T1165" i="11"/>
  <c r="U1165" i="11"/>
  <c r="V1165" i="11"/>
  <c r="Q1166" i="11"/>
  <c r="R1166" i="11"/>
  <c r="S1166" i="11"/>
  <c r="T1166" i="11"/>
  <c r="U1166" i="11"/>
  <c r="V1166" i="11"/>
  <c r="Q1167" i="11"/>
  <c r="R1167" i="11"/>
  <c r="S1167" i="11"/>
  <c r="T1167" i="11"/>
  <c r="U1167" i="11"/>
  <c r="Q1168" i="11"/>
  <c r="R1168" i="11"/>
  <c r="S1168" i="11"/>
  <c r="T1168" i="11"/>
  <c r="U1168" i="11"/>
  <c r="V1168" i="11"/>
  <c r="Q1169" i="11"/>
  <c r="R1169" i="11"/>
  <c r="S1169" i="11"/>
  <c r="T1169" i="11"/>
  <c r="U1169" i="11"/>
  <c r="V1169" i="11"/>
  <c r="Q1170" i="11"/>
  <c r="R1170" i="11"/>
  <c r="S1170" i="11"/>
  <c r="T1170" i="11"/>
  <c r="U1170" i="11"/>
  <c r="Q1171" i="11"/>
  <c r="R1171" i="11"/>
  <c r="S1171" i="11"/>
  <c r="T1171" i="11"/>
  <c r="U1171" i="11"/>
  <c r="V1171" i="11"/>
  <c r="Q1172" i="11"/>
  <c r="R1172" i="11"/>
  <c r="S1172" i="11"/>
  <c r="T1172" i="11"/>
  <c r="U1172" i="11"/>
  <c r="V1172" i="11"/>
  <c r="Q1173" i="11"/>
  <c r="R1173" i="11"/>
  <c r="S1173" i="11"/>
  <c r="T1173" i="11"/>
  <c r="V1173" i="11"/>
  <c r="Q1174" i="11"/>
  <c r="R1174" i="11"/>
  <c r="S1174" i="11"/>
  <c r="T1174" i="11"/>
  <c r="U1174" i="11"/>
  <c r="V1174" i="11"/>
  <c r="Q1175" i="11"/>
  <c r="R1175" i="11"/>
  <c r="S1175" i="11"/>
  <c r="T1175" i="11"/>
  <c r="U1175" i="11"/>
  <c r="V1175" i="11"/>
  <c r="Q1176" i="11"/>
  <c r="R1176" i="11"/>
  <c r="S1176" i="11"/>
  <c r="T1176" i="11"/>
  <c r="V1176" i="11"/>
  <c r="Q1177" i="11"/>
  <c r="R1177" i="11"/>
  <c r="S1177" i="11"/>
  <c r="T1177" i="11"/>
  <c r="U1177" i="11"/>
  <c r="V1177" i="11"/>
  <c r="Q1178" i="11"/>
  <c r="R1178" i="11"/>
  <c r="S1178" i="11"/>
  <c r="T1178" i="11"/>
  <c r="U1178" i="11"/>
  <c r="V1178" i="11"/>
  <c r="Q1179" i="11"/>
  <c r="R1179" i="11"/>
  <c r="S1179" i="11"/>
  <c r="T1179" i="11"/>
  <c r="U1179" i="11"/>
  <c r="Q1180" i="11"/>
  <c r="R1180" i="11"/>
  <c r="S1180" i="11"/>
  <c r="T1180" i="11"/>
  <c r="U1180" i="11"/>
  <c r="V1180" i="11"/>
  <c r="Q1181" i="11"/>
  <c r="R1181" i="11"/>
  <c r="S1181" i="11"/>
  <c r="T1181" i="11"/>
  <c r="U1181" i="11"/>
  <c r="V1181" i="11"/>
  <c r="Q1182" i="11"/>
  <c r="R1182" i="11"/>
  <c r="S1182" i="11"/>
  <c r="T1182" i="11"/>
  <c r="U1182" i="11"/>
  <c r="Q1183" i="11"/>
  <c r="R1183" i="11"/>
  <c r="S1183" i="11"/>
  <c r="T1183" i="11"/>
  <c r="U1183" i="11"/>
  <c r="V1183" i="11"/>
  <c r="Q1184" i="11"/>
  <c r="R1184" i="11"/>
  <c r="S1184" i="11"/>
  <c r="T1184" i="11"/>
  <c r="U1184" i="11"/>
  <c r="V1184" i="11"/>
  <c r="Q1185" i="11"/>
  <c r="R1185" i="11"/>
  <c r="S1185" i="11"/>
  <c r="T1185" i="11"/>
  <c r="U1185" i="11"/>
  <c r="Q1186" i="11"/>
  <c r="R1186" i="11"/>
  <c r="S1186" i="11"/>
  <c r="T1186" i="11"/>
  <c r="U1186" i="11"/>
  <c r="V1186" i="11"/>
  <c r="Q1187" i="11"/>
  <c r="R1187" i="11"/>
  <c r="S1187" i="11"/>
  <c r="T1187" i="11"/>
  <c r="U1187" i="11"/>
  <c r="V1187" i="11"/>
  <c r="Q1188" i="11"/>
  <c r="R1188" i="11"/>
  <c r="S1188" i="11"/>
  <c r="T1188" i="11"/>
  <c r="V1188" i="11"/>
  <c r="Q1189" i="11"/>
  <c r="R1189" i="11"/>
  <c r="S1189" i="11"/>
  <c r="T1189" i="11"/>
  <c r="U1189" i="11"/>
  <c r="V1189" i="11"/>
  <c r="Q1190" i="11"/>
  <c r="R1190" i="11"/>
  <c r="S1190" i="11"/>
  <c r="T1190" i="11"/>
  <c r="U1190" i="11"/>
  <c r="V1190" i="11"/>
  <c r="Q1191" i="11"/>
  <c r="R1191" i="11"/>
  <c r="S1191" i="11"/>
  <c r="T1191" i="11"/>
  <c r="U1191" i="11"/>
  <c r="Q1192" i="11"/>
  <c r="R1192" i="11"/>
  <c r="S1192" i="11"/>
  <c r="T1192" i="11"/>
  <c r="U1192" i="11"/>
  <c r="V1192" i="11"/>
  <c r="Q1193" i="11"/>
  <c r="R1193" i="11"/>
  <c r="S1193" i="11"/>
  <c r="T1193" i="11"/>
  <c r="U1193" i="11"/>
  <c r="V1193" i="11"/>
  <c r="Q1194" i="11"/>
  <c r="R1194" i="11"/>
  <c r="S1194" i="11"/>
  <c r="T1194" i="11"/>
  <c r="U1194" i="11"/>
  <c r="Q1195" i="11"/>
  <c r="R1195" i="11"/>
  <c r="S1195" i="11"/>
  <c r="T1195" i="11"/>
  <c r="U1195" i="11"/>
  <c r="V1195" i="11"/>
  <c r="Q1196" i="11"/>
  <c r="R1196" i="11"/>
  <c r="S1196" i="11"/>
  <c r="T1196" i="11"/>
  <c r="U1196" i="11"/>
  <c r="V1196" i="11"/>
  <c r="Q1197" i="11"/>
  <c r="R1197" i="11"/>
  <c r="S1197" i="11"/>
  <c r="T1197" i="11"/>
  <c r="V1197" i="11"/>
  <c r="Q1198" i="11"/>
  <c r="R1198" i="11"/>
  <c r="S1198" i="11"/>
  <c r="T1198" i="11"/>
  <c r="U1198" i="11"/>
  <c r="V1198" i="11"/>
  <c r="Q1199" i="11"/>
  <c r="R1199" i="11"/>
  <c r="S1199" i="11"/>
  <c r="T1199" i="11"/>
  <c r="U1199" i="11"/>
  <c r="V1199" i="11"/>
  <c r="Q1200" i="11"/>
  <c r="R1200" i="11"/>
  <c r="S1200" i="11"/>
  <c r="T1200" i="11"/>
  <c r="V1200" i="11"/>
  <c r="Q1201" i="11"/>
  <c r="R1201" i="11"/>
  <c r="S1201" i="11"/>
  <c r="T1201" i="11"/>
  <c r="U1201" i="11"/>
  <c r="V1201" i="11"/>
  <c r="Q1202" i="11"/>
  <c r="R1202" i="11"/>
  <c r="S1202" i="11"/>
  <c r="T1202" i="11"/>
  <c r="U1202" i="11"/>
  <c r="V1202" i="11"/>
  <c r="Q1203" i="11"/>
  <c r="R1203" i="11"/>
  <c r="T1203" i="11"/>
  <c r="U1203" i="11"/>
  <c r="V1203" i="11"/>
  <c r="Q1204" i="11"/>
  <c r="R1204" i="11"/>
  <c r="S1204" i="11"/>
  <c r="T1204" i="11"/>
  <c r="U1204" i="11"/>
  <c r="V1204" i="11"/>
  <c r="Q1205" i="11"/>
  <c r="R1205" i="11"/>
  <c r="S1205" i="11"/>
  <c r="T1205" i="11"/>
  <c r="U1205" i="11"/>
  <c r="V1205" i="11"/>
  <c r="Q1206" i="11"/>
  <c r="R1206" i="11"/>
  <c r="T1206" i="11"/>
  <c r="U1206" i="11"/>
  <c r="V1206" i="11"/>
  <c r="Q1207" i="11"/>
  <c r="R1207" i="11"/>
  <c r="S1207" i="11"/>
  <c r="T1207" i="11"/>
  <c r="U1207" i="11"/>
  <c r="V1207" i="11"/>
  <c r="Q1208" i="11"/>
  <c r="R1208" i="11"/>
  <c r="S1208" i="11"/>
  <c r="T1208" i="11"/>
  <c r="U1208" i="11"/>
  <c r="V1208" i="11"/>
  <c r="Q1209" i="11"/>
  <c r="R1209" i="11"/>
  <c r="T1209" i="11"/>
  <c r="U1209" i="11"/>
  <c r="V1209" i="11"/>
  <c r="Q1210" i="11"/>
  <c r="R1210" i="11"/>
  <c r="S1210" i="11"/>
  <c r="T1210" i="11"/>
  <c r="U1210" i="11"/>
  <c r="V1210" i="11"/>
  <c r="Q1211" i="11"/>
  <c r="R1211" i="11"/>
  <c r="S1211" i="11"/>
  <c r="T1211" i="11"/>
  <c r="U1211" i="11"/>
  <c r="V1211" i="11"/>
  <c r="Q1212" i="11"/>
  <c r="R1212" i="11"/>
  <c r="T1212" i="11"/>
  <c r="U1212" i="11"/>
  <c r="V1212" i="11"/>
  <c r="Q1213" i="11"/>
  <c r="R1213" i="11"/>
  <c r="S1213" i="11"/>
  <c r="T1213" i="11"/>
  <c r="U1213" i="11"/>
  <c r="V1213" i="11"/>
  <c r="Q1214" i="11"/>
  <c r="R1214" i="11"/>
  <c r="S1214" i="11"/>
  <c r="T1214" i="11"/>
  <c r="U1214" i="11"/>
  <c r="V1214" i="11"/>
  <c r="Q1215" i="11"/>
  <c r="R1215" i="11"/>
  <c r="S1215" i="11"/>
  <c r="T1215" i="11"/>
  <c r="U1215" i="11"/>
  <c r="Q1216" i="11"/>
  <c r="R1216" i="11"/>
  <c r="S1216" i="11"/>
  <c r="T1216" i="11"/>
  <c r="U1216" i="11"/>
  <c r="V1216" i="11"/>
  <c r="Q1217" i="11"/>
  <c r="R1217" i="11"/>
  <c r="S1217" i="11"/>
  <c r="T1217" i="11"/>
  <c r="U1217" i="11"/>
  <c r="V1217" i="11"/>
  <c r="Q1218" i="11"/>
  <c r="R1218" i="11"/>
  <c r="S1218" i="11"/>
  <c r="U1218" i="11"/>
  <c r="V1218" i="11"/>
  <c r="Q1219" i="11"/>
  <c r="R1219" i="11"/>
  <c r="S1219" i="11"/>
  <c r="T1219" i="11"/>
  <c r="U1219" i="11"/>
  <c r="V1219" i="11"/>
  <c r="Q1220" i="11"/>
  <c r="R1220" i="11"/>
  <c r="S1220" i="11"/>
  <c r="T1220" i="11"/>
  <c r="U1220" i="11"/>
  <c r="V1220" i="11"/>
  <c r="Q1221" i="11"/>
  <c r="R1221" i="11"/>
  <c r="S1221" i="11"/>
  <c r="T1221" i="11"/>
  <c r="U1221" i="11"/>
  <c r="Q1222" i="11"/>
  <c r="R1222" i="11"/>
  <c r="S1222" i="11"/>
  <c r="T1222" i="11"/>
  <c r="U1222" i="11"/>
  <c r="V1222" i="11"/>
  <c r="Q1223" i="11"/>
  <c r="R1223" i="11"/>
  <c r="S1223" i="11"/>
  <c r="T1223" i="11"/>
  <c r="U1223" i="11"/>
  <c r="V1223" i="11"/>
  <c r="Q1224" i="11"/>
  <c r="R1224" i="11"/>
  <c r="S1224" i="11"/>
  <c r="U1224" i="11"/>
  <c r="V1224" i="11"/>
  <c r="Q1225" i="11"/>
  <c r="R1225" i="11"/>
  <c r="S1225" i="11"/>
  <c r="T1225" i="11"/>
  <c r="U1225" i="11"/>
  <c r="V1225" i="11"/>
  <c r="Q1226" i="11"/>
  <c r="R1226" i="11"/>
  <c r="S1226" i="11"/>
  <c r="T1226" i="11"/>
  <c r="U1226" i="11"/>
  <c r="V1226" i="11"/>
  <c r="Q1227" i="11"/>
  <c r="R1227" i="11"/>
  <c r="S1227" i="11"/>
  <c r="T1227" i="11"/>
  <c r="U1227" i="11"/>
  <c r="Q1228" i="11"/>
  <c r="R1228" i="11"/>
  <c r="S1228" i="11"/>
  <c r="T1228" i="11"/>
  <c r="U1228" i="11"/>
  <c r="V1228" i="11"/>
  <c r="Q1229" i="11"/>
  <c r="R1229" i="11"/>
  <c r="S1229" i="11"/>
  <c r="T1229" i="11"/>
  <c r="U1229" i="11"/>
  <c r="V1229" i="11"/>
  <c r="Q1230" i="11"/>
  <c r="R1230" i="11"/>
  <c r="S1230" i="11"/>
  <c r="T1230" i="11"/>
  <c r="U1230" i="11"/>
  <c r="Q1231" i="11"/>
  <c r="R1231" i="11"/>
  <c r="S1231" i="11"/>
  <c r="T1231" i="11"/>
  <c r="U1231" i="11"/>
  <c r="V1231" i="11"/>
  <c r="Q1232" i="11"/>
  <c r="R1232" i="11"/>
  <c r="S1232" i="11"/>
  <c r="T1232" i="11"/>
  <c r="U1232" i="11"/>
  <c r="V1232" i="11"/>
  <c r="Q1233" i="11"/>
  <c r="R1233" i="11"/>
  <c r="S1233" i="11"/>
  <c r="T1233" i="11"/>
  <c r="U1233" i="11"/>
  <c r="Q1234" i="11"/>
  <c r="R1234" i="11"/>
  <c r="S1234" i="11"/>
  <c r="T1234" i="11"/>
  <c r="U1234" i="11"/>
  <c r="V1234" i="11"/>
  <c r="Q1235" i="11"/>
  <c r="R1235" i="11"/>
  <c r="S1235" i="11"/>
  <c r="T1235" i="11"/>
  <c r="U1235" i="11"/>
  <c r="V1235" i="11"/>
  <c r="Q1236" i="11"/>
  <c r="R1236" i="11"/>
  <c r="S1236" i="11"/>
  <c r="T1236" i="11"/>
  <c r="V1236" i="11"/>
  <c r="Q1237" i="11"/>
  <c r="R1237" i="11"/>
  <c r="S1237" i="11"/>
  <c r="T1237" i="11"/>
  <c r="U1237" i="11"/>
  <c r="V1237" i="11"/>
  <c r="Q1238" i="11"/>
  <c r="R1238" i="11"/>
  <c r="S1238" i="11"/>
  <c r="T1238" i="11"/>
  <c r="U1238" i="11"/>
  <c r="V1238" i="11"/>
  <c r="Q1239" i="11"/>
  <c r="R1239" i="11"/>
  <c r="S1239" i="11"/>
  <c r="T1239" i="11"/>
  <c r="V1239" i="11"/>
  <c r="Q1240" i="11"/>
  <c r="R1240" i="11"/>
  <c r="S1240" i="11"/>
  <c r="T1240" i="11"/>
  <c r="U1240" i="11"/>
  <c r="V1240" i="11"/>
  <c r="Q1241" i="11"/>
  <c r="R1241" i="11"/>
  <c r="S1241" i="11"/>
  <c r="T1241" i="11"/>
  <c r="U1241" i="11"/>
  <c r="V1241" i="11"/>
  <c r="Q1242" i="11"/>
  <c r="R1242" i="11"/>
  <c r="S1242" i="11"/>
  <c r="T1242" i="11"/>
  <c r="U1242" i="11"/>
  <c r="Q1243" i="11"/>
  <c r="R1243" i="11"/>
  <c r="S1243" i="11"/>
  <c r="T1243" i="11"/>
  <c r="U1243" i="11"/>
  <c r="V1243" i="11"/>
  <c r="Q1244" i="11"/>
  <c r="R1244" i="11"/>
  <c r="S1244" i="11"/>
  <c r="T1244" i="11"/>
  <c r="U1244" i="11"/>
  <c r="V1244" i="11"/>
  <c r="Q1245" i="11"/>
  <c r="R1245" i="11"/>
  <c r="S1245" i="11"/>
  <c r="T1245" i="11"/>
  <c r="U1245" i="11"/>
  <c r="Q1246" i="11"/>
  <c r="R1246" i="11"/>
  <c r="S1246" i="11"/>
  <c r="T1246" i="11"/>
  <c r="U1246" i="11"/>
  <c r="V1246" i="11"/>
  <c r="Q1247" i="11"/>
  <c r="R1247" i="11"/>
  <c r="S1247" i="11"/>
  <c r="T1247" i="11"/>
  <c r="U1247" i="11"/>
  <c r="V1247" i="11"/>
  <c r="Q1248" i="11"/>
  <c r="R1248" i="11"/>
  <c r="S1248" i="11"/>
  <c r="T1248" i="11"/>
  <c r="V1248" i="11"/>
  <c r="Q1249" i="11"/>
  <c r="R1249" i="11"/>
  <c r="S1249" i="11"/>
  <c r="T1249" i="11"/>
  <c r="U1249" i="11"/>
  <c r="V1249" i="11"/>
  <c r="Q1250" i="11"/>
  <c r="R1250" i="11"/>
  <c r="S1250" i="11"/>
  <c r="T1250" i="11"/>
  <c r="U1250" i="11"/>
  <c r="V1250" i="11"/>
  <c r="Q1251" i="11"/>
  <c r="R1251" i="11"/>
  <c r="S1251" i="11"/>
  <c r="T1251" i="11"/>
  <c r="V1251" i="11"/>
  <c r="Q1252" i="11"/>
  <c r="R1252" i="11"/>
  <c r="S1252" i="11"/>
  <c r="T1252" i="11"/>
  <c r="U1252" i="11"/>
  <c r="V1252" i="11"/>
  <c r="Q1253" i="11"/>
  <c r="R1253" i="11"/>
  <c r="S1253" i="11"/>
  <c r="T1253" i="11"/>
  <c r="U1253" i="11"/>
  <c r="V1253" i="11"/>
  <c r="Q1254" i="11"/>
  <c r="R1254" i="11"/>
  <c r="S1254" i="11"/>
  <c r="T1254" i="11"/>
  <c r="V1254" i="11"/>
  <c r="Q1255" i="11"/>
  <c r="R1255" i="11"/>
  <c r="S1255" i="11"/>
  <c r="T1255" i="11"/>
  <c r="U1255" i="11"/>
  <c r="V1255" i="11"/>
  <c r="Q1256" i="11"/>
  <c r="R1256" i="11"/>
  <c r="S1256" i="11"/>
  <c r="T1256" i="11"/>
  <c r="U1256" i="11"/>
  <c r="V1256" i="11"/>
  <c r="Q1257" i="11"/>
  <c r="R1257" i="11"/>
  <c r="S1257" i="11"/>
  <c r="T1257" i="11"/>
  <c r="U1257" i="11"/>
  <c r="Q1258" i="11"/>
  <c r="R1258" i="11"/>
  <c r="S1258" i="11"/>
  <c r="T1258" i="11"/>
  <c r="U1258" i="11"/>
  <c r="V1258" i="11"/>
  <c r="Q1259" i="11"/>
  <c r="R1259" i="11"/>
  <c r="S1259" i="11"/>
  <c r="T1259" i="11"/>
  <c r="U1259" i="11"/>
  <c r="V1259" i="11"/>
  <c r="Q1260" i="11"/>
  <c r="R1260" i="11"/>
  <c r="S1260" i="11"/>
  <c r="T1260" i="11"/>
  <c r="V1260" i="11"/>
  <c r="Q1261" i="11"/>
  <c r="R1261" i="11"/>
  <c r="S1261" i="11"/>
  <c r="T1261" i="11"/>
  <c r="U1261" i="11"/>
  <c r="V1261" i="11"/>
  <c r="Q1262" i="11"/>
  <c r="R1262" i="11"/>
  <c r="S1262" i="11"/>
  <c r="T1262" i="11"/>
  <c r="U1262" i="11"/>
  <c r="V1262" i="11"/>
  <c r="Q1263" i="11"/>
  <c r="R1263" i="11"/>
  <c r="S1263" i="11"/>
  <c r="T1263" i="11"/>
  <c r="V1263" i="11"/>
  <c r="Q1264" i="11"/>
  <c r="R1264" i="11"/>
  <c r="S1264" i="11"/>
  <c r="T1264" i="11"/>
  <c r="U1264" i="11"/>
  <c r="V1264" i="11"/>
  <c r="Q1265" i="11"/>
  <c r="R1265" i="11"/>
  <c r="S1265" i="11"/>
  <c r="T1265" i="11"/>
  <c r="U1265" i="11"/>
  <c r="V1265" i="11"/>
  <c r="Q1266" i="11"/>
  <c r="R1266" i="11"/>
  <c r="S1266" i="11"/>
  <c r="T1266" i="11"/>
  <c r="V1266" i="11"/>
  <c r="Q1267" i="11"/>
  <c r="R1267" i="11"/>
  <c r="S1267" i="11"/>
  <c r="T1267" i="11"/>
  <c r="U1267" i="11"/>
  <c r="V1267" i="11"/>
  <c r="Q1268" i="11"/>
  <c r="R1268" i="11"/>
  <c r="S1268" i="11"/>
  <c r="T1268" i="11"/>
  <c r="U1268" i="11"/>
  <c r="V1268" i="11"/>
  <c r="Q1269" i="11"/>
  <c r="R1269" i="11"/>
  <c r="S1269" i="11"/>
  <c r="T1269" i="11"/>
  <c r="V1269" i="11"/>
  <c r="Q1270" i="11"/>
  <c r="R1270" i="11"/>
  <c r="S1270" i="11"/>
  <c r="T1270" i="11"/>
  <c r="U1270" i="11"/>
  <c r="V1270" i="11"/>
  <c r="Q1271" i="11"/>
  <c r="R1271" i="11"/>
  <c r="S1271" i="11"/>
  <c r="T1271" i="11"/>
  <c r="U1271" i="11"/>
  <c r="V1271" i="11"/>
  <c r="Q1272" i="11"/>
  <c r="R1272" i="11"/>
  <c r="S1272" i="11"/>
  <c r="T1272" i="11"/>
  <c r="V1272" i="11"/>
  <c r="Q1273" i="11"/>
  <c r="R1273" i="11"/>
  <c r="S1273" i="11"/>
  <c r="T1273" i="11"/>
  <c r="U1273" i="11"/>
  <c r="V1273" i="11"/>
  <c r="Q1274" i="11"/>
  <c r="R1274" i="11"/>
  <c r="S1274" i="11"/>
  <c r="T1274" i="11"/>
  <c r="U1274" i="11"/>
  <c r="V1274" i="11"/>
  <c r="Q1275" i="11"/>
  <c r="R1275" i="11"/>
  <c r="S1275" i="11"/>
  <c r="T1275" i="11"/>
  <c r="V1275" i="11"/>
  <c r="Q1276" i="11"/>
  <c r="R1276" i="11"/>
  <c r="S1276" i="11"/>
  <c r="T1276" i="11"/>
  <c r="U1276" i="11"/>
  <c r="V1276" i="11"/>
  <c r="Q1277" i="11"/>
  <c r="R1277" i="11"/>
  <c r="S1277" i="11"/>
  <c r="T1277" i="11"/>
  <c r="U1277" i="11"/>
  <c r="V1277" i="11"/>
  <c r="Q1278" i="11"/>
  <c r="R1278" i="11"/>
  <c r="T1278" i="11"/>
  <c r="U1278" i="11"/>
  <c r="V1278" i="11"/>
  <c r="Q1279" i="11"/>
  <c r="R1279" i="11"/>
  <c r="S1279" i="11"/>
  <c r="T1279" i="11"/>
  <c r="U1279" i="11"/>
  <c r="V1279" i="11"/>
  <c r="Q1280" i="11"/>
  <c r="R1280" i="11"/>
  <c r="S1280" i="11"/>
  <c r="T1280" i="11"/>
  <c r="U1280" i="11"/>
  <c r="V1280" i="11"/>
  <c r="Q1281" i="11"/>
  <c r="R1281" i="11"/>
  <c r="S1281" i="11"/>
  <c r="T1281" i="11"/>
  <c r="V1281" i="11"/>
  <c r="Q1282" i="11"/>
  <c r="R1282" i="11"/>
  <c r="S1282" i="11"/>
  <c r="T1282" i="11"/>
  <c r="U1282" i="11"/>
  <c r="V1282" i="11"/>
  <c r="Q1283" i="11"/>
  <c r="R1283" i="11"/>
  <c r="S1283" i="11"/>
  <c r="T1283" i="11"/>
  <c r="U1283" i="11"/>
  <c r="V1283" i="11"/>
  <c r="Q1284" i="11"/>
  <c r="R1284" i="11"/>
  <c r="S1284" i="11"/>
  <c r="T1284" i="11"/>
  <c r="U1284" i="11"/>
  <c r="Q1285" i="11"/>
  <c r="R1285" i="11"/>
  <c r="S1285" i="11"/>
  <c r="T1285" i="11"/>
  <c r="U1285" i="11"/>
  <c r="V1285" i="11"/>
  <c r="Q1286" i="11"/>
  <c r="R1286" i="11"/>
  <c r="S1286" i="11"/>
  <c r="T1286" i="11"/>
  <c r="U1286" i="11"/>
  <c r="V1286" i="11"/>
  <c r="Q1287" i="11"/>
  <c r="R1287" i="11"/>
  <c r="S1287" i="11"/>
  <c r="T1287" i="11"/>
  <c r="U1287" i="11"/>
  <c r="Q1288" i="11"/>
  <c r="R1288" i="11"/>
  <c r="S1288" i="11"/>
  <c r="T1288" i="11"/>
  <c r="U1288" i="11"/>
  <c r="V1288" i="11"/>
  <c r="Q1289" i="11"/>
  <c r="R1289" i="11"/>
  <c r="S1289" i="11"/>
  <c r="T1289" i="11"/>
  <c r="U1289" i="11"/>
  <c r="V1289" i="11"/>
  <c r="Q1290" i="11"/>
  <c r="R1290" i="11"/>
  <c r="S1290" i="11"/>
  <c r="T1290" i="11"/>
  <c r="V1290" i="11"/>
  <c r="Q1291" i="11"/>
  <c r="R1291" i="11"/>
  <c r="S1291" i="11"/>
  <c r="T1291" i="11"/>
  <c r="U1291" i="11"/>
  <c r="V1291" i="11"/>
  <c r="Q1292" i="11"/>
  <c r="R1292" i="11"/>
  <c r="S1292" i="11"/>
  <c r="T1292" i="11"/>
  <c r="U1292" i="11"/>
  <c r="V1292" i="11"/>
  <c r="Q1293" i="11"/>
  <c r="R1293" i="11"/>
  <c r="S1293" i="11"/>
  <c r="T1293" i="11"/>
  <c r="V1293" i="11"/>
  <c r="Q1294" i="11"/>
  <c r="R1294" i="11"/>
  <c r="S1294" i="11"/>
  <c r="T1294" i="11"/>
  <c r="U1294" i="11"/>
  <c r="V1294" i="11"/>
  <c r="Q1295" i="11"/>
  <c r="R1295" i="11"/>
  <c r="S1295" i="11"/>
  <c r="T1295" i="11"/>
  <c r="U1295" i="11"/>
  <c r="V1295" i="11"/>
  <c r="Q1296" i="11"/>
  <c r="R1296" i="11"/>
  <c r="S1296" i="11"/>
  <c r="T1296" i="11"/>
  <c r="V1296" i="11"/>
  <c r="Q1297" i="11"/>
  <c r="R1297" i="11"/>
  <c r="S1297" i="11"/>
  <c r="T1297" i="11"/>
  <c r="U1297" i="11"/>
  <c r="V1297" i="11"/>
  <c r="Q1298" i="11"/>
  <c r="R1298" i="11"/>
  <c r="S1298" i="11"/>
  <c r="T1298" i="11"/>
  <c r="U1298" i="11"/>
  <c r="V1298" i="11"/>
  <c r="Q1299" i="11"/>
  <c r="R1299" i="11"/>
  <c r="S1299" i="11"/>
  <c r="T1299" i="11"/>
  <c r="V1299" i="11"/>
  <c r="Q1300" i="11"/>
  <c r="R1300" i="11"/>
  <c r="S1300" i="11"/>
  <c r="T1300" i="11"/>
  <c r="U1300" i="11"/>
  <c r="V1300" i="11"/>
  <c r="Q1301" i="11"/>
  <c r="R1301" i="11"/>
  <c r="S1301" i="11"/>
  <c r="T1301" i="11"/>
  <c r="U1301" i="11"/>
  <c r="V1301" i="11"/>
  <c r="Q1302" i="11"/>
  <c r="R1302" i="11"/>
  <c r="S1302" i="11"/>
  <c r="T1302" i="11"/>
  <c r="U1302" i="11"/>
  <c r="Q1303" i="11"/>
  <c r="R1303" i="11"/>
  <c r="S1303" i="11"/>
  <c r="T1303" i="11"/>
  <c r="U1303" i="11"/>
  <c r="V1303" i="11"/>
  <c r="Q1304" i="11"/>
  <c r="R1304" i="11"/>
  <c r="S1304" i="11"/>
  <c r="T1304" i="11"/>
  <c r="U1304" i="11"/>
  <c r="V1304" i="11"/>
  <c r="Q1305" i="11"/>
  <c r="R1305" i="11"/>
  <c r="S1305" i="11"/>
  <c r="T1305" i="11"/>
  <c r="V1305" i="11"/>
  <c r="Q1306" i="11"/>
  <c r="R1306" i="11"/>
  <c r="S1306" i="11"/>
  <c r="T1306" i="11"/>
  <c r="U1306" i="11"/>
  <c r="V1306" i="11"/>
  <c r="Q1307" i="11"/>
  <c r="R1307" i="11"/>
  <c r="S1307" i="11"/>
  <c r="T1307" i="11"/>
  <c r="U1307" i="11"/>
  <c r="V1307" i="11"/>
  <c r="Q1308" i="11"/>
  <c r="R1308" i="11"/>
  <c r="S1308" i="11"/>
  <c r="T1308" i="11"/>
  <c r="V1308" i="11"/>
  <c r="Q1309" i="11"/>
  <c r="R1309" i="11"/>
  <c r="S1309" i="11"/>
  <c r="T1309" i="11"/>
  <c r="U1309" i="11"/>
  <c r="V1309" i="11"/>
  <c r="Q1310" i="11"/>
  <c r="R1310" i="11"/>
  <c r="S1310" i="11"/>
  <c r="T1310" i="11"/>
  <c r="U1310" i="11"/>
  <c r="V1310" i="11"/>
  <c r="Q1311" i="11"/>
  <c r="R1311" i="11"/>
  <c r="S1311" i="11"/>
  <c r="T1311" i="11"/>
  <c r="V1311" i="11"/>
  <c r="Q1312" i="11"/>
  <c r="R1312" i="11"/>
  <c r="S1312" i="11"/>
  <c r="T1312" i="11"/>
  <c r="U1312" i="11"/>
  <c r="V1312" i="11"/>
  <c r="Q1313" i="11"/>
  <c r="R1313" i="11"/>
  <c r="S1313" i="11"/>
  <c r="T1313" i="11"/>
  <c r="U1313" i="11"/>
  <c r="V1313" i="11"/>
  <c r="Q1314" i="11"/>
  <c r="R1314" i="11"/>
  <c r="S1314" i="11"/>
  <c r="T1314" i="11"/>
  <c r="V1314" i="11"/>
  <c r="Q1315" i="11"/>
  <c r="R1315" i="11"/>
  <c r="S1315" i="11"/>
  <c r="T1315" i="11"/>
  <c r="U1315" i="11"/>
  <c r="V1315" i="11"/>
  <c r="Q1316" i="11"/>
  <c r="R1316" i="11"/>
  <c r="S1316" i="11"/>
  <c r="T1316" i="11"/>
  <c r="U1316" i="11"/>
  <c r="V1316" i="11"/>
  <c r="Q1317" i="11"/>
  <c r="R1317" i="11"/>
  <c r="S1317" i="11"/>
  <c r="T1317" i="11"/>
  <c r="V1317" i="11"/>
  <c r="Q1318" i="11"/>
  <c r="R1318" i="11"/>
  <c r="S1318" i="11"/>
  <c r="T1318" i="11"/>
  <c r="U1318" i="11"/>
  <c r="V1318" i="11"/>
  <c r="Q1319" i="11"/>
  <c r="R1319" i="11"/>
  <c r="S1319" i="11"/>
  <c r="T1319" i="11"/>
  <c r="U1319" i="11"/>
  <c r="V1319" i="11"/>
  <c r="Q1320" i="11"/>
  <c r="R1320" i="11"/>
  <c r="S1320" i="11"/>
  <c r="T1320" i="11"/>
  <c r="U1320" i="11"/>
  <c r="Q1321" i="11"/>
  <c r="R1321" i="11"/>
  <c r="S1321" i="11"/>
  <c r="T1321" i="11"/>
  <c r="U1321" i="11"/>
  <c r="V1321" i="11"/>
  <c r="Q1322" i="11"/>
  <c r="R1322" i="11"/>
  <c r="S1322" i="11"/>
  <c r="T1322" i="11"/>
  <c r="U1322" i="11"/>
  <c r="V1322" i="11"/>
  <c r="Q1323" i="11"/>
  <c r="R1323" i="11"/>
  <c r="S1323" i="11"/>
  <c r="T1323" i="11"/>
  <c r="U1323" i="11"/>
  <c r="Q1324" i="11"/>
  <c r="R1324" i="11"/>
  <c r="S1324" i="11"/>
  <c r="T1324" i="11"/>
  <c r="U1324" i="11"/>
  <c r="V1324" i="11"/>
  <c r="Q1325" i="11"/>
  <c r="R1325" i="11"/>
  <c r="S1325" i="11"/>
  <c r="T1325" i="11"/>
  <c r="U1325" i="11"/>
  <c r="V1325" i="11"/>
  <c r="Q1326" i="11"/>
  <c r="R1326" i="11"/>
  <c r="S1326" i="11"/>
  <c r="T1326" i="11"/>
  <c r="V1326" i="11"/>
  <c r="Q1327" i="11"/>
  <c r="R1327" i="11"/>
  <c r="S1327" i="11"/>
  <c r="T1327" i="11"/>
  <c r="U1327" i="11"/>
  <c r="V1327" i="11"/>
  <c r="Q1328" i="11"/>
  <c r="R1328" i="11"/>
  <c r="S1328" i="11"/>
  <c r="T1328" i="11"/>
  <c r="U1328" i="11"/>
  <c r="V1328" i="11"/>
  <c r="Q1329" i="11"/>
  <c r="R1329" i="11"/>
  <c r="S1329" i="11"/>
  <c r="T1329" i="11"/>
  <c r="U1329" i="11"/>
  <c r="Q1330" i="11"/>
  <c r="R1330" i="11"/>
  <c r="S1330" i="11"/>
  <c r="T1330" i="11"/>
  <c r="U1330" i="11"/>
  <c r="V1330" i="11"/>
  <c r="Q1331" i="11"/>
  <c r="R1331" i="11"/>
  <c r="S1331" i="11"/>
  <c r="T1331" i="11"/>
  <c r="U1331" i="11"/>
  <c r="V1331" i="11"/>
  <c r="Q1332" i="11"/>
  <c r="R1332" i="11"/>
  <c r="S1332" i="11"/>
  <c r="T1332" i="11"/>
  <c r="V1332" i="11"/>
  <c r="Q1333" i="11"/>
  <c r="R1333" i="11"/>
  <c r="S1333" i="11"/>
  <c r="T1333" i="11"/>
  <c r="U1333" i="11"/>
  <c r="V1333" i="11"/>
  <c r="Q1334" i="11"/>
  <c r="R1334" i="11"/>
  <c r="S1334" i="11"/>
  <c r="T1334" i="11"/>
  <c r="U1334" i="11"/>
  <c r="V1334" i="11"/>
  <c r="Q1335" i="11"/>
  <c r="R1335" i="11"/>
  <c r="S1335" i="11"/>
  <c r="T1335" i="11"/>
  <c r="U1335" i="11"/>
  <c r="Q1336" i="11"/>
  <c r="R1336" i="11"/>
  <c r="S1336" i="11"/>
  <c r="T1336" i="11"/>
  <c r="U1336" i="11"/>
  <c r="V1336" i="11"/>
  <c r="Q1337" i="11"/>
  <c r="R1337" i="11"/>
  <c r="S1337" i="11"/>
  <c r="T1337" i="11"/>
  <c r="U1337" i="11"/>
  <c r="V1337" i="11"/>
  <c r="Q1338" i="11"/>
  <c r="R1338" i="11"/>
  <c r="S1338" i="11"/>
  <c r="T1338" i="11"/>
  <c r="V1338" i="11"/>
  <c r="Q1339" i="11"/>
  <c r="R1339" i="11"/>
  <c r="S1339" i="11"/>
  <c r="T1339" i="11"/>
  <c r="U1339" i="11"/>
  <c r="V1339" i="11"/>
  <c r="Q1340" i="11"/>
  <c r="R1340" i="11"/>
  <c r="S1340" i="11"/>
  <c r="T1340" i="11"/>
  <c r="U1340" i="11"/>
  <c r="V1340" i="11"/>
  <c r="Q1341" i="11"/>
  <c r="R1341" i="11"/>
  <c r="S1341" i="11"/>
  <c r="T1341" i="11"/>
  <c r="U1341" i="11"/>
  <c r="Q1342" i="11"/>
  <c r="R1342" i="11"/>
  <c r="S1342" i="11"/>
  <c r="T1342" i="11"/>
  <c r="U1342" i="11"/>
  <c r="V1342" i="11"/>
  <c r="Q1343" i="11"/>
  <c r="R1343" i="11"/>
  <c r="S1343" i="11"/>
  <c r="T1343" i="11"/>
  <c r="U1343" i="11"/>
  <c r="V1343" i="11"/>
  <c r="Q1344" i="11"/>
  <c r="R1344" i="11"/>
  <c r="S1344" i="11"/>
  <c r="T1344" i="11"/>
  <c r="V1344" i="11"/>
  <c r="Q1345" i="11"/>
  <c r="R1345" i="11"/>
  <c r="S1345" i="11"/>
  <c r="T1345" i="11"/>
  <c r="U1345" i="11"/>
  <c r="V1345" i="11"/>
  <c r="Q1346" i="11"/>
  <c r="R1346" i="11"/>
  <c r="S1346" i="11"/>
  <c r="T1346" i="11"/>
  <c r="U1346" i="11"/>
  <c r="V1346" i="11"/>
  <c r="Q1347" i="11"/>
  <c r="R1347" i="11"/>
  <c r="S1347" i="11"/>
  <c r="T1347" i="11"/>
  <c r="U1347" i="11"/>
  <c r="Q1348" i="11"/>
  <c r="R1348" i="11"/>
  <c r="S1348" i="11"/>
  <c r="T1348" i="11"/>
  <c r="U1348" i="11"/>
  <c r="V1348" i="11"/>
  <c r="Q1349" i="11"/>
  <c r="R1349" i="11"/>
  <c r="S1349" i="11"/>
  <c r="T1349" i="11"/>
  <c r="U1349" i="11"/>
  <c r="V1349" i="11"/>
  <c r="Q1350" i="11"/>
  <c r="R1350" i="11"/>
  <c r="S1350" i="11"/>
  <c r="T1350" i="11"/>
  <c r="U1350" i="11"/>
  <c r="Q1351" i="11"/>
  <c r="R1351" i="11"/>
  <c r="S1351" i="11"/>
  <c r="T1351" i="11"/>
  <c r="U1351" i="11"/>
  <c r="V1351" i="11"/>
  <c r="Q1352" i="11"/>
  <c r="R1352" i="11"/>
  <c r="S1352" i="11"/>
  <c r="T1352" i="11"/>
  <c r="U1352" i="11"/>
  <c r="V1352" i="11"/>
  <c r="Q1353" i="11"/>
  <c r="R1353" i="11"/>
  <c r="S1353" i="11"/>
  <c r="T1353" i="11"/>
  <c r="V1353" i="11"/>
  <c r="Q1354" i="11"/>
  <c r="R1354" i="11"/>
  <c r="S1354" i="11"/>
  <c r="T1354" i="11"/>
  <c r="U1354" i="11"/>
  <c r="V1354" i="11"/>
  <c r="Q1355" i="11"/>
  <c r="R1355" i="11"/>
  <c r="S1355" i="11"/>
  <c r="T1355" i="11"/>
  <c r="U1355" i="11"/>
  <c r="V1355" i="11"/>
  <c r="Q1356" i="11"/>
  <c r="R1356" i="11"/>
  <c r="S1356" i="11"/>
  <c r="T1356" i="11"/>
  <c r="U1356" i="11"/>
  <c r="Q1357" i="11"/>
  <c r="R1357" i="11"/>
  <c r="S1357" i="11"/>
  <c r="T1357" i="11"/>
  <c r="U1357" i="11"/>
  <c r="V1357" i="11"/>
  <c r="Q1358" i="11"/>
  <c r="R1358" i="11"/>
  <c r="S1358" i="11"/>
  <c r="T1358" i="11"/>
  <c r="U1358" i="11"/>
  <c r="V1358" i="11"/>
  <c r="Q1359" i="11"/>
  <c r="R1359" i="11"/>
  <c r="S1359" i="11"/>
  <c r="T1359" i="11"/>
  <c r="V1359" i="11"/>
  <c r="Q1360" i="11"/>
  <c r="R1360" i="11"/>
  <c r="S1360" i="11"/>
  <c r="T1360" i="11"/>
  <c r="U1360" i="11"/>
  <c r="V1360" i="11"/>
  <c r="Q1361" i="11"/>
  <c r="R1361" i="11"/>
  <c r="S1361" i="11"/>
  <c r="T1361" i="11"/>
  <c r="U1361" i="11"/>
  <c r="V1361" i="11"/>
  <c r="Q1362" i="11"/>
  <c r="R1362" i="11"/>
  <c r="S1362" i="11"/>
  <c r="T1362" i="11"/>
  <c r="V1362" i="11"/>
  <c r="Q1363" i="11"/>
  <c r="R1363" i="11"/>
  <c r="S1363" i="11"/>
  <c r="T1363" i="11"/>
  <c r="U1363" i="11"/>
  <c r="V1363" i="11"/>
  <c r="Q1364" i="11"/>
  <c r="R1364" i="11"/>
  <c r="S1364" i="11"/>
  <c r="T1364" i="11"/>
  <c r="U1364" i="11"/>
  <c r="V1364" i="11"/>
  <c r="Q1365" i="11"/>
  <c r="R1365" i="11"/>
  <c r="S1365" i="11"/>
  <c r="T1365" i="11"/>
  <c r="V1365" i="11"/>
  <c r="Q1366" i="11"/>
  <c r="R1366" i="11"/>
  <c r="S1366" i="11"/>
  <c r="T1366" i="11"/>
  <c r="U1366" i="11"/>
  <c r="V1366" i="11"/>
  <c r="Q1367" i="11"/>
  <c r="R1367" i="11"/>
  <c r="S1367" i="11"/>
  <c r="T1367" i="11"/>
  <c r="U1367" i="11"/>
  <c r="V1367" i="11"/>
  <c r="Q1368" i="11"/>
  <c r="R1368" i="11"/>
  <c r="S1368" i="11"/>
  <c r="T1368" i="11"/>
  <c r="V1368" i="11"/>
  <c r="Q1369" i="11"/>
  <c r="R1369" i="11"/>
  <c r="S1369" i="11"/>
  <c r="T1369" i="11"/>
  <c r="U1369" i="11"/>
  <c r="V1369" i="11"/>
  <c r="Q1370" i="11"/>
  <c r="R1370" i="11"/>
  <c r="S1370" i="11"/>
  <c r="T1370" i="11"/>
  <c r="U1370" i="11"/>
  <c r="V1370" i="11"/>
  <c r="Q1371" i="11"/>
  <c r="R1371" i="11"/>
  <c r="S1371" i="11"/>
  <c r="T1371" i="11"/>
  <c r="V1371" i="11"/>
  <c r="Q1372" i="11"/>
  <c r="R1372" i="11"/>
  <c r="S1372" i="11"/>
  <c r="T1372" i="11"/>
  <c r="U1372" i="11"/>
  <c r="V1372" i="11"/>
  <c r="Q1373" i="11"/>
  <c r="R1373" i="11"/>
  <c r="S1373" i="11"/>
  <c r="T1373" i="11"/>
  <c r="U1373" i="11"/>
  <c r="V1373" i="11"/>
  <c r="Q1374" i="11"/>
  <c r="R1374" i="11"/>
  <c r="S1374" i="11"/>
  <c r="T1374" i="11"/>
  <c r="V1374" i="11"/>
  <c r="Q1375" i="11"/>
  <c r="R1375" i="11"/>
  <c r="S1375" i="11"/>
  <c r="T1375" i="11"/>
  <c r="U1375" i="11"/>
  <c r="V1375" i="11"/>
  <c r="Q1376" i="11"/>
  <c r="R1376" i="11"/>
  <c r="S1376" i="11"/>
  <c r="T1376" i="11"/>
  <c r="U1376" i="11"/>
  <c r="V1376" i="11"/>
  <c r="Q1377" i="11"/>
  <c r="R1377" i="11"/>
  <c r="S1377" i="11"/>
  <c r="T1377" i="11"/>
  <c r="V1377" i="11"/>
  <c r="Q1378" i="11"/>
  <c r="R1378" i="11"/>
  <c r="S1378" i="11"/>
  <c r="T1378" i="11"/>
  <c r="U1378" i="11"/>
  <c r="V1378" i="11"/>
  <c r="Q1379" i="11"/>
  <c r="R1379" i="11"/>
  <c r="S1379" i="11"/>
  <c r="T1379" i="11"/>
  <c r="U1379" i="11"/>
  <c r="V1379" i="11"/>
  <c r="Q1380" i="11"/>
  <c r="R1380" i="11"/>
  <c r="S1380" i="11"/>
  <c r="T1380" i="11"/>
  <c r="V1380" i="11"/>
  <c r="Q1381" i="11"/>
  <c r="R1381" i="11"/>
  <c r="S1381" i="11"/>
  <c r="T1381" i="11"/>
  <c r="U1381" i="11"/>
  <c r="V1381" i="11"/>
  <c r="Q1382" i="11"/>
  <c r="R1382" i="11"/>
  <c r="S1382" i="11"/>
  <c r="T1382" i="11"/>
  <c r="U1382" i="11"/>
  <c r="V1382" i="11"/>
  <c r="Q1383" i="11"/>
  <c r="R1383" i="11"/>
  <c r="S1383" i="11"/>
  <c r="T1383" i="11"/>
  <c r="V1383" i="11"/>
  <c r="Q1384" i="11"/>
  <c r="R1384" i="11"/>
  <c r="S1384" i="11"/>
  <c r="T1384" i="11"/>
  <c r="U1384" i="11"/>
  <c r="V1384" i="11"/>
  <c r="Q1385" i="11"/>
  <c r="R1385" i="11"/>
  <c r="S1385" i="11"/>
  <c r="T1385" i="11"/>
  <c r="U1385" i="11"/>
  <c r="V1385" i="11"/>
  <c r="Q1386" i="11"/>
  <c r="R1386" i="11"/>
  <c r="S1386" i="11"/>
  <c r="T1386" i="11"/>
  <c r="V1386" i="11"/>
  <c r="Q1387" i="11"/>
  <c r="R1387" i="11"/>
  <c r="S1387" i="11"/>
  <c r="T1387" i="11"/>
  <c r="U1387" i="11"/>
  <c r="V1387" i="11"/>
  <c r="Q1388" i="11"/>
  <c r="R1388" i="11"/>
  <c r="S1388" i="11"/>
  <c r="T1388" i="11"/>
  <c r="U1388" i="11"/>
  <c r="V1388" i="11"/>
  <c r="Q1389" i="11"/>
  <c r="R1389" i="11"/>
  <c r="S1389" i="11"/>
  <c r="T1389" i="11"/>
  <c r="V1389" i="11"/>
  <c r="Q1390" i="11"/>
  <c r="R1390" i="11"/>
  <c r="S1390" i="11"/>
  <c r="T1390" i="11"/>
  <c r="U1390" i="11"/>
  <c r="V1390" i="11"/>
  <c r="Q1391" i="11"/>
  <c r="R1391" i="11"/>
  <c r="S1391" i="11"/>
  <c r="T1391" i="11"/>
  <c r="U1391" i="11"/>
  <c r="V1391" i="11"/>
  <c r="Q1392" i="11"/>
  <c r="R1392" i="11"/>
  <c r="S1392" i="11"/>
  <c r="T1392" i="11"/>
  <c r="V1392" i="11"/>
  <c r="Q1393" i="11"/>
  <c r="R1393" i="11"/>
  <c r="S1393" i="11"/>
  <c r="T1393" i="11"/>
  <c r="U1393" i="11"/>
  <c r="V1393" i="11"/>
  <c r="Q1394" i="11"/>
  <c r="R1394" i="11"/>
  <c r="S1394" i="11"/>
  <c r="T1394" i="11"/>
  <c r="U1394" i="11"/>
  <c r="V1394" i="11"/>
  <c r="Q1395" i="11"/>
  <c r="R1395" i="11"/>
  <c r="S1395" i="11"/>
  <c r="T1395" i="11"/>
  <c r="V1395" i="11"/>
  <c r="Q1396" i="11"/>
  <c r="R1396" i="11"/>
  <c r="S1396" i="11"/>
  <c r="T1396" i="11"/>
  <c r="U1396" i="11"/>
  <c r="V1396" i="11"/>
  <c r="Q1397" i="11"/>
  <c r="R1397" i="11"/>
  <c r="S1397" i="11"/>
  <c r="T1397" i="11"/>
  <c r="U1397" i="11"/>
  <c r="V1397" i="11"/>
  <c r="Q1398" i="11"/>
  <c r="R1398" i="11"/>
  <c r="S1398" i="11"/>
  <c r="T1398" i="11"/>
  <c r="V1398" i="11"/>
  <c r="Q1399" i="11"/>
  <c r="R1399" i="11"/>
  <c r="S1399" i="11"/>
  <c r="T1399" i="11"/>
  <c r="U1399" i="11"/>
  <c r="V1399" i="11"/>
  <c r="Q1400" i="11"/>
  <c r="R1400" i="11"/>
  <c r="S1400" i="11"/>
  <c r="T1400" i="11"/>
  <c r="U1400" i="11"/>
  <c r="V1400" i="11"/>
  <c r="Q1401" i="11"/>
  <c r="R1401" i="11"/>
  <c r="S1401" i="11"/>
  <c r="T1401" i="11"/>
  <c r="U1401" i="11"/>
  <c r="V1401" i="11"/>
  <c r="Q1402" i="11"/>
  <c r="R1402" i="11"/>
  <c r="S1402" i="11"/>
  <c r="T1402" i="11"/>
  <c r="V1402" i="11"/>
  <c r="Q1403" i="11"/>
  <c r="R1403" i="11"/>
  <c r="S1403" i="11"/>
  <c r="T1403" i="11"/>
  <c r="U1403" i="11"/>
  <c r="V1403" i="11"/>
  <c r="Q1404" i="11"/>
  <c r="R1404" i="11"/>
  <c r="S1404" i="11"/>
  <c r="T1404" i="11"/>
  <c r="U1404" i="11"/>
  <c r="V1404" i="11"/>
  <c r="Q1405" i="11"/>
  <c r="R1405" i="11"/>
  <c r="S1405" i="11"/>
  <c r="U1405" i="11"/>
  <c r="V1405" i="11"/>
  <c r="Q1406" i="11"/>
  <c r="R1406" i="11"/>
  <c r="S1406" i="11"/>
  <c r="T1406" i="11"/>
  <c r="U1406" i="11"/>
  <c r="V1406" i="11"/>
  <c r="Q1407" i="11"/>
  <c r="R1407" i="11"/>
  <c r="S1407" i="11"/>
  <c r="T1407" i="11"/>
  <c r="U1407" i="11"/>
  <c r="V1407" i="11"/>
  <c r="Q1408" i="11"/>
  <c r="S1408" i="11"/>
  <c r="T1408" i="11"/>
  <c r="U1408" i="11"/>
  <c r="V1408" i="11"/>
  <c r="Q1409" i="11"/>
  <c r="R1409" i="11"/>
  <c r="S1409" i="11"/>
  <c r="T1409" i="11"/>
  <c r="U1409" i="11"/>
  <c r="V1409" i="11"/>
  <c r="Q1410" i="11"/>
  <c r="R1410" i="11"/>
  <c r="S1410" i="11"/>
  <c r="T1410" i="11"/>
  <c r="U1410" i="11"/>
  <c r="V1410" i="11"/>
  <c r="Q1411" i="11"/>
  <c r="R1411" i="11"/>
  <c r="S1411" i="11"/>
  <c r="U1411" i="11"/>
  <c r="V1411" i="11"/>
  <c r="Q1412" i="11"/>
  <c r="R1412" i="11"/>
  <c r="S1412" i="11"/>
  <c r="T1412" i="11"/>
  <c r="U1412" i="11"/>
  <c r="V1412" i="11"/>
  <c r="Q1413" i="11"/>
  <c r="R1413" i="11"/>
  <c r="S1413" i="11"/>
  <c r="T1413" i="11"/>
  <c r="U1413" i="11"/>
  <c r="V1413" i="11"/>
  <c r="Q1414" i="11"/>
  <c r="R1414" i="11"/>
  <c r="T1414" i="11"/>
  <c r="U1414" i="11"/>
  <c r="V1414" i="11"/>
  <c r="Q1415" i="11"/>
  <c r="R1415" i="11"/>
  <c r="S1415" i="11"/>
  <c r="T1415" i="11"/>
  <c r="U1415" i="11"/>
  <c r="V1415" i="11"/>
  <c r="Q1416" i="11"/>
  <c r="R1416" i="11"/>
  <c r="S1416" i="11"/>
  <c r="T1416" i="11"/>
  <c r="U1416" i="11"/>
  <c r="V1416" i="11"/>
  <c r="Q1417" i="11"/>
  <c r="S1417" i="11"/>
  <c r="T1417" i="11"/>
  <c r="U1417" i="11"/>
  <c r="V1417" i="11"/>
  <c r="Q1418" i="11"/>
  <c r="R1418" i="11"/>
  <c r="S1418" i="11"/>
  <c r="T1418" i="11"/>
  <c r="U1418" i="11"/>
  <c r="V1418" i="11"/>
  <c r="Q1419" i="11"/>
  <c r="R1419" i="11"/>
  <c r="S1419" i="11"/>
  <c r="T1419" i="11"/>
  <c r="U1419" i="11"/>
  <c r="V1419" i="11"/>
  <c r="Q1420" i="11"/>
  <c r="R1420" i="11"/>
  <c r="T1420" i="11"/>
  <c r="U1420" i="11"/>
  <c r="V1420" i="11"/>
  <c r="Q1421" i="11"/>
  <c r="R1421" i="11"/>
  <c r="S1421" i="11"/>
  <c r="T1421" i="11"/>
  <c r="U1421" i="11"/>
  <c r="V1421" i="11"/>
  <c r="Q1422" i="11"/>
  <c r="R1422" i="11"/>
  <c r="S1422" i="11"/>
  <c r="T1422" i="11"/>
  <c r="U1422" i="11"/>
  <c r="V1422" i="11"/>
  <c r="Q1423" i="11"/>
  <c r="R1423" i="11"/>
  <c r="T1423" i="11"/>
  <c r="U1423" i="11"/>
  <c r="V1423" i="11"/>
  <c r="Q1424" i="11"/>
  <c r="R1424" i="11"/>
  <c r="S1424" i="11"/>
  <c r="T1424" i="11"/>
  <c r="U1424" i="11"/>
  <c r="V1424" i="11"/>
  <c r="Q1425" i="11"/>
  <c r="R1425" i="11"/>
  <c r="S1425" i="11"/>
  <c r="T1425" i="11"/>
  <c r="U1425" i="11"/>
  <c r="V1425" i="11"/>
  <c r="Q1426" i="11"/>
  <c r="R1426" i="11"/>
  <c r="T1426" i="11"/>
  <c r="U1426" i="11"/>
  <c r="V1426" i="11"/>
  <c r="Q1427" i="11"/>
  <c r="R1427" i="11"/>
  <c r="S1427" i="11"/>
  <c r="T1427" i="11"/>
  <c r="U1427" i="11"/>
  <c r="V1427" i="11"/>
  <c r="Q1428" i="11"/>
  <c r="R1428" i="11"/>
  <c r="S1428" i="11"/>
  <c r="T1428" i="11"/>
  <c r="U1428" i="11"/>
  <c r="V1428" i="11"/>
  <c r="Q1429" i="11"/>
  <c r="S1429" i="11"/>
  <c r="T1429" i="11"/>
  <c r="U1429" i="11"/>
  <c r="V1429" i="11"/>
  <c r="Q1430" i="11"/>
  <c r="R1430" i="11"/>
  <c r="S1430" i="11"/>
  <c r="T1430" i="11"/>
  <c r="U1430" i="11"/>
  <c r="V1430" i="11"/>
  <c r="Q1431" i="11"/>
  <c r="R1431" i="11"/>
  <c r="S1431" i="11"/>
  <c r="T1431" i="11"/>
  <c r="U1431" i="11"/>
  <c r="V1431" i="11"/>
  <c r="Q1432" i="11"/>
  <c r="S1432" i="11"/>
  <c r="T1432" i="11"/>
  <c r="U1432" i="11"/>
  <c r="V1432" i="11"/>
  <c r="Q1433" i="11"/>
  <c r="R1433" i="11"/>
  <c r="S1433" i="11"/>
  <c r="T1433" i="11"/>
  <c r="U1433" i="11"/>
  <c r="V1433" i="11"/>
  <c r="Q1434" i="11"/>
  <c r="R1434" i="11"/>
  <c r="S1434" i="11"/>
  <c r="T1434" i="11"/>
  <c r="U1434" i="11"/>
  <c r="V1434" i="11"/>
  <c r="Q1435" i="11"/>
  <c r="R1435" i="11"/>
  <c r="S1435" i="11"/>
  <c r="T1435" i="11"/>
  <c r="V1435" i="11"/>
  <c r="Q1436" i="11"/>
  <c r="R1436" i="11"/>
  <c r="S1436" i="11"/>
  <c r="T1436" i="11"/>
  <c r="U1436" i="11"/>
  <c r="V1436" i="11"/>
  <c r="Q1437" i="11"/>
  <c r="R1437" i="11"/>
  <c r="S1437" i="11"/>
  <c r="T1437" i="11"/>
  <c r="U1437" i="11"/>
  <c r="V1437" i="11"/>
  <c r="Q1438" i="11"/>
  <c r="R1438" i="11"/>
  <c r="S1438" i="11"/>
  <c r="U1438" i="11"/>
  <c r="V1438" i="11"/>
  <c r="Q1439" i="11"/>
  <c r="R1439" i="11"/>
  <c r="S1439" i="11"/>
  <c r="T1439" i="11"/>
  <c r="U1439" i="11"/>
  <c r="V1439" i="11"/>
  <c r="Q1440" i="11"/>
  <c r="R1440" i="11"/>
  <c r="S1440" i="11"/>
  <c r="T1440" i="11"/>
  <c r="U1440" i="11"/>
  <c r="V1440" i="11"/>
  <c r="Q1441" i="11"/>
  <c r="R1441" i="11"/>
  <c r="T1441" i="11"/>
  <c r="U1441" i="11"/>
  <c r="V1441" i="11"/>
  <c r="Q1442" i="11"/>
  <c r="R1442" i="11"/>
  <c r="S1442" i="11"/>
  <c r="T1442" i="11"/>
  <c r="U1442" i="11"/>
  <c r="V1442" i="11"/>
  <c r="Q1443" i="11"/>
  <c r="R1443" i="11"/>
  <c r="S1443" i="11"/>
  <c r="T1443" i="11"/>
  <c r="U1443" i="11"/>
  <c r="V1443" i="11"/>
  <c r="Q1444" i="11"/>
  <c r="R1444" i="11"/>
  <c r="T1444" i="11"/>
  <c r="U1444" i="11"/>
  <c r="V1444" i="11"/>
  <c r="Q1445" i="11"/>
  <c r="R1445" i="11"/>
  <c r="S1445" i="11"/>
  <c r="T1445" i="11"/>
  <c r="U1445" i="11"/>
  <c r="V1445" i="11"/>
  <c r="Q1446" i="11"/>
  <c r="R1446" i="11"/>
  <c r="S1446" i="11"/>
  <c r="T1446" i="11"/>
  <c r="U1446" i="11"/>
  <c r="V1446" i="11"/>
  <c r="Q1447" i="11"/>
  <c r="R1447" i="11"/>
  <c r="T1447" i="11"/>
  <c r="U1447" i="11"/>
  <c r="V1447" i="11"/>
  <c r="Q1448" i="11"/>
  <c r="R1448" i="11"/>
  <c r="S1448" i="11"/>
  <c r="T1448" i="11"/>
  <c r="U1448" i="11"/>
  <c r="V1448" i="11"/>
  <c r="Q1449" i="11"/>
  <c r="R1449" i="11"/>
  <c r="S1449" i="11"/>
  <c r="T1449" i="11"/>
  <c r="U1449" i="11"/>
  <c r="V1449" i="11"/>
  <c r="Q1450" i="11"/>
  <c r="R1450" i="11"/>
  <c r="T1450" i="11"/>
  <c r="U1450" i="11"/>
  <c r="V1450" i="11"/>
  <c r="Q1451" i="11"/>
  <c r="R1451" i="11"/>
  <c r="S1451" i="11"/>
  <c r="T1451" i="11"/>
  <c r="U1451" i="11"/>
  <c r="V1451" i="11"/>
  <c r="Q1452" i="11"/>
  <c r="R1452" i="11"/>
  <c r="S1452" i="11"/>
  <c r="T1452" i="11"/>
  <c r="U1452" i="11"/>
  <c r="V1452" i="11"/>
  <c r="Q1453" i="11"/>
  <c r="R1453" i="11"/>
  <c r="S1453" i="11"/>
  <c r="T1453" i="11"/>
  <c r="V1453" i="11"/>
  <c r="Q1454" i="11"/>
  <c r="R1454" i="11"/>
  <c r="S1454" i="11"/>
  <c r="T1454" i="11"/>
  <c r="U1454" i="11"/>
  <c r="V1454" i="11"/>
  <c r="Q1455" i="11"/>
  <c r="R1455" i="11"/>
  <c r="S1455" i="11"/>
  <c r="T1455" i="11"/>
  <c r="U1455" i="11"/>
  <c r="V1455" i="11"/>
  <c r="Q1456" i="11"/>
  <c r="R1456" i="11"/>
  <c r="S1456" i="11"/>
  <c r="T1456" i="11"/>
  <c r="V1456" i="11"/>
  <c r="Q1457" i="11"/>
  <c r="R1457" i="11"/>
  <c r="S1457" i="11"/>
  <c r="T1457" i="11"/>
  <c r="U1457" i="11"/>
  <c r="V1457" i="11"/>
  <c r="Q1458" i="11"/>
  <c r="R1458" i="11"/>
  <c r="S1458" i="11"/>
  <c r="T1458" i="11"/>
  <c r="U1458" i="11"/>
  <c r="V1458" i="11"/>
  <c r="Q1459" i="11"/>
  <c r="R1459" i="11"/>
  <c r="S1459" i="11"/>
  <c r="T1459" i="11"/>
  <c r="V1459" i="11"/>
  <c r="Q1460" i="11"/>
  <c r="R1460" i="11"/>
  <c r="S1460" i="11"/>
  <c r="T1460" i="11"/>
  <c r="U1460" i="11"/>
  <c r="V1460" i="11"/>
  <c r="Q1461" i="11"/>
  <c r="R1461" i="11"/>
  <c r="S1461" i="11"/>
  <c r="T1461" i="11"/>
  <c r="U1461" i="11"/>
  <c r="V1461" i="11"/>
  <c r="Q1462" i="11"/>
  <c r="R1462" i="11"/>
  <c r="S1462" i="11"/>
  <c r="U1462" i="11"/>
  <c r="V1462" i="11"/>
  <c r="Q1463" i="11"/>
  <c r="R1463" i="11"/>
  <c r="S1463" i="11"/>
  <c r="T1463" i="11"/>
  <c r="U1463" i="11"/>
  <c r="V1463" i="11"/>
  <c r="Q1464" i="11"/>
  <c r="R1464" i="11"/>
  <c r="S1464" i="11"/>
  <c r="T1464" i="11"/>
  <c r="U1464" i="11"/>
  <c r="V1464" i="11"/>
  <c r="Q1465" i="11"/>
  <c r="R1465" i="11"/>
  <c r="S1465" i="11"/>
  <c r="U1465" i="11"/>
  <c r="V1465" i="11"/>
  <c r="Q1466" i="11"/>
  <c r="R1466" i="11"/>
  <c r="S1466" i="11"/>
  <c r="T1466" i="11"/>
  <c r="U1466" i="11"/>
  <c r="V1466" i="11"/>
  <c r="Q1467" i="11"/>
  <c r="R1467" i="11"/>
  <c r="S1467" i="11"/>
  <c r="T1467" i="11"/>
  <c r="U1467" i="11"/>
  <c r="V1467" i="11"/>
  <c r="Q1468" i="11"/>
  <c r="R1468" i="11"/>
  <c r="S1468" i="11"/>
  <c r="U1468" i="11"/>
  <c r="V1468" i="11"/>
  <c r="Q1469" i="11"/>
  <c r="R1469" i="11"/>
  <c r="S1469" i="11"/>
  <c r="T1469" i="11"/>
  <c r="U1469" i="11"/>
  <c r="V1469" i="11"/>
  <c r="Q1470" i="11"/>
  <c r="R1470" i="11"/>
  <c r="S1470" i="11"/>
  <c r="T1470" i="11"/>
  <c r="U1470" i="11"/>
  <c r="V1470" i="11"/>
  <c r="Q1471" i="11"/>
  <c r="R1471" i="11"/>
  <c r="S1471" i="11"/>
  <c r="U1471" i="11"/>
  <c r="V1471" i="11"/>
  <c r="Q1472" i="11"/>
  <c r="R1472" i="11"/>
  <c r="S1472" i="11"/>
  <c r="T1472" i="11"/>
  <c r="U1472" i="11"/>
  <c r="V1472" i="11"/>
  <c r="Q1473" i="11"/>
  <c r="R1473" i="11"/>
  <c r="S1473" i="11"/>
  <c r="T1473" i="11"/>
  <c r="U1473" i="11"/>
  <c r="V1473" i="11"/>
  <c r="Q1474" i="11"/>
  <c r="R1474" i="11"/>
  <c r="T1474" i="11"/>
  <c r="U1474" i="11"/>
  <c r="V1474" i="11"/>
  <c r="Q1475" i="11"/>
  <c r="R1475" i="11"/>
  <c r="S1475" i="11"/>
  <c r="T1475" i="11"/>
  <c r="U1475" i="11"/>
  <c r="V1475" i="11"/>
  <c r="Q1476" i="11"/>
  <c r="R1476" i="11"/>
  <c r="S1476" i="11"/>
  <c r="T1476" i="11"/>
  <c r="U1476" i="11"/>
  <c r="V1476" i="11"/>
  <c r="Q1477" i="11"/>
  <c r="S1477" i="11"/>
  <c r="T1477" i="11"/>
  <c r="U1477" i="11"/>
  <c r="V1477" i="11"/>
  <c r="Q1478" i="11"/>
  <c r="R1478" i="11"/>
  <c r="S1478" i="11"/>
  <c r="T1478" i="11"/>
  <c r="U1478" i="11"/>
  <c r="V1478" i="11"/>
  <c r="Q1479" i="11"/>
  <c r="R1479" i="11"/>
  <c r="S1479" i="11"/>
  <c r="T1479" i="11"/>
  <c r="U1479" i="11"/>
  <c r="V1479" i="11"/>
  <c r="Q1480" i="11"/>
  <c r="S1480" i="11"/>
  <c r="T1480" i="11"/>
  <c r="U1480" i="11"/>
  <c r="V1480" i="11"/>
  <c r="Q1481" i="11"/>
  <c r="R1481" i="11"/>
  <c r="S1481" i="11"/>
  <c r="T1481" i="11"/>
  <c r="U1481" i="11"/>
  <c r="V1481" i="11"/>
  <c r="Q1482" i="11"/>
  <c r="R1482" i="11"/>
  <c r="S1482" i="11"/>
  <c r="T1482" i="11"/>
  <c r="U1482" i="11"/>
  <c r="V1482" i="11"/>
  <c r="Q1483" i="11"/>
  <c r="S1483" i="11"/>
  <c r="T1483" i="11"/>
  <c r="U1483" i="11"/>
  <c r="V1483" i="11"/>
  <c r="Q1484" i="11"/>
  <c r="R1484" i="11"/>
  <c r="S1484" i="11"/>
  <c r="T1484" i="11"/>
  <c r="U1484" i="11"/>
  <c r="V1484" i="11"/>
  <c r="Q1485" i="11"/>
  <c r="R1485" i="11"/>
  <c r="S1485" i="11"/>
  <c r="T1485" i="11"/>
  <c r="U1485" i="11"/>
  <c r="V1485" i="11"/>
  <c r="Q1486" i="11"/>
  <c r="S1486" i="11"/>
  <c r="T1486" i="11"/>
  <c r="U1486" i="11"/>
  <c r="V1486" i="11"/>
  <c r="Q1487" i="11"/>
  <c r="R1487" i="11"/>
  <c r="S1487" i="11"/>
  <c r="T1487" i="11"/>
  <c r="U1487" i="11"/>
  <c r="V1487" i="11"/>
  <c r="Q1488" i="11"/>
  <c r="R1488" i="11"/>
  <c r="S1488" i="11"/>
  <c r="T1488" i="11"/>
  <c r="U1488" i="11"/>
  <c r="V1488" i="11"/>
  <c r="Q1489" i="11"/>
  <c r="S1489" i="11"/>
  <c r="T1489" i="11"/>
  <c r="U1489" i="11"/>
  <c r="V1489" i="11"/>
  <c r="Q1490" i="11"/>
  <c r="R1490" i="11"/>
  <c r="S1490" i="11"/>
  <c r="T1490" i="11"/>
  <c r="U1490" i="11"/>
  <c r="V1490" i="11"/>
  <c r="Q1491" i="11"/>
  <c r="R1491" i="11"/>
  <c r="S1491" i="11"/>
  <c r="T1491" i="11"/>
  <c r="U1491" i="11"/>
  <c r="V1491" i="11"/>
  <c r="Q1492" i="11"/>
  <c r="R1492" i="11"/>
  <c r="S1492" i="11"/>
  <c r="U1492" i="11"/>
  <c r="V1492" i="11"/>
  <c r="Q1493" i="11"/>
  <c r="R1493" i="11"/>
  <c r="S1493" i="11"/>
  <c r="T1493" i="11"/>
  <c r="U1493" i="11"/>
  <c r="V1493" i="11"/>
  <c r="Q1494" i="11"/>
  <c r="R1494" i="11"/>
  <c r="S1494" i="11"/>
  <c r="T1494" i="11"/>
  <c r="U1494" i="11"/>
  <c r="V1494" i="11"/>
  <c r="Q1495" i="11"/>
  <c r="R1495" i="11"/>
  <c r="T1495" i="11"/>
  <c r="U1495" i="11"/>
  <c r="V1495" i="11"/>
  <c r="Q1496" i="11"/>
  <c r="R1496" i="11"/>
  <c r="S1496" i="11"/>
  <c r="T1496" i="11"/>
  <c r="U1496" i="11"/>
  <c r="V1496" i="11"/>
  <c r="Q1497" i="11"/>
  <c r="R1497" i="11"/>
  <c r="S1497" i="11"/>
  <c r="T1497" i="11"/>
  <c r="U1497" i="11"/>
  <c r="V1497" i="11"/>
  <c r="Q1498" i="11"/>
  <c r="R1498" i="11"/>
  <c r="S1498" i="11"/>
  <c r="T1498" i="11"/>
  <c r="V1498" i="11"/>
  <c r="Q1499" i="11"/>
  <c r="R1499" i="11"/>
  <c r="S1499" i="11"/>
  <c r="T1499" i="11"/>
  <c r="U1499" i="11"/>
  <c r="V1499" i="11"/>
  <c r="Q1500" i="11"/>
  <c r="R1500" i="11"/>
  <c r="S1500" i="11"/>
  <c r="T1500" i="11"/>
  <c r="U1500" i="11"/>
  <c r="V1500" i="11"/>
  <c r="Q1501" i="11"/>
  <c r="R1501" i="11"/>
  <c r="S1501" i="11"/>
  <c r="U1501" i="11"/>
  <c r="V1501" i="11"/>
  <c r="Q1502" i="11"/>
  <c r="R1502" i="11"/>
  <c r="S1502" i="11"/>
  <c r="T1502" i="11"/>
  <c r="U1502" i="11"/>
  <c r="V1502" i="11"/>
  <c r="Q1503" i="11"/>
  <c r="R1503" i="11"/>
  <c r="S1503" i="11"/>
  <c r="T1503" i="11"/>
  <c r="U1503" i="11"/>
  <c r="V1503" i="11"/>
  <c r="Q1504" i="11"/>
  <c r="R1504" i="11"/>
  <c r="S1504" i="11"/>
  <c r="U1504" i="11"/>
  <c r="V1504" i="11"/>
  <c r="Q1505" i="11"/>
  <c r="R1505" i="11"/>
  <c r="S1505" i="11"/>
  <c r="T1505" i="11"/>
  <c r="U1505" i="11"/>
  <c r="V1505" i="11"/>
  <c r="Q1506" i="11"/>
  <c r="R1506" i="11"/>
  <c r="S1506" i="11"/>
  <c r="T1506" i="11"/>
  <c r="U1506" i="11"/>
  <c r="V1506" i="11"/>
  <c r="Q1507" i="11"/>
  <c r="R1507" i="11"/>
  <c r="S1507" i="11"/>
  <c r="T1507" i="11"/>
  <c r="V1507" i="11"/>
  <c r="Q1508" i="11"/>
  <c r="R1508" i="11"/>
  <c r="S1508" i="11"/>
  <c r="T1508" i="11"/>
  <c r="U1508" i="11"/>
  <c r="V1508" i="11"/>
  <c r="Q1509" i="11"/>
  <c r="R1509" i="11"/>
  <c r="S1509" i="11"/>
  <c r="T1509" i="11"/>
  <c r="U1509" i="11"/>
  <c r="V1509" i="11"/>
  <c r="Q1510" i="11"/>
  <c r="R1510" i="11"/>
  <c r="S1510" i="11"/>
  <c r="T1510" i="11"/>
  <c r="V1510" i="11"/>
  <c r="Q1511" i="11"/>
  <c r="R1511" i="11"/>
  <c r="S1511" i="11"/>
  <c r="T1511" i="11"/>
  <c r="U1511" i="11"/>
  <c r="V1511" i="11"/>
  <c r="Q1512" i="11"/>
  <c r="R1512" i="11"/>
  <c r="S1512" i="11"/>
  <c r="T1512" i="11"/>
  <c r="U1512" i="11"/>
  <c r="V1512" i="11"/>
  <c r="Q1513" i="11"/>
  <c r="R1513" i="11"/>
  <c r="S1513" i="11"/>
  <c r="T1513" i="11"/>
  <c r="V1513" i="11"/>
  <c r="Q1514" i="11"/>
  <c r="R1514" i="11"/>
  <c r="S1514" i="11"/>
  <c r="T1514" i="11"/>
  <c r="U1514" i="11"/>
  <c r="V1514" i="11"/>
  <c r="Q1515" i="11"/>
  <c r="R1515" i="11"/>
  <c r="S1515" i="11"/>
  <c r="T1515" i="11"/>
  <c r="U1515" i="11"/>
  <c r="V1515" i="11"/>
  <c r="Q1516" i="11"/>
  <c r="R1516" i="11"/>
  <c r="S1516" i="11"/>
  <c r="U1516" i="11"/>
  <c r="V1516" i="11"/>
  <c r="Q1517" i="11"/>
  <c r="R1517" i="11"/>
  <c r="S1517" i="11"/>
  <c r="T1517" i="11"/>
  <c r="U1517" i="11"/>
  <c r="V1517" i="11"/>
  <c r="Q1518" i="11"/>
  <c r="R1518" i="11"/>
  <c r="S1518" i="11"/>
  <c r="T1518" i="11"/>
  <c r="U1518" i="11"/>
  <c r="V1518" i="11"/>
  <c r="Q1519" i="11"/>
  <c r="R1519" i="11"/>
  <c r="S1519" i="11"/>
  <c r="T1519" i="11"/>
  <c r="V1519" i="11"/>
  <c r="Q1520" i="11"/>
  <c r="R1520" i="11"/>
  <c r="S1520" i="11"/>
  <c r="T1520" i="11"/>
  <c r="U1520" i="11"/>
  <c r="V1520" i="11"/>
  <c r="Q1521" i="11"/>
  <c r="R1521" i="11"/>
  <c r="S1521" i="11"/>
  <c r="T1521" i="11"/>
  <c r="U1521" i="11"/>
  <c r="V1521" i="11"/>
  <c r="Q1522" i="11"/>
  <c r="R1522" i="11"/>
  <c r="S1522" i="11"/>
  <c r="U1522" i="11"/>
  <c r="V1522" i="11"/>
  <c r="Q1523" i="11"/>
  <c r="R1523" i="11"/>
  <c r="S1523" i="11"/>
  <c r="T1523" i="11"/>
  <c r="U1523" i="11"/>
  <c r="V1523" i="11"/>
  <c r="Q1524" i="11"/>
  <c r="R1524" i="11"/>
  <c r="S1524" i="11"/>
  <c r="T1524" i="11"/>
  <c r="U1524" i="11"/>
  <c r="V1524" i="11"/>
  <c r="Q1525" i="11"/>
  <c r="R1525" i="11"/>
  <c r="S1525" i="11"/>
  <c r="T1525" i="11"/>
  <c r="V1525" i="11"/>
  <c r="Q1526" i="11"/>
  <c r="R1526" i="11"/>
  <c r="S1526" i="11"/>
  <c r="T1526" i="11"/>
  <c r="U1526" i="11"/>
  <c r="V1526" i="11"/>
  <c r="Q1527" i="11"/>
  <c r="R1527" i="11"/>
  <c r="S1527" i="11"/>
  <c r="T1527" i="11"/>
  <c r="U1527" i="11"/>
  <c r="V1527" i="11"/>
  <c r="Q1528" i="11"/>
  <c r="R1528" i="11"/>
  <c r="T1528" i="11"/>
  <c r="U1528" i="11"/>
  <c r="V1528" i="11"/>
  <c r="Q1529" i="11"/>
  <c r="R1529" i="11"/>
  <c r="S1529" i="11"/>
  <c r="T1529" i="11"/>
  <c r="U1529" i="11"/>
  <c r="V1529" i="11"/>
  <c r="Q1530" i="11"/>
  <c r="R1530" i="11"/>
  <c r="S1530" i="11"/>
  <c r="T1530" i="11"/>
  <c r="U1530" i="11"/>
  <c r="V1530" i="11"/>
  <c r="Q1531" i="11"/>
  <c r="R1531" i="11"/>
  <c r="T1531" i="11"/>
  <c r="U1531" i="11"/>
  <c r="V1531" i="11"/>
  <c r="Q1532" i="11"/>
  <c r="R1532" i="11"/>
  <c r="S1532" i="11"/>
  <c r="T1532" i="11"/>
  <c r="U1532" i="11"/>
  <c r="V1532" i="11"/>
  <c r="Q1533" i="11"/>
  <c r="R1533" i="11"/>
  <c r="S1533" i="11"/>
  <c r="T1533" i="11"/>
  <c r="U1533" i="11"/>
  <c r="V1533" i="11"/>
  <c r="Q1534" i="11"/>
  <c r="R1534" i="11"/>
  <c r="S1534" i="11"/>
  <c r="T1534" i="11"/>
  <c r="V1534" i="11"/>
  <c r="Q1535" i="11"/>
  <c r="R1535" i="11"/>
  <c r="S1535" i="11"/>
  <c r="T1535" i="11"/>
  <c r="U1535" i="11"/>
  <c r="V1535" i="11"/>
  <c r="Q1536" i="11"/>
  <c r="R1536" i="11"/>
  <c r="S1536" i="11"/>
  <c r="T1536" i="11"/>
  <c r="U1536" i="11"/>
  <c r="V1536" i="11"/>
  <c r="Q1537" i="11"/>
  <c r="R1537" i="11"/>
  <c r="S1537" i="11"/>
  <c r="U1537" i="11"/>
  <c r="V1537" i="11"/>
  <c r="Q1538" i="11"/>
  <c r="R1538" i="11"/>
  <c r="S1538" i="11"/>
  <c r="T1538" i="11"/>
  <c r="U1538" i="11"/>
  <c r="V1538" i="11"/>
  <c r="Q1539" i="11"/>
  <c r="R1539" i="11"/>
  <c r="S1539" i="11"/>
  <c r="T1539" i="11"/>
  <c r="U1539" i="11"/>
  <c r="V1539" i="11"/>
  <c r="Q1540" i="11"/>
  <c r="S1540" i="11"/>
  <c r="T1540" i="11"/>
  <c r="U1540" i="11"/>
  <c r="V1540" i="11"/>
  <c r="Q1541" i="11"/>
  <c r="R1541" i="11"/>
  <c r="S1541" i="11"/>
  <c r="T1541" i="11"/>
  <c r="U1541" i="11"/>
  <c r="V1541" i="11"/>
  <c r="Q1542" i="11"/>
  <c r="R1542" i="11"/>
  <c r="S1542" i="11"/>
  <c r="T1542" i="11"/>
  <c r="U1542" i="11"/>
  <c r="V1542" i="11"/>
  <c r="Q1543" i="11"/>
  <c r="R1543" i="11"/>
  <c r="S1543" i="11"/>
  <c r="T1543" i="11"/>
  <c r="U1543" i="11"/>
  <c r="Q1544" i="11"/>
  <c r="R1544" i="11"/>
  <c r="S1544" i="11"/>
  <c r="T1544" i="11"/>
  <c r="U1544" i="11"/>
  <c r="V1544" i="11"/>
  <c r="Q1545" i="11"/>
  <c r="R1545" i="11"/>
  <c r="S1545" i="11"/>
  <c r="T1545" i="11"/>
  <c r="U1545" i="11"/>
  <c r="V1545" i="11"/>
  <c r="Q1546" i="11"/>
  <c r="R1546" i="11"/>
  <c r="S1546" i="11"/>
  <c r="U1546" i="11"/>
  <c r="V1546" i="11"/>
  <c r="Q1547" i="11"/>
  <c r="R1547" i="11"/>
  <c r="S1547" i="11"/>
  <c r="T1547" i="11"/>
  <c r="U1547" i="11"/>
  <c r="V1547" i="11"/>
  <c r="Q1548" i="11"/>
  <c r="R1548" i="11"/>
  <c r="S1548" i="11"/>
  <c r="T1548" i="11"/>
  <c r="U1548" i="11"/>
  <c r="V1548" i="11"/>
  <c r="Q1549" i="11"/>
  <c r="R1549" i="11"/>
  <c r="T1549" i="11"/>
  <c r="U1549" i="11"/>
  <c r="V1549" i="11"/>
  <c r="Q1550" i="11"/>
  <c r="R1550" i="11"/>
  <c r="S1550" i="11"/>
  <c r="T1550" i="11"/>
  <c r="U1550" i="11"/>
  <c r="V1550" i="11"/>
  <c r="Q1551" i="11"/>
  <c r="R1551" i="11"/>
  <c r="S1551" i="11"/>
  <c r="T1551" i="11"/>
  <c r="U1551" i="11"/>
  <c r="V1551" i="11"/>
  <c r="Q1552" i="11"/>
  <c r="R1552" i="11"/>
  <c r="T1552" i="11"/>
  <c r="U1552" i="11"/>
  <c r="V1552" i="11"/>
  <c r="Q1553" i="11"/>
  <c r="R1553" i="11"/>
  <c r="S1553" i="11"/>
  <c r="T1553" i="11"/>
  <c r="U1553" i="11"/>
  <c r="V1553" i="11"/>
  <c r="Q1554" i="11"/>
  <c r="R1554" i="11"/>
  <c r="S1554" i="11"/>
  <c r="T1554" i="11"/>
  <c r="U1554" i="11"/>
  <c r="V1554" i="11"/>
  <c r="Q1555" i="11"/>
  <c r="R1555" i="11"/>
  <c r="T1555" i="11"/>
  <c r="U1555" i="11"/>
  <c r="V1555" i="11"/>
  <c r="Q1556" i="11"/>
  <c r="R1556" i="11"/>
  <c r="S1556" i="11"/>
  <c r="T1556" i="11"/>
  <c r="U1556" i="11"/>
  <c r="V1556" i="11"/>
  <c r="Q1557" i="11"/>
  <c r="R1557" i="11"/>
  <c r="S1557" i="11"/>
  <c r="T1557" i="11"/>
  <c r="U1557" i="11"/>
  <c r="V1557" i="11"/>
  <c r="Q1558" i="11"/>
  <c r="S1558" i="11"/>
  <c r="T1558" i="11"/>
  <c r="U1558" i="11"/>
  <c r="V1558" i="11"/>
  <c r="Q1559" i="11"/>
  <c r="R1559" i="11"/>
  <c r="S1559" i="11"/>
  <c r="T1559" i="11"/>
  <c r="U1559" i="11"/>
  <c r="V1559" i="11"/>
  <c r="Q1560" i="11"/>
  <c r="R1560" i="11"/>
  <c r="S1560" i="11"/>
  <c r="T1560" i="11"/>
  <c r="U1560" i="11"/>
  <c r="V1560" i="11"/>
  <c r="Q1561" i="11"/>
  <c r="R1561" i="11"/>
  <c r="S1561" i="11"/>
  <c r="T1561" i="11"/>
  <c r="V1561" i="11"/>
  <c r="Q1562" i="11"/>
  <c r="R1562" i="11"/>
  <c r="S1562" i="11"/>
  <c r="T1562" i="11"/>
  <c r="U1562" i="11"/>
  <c r="V1562" i="11"/>
  <c r="Q1563" i="11"/>
  <c r="R1563" i="11"/>
  <c r="S1563" i="11"/>
  <c r="T1563" i="11"/>
  <c r="U1563" i="11"/>
  <c r="V1563" i="11"/>
  <c r="Q1564" i="11"/>
  <c r="R1564" i="11"/>
  <c r="S1564" i="11"/>
  <c r="U1564" i="11"/>
  <c r="V1564" i="11"/>
  <c r="Q1565" i="11"/>
  <c r="R1565" i="11"/>
  <c r="S1565" i="11"/>
  <c r="T1565" i="11"/>
  <c r="U1565" i="11"/>
  <c r="V1565" i="11"/>
  <c r="Q1566" i="11"/>
  <c r="R1566" i="11"/>
  <c r="S1566" i="11"/>
  <c r="T1566" i="11"/>
  <c r="U1566" i="11"/>
  <c r="V1566" i="11"/>
  <c r="Q1567" i="11"/>
  <c r="R1567" i="11"/>
  <c r="S1567" i="11"/>
  <c r="T1567" i="11"/>
  <c r="U1567" i="11"/>
  <c r="V1567" i="11"/>
  <c r="Q1568" i="11"/>
  <c r="R1568" i="11"/>
  <c r="S1568" i="11"/>
  <c r="T1568" i="11"/>
  <c r="U1568" i="11"/>
  <c r="V1568" i="11"/>
  <c r="V782" i="11"/>
  <c r="U782" i="11"/>
  <c r="T782" i="11"/>
  <c r="S782" i="11"/>
  <c r="R782" i="11"/>
  <c r="Q782" i="11"/>
  <c r="V781" i="11"/>
  <c r="U781" i="11"/>
  <c r="T781" i="11"/>
  <c r="S781" i="11"/>
  <c r="R781" i="11"/>
  <c r="Q781" i="11"/>
  <c r="V780" i="11"/>
  <c r="U780" i="11"/>
  <c r="T780" i="11"/>
  <c r="S780" i="11"/>
  <c r="R780" i="11"/>
  <c r="Q780" i="11"/>
  <c r="V779" i="11"/>
  <c r="U779" i="11"/>
  <c r="T779" i="11"/>
  <c r="S779" i="11"/>
  <c r="R779" i="11"/>
  <c r="Q779" i="11"/>
  <c r="V778" i="11"/>
  <c r="U778" i="11"/>
  <c r="S778" i="11"/>
  <c r="R778" i="11"/>
  <c r="Q778" i="11"/>
  <c r="V777" i="11"/>
  <c r="U777" i="11"/>
  <c r="T777" i="11"/>
  <c r="S777" i="11"/>
  <c r="R777" i="11"/>
  <c r="Q777" i="11"/>
  <c r="V776" i="11"/>
  <c r="U776" i="11"/>
  <c r="T776" i="11"/>
  <c r="S776" i="11"/>
  <c r="R776" i="11"/>
  <c r="Q776" i="11"/>
  <c r="V775" i="11"/>
  <c r="T775" i="11"/>
  <c r="S775" i="11"/>
  <c r="R775" i="11"/>
  <c r="Q775" i="11"/>
  <c r="V774" i="11"/>
  <c r="U774" i="11"/>
  <c r="T774" i="11"/>
  <c r="S774" i="11"/>
  <c r="R774" i="11"/>
  <c r="Q774" i="11"/>
  <c r="V773" i="11"/>
  <c r="U773" i="11"/>
  <c r="T773" i="11"/>
  <c r="S773" i="11"/>
  <c r="R773" i="11"/>
  <c r="Q773" i="11"/>
  <c r="V772" i="11"/>
  <c r="U772" i="11"/>
  <c r="T772" i="11"/>
  <c r="S772" i="11"/>
  <c r="Q772" i="11"/>
  <c r="V771" i="11"/>
  <c r="U771" i="11"/>
  <c r="T771" i="11"/>
  <c r="S771" i="11"/>
  <c r="R771" i="11"/>
  <c r="Q771" i="11"/>
  <c r="V770" i="11"/>
  <c r="U770" i="11"/>
  <c r="T770" i="11"/>
  <c r="S770" i="11"/>
  <c r="R770" i="11"/>
  <c r="Q770" i="11"/>
  <c r="V769" i="11"/>
  <c r="U769" i="11"/>
  <c r="T769" i="11"/>
  <c r="R769" i="11"/>
  <c r="Q769" i="11"/>
  <c r="V768" i="11"/>
  <c r="U768" i="11"/>
  <c r="T768" i="11"/>
  <c r="S768" i="11"/>
  <c r="R768" i="11"/>
  <c r="Q768" i="11"/>
  <c r="V767" i="11"/>
  <c r="U767" i="11"/>
  <c r="T767" i="11"/>
  <c r="S767" i="11"/>
  <c r="R767" i="11"/>
  <c r="Q767" i="11"/>
  <c r="V766" i="11"/>
  <c r="U766" i="11"/>
  <c r="T766" i="11"/>
  <c r="R766" i="11"/>
  <c r="Q766" i="11"/>
  <c r="V765" i="11"/>
  <c r="U765" i="11"/>
  <c r="T765" i="11"/>
  <c r="S765" i="11"/>
  <c r="R765" i="11"/>
  <c r="Q765" i="11"/>
  <c r="V764" i="11"/>
  <c r="U764" i="11"/>
  <c r="T764" i="11"/>
  <c r="S764" i="11"/>
  <c r="R764" i="11"/>
  <c r="Q764" i="11"/>
  <c r="V763" i="11"/>
  <c r="U763" i="11"/>
  <c r="T763" i="11"/>
  <c r="R763" i="11"/>
  <c r="Q763" i="11"/>
  <c r="V762" i="11"/>
  <c r="U762" i="11"/>
  <c r="T762" i="11"/>
  <c r="S762" i="11"/>
  <c r="R762" i="11"/>
  <c r="Q762" i="11"/>
  <c r="V761" i="11"/>
  <c r="U761" i="11"/>
  <c r="T761" i="11"/>
  <c r="S761" i="11"/>
  <c r="R761" i="11"/>
  <c r="Q761" i="11"/>
  <c r="V760" i="11"/>
  <c r="U760" i="11"/>
  <c r="S760" i="11"/>
  <c r="R760" i="11"/>
  <c r="Q760" i="11"/>
  <c r="V759" i="11"/>
  <c r="U759" i="11"/>
  <c r="T759" i="11"/>
  <c r="S759" i="11"/>
  <c r="R759" i="11"/>
  <c r="Q759" i="11"/>
  <c r="V758" i="11"/>
  <c r="U758" i="11"/>
  <c r="T758" i="11"/>
  <c r="S758" i="11"/>
  <c r="R758" i="11"/>
  <c r="Q758" i="11"/>
  <c r="U757" i="11"/>
  <c r="T757" i="11"/>
  <c r="S757" i="11"/>
  <c r="R757" i="11"/>
  <c r="Q757" i="11"/>
  <c r="V756" i="11"/>
  <c r="U756" i="11"/>
  <c r="T756" i="11"/>
  <c r="S756" i="11"/>
  <c r="R756" i="11"/>
  <c r="Q756" i="11"/>
  <c r="V755" i="11"/>
  <c r="U755" i="11"/>
  <c r="T755" i="11"/>
  <c r="S755" i="11"/>
  <c r="R755" i="11"/>
  <c r="Q755" i="11"/>
  <c r="V754" i="11"/>
  <c r="U754" i="11"/>
  <c r="T754" i="11"/>
  <c r="S754" i="11"/>
  <c r="Q754" i="11"/>
  <c r="V753" i="11"/>
  <c r="U753" i="11"/>
  <c r="T753" i="11"/>
  <c r="S753" i="11"/>
  <c r="R753" i="11"/>
  <c r="Q753" i="11"/>
  <c r="V752" i="11"/>
  <c r="U752" i="11"/>
  <c r="T752" i="11"/>
  <c r="S752" i="11"/>
  <c r="R752" i="11"/>
  <c r="Q752" i="11"/>
  <c r="V751" i="11"/>
  <c r="U751" i="11"/>
  <c r="S751" i="11"/>
  <c r="R751" i="11"/>
  <c r="Q751" i="11"/>
  <c r="V750" i="11"/>
  <c r="U750" i="11"/>
  <c r="T750" i="11"/>
  <c r="S750" i="11"/>
  <c r="R750" i="11"/>
  <c r="Q750" i="11"/>
  <c r="V749" i="11"/>
  <c r="U749" i="11"/>
  <c r="T749" i="11"/>
  <c r="S749" i="11"/>
  <c r="R749" i="11"/>
  <c r="Q749" i="11"/>
  <c r="V748" i="11"/>
  <c r="T748" i="11"/>
  <c r="S748" i="11"/>
  <c r="R748" i="11"/>
  <c r="Q748" i="11"/>
  <c r="V747" i="11"/>
  <c r="U747" i="11"/>
  <c r="T747" i="11"/>
  <c r="S747" i="11"/>
  <c r="R747" i="11"/>
  <c r="Q747" i="11"/>
  <c r="V746" i="11"/>
  <c r="U746" i="11"/>
  <c r="T746" i="11"/>
  <c r="S746" i="11"/>
  <c r="R746" i="11"/>
  <c r="Q746" i="11"/>
  <c r="V745" i="11"/>
  <c r="U745" i="11"/>
  <c r="T745" i="11"/>
  <c r="R745" i="11"/>
  <c r="Q745" i="11"/>
  <c r="V744" i="11"/>
  <c r="U744" i="11"/>
  <c r="T744" i="11"/>
  <c r="S744" i="11"/>
  <c r="R744" i="11"/>
  <c r="Q744" i="11"/>
  <c r="V743" i="11"/>
  <c r="U743" i="11"/>
  <c r="T743" i="11"/>
  <c r="S743" i="11"/>
  <c r="R743" i="11"/>
  <c r="Q743" i="11"/>
  <c r="V742" i="11"/>
  <c r="U742" i="11"/>
  <c r="T742" i="11"/>
  <c r="R742" i="11"/>
  <c r="Q742" i="11"/>
  <c r="V741" i="11"/>
  <c r="U741" i="11"/>
  <c r="T741" i="11"/>
  <c r="S741" i="11"/>
  <c r="R741" i="11"/>
  <c r="Q741" i="11"/>
  <c r="V740" i="11"/>
  <c r="U740" i="11"/>
  <c r="T740" i="11"/>
  <c r="S740" i="11"/>
  <c r="R740" i="11"/>
  <c r="Q740" i="11"/>
  <c r="V739" i="11"/>
  <c r="T739" i="11"/>
  <c r="S739" i="11"/>
  <c r="R739" i="11"/>
  <c r="Q739" i="11"/>
  <c r="V738" i="11"/>
  <c r="U738" i="11"/>
  <c r="T738" i="11"/>
  <c r="S738" i="11"/>
  <c r="R738" i="11"/>
  <c r="Q738" i="11"/>
  <c r="V737" i="11"/>
  <c r="U737" i="11"/>
  <c r="T737" i="11"/>
  <c r="S737" i="11"/>
  <c r="R737" i="11"/>
  <c r="Q737" i="11"/>
  <c r="V736" i="11"/>
  <c r="U736" i="11"/>
  <c r="S736" i="11"/>
  <c r="R736" i="11"/>
  <c r="Q736" i="11"/>
  <c r="V735" i="11"/>
  <c r="U735" i="11"/>
  <c r="T735" i="11"/>
  <c r="S735" i="11"/>
  <c r="R735" i="11"/>
  <c r="Q735" i="11"/>
  <c r="V734" i="11"/>
  <c r="U734" i="11"/>
  <c r="T734" i="11"/>
  <c r="S734" i="11"/>
  <c r="R734" i="11"/>
  <c r="Q734" i="11"/>
  <c r="V733" i="11"/>
  <c r="T733" i="11"/>
  <c r="S733" i="11"/>
  <c r="R733" i="11"/>
  <c r="Q733" i="11"/>
  <c r="V732" i="11"/>
  <c r="U732" i="11"/>
  <c r="T732" i="11"/>
  <c r="S732" i="11"/>
  <c r="R732" i="11"/>
  <c r="Q732" i="11"/>
  <c r="V731" i="11"/>
  <c r="U731" i="11"/>
  <c r="T731" i="11"/>
  <c r="S731" i="11"/>
  <c r="R731" i="11"/>
  <c r="Q731" i="11"/>
  <c r="V730" i="11"/>
  <c r="U730" i="11"/>
  <c r="S730" i="11"/>
  <c r="R730" i="11"/>
  <c r="Q730" i="11"/>
  <c r="V729" i="11"/>
  <c r="U729" i="11"/>
  <c r="T729" i="11"/>
  <c r="S729" i="11"/>
  <c r="R729" i="11"/>
  <c r="Q729" i="11"/>
  <c r="V728" i="11"/>
  <c r="U728" i="11"/>
  <c r="T728" i="11"/>
  <c r="S728" i="11"/>
  <c r="R728" i="11"/>
  <c r="Q728" i="11"/>
  <c r="V727" i="11"/>
  <c r="T727" i="11"/>
  <c r="S727" i="11"/>
  <c r="R727" i="11"/>
  <c r="Q727" i="11"/>
  <c r="V726" i="11"/>
  <c r="U726" i="11"/>
  <c r="T726" i="11"/>
  <c r="S726" i="11"/>
  <c r="R726" i="11"/>
  <c r="Q726" i="11"/>
  <c r="V725" i="11"/>
  <c r="U725" i="11"/>
  <c r="T725" i="11"/>
  <c r="S725" i="11"/>
  <c r="R725" i="11"/>
  <c r="Q725" i="11"/>
  <c r="V724" i="11"/>
  <c r="T724" i="11"/>
  <c r="S724" i="11"/>
  <c r="R724" i="11"/>
  <c r="Q724" i="11"/>
  <c r="V723" i="11"/>
  <c r="U723" i="11"/>
  <c r="T723" i="11"/>
  <c r="S723" i="11"/>
  <c r="R723" i="11"/>
  <c r="Q723" i="11"/>
  <c r="V722" i="11"/>
  <c r="U722" i="11"/>
  <c r="T722" i="11"/>
  <c r="S722" i="11"/>
  <c r="R722" i="11"/>
  <c r="Q722" i="11"/>
  <c r="V721" i="11"/>
  <c r="T721" i="11"/>
  <c r="S721" i="11"/>
  <c r="R721" i="11"/>
  <c r="Q721" i="11"/>
  <c r="V720" i="11"/>
  <c r="U720" i="11"/>
  <c r="T720" i="11"/>
  <c r="S720" i="11"/>
  <c r="R720" i="11"/>
  <c r="Q720" i="11"/>
  <c r="V719" i="11"/>
  <c r="U719" i="11"/>
  <c r="T719" i="11"/>
  <c r="S719" i="11"/>
  <c r="R719" i="11"/>
  <c r="Q719" i="11"/>
  <c r="V718" i="11"/>
  <c r="U718" i="11"/>
  <c r="S718" i="11"/>
  <c r="R718" i="11"/>
  <c r="Q718" i="11"/>
  <c r="V717" i="11"/>
  <c r="U717" i="11"/>
  <c r="T717" i="11"/>
  <c r="S717" i="11"/>
  <c r="R717" i="11"/>
  <c r="Q717" i="11"/>
  <c r="V716" i="11"/>
  <c r="U716" i="11"/>
  <c r="T716" i="11"/>
  <c r="S716" i="11"/>
  <c r="R716" i="11"/>
  <c r="Q716" i="11"/>
  <c r="V715" i="11"/>
  <c r="U715" i="11"/>
  <c r="S715" i="11"/>
  <c r="R715" i="11"/>
  <c r="Q715" i="11"/>
  <c r="V714" i="11"/>
  <c r="U714" i="11"/>
  <c r="T714" i="11"/>
  <c r="S714" i="11"/>
  <c r="R714" i="11"/>
  <c r="Q714" i="11"/>
  <c r="V713" i="11"/>
  <c r="U713" i="11"/>
  <c r="T713" i="11"/>
  <c r="S713" i="11"/>
  <c r="R713" i="11"/>
  <c r="Q713" i="11"/>
  <c r="V712" i="11"/>
  <c r="T712" i="11"/>
  <c r="S712" i="11"/>
  <c r="R712" i="11"/>
  <c r="Q712" i="11"/>
  <c r="V711" i="11"/>
  <c r="U711" i="11"/>
  <c r="T711" i="11"/>
  <c r="S711" i="11"/>
  <c r="R711" i="11"/>
  <c r="Q711" i="11"/>
  <c r="V710" i="11"/>
  <c r="U710" i="11"/>
  <c r="T710" i="11"/>
  <c r="S710" i="11"/>
  <c r="R710" i="11"/>
  <c r="Q710" i="11"/>
  <c r="V709" i="11"/>
  <c r="U709" i="11"/>
  <c r="T709" i="11"/>
  <c r="R709" i="11"/>
  <c r="Q709" i="11"/>
  <c r="V708" i="11"/>
  <c r="U708" i="11"/>
  <c r="T708" i="11"/>
  <c r="S708" i="11"/>
  <c r="R708" i="11"/>
  <c r="Q708" i="11"/>
  <c r="V707" i="11"/>
  <c r="U707" i="11"/>
  <c r="T707" i="11"/>
  <c r="S707" i="11"/>
  <c r="R707" i="11"/>
  <c r="Q707" i="11"/>
  <c r="V706" i="11"/>
  <c r="U706" i="11"/>
  <c r="S706" i="11"/>
  <c r="R706" i="11"/>
  <c r="Q706" i="11"/>
  <c r="V705" i="11"/>
  <c r="U705" i="11"/>
  <c r="T705" i="11"/>
  <c r="S705" i="11"/>
  <c r="R705" i="11"/>
  <c r="Q705" i="11"/>
  <c r="V704" i="11"/>
  <c r="U704" i="11"/>
  <c r="T704" i="11"/>
  <c r="S704" i="11"/>
  <c r="R704" i="11"/>
  <c r="Q704" i="11"/>
  <c r="V703" i="11"/>
  <c r="U703" i="11"/>
  <c r="T703" i="11"/>
  <c r="S703" i="11"/>
  <c r="Q703" i="11"/>
  <c r="V702" i="11"/>
  <c r="U702" i="11"/>
  <c r="T702" i="11"/>
  <c r="S702" i="11"/>
  <c r="R702" i="11"/>
  <c r="Q702" i="11"/>
  <c r="V701" i="11"/>
  <c r="U701" i="11"/>
  <c r="T701" i="11"/>
  <c r="S701" i="11"/>
  <c r="R701" i="11"/>
  <c r="Q701" i="11"/>
  <c r="V700" i="11"/>
  <c r="U700" i="11"/>
  <c r="T700" i="11"/>
  <c r="S700" i="11"/>
  <c r="Q700" i="11"/>
  <c r="V699" i="11"/>
  <c r="U699" i="11"/>
  <c r="T699" i="11"/>
  <c r="S699" i="11"/>
  <c r="R699" i="11"/>
  <c r="Q699" i="11"/>
  <c r="V698" i="11"/>
  <c r="U698" i="11"/>
  <c r="T698" i="11"/>
  <c r="S698" i="11"/>
  <c r="R698" i="11"/>
  <c r="Q698" i="11"/>
  <c r="V697" i="11"/>
  <c r="U697" i="11"/>
  <c r="T697" i="11"/>
  <c r="S697" i="11"/>
  <c r="Q697" i="11"/>
  <c r="V696" i="11"/>
  <c r="U696" i="11"/>
  <c r="T696" i="11"/>
  <c r="S696" i="11"/>
  <c r="R696" i="11"/>
  <c r="Q696" i="11"/>
  <c r="V695" i="11"/>
  <c r="U695" i="11"/>
  <c r="T695" i="11"/>
  <c r="S695" i="11"/>
  <c r="R695" i="11"/>
  <c r="Q695" i="11"/>
  <c r="V694" i="11"/>
  <c r="U694" i="11"/>
  <c r="T694" i="11"/>
  <c r="S694" i="11"/>
  <c r="Q694" i="11"/>
  <c r="V693" i="11"/>
  <c r="U693" i="11"/>
  <c r="T693" i="11"/>
  <c r="S693" i="11"/>
  <c r="R693" i="11"/>
  <c r="Q693" i="11"/>
  <c r="V692" i="11"/>
  <c r="U692" i="11"/>
  <c r="T692" i="11"/>
  <c r="S692" i="11"/>
  <c r="R692" i="11"/>
  <c r="Q692" i="11"/>
  <c r="V691" i="11"/>
  <c r="U691" i="11"/>
  <c r="T691" i="11"/>
  <c r="S691" i="11"/>
  <c r="Q691" i="11"/>
  <c r="V690" i="11"/>
  <c r="U690" i="11"/>
  <c r="T690" i="11"/>
  <c r="S690" i="11"/>
  <c r="R690" i="11"/>
  <c r="Q690" i="11"/>
  <c r="V689" i="11"/>
  <c r="U689" i="11"/>
  <c r="T689" i="11"/>
  <c r="S689" i="11"/>
  <c r="R689" i="11"/>
  <c r="Q689" i="11"/>
  <c r="V688" i="11"/>
  <c r="U688" i="11"/>
  <c r="T688" i="11"/>
  <c r="R688" i="11"/>
  <c r="Q688" i="11"/>
  <c r="V687" i="11"/>
  <c r="U687" i="11"/>
  <c r="T687" i="11"/>
  <c r="S687" i="11"/>
  <c r="R687" i="11"/>
  <c r="Q687" i="11"/>
  <c r="V686" i="11"/>
  <c r="U686" i="11"/>
  <c r="T686" i="11"/>
  <c r="S686" i="11"/>
  <c r="R686" i="11"/>
  <c r="Q686" i="11"/>
  <c r="V685" i="11"/>
  <c r="U685" i="11"/>
  <c r="S685" i="11"/>
  <c r="R685" i="11"/>
  <c r="Q685" i="11"/>
  <c r="V684" i="11"/>
  <c r="U684" i="11"/>
  <c r="T684" i="11"/>
  <c r="S684" i="11"/>
  <c r="R684" i="11"/>
  <c r="Q684" i="11"/>
  <c r="V683" i="11"/>
  <c r="U683" i="11"/>
  <c r="T683" i="11"/>
  <c r="S683" i="11"/>
  <c r="R683" i="11"/>
  <c r="Q683" i="11"/>
  <c r="V682" i="11"/>
  <c r="U682" i="11"/>
  <c r="S682" i="11"/>
  <c r="R682" i="11"/>
  <c r="Q682" i="11"/>
  <c r="V681" i="11"/>
  <c r="U681" i="11"/>
  <c r="T681" i="11"/>
  <c r="S681" i="11"/>
  <c r="R681" i="11"/>
  <c r="Q681" i="11"/>
  <c r="V680" i="11"/>
  <c r="U680" i="11"/>
  <c r="T680" i="11"/>
  <c r="S680" i="11"/>
  <c r="R680" i="11"/>
  <c r="Q680" i="11"/>
  <c r="V679" i="11"/>
  <c r="U679" i="11"/>
  <c r="S679" i="11"/>
  <c r="R679" i="11"/>
  <c r="Q679" i="11"/>
  <c r="V678" i="11"/>
  <c r="U678" i="11"/>
  <c r="T678" i="11"/>
  <c r="S678" i="11"/>
  <c r="R678" i="11"/>
  <c r="Q678" i="11"/>
  <c r="V677" i="11"/>
  <c r="U677" i="11"/>
  <c r="T677" i="11"/>
  <c r="S677" i="11"/>
  <c r="R677" i="11"/>
  <c r="Q677" i="11"/>
  <c r="V676" i="11"/>
  <c r="U676" i="11"/>
  <c r="S676" i="11"/>
  <c r="R676" i="11"/>
  <c r="Q676" i="11"/>
  <c r="V675" i="11"/>
  <c r="U675" i="11"/>
  <c r="T675" i="11"/>
  <c r="S675" i="11"/>
  <c r="R675" i="11"/>
  <c r="Q675" i="11"/>
  <c r="V674" i="11"/>
  <c r="U674" i="11"/>
  <c r="T674" i="11"/>
  <c r="S674" i="11"/>
  <c r="R674" i="11"/>
  <c r="Q674" i="11"/>
  <c r="V673" i="11"/>
  <c r="T673" i="11"/>
  <c r="S673" i="11"/>
  <c r="R673" i="11"/>
  <c r="Q673" i="11"/>
  <c r="V672" i="11"/>
  <c r="U672" i="11"/>
  <c r="T672" i="11"/>
  <c r="S672" i="11"/>
  <c r="R672" i="11"/>
  <c r="Q672" i="11"/>
  <c r="V671" i="11"/>
  <c r="U671" i="11"/>
  <c r="T671" i="11"/>
  <c r="S671" i="11"/>
  <c r="R671" i="11"/>
  <c r="Q671" i="11"/>
  <c r="V670" i="11"/>
  <c r="T670" i="11"/>
  <c r="S670" i="11"/>
  <c r="R670" i="11"/>
  <c r="Q670" i="11"/>
  <c r="V669" i="11"/>
  <c r="U669" i="11"/>
  <c r="T669" i="11"/>
  <c r="S669" i="11"/>
  <c r="R669" i="11"/>
  <c r="Q669" i="11"/>
  <c r="V668" i="11"/>
  <c r="U668" i="11"/>
  <c r="T668" i="11"/>
  <c r="S668" i="11"/>
  <c r="R668" i="11"/>
  <c r="Q668" i="11"/>
  <c r="V667" i="11"/>
  <c r="T667" i="11"/>
  <c r="S667" i="11"/>
  <c r="R667" i="11"/>
  <c r="Q667" i="11"/>
  <c r="V666" i="11"/>
  <c r="U666" i="11"/>
  <c r="T666" i="11"/>
  <c r="S666" i="11"/>
  <c r="R666" i="11"/>
  <c r="Q666" i="11"/>
  <c r="V665" i="11"/>
  <c r="U665" i="11"/>
  <c r="T665" i="11"/>
  <c r="S665" i="11"/>
  <c r="R665" i="11"/>
  <c r="Q665" i="11"/>
  <c r="V664" i="11"/>
  <c r="U664" i="11"/>
  <c r="T664" i="11"/>
  <c r="R664" i="11"/>
  <c r="Q664" i="11"/>
  <c r="V663" i="11"/>
  <c r="U663" i="11"/>
  <c r="T663" i="11"/>
  <c r="S663" i="11"/>
  <c r="R663" i="11"/>
  <c r="Q663" i="11"/>
  <c r="V662" i="11"/>
  <c r="U662" i="11"/>
  <c r="T662" i="11"/>
  <c r="S662" i="11"/>
  <c r="R662" i="11"/>
  <c r="Q662" i="11"/>
  <c r="V661" i="11"/>
  <c r="U661" i="11"/>
  <c r="T661" i="11"/>
  <c r="R661" i="11"/>
  <c r="Q661" i="11"/>
  <c r="V660" i="11"/>
  <c r="U660" i="11"/>
  <c r="T660" i="11"/>
  <c r="S660" i="11"/>
  <c r="R660" i="11"/>
  <c r="Q660" i="11"/>
  <c r="V659" i="11"/>
  <c r="U659" i="11"/>
  <c r="T659" i="11"/>
  <c r="S659" i="11"/>
  <c r="R659" i="11"/>
  <c r="Q659" i="11"/>
  <c r="V658" i="11"/>
  <c r="U658" i="11"/>
  <c r="T658" i="11"/>
  <c r="R658" i="11"/>
  <c r="Q658" i="11"/>
  <c r="V657" i="11"/>
  <c r="U657" i="11"/>
  <c r="T657" i="11"/>
  <c r="S657" i="11"/>
  <c r="R657" i="11"/>
  <c r="Q657" i="11"/>
  <c r="V656" i="11"/>
  <c r="U656" i="11"/>
  <c r="T656" i="11"/>
  <c r="S656" i="11"/>
  <c r="R656" i="11"/>
  <c r="Q656" i="11"/>
  <c r="V655" i="11"/>
  <c r="U655" i="11"/>
  <c r="T655" i="11"/>
  <c r="R655" i="11"/>
  <c r="Q655" i="11"/>
  <c r="V654" i="11"/>
  <c r="U654" i="11"/>
  <c r="T654" i="11"/>
  <c r="S654" i="11"/>
  <c r="R654" i="11"/>
  <c r="Q654" i="11"/>
  <c r="V653" i="11"/>
  <c r="U653" i="11"/>
  <c r="T653" i="11"/>
  <c r="S653" i="11"/>
  <c r="R653" i="11"/>
  <c r="Q653" i="11"/>
  <c r="V652" i="11"/>
  <c r="U652" i="11"/>
  <c r="S652" i="11"/>
  <c r="R652" i="11"/>
  <c r="Q652" i="11"/>
  <c r="V651" i="11"/>
  <c r="U651" i="11"/>
  <c r="T651" i="11"/>
  <c r="S651" i="11"/>
  <c r="R651" i="11"/>
  <c r="Q651" i="11"/>
  <c r="V650" i="11"/>
  <c r="U650" i="11"/>
  <c r="T650" i="11"/>
  <c r="S650" i="11"/>
  <c r="R650" i="11"/>
  <c r="Q650" i="11"/>
  <c r="V649" i="11"/>
  <c r="T649" i="11"/>
  <c r="S649" i="11"/>
  <c r="R649" i="11"/>
  <c r="Q649" i="11"/>
  <c r="V648" i="11"/>
  <c r="U648" i="11"/>
  <c r="T648" i="11"/>
  <c r="S648" i="11"/>
  <c r="R648" i="11"/>
  <c r="Q648" i="11"/>
  <c r="V647" i="11"/>
  <c r="U647" i="11"/>
  <c r="T647" i="11"/>
  <c r="S647" i="11"/>
  <c r="R647" i="11"/>
  <c r="Q647" i="11"/>
  <c r="V646" i="11"/>
  <c r="U646" i="11"/>
  <c r="T646" i="11"/>
  <c r="S646" i="11"/>
  <c r="Q646" i="11"/>
  <c r="V645" i="11"/>
  <c r="U645" i="11"/>
  <c r="T645" i="11"/>
  <c r="S645" i="11"/>
  <c r="R645" i="11"/>
  <c r="Q645" i="11"/>
  <c r="V644" i="11"/>
  <c r="U644" i="11"/>
  <c r="T644" i="11"/>
  <c r="S644" i="11"/>
  <c r="R644" i="11"/>
  <c r="Q644" i="11"/>
  <c r="V643" i="11"/>
  <c r="U643" i="11"/>
  <c r="T643" i="11"/>
  <c r="S643" i="11"/>
  <c r="Q643" i="11"/>
  <c r="V642" i="11"/>
  <c r="U642" i="11"/>
  <c r="T642" i="11"/>
  <c r="S642" i="11"/>
  <c r="R642" i="11"/>
  <c r="Q642" i="11"/>
  <c r="V641" i="11"/>
  <c r="U641" i="11"/>
  <c r="T641" i="11"/>
  <c r="S641" i="11"/>
  <c r="R641" i="11"/>
  <c r="Q641" i="11"/>
  <c r="V640" i="11"/>
  <c r="U640" i="11"/>
  <c r="T640" i="11"/>
  <c r="R640" i="11"/>
  <c r="Q640" i="11"/>
  <c r="V639" i="11"/>
  <c r="U639" i="11"/>
  <c r="T639" i="11"/>
  <c r="S639" i="11"/>
  <c r="R639" i="11"/>
  <c r="Q639" i="11"/>
  <c r="V638" i="11"/>
  <c r="U638" i="11"/>
  <c r="T638" i="11"/>
  <c r="S638" i="11"/>
  <c r="R638" i="11"/>
  <c r="Q638" i="11"/>
  <c r="V637" i="11"/>
  <c r="U637" i="11"/>
  <c r="T637" i="11"/>
  <c r="R637" i="11"/>
  <c r="Q637" i="11"/>
  <c r="V636" i="11"/>
  <c r="U636" i="11"/>
  <c r="T636" i="11"/>
  <c r="S636" i="11"/>
  <c r="R636" i="11"/>
  <c r="Q636" i="11"/>
  <c r="V635" i="11"/>
  <c r="U635" i="11"/>
  <c r="T635" i="11"/>
  <c r="S635" i="11"/>
  <c r="R635" i="11"/>
  <c r="Q635" i="11"/>
  <c r="V634" i="11"/>
  <c r="U634" i="11"/>
  <c r="T634" i="11"/>
  <c r="R634" i="11"/>
  <c r="Q634" i="11"/>
  <c r="V633" i="11"/>
  <c r="U633" i="11"/>
  <c r="T633" i="11"/>
  <c r="S633" i="11"/>
  <c r="R633" i="11"/>
  <c r="Q633" i="11"/>
  <c r="V632" i="11"/>
  <c r="U632" i="11"/>
  <c r="T632" i="11"/>
  <c r="S632" i="11"/>
  <c r="R632" i="11"/>
  <c r="Q632" i="11"/>
  <c r="V631" i="11"/>
  <c r="U631" i="11"/>
  <c r="T631" i="11"/>
  <c r="S631" i="11"/>
  <c r="Q631" i="11"/>
  <c r="V630" i="11"/>
  <c r="U630" i="11"/>
  <c r="T630" i="11"/>
  <c r="S630" i="11"/>
  <c r="R630" i="11"/>
  <c r="Q630" i="11"/>
  <c r="V629" i="11"/>
  <c r="U629" i="11"/>
  <c r="T629" i="11"/>
  <c r="S629" i="11"/>
  <c r="R629" i="11"/>
  <c r="Q629" i="11"/>
  <c r="V628" i="11"/>
  <c r="U628" i="11"/>
  <c r="T628" i="11"/>
  <c r="R628" i="11"/>
  <c r="Q628" i="11"/>
  <c r="V627" i="11"/>
  <c r="U627" i="11"/>
  <c r="T627" i="11"/>
  <c r="S627" i="11"/>
  <c r="R627" i="11"/>
  <c r="Q627" i="11"/>
  <c r="V626" i="11"/>
  <c r="U626" i="11"/>
  <c r="T626" i="11"/>
  <c r="S626" i="11"/>
  <c r="R626" i="11"/>
  <c r="Q626" i="11"/>
  <c r="V625" i="11"/>
  <c r="U625" i="11"/>
  <c r="S625" i="11"/>
  <c r="R625" i="11"/>
  <c r="Q625" i="11"/>
  <c r="V624" i="11"/>
  <c r="U624" i="11"/>
  <c r="T624" i="11"/>
  <c r="S624" i="11"/>
  <c r="R624" i="11"/>
  <c r="Q624" i="11"/>
  <c r="V623" i="11"/>
  <c r="U623" i="11"/>
  <c r="T623" i="11"/>
  <c r="S623" i="11"/>
  <c r="R623" i="11"/>
  <c r="Q623" i="11"/>
  <c r="V622" i="11"/>
  <c r="U622" i="11"/>
  <c r="T622" i="11"/>
  <c r="S622" i="11"/>
  <c r="Q622" i="11"/>
  <c r="V621" i="11"/>
  <c r="U621" i="11"/>
  <c r="T621" i="11"/>
  <c r="S621" i="11"/>
  <c r="R621" i="11"/>
  <c r="Q621" i="11"/>
  <c r="V620" i="11"/>
  <c r="U620" i="11"/>
  <c r="T620" i="11"/>
  <c r="S620" i="11"/>
  <c r="R620" i="11"/>
  <c r="Q620" i="11"/>
  <c r="V619" i="11"/>
  <c r="U619" i="11"/>
  <c r="S619" i="11"/>
  <c r="R619" i="11"/>
  <c r="Q619" i="11"/>
  <c r="V618" i="11"/>
  <c r="U618" i="11"/>
  <c r="T618" i="11"/>
  <c r="S618" i="11"/>
  <c r="R618" i="11"/>
  <c r="Q618" i="11"/>
  <c r="V617" i="11"/>
  <c r="U617" i="11"/>
  <c r="T617" i="11"/>
  <c r="S617" i="11"/>
  <c r="R617" i="11"/>
  <c r="Q617" i="11"/>
  <c r="V616" i="11"/>
  <c r="T616" i="11"/>
  <c r="S616" i="11"/>
  <c r="R616" i="11"/>
  <c r="Q616" i="11"/>
  <c r="V615" i="11"/>
  <c r="U615" i="11"/>
  <c r="T615" i="11"/>
  <c r="S615" i="11"/>
  <c r="R615" i="11"/>
  <c r="Q615" i="11"/>
  <c r="V614" i="11"/>
  <c r="U614" i="11"/>
  <c r="T614" i="11"/>
  <c r="S614" i="11"/>
  <c r="R614" i="11"/>
  <c r="Q614" i="11"/>
  <c r="V613" i="11"/>
  <c r="U613" i="11"/>
  <c r="T613" i="11"/>
  <c r="S613" i="11"/>
  <c r="R613" i="11"/>
  <c r="Q613" i="11"/>
  <c r="V612" i="11"/>
  <c r="T612" i="11"/>
  <c r="S612" i="11"/>
  <c r="R612" i="11"/>
  <c r="Q612" i="11"/>
  <c r="V611" i="11"/>
  <c r="U611" i="11"/>
  <c r="T611" i="11"/>
  <c r="S611" i="11"/>
  <c r="R611" i="11"/>
  <c r="Q611" i="11"/>
  <c r="V610" i="11"/>
  <c r="U610" i="11"/>
  <c r="T610" i="11"/>
  <c r="S610" i="11"/>
  <c r="R610" i="11"/>
  <c r="Q610" i="11"/>
  <c r="V609" i="11"/>
  <c r="T609" i="11"/>
  <c r="S609" i="11"/>
  <c r="R609" i="11"/>
  <c r="Q609" i="11"/>
  <c r="V608" i="11"/>
  <c r="U608" i="11"/>
  <c r="T608" i="11"/>
  <c r="S608" i="11"/>
  <c r="R608" i="11"/>
  <c r="Q608" i="11"/>
  <c r="V607" i="11"/>
  <c r="U607" i="11"/>
  <c r="T607" i="11"/>
  <c r="S607" i="11"/>
  <c r="R607" i="11"/>
  <c r="Q607" i="11"/>
  <c r="V606" i="11"/>
  <c r="T606" i="11"/>
  <c r="S606" i="11"/>
  <c r="R606" i="11"/>
  <c r="Q606" i="11"/>
  <c r="V605" i="11"/>
  <c r="U605" i="11"/>
  <c r="T605" i="11"/>
  <c r="S605" i="11"/>
  <c r="R605" i="11"/>
  <c r="Q605" i="11"/>
  <c r="V604" i="11"/>
  <c r="U604" i="11"/>
  <c r="T604" i="11"/>
  <c r="S604" i="11"/>
  <c r="R604" i="11"/>
  <c r="Q604" i="11"/>
  <c r="V603" i="11"/>
  <c r="T603" i="11"/>
  <c r="S603" i="11"/>
  <c r="R603" i="11"/>
  <c r="Q603" i="11"/>
  <c r="V602" i="11"/>
  <c r="U602" i="11"/>
  <c r="T602" i="11"/>
  <c r="S602" i="11"/>
  <c r="R602" i="11"/>
  <c r="Q602" i="11"/>
  <c r="V601" i="11"/>
  <c r="U601" i="11"/>
  <c r="T601" i="11"/>
  <c r="S601" i="11"/>
  <c r="R601" i="11"/>
  <c r="Q601" i="11"/>
  <c r="V600" i="11"/>
  <c r="T600" i="11"/>
  <c r="S600" i="11"/>
  <c r="R600" i="11"/>
  <c r="Q600" i="11"/>
  <c r="V599" i="11"/>
  <c r="U599" i="11"/>
  <c r="T599" i="11"/>
  <c r="S599" i="11"/>
  <c r="R599" i="11"/>
  <c r="Q599" i="11"/>
  <c r="V598" i="11"/>
  <c r="U598" i="11"/>
  <c r="T598" i="11"/>
  <c r="S598" i="11"/>
  <c r="R598" i="11"/>
  <c r="Q598" i="11"/>
  <c r="V597" i="11"/>
  <c r="T597" i="11"/>
  <c r="S597" i="11"/>
  <c r="R597" i="11"/>
  <c r="Q597" i="11"/>
  <c r="V596" i="11"/>
  <c r="U596" i="11"/>
  <c r="T596" i="11"/>
  <c r="S596" i="11"/>
  <c r="R596" i="11"/>
  <c r="Q596" i="11"/>
  <c r="V595" i="11"/>
  <c r="U595" i="11"/>
  <c r="T595" i="11"/>
  <c r="S595" i="11"/>
  <c r="R595" i="11"/>
  <c r="Q595" i="11"/>
  <c r="V594" i="11"/>
  <c r="T594" i="11"/>
  <c r="S594" i="11"/>
  <c r="R594" i="11"/>
  <c r="Q594" i="11"/>
  <c r="V593" i="11"/>
  <c r="U593" i="11"/>
  <c r="T593" i="11"/>
  <c r="S593" i="11"/>
  <c r="R593" i="11"/>
  <c r="Q593" i="11"/>
  <c r="V592" i="11"/>
  <c r="U592" i="11"/>
  <c r="T592" i="11"/>
  <c r="S592" i="11"/>
  <c r="R592" i="11"/>
  <c r="Q592" i="11"/>
  <c r="V591" i="11"/>
  <c r="T591" i="11"/>
  <c r="S591" i="11"/>
  <c r="R591" i="11"/>
  <c r="Q591" i="11"/>
  <c r="V590" i="11"/>
  <c r="U590" i="11"/>
  <c r="T590" i="11"/>
  <c r="S590" i="11"/>
  <c r="R590" i="11"/>
  <c r="Q590" i="11"/>
  <c r="V589" i="11"/>
  <c r="U589" i="11"/>
  <c r="T589" i="11"/>
  <c r="S589" i="11"/>
  <c r="R589" i="11"/>
  <c r="Q589" i="11"/>
  <c r="V588" i="11"/>
  <c r="T588" i="11"/>
  <c r="S588" i="11"/>
  <c r="R588" i="11"/>
  <c r="Q588" i="11"/>
  <c r="V587" i="11"/>
  <c r="U587" i="11"/>
  <c r="T587" i="11"/>
  <c r="S587" i="11"/>
  <c r="R587" i="11"/>
  <c r="Q587" i="11"/>
  <c r="V586" i="11"/>
  <c r="U586" i="11"/>
  <c r="T586" i="11"/>
  <c r="S586" i="11"/>
  <c r="R586" i="11"/>
  <c r="Q586" i="11"/>
  <c r="V585" i="11"/>
  <c r="T585" i="11"/>
  <c r="S585" i="11"/>
  <c r="R585" i="11"/>
  <c r="Q585" i="11"/>
  <c r="V584" i="11"/>
  <c r="U584" i="11"/>
  <c r="T584" i="11"/>
  <c r="S584" i="11"/>
  <c r="R584" i="11"/>
  <c r="Q584" i="11"/>
  <c r="V583" i="11"/>
  <c r="U583" i="11"/>
  <c r="T583" i="11"/>
  <c r="S583" i="11"/>
  <c r="R583" i="11"/>
  <c r="Q583" i="11"/>
  <c r="V582" i="11"/>
  <c r="T582" i="11"/>
  <c r="S582" i="11"/>
  <c r="R582" i="11"/>
  <c r="Q582" i="11"/>
  <c r="V581" i="11"/>
  <c r="U581" i="11"/>
  <c r="T581" i="11"/>
  <c r="S581" i="11"/>
  <c r="R581" i="11"/>
  <c r="Q581" i="11"/>
  <c r="V580" i="11"/>
  <c r="U580" i="11"/>
  <c r="T580" i="11"/>
  <c r="S580" i="11"/>
  <c r="R580" i="11"/>
  <c r="Q580" i="11"/>
  <c r="V579" i="11"/>
  <c r="T579" i="11"/>
  <c r="S579" i="11"/>
  <c r="R579" i="11"/>
  <c r="Q579" i="11"/>
  <c r="V578" i="11"/>
  <c r="U578" i="11"/>
  <c r="T578" i="11"/>
  <c r="S578" i="11"/>
  <c r="R578" i="11"/>
  <c r="Q578" i="11"/>
  <c r="V577" i="11"/>
  <c r="U577" i="11"/>
  <c r="T577" i="11"/>
  <c r="S577" i="11"/>
  <c r="R577" i="11"/>
  <c r="Q577" i="11"/>
  <c r="V576" i="11"/>
  <c r="T576" i="11"/>
  <c r="S576" i="11"/>
  <c r="R576" i="11"/>
  <c r="Q576" i="11"/>
  <c r="V575" i="11"/>
  <c r="U575" i="11"/>
  <c r="T575" i="11"/>
  <c r="S575" i="11"/>
  <c r="R575" i="11"/>
  <c r="Q575" i="11"/>
  <c r="V574" i="11"/>
  <c r="U574" i="11"/>
  <c r="T574" i="11"/>
  <c r="S574" i="11"/>
  <c r="R574" i="11"/>
  <c r="Q574" i="11"/>
  <c r="V573" i="11"/>
  <c r="T573" i="11"/>
  <c r="S573" i="11"/>
  <c r="R573" i="11"/>
  <c r="Q573" i="11"/>
  <c r="V572" i="11"/>
  <c r="U572" i="11"/>
  <c r="T572" i="11"/>
  <c r="S572" i="11"/>
  <c r="R572" i="11"/>
  <c r="Q572" i="11"/>
  <c r="V571" i="11"/>
  <c r="U571" i="11"/>
  <c r="T571" i="11"/>
  <c r="S571" i="11"/>
  <c r="R571" i="11"/>
  <c r="Q571" i="11"/>
  <c r="U570" i="11"/>
  <c r="T570" i="11"/>
  <c r="S570" i="11"/>
  <c r="R570" i="11"/>
  <c r="Q570" i="11"/>
  <c r="V569" i="11"/>
  <c r="U569" i="11"/>
  <c r="T569" i="11"/>
  <c r="S569" i="11"/>
  <c r="R569" i="11"/>
  <c r="Q569" i="11"/>
  <c r="V568" i="11"/>
  <c r="U568" i="11"/>
  <c r="T568" i="11"/>
  <c r="S568" i="11"/>
  <c r="R568" i="11"/>
  <c r="Q568" i="11"/>
  <c r="V567" i="11"/>
  <c r="T567" i="11"/>
  <c r="S567" i="11"/>
  <c r="R567" i="11"/>
  <c r="Q567" i="11"/>
  <c r="V566" i="11"/>
  <c r="U566" i="11"/>
  <c r="T566" i="11"/>
  <c r="S566" i="11"/>
  <c r="R566" i="11"/>
  <c r="Q566" i="11"/>
  <c r="V565" i="11"/>
  <c r="U565" i="11"/>
  <c r="T565" i="11"/>
  <c r="S565" i="11"/>
  <c r="R565" i="11"/>
  <c r="Q565" i="11"/>
  <c r="U564" i="11"/>
  <c r="T564" i="11"/>
  <c r="S564" i="11"/>
  <c r="R564" i="11"/>
  <c r="Q564" i="11"/>
  <c r="V563" i="11"/>
  <c r="U563" i="11"/>
  <c r="T563" i="11"/>
  <c r="S563" i="11"/>
  <c r="R563" i="11"/>
  <c r="Q563" i="11"/>
  <c r="V562" i="11"/>
  <c r="U562" i="11"/>
  <c r="T562" i="11"/>
  <c r="S562" i="11"/>
  <c r="R562" i="11"/>
  <c r="Q562" i="11"/>
  <c r="U561" i="11"/>
  <c r="T561" i="11"/>
  <c r="S561" i="11"/>
  <c r="R561" i="11"/>
  <c r="Q561" i="11"/>
  <c r="V560" i="11"/>
  <c r="U560" i="11"/>
  <c r="T560" i="11"/>
  <c r="S560" i="11"/>
  <c r="R560" i="11"/>
  <c r="Q560" i="11"/>
  <c r="V559" i="11"/>
  <c r="U559" i="11"/>
  <c r="T559" i="11"/>
  <c r="S559" i="11"/>
  <c r="R559" i="11"/>
  <c r="Q559" i="11"/>
  <c r="V558" i="11"/>
  <c r="T558" i="11"/>
  <c r="S558" i="11"/>
  <c r="R558" i="11"/>
  <c r="Q558" i="11"/>
  <c r="V557" i="11"/>
  <c r="U557" i="11"/>
  <c r="T557" i="11"/>
  <c r="S557" i="11"/>
  <c r="R557" i="11"/>
  <c r="Q557" i="11"/>
  <c r="V556" i="11"/>
  <c r="U556" i="11"/>
  <c r="T556" i="11"/>
  <c r="S556" i="11"/>
  <c r="R556" i="11"/>
  <c r="Q556" i="11"/>
  <c r="U555" i="11"/>
  <c r="T555" i="11"/>
  <c r="S555" i="11"/>
  <c r="R555" i="11"/>
  <c r="Q555" i="11"/>
  <c r="V554" i="11"/>
  <c r="U554" i="11"/>
  <c r="T554" i="11"/>
  <c r="S554" i="11"/>
  <c r="R554" i="11"/>
  <c r="Q554" i="11"/>
  <c r="V553" i="11"/>
  <c r="U553" i="11"/>
  <c r="T553" i="11"/>
  <c r="S553" i="11"/>
  <c r="R553" i="11"/>
  <c r="Q553" i="11"/>
  <c r="V552" i="11"/>
  <c r="T552" i="11"/>
  <c r="S552" i="11"/>
  <c r="R552" i="11"/>
  <c r="Q552" i="11"/>
  <c r="V551" i="11"/>
  <c r="U551" i="11"/>
  <c r="T551" i="11"/>
  <c r="S551" i="11"/>
  <c r="R551" i="11"/>
  <c r="Q551" i="11"/>
  <c r="V550" i="11"/>
  <c r="U550" i="11"/>
  <c r="T550" i="11"/>
  <c r="S550" i="11"/>
  <c r="R550" i="11"/>
  <c r="Q550" i="11"/>
  <c r="U549" i="11"/>
  <c r="T549" i="11"/>
  <c r="S549" i="11"/>
  <c r="R549" i="11"/>
  <c r="Q549" i="11"/>
  <c r="V548" i="11"/>
  <c r="U548" i="11"/>
  <c r="T548" i="11"/>
  <c r="S548" i="11"/>
  <c r="R548" i="11"/>
  <c r="Q548" i="11"/>
  <c r="V547" i="11"/>
  <c r="U547" i="11"/>
  <c r="T547" i="11"/>
  <c r="S547" i="11"/>
  <c r="R547" i="11"/>
  <c r="Q547" i="11"/>
  <c r="V546" i="11"/>
  <c r="T546" i="11"/>
  <c r="S546" i="11"/>
  <c r="R546" i="11"/>
  <c r="Q546" i="11"/>
  <c r="V545" i="11"/>
  <c r="U545" i="11"/>
  <c r="T545" i="11"/>
  <c r="S545" i="11"/>
  <c r="R545" i="11"/>
  <c r="Q545" i="11"/>
  <c r="V544" i="11"/>
  <c r="U544" i="11"/>
  <c r="T544" i="11"/>
  <c r="S544" i="11"/>
  <c r="R544" i="11"/>
  <c r="Q544" i="11"/>
  <c r="U543" i="11"/>
  <c r="T543" i="11"/>
  <c r="S543" i="11"/>
  <c r="R543" i="11"/>
  <c r="Q543" i="11"/>
  <c r="V542" i="11"/>
  <c r="U542" i="11"/>
  <c r="T542" i="11"/>
  <c r="S542" i="11"/>
  <c r="R542" i="11"/>
  <c r="Q542" i="11"/>
  <c r="V541" i="11"/>
  <c r="U541" i="11"/>
  <c r="T541" i="11"/>
  <c r="S541" i="11"/>
  <c r="R541" i="11"/>
  <c r="Q541" i="11"/>
  <c r="V540" i="11"/>
  <c r="T540" i="11"/>
  <c r="S540" i="11"/>
  <c r="R540" i="11"/>
  <c r="Q540" i="11"/>
  <c r="V539" i="11"/>
  <c r="U539" i="11"/>
  <c r="T539" i="11"/>
  <c r="S539" i="11"/>
  <c r="R539" i="11"/>
  <c r="Q539" i="11"/>
  <c r="V538" i="11"/>
  <c r="U538" i="11"/>
  <c r="T538" i="11"/>
  <c r="S538" i="11"/>
  <c r="R538" i="11"/>
  <c r="Q538" i="11"/>
  <c r="U537" i="11"/>
  <c r="T537" i="11"/>
  <c r="S537" i="11"/>
  <c r="R537" i="11"/>
  <c r="Q537" i="11"/>
  <c r="V536" i="11"/>
  <c r="U536" i="11"/>
  <c r="T536" i="11"/>
  <c r="S536" i="11"/>
  <c r="R536" i="11"/>
  <c r="Q536" i="11"/>
  <c r="V535" i="11"/>
  <c r="U535" i="11"/>
  <c r="T535" i="11"/>
  <c r="S535" i="11"/>
  <c r="R535" i="11"/>
  <c r="Q535" i="11"/>
  <c r="U534" i="11"/>
  <c r="T534" i="11"/>
  <c r="S534" i="11"/>
  <c r="R534" i="11"/>
  <c r="Q534" i="11"/>
  <c r="V533" i="11"/>
  <c r="U533" i="11"/>
  <c r="T533" i="11"/>
  <c r="S533" i="11"/>
  <c r="R533" i="11"/>
  <c r="Q533" i="11"/>
  <c r="V532" i="11"/>
  <c r="U532" i="11"/>
  <c r="T532" i="11"/>
  <c r="S532" i="11"/>
  <c r="R532" i="11"/>
  <c r="Q532" i="11"/>
  <c r="V531" i="11"/>
  <c r="T531" i="11"/>
  <c r="S531" i="11"/>
  <c r="R531" i="11"/>
  <c r="Q531" i="11"/>
  <c r="V530" i="11"/>
  <c r="U530" i="11"/>
  <c r="T530" i="11"/>
  <c r="S530" i="11"/>
  <c r="R530" i="11"/>
  <c r="Q530" i="11"/>
  <c r="V529" i="11"/>
  <c r="U529" i="11"/>
  <c r="T529" i="11"/>
  <c r="S529" i="11"/>
  <c r="R529" i="11"/>
  <c r="Q529" i="11"/>
  <c r="V528" i="11"/>
  <c r="T528" i="11"/>
  <c r="S528" i="11"/>
  <c r="R528" i="11"/>
  <c r="Q528" i="11"/>
  <c r="V527" i="11"/>
  <c r="U527" i="11"/>
  <c r="T527" i="11"/>
  <c r="S527" i="11"/>
  <c r="R527" i="11"/>
  <c r="Q527" i="11"/>
  <c r="V526" i="11"/>
  <c r="U526" i="11"/>
  <c r="T526" i="11"/>
  <c r="S526" i="11"/>
  <c r="R526" i="11"/>
  <c r="Q526" i="11"/>
  <c r="V525" i="11"/>
  <c r="T525" i="11"/>
  <c r="S525" i="11"/>
  <c r="R525" i="11"/>
  <c r="Q525" i="11"/>
  <c r="V524" i="11"/>
  <c r="U524" i="11"/>
  <c r="T524" i="11"/>
  <c r="S524" i="11"/>
  <c r="R524" i="11"/>
  <c r="Q524" i="11"/>
  <c r="V523" i="11"/>
  <c r="U523" i="11"/>
  <c r="T523" i="11"/>
  <c r="S523" i="11"/>
  <c r="R523" i="11"/>
  <c r="Q523" i="11"/>
  <c r="V522" i="11"/>
  <c r="T522" i="11"/>
  <c r="S522" i="11"/>
  <c r="R522" i="11"/>
  <c r="Q522" i="11"/>
  <c r="V521" i="11"/>
  <c r="U521" i="11"/>
  <c r="T521" i="11"/>
  <c r="S521" i="11"/>
  <c r="R521" i="11"/>
  <c r="Q521" i="11"/>
  <c r="V520" i="11"/>
  <c r="U520" i="11"/>
  <c r="T520" i="11"/>
  <c r="S520" i="11"/>
  <c r="R520" i="11"/>
  <c r="Q520" i="11"/>
  <c r="V519" i="11"/>
  <c r="T519" i="11"/>
  <c r="S519" i="11"/>
  <c r="R519" i="11"/>
  <c r="Q519" i="11"/>
  <c r="V518" i="11"/>
  <c r="U518" i="11"/>
  <c r="T518" i="11"/>
  <c r="S518" i="11"/>
  <c r="R518" i="11"/>
  <c r="Q518" i="11"/>
  <c r="V517" i="11"/>
  <c r="U517" i="11"/>
  <c r="T517" i="11"/>
  <c r="S517" i="11"/>
  <c r="R517" i="11"/>
  <c r="Q517" i="11"/>
  <c r="U516" i="11"/>
  <c r="T516" i="11"/>
  <c r="S516" i="11"/>
  <c r="R516" i="11"/>
  <c r="Q516" i="11"/>
  <c r="V515" i="11"/>
  <c r="U515" i="11"/>
  <c r="T515" i="11"/>
  <c r="S515" i="11"/>
  <c r="R515" i="11"/>
  <c r="Q515" i="11"/>
  <c r="V514" i="11"/>
  <c r="U514" i="11"/>
  <c r="T514" i="11"/>
  <c r="S514" i="11"/>
  <c r="R514" i="11"/>
  <c r="Q514" i="11"/>
  <c r="V513" i="11"/>
  <c r="T513" i="11"/>
  <c r="S513" i="11"/>
  <c r="R513" i="11"/>
  <c r="Q513" i="11"/>
  <c r="V512" i="11"/>
  <c r="U512" i="11"/>
  <c r="T512" i="11"/>
  <c r="S512" i="11"/>
  <c r="R512" i="11"/>
  <c r="Q512" i="11"/>
  <c r="V511" i="11"/>
  <c r="U511" i="11"/>
  <c r="T511" i="11"/>
  <c r="S511" i="11"/>
  <c r="R511" i="11"/>
  <c r="Q511" i="11"/>
  <c r="V510" i="11"/>
  <c r="T510" i="11"/>
  <c r="S510" i="11"/>
  <c r="R510" i="11"/>
  <c r="Q510" i="11"/>
  <c r="V509" i="11"/>
  <c r="U509" i="11"/>
  <c r="T509" i="11"/>
  <c r="S509" i="11"/>
  <c r="R509" i="11"/>
  <c r="Q509" i="11"/>
  <c r="V508" i="11"/>
  <c r="U508" i="11"/>
  <c r="T508" i="11"/>
  <c r="S508" i="11"/>
  <c r="R508" i="11"/>
  <c r="Q508" i="11"/>
  <c r="V507" i="11"/>
  <c r="T507" i="11"/>
  <c r="S507" i="11"/>
  <c r="R507" i="11"/>
  <c r="Q507" i="11"/>
  <c r="V506" i="11"/>
  <c r="U506" i="11"/>
  <c r="T506" i="11"/>
  <c r="S506" i="11"/>
  <c r="R506" i="11"/>
  <c r="Q506" i="11"/>
  <c r="V505" i="11"/>
  <c r="U505" i="11"/>
  <c r="T505" i="11"/>
  <c r="S505" i="11"/>
  <c r="R505" i="11"/>
  <c r="Q505" i="11"/>
  <c r="V504" i="11"/>
  <c r="T504" i="11"/>
  <c r="S504" i="11"/>
  <c r="R504" i="11"/>
  <c r="Q504" i="11"/>
  <c r="V503" i="11"/>
  <c r="U503" i="11"/>
  <c r="T503" i="11"/>
  <c r="S503" i="11"/>
  <c r="R503" i="11"/>
  <c r="Q503" i="11"/>
  <c r="V502" i="11"/>
  <c r="U502" i="11"/>
  <c r="T502" i="11"/>
  <c r="S502" i="11"/>
  <c r="R502" i="11"/>
  <c r="Q502" i="11"/>
  <c r="U501" i="11"/>
  <c r="T501" i="11"/>
  <c r="S501" i="11"/>
  <c r="R501" i="11"/>
  <c r="Q501" i="11"/>
  <c r="V500" i="11"/>
  <c r="U500" i="11"/>
  <c r="T500" i="11"/>
  <c r="S500" i="11"/>
  <c r="R500" i="11"/>
  <c r="Q500" i="11"/>
  <c r="V499" i="11"/>
  <c r="U499" i="11"/>
  <c r="T499" i="11"/>
  <c r="S499" i="11"/>
  <c r="R499" i="11"/>
  <c r="Q499" i="11"/>
  <c r="U498" i="11"/>
  <c r="T498" i="11"/>
  <c r="S498" i="11"/>
  <c r="R498" i="11"/>
  <c r="Q498" i="11"/>
  <c r="V497" i="11"/>
  <c r="U497" i="11"/>
  <c r="T497" i="11"/>
  <c r="S497" i="11"/>
  <c r="R497" i="11"/>
  <c r="Q497" i="11"/>
  <c r="V496" i="11"/>
  <c r="U496" i="11"/>
  <c r="T496" i="11"/>
  <c r="S496" i="11"/>
  <c r="R496" i="11"/>
  <c r="Q496" i="11"/>
  <c r="V495" i="11"/>
  <c r="T495" i="11"/>
  <c r="S495" i="11"/>
  <c r="R495" i="11"/>
  <c r="Q495" i="11"/>
  <c r="V494" i="11"/>
  <c r="U494" i="11"/>
  <c r="T494" i="11"/>
  <c r="S494" i="11"/>
  <c r="R494" i="11"/>
  <c r="Q494" i="11"/>
  <c r="V493" i="11"/>
  <c r="U493" i="11"/>
  <c r="T493" i="11"/>
  <c r="S493" i="11"/>
  <c r="R493" i="11"/>
  <c r="Q493" i="11"/>
  <c r="V492" i="11"/>
  <c r="U492" i="11"/>
  <c r="T492" i="11"/>
  <c r="R492" i="11"/>
  <c r="Q492" i="11"/>
  <c r="V491" i="11"/>
  <c r="U491" i="11"/>
  <c r="T491" i="11"/>
  <c r="S491" i="11"/>
  <c r="R491" i="11"/>
  <c r="Q491" i="11"/>
  <c r="V490" i="11"/>
  <c r="U490" i="11"/>
  <c r="T490" i="11"/>
  <c r="S490" i="11"/>
  <c r="R490" i="11"/>
  <c r="Q490" i="11"/>
  <c r="V489" i="11"/>
  <c r="T489" i="11"/>
  <c r="S489" i="11"/>
  <c r="R489" i="11"/>
  <c r="Q489" i="11"/>
  <c r="V488" i="11"/>
  <c r="U488" i="11"/>
  <c r="T488" i="11"/>
  <c r="S488" i="11"/>
  <c r="R488" i="11"/>
  <c r="Q488" i="11"/>
  <c r="V487" i="11"/>
  <c r="U487" i="11"/>
  <c r="T487" i="11"/>
  <c r="S487" i="11"/>
  <c r="R487" i="11"/>
  <c r="Q487" i="11"/>
  <c r="V486" i="11"/>
  <c r="T486" i="11"/>
  <c r="S486" i="11"/>
  <c r="R486" i="11"/>
  <c r="Q486" i="11"/>
  <c r="V485" i="11"/>
  <c r="U485" i="11"/>
  <c r="T485" i="11"/>
  <c r="S485" i="11"/>
  <c r="R485" i="11"/>
  <c r="Q485" i="11"/>
  <c r="V484" i="11"/>
  <c r="U484" i="11"/>
  <c r="T484" i="11"/>
  <c r="S484" i="11"/>
  <c r="R484" i="11"/>
  <c r="Q484" i="11"/>
  <c r="V483" i="11"/>
  <c r="T483" i="11"/>
  <c r="S483" i="11"/>
  <c r="R483" i="11"/>
  <c r="Q483" i="11"/>
  <c r="V482" i="11"/>
  <c r="U482" i="11"/>
  <c r="T482" i="11"/>
  <c r="S482" i="11"/>
  <c r="R482" i="11"/>
  <c r="Q482" i="11"/>
  <c r="V481" i="11"/>
  <c r="U481" i="11"/>
  <c r="T481" i="11"/>
  <c r="S481" i="11"/>
  <c r="R481" i="11"/>
  <c r="Q481" i="11"/>
  <c r="V480" i="11"/>
  <c r="T480" i="11"/>
  <c r="S480" i="11"/>
  <c r="R480" i="11"/>
  <c r="Q480" i="11"/>
  <c r="V479" i="11"/>
  <c r="U479" i="11"/>
  <c r="T479" i="11"/>
  <c r="S479" i="11"/>
  <c r="R479" i="11"/>
  <c r="Q479" i="11"/>
  <c r="V478" i="11"/>
  <c r="U478" i="11"/>
  <c r="T478" i="11"/>
  <c r="S478" i="11"/>
  <c r="R478" i="11"/>
  <c r="Q478" i="11"/>
  <c r="V477" i="11"/>
  <c r="T477" i="11"/>
  <c r="S477" i="11"/>
  <c r="R477" i="11"/>
  <c r="Q477" i="11"/>
  <c r="V476" i="11"/>
  <c r="U476" i="11"/>
  <c r="T476" i="11"/>
  <c r="S476" i="11"/>
  <c r="R476" i="11"/>
  <c r="Q476" i="11"/>
  <c r="V475" i="11"/>
  <c r="U475" i="11"/>
  <c r="T475" i="11"/>
  <c r="S475" i="11"/>
  <c r="R475" i="11"/>
  <c r="Q475" i="11"/>
  <c r="V474" i="11"/>
  <c r="T474" i="11"/>
  <c r="S474" i="11"/>
  <c r="R474" i="11"/>
  <c r="Q474" i="11"/>
  <c r="V473" i="11"/>
  <c r="U473" i="11"/>
  <c r="T473" i="11"/>
  <c r="S473" i="11"/>
  <c r="R473" i="11"/>
  <c r="Q473" i="11"/>
  <c r="V472" i="11"/>
  <c r="U472" i="11"/>
  <c r="T472" i="11"/>
  <c r="S472" i="11"/>
  <c r="R472" i="11"/>
  <c r="Q472" i="11"/>
  <c r="U471" i="11"/>
  <c r="T471" i="11"/>
  <c r="S471" i="11"/>
  <c r="R471" i="11"/>
  <c r="Q471" i="11"/>
  <c r="V470" i="11"/>
  <c r="U470" i="11"/>
  <c r="T470" i="11"/>
  <c r="S470" i="11"/>
  <c r="R470" i="11"/>
  <c r="Q470" i="11"/>
  <c r="V469" i="11"/>
  <c r="U469" i="11"/>
  <c r="T469" i="11"/>
  <c r="S469" i="11"/>
  <c r="R469" i="11"/>
  <c r="Q469" i="11"/>
  <c r="V468" i="11"/>
  <c r="T468" i="11"/>
  <c r="S468" i="11"/>
  <c r="R468" i="11"/>
  <c r="Q468" i="11"/>
  <c r="V467" i="11"/>
  <c r="U467" i="11"/>
  <c r="T467" i="11"/>
  <c r="S467" i="11"/>
  <c r="R467" i="11"/>
  <c r="Q467" i="11"/>
  <c r="V466" i="11"/>
  <c r="U466" i="11"/>
  <c r="T466" i="11"/>
  <c r="S466" i="11"/>
  <c r="R466" i="11"/>
  <c r="Q466" i="11"/>
  <c r="V465" i="11"/>
  <c r="T465" i="11"/>
  <c r="S465" i="11"/>
  <c r="R465" i="11"/>
  <c r="Q465" i="11"/>
  <c r="V464" i="11"/>
  <c r="U464" i="11"/>
  <c r="T464" i="11"/>
  <c r="S464" i="11"/>
  <c r="R464" i="11"/>
  <c r="Q464" i="11"/>
  <c r="V463" i="11"/>
  <c r="U463" i="11"/>
  <c r="T463" i="11"/>
  <c r="S463" i="11"/>
  <c r="R463" i="11"/>
  <c r="Q463" i="11"/>
  <c r="V462" i="11"/>
  <c r="T462" i="11"/>
  <c r="S462" i="11"/>
  <c r="R462" i="11"/>
  <c r="Q462" i="11"/>
  <c r="V461" i="11"/>
  <c r="U461" i="11"/>
  <c r="T461" i="11"/>
  <c r="S461" i="11"/>
  <c r="R461" i="11"/>
  <c r="Q461" i="11"/>
  <c r="V460" i="11"/>
  <c r="U460" i="11"/>
  <c r="T460" i="11"/>
  <c r="S460" i="11"/>
  <c r="R460" i="11"/>
  <c r="Q460" i="11"/>
  <c r="U459" i="11"/>
  <c r="T459" i="11"/>
  <c r="S459" i="11"/>
  <c r="R459" i="11"/>
  <c r="Q459" i="11"/>
  <c r="V458" i="11"/>
  <c r="U458" i="11"/>
  <c r="T458" i="11"/>
  <c r="S458" i="11"/>
  <c r="R458" i="11"/>
  <c r="Q458" i="11"/>
  <c r="V457" i="11"/>
  <c r="U457" i="11"/>
  <c r="T457" i="11"/>
  <c r="S457" i="11"/>
  <c r="R457" i="11"/>
  <c r="Q457" i="11"/>
  <c r="U456" i="11"/>
  <c r="T456" i="11"/>
  <c r="S456" i="11"/>
  <c r="R456" i="11"/>
  <c r="Q456" i="11"/>
  <c r="V455" i="11"/>
  <c r="U455" i="11"/>
  <c r="T455" i="11"/>
  <c r="S455" i="11"/>
  <c r="R455" i="11"/>
  <c r="Q455" i="11"/>
  <c r="V454" i="11"/>
  <c r="U454" i="11"/>
  <c r="T454" i="11"/>
  <c r="S454" i="11"/>
  <c r="R454" i="11"/>
  <c r="Q454" i="11"/>
  <c r="V453" i="11"/>
  <c r="T453" i="11"/>
  <c r="S453" i="11"/>
  <c r="R453" i="11"/>
  <c r="Q453" i="11"/>
  <c r="V452" i="11"/>
  <c r="U452" i="11"/>
  <c r="T452" i="11"/>
  <c r="S452" i="11"/>
  <c r="R452" i="11"/>
  <c r="Q452" i="11"/>
  <c r="V451" i="11"/>
  <c r="U451" i="11"/>
  <c r="T451" i="11"/>
  <c r="S451" i="11"/>
  <c r="R451" i="11"/>
  <c r="Q451" i="11"/>
  <c r="V450" i="11"/>
  <c r="T450" i="11"/>
  <c r="S450" i="11"/>
  <c r="R450" i="11"/>
  <c r="Q450" i="11"/>
  <c r="V449" i="11"/>
  <c r="U449" i="11"/>
  <c r="T449" i="11"/>
  <c r="S449" i="11"/>
  <c r="R449" i="11"/>
  <c r="Q449" i="11"/>
  <c r="V448" i="11"/>
  <c r="U448" i="11"/>
  <c r="T448" i="11"/>
  <c r="S448" i="11"/>
  <c r="R448" i="11"/>
  <c r="Q448" i="11"/>
  <c r="U447" i="11"/>
  <c r="T447" i="11"/>
  <c r="S447" i="11"/>
  <c r="R447" i="11"/>
  <c r="Q447" i="11"/>
  <c r="V446" i="11"/>
  <c r="U446" i="11"/>
  <c r="T446" i="11"/>
  <c r="S446" i="11"/>
  <c r="R446" i="11"/>
  <c r="Q446" i="11"/>
  <c r="V445" i="11"/>
  <c r="U445" i="11"/>
  <c r="T445" i="11"/>
  <c r="S445" i="11"/>
  <c r="R445" i="11"/>
  <c r="Q445" i="11"/>
  <c r="U444" i="11"/>
  <c r="T444" i="11"/>
  <c r="S444" i="11"/>
  <c r="R444" i="11"/>
  <c r="Q444" i="11"/>
  <c r="V443" i="11"/>
  <c r="U443" i="11"/>
  <c r="T443" i="11"/>
  <c r="S443" i="11"/>
  <c r="R443" i="11"/>
  <c r="Q443" i="11"/>
  <c r="V442" i="11"/>
  <c r="U442" i="11"/>
  <c r="T442" i="11"/>
  <c r="S442" i="11"/>
  <c r="R442" i="11"/>
  <c r="Q442" i="11"/>
  <c r="U441" i="11"/>
  <c r="T441" i="11"/>
  <c r="S441" i="11"/>
  <c r="R441" i="11"/>
  <c r="Q441" i="11"/>
  <c r="V440" i="11"/>
  <c r="U440" i="11"/>
  <c r="T440" i="11"/>
  <c r="S440" i="11"/>
  <c r="R440" i="11"/>
  <c r="Q440" i="11"/>
  <c r="V439" i="11"/>
  <c r="U439" i="11"/>
  <c r="T439" i="11"/>
  <c r="S439" i="11"/>
  <c r="R439" i="11"/>
  <c r="Q439" i="11"/>
  <c r="V438" i="11"/>
  <c r="U438" i="11"/>
  <c r="S438" i="11"/>
  <c r="R438" i="11"/>
  <c r="Q438" i="11"/>
  <c r="V437" i="11"/>
  <c r="U437" i="11"/>
  <c r="T437" i="11"/>
  <c r="S437" i="11"/>
  <c r="R437" i="11"/>
  <c r="Q437" i="11"/>
  <c r="V436" i="11"/>
  <c r="U436" i="11"/>
  <c r="T436" i="11"/>
  <c r="S436" i="11"/>
  <c r="R436" i="11"/>
  <c r="Q436" i="11"/>
  <c r="U435" i="11"/>
  <c r="T435" i="11"/>
  <c r="S435" i="11"/>
  <c r="R435" i="11"/>
  <c r="Q435" i="11"/>
  <c r="V434" i="11"/>
  <c r="U434" i="11"/>
  <c r="T434" i="11"/>
  <c r="S434" i="11"/>
  <c r="R434" i="11"/>
  <c r="Q434" i="11"/>
  <c r="V433" i="11"/>
  <c r="U433" i="11"/>
  <c r="T433" i="11"/>
  <c r="S433" i="11"/>
  <c r="R433" i="11"/>
  <c r="Q433" i="11"/>
  <c r="V432" i="11"/>
  <c r="U432" i="11"/>
  <c r="S432" i="11"/>
  <c r="R432" i="11"/>
  <c r="Q432" i="11"/>
  <c r="V431" i="11"/>
  <c r="U431" i="11"/>
  <c r="T431" i="11"/>
  <c r="S431" i="11"/>
  <c r="R431" i="11"/>
  <c r="Q431" i="11"/>
  <c r="V430" i="11"/>
  <c r="U430" i="11"/>
  <c r="T430" i="11"/>
  <c r="S430" i="11"/>
  <c r="R430" i="11"/>
  <c r="Q430" i="11"/>
  <c r="U429" i="11"/>
  <c r="T429" i="11"/>
  <c r="S429" i="11"/>
  <c r="R429" i="11"/>
  <c r="Q429" i="11"/>
  <c r="V428" i="11"/>
  <c r="U428" i="11"/>
  <c r="T428" i="11"/>
  <c r="S428" i="11"/>
  <c r="R428" i="11"/>
  <c r="Q428" i="11"/>
  <c r="V427" i="11"/>
  <c r="U427" i="11"/>
  <c r="T427" i="11"/>
  <c r="S427" i="11"/>
  <c r="R427" i="11"/>
  <c r="Q427" i="11"/>
  <c r="V426" i="11"/>
  <c r="U426" i="11"/>
  <c r="T426" i="11"/>
  <c r="R426" i="11"/>
  <c r="Q426" i="11"/>
  <c r="V425" i="11"/>
  <c r="U425" i="11"/>
  <c r="T425" i="11"/>
  <c r="S425" i="11"/>
  <c r="R425" i="11"/>
  <c r="Q425" i="11"/>
  <c r="V424" i="11"/>
  <c r="U424" i="11"/>
  <c r="T424" i="11"/>
  <c r="S424" i="11"/>
  <c r="R424" i="11"/>
  <c r="Q424" i="11"/>
  <c r="V423" i="11"/>
  <c r="U423" i="11"/>
  <c r="T423" i="11"/>
  <c r="R423" i="11"/>
  <c r="Q423" i="11"/>
  <c r="V422" i="11"/>
  <c r="U422" i="11"/>
  <c r="T422" i="11"/>
  <c r="S422" i="11"/>
  <c r="R422" i="11"/>
  <c r="Q422" i="11"/>
  <c r="V421" i="11"/>
  <c r="U421" i="11"/>
  <c r="T421" i="11"/>
  <c r="S421" i="11"/>
  <c r="R421" i="11"/>
  <c r="Q421" i="11"/>
  <c r="V420" i="11"/>
  <c r="U420" i="11"/>
  <c r="T420" i="11"/>
  <c r="R420" i="11"/>
  <c r="Q420" i="11"/>
  <c r="V419" i="11"/>
  <c r="U419" i="11"/>
  <c r="T419" i="11"/>
  <c r="S419" i="11"/>
  <c r="R419" i="11"/>
  <c r="Q419" i="11"/>
  <c r="V418" i="11"/>
  <c r="U418" i="11"/>
  <c r="T418" i="11"/>
  <c r="S418" i="11"/>
  <c r="R418" i="11"/>
  <c r="Q418" i="11"/>
  <c r="V417" i="11"/>
  <c r="U417" i="11"/>
  <c r="T417" i="11"/>
  <c r="R417" i="11"/>
  <c r="Q417" i="11"/>
  <c r="V416" i="11"/>
  <c r="U416" i="11"/>
  <c r="T416" i="11"/>
  <c r="S416" i="11"/>
  <c r="R416" i="11"/>
  <c r="Q416" i="11"/>
  <c r="V415" i="11"/>
  <c r="U415" i="11"/>
  <c r="T415" i="11"/>
  <c r="S415" i="11"/>
  <c r="R415" i="11"/>
  <c r="Q415" i="11"/>
  <c r="V414" i="11"/>
  <c r="T414" i="11"/>
  <c r="S414" i="11"/>
  <c r="R414" i="11"/>
  <c r="Q414" i="11"/>
  <c r="V413" i="11"/>
  <c r="U413" i="11"/>
  <c r="T413" i="11"/>
  <c r="S413" i="11"/>
  <c r="R413" i="11"/>
  <c r="Q413" i="11"/>
  <c r="V412" i="11"/>
  <c r="U412" i="11"/>
  <c r="T412" i="11"/>
  <c r="S412" i="11"/>
  <c r="R412" i="11"/>
  <c r="Q412" i="11"/>
  <c r="V411" i="11"/>
  <c r="T411" i="11"/>
  <c r="S411" i="11"/>
  <c r="R411" i="11"/>
  <c r="Q411" i="11"/>
  <c r="V410" i="11"/>
  <c r="U410" i="11"/>
  <c r="T410" i="11"/>
  <c r="S410" i="11"/>
  <c r="R410" i="11"/>
  <c r="Q410" i="11"/>
  <c r="V409" i="11"/>
  <c r="U409" i="11"/>
  <c r="T409" i="11"/>
  <c r="S409" i="11"/>
  <c r="R409" i="11"/>
  <c r="Q409" i="11"/>
  <c r="U408" i="11"/>
  <c r="T408" i="11"/>
  <c r="S408" i="11"/>
  <c r="R408" i="11"/>
  <c r="Q408" i="11"/>
  <c r="V407" i="11"/>
  <c r="U407" i="11"/>
  <c r="T407" i="11"/>
  <c r="S407" i="11"/>
  <c r="R407" i="11"/>
  <c r="Q407" i="11"/>
  <c r="V406" i="11"/>
  <c r="U406" i="11"/>
  <c r="T406" i="11"/>
  <c r="S406" i="11"/>
  <c r="R406" i="11"/>
  <c r="Q406" i="11"/>
  <c r="U405" i="11"/>
  <c r="T405" i="11"/>
  <c r="S405" i="11"/>
  <c r="R405" i="11"/>
  <c r="Q405" i="11"/>
  <c r="V404" i="11"/>
  <c r="U404" i="11"/>
  <c r="T404" i="11"/>
  <c r="S404" i="11"/>
  <c r="R404" i="11"/>
  <c r="Q404" i="11"/>
  <c r="V403" i="11"/>
  <c r="U403" i="11"/>
  <c r="T403" i="11"/>
  <c r="S403" i="11"/>
  <c r="R403" i="11"/>
  <c r="Q403" i="11"/>
  <c r="V402" i="11"/>
  <c r="T402" i="11"/>
  <c r="S402" i="11"/>
  <c r="R402" i="11"/>
  <c r="Q402" i="11"/>
  <c r="V401" i="11"/>
  <c r="U401" i="11"/>
  <c r="T401" i="11"/>
  <c r="S401" i="11"/>
  <c r="R401" i="11"/>
  <c r="Q401" i="11"/>
  <c r="V400" i="11"/>
  <c r="U400" i="11"/>
  <c r="T400" i="11"/>
  <c r="S400" i="11"/>
  <c r="R400" i="11"/>
  <c r="Q400" i="11"/>
  <c r="U399" i="11"/>
  <c r="T399" i="11"/>
  <c r="S399" i="11"/>
  <c r="R399" i="11"/>
  <c r="Q399" i="11"/>
  <c r="V398" i="11"/>
  <c r="U398" i="11"/>
  <c r="T398" i="11"/>
  <c r="S398" i="11"/>
  <c r="R398" i="11"/>
  <c r="Q398" i="11"/>
  <c r="V397" i="11"/>
  <c r="U397" i="11"/>
  <c r="T397" i="11"/>
  <c r="S397" i="11"/>
  <c r="R397" i="11"/>
  <c r="Q397" i="11"/>
  <c r="U396" i="11"/>
  <c r="T396" i="11"/>
  <c r="S396" i="11"/>
  <c r="R396" i="11"/>
  <c r="Q396" i="11"/>
  <c r="V395" i="11"/>
  <c r="U395" i="11"/>
  <c r="T395" i="11"/>
  <c r="S395" i="11"/>
  <c r="R395" i="11"/>
  <c r="Q395" i="11"/>
  <c r="V394" i="11"/>
  <c r="U394" i="11"/>
  <c r="T394" i="11"/>
  <c r="S394" i="11"/>
  <c r="R394" i="11"/>
  <c r="Q394" i="11"/>
  <c r="U393" i="11"/>
  <c r="T393" i="11"/>
  <c r="S393" i="11"/>
  <c r="R393" i="11"/>
  <c r="Q393" i="11"/>
  <c r="V392" i="11"/>
  <c r="U392" i="11"/>
  <c r="T392" i="11"/>
  <c r="S392" i="11"/>
  <c r="R392" i="11"/>
  <c r="Q392" i="11"/>
  <c r="V391" i="11"/>
  <c r="U391" i="11"/>
  <c r="T391" i="11"/>
  <c r="S391" i="11"/>
  <c r="R391" i="11"/>
  <c r="Q391" i="11"/>
  <c r="V390" i="11"/>
  <c r="T390" i="11"/>
  <c r="S390" i="11"/>
  <c r="R390" i="11"/>
  <c r="Q390" i="11"/>
  <c r="V389" i="11"/>
  <c r="U389" i="11"/>
  <c r="T389" i="11"/>
  <c r="S389" i="11"/>
  <c r="R389" i="11"/>
  <c r="Q389" i="11"/>
  <c r="V388" i="11"/>
  <c r="U388" i="11"/>
  <c r="T388" i="11"/>
  <c r="S388" i="11"/>
  <c r="R388" i="11"/>
  <c r="Q388" i="11"/>
  <c r="V387" i="11"/>
  <c r="T387" i="11"/>
  <c r="S387" i="11"/>
  <c r="R387" i="11"/>
  <c r="Q387" i="11"/>
  <c r="V386" i="11"/>
  <c r="U386" i="11"/>
  <c r="T386" i="11"/>
  <c r="S386" i="11"/>
  <c r="R386" i="11"/>
  <c r="Q386" i="11"/>
  <c r="V385" i="11"/>
  <c r="U385" i="11"/>
  <c r="T385" i="11"/>
  <c r="S385" i="11"/>
  <c r="R385" i="11"/>
  <c r="Q385" i="11"/>
  <c r="U384" i="11"/>
  <c r="T384" i="11"/>
  <c r="S384" i="11"/>
  <c r="R384" i="11"/>
  <c r="Q384" i="11"/>
  <c r="V383" i="11"/>
  <c r="U383" i="11"/>
  <c r="T383" i="11"/>
  <c r="S383" i="11"/>
  <c r="R383" i="11"/>
  <c r="Q383" i="11"/>
  <c r="V382" i="11"/>
  <c r="U382" i="11"/>
  <c r="T382" i="11"/>
  <c r="S382" i="11"/>
  <c r="R382" i="11"/>
  <c r="Q382" i="11"/>
  <c r="U381" i="11"/>
  <c r="T381" i="11"/>
  <c r="S381" i="11"/>
  <c r="R381" i="11"/>
  <c r="Q381" i="11"/>
  <c r="V380" i="11"/>
  <c r="U380" i="11"/>
  <c r="T380" i="11"/>
  <c r="S380" i="11"/>
  <c r="R380" i="11"/>
  <c r="Q380" i="11"/>
  <c r="V379" i="11"/>
  <c r="U379" i="11"/>
  <c r="T379" i="11"/>
  <c r="S379" i="11"/>
  <c r="R379" i="11"/>
  <c r="Q379" i="11"/>
  <c r="U378" i="11"/>
  <c r="T378" i="11"/>
  <c r="S378" i="11"/>
  <c r="R378" i="11"/>
  <c r="Q378" i="11"/>
  <c r="V377" i="11"/>
  <c r="U377" i="11"/>
  <c r="T377" i="11"/>
  <c r="S377" i="11"/>
  <c r="R377" i="11"/>
  <c r="Q377" i="11"/>
  <c r="V376" i="11"/>
  <c r="U376" i="11"/>
  <c r="T376" i="11"/>
  <c r="S376" i="11"/>
  <c r="R376" i="11"/>
  <c r="Q376" i="11"/>
  <c r="V375" i="11"/>
  <c r="T375" i="11"/>
  <c r="S375" i="11"/>
  <c r="R375" i="11"/>
  <c r="Q375" i="11"/>
  <c r="V374" i="11"/>
  <c r="U374" i="11"/>
  <c r="T374" i="11"/>
  <c r="S374" i="11"/>
  <c r="R374" i="11"/>
  <c r="Q374" i="11"/>
  <c r="V373" i="11"/>
  <c r="U373" i="11"/>
  <c r="T373" i="11"/>
  <c r="S373" i="11"/>
  <c r="R373" i="11"/>
  <c r="Q373" i="11"/>
  <c r="U372" i="11"/>
  <c r="T372" i="11"/>
  <c r="S372" i="11"/>
  <c r="R372" i="11"/>
  <c r="Q372" i="11"/>
  <c r="V371" i="11"/>
  <c r="U371" i="11"/>
  <c r="T371" i="11"/>
  <c r="S371" i="11"/>
  <c r="R371" i="11"/>
  <c r="Q371" i="11"/>
  <c r="V370" i="11"/>
  <c r="U370" i="11"/>
  <c r="T370" i="11"/>
  <c r="S370" i="11"/>
  <c r="R370" i="11"/>
  <c r="Q370" i="11"/>
  <c r="V369" i="11"/>
  <c r="T369" i="11"/>
  <c r="S369" i="11"/>
  <c r="R369" i="11"/>
  <c r="Q369" i="11"/>
  <c r="V368" i="11"/>
  <c r="U368" i="11"/>
  <c r="T368" i="11"/>
  <c r="S368" i="11"/>
  <c r="R368" i="11"/>
  <c r="Q368" i="11"/>
  <c r="V367" i="11"/>
  <c r="U367" i="11"/>
  <c r="T367" i="11"/>
  <c r="S367" i="11"/>
  <c r="R367" i="11"/>
  <c r="Q367" i="11"/>
  <c r="V366" i="11"/>
  <c r="T366" i="11"/>
  <c r="S366" i="11"/>
  <c r="R366" i="11"/>
  <c r="Q366" i="11"/>
  <c r="V365" i="11"/>
  <c r="U365" i="11"/>
  <c r="T365" i="11"/>
  <c r="S365" i="11"/>
  <c r="R365" i="11"/>
  <c r="Q365" i="11"/>
  <c r="V364" i="11"/>
  <c r="U364" i="11"/>
  <c r="T364" i="11"/>
  <c r="S364" i="11"/>
  <c r="R364" i="11"/>
  <c r="Q364" i="11"/>
  <c r="V363" i="11"/>
  <c r="U363" i="11"/>
  <c r="S363" i="11"/>
  <c r="R363" i="11"/>
  <c r="Q363" i="11"/>
  <c r="V362" i="11"/>
  <c r="U362" i="11"/>
  <c r="T362" i="11"/>
  <c r="S362" i="11"/>
  <c r="R362" i="11"/>
  <c r="Q362" i="11"/>
  <c r="V361" i="11"/>
  <c r="U361" i="11"/>
  <c r="T361" i="11"/>
  <c r="S361" i="11"/>
  <c r="R361" i="11"/>
  <c r="Q361" i="11"/>
  <c r="V360" i="11"/>
  <c r="T360" i="11"/>
  <c r="S360" i="11"/>
  <c r="R360" i="11"/>
  <c r="Q360" i="11"/>
  <c r="V359" i="11"/>
  <c r="U359" i="11"/>
  <c r="T359" i="11"/>
  <c r="S359" i="11"/>
  <c r="R359" i="11"/>
  <c r="Q359" i="11"/>
  <c r="V358" i="11"/>
  <c r="U358" i="11"/>
  <c r="T358" i="11"/>
  <c r="S358" i="11"/>
  <c r="R358" i="11"/>
  <c r="Q358" i="11"/>
  <c r="U357" i="11"/>
  <c r="T357" i="11"/>
  <c r="S357" i="11"/>
  <c r="R357" i="11"/>
  <c r="Q357" i="11"/>
  <c r="V356" i="11"/>
  <c r="U356" i="11"/>
  <c r="T356" i="11"/>
  <c r="S356" i="11"/>
  <c r="R356" i="11"/>
  <c r="Q356" i="11"/>
  <c r="V355" i="11"/>
  <c r="U355" i="11"/>
  <c r="T355" i="11"/>
  <c r="S355" i="11"/>
  <c r="R355" i="11"/>
  <c r="Q355" i="11"/>
  <c r="V354" i="11"/>
  <c r="T354" i="11"/>
  <c r="S354" i="11"/>
  <c r="R354" i="11"/>
  <c r="Q354" i="11"/>
  <c r="V353" i="11"/>
  <c r="U353" i="11"/>
  <c r="T353" i="11"/>
  <c r="S353" i="11"/>
  <c r="R353" i="11"/>
  <c r="Q353" i="11"/>
  <c r="V352" i="11"/>
  <c r="U352" i="11"/>
  <c r="T352" i="11"/>
  <c r="S352" i="11"/>
  <c r="R352" i="11"/>
  <c r="Q352" i="11"/>
  <c r="V351" i="11"/>
  <c r="T351" i="11"/>
  <c r="S351" i="11"/>
  <c r="R351" i="11"/>
  <c r="Q351" i="11"/>
  <c r="V350" i="11"/>
  <c r="U350" i="11"/>
  <c r="T350" i="11"/>
  <c r="S350" i="11"/>
  <c r="R350" i="11"/>
  <c r="Q350" i="11"/>
  <c r="V349" i="11"/>
  <c r="U349" i="11"/>
  <c r="T349" i="11"/>
  <c r="S349" i="11"/>
  <c r="R349" i="11"/>
  <c r="Q349" i="11"/>
  <c r="U348" i="11"/>
  <c r="T348" i="11"/>
  <c r="S348" i="11"/>
  <c r="R348" i="11"/>
  <c r="Q348" i="11"/>
  <c r="V347" i="11"/>
  <c r="U347" i="11"/>
  <c r="T347" i="11"/>
  <c r="S347" i="11"/>
  <c r="R347" i="11"/>
  <c r="Q347" i="11"/>
  <c r="V346" i="11"/>
  <c r="U346" i="11"/>
  <c r="T346" i="11"/>
  <c r="S346" i="11"/>
  <c r="R346" i="11"/>
  <c r="Q346" i="11"/>
  <c r="V345" i="11"/>
  <c r="T345" i="11"/>
  <c r="S345" i="11"/>
  <c r="R345" i="11"/>
  <c r="Q345" i="11"/>
  <c r="V344" i="11"/>
  <c r="U344" i="11"/>
  <c r="T344" i="11"/>
  <c r="S344" i="11"/>
  <c r="R344" i="11"/>
  <c r="Q344" i="11"/>
  <c r="V343" i="11"/>
  <c r="U343" i="11"/>
  <c r="T343" i="11"/>
  <c r="S343" i="11"/>
  <c r="R343" i="11"/>
  <c r="Q343" i="11"/>
  <c r="V342" i="11"/>
  <c r="T342" i="11"/>
  <c r="S342" i="11"/>
  <c r="R342" i="11"/>
  <c r="Q342" i="11"/>
  <c r="V341" i="11"/>
  <c r="U341" i="11"/>
  <c r="T341" i="11"/>
  <c r="S341" i="11"/>
  <c r="R341" i="11"/>
  <c r="Q341" i="11"/>
  <c r="V340" i="11"/>
  <c r="U340" i="11"/>
  <c r="T340" i="11"/>
  <c r="S340" i="11"/>
  <c r="R340" i="11"/>
  <c r="Q340" i="11"/>
  <c r="U339" i="11"/>
  <c r="T339" i="11"/>
  <c r="S339" i="11"/>
  <c r="R339" i="11"/>
  <c r="Q339" i="11"/>
  <c r="V338" i="11"/>
  <c r="U338" i="11"/>
  <c r="T338" i="11"/>
  <c r="S338" i="11"/>
  <c r="R338" i="11"/>
  <c r="Q338" i="11"/>
  <c r="V337" i="11"/>
  <c r="U337" i="11"/>
  <c r="T337" i="11"/>
  <c r="S337" i="11"/>
  <c r="R337" i="11"/>
  <c r="Q337" i="11"/>
  <c r="V336" i="11"/>
  <c r="T336" i="11"/>
  <c r="S336" i="11"/>
  <c r="R336" i="11"/>
  <c r="Q336" i="11"/>
  <c r="V335" i="11"/>
  <c r="U335" i="11"/>
  <c r="T335" i="11"/>
  <c r="S335" i="11"/>
  <c r="R335" i="11"/>
  <c r="Q335" i="11"/>
  <c r="V334" i="11"/>
  <c r="U334" i="11"/>
  <c r="T334" i="11"/>
  <c r="S334" i="11"/>
  <c r="R334" i="11"/>
  <c r="Q334" i="11"/>
  <c r="U333" i="11"/>
  <c r="T333" i="11"/>
  <c r="S333" i="11"/>
  <c r="R333" i="11"/>
  <c r="Q333" i="11"/>
  <c r="V332" i="11"/>
  <c r="U332" i="11"/>
  <c r="T332" i="11"/>
  <c r="S332" i="11"/>
  <c r="R332" i="11"/>
  <c r="Q332" i="11"/>
  <c r="V331" i="11"/>
  <c r="U331" i="11"/>
  <c r="T331" i="11"/>
  <c r="S331" i="11"/>
  <c r="R331" i="11"/>
  <c r="Q331" i="11"/>
  <c r="V330" i="11"/>
  <c r="T330" i="11"/>
  <c r="S330" i="11"/>
  <c r="R330" i="11"/>
  <c r="Q330" i="11"/>
  <c r="V329" i="11"/>
  <c r="U329" i="11"/>
  <c r="T329" i="11"/>
  <c r="S329" i="11"/>
  <c r="R329" i="11"/>
  <c r="Q329" i="11"/>
  <c r="V328" i="11"/>
  <c r="U328" i="11"/>
  <c r="T328" i="11"/>
  <c r="S328" i="11"/>
  <c r="R328" i="11"/>
  <c r="Q328" i="11"/>
  <c r="U327" i="11"/>
  <c r="T327" i="11"/>
  <c r="S327" i="11"/>
  <c r="R327" i="11"/>
  <c r="Q327" i="11"/>
  <c r="V326" i="11"/>
  <c r="U326" i="11"/>
  <c r="T326" i="11"/>
  <c r="S326" i="11"/>
  <c r="R326" i="11"/>
  <c r="Q326" i="11"/>
  <c r="V325" i="11"/>
  <c r="U325" i="11"/>
  <c r="T325" i="11"/>
  <c r="S325" i="11"/>
  <c r="R325" i="11"/>
  <c r="Q325" i="11"/>
  <c r="U324" i="11"/>
  <c r="T324" i="11"/>
  <c r="S324" i="11"/>
  <c r="R324" i="11"/>
  <c r="Q324" i="11"/>
  <c r="V323" i="11"/>
  <c r="U323" i="11"/>
  <c r="T323" i="11"/>
  <c r="S323" i="11"/>
  <c r="R323" i="11"/>
  <c r="Q323" i="11"/>
  <c r="V322" i="11"/>
  <c r="U322" i="11"/>
  <c r="T322" i="11"/>
  <c r="S322" i="11"/>
  <c r="R322" i="11"/>
  <c r="Q322" i="11"/>
  <c r="U321" i="11"/>
  <c r="T321" i="11"/>
  <c r="S321" i="11"/>
  <c r="R321" i="11"/>
  <c r="Q321" i="11"/>
  <c r="V320" i="11"/>
  <c r="U320" i="11"/>
  <c r="T320" i="11"/>
  <c r="S320" i="11"/>
  <c r="R320" i="11"/>
  <c r="Q320" i="11"/>
  <c r="V319" i="11"/>
  <c r="U319" i="11"/>
  <c r="T319" i="11"/>
  <c r="S319" i="11"/>
  <c r="R319" i="11"/>
  <c r="Q319" i="11"/>
  <c r="U318" i="11"/>
  <c r="T318" i="11"/>
  <c r="S318" i="11"/>
  <c r="R318" i="11"/>
  <c r="Q318" i="11"/>
  <c r="V317" i="11"/>
  <c r="U317" i="11"/>
  <c r="T317" i="11"/>
  <c r="S317" i="11"/>
  <c r="R317" i="11"/>
  <c r="Q317" i="11"/>
  <c r="V316" i="11"/>
  <c r="U316" i="11"/>
  <c r="T316" i="11"/>
  <c r="S316" i="11"/>
  <c r="R316" i="11"/>
  <c r="Q316" i="11"/>
  <c r="V315" i="11"/>
  <c r="T315" i="11"/>
  <c r="S315" i="11"/>
  <c r="R315" i="11"/>
  <c r="Q315" i="11"/>
  <c r="V314" i="11"/>
  <c r="U314" i="11"/>
  <c r="T314" i="11"/>
  <c r="S314" i="11"/>
  <c r="R314" i="11"/>
  <c r="Q314" i="11"/>
  <c r="V313" i="11"/>
  <c r="U313" i="11"/>
  <c r="T313" i="11"/>
  <c r="S313" i="11"/>
  <c r="R313" i="11"/>
  <c r="Q313" i="11"/>
  <c r="V312" i="11"/>
  <c r="T312" i="11"/>
  <c r="S312" i="11"/>
  <c r="R312" i="11"/>
  <c r="Q312" i="11"/>
  <c r="V311" i="11"/>
  <c r="U311" i="11"/>
  <c r="T311" i="11"/>
  <c r="S311" i="11"/>
  <c r="R311" i="11"/>
  <c r="Q311" i="11"/>
  <c r="V310" i="11"/>
  <c r="U310" i="11"/>
  <c r="T310" i="11"/>
  <c r="S310" i="11"/>
  <c r="R310" i="11"/>
  <c r="Q310" i="11"/>
  <c r="V309" i="11"/>
  <c r="T309" i="11"/>
  <c r="S309" i="11"/>
  <c r="R309" i="11"/>
  <c r="Q309" i="11"/>
  <c r="V308" i="11"/>
  <c r="U308" i="11"/>
  <c r="T308" i="11"/>
  <c r="S308" i="11"/>
  <c r="R308" i="11"/>
  <c r="Q308" i="11"/>
  <c r="V307" i="11"/>
  <c r="U307" i="11"/>
  <c r="T307" i="11"/>
  <c r="S307" i="11"/>
  <c r="R307" i="11"/>
  <c r="Q307" i="11"/>
  <c r="V306" i="11"/>
  <c r="T306" i="11"/>
  <c r="S306" i="11"/>
  <c r="R306" i="11"/>
  <c r="Q306" i="11"/>
  <c r="V305" i="11"/>
  <c r="U305" i="11"/>
  <c r="T305" i="11"/>
  <c r="S305" i="11"/>
  <c r="R305" i="11"/>
  <c r="Q305" i="11"/>
  <c r="V304" i="11"/>
  <c r="U304" i="11"/>
  <c r="T304" i="11"/>
  <c r="S304" i="11"/>
  <c r="R304" i="11"/>
  <c r="Q304" i="11"/>
  <c r="U303" i="11"/>
  <c r="T303" i="11"/>
  <c r="S303" i="11"/>
  <c r="R303" i="11"/>
  <c r="Q303" i="11"/>
  <c r="V302" i="11"/>
  <c r="U302" i="11"/>
  <c r="T302" i="11"/>
  <c r="S302" i="11"/>
  <c r="R302" i="11"/>
  <c r="Q302" i="11"/>
  <c r="V301" i="11"/>
  <c r="U301" i="11"/>
  <c r="T301" i="11"/>
  <c r="S301" i="11"/>
  <c r="R301" i="11"/>
  <c r="Q301" i="11"/>
  <c r="U300" i="11"/>
  <c r="T300" i="11"/>
  <c r="S300" i="11"/>
  <c r="R300" i="11"/>
  <c r="Q300" i="11"/>
  <c r="V299" i="11"/>
  <c r="U299" i="11"/>
  <c r="T299" i="11"/>
  <c r="S299" i="11"/>
  <c r="R299" i="11"/>
  <c r="Q299" i="11"/>
  <c r="V298" i="11"/>
  <c r="U298" i="11"/>
  <c r="T298" i="11"/>
  <c r="S298" i="11"/>
  <c r="R298" i="11"/>
  <c r="Q298" i="11"/>
  <c r="U297" i="11"/>
  <c r="T297" i="11"/>
  <c r="S297" i="11"/>
  <c r="R297" i="11"/>
  <c r="Q297" i="11"/>
  <c r="V296" i="11"/>
  <c r="U296" i="11"/>
  <c r="T296" i="11"/>
  <c r="S296" i="11"/>
  <c r="R296" i="11"/>
  <c r="Q296" i="11"/>
  <c r="V295" i="11"/>
  <c r="U295" i="11"/>
  <c r="T295" i="11"/>
  <c r="S295" i="11"/>
  <c r="R295" i="11"/>
  <c r="Q295" i="11"/>
  <c r="V294" i="11"/>
  <c r="T294" i="11"/>
  <c r="S294" i="11"/>
  <c r="R294" i="11"/>
  <c r="Q294" i="11"/>
  <c r="V293" i="11"/>
  <c r="U293" i="11"/>
  <c r="T293" i="11"/>
  <c r="S293" i="11"/>
  <c r="R293" i="11"/>
  <c r="Q293" i="11"/>
  <c r="V292" i="11"/>
  <c r="U292" i="11"/>
  <c r="T292" i="11"/>
  <c r="S292" i="11"/>
  <c r="R292" i="11"/>
  <c r="Q292" i="11"/>
  <c r="V291" i="11"/>
  <c r="T291" i="11"/>
  <c r="S291" i="11"/>
  <c r="R291" i="11"/>
  <c r="Q291" i="11"/>
  <c r="V290" i="11"/>
  <c r="U290" i="11"/>
  <c r="T290" i="11"/>
  <c r="S290" i="11"/>
  <c r="R290" i="11"/>
  <c r="Q290" i="11"/>
  <c r="V289" i="11"/>
  <c r="U289" i="11"/>
  <c r="T289" i="11"/>
  <c r="S289" i="11"/>
  <c r="R289" i="11"/>
  <c r="Q289" i="11"/>
  <c r="U288" i="11"/>
  <c r="T288" i="11"/>
  <c r="S288" i="11"/>
  <c r="R288" i="11"/>
  <c r="Q288" i="11"/>
  <c r="V287" i="11"/>
  <c r="U287" i="11"/>
  <c r="T287" i="11"/>
  <c r="S287" i="11"/>
  <c r="R287" i="11"/>
  <c r="Q287" i="11"/>
  <c r="V286" i="11"/>
  <c r="U286" i="11"/>
  <c r="T286" i="11"/>
  <c r="S286" i="11"/>
  <c r="R286" i="11"/>
  <c r="Q286" i="11"/>
  <c r="V285" i="11"/>
  <c r="T285" i="11"/>
  <c r="S285" i="11"/>
  <c r="R285" i="11"/>
  <c r="Q285" i="11"/>
  <c r="V284" i="11"/>
  <c r="U284" i="11"/>
  <c r="T284" i="11"/>
  <c r="S284" i="11"/>
  <c r="R284" i="11"/>
  <c r="Q284" i="11"/>
  <c r="V283" i="11"/>
  <c r="U283" i="11"/>
  <c r="T283" i="11"/>
  <c r="S283" i="11"/>
  <c r="R283" i="11"/>
  <c r="Q283" i="11"/>
  <c r="V282" i="11"/>
  <c r="T282" i="11"/>
  <c r="S282" i="11"/>
  <c r="R282" i="11"/>
  <c r="Q282" i="11"/>
  <c r="V281" i="11"/>
  <c r="U281" i="11"/>
  <c r="T281" i="11"/>
  <c r="S281" i="11"/>
  <c r="R281" i="11"/>
  <c r="Q281" i="11"/>
  <c r="V280" i="11"/>
  <c r="U280" i="11"/>
  <c r="T280" i="11"/>
  <c r="S280" i="11"/>
  <c r="R280" i="11"/>
  <c r="Q280" i="11"/>
  <c r="U279" i="11"/>
  <c r="T279" i="11"/>
  <c r="S279" i="11"/>
  <c r="R279" i="11"/>
  <c r="Q279" i="11"/>
  <c r="V278" i="11"/>
  <c r="U278" i="11"/>
  <c r="T278" i="11"/>
  <c r="S278" i="11"/>
  <c r="R278" i="11"/>
  <c r="Q278" i="11"/>
  <c r="V277" i="11"/>
  <c r="U277" i="11"/>
  <c r="T277" i="11"/>
  <c r="S277" i="11"/>
  <c r="R277" i="11"/>
  <c r="Q277" i="11"/>
  <c r="U276" i="11"/>
  <c r="T276" i="11"/>
  <c r="S276" i="11"/>
  <c r="R276" i="11"/>
  <c r="Q276" i="11"/>
  <c r="V275" i="11"/>
  <c r="U275" i="11"/>
  <c r="T275" i="11"/>
  <c r="S275" i="11"/>
  <c r="R275" i="11"/>
  <c r="Q275" i="11"/>
  <c r="V274" i="11"/>
  <c r="U274" i="11"/>
  <c r="T274" i="11"/>
  <c r="S274" i="11"/>
  <c r="R274" i="11"/>
  <c r="Q274" i="11"/>
  <c r="U273" i="11"/>
  <c r="T273" i="11"/>
  <c r="S273" i="11"/>
  <c r="R273" i="11"/>
  <c r="Q273" i="11"/>
  <c r="V272" i="11"/>
  <c r="U272" i="11"/>
  <c r="T272" i="11"/>
  <c r="S272" i="11"/>
  <c r="R272" i="11"/>
  <c r="Q272" i="11"/>
  <c r="V271" i="11"/>
  <c r="U271" i="11"/>
  <c r="T271" i="11"/>
  <c r="S271" i="11"/>
  <c r="R271" i="11"/>
  <c r="Q271" i="11"/>
  <c r="U270" i="11"/>
  <c r="T270" i="11"/>
  <c r="S270" i="11"/>
  <c r="R270" i="11"/>
  <c r="Q270" i="11"/>
  <c r="V269" i="11"/>
  <c r="U269" i="11"/>
  <c r="T269" i="11"/>
  <c r="S269" i="11"/>
  <c r="R269" i="11"/>
  <c r="Q269" i="11"/>
  <c r="V268" i="11"/>
  <c r="U268" i="11"/>
  <c r="T268" i="11"/>
  <c r="S268" i="11"/>
  <c r="R268" i="11"/>
  <c r="Q268" i="11"/>
  <c r="V267" i="11"/>
  <c r="T267" i="11"/>
  <c r="S267" i="11"/>
  <c r="R267" i="11"/>
  <c r="Q267" i="11"/>
  <c r="V266" i="11"/>
  <c r="U266" i="11"/>
  <c r="T266" i="11"/>
  <c r="S266" i="11"/>
  <c r="R266" i="11"/>
  <c r="Q266" i="11"/>
  <c r="V265" i="11"/>
  <c r="U265" i="11"/>
  <c r="T265" i="11"/>
  <c r="S265" i="11"/>
  <c r="R265" i="11"/>
  <c r="Q265" i="11"/>
  <c r="U264" i="11"/>
  <c r="T264" i="11"/>
  <c r="S264" i="11"/>
  <c r="R264" i="11"/>
  <c r="Q264" i="11"/>
  <c r="V263" i="11"/>
  <c r="U263" i="11"/>
  <c r="T263" i="11"/>
  <c r="S263" i="11"/>
  <c r="R263" i="11"/>
  <c r="Q263" i="11"/>
  <c r="V262" i="11"/>
  <c r="U262" i="11"/>
  <c r="T262" i="11"/>
  <c r="S262" i="11"/>
  <c r="R262" i="11"/>
  <c r="Q262" i="11"/>
  <c r="U261" i="11"/>
  <c r="T261" i="11"/>
  <c r="S261" i="11"/>
  <c r="R261" i="11"/>
  <c r="Q261" i="11"/>
  <c r="V260" i="11"/>
  <c r="U260" i="11"/>
  <c r="T260" i="11"/>
  <c r="S260" i="11"/>
  <c r="R260" i="11"/>
  <c r="Q260" i="11"/>
  <c r="V259" i="11"/>
  <c r="U259" i="11"/>
  <c r="T259" i="11"/>
  <c r="S259" i="11"/>
  <c r="R259" i="11"/>
  <c r="Q259" i="11"/>
  <c r="V258" i="11"/>
  <c r="T258" i="11"/>
  <c r="S258" i="11"/>
  <c r="R258" i="11"/>
  <c r="Q258" i="11"/>
  <c r="V257" i="11"/>
  <c r="U257" i="11"/>
  <c r="T257" i="11"/>
  <c r="S257" i="11"/>
  <c r="R257" i="11"/>
  <c r="Q257" i="11"/>
  <c r="V256" i="11"/>
  <c r="U256" i="11"/>
  <c r="T256" i="11"/>
  <c r="S256" i="11"/>
  <c r="R256" i="11"/>
  <c r="Q256" i="11"/>
  <c r="V255" i="11"/>
  <c r="T255" i="11"/>
  <c r="S255" i="11"/>
  <c r="R255" i="11"/>
  <c r="Q255" i="11"/>
  <c r="V254" i="11"/>
  <c r="U254" i="11"/>
  <c r="T254" i="11"/>
  <c r="S254" i="11"/>
  <c r="R254" i="11"/>
  <c r="Q254" i="11"/>
  <c r="V253" i="11"/>
  <c r="U253" i="11"/>
  <c r="T253" i="11"/>
  <c r="S253" i="11"/>
  <c r="R253" i="11"/>
  <c r="Q253" i="11"/>
  <c r="V252" i="11"/>
  <c r="U252" i="11"/>
  <c r="S252" i="11"/>
  <c r="R252" i="11"/>
  <c r="Q252" i="11"/>
  <c r="V251" i="11"/>
  <c r="U251" i="11"/>
  <c r="T251" i="11"/>
  <c r="S251" i="11"/>
  <c r="R251" i="11"/>
  <c r="Q251" i="11"/>
  <c r="V250" i="11"/>
  <c r="U250" i="11"/>
  <c r="T250" i="11"/>
  <c r="S250" i="11"/>
  <c r="R250" i="11"/>
  <c r="Q250" i="11"/>
  <c r="V249" i="11"/>
  <c r="T249" i="11"/>
  <c r="S249" i="11"/>
  <c r="R249" i="11"/>
  <c r="Q249" i="11"/>
  <c r="V248" i="11"/>
  <c r="U248" i="11"/>
  <c r="T248" i="11"/>
  <c r="S248" i="11"/>
  <c r="R248" i="11"/>
  <c r="Q248" i="11"/>
  <c r="V247" i="11"/>
  <c r="U247" i="11"/>
  <c r="T247" i="11"/>
  <c r="S247" i="11"/>
  <c r="R247" i="11"/>
  <c r="Q247" i="11"/>
  <c r="V246" i="11"/>
  <c r="T246" i="11"/>
  <c r="S246" i="11"/>
  <c r="R246" i="11"/>
  <c r="Q246" i="11"/>
  <c r="V245" i="11"/>
  <c r="U245" i="11"/>
  <c r="T245" i="11"/>
  <c r="S245" i="11"/>
  <c r="R245" i="11"/>
  <c r="Q245" i="11"/>
  <c r="V244" i="11"/>
  <c r="U244" i="11"/>
  <c r="T244" i="11"/>
  <c r="S244" i="11"/>
  <c r="R244" i="11"/>
  <c r="Q244" i="11"/>
  <c r="V243" i="11"/>
  <c r="T243" i="11"/>
  <c r="S243" i="11"/>
  <c r="R243" i="11"/>
  <c r="Q243" i="11"/>
  <c r="V242" i="11"/>
  <c r="U242" i="11"/>
  <c r="T242" i="11"/>
  <c r="S242" i="11"/>
  <c r="R242" i="11"/>
  <c r="Q242" i="11"/>
  <c r="V241" i="11"/>
  <c r="U241" i="11"/>
  <c r="T241" i="11"/>
  <c r="S241" i="11"/>
  <c r="R241" i="11"/>
  <c r="Q241" i="11"/>
  <c r="V240" i="11"/>
  <c r="T240" i="11"/>
  <c r="S240" i="11"/>
  <c r="R240" i="11"/>
  <c r="Q240" i="11"/>
  <c r="V239" i="11"/>
  <c r="U239" i="11"/>
  <c r="T239" i="11"/>
  <c r="S239" i="11"/>
  <c r="R239" i="11"/>
  <c r="Q239" i="11"/>
  <c r="V238" i="11"/>
  <c r="U238" i="11"/>
  <c r="T238" i="11"/>
  <c r="S238" i="11"/>
  <c r="R238" i="11"/>
  <c r="Q238" i="11"/>
  <c r="U237" i="11"/>
  <c r="T237" i="11"/>
  <c r="S237" i="11"/>
  <c r="R237" i="11"/>
  <c r="Q237" i="11"/>
  <c r="V236" i="11"/>
  <c r="U236" i="11"/>
  <c r="T236" i="11"/>
  <c r="S236" i="11"/>
  <c r="R236" i="11"/>
  <c r="Q236" i="11"/>
  <c r="V235" i="11"/>
  <c r="U235" i="11"/>
  <c r="T235" i="11"/>
  <c r="S235" i="11"/>
  <c r="R235" i="11"/>
  <c r="Q235" i="11"/>
  <c r="V234" i="11"/>
  <c r="T234" i="11"/>
  <c r="S234" i="11"/>
  <c r="R234" i="11"/>
  <c r="Q234" i="11"/>
  <c r="V233" i="11"/>
  <c r="U233" i="11"/>
  <c r="T233" i="11"/>
  <c r="S233" i="11"/>
  <c r="R233" i="11"/>
  <c r="Q233" i="11"/>
  <c r="V232" i="11"/>
  <c r="U232" i="11"/>
  <c r="T232" i="11"/>
  <c r="S232" i="11"/>
  <c r="R232" i="11"/>
  <c r="Q232" i="11"/>
  <c r="U231" i="11"/>
  <c r="T231" i="11"/>
  <c r="S231" i="11"/>
  <c r="R231" i="11"/>
  <c r="Q231" i="11"/>
  <c r="V230" i="11"/>
  <c r="U230" i="11"/>
  <c r="T230" i="11"/>
  <c r="S230" i="11"/>
  <c r="R230" i="11"/>
  <c r="Q230" i="11"/>
  <c r="V229" i="11"/>
  <c r="U229" i="11"/>
  <c r="T229" i="11"/>
  <c r="S229" i="11"/>
  <c r="R229" i="11"/>
  <c r="Q229" i="11"/>
  <c r="V228" i="11"/>
  <c r="T228" i="11"/>
  <c r="S228" i="11"/>
  <c r="R228" i="11"/>
  <c r="Q228" i="11"/>
  <c r="V227" i="11"/>
  <c r="U227" i="11"/>
  <c r="T227" i="11"/>
  <c r="S227" i="11"/>
  <c r="R227" i="11"/>
  <c r="Q227" i="11"/>
  <c r="V226" i="11"/>
  <c r="U226" i="11"/>
  <c r="T226" i="11"/>
  <c r="S226" i="11"/>
  <c r="R226" i="11"/>
  <c r="Q226" i="11"/>
  <c r="V225" i="11"/>
  <c r="T225" i="11"/>
  <c r="S225" i="11"/>
  <c r="R225" i="11"/>
  <c r="Q225" i="11"/>
  <c r="V224" i="11"/>
  <c r="U224" i="11"/>
  <c r="T224" i="11"/>
  <c r="S224" i="11"/>
  <c r="R224" i="11"/>
  <c r="Q224" i="11"/>
  <c r="V223" i="11"/>
  <c r="U223" i="11"/>
  <c r="T223" i="11"/>
  <c r="S223" i="11"/>
  <c r="R223" i="11"/>
  <c r="Q223" i="11"/>
  <c r="V222" i="11"/>
  <c r="T222" i="11"/>
  <c r="S222" i="11"/>
  <c r="R222" i="11"/>
  <c r="Q222" i="11"/>
  <c r="V221" i="11"/>
  <c r="U221" i="11"/>
  <c r="T221" i="11"/>
  <c r="S221" i="11"/>
  <c r="R221" i="11"/>
  <c r="Q221" i="11"/>
  <c r="V220" i="11"/>
  <c r="U220" i="11"/>
  <c r="T220" i="11"/>
  <c r="S220" i="11"/>
  <c r="R220" i="11"/>
  <c r="Q220" i="11"/>
  <c r="V219" i="11"/>
  <c r="U219" i="11"/>
  <c r="T219" i="11"/>
  <c r="R219" i="11"/>
  <c r="Q219" i="11"/>
  <c r="V218" i="11"/>
  <c r="U218" i="11"/>
  <c r="T218" i="11"/>
  <c r="S218" i="11"/>
  <c r="R218" i="11"/>
  <c r="Q218" i="11"/>
  <c r="V217" i="11"/>
  <c r="U217" i="11"/>
  <c r="T217" i="11"/>
  <c r="S217" i="11"/>
  <c r="R217" i="11"/>
  <c r="Q217" i="11"/>
  <c r="V216" i="11"/>
  <c r="T216" i="11"/>
  <c r="S216" i="11"/>
  <c r="R216" i="11"/>
  <c r="Q216" i="11"/>
  <c r="V215" i="11"/>
  <c r="U215" i="11"/>
  <c r="T215" i="11"/>
  <c r="S215" i="11"/>
  <c r="R215" i="11"/>
  <c r="Q215" i="11"/>
  <c r="V214" i="11"/>
  <c r="U214" i="11"/>
  <c r="T214" i="11"/>
  <c r="S214" i="11"/>
  <c r="R214" i="11"/>
  <c r="Q214" i="11"/>
  <c r="U213" i="11"/>
  <c r="T213" i="11"/>
  <c r="S213" i="11"/>
  <c r="R213" i="11"/>
  <c r="Q213" i="11"/>
  <c r="V212" i="11"/>
  <c r="U212" i="11"/>
  <c r="T212" i="11"/>
  <c r="S212" i="11"/>
  <c r="R212" i="11"/>
  <c r="Q212" i="11"/>
  <c r="V211" i="11"/>
  <c r="U211" i="11"/>
  <c r="T211" i="11"/>
  <c r="S211" i="11"/>
  <c r="R211" i="11"/>
  <c r="Q211" i="11"/>
  <c r="U210" i="11"/>
  <c r="T210" i="11"/>
  <c r="S210" i="11"/>
  <c r="R210" i="11"/>
  <c r="Q210" i="11"/>
  <c r="V209" i="11"/>
  <c r="U209" i="11"/>
  <c r="T209" i="11"/>
  <c r="S209" i="11"/>
  <c r="R209" i="11"/>
  <c r="Q209" i="11"/>
  <c r="V208" i="11"/>
  <c r="U208" i="11"/>
  <c r="T208" i="11"/>
  <c r="S208" i="11"/>
  <c r="R208" i="11"/>
  <c r="Q208" i="11"/>
  <c r="V207" i="11"/>
  <c r="T207" i="11"/>
  <c r="S207" i="11"/>
  <c r="R207" i="11"/>
  <c r="Q207" i="11"/>
  <c r="V206" i="11"/>
  <c r="U206" i="11"/>
  <c r="T206" i="11"/>
  <c r="S206" i="11"/>
  <c r="R206" i="11"/>
  <c r="Q206" i="11"/>
  <c r="V205" i="11"/>
  <c r="U205" i="11"/>
  <c r="T205" i="11"/>
  <c r="S205" i="11"/>
  <c r="R205" i="11"/>
  <c r="Q205" i="11"/>
  <c r="U204" i="11"/>
  <c r="T204" i="11"/>
  <c r="S204" i="11"/>
  <c r="R204" i="11"/>
  <c r="Q204" i="11"/>
  <c r="V203" i="11"/>
  <c r="U203" i="11"/>
  <c r="T203" i="11"/>
  <c r="S203" i="11"/>
  <c r="R203" i="11"/>
  <c r="Q203" i="11"/>
  <c r="V202" i="11"/>
  <c r="U202" i="11"/>
  <c r="T202" i="11"/>
  <c r="S202" i="11"/>
  <c r="R202" i="11"/>
  <c r="Q202" i="11"/>
  <c r="V201" i="11"/>
  <c r="T201" i="11"/>
  <c r="S201" i="11"/>
  <c r="R201" i="11"/>
  <c r="Q201" i="11"/>
  <c r="V200" i="11"/>
  <c r="U200" i="11"/>
  <c r="T200" i="11"/>
  <c r="S200" i="11"/>
  <c r="R200" i="11"/>
  <c r="Q200" i="11"/>
  <c r="V199" i="11"/>
  <c r="U199" i="11"/>
  <c r="T199" i="11"/>
  <c r="S199" i="11"/>
  <c r="R199" i="11"/>
  <c r="Q199" i="11"/>
  <c r="U198" i="11"/>
  <c r="T198" i="11"/>
  <c r="S198" i="11"/>
  <c r="R198" i="11"/>
  <c r="Q198" i="11"/>
  <c r="V197" i="11"/>
  <c r="U197" i="11"/>
  <c r="T197" i="11"/>
  <c r="S197" i="11"/>
  <c r="R197" i="11"/>
  <c r="Q197" i="11"/>
  <c r="V196" i="11"/>
  <c r="U196" i="11"/>
  <c r="T196" i="11"/>
  <c r="S196" i="11"/>
  <c r="R196" i="11"/>
  <c r="Q196" i="11"/>
  <c r="U195" i="11"/>
  <c r="T195" i="11"/>
  <c r="S195" i="11"/>
  <c r="R195" i="11"/>
  <c r="Q195" i="11"/>
  <c r="V194" i="11"/>
  <c r="U194" i="11"/>
  <c r="T194" i="11"/>
  <c r="S194" i="11"/>
  <c r="R194" i="11"/>
  <c r="Q194" i="11"/>
  <c r="V193" i="11"/>
  <c r="U193" i="11"/>
  <c r="T193" i="11"/>
  <c r="S193" i="11"/>
  <c r="R193" i="11"/>
  <c r="Q193" i="11"/>
  <c r="U192" i="11"/>
  <c r="T192" i="11"/>
  <c r="S192" i="11"/>
  <c r="R192" i="11"/>
  <c r="Q192" i="11"/>
  <c r="V191" i="11"/>
  <c r="U191" i="11"/>
  <c r="T191" i="11"/>
  <c r="S191" i="11"/>
  <c r="R191" i="11"/>
  <c r="Q191" i="11"/>
  <c r="V190" i="11"/>
  <c r="U190" i="11"/>
  <c r="T190" i="11"/>
  <c r="S190" i="11"/>
  <c r="R190" i="11"/>
  <c r="Q190" i="11"/>
  <c r="U189" i="11"/>
  <c r="T189" i="11"/>
  <c r="S189" i="11"/>
  <c r="R189" i="11"/>
  <c r="Q189" i="11"/>
  <c r="V188" i="11"/>
  <c r="U188" i="11"/>
  <c r="T188" i="11"/>
  <c r="S188" i="11"/>
  <c r="R188" i="11"/>
  <c r="Q188" i="11"/>
  <c r="V187" i="11"/>
  <c r="U187" i="11"/>
  <c r="T187" i="11"/>
  <c r="S187" i="11"/>
  <c r="R187" i="11"/>
  <c r="Q187" i="11"/>
  <c r="V186" i="11"/>
  <c r="T186" i="11"/>
  <c r="S186" i="11"/>
  <c r="R186" i="11"/>
  <c r="Q186" i="11"/>
  <c r="V185" i="11"/>
  <c r="U185" i="11"/>
  <c r="T185" i="11"/>
  <c r="S185" i="11"/>
  <c r="R185" i="11"/>
  <c r="Q185" i="11"/>
  <c r="V184" i="11"/>
  <c r="U184" i="11"/>
  <c r="T184" i="11"/>
  <c r="S184" i="11"/>
  <c r="R184" i="11"/>
  <c r="Q184" i="11"/>
  <c r="V183" i="11"/>
  <c r="T183" i="11"/>
  <c r="S183" i="11"/>
  <c r="R183" i="11"/>
  <c r="Q183" i="11"/>
  <c r="V182" i="11"/>
  <c r="U182" i="11"/>
  <c r="T182" i="11"/>
  <c r="S182" i="11"/>
  <c r="R182" i="11"/>
  <c r="Q182" i="11"/>
  <c r="V181" i="11"/>
  <c r="U181" i="11"/>
  <c r="T181" i="11"/>
  <c r="S181" i="11"/>
  <c r="R181" i="11"/>
  <c r="Q181" i="11"/>
  <c r="V180" i="11"/>
  <c r="T180" i="11"/>
  <c r="S180" i="11"/>
  <c r="R180" i="11"/>
  <c r="Q180" i="11"/>
  <c r="V179" i="11"/>
  <c r="U179" i="11"/>
  <c r="T179" i="11"/>
  <c r="S179" i="11"/>
  <c r="R179" i="11"/>
  <c r="Q179" i="11"/>
  <c r="V178" i="11"/>
  <c r="U178" i="11"/>
  <c r="T178" i="11"/>
  <c r="S178" i="11"/>
  <c r="R178" i="11"/>
  <c r="Q178" i="11"/>
  <c r="V177" i="11"/>
  <c r="T177" i="11"/>
  <c r="S177" i="11"/>
  <c r="R177" i="11"/>
  <c r="Q177" i="11"/>
  <c r="V176" i="11"/>
  <c r="U176" i="11"/>
  <c r="T176" i="11"/>
  <c r="S176" i="11"/>
  <c r="R176" i="11"/>
  <c r="Q176" i="11"/>
  <c r="V175" i="11"/>
  <c r="U175" i="11"/>
  <c r="T175" i="11"/>
  <c r="S175" i="11"/>
  <c r="R175" i="11"/>
  <c r="Q175" i="11"/>
  <c r="U174" i="11"/>
  <c r="T174" i="11"/>
  <c r="S174" i="11"/>
  <c r="R174" i="11"/>
  <c r="Q174" i="11"/>
  <c r="V173" i="11"/>
  <c r="U173" i="11"/>
  <c r="T173" i="11"/>
  <c r="S173" i="11"/>
  <c r="R173" i="11"/>
  <c r="Q173" i="11"/>
  <c r="V172" i="11"/>
  <c r="U172" i="11"/>
  <c r="T172" i="11"/>
  <c r="S172" i="11"/>
  <c r="R172" i="11"/>
  <c r="Q172" i="11"/>
  <c r="V171" i="11"/>
  <c r="U171" i="11"/>
  <c r="T171" i="11"/>
  <c r="R171" i="11"/>
  <c r="Q171" i="11"/>
  <c r="V170" i="11"/>
  <c r="U170" i="11"/>
  <c r="T170" i="11"/>
  <c r="S170" i="11"/>
  <c r="R170" i="11"/>
  <c r="Q170" i="11"/>
  <c r="V169" i="11"/>
  <c r="U169" i="11"/>
  <c r="T169" i="11"/>
  <c r="S169" i="11"/>
  <c r="R169" i="11"/>
  <c r="Q169" i="11"/>
  <c r="V168" i="11"/>
  <c r="T168" i="11"/>
  <c r="S168" i="11"/>
  <c r="R168" i="11"/>
  <c r="Q168" i="11"/>
  <c r="V167" i="11"/>
  <c r="U167" i="11"/>
  <c r="T167" i="11"/>
  <c r="S167" i="11"/>
  <c r="R167" i="11"/>
  <c r="Q167" i="11"/>
  <c r="V166" i="11"/>
  <c r="U166" i="11"/>
  <c r="T166" i="11"/>
  <c r="S166" i="11"/>
  <c r="R166" i="11"/>
  <c r="Q166" i="11"/>
  <c r="V165" i="11"/>
  <c r="U165" i="11"/>
  <c r="T165" i="11"/>
  <c r="S165" i="11"/>
  <c r="R165" i="11"/>
  <c r="Q165" i="11"/>
  <c r="V164" i="11"/>
  <c r="U164" i="11"/>
  <c r="T164" i="11"/>
  <c r="S164" i="11"/>
  <c r="R164" i="11"/>
  <c r="Q164" i="11"/>
  <c r="V163" i="11"/>
  <c r="U163" i="11"/>
  <c r="T163" i="11"/>
  <c r="S163" i="11"/>
  <c r="R163" i="11"/>
  <c r="Q163" i="11"/>
  <c r="V162" i="11"/>
  <c r="T162" i="11"/>
  <c r="S162" i="11"/>
  <c r="R162" i="11"/>
  <c r="Q162" i="11"/>
  <c r="V161" i="11"/>
  <c r="U161" i="11"/>
  <c r="T161" i="11"/>
  <c r="S161" i="11"/>
  <c r="R161" i="11"/>
  <c r="Q161" i="11"/>
  <c r="V160" i="11"/>
  <c r="U160" i="11"/>
  <c r="T160" i="11"/>
  <c r="S160" i="11"/>
  <c r="R160" i="11"/>
  <c r="Q160" i="11"/>
  <c r="V159" i="11"/>
  <c r="U159" i="11"/>
  <c r="T159" i="11"/>
  <c r="S159" i="11"/>
  <c r="R159" i="11"/>
  <c r="Q159" i="11"/>
  <c r="V158" i="11"/>
  <c r="U158" i="11"/>
  <c r="T158" i="11"/>
  <c r="R158" i="11"/>
  <c r="Q158" i="11"/>
  <c r="V157" i="11"/>
  <c r="U157" i="11"/>
  <c r="T157" i="11"/>
  <c r="S157" i="11"/>
  <c r="R157" i="11"/>
  <c r="Q157" i="11"/>
  <c r="V156" i="11"/>
  <c r="U156" i="11"/>
  <c r="T156" i="11"/>
  <c r="R156" i="11"/>
  <c r="Q156" i="11"/>
  <c r="V155" i="11"/>
  <c r="U155" i="11"/>
  <c r="T155" i="11"/>
  <c r="S155" i="11"/>
  <c r="R155" i="11"/>
  <c r="Q155" i="11"/>
  <c r="V154" i="11"/>
  <c r="U154" i="11"/>
  <c r="T154" i="11"/>
  <c r="R154" i="11"/>
  <c r="Q154" i="11"/>
  <c r="V153" i="11"/>
  <c r="U153" i="11"/>
  <c r="T153" i="11"/>
  <c r="S153" i="11"/>
  <c r="R153" i="11"/>
  <c r="Q153" i="11"/>
  <c r="V152" i="11"/>
  <c r="U152" i="11"/>
  <c r="T152" i="11"/>
  <c r="R152" i="11"/>
  <c r="Q152" i="11"/>
  <c r="V151" i="11"/>
  <c r="U151" i="11"/>
  <c r="T151" i="11"/>
  <c r="S151" i="11"/>
  <c r="R151" i="11"/>
  <c r="Q151" i="11"/>
  <c r="V150" i="11"/>
  <c r="U150" i="11"/>
  <c r="T150" i="11"/>
  <c r="R150" i="11"/>
  <c r="Q150" i="11"/>
  <c r="V149" i="11"/>
  <c r="U149" i="11"/>
  <c r="T149" i="11"/>
  <c r="S149" i="11"/>
  <c r="R149" i="11"/>
  <c r="Q149" i="11"/>
  <c r="V148" i="11"/>
  <c r="U148" i="11"/>
  <c r="T148" i="11"/>
  <c r="R148" i="11"/>
  <c r="Q148" i="11"/>
  <c r="V147" i="11"/>
  <c r="U147" i="11"/>
  <c r="T147" i="11"/>
  <c r="S147" i="11"/>
  <c r="R147" i="11"/>
  <c r="Q147" i="11"/>
  <c r="V146" i="11"/>
  <c r="U146" i="11"/>
  <c r="T146" i="11"/>
  <c r="R146" i="11"/>
  <c r="Q146" i="11"/>
  <c r="V145" i="11"/>
  <c r="U145" i="11"/>
  <c r="T145" i="11"/>
  <c r="S145" i="11"/>
  <c r="R145" i="11"/>
  <c r="Q145" i="11"/>
  <c r="V144" i="11"/>
  <c r="U144" i="11"/>
  <c r="T144" i="11"/>
  <c r="R144" i="11"/>
  <c r="Q144" i="11"/>
  <c r="V143" i="11"/>
  <c r="U143" i="11"/>
  <c r="T143" i="11"/>
  <c r="S143" i="11"/>
  <c r="R143" i="11"/>
  <c r="Q143" i="11"/>
  <c r="V142" i="11"/>
  <c r="U142" i="11"/>
  <c r="T142" i="11"/>
  <c r="R142" i="11"/>
  <c r="Q142" i="11"/>
  <c r="V141" i="11"/>
  <c r="U141" i="11"/>
  <c r="T141" i="11"/>
  <c r="S141" i="11"/>
  <c r="R141" i="11"/>
  <c r="Q141" i="11"/>
  <c r="V140" i="11"/>
  <c r="U140" i="11"/>
  <c r="T140" i="11"/>
  <c r="R140" i="11"/>
  <c r="Q140" i="11"/>
  <c r="V139" i="11"/>
  <c r="U139" i="11"/>
  <c r="T139" i="11"/>
  <c r="S139" i="11"/>
  <c r="R139" i="11"/>
  <c r="Q139" i="11"/>
  <c r="V138" i="11"/>
  <c r="U138" i="11"/>
  <c r="T138" i="11"/>
  <c r="R138" i="11"/>
  <c r="Q138" i="11"/>
  <c r="V137" i="11"/>
  <c r="U137" i="11"/>
  <c r="T137" i="11"/>
  <c r="S137" i="11"/>
  <c r="R137" i="11"/>
  <c r="Q137" i="11"/>
  <c r="V136" i="11"/>
  <c r="U136" i="11"/>
  <c r="T136" i="11"/>
  <c r="R136" i="11"/>
  <c r="Q136" i="11"/>
  <c r="V135" i="11"/>
  <c r="U135" i="11"/>
  <c r="T135" i="11"/>
  <c r="S135" i="11"/>
  <c r="R135" i="11"/>
  <c r="Q135" i="11"/>
  <c r="V134" i="11"/>
  <c r="U134" i="11"/>
  <c r="T134" i="11"/>
  <c r="R134" i="11"/>
  <c r="Q134" i="11"/>
  <c r="V133" i="11"/>
  <c r="U133" i="11"/>
  <c r="T133" i="11"/>
  <c r="S133" i="11"/>
  <c r="R133" i="11"/>
  <c r="Q133" i="11"/>
  <c r="V132" i="11"/>
  <c r="U132" i="11"/>
  <c r="T132" i="11"/>
  <c r="S132" i="11"/>
  <c r="R132" i="11"/>
  <c r="Q132" i="11"/>
  <c r="V131" i="11"/>
  <c r="U131" i="11"/>
  <c r="T131" i="11"/>
  <c r="S131" i="11"/>
  <c r="R131" i="11"/>
  <c r="Q131" i="11"/>
  <c r="V130" i="11"/>
  <c r="U130" i="11"/>
  <c r="S130" i="11"/>
  <c r="R130" i="11"/>
  <c r="Q130" i="11"/>
  <c r="V129" i="11"/>
  <c r="U129" i="11"/>
  <c r="T129" i="11"/>
  <c r="S129" i="11"/>
  <c r="R129" i="11"/>
  <c r="Q129" i="11"/>
  <c r="V128" i="11"/>
  <c r="U128" i="11"/>
  <c r="T128" i="11"/>
  <c r="S128" i="11"/>
  <c r="R128" i="11"/>
  <c r="Q128" i="11"/>
  <c r="V127" i="11"/>
  <c r="U127" i="11"/>
  <c r="S127" i="11"/>
  <c r="R127" i="11"/>
  <c r="Q127" i="11"/>
  <c r="V126" i="11"/>
  <c r="U126" i="11"/>
  <c r="T126" i="11"/>
  <c r="S126" i="11"/>
  <c r="R126" i="11"/>
  <c r="Q126" i="11"/>
  <c r="V125" i="11"/>
  <c r="U125" i="11"/>
  <c r="T125" i="11"/>
  <c r="S125" i="11"/>
  <c r="R125" i="11"/>
  <c r="Q125" i="11"/>
  <c r="V124" i="11"/>
  <c r="U124" i="11"/>
  <c r="S124" i="11"/>
  <c r="R124" i="11"/>
  <c r="Q124" i="11"/>
  <c r="V123" i="11"/>
  <c r="U123" i="11"/>
  <c r="T123" i="11"/>
  <c r="S123" i="11"/>
  <c r="R123" i="11"/>
  <c r="Q123" i="11"/>
  <c r="V122" i="11"/>
  <c r="U122" i="11"/>
  <c r="T122" i="11"/>
  <c r="S122" i="11"/>
  <c r="R122" i="11"/>
  <c r="Q122" i="11"/>
  <c r="V121" i="11"/>
  <c r="U121" i="11"/>
  <c r="S121" i="11"/>
  <c r="R121" i="11"/>
  <c r="Q121" i="11"/>
  <c r="V120" i="11"/>
  <c r="U120" i="11"/>
  <c r="T120" i="11"/>
  <c r="S120" i="11"/>
  <c r="R120" i="11"/>
  <c r="Q120" i="11"/>
  <c r="V119" i="11"/>
  <c r="U119" i="11"/>
  <c r="T119" i="11"/>
  <c r="S119" i="11"/>
  <c r="R119" i="11"/>
  <c r="Q119" i="11"/>
  <c r="V118" i="11"/>
  <c r="U118" i="11"/>
  <c r="S118" i="11"/>
  <c r="R118" i="11"/>
  <c r="Q118" i="11"/>
  <c r="V117" i="11"/>
  <c r="U117" i="11"/>
  <c r="T117" i="11"/>
  <c r="S117" i="11"/>
  <c r="R117" i="11"/>
  <c r="Q117" i="11"/>
  <c r="V116" i="11"/>
  <c r="U116" i="11"/>
  <c r="T116" i="11"/>
  <c r="S116" i="11"/>
  <c r="R116" i="11"/>
  <c r="Q116" i="11"/>
  <c r="V115" i="11"/>
  <c r="U115" i="11"/>
  <c r="S115" i="11"/>
  <c r="R115" i="11"/>
  <c r="Q115" i="11"/>
  <c r="V114" i="11"/>
  <c r="U114" i="11"/>
  <c r="T114" i="11"/>
  <c r="S114" i="11"/>
  <c r="R114" i="11"/>
  <c r="Q114" i="11"/>
  <c r="V113" i="11"/>
  <c r="U113" i="11"/>
  <c r="T113" i="11"/>
  <c r="S113" i="11"/>
  <c r="R113" i="11"/>
  <c r="Q113" i="11"/>
  <c r="V112" i="11"/>
  <c r="U112" i="11"/>
  <c r="S112" i="11"/>
  <c r="R112" i="11"/>
  <c r="Q112" i="11"/>
  <c r="V111" i="11"/>
  <c r="U111" i="11"/>
  <c r="T111" i="11"/>
  <c r="S111" i="11"/>
  <c r="R111" i="11"/>
  <c r="Q111" i="11"/>
  <c r="V110" i="11"/>
  <c r="U110" i="11"/>
  <c r="T110" i="11"/>
  <c r="S110" i="11"/>
  <c r="R110" i="11"/>
  <c r="Q110" i="11"/>
  <c r="V109" i="11"/>
  <c r="U109" i="11"/>
  <c r="T109" i="11"/>
  <c r="S109" i="11"/>
  <c r="R109" i="11"/>
  <c r="Q109" i="11"/>
  <c r="V108" i="11"/>
  <c r="U108" i="11"/>
  <c r="T108" i="11"/>
  <c r="S108" i="11"/>
  <c r="R108" i="11"/>
  <c r="Q108" i="11"/>
  <c r="V107" i="11"/>
  <c r="U107" i="11"/>
  <c r="S107" i="11"/>
  <c r="R107" i="11"/>
  <c r="Q107" i="11"/>
  <c r="V106" i="11"/>
  <c r="U106" i="11"/>
  <c r="T106" i="11"/>
  <c r="S106" i="11"/>
  <c r="R106" i="11"/>
  <c r="Q106" i="11"/>
  <c r="V105" i="11"/>
  <c r="U105" i="11"/>
  <c r="T105" i="11"/>
  <c r="S105" i="11"/>
  <c r="R105" i="11"/>
  <c r="Q105" i="11"/>
  <c r="V104" i="11"/>
  <c r="U104" i="11"/>
  <c r="S104" i="11"/>
  <c r="R104" i="11"/>
  <c r="Q104" i="11"/>
  <c r="V103" i="11"/>
  <c r="U103" i="11"/>
  <c r="T103" i="11"/>
  <c r="S103" i="11"/>
  <c r="R103" i="11"/>
  <c r="Q103" i="11"/>
  <c r="V102" i="11"/>
  <c r="U102" i="11"/>
  <c r="T102" i="11"/>
  <c r="S102" i="11"/>
  <c r="R102" i="11"/>
  <c r="Q102" i="11"/>
  <c r="V101" i="11"/>
  <c r="U101" i="11"/>
  <c r="S101" i="11"/>
  <c r="R101" i="11"/>
  <c r="Q101" i="11"/>
  <c r="V100" i="11"/>
  <c r="U100" i="11"/>
  <c r="T100" i="11"/>
  <c r="S100" i="11"/>
  <c r="R100" i="11"/>
  <c r="Q100" i="11"/>
  <c r="V99" i="11"/>
  <c r="U99" i="11"/>
  <c r="T99" i="11"/>
  <c r="S99" i="11"/>
  <c r="R99" i="11"/>
  <c r="Q99" i="11"/>
  <c r="V98" i="11"/>
  <c r="U98" i="11"/>
  <c r="S98" i="11"/>
  <c r="R98" i="11"/>
  <c r="Q98" i="11"/>
  <c r="V97" i="11"/>
  <c r="U97" i="11"/>
  <c r="T97" i="11"/>
  <c r="S97" i="11"/>
  <c r="R97" i="11"/>
  <c r="Q97" i="11"/>
  <c r="V96" i="11"/>
  <c r="U96" i="11"/>
  <c r="T96" i="11"/>
  <c r="S96" i="11"/>
  <c r="R96" i="11"/>
  <c r="Q96" i="11"/>
  <c r="V95" i="11"/>
  <c r="U95" i="11"/>
  <c r="S95" i="11"/>
  <c r="R95" i="11"/>
  <c r="Q95" i="11"/>
  <c r="V94" i="11"/>
  <c r="U94" i="11"/>
  <c r="T94" i="11"/>
  <c r="S94" i="11"/>
  <c r="R94" i="11"/>
  <c r="Q94" i="11"/>
  <c r="V93" i="11"/>
  <c r="U93" i="11"/>
  <c r="T93" i="11"/>
  <c r="S93" i="11"/>
  <c r="R93" i="11"/>
  <c r="Q93" i="11"/>
  <c r="V92" i="11"/>
  <c r="U92" i="11"/>
  <c r="S92" i="11"/>
  <c r="R92" i="11"/>
  <c r="Q92" i="11"/>
  <c r="V91" i="11"/>
  <c r="U91" i="11"/>
  <c r="T91" i="11"/>
  <c r="S91" i="11"/>
  <c r="R91" i="11"/>
  <c r="Q91" i="11"/>
  <c r="V90" i="11"/>
  <c r="U90" i="11"/>
  <c r="T90" i="11"/>
  <c r="S90" i="11"/>
  <c r="R90" i="11"/>
  <c r="Q90" i="11"/>
  <c r="V89" i="11"/>
  <c r="U89" i="11"/>
  <c r="S89" i="11"/>
  <c r="R89" i="11"/>
  <c r="Q89" i="11"/>
  <c r="V88" i="11"/>
  <c r="U88" i="11"/>
  <c r="T88" i="11"/>
  <c r="S88" i="11"/>
  <c r="R88" i="11"/>
  <c r="Q88" i="11"/>
  <c r="V87" i="11"/>
  <c r="U87" i="11"/>
  <c r="T87" i="11"/>
  <c r="S87" i="11"/>
  <c r="R87" i="11"/>
  <c r="Q87" i="11"/>
  <c r="V86" i="11"/>
  <c r="U86" i="11"/>
  <c r="S86" i="11"/>
  <c r="R86" i="11"/>
  <c r="Q86" i="11"/>
  <c r="V85" i="11"/>
  <c r="U85" i="11"/>
  <c r="T85" i="11"/>
  <c r="S85" i="11"/>
  <c r="R85" i="11"/>
  <c r="Q85" i="11"/>
  <c r="V84" i="11"/>
  <c r="U84" i="11"/>
  <c r="T84" i="11"/>
  <c r="S84" i="11"/>
  <c r="R84" i="11"/>
  <c r="Q84" i="11"/>
  <c r="V83" i="11"/>
  <c r="U83" i="11"/>
  <c r="S83" i="11"/>
  <c r="R83" i="11"/>
  <c r="Q83" i="11"/>
  <c r="V82" i="11"/>
  <c r="U82" i="11"/>
  <c r="T82" i="11"/>
  <c r="S82" i="11"/>
  <c r="R82" i="11"/>
  <c r="Q82" i="11"/>
  <c r="V81" i="11"/>
  <c r="U81" i="11"/>
  <c r="T81" i="11"/>
  <c r="S81" i="11"/>
  <c r="R81" i="11"/>
  <c r="Q81" i="11"/>
  <c r="V80" i="11"/>
  <c r="U80" i="11"/>
  <c r="S80" i="11"/>
  <c r="R80" i="11"/>
  <c r="Q80" i="11"/>
  <c r="V79" i="11"/>
  <c r="U79" i="11"/>
  <c r="T79" i="11"/>
  <c r="S79" i="11"/>
  <c r="R79" i="11"/>
  <c r="Q79" i="11"/>
  <c r="V78" i="11"/>
  <c r="U78" i="11"/>
  <c r="T78" i="11"/>
  <c r="S78" i="11"/>
  <c r="R78" i="11"/>
  <c r="Q78" i="11"/>
  <c r="V77" i="11"/>
  <c r="U77" i="11"/>
  <c r="S77" i="11"/>
  <c r="R77" i="11"/>
  <c r="Q77" i="11"/>
  <c r="V76" i="11"/>
  <c r="U76" i="11"/>
  <c r="T76" i="11"/>
  <c r="S76" i="11"/>
  <c r="R76" i="11"/>
  <c r="Q76" i="11"/>
  <c r="V75" i="11"/>
  <c r="U75" i="11"/>
  <c r="T75" i="11"/>
  <c r="S75" i="11"/>
  <c r="R75" i="11"/>
  <c r="Q75" i="11"/>
  <c r="V74" i="11"/>
  <c r="U74" i="11"/>
  <c r="S74" i="11"/>
  <c r="R74" i="11"/>
  <c r="Q74" i="11"/>
  <c r="V73" i="11"/>
  <c r="U73" i="11"/>
  <c r="T73" i="11"/>
  <c r="S73" i="11"/>
  <c r="R73" i="11"/>
  <c r="Q73" i="11"/>
  <c r="V72" i="11"/>
  <c r="U72" i="11"/>
  <c r="T72" i="11"/>
  <c r="S72" i="11"/>
  <c r="R72" i="11"/>
  <c r="Q72" i="11"/>
  <c r="V71" i="11"/>
  <c r="U71" i="11"/>
  <c r="S71" i="11"/>
  <c r="R71" i="11"/>
  <c r="Q71" i="11"/>
  <c r="V70" i="11"/>
  <c r="U70" i="11"/>
  <c r="T70" i="11"/>
  <c r="S70" i="11"/>
  <c r="R70" i="11"/>
  <c r="Q70" i="11"/>
  <c r="V69" i="11"/>
  <c r="U69" i="11"/>
  <c r="T69" i="11"/>
  <c r="S69" i="11"/>
  <c r="R69" i="11"/>
  <c r="Q69" i="11"/>
  <c r="V68" i="11"/>
  <c r="U68" i="11"/>
  <c r="T68" i="11"/>
  <c r="S68" i="11"/>
  <c r="R68" i="11"/>
  <c r="Q68" i="11"/>
  <c r="V67" i="11"/>
  <c r="U67" i="11"/>
  <c r="T67" i="11"/>
  <c r="S67" i="11"/>
  <c r="R67" i="11"/>
  <c r="Q67" i="11"/>
  <c r="V66" i="11"/>
  <c r="U66" i="11"/>
  <c r="S66" i="11"/>
  <c r="R66" i="11"/>
  <c r="Q66" i="11"/>
  <c r="V65" i="11"/>
  <c r="U65" i="11"/>
  <c r="T65" i="11"/>
  <c r="S65" i="11"/>
  <c r="R65" i="11"/>
  <c r="Q65" i="11"/>
  <c r="V64" i="11"/>
  <c r="U64" i="11"/>
  <c r="T64" i="11"/>
  <c r="S64" i="11"/>
  <c r="R64" i="11"/>
  <c r="Q64" i="11"/>
  <c r="V63" i="11"/>
  <c r="U63" i="11"/>
  <c r="S63" i="11"/>
  <c r="R63" i="11"/>
  <c r="Q63" i="11"/>
  <c r="V62" i="11"/>
  <c r="U62" i="11"/>
  <c r="T62" i="11"/>
  <c r="S62" i="11"/>
  <c r="R62" i="11"/>
  <c r="Q62" i="11"/>
  <c r="V61" i="11"/>
  <c r="U61" i="11"/>
  <c r="T61" i="11"/>
  <c r="S61" i="11"/>
  <c r="R61" i="11"/>
  <c r="Q61" i="11"/>
  <c r="V60" i="11"/>
  <c r="U60" i="11"/>
  <c r="S60" i="11"/>
  <c r="R60" i="11"/>
  <c r="Q60" i="11"/>
  <c r="V59" i="11"/>
  <c r="U59" i="11"/>
  <c r="T59" i="11"/>
  <c r="S59" i="11"/>
  <c r="R59" i="11"/>
  <c r="Q59" i="11"/>
  <c r="V58" i="11"/>
  <c r="U58" i="11"/>
  <c r="T58" i="11"/>
  <c r="S58" i="11"/>
  <c r="R58" i="11"/>
  <c r="Q58" i="11"/>
  <c r="V57" i="11"/>
  <c r="U57" i="11"/>
  <c r="S57" i="11"/>
  <c r="R57" i="11"/>
  <c r="Q57" i="11"/>
  <c r="V56" i="11"/>
  <c r="U56" i="11"/>
  <c r="T56" i="11"/>
  <c r="S56" i="11"/>
  <c r="R56" i="11"/>
  <c r="Q56" i="11"/>
  <c r="V55" i="11"/>
  <c r="U55" i="11"/>
  <c r="T55" i="11"/>
  <c r="S55" i="11"/>
  <c r="R55" i="11"/>
  <c r="Q55" i="11"/>
  <c r="V54" i="11"/>
  <c r="U54" i="11"/>
  <c r="S54" i="11"/>
  <c r="R54" i="11"/>
  <c r="Q54" i="11"/>
  <c r="V53" i="11"/>
  <c r="U53" i="11"/>
  <c r="T53" i="11"/>
  <c r="S53" i="11"/>
  <c r="R53" i="11"/>
  <c r="Q53" i="11"/>
  <c r="V52" i="11"/>
  <c r="U52" i="11"/>
  <c r="T52" i="11"/>
  <c r="S52" i="11"/>
  <c r="R52" i="11"/>
  <c r="Q52" i="11"/>
  <c r="V51" i="11"/>
  <c r="U51" i="11"/>
  <c r="S51" i="11"/>
  <c r="R51" i="11"/>
  <c r="Q51" i="11"/>
  <c r="V50" i="11"/>
  <c r="U50" i="11"/>
  <c r="T50" i="11"/>
  <c r="S50" i="11"/>
  <c r="R50" i="11"/>
  <c r="Q50" i="11"/>
  <c r="V49" i="11"/>
  <c r="U49" i="11"/>
  <c r="T49" i="11"/>
  <c r="S49" i="11"/>
  <c r="R49" i="11"/>
  <c r="Q49" i="11"/>
  <c r="V48" i="11"/>
  <c r="U48" i="11"/>
  <c r="S48" i="11"/>
  <c r="R48" i="11"/>
  <c r="Q48" i="11"/>
  <c r="V47" i="11"/>
  <c r="U47" i="11"/>
  <c r="T47" i="11"/>
  <c r="S47" i="11"/>
  <c r="R47" i="11"/>
  <c r="Q47" i="11"/>
  <c r="V46" i="11"/>
  <c r="U46" i="11"/>
  <c r="T46" i="11"/>
  <c r="S46" i="11"/>
  <c r="R46" i="11"/>
  <c r="Q46" i="11"/>
  <c r="V45" i="11"/>
  <c r="U45" i="11"/>
  <c r="T45" i="11"/>
  <c r="S45" i="11"/>
  <c r="R45" i="11"/>
  <c r="Q45" i="11"/>
  <c r="V44" i="11"/>
  <c r="U44" i="11"/>
  <c r="T44" i="11"/>
  <c r="S44" i="11"/>
  <c r="R44" i="11"/>
  <c r="Q44" i="11"/>
  <c r="V43" i="11"/>
  <c r="U43" i="11"/>
  <c r="S43" i="11"/>
  <c r="R43" i="11"/>
  <c r="Q43" i="11"/>
  <c r="V42" i="11"/>
  <c r="U42" i="11"/>
  <c r="T42" i="11"/>
  <c r="S42" i="11"/>
  <c r="R42" i="11"/>
  <c r="Q42" i="11"/>
  <c r="V41" i="11"/>
  <c r="U41" i="11"/>
  <c r="T41" i="11"/>
  <c r="S41" i="11"/>
  <c r="R41" i="11"/>
  <c r="Q41" i="11"/>
  <c r="V40" i="11"/>
  <c r="U40" i="11"/>
  <c r="S40" i="11"/>
  <c r="R40" i="11"/>
  <c r="Q40" i="11"/>
  <c r="V39" i="11"/>
  <c r="U39" i="11"/>
  <c r="T39" i="11"/>
  <c r="S39" i="11"/>
  <c r="R39" i="11"/>
  <c r="Q39" i="11"/>
  <c r="V38" i="11"/>
  <c r="U38" i="11"/>
  <c r="T38" i="11"/>
  <c r="S38" i="11"/>
  <c r="R38" i="11"/>
  <c r="Q38" i="11"/>
  <c r="V37" i="11"/>
  <c r="U37" i="11"/>
  <c r="S37" i="11"/>
  <c r="R37" i="11"/>
  <c r="Q37" i="11"/>
  <c r="V36" i="11"/>
  <c r="U36" i="11"/>
  <c r="T36" i="11"/>
  <c r="S36" i="11"/>
  <c r="R36" i="11"/>
  <c r="Q36" i="11"/>
  <c r="V35" i="11"/>
  <c r="U35" i="11"/>
  <c r="T35" i="11"/>
  <c r="S35" i="11"/>
  <c r="R35" i="11"/>
  <c r="Q35" i="11"/>
  <c r="V34" i="11"/>
  <c r="U34" i="11"/>
  <c r="S34" i="11"/>
  <c r="R34" i="11"/>
  <c r="Q34" i="11"/>
  <c r="V33" i="11"/>
  <c r="U33" i="11"/>
  <c r="T33" i="11"/>
  <c r="S33" i="11"/>
  <c r="R33" i="11"/>
  <c r="Q33" i="11"/>
  <c r="V32" i="11"/>
  <c r="U32" i="11"/>
  <c r="T32" i="11"/>
  <c r="S32" i="11"/>
  <c r="R32" i="11"/>
  <c r="Q32" i="11"/>
  <c r="V31" i="11"/>
  <c r="U31" i="11"/>
  <c r="S31" i="11"/>
  <c r="R31" i="11"/>
  <c r="Q31" i="11"/>
  <c r="V30" i="11"/>
  <c r="U30" i="11"/>
  <c r="T30" i="11"/>
  <c r="S30" i="11"/>
  <c r="R30" i="11"/>
  <c r="Q30" i="11"/>
  <c r="V29" i="11"/>
  <c r="U29" i="11"/>
  <c r="T29" i="11"/>
  <c r="S29" i="11"/>
  <c r="R29" i="11"/>
  <c r="Q29" i="11"/>
  <c r="V28" i="11"/>
  <c r="U28" i="11"/>
  <c r="S28" i="11"/>
  <c r="R28" i="11"/>
  <c r="Q28" i="11"/>
  <c r="V27" i="11"/>
  <c r="U27" i="11"/>
  <c r="T27" i="11"/>
  <c r="S27" i="11"/>
  <c r="R27" i="11"/>
  <c r="Q27" i="11"/>
  <c r="V26" i="11"/>
  <c r="U26" i="11"/>
  <c r="T26" i="11"/>
  <c r="S26" i="11"/>
  <c r="R26" i="11"/>
  <c r="Q26" i="11"/>
  <c r="V25" i="11"/>
  <c r="U25" i="11"/>
  <c r="S25" i="11"/>
  <c r="R25" i="11"/>
  <c r="Q25" i="11"/>
  <c r="V24" i="11"/>
  <c r="U24" i="11"/>
  <c r="T24" i="11"/>
  <c r="S24" i="11"/>
  <c r="R24" i="11"/>
  <c r="Q24" i="11"/>
  <c r="V23" i="11"/>
  <c r="U23" i="11"/>
  <c r="T23" i="11"/>
  <c r="S23" i="11"/>
  <c r="R23" i="11"/>
  <c r="Q23" i="11"/>
  <c r="V22" i="11"/>
  <c r="U22" i="11"/>
  <c r="S22" i="11"/>
  <c r="R22" i="11"/>
  <c r="Q22" i="11"/>
  <c r="V21" i="11"/>
  <c r="U21" i="11"/>
  <c r="T21" i="11"/>
  <c r="S21" i="11"/>
  <c r="R21" i="11"/>
  <c r="Q21" i="11"/>
  <c r="V20" i="11"/>
  <c r="U20" i="11"/>
  <c r="T20" i="11"/>
  <c r="S20" i="11"/>
  <c r="R20" i="11"/>
  <c r="Q20" i="11"/>
  <c r="V19" i="11"/>
  <c r="U19" i="11"/>
  <c r="S19" i="11"/>
  <c r="R19" i="11"/>
  <c r="Q19" i="11"/>
  <c r="V18" i="11"/>
  <c r="U18" i="11"/>
  <c r="T18" i="11"/>
  <c r="S18" i="11"/>
  <c r="R18" i="11"/>
  <c r="Q18" i="11"/>
  <c r="V17" i="11"/>
  <c r="U17" i="11"/>
  <c r="T17" i="11"/>
  <c r="S17" i="11"/>
  <c r="R17" i="11"/>
  <c r="Q17" i="11"/>
  <c r="V16" i="11"/>
  <c r="U16" i="11"/>
  <c r="S16" i="11"/>
  <c r="R16" i="11"/>
  <c r="Q16" i="11"/>
  <c r="V15" i="11"/>
  <c r="U15" i="11"/>
  <c r="T15" i="11"/>
  <c r="S15" i="11"/>
  <c r="R15" i="11"/>
  <c r="Q15" i="11"/>
  <c r="V14" i="11"/>
  <c r="U14" i="11"/>
  <c r="T14" i="11"/>
  <c r="S14" i="11"/>
  <c r="R14" i="11"/>
  <c r="Q14" i="11"/>
  <c r="V13" i="11"/>
  <c r="U13" i="11"/>
  <c r="S13" i="11"/>
  <c r="R13" i="11"/>
  <c r="Q13" i="11"/>
  <c r="V12" i="11"/>
  <c r="U12" i="11"/>
  <c r="T12" i="11"/>
  <c r="S12" i="11"/>
  <c r="R12" i="11"/>
  <c r="Q12" i="11"/>
  <c r="V11" i="11"/>
  <c r="U11" i="11"/>
  <c r="T11" i="11"/>
  <c r="S11" i="11"/>
  <c r="R11" i="11"/>
  <c r="Q11" i="11"/>
  <c r="V10" i="11"/>
  <c r="U10" i="11"/>
  <c r="S10" i="11"/>
  <c r="R10" i="11"/>
  <c r="Q10" i="11"/>
  <c r="V9" i="11"/>
  <c r="U9" i="11"/>
  <c r="T9" i="11"/>
  <c r="S9" i="11"/>
  <c r="R9" i="11"/>
  <c r="Q9" i="11"/>
  <c r="V8" i="11"/>
  <c r="U8" i="11"/>
  <c r="T8" i="11"/>
  <c r="S8" i="11"/>
  <c r="R8" i="11"/>
  <c r="Q8" i="11"/>
  <c r="K28" i="16"/>
  <c r="K18" i="15" l="1"/>
  <c r="J31" i="16" l="1"/>
  <c r="J6" i="15" s="1"/>
  <c r="I31" i="16"/>
  <c r="I6" i="15" s="1"/>
  <c r="H31" i="16"/>
  <c r="H6" i="15" s="1"/>
  <c r="G31" i="16"/>
  <c r="G6" i="15" s="1"/>
  <c r="F31" i="16"/>
  <c r="F6" i="15" s="1"/>
  <c r="E31" i="16"/>
  <c r="E6" i="15" s="1"/>
  <c r="D31" i="16"/>
  <c r="D6" i="15" s="1"/>
  <c r="K27" i="16"/>
  <c r="K26" i="16"/>
  <c r="K25" i="16"/>
  <c r="K24" i="16"/>
  <c r="K23" i="16"/>
  <c r="K22" i="16"/>
  <c r="K21" i="16"/>
  <c r="K20" i="16"/>
  <c r="K19" i="16"/>
  <c r="K18" i="16"/>
  <c r="K17" i="16"/>
  <c r="K16" i="16"/>
  <c r="K15" i="16"/>
  <c r="K14" i="16"/>
  <c r="K13" i="16"/>
  <c r="K12" i="16"/>
  <c r="K11" i="16"/>
  <c r="K10" i="16"/>
  <c r="K9" i="16"/>
  <c r="K8" i="16"/>
  <c r="K7" i="16"/>
  <c r="K6" i="16"/>
  <c r="K5" i="16"/>
  <c r="L5" i="16" s="1"/>
  <c r="L6" i="16" s="1"/>
  <c r="L7" i="16" s="1"/>
  <c r="L8" i="16" l="1"/>
  <c r="L9" i="16" s="1"/>
  <c r="L10" i="16" s="1"/>
  <c r="L11" i="16" s="1"/>
  <c r="L12" i="16" s="1"/>
  <c r="L13" i="16" s="1"/>
  <c r="L14" i="16" s="1"/>
  <c r="L15" i="16" s="1"/>
  <c r="L16" i="16" s="1"/>
  <c r="L17" i="16" s="1"/>
  <c r="L18" i="16" s="1"/>
  <c r="L19" i="16" s="1"/>
  <c r="L20" i="16" s="1"/>
  <c r="L21" i="16" s="1"/>
  <c r="L22" i="16" s="1"/>
  <c r="L23" i="16" s="1"/>
  <c r="L24" i="16" s="1"/>
  <c r="L25" i="16" s="1"/>
  <c r="L26" i="16" s="1"/>
  <c r="L27" i="16" s="1"/>
  <c r="L28" i="16" s="1"/>
  <c r="K31" i="16"/>
  <c r="G66" i="7"/>
  <c r="D246" i="9" l="1"/>
  <c r="M207" i="9"/>
  <c r="M208" i="9" s="1"/>
  <c r="I98" i="27" l="1"/>
  <c r="J98" i="27" s="1"/>
  <c r="I99" i="27"/>
  <c r="J99" i="27"/>
  <c r="I97" i="27"/>
  <c r="J97" i="27" s="1"/>
  <c r="L335" i="22"/>
  <c r="N335" i="22" s="1"/>
  <c r="L332" i="22"/>
  <c r="N332" i="22" s="1"/>
  <c r="L331" i="22"/>
  <c r="N331" i="22" s="1"/>
  <c r="L333" i="22"/>
  <c r="N333" i="22" s="1"/>
  <c r="L334" i="22"/>
  <c r="N334" i="22" s="1"/>
  <c r="L336" i="22"/>
  <c r="N336" i="22" s="1"/>
  <c r="L337" i="22"/>
  <c r="N337" i="22" s="1"/>
  <c r="L338" i="22"/>
  <c r="N338" i="22" s="1"/>
  <c r="L339" i="22"/>
  <c r="N339" i="22" s="1"/>
  <c r="L340" i="22"/>
  <c r="N340" i="22" s="1"/>
  <c r="L341" i="22"/>
  <c r="N341" i="22" s="1"/>
  <c r="L342" i="22"/>
  <c r="N342" i="22" s="1"/>
  <c r="L745" i="26" l="1"/>
  <c r="M745" i="26" s="1"/>
  <c r="N745" i="26"/>
  <c r="O745" i="26"/>
  <c r="P745" i="26"/>
  <c r="Q745" i="26"/>
  <c r="R745" i="26"/>
  <c r="L711" i="26"/>
  <c r="M711" i="26" s="1"/>
  <c r="N711" i="26"/>
  <c r="O711" i="26"/>
  <c r="P711" i="26"/>
  <c r="Q711" i="26"/>
  <c r="R711" i="26"/>
  <c r="L712" i="26"/>
  <c r="M712" i="26" s="1"/>
  <c r="N712" i="26"/>
  <c r="O712" i="26"/>
  <c r="P712" i="26"/>
  <c r="Q712" i="26"/>
  <c r="R712" i="26"/>
  <c r="I345" i="10" l="1"/>
  <c r="I354" i="10"/>
  <c r="I356" i="10"/>
  <c r="I357" i="10"/>
  <c r="G358" i="10"/>
  <c r="I358" i="10" s="1"/>
  <c r="D357" i="10"/>
  <c r="D355" i="10"/>
  <c r="I355" i="10" s="1"/>
  <c r="D353" i="10"/>
  <c r="I353" i="10" s="1"/>
  <c r="D352" i="10"/>
  <c r="I352" i="10" s="1"/>
  <c r="G351" i="10"/>
  <c r="I351" i="10" s="1"/>
  <c r="D350" i="10"/>
  <c r="I350" i="10" s="1"/>
  <c r="G349" i="10"/>
  <c r="I349" i="10" s="1"/>
  <c r="D348" i="10"/>
  <c r="I348" i="10" s="1"/>
  <c r="D347" i="10"/>
  <c r="I347" i="10" s="1"/>
  <c r="D346" i="10"/>
  <c r="I346" i="10" s="1"/>
  <c r="D344" i="10"/>
  <c r="I344" i="10" s="1"/>
  <c r="I359" i="10" l="1"/>
  <c r="I4" i="27"/>
  <c r="J4" i="27" s="1"/>
  <c r="I5" i="27"/>
  <c r="J5" i="27" s="1"/>
  <c r="I6" i="27"/>
  <c r="J6" i="27" s="1"/>
  <c r="I7" i="27"/>
  <c r="J7" i="27" s="1"/>
  <c r="I8" i="27"/>
  <c r="J8" i="27" s="1"/>
  <c r="I9" i="27"/>
  <c r="J9" i="27" s="1"/>
  <c r="I10" i="27"/>
  <c r="I11" i="27"/>
  <c r="I12" i="27"/>
  <c r="I13" i="27"/>
  <c r="I14" i="27"/>
  <c r="I15" i="27"/>
  <c r="I16" i="27"/>
  <c r="J16" i="27" s="1"/>
  <c r="I17" i="27"/>
  <c r="J17" i="27" s="1"/>
  <c r="I18" i="27"/>
  <c r="J18" i="27" s="1"/>
  <c r="I19" i="27"/>
  <c r="I20" i="27"/>
  <c r="I21" i="27"/>
  <c r="J21" i="27" s="1"/>
  <c r="I22" i="27"/>
  <c r="J22" i="27" s="1"/>
  <c r="I23" i="27"/>
  <c r="J23" i="27" s="1"/>
  <c r="I24" i="27"/>
  <c r="J24" i="27" s="1"/>
  <c r="I25" i="27"/>
  <c r="J25" i="27" s="1"/>
  <c r="I26" i="27"/>
  <c r="J26" i="27" s="1"/>
  <c r="I27" i="27"/>
  <c r="I28" i="27"/>
  <c r="I29" i="27"/>
  <c r="I30" i="27"/>
  <c r="J30" i="27" s="1"/>
  <c r="I31" i="27"/>
  <c r="J31" i="27" s="1"/>
  <c r="I32" i="27"/>
  <c r="J32" i="27" s="1"/>
  <c r="I33" i="27"/>
  <c r="J33" i="27" s="1"/>
  <c r="I34" i="27"/>
  <c r="J34" i="27" s="1"/>
  <c r="I35" i="27"/>
  <c r="I36" i="27"/>
  <c r="I37" i="27"/>
  <c r="I38" i="27"/>
  <c r="J38" i="27" s="1"/>
  <c r="I39" i="27"/>
  <c r="I40" i="27"/>
  <c r="J40" i="27" s="1"/>
  <c r="I41" i="27"/>
  <c r="J41" i="27" s="1"/>
  <c r="I42" i="27"/>
  <c r="J42" i="27" s="1"/>
  <c r="I43" i="27"/>
  <c r="I44" i="27"/>
  <c r="I45" i="27"/>
  <c r="I46" i="27"/>
  <c r="J46" i="27" s="1"/>
  <c r="I47" i="27"/>
  <c r="I48" i="27"/>
  <c r="J48" i="27" s="1"/>
  <c r="I49" i="27"/>
  <c r="J49" i="27" s="1"/>
  <c r="I50" i="27"/>
  <c r="J50" i="27" s="1"/>
  <c r="I51" i="27"/>
  <c r="I52" i="27"/>
  <c r="I53" i="27"/>
  <c r="J53" i="27" s="1"/>
  <c r="I54" i="27"/>
  <c r="J54" i="27" s="1"/>
  <c r="I55" i="27"/>
  <c r="J55" i="27" s="1"/>
  <c r="I56" i="27"/>
  <c r="J56" i="27" s="1"/>
  <c r="I57" i="27"/>
  <c r="J57" i="27" s="1"/>
  <c r="I58" i="27"/>
  <c r="J58" i="27" s="1"/>
  <c r="I59" i="27"/>
  <c r="I60" i="27"/>
  <c r="I61" i="27"/>
  <c r="I62" i="27"/>
  <c r="I63" i="27"/>
  <c r="J63" i="27" s="1"/>
  <c r="I64" i="27"/>
  <c r="J64" i="27" s="1"/>
  <c r="I65" i="27"/>
  <c r="J65" i="27" s="1"/>
  <c r="I66" i="27"/>
  <c r="J66" i="27" s="1"/>
  <c r="I67" i="27"/>
  <c r="I68" i="27"/>
  <c r="I69" i="27"/>
  <c r="I70" i="27"/>
  <c r="I71" i="27"/>
  <c r="I72" i="27"/>
  <c r="J72" i="27" s="1"/>
  <c r="I73" i="27"/>
  <c r="J73" i="27" s="1"/>
  <c r="I74" i="27"/>
  <c r="J74" i="27" s="1"/>
  <c r="I75" i="27"/>
  <c r="I76" i="27"/>
  <c r="I77" i="27"/>
  <c r="J77" i="27" s="1"/>
  <c r="I78" i="27"/>
  <c r="J78" i="27" s="1"/>
  <c r="I79" i="27"/>
  <c r="I80" i="27"/>
  <c r="J80" i="27" s="1"/>
  <c r="I81" i="27"/>
  <c r="J81" i="27" s="1"/>
  <c r="I82" i="27"/>
  <c r="J82" i="27" s="1"/>
  <c r="I83" i="27"/>
  <c r="I84" i="27"/>
  <c r="I85" i="27"/>
  <c r="J85" i="27" s="1"/>
  <c r="I86" i="27"/>
  <c r="J86" i="27" s="1"/>
  <c r="I87" i="27"/>
  <c r="J87" i="27" s="1"/>
  <c r="I88" i="27"/>
  <c r="J88" i="27" s="1"/>
  <c r="I89" i="27"/>
  <c r="J89" i="27" s="1"/>
  <c r="I90" i="27"/>
  <c r="J90" i="27" s="1"/>
  <c r="I91" i="27"/>
  <c r="I92" i="27"/>
  <c r="I93" i="27"/>
  <c r="I94" i="27"/>
  <c r="J94" i="27" s="1"/>
  <c r="I95" i="27"/>
  <c r="J95" i="27" s="1"/>
  <c r="I96" i="27"/>
  <c r="J96" i="27" s="1"/>
  <c r="I3" i="27"/>
  <c r="J3" i="27" s="1"/>
  <c r="J10" i="27"/>
  <c r="J11" i="27"/>
  <c r="J12" i="27"/>
  <c r="J13" i="27"/>
  <c r="J14" i="27"/>
  <c r="J15" i="27"/>
  <c r="J19" i="27"/>
  <c r="J20" i="27"/>
  <c r="J27" i="27"/>
  <c r="J28" i="27"/>
  <c r="J29" i="27"/>
  <c r="J35" i="27"/>
  <c r="J36" i="27"/>
  <c r="J37" i="27"/>
  <c r="J39" i="27"/>
  <c r="J43" i="27"/>
  <c r="J44" i="27"/>
  <c r="J45" i="27"/>
  <c r="J47" i="27"/>
  <c r="J51" i="27"/>
  <c r="J52" i="27"/>
  <c r="J59" i="27"/>
  <c r="J60" i="27"/>
  <c r="J61" i="27"/>
  <c r="J62" i="27"/>
  <c r="J67" i="27"/>
  <c r="J68" i="27"/>
  <c r="J69" i="27"/>
  <c r="J70" i="27"/>
  <c r="J71" i="27"/>
  <c r="J75" i="27"/>
  <c r="J76" i="27"/>
  <c r="J79" i="27"/>
  <c r="J83" i="27"/>
  <c r="J84" i="27"/>
  <c r="J91" i="27"/>
  <c r="J92" i="27"/>
  <c r="J93" i="27"/>
  <c r="L317" i="22"/>
  <c r="N317" i="22" s="1"/>
  <c r="L318" i="22"/>
  <c r="N318" i="22" s="1"/>
  <c r="L319" i="22"/>
  <c r="N319" i="22" s="1"/>
  <c r="L320" i="22"/>
  <c r="N320" i="22" s="1"/>
  <c r="L321" i="22"/>
  <c r="N321" i="22" s="1"/>
  <c r="L322" i="22"/>
  <c r="N322" i="22" s="1"/>
  <c r="L323" i="22"/>
  <c r="N323" i="22" s="1"/>
  <c r="L324" i="22"/>
  <c r="N324" i="22" s="1"/>
  <c r="L325" i="22"/>
  <c r="N325" i="22" s="1"/>
  <c r="L326" i="22"/>
  <c r="N326" i="22" s="1"/>
  <c r="L327" i="22"/>
  <c r="N327" i="22" s="1"/>
  <c r="L328" i="22"/>
  <c r="N328" i="22" s="1"/>
  <c r="L329" i="22"/>
  <c r="N329" i="22" s="1"/>
  <c r="L330" i="22"/>
  <c r="N330" i="22" s="1"/>
  <c r="L316" i="22"/>
  <c r="N316" i="22" s="1"/>
  <c r="F102" i="27"/>
  <c r="I19" i="17"/>
  <c r="K19" i="17"/>
  <c r="L19" i="17"/>
  <c r="M19" i="17"/>
  <c r="L313" i="22"/>
  <c r="N313" i="22" s="1"/>
  <c r="L314" i="22"/>
  <c r="N314" i="22" s="1"/>
  <c r="L315" i="22"/>
  <c r="N315" i="22" s="1"/>
  <c r="L312" i="22"/>
  <c r="N312" i="22" s="1"/>
  <c r="L311" i="22"/>
  <c r="N311" i="22" s="1"/>
  <c r="L307" i="22"/>
  <c r="N307" i="22" s="1"/>
  <c r="L310" i="22"/>
  <c r="N310" i="22" s="1"/>
  <c r="I17" i="17"/>
  <c r="J17" i="17"/>
  <c r="K17" i="17"/>
  <c r="L17" i="17"/>
  <c r="D256" i="9"/>
  <c r="I256" i="9" s="1"/>
  <c r="G259" i="9"/>
  <c r="I259" i="9" s="1"/>
  <c r="D258" i="9"/>
  <c r="I258" i="9" s="1"/>
  <c r="I257" i="9"/>
  <c r="I255" i="9"/>
  <c r="D254" i="9"/>
  <c r="I254" i="9" s="1"/>
  <c r="D253" i="9"/>
  <c r="I253" i="9" s="1"/>
  <c r="G252" i="9"/>
  <c r="I252" i="9" s="1"/>
  <c r="D251" i="9"/>
  <c r="I251" i="9" s="1"/>
  <c r="G250" i="9"/>
  <c r="I250" i="9" s="1"/>
  <c r="D249" i="9"/>
  <c r="I249" i="9" s="1"/>
  <c r="D248" i="9"/>
  <c r="I248" i="9" s="1"/>
  <c r="D247" i="9"/>
  <c r="I247" i="9" s="1"/>
  <c r="I246" i="9"/>
  <c r="D245" i="9"/>
  <c r="I245" i="9" s="1"/>
  <c r="H365" i="22"/>
  <c r="I365" i="22"/>
  <c r="J365" i="22"/>
  <c r="K365" i="22"/>
  <c r="D96" i="18"/>
  <c r="D98" i="18" s="1"/>
  <c r="F96" i="18"/>
  <c r="F98" i="18" s="1"/>
  <c r="G96" i="18"/>
  <c r="G98" i="18" s="1"/>
  <c r="H96" i="18"/>
  <c r="H98" i="18" s="1"/>
  <c r="I96" i="18"/>
  <c r="I98" i="18" s="1"/>
  <c r="J96" i="18"/>
  <c r="J98" i="18" s="1"/>
  <c r="K96" i="18"/>
  <c r="K98" i="18" s="1"/>
  <c r="L96" i="18"/>
  <c r="L98" i="18" s="1"/>
  <c r="M96" i="18"/>
  <c r="M98" i="18" s="1"/>
  <c r="N96" i="18"/>
  <c r="N98" i="18" s="1"/>
  <c r="O96" i="18"/>
  <c r="O98" i="18" s="1"/>
  <c r="P96" i="18"/>
  <c r="P98" i="18" s="1"/>
  <c r="Q96" i="18"/>
  <c r="Q98" i="18" s="1"/>
  <c r="R96" i="18"/>
  <c r="R98" i="18" s="1"/>
  <c r="S96" i="18"/>
  <c r="S98" i="18" s="1"/>
  <c r="S99" i="18" s="1"/>
  <c r="L293" i="22"/>
  <c r="N293" i="22" s="1"/>
  <c r="L294" i="22"/>
  <c r="N294" i="22" s="1"/>
  <c r="L295" i="22"/>
  <c r="N295" i="22" s="1"/>
  <c r="L296" i="22"/>
  <c r="N296" i="22" s="1"/>
  <c r="L297" i="22"/>
  <c r="N297" i="22" s="1"/>
  <c r="L298" i="22"/>
  <c r="N298" i="22" s="1"/>
  <c r="L299" i="22"/>
  <c r="N299" i="22" s="1"/>
  <c r="L300" i="22"/>
  <c r="N300" i="22" s="1"/>
  <c r="L301" i="22"/>
  <c r="N301" i="22" s="1"/>
  <c r="L302" i="22"/>
  <c r="N302" i="22" s="1"/>
  <c r="L303" i="22"/>
  <c r="N303" i="22" s="1"/>
  <c r="L304" i="22"/>
  <c r="N304" i="22" s="1"/>
  <c r="L305" i="22"/>
  <c r="N305" i="22" s="1"/>
  <c r="L306" i="22"/>
  <c r="N306" i="22" s="1"/>
  <c r="L308" i="22"/>
  <c r="N308" i="22" s="1"/>
  <c r="L309" i="22"/>
  <c r="N309" i="22" s="1"/>
  <c r="J102" i="27" l="1"/>
  <c r="I260" i="9"/>
  <c r="I99" i="18"/>
  <c r="N99" i="18"/>
  <c r="F17" i="17" l="1"/>
  <c r="I1174" i="26"/>
  <c r="G1172" i="26" l="1"/>
  <c r="G1169" i="26"/>
  <c r="I1173" i="26"/>
  <c r="I1178" i="26" l="1"/>
  <c r="K109" i="7"/>
  <c r="R1055" i="26" l="1"/>
  <c r="Q1055" i="26"/>
  <c r="P1055" i="26"/>
  <c r="O1055" i="26"/>
  <c r="M1055" i="26"/>
  <c r="L1055" i="26"/>
  <c r="G1055" i="26"/>
  <c r="N1055" i="26" s="1"/>
  <c r="R1047" i="26"/>
  <c r="Q1047" i="26"/>
  <c r="P1047" i="26"/>
  <c r="O1047" i="26"/>
  <c r="M1047" i="26"/>
  <c r="L1047" i="26"/>
  <c r="G1047" i="26"/>
  <c r="N1047" i="26" s="1"/>
  <c r="R941" i="26"/>
  <c r="Q941" i="26"/>
  <c r="P941" i="26"/>
  <c r="O941" i="26"/>
  <c r="M941" i="26"/>
  <c r="L941" i="26"/>
  <c r="G941" i="26"/>
  <c r="G773" i="26"/>
  <c r="R773" i="26"/>
  <c r="Q773" i="26"/>
  <c r="P773" i="26"/>
  <c r="O773" i="26"/>
  <c r="M773" i="26"/>
  <c r="L773" i="26"/>
  <c r="G633" i="26"/>
  <c r="L633" i="26"/>
  <c r="O633" i="26"/>
  <c r="P633" i="26"/>
  <c r="Q633" i="26"/>
  <c r="R633" i="26"/>
  <c r="R1150" i="26"/>
  <c r="Q1150" i="26"/>
  <c r="P1150" i="26"/>
  <c r="O1150" i="26"/>
  <c r="N1150" i="26"/>
  <c r="L1150" i="26"/>
  <c r="M1150" i="26" s="1"/>
  <c r="R1149" i="26"/>
  <c r="Q1149" i="26"/>
  <c r="P1149" i="26"/>
  <c r="O1149" i="26"/>
  <c r="N1149" i="26"/>
  <c r="L1149" i="26"/>
  <c r="M1149" i="26" s="1"/>
  <c r="R1148" i="26"/>
  <c r="Q1148" i="26"/>
  <c r="P1148" i="26"/>
  <c r="O1148" i="26"/>
  <c r="M1148" i="26"/>
  <c r="L1148" i="26"/>
  <c r="N1148" i="26" s="1"/>
  <c r="R1147" i="26"/>
  <c r="Q1147" i="26"/>
  <c r="P1147" i="26"/>
  <c r="O1147" i="26"/>
  <c r="N1147" i="26"/>
  <c r="M1147" i="26"/>
  <c r="L1147" i="26"/>
  <c r="R1145" i="26"/>
  <c r="Q1145" i="26"/>
  <c r="P1145" i="26"/>
  <c r="O1145" i="26"/>
  <c r="N1145" i="26"/>
  <c r="L1145" i="26"/>
  <c r="M1145" i="26" s="1"/>
  <c r="R1144" i="26"/>
  <c r="Q1144" i="26"/>
  <c r="P1144" i="26"/>
  <c r="O1144" i="26"/>
  <c r="N1144" i="26"/>
  <c r="L1144" i="26"/>
  <c r="M1144" i="26" s="1"/>
  <c r="R1143" i="26"/>
  <c r="Q1143" i="26"/>
  <c r="P1143" i="26"/>
  <c r="O1143" i="26"/>
  <c r="M1143" i="26"/>
  <c r="L1143" i="26"/>
  <c r="N1143" i="26" s="1"/>
  <c r="R1142" i="26"/>
  <c r="Q1142" i="26"/>
  <c r="P1142" i="26"/>
  <c r="O1142" i="26"/>
  <c r="N1142" i="26"/>
  <c r="M1142" i="26"/>
  <c r="L1142" i="26"/>
  <c r="R1141" i="26"/>
  <c r="Q1141" i="26"/>
  <c r="P1141" i="26"/>
  <c r="O1141" i="26"/>
  <c r="N1141" i="26"/>
  <c r="L1141" i="26"/>
  <c r="M1141" i="26" s="1"/>
  <c r="R1140" i="26"/>
  <c r="Q1140" i="26"/>
  <c r="P1140" i="26"/>
  <c r="O1140" i="26"/>
  <c r="N1140" i="26"/>
  <c r="L1140" i="26"/>
  <c r="M1140" i="26" s="1"/>
  <c r="R1139" i="26"/>
  <c r="Q1139" i="26"/>
  <c r="P1139" i="26"/>
  <c r="O1139" i="26"/>
  <c r="M1139" i="26"/>
  <c r="L1139" i="26"/>
  <c r="N1139" i="26" s="1"/>
  <c r="R1138" i="26"/>
  <c r="Q1138" i="26"/>
  <c r="P1138" i="26"/>
  <c r="O1138" i="26"/>
  <c r="N1138" i="26"/>
  <c r="M1138" i="26"/>
  <c r="L1138" i="26"/>
  <c r="R1136" i="26"/>
  <c r="Q1136" i="26"/>
  <c r="P1136" i="26"/>
  <c r="O1136" i="26"/>
  <c r="N1136" i="26"/>
  <c r="L1136" i="26"/>
  <c r="M1136" i="26" s="1"/>
  <c r="R1135" i="26"/>
  <c r="Q1135" i="26"/>
  <c r="P1135" i="26"/>
  <c r="O1135" i="26"/>
  <c r="N1135" i="26"/>
  <c r="L1135" i="26"/>
  <c r="M1135" i="26" s="1"/>
  <c r="R1134" i="26"/>
  <c r="Q1134" i="26"/>
  <c r="P1134" i="26"/>
  <c r="O1134" i="26"/>
  <c r="M1134" i="26"/>
  <c r="L1134" i="26"/>
  <c r="N1134" i="26" s="1"/>
  <c r="R1133" i="26"/>
  <c r="Q1133" i="26"/>
  <c r="P1133" i="26"/>
  <c r="O1133" i="26"/>
  <c r="N1133" i="26"/>
  <c r="M1133" i="26"/>
  <c r="L1133" i="26"/>
  <c r="R1159" i="26"/>
  <c r="Q1159" i="26"/>
  <c r="P1159" i="26"/>
  <c r="O1159" i="26"/>
  <c r="N1159" i="26"/>
  <c r="L1159" i="26"/>
  <c r="M1159" i="26" s="1"/>
  <c r="R1158" i="26"/>
  <c r="Q1158" i="26"/>
  <c r="P1158" i="26"/>
  <c r="O1158" i="26"/>
  <c r="N1158" i="26"/>
  <c r="L1158" i="26"/>
  <c r="M1158" i="26" s="1"/>
  <c r="R1157" i="26"/>
  <c r="Q1157" i="26"/>
  <c r="P1157" i="26"/>
  <c r="O1157" i="26"/>
  <c r="M1157" i="26"/>
  <c r="L1157" i="26"/>
  <c r="N1157" i="26" s="1"/>
  <c r="R1156" i="26"/>
  <c r="Q1156" i="26"/>
  <c r="P1156" i="26"/>
  <c r="O1156" i="26"/>
  <c r="N1156" i="26"/>
  <c r="M1156" i="26"/>
  <c r="L1156" i="26"/>
  <c r="R1155" i="26"/>
  <c r="Q1155" i="26"/>
  <c r="P1155" i="26"/>
  <c r="O1155" i="26"/>
  <c r="N1155" i="26"/>
  <c r="L1155" i="26"/>
  <c r="M1155" i="26" s="1"/>
  <c r="R1154" i="26"/>
  <c r="Q1154" i="26"/>
  <c r="P1154" i="26"/>
  <c r="O1154" i="26"/>
  <c r="N1154" i="26"/>
  <c r="L1154" i="26"/>
  <c r="M1154" i="26" s="1"/>
  <c r="R1153" i="26"/>
  <c r="Q1153" i="26"/>
  <c r="P1153" i="26"/>
  <c r="O1153" i="26"/>
  <c r="L1153" i="26"/>
  <c r="M1153" i="26" s="1"/>
  <c r="R1152" i="26"/>
  <c r="Q1152" i="26"/>
  <c r="P1152" i="26"/>
  <c r="O1152" i="26"/>
  <c r="N1152" i="26"/>
  <c r="M1152" i="26"/>
  <c r="L1152" i="26"/>
  <c r="R1195" i="26"/>
  <c r="Q1195" i="26"/>
  <c r="P1195" i="26"/>
  <c r="N1195" i="26"/>
  <c r="M1195" i="26"/>
  <c r="L1195" i="26"/>
  <c r="O1195" i="26" s="1"/>
  <c r="R1194" i="26"/>
  <c r="Q1194" i="26"/>
  <c r="P1194" i="26"/>
  <c r="O1194" i="26"/>
  <c r="M1194" i="26"/>
  <c r="L1194" i="26"/>
  <c r="N1194" i="26" s="1"/>
  <c r="R1193" i="26"/>
  <c r="Q1193" i="26"/>
  <c r="P1193" i="26"/>
  <c r="O1193" i="26"/>
  <c r="M1193" i="26"/>
  <c r="L1193" i="26"/>
  <c r="N1193" i="26" s="1"/>
  <c r="R1192" i="26"/>
  <c r="Q1192" i="26"/>
  <c r="P1192" i="26"/>
  <c r="N1192" i="26"/>
  <c r="M1192" i="26"/>
  <c r="L1192" i="26"/>
  <c r="O1192" i="26" s="1"/>
  <c r="R1191" i="26"/>
  <c r="Q1191" i="26"/>
  <c r="P1191" i="26"/>
  <c r="O1191" i="26"/>
  <c r="N1191" i="26"/>
  <c r="M1191" i="26"/>
  <c r="R1190" i="26"/>
  <c r="Q1190" i="26"/>
  <c r="P1190" i="26"/>
  <c r="O1190" i="26"/>
  <c r="N1190" i="26"/>
  <c r="L1190" i="26"/>
  <c r="M1190" i="26" s="1"/>
  <c r="R1189" i="26"/>
  <c r="Q1189" i="26"/>
  <c r="P1189" i="26"/>
  <c r="O1189" i="26"/>
  <c r="N1189" i="26"/>
  <c r="L1189" i="26"/>
  <c r="M1189" i="26" s="1"/>
  <c r="R1188" i="26"/>
  <c r="Q1188" i="26"/>
  <c r="P1188" i="26"/>
  <c r="N1188" i="26"/>
  <c r="M1188" i="26"/>
  <c r="L1188" i="26"/>
  <c r="O1188" i="26" s="1"/>
  <c r="R1187" i="26"/>
  <c r="Q1187" i="26"/>
  <c r="P1187" i="26"/>
  <c r="O1187" i="26"/>
  <c r="M1187" i="26"/>
  <c r="L1187" i="26"/>
  <c r="N1187" i="26" s="1"/>
  <c r="R1186" i="26"/>
  <c r="Q1186" i="26"/>
  <c r="P1186" i="26"/>
  <c r="N1186" i="26"/>
  <c r="M1186" i="26"/>
  <c r="L1186" i="26"/>
  <c r="G1186" i="26"/>
  <c r="R1185" i="26"/>
  <c r="Q1185" i="26"/>
  <c r="P1185" i="26"/>
  <c r="N1185" i="26"/>
  <c r="M1185" i="26"/>
  <c r="L1185" i="26"/>
  <c r="G1185" i="26"/>
  <c r="R1184" i="26"/>
  <c r="Q1184" i="26"/>
  <c r="P1184" i="26"/>
  <c r="O1184" i="26"/>
  <c r="M1184" i="26"/>
  <c r="L1184" i="26"/>
  <c r="N1184" i="26" s="1"/>
  <c r="R1183" i="26"/>
  <c r="Q1183" i="26"/>
  <c r="P1183" i="26"/>
  <c r="N1183" i="26"/>
  <c r="M1183" i="26"/>
  <c r="L1183" i="26"/>
  <c r="G1183" i="26"/>
  <c r="R1180" i="26"/>
  <c r="Q1180" i="26"/>
  <c r="P1180" i="26"/>
  <c r="O1180" i="26"/>
  <c r="M1180" i="26"/>
  <c r="I1180" i="26"/>
  <c r="L1180" i="26" s="1"/>
  <c r="G1180" i="26"/>
  <c r="R1179" i="26"/>
  <c r="P1179" i="26"/>
  <c r="O1179" i="26"/>
  <c r="N1179" i="26"/>
  <c r="M1179" i="26"/>
  <c r="I1179" i="26"/>
  <c r="L1179" i="26" s="1"/>
  <c r="Q1179" i="26" s="1"/>
  <c r="R1178" i="26"/>
  <c r="P1178" i="26"/>
  <c r="O1178" i="26"/>
  <c r="N1178" i="26"/>
  <c r="M1178" i="26"/>
  <c r="L1178" i="26"/>
  <c r="Q1178" i="26" s="1"/>
  <c r="R1177" i="26"/>
  <c r="Q1177" i="26"/>
  <c r="P1177" i="26"/>
  <c r="O1177" i="26"/>
  <c r="N1177" i="26"/>
  <c r="M1177" i="26"/>
  <c r="L1177" i="26"/>
  <c r="L1129" i="26"/>
  <c r="M1129" i="26" s="1"/>
  <c r="N1129" i="26"/>
  <c r="O1129" i="26"/>
  <c r="P1129" i="26"/>
  <c r="Q1129" i="26"/>
  <c r="R1129" i="26"/>
  <c r="L1121" i="26"/>
  <c r="N1121" i="26"/>
  <c r="O1121" i="26"/>
  <c r="P1121" i="26"/>
  <c r="Q1121" i="26"/>
  <c r="R1121" i="26"/>
  <c r="L1120" i="26"/>
  <c r="N1120" i="26"/>
  <c r="O1120" i="26"/>
  <c r="P1120" i="26"/>
  <c r="Q1120" i="26"/>
  <c r="R1120" i="26"/>
  <c r="I1115" i="26"/>
  <c r="L1115" i="26" s="1"/>
  <c r="N1115" i="26"/>
  <c r="O1115" i="26"/>
  <c r="P1115" i="26"/>
  <c r="Q1115" i="26"/>
  <c r="R1115" i="26"/>
  <c r="I1113" i="26"/>
  <c r="L1113" i="26" s="1"/>
  <c r="M1113" i="26" s="1"/>
  <c r="N1113" i="26"/>
  <c r="O1113" i="26"/>
  <c r="P1113" i="26"/>
  <c r="Q1113" i="26"/>
  <c r="R1113" i="26"/>
  <c r="N633" i="26" l="1"/>
  <c r="N773" i="26"/>
  <c r="N941" i="26"/>
  <c r="M633" i="26"/>
  <c r="O1183" i="26"/>
  <c r="O1186" i="26"/>
  <c r="N1153" i="26"/>
  <c r="N1180" i="26"/>
  <c r="O1185" i="26"/>
  <c r="M1121" i="26"/>
  <c r="M1120" i="26"/>
  <c r="M1115" i="26"/>
  <c r="R1205" i="26"/>
  <c r="Q1205" i="26"/>
  <c r="P1205" i="26"/>
  <c r="O1205" i="26"/>
  <c r="N1205" i="26"/>
  <c r="M1205" i="26"/>
  <c r="L1205" i="26"/>
  <c r="R1202" i="26"/>
  <c r="Q1202" i="26"/>
  <c r="P1202" i="26"/>
  <c r="O1202" i="26"/>
  <c r="M1202" i="26"/>
  <c r="L1202" i="26"/>
  <c r="N1202" i="26" s="1"/>
  <c r="R1201" i="26"/>
  <c r="Q1201" i="26"/>
  <c r="P1201" i="26"/>
  <c r="O1201" i="26"/>
  <c r="M1201" i="26"/>
  <c r="L1201" i="26"/>
  <c r="N1201" i="26" s="1"/>
  <c r="R1200" i="26"/>
  <c r="Q1200" i="26"/>
  <c r="P1200" i="26"/>
  <c r="O1200" i="26"/>
  <c r="M1200" i="26"/>
  <c r="L1200" i="26"/>
  <c r="N1200" i="26" s="1"/>
  <c r="R1199" i="26"/>
  <c r="Q1199" i="26"/>
  <c r="P1199" i="26"/>
  <c r="O1199" i="26"/>
  <c r="M1199" i="26"/>
  <c r="L1199" i="26"/>
  <c r="N1199" i="26" s="1"/>
  <c r="R1198" i="26"/>
  <c r="Q1198" i="26"/>
  <c r="P1198" i="26"/>
  <c r="O1198" i="26"/>
  <c r="M1198" i="26"/>
  <c r="L1198" i="26"/>
  <c r="N1198" i="26" s="1"/>
  <c r="R1197" i="26"/>
  <c r="Q1197" i="26"/>
  <c r="P1197" i="26"/>
  <c r="O1197" i="26"/>
  <c r="N1197" i="26"/>
  <c r="M1197" i="26"/>
  <c r="L1197" i="26"/>
  <c r="R1174" i="26"/>
  <c r="Q1174" i="26"/>
  <c r="P1174" i="26"/>
  <c r="O1174" i="26"/>
  <c r="N1174" i="26"/>
  <c r="L1174" i="26"/>
  <c r="M1174" i="26" s="1"/>
  <c r="R1173" i="26"/>
  <c r="Q1173" i="26"/>
  <c r="P1173" i="26"/>
  <c r="O1173" i="26"/>
  <c r="N1173" i="26"/>
  <c r="L1173" i="26"/>
  <c r="M1173" i="26" s="1"/>
  <c r="R1172" i="26"/>
  <c r="Q1172" i="26"/>
  <c r="P1172" i="26"/>
  <c r="O1172" i="26"/>
  <c r="M1172" i="26"/>
  <c r="L1172" i="26"/>
  <c r="N1172" i="26" s="1"/>
  <c r="R1171" i="26"/>
  <c r="Q1171" i="26"/>
  <c r="P1171" i="26"/>
  <c r="M1171" i="26"/>
  <c r="L1171" i="26"/>
  <c r="G1171" i="26"/>
  <c r="R1170" i="26"/>
  <c r="Q1170" i="26"/>
  <c r="P1170" i="26"/>
  <c r="M1170" i="26"/>
  <c r="L1170" i="26"/>
  <c r="G1170" i="26"/>
  <c r="N1170" i="26" s="1"/>
  <c r="R1169" i="26"/>
  <c r="Q1169" i="26"/>
  <c r="P1169" i="26"/>
  <c r="M1169" i="26"/>
  <c r="L1169" i="26"/>
  <c r="N1169" i="26" s="1"/>
  <c r="R1168" i="26"/>
  <c r="Q1168" i="26"/>
  <c r="P1168" i="26"/>
  <c r="N1168" i="26"/>
  <c r="M1168" i="26"/>
  <c r="L1168" i="26"/>
  <c r="G1168" i="26"/>
  <c r="R1165" i="26"/>
  <c r="Q1165" i="26"/>
  <c r="P1165" i="26"/>
  <c r="O1165" i="26"/>
  <c r="M1165" i="26"/>
  <c r="I1165" i="26"/>
  <c r="L1165" i="26" s="1"/>
  <c r="G1165" i="26"/>
  <c r="R1164" i="26"/>
  <c r="P1164" i="26"/>
  <c r="O1164" i="26"/>
  <c r="N1164" i="26"/>
  <c r="M1164" i="26"/>
  <c r="L1164" i="26"/>
  <c r="Q1164" i="26" s="1"/>
  <c r="R1163" i="26"/>
  <c r="P1163" i="26"/>
  <c r="O1163" i="26"/>
  <c r="N1163" i="26"/>
  <c r="M1163" i="26"/>
  <c r="L1163" i="26"/>
  <c r="Q1163" i="26" s="1"/>
  <c r="R1162" i="26"/>
  <c r="Q1162" i="26"/>
  <c r="P1162" i="26"/>
  <c r="O1162" i="26"/>
  <c r="N1162" i="26"/>
  <c r="M1162" i="26"/>
  <c r="L1162" i="26"/>
  <c r="R1160" i="26"/>
  <c r="Q1160" i="26"/>
  <c r="P1160" i="26"/>
  <c r="O1160" i="26"/>
  <c r="N1160" i="26"/>
  <c r="M1160" i="26"/>
  <c r="L1160" i="26"/>
  <c r="R1130" i="26"/>
  <c r="Q1130" i="26"/>
  <c r="P1130" i="26"/>
  <c r="O1130" i="26"/>
  <c r="N1130" i="26"/>
  <c r="L1130" i="26"/>
  <c r="R1128" i="26"/>
  <c r="Q1128" i="26"/>
  <c r="P1128" i="26"/>
  <c r="O1128" i="26"/>
  <c r="N1128" i="26"/>
  <c r="L1128" i="26"/>
  <c r="R1127" i="26"/>
  <c r="Q1127" i="26"/>
  <c r="P1127" i="26"/>
  <c r="O1127" i="26"/>
  <c r="N1127" i="26"/>
  <c r="M1127" i="26"/>
  <c r="L1127" i="26"/>
  <c r="R1125" i="26"/>
  <c r="Q1125" i="26"/>
  <c r="P1125" i="26"/>
  <c r="O1125" i="26"/>
  <c r="N1125" i="26"/>
  <c r="L1125" i="26"/>
  <c r="G1125" i="26"/>
  <c r="R1124" i="26"/>
  <c r="Q1124" i="26"/>
  <c r="P1124" i="26"/>
  <c r="O1124" i="26"/>
  <c r="N1124" i="26"/>
  <c r="I1124" i="26"/>
  <c r="L1124" i="26" s="1"/>
  <c r="G1124" i="26"/>
  <c r="R1123" i="26"/>
  <c r="Q1123" i="26"/>
  <c r="P1123" i="26"/>
  <c r="O1123" i="26"/>
  <c r="N1123" i="26"/>
  <c r="I1123" i="26"/>
  <c r="L1123" i="26" s="1"/>
  <c r="G1123" i="26"/>
  <c r="R1122" i="26"/>
  <c r="Q1122" i="26"/>
  <c r="P1122" i="26"/>
  <c r="O1122" i="26"/>
  <c r="N1122" i="26"/>
  <c r="L1122" i="26"/>
  <c r="G1122" i="26"/>
  <c r="R1119" i="26"/>
  <c r="Q1119" i="26"/>
  <c r="P1119" i="26"/>
  <c r="O1119" i="26"/>
  <c r="N1119" i="26"/>
  <c r="I1119" i="26"/>
  <c r="L1119" i="26" s="1"/>
  <c r="G1119" i="26"/>
  <c r="R1118" i="26"/>
  <c r="Q1118" i="26"/>
  <c r="P1118" i="26"/>
  <c r="O1118" i="26"/>
  <c r="N1118" i="26"/>
  <c r="I1118" i="26"/>
  <c r="L1118" i="26" s="1"/>
  <c r="G1118" i="26"/>
  <c r="R1117" i="26"/>
  <c r="Q1117" i="26"/>
  <c r="P1117" i="26"/>
  <c r="O1117" i="26"/>
  <c r="N1117" i="26"/>
  <c r="L1117" i="26"/>
  <c r="M1117" i="26" s="1"/>
  <c r="R1116" i="26"/>
  <c r="Q1116" i="26"/>
  <c r="P1116" i="26"/>
  <c r="O1116" i="26"/>
  <c r="N1116" i="26"/>
  <c r="I1116" i="26"/>
  <c r="L1116" i="26" s="1"/>
  <c r="R1114" i="26"/>
  <c r="Q1114" i="26"/>
  <c r="P1114" i="26"/>
  <c r="O1114" i="26"/>
  <c r="N1114" i="26"/>
  <c r="L1114" i="26"/>
  <c r="R1112" i="26"/>
  <c r="Q1112" i="26"/>
  <c r="P1112" i="26"/>
  <c r="O1112" i="26"/>
  <c r="N1112" i="26"/>
  <c r="L1112" i="26"/>
  <c r="R1111" i="26"/>
  <c r="Q1111" i="26"/>
  <c r="P1111" i="26"/>
  <c r="O1111" i="26"/>
  <c r="N1111" i="26"/>
  <c r="M1111" i="26"/>
  <c r="L1111" i="26"/>
  <c r="R1109" i="26"/>
  <c r="Q1109" i="26"/>
  <c r="P1109" i="26"/>
  <c r="O1109" i="26"/>
  <c r="N1109" i="26"/>
  <c r="L1109" i="26"/>
  <c r="G1109" i="26"/>
  <c r="R1108" i="26"/>
  <c r="Q1108" i="26"/>
  <c r="P1108" i="26"/>
  <c r="O1108" i="26"/>
  <c r="N1108" i="26"/>
  <c r="I1108" i="26"/>
  <c r="L1108" i="26" s="1"/>
  <c r="R1107" i="26"/>
  <c r="Q1107" i="26"/>
  <c r="P1107" i="26"/>
  <c r="O1107" i="26"/>
  <c r="N1107" i="26"/>
  <c r="I1107" i="26"/>
  <c r="L1107" i="26" s="1"/>
  <c r="M1107" i="26" s="1"/>
  <c r="R1106" i="26"/>
  <c r="Q1106" i="26"/>
  <c r="P1106" i="26"/>
  <c r="O1106" i="26"/>
  <c r="N1106" i="26"/>
  <c r="L1106" i="26"/>
  <c r="G1106" i="26"/>
  <c r="R1105" i="26"/>
  <c r="Q1105" i="26"/>
  <c r="P1105" i="26"/>
  <c r="O1105" i="26"/>
  <c r="N1105" i="26"/>
  <c r="I1105" i="26"/>
  <c r="L1105" i="26" s="1"/>
  <c r="G1105" i="26"/>
  <c r="R1104" i="26"/>
  <c r="Q1104" i="26"/>
  <c r="P1104" i="26"/>
  <c r="O1104" i="26"/>
  <c r="N1104" i="26"/>
  <c r="I1104" i="26"/>
  <c r="L1104" i="26" s="1"/>
  <c r="G1104" i="26"/>
  <c r="R1103" i="26"/>
  <c r="Q1103" i="26"/>
  <c r="P1103" i="26"/>
  <c r="O1103" i="26"/>
  <c r="N1103" i="26"/>
  <c r="I1103" i="26"/>
  <c r="L1103" i="26" s="1"/>
  <c r="G1103" i="26"/>
  <c r="R1102" i="26"/>
  <c r="Q1102" i="26"/>
  <c r="P1102" i="26"/>
  <c r="O1102" i="26"/>
  <c r="N1102" i="26"/>
  <c r="L1102" i="26"/>
  <c r="G1102" i="26"/>
  <c r="R1101" i="26"/>
  <c r="Q1101" i="26"/>
  <c r="P1101" i="26"/>
  <c r="O1101" i="26"/>
  <c r="N1101" i="26"/>
  <c r="I1101" i="26"/>
  <c r="L1101" i="26" s="1"/>
  <c r="G1101" i="26"/>
  <c r="R1100" i="26"/>
  <c r="Q1100" i="26"/>
  <c r="P1100" i="26"/>
  <c r="O1100" i="26"/>
  <c r="N1100" i="26"/>
  <c r="I1100" i="26"/>
  <c r="L1100" i="26" s="1"/>
  <c r="G1100" i="26"/>
  <c r="R1099" i="26"/>
  <c r="Q1099" i="26"/>
  <c r="P1099" i="26"/>
  <c r="O1099" i="26"/>
  <c r="N1099" i="26"/>
  <c r="L1099" i="26"/>
  <c r="G1099" i="26"/>
  <c r="R1098" i="26"/>
  <c r="Q1098" i="26"/>
  <c r="P1098" i="26"/>
  <c r="O1098" i="26"/>
  <c r="N1098" i="26"/>
  <c r="I1098" i="26"/>
  <c r="L1098" i="26" s="1"/>
  <c r="G1098" i="26"/>
  <c r="R1097" i="26"/>
  <c r="Q1097" i="26"/>
  <c r="P1097" i="26"/>
  <c r="O1097" i="26"/>
  <c r="N1097" i="26"/>
  <c r="I1097" i="26"/>
  <c r="L1097" i="26" s="1"/>
  <c r="G1097" i="26"/>
  <c r="R1096" i="26"/>
  <c r="Q1096" i="26"/>
  <c r="P1096" i="26"/>
  <c r="O1096" i="26"/>
  <c r="N1096" i="26"/>
  <c r="I1096" i="26"/>
  <c r="L1096" i="26" s="1"/>
  <c r="G1096" i="26"/>
  <c r="R1095" i="26"/>
  <c r="Q1095" i="26"/>
  <c r="P1095" i="26"/>
  <c r="O1095" i="26"/>
  <c r="N1095" i="26"/>
  <c r="M1095" i="26"/>
  <c r="L1095" i="26"/>
  <c r="R1093" i="26"/>
  <c r="Q1093" i="26"/>
  <c r="P1093" i="26"/>
  <c r="O1093" i="26"/>
  <c r="N1093" i="26"/>
  <c r="L1093" i="26"/>
  <c r="R1092" i="26"/>
  <c r="Q1092" i="26"/>
  <c r="P1092" i="26"/>
  <c r="O1092" i="26"/>
  <c r="N1092" i="26"/>
  <c r="I1092" i="26"/>
  <c r="L1092" i="26" s="1"/>
  <c r="M1092" i="26" s="1"/>
  <c r="R1091" i="26"/>
  <c r="Q1091" i="26"/>
  <c r="P1091" i="26"/>
  <c r="O1091" i="26"/>
  <c r="N1091" i="26"/>
  <c r="I1091" i="26"/>
  <c r="L1091" i="26" s="1"/>
  <c r="G1091" i="26"/>
  <c r="R1090" i="26"/>
  <c r="Q1090" i="26"/>
  <c r="P1090" i="26"/>
  <c r="O1090" i="26"/>
  <c r="N1090" i="26"/>
  <c r="L1090" i="26"/>
  <c r="R1089" i="26"/>
  <c r="Q1089" i="26"/>
  <c r="P1089" i="26"/>
  <c r="O1089" i="26"/>
  <c r="N1089" i="26"/>
  <c r="I1089" i="26"/>
  <c r="L1089" i="26" s="1"/>
  <c r="R1088" i="26"/>
  <c r="Q1088" i="26"/>
  <c r="P1088" i="26"/>
  <c r="O1088" i="26"/>
  <c r="N1088" i="26"/>
  <c r="I1088" i="26"/>
  <c r="L1088" i="26" s="1"/>
  <c r="G1088" i="26"/>
  <c r="R1087" i="26"/>
  <c r="Q1087" i="26"/>
  <c r="P1087" i="26"/>
  <c r="O1087" i="26"/>
  <c r="N1087" i="26"/>
  <c r="I1087" i="26"/>
  <c r="L1087" i="26" s="1"/>
  <c r="R1086" i="26"/>
  <c r="Q1086" i="26"/>
  <c r="P1086" i="26"/>
  <c r="O1086" i="26"/>
  <c r="N1086" i="26"/>
  <c r="I1086" i="26"/>
  <c r="L1086" i="26" s="1"/>
  <c r="R1085" i="26"/>
  <c r="Q1085" i="26"/>
  <c r="P1085" i="26"/>
  <c r="O1085" i="26"/>
  <c r="N1085" i="26"/>
  <c r="I1085" i="26"/>
  <c r="L1085" i="26" s="1"/>
  <c r="M1085" i="26" s="1"/>
  <c r="R1084" i="26"/>
  <c r="Q1084" i="26"/>
  <c r="P1084" i="26"/>
  <c r="O1084" i="26"/>
  <c r="N1084" i="26"/>
  <c r="I1084" i="26"/>
  <c r="L1084" i="26" s="1"/>
  <c r="G1084" i="26"/>
  <c r="R1083" i="26"/>
  <c r="Q1083" i="26"/>
  <c r="P1083" i="26"/>
  <c r="O1083" i="26"/>
  <c r="N1083" i="26"/>
  <c r="I1083" i="26"/>
  <c r="L1083" i="26" s="1"/>
  <c r="G1083" i="26"/>
  <c r="R1082" i="26"/>
  <c r="Q1082" i="26"/>
  <c r="P1082" i="26"/>
  <c r="O1082" i="26"/>
  <c r="N1082" i="26"/>
  <c r="M1082" i="26"/>
  <c r="L1082" i="26"/>
  <c r="R1079" i="26"/>
  <c r="Q1079" i="26"/>
  <c r="P1079" i="26"/>
  <c r="O1079" i="26"/>
  <c r="N1079" i="26"/>
  <c r="L1079" i="26"/>
  <c r="G1079" i="26"/>
  <c r="R1078" i="26"/>
  <c r="Q1078" i="26"/>
  <c r="P1078" i="26"/>
  <c r="O1078" i="26"/>
  <c r="N1078" i="26"/>
  <c r="I1078" i="26"/>
  <c r="L1078" i="26" s="1"/>
  <c r="G1078" i="26"/>
  <c r="R1077" i="26"/>
  <c r="Q1077" i="26"/>
  <c r="P1077" i="26"/>
  <c r="O1077" i="26"/>
  <c r="N1077" i="26"/>
  <c r="L1077" i="26"/>
  <c r="G1077" i="26"/>
  <c r="R1076" i="26"/>
  <c r="Q1076" i="26"/>
  <c r="P1076" i="26"/>
  <c r="O1076" i="26"/>
  <c r="N1076" i="26"/>
  <c r="I1076" i="26"/>
  <c r="L1076" i="26" s="1"/>
  <c r="G1076" i="26"/>
  <c r="R1075" i="26"/>
  <c r="Q1075" i="26"/>
  <c r="P1075" i="26"/>
  <c r="O1075" i="26"/>
  <c r="N1075" i="26"/>
  <c r="L1075" i="26"/>
  <c r="G1075" i="26"/>
  <c r="R1074" i="26"/>
  <c r="Q1074" i="26"/>
  <c r="P1074" i="26"/>
  <c r="O1074" i="26"/>
  <c r="N1074" i="26"/>
  <c r="L1074" i="26"/>
  <c r="G1074" i="26"/>
  <c r="R1073" i="26"/>
  <c r="Q1073" i="26"/>
  <c r="P1073" i="26"/>
  <c r="O1073" i="26"/>
  <c r="N1073" i="26"/>
  <c r="L1073" i="26"/>
  <c r="R1072" i="26"/>
  <c r="Q1072" i="26"/>
  <c r="P1072" i="26"/>
  <c r="O1072" i="26"/>
  <c r="N1072" i="26"/>
  <c r="I1072" i="26"/>
  <c r="L1072" i="26" s="1"/>
  <c r="R1071" i="26"/>
  <c r="Q1071" i="26"/>
  <c r="P1071" i="26"/>
  <c r="O1071" i="26"/>
  <c r="N1071" i="26"/>
  <c r="I1071" i="26"/>
  <c r="L1071" i="26" s="1"/>
  <c r="M1071" i="26" s="1"/>
  <c r="R1070" i="26"/>
  <c r="Q1070" i="26"/>
  <c r="P1070" i="26"/>
  <c r="O1070" i="26"/>
  <c r="N1070" i="26"/>
  <c r="L1070" i="26"/>
  <c r="G1070" i="26"/>
  <c r="R1069" i="26"/>
  <c r="Q1069" i="26"/>
  <c r="P1069" i="26"/>
  <c r="O1069" i="26"/>
  <c r="N1069" i="26"/>
  <c r="L1069" i="26"/>
  <c r="M1069" i="26" s="1"/>
  <c r="R1068" i="26"/>
  <c r="Q1068" i="26"/>
  <c r="P1068" i="26"/>
  <c r="O1068" i="26"/>
  <c r="N1068" i="26"/>
  <c r="L1068" i="26"/>
  <c r="R1067" i="26"/>
  <c r="Q1067" i="26"/>
  <c r="P1067" i="26"/>
  <c r="O1067" i="26"/>
  <c r="N1067" i="26"/>
  <c r="I1067" i="26"/>
  <c r="L1067" i="26" s="1"/>
  <c r="R1066" i="26"/>
  <c r="Q1066" i="26"/>
  <c r="P1066" i="26"/>
  <c r="O1066" i="26"/>
  <c r="N1066" i="26"/>
  <c r="I1066" i="26"/>
  <c r="L1066" i="26" s="1"/>
  <c r="M1066" i="26" s="1"/>
  <c r="R1065" i="26"/>
  <c r="Q1065" i="26"/>
  <c r="P1065" i="26"/>
  <c r="O1065" i="26"/>
  <c r="N1065" i="26"/>
  <c r="L1065" i="26"/>
  <c r="R1064" i="26"/>
  <c r="Q1064" i="26"/>
  <c r="P1064" i="26"/>
  <c r="O1064" i="26"/>
  <c r="N1064" i="26"/>
  <c r="M1064" i="26"/>
  <c r="L1064" i="26"/>
  <c r="R1062" i="26"/>
  <c r="Q1062" i="26"/>
  <c r="P1062" i="26"/>
  <c r="O1062" i="26"/>
  <c r="N1062" i="26"/>
  <c r="I1062" i="26"/>
  <c r="L1062" i="26" s="1"/>
  <c r="G1062" i="26"/>
  <c r="R1061" i="26"/>
  <c r="Q1061" i="26"/>
  <c r="P1061" i="26"/>
  <c r="O1061" i="26"/>
  <c r="M1061" i="26"/>
  <c r="I1061" i="26"/>
  <c r="L1061" i="26" s="1"/>
  <c r="G1061" i="26"/>
  <c r="R1060" i="26"/>
  <c r="Q1060" i="26"/>
  <c r="P1060" i="26"/>
  <c r="N1060" i="26"/>
  <c r="M1060" i="26"/>
  <c r="I1060" i="26"/>
  <c r="L1060" i="26" s="1"/>
  <c r="G1060" i="26"/>
  <c r="R1059" i="26"/>
  <c r="Q1059" i="26"/>
  <c r="P1059" i="26"/>
  <c r="O1059" i="26"/>
  <c r="N1059" i="26"/>
  <c r="I1059" i="26"/>
  <c r="L1059" i="26" s="1"/>
  <c r="G1059" i="26"/>
  <c r="R1058" i="26"/>
  <c r="Q1058" i="26"/>
  <c r="P1058" i="26"/>
  <c r="O1058" i="26"/>
  <c r="M1058" i="26"/>
  <c r="I1058" i="26"/>
  <c r="L1058" i="26" s="1"/>
  <c r="G1058" i="26"/>
  <c r="R1057" i="26"/>
  <c r="Q1057" i="26"/>
  <c r="P1057" i="26"/>
  <c r="O1057" i="26"/>
  <c r="N1057" i="26"/>
  <c r="M1057" i="26"/>
  <c r="L1057" i="26"/>
  <c r="R1054" i="26"/>
  <c r="Q1054" i="26"/>
  <c r="P1054" i="26"/>
  <c r="O1054" i="26"/>
  <c r="N1054" i="26"/>
  <c r="I1054" i="26"/>
  <c r="L1054" i="26" s="1"/>
  <c r="G1054" i="26"/>
  <c r="R1053" i="26"/>
  <c r="Q1053" i="26"/>
  <c r="P1053" i="26"/>
  <c r="O1053" i="26"/>
  <c r="M1053" i="26"/>
  <c r="I1053" i="26"/>
  <c r="L1053" i="26" s="1"/>
  <c r="G1053" i="26"/>
  <c r="R1052" i="26"/>
  <c r="Q1052" i="26"/>
  <c r="P1052" i="26"/>
  <c r="N1052" i="26"/>
  <c r="M1052" i="26"/>
  <c r="I1052" i="26"/>
  <c r="L1052" i="26" s="1"/>
  <c r="G1052" i="26"/>
  <c r="R1051" i="26"/>
  <c r="Q1051" i="26"/>
  <c r="P1051" i="26"/>
  <c r="O1051" i="26"/>
  <c r="N1051" i="26"/>
  <c r="I1051" i="26"/>
  <c r="L1051" i="26" s="1"/>
  <c r="G1051" i="26"/>
  <c r="R1050" i="26"/>
  <c r="Q1050" i="26"/>
  <c r="P1050" i="26"/>
  <c r="O1050" i="26"/>
  <c r="M1050" i="26"/>
  <c r="I1050" i="26"/>
  <c r="L1050" i="26" s="1"/>
  <c r="G1050" i="26"/>
  <c r="R1049" i="26"/>
  <c r="Q1049" i="26"/>
  <c r="P1049" i="26"/>
  <c r="O1049" i="26"/>
  <c r="N1049" i="26"/>
  <c r="M1049" i="26"/>
  <c r="L1049" i="26"/>
  <c r="R1046" i="26"/>
  <c r="Q1046" i="26"/>
  <c r="P1046" i="26"/>
  <c r="O1046" i="26"/>
  <c r="N1046" i="26"/>
  <c r="I1046" i="26"/>
  <c r="L1046" i="26" s="1"/>
  <c r="G1046" i="26"/>
  <c r="R1045" i="26"/>
  <c r="Q1045" i="26"/>
  <c r="P1045" i="26"/>
  <c r="O1045" i="26"/>
  <c r="M1045" i="26"/>
  <c r="I1045" i="26"/>
  <c r="L1045" i="26" s="1"/>
  <c r="N1045" i="26" s="1"/>
  <c r="R1044" i="26"/>
  <c r="Q1044" i="26"/>
  <c r="P1044" i="26"/>
  <c r="N1044" i="26"/>
  <c r="M1044" i="26"/>
  <c r="I1044" i="26"/>
  <c r="L1044" i="26" s="1"/>
  <c r="O1044" i="26" s="1"/>
  <c r="R1043" i="26"/>
  <c r="Q1043" i="26"/>
  <c r="P1043" i="26"/>
  <c r="O1043" i="26"/>
  <c r="N1043" i="26"/>
  <c r="I1043" i="26"/>
  <c r="L1043" i="26" s="1"/>
  <c r="G1043" i="26"/>
  <c r="R1042" i="26"/>
  <c r="Q1042" i="26"/>
  <c r="P1042" i="26"/>
  <c r="O1042" i="26"/>
  <c r="M1042" i="26"/>
  <c r="L1042" i="26"/>
  <c r="G1042" i="26"/>
  <c r="R1041" i="26"/>
  <c r="Q1041" i="26"/>
  <c r="P1041" i="26"/>
  <c r="O1041" i="26"/>
  <c r="N1041" i="26"/>
  <c r="M1041" i="26"/>
  <c r="L1041" i="26"/>
  <c r="R1039" i="26"/>
  <c r="Q1039" i="26"/>
  <c r="P1039" i="26"/>
  <c r="O1039" i="26"/>
  <c r="N1039" i="26"/>
  <c r="I1039" i="26"/>
  <c r="L1039" i="26" s="1"/>
  <c r="G1039" i="26"/>
  <c r="R1038" i="26"/>
  <c r="Q1038" i="26"/>
  <c r="P1038" i="26"/>
  <c r="O1038" i="26"/>
  <c r="N1038" i="26"/>
  <c r="I1038" i="26"/>
  <c r="L1038" i="26" s="1"/>
  <c r="G1038" i="26"/>
  <c r="R1037" i="26"/>
  <c r="Q1037" i="26"/>
  <c r="P1037" i="26"/>
  <c r="O1037" i="26"/>
  <c r="N1037" i="26"/>
  <c r="I1037" i="26"/>
  <c r="L1037" i="26" s="1"/>
  <c r="M1037" i="26" s="1"/>
  <c r="R1036" i="26"/>
  <c r="Q1036" i="26"/>
  <c r="P1036" i="26"/>
  <c r="O1036" i="26"/>
  <c r="N1036" i="26"/>
  <c r="I1036" i="26"/>
  <c r="L1036" i="26" s="1"/>
  <c r="M1036" i="26" s="1"/>
  <c r="R1035" i="26"/>
  <c r="Q1035" i="26"/>
  <c r="P1035" i="26"/>
  <c r="O1035" i="26"/>
  <c r="N1035" i="26"/>
  <c r="I1035" i="26"/>
  <c r="L1035" i="26" s="1"/>
  <c r="M1035" i="26" s="1"/>
  <c r="R1034" i="26"/>
  <c r="Q1034" i="26"/>
  <c r="P1034" i="26"/>
  <c r="O1034" i="26"/>
  <c r="N1034" i="26"/>
  <c r="I1034" i="26"/>
  <c r="L1034" i="26" s="1"/>
  <c r="G1034" i="26"/>
  <c r="R1033" i="26"/>
  <c r="Q1033" i="26"/>
  <c r="P1033" i="26"/>
  <c r="O1033" i="26"/>
  <c r="N1033" i="26"/>
  <c r="L1033" i="26"/>
  <c r="M1033" i="26" s="1"/>
  <c r="R1032" i="26"/>
  <c r="Q1032" i="26"/>
  <c r="P1032" i="26"/>
  <c r="O1032" i="26"/>
  <c r="N1032" i="26"/>
  <c r="L1032" i="26"/>
  <c r="M1032" i="26" s="1"/>
  <c r="R1031" i="26"/>
  <c r="Q1031" i="26"/>
  <c r="P1031" i="26"/>
  <c r="O1031" i="26"/>
  <c r="N1031" i="26"/>
  <c r="I1031" i="26"/>
  <c r="L1031" i="26" s="1"/>
  <c r="M1031" i="26" s="1"/>
  <c r="R1030" i="26"/>
  <c r="Q1030" i="26"/>
  <c r="P1030" i="26"/>
  <c r="O1030" i="26"/>
  <c r="N1030" i="26"/>
  <c r="M1030" i="26"/>
  <c r="R1028" i="26"/>
  <c r="Q1028" i="26"/>
  <c r="P1028" i="26"/>
  <c r="O1028" i="26"/>
  <c r="N1028" i="26"/>
  <c r="L1028" i="26"/>
  <c r="G1028" i="26"/>
  <c r="R1027" i="26"/>
  <c r="Q1027" i="26"/>
  <c r="P1027" i="26"/>
  <c r="O1027" i="26"/>
  <c r="N1027" i="26"/>
  <c r="L1027" i="26"/>
  <c r="G1027" i="26"/>
  <c r="R1026" i="26"/>
  <c r="Q1026" i="26"/>
  <c r="P1026" i="26"/>
  <c r="O1026" i="26"/>
  <c r="N1026" i="26"/>
  <c r="L1026" i="26"/>
  <c r="G1026" i="26"/>
  <c r="R1025" i="26"/>
  <c r="Q1025" i="26"/>
  <c r="P1025" i="26"/>
  <c r="O1025" i="26"/>
  <c r="N1025" i="26"/>
  <c r="L1025" i="26"/>
  <c r="G1025" i="26"/>
  <c r="R1024" i="26"/>
  <c r="Q1024" i="26"/>
  <c r="P1024" i="26"/>
  <c r="O1024" i="26"/>
  <c r="N1024" i="26"/>
  <c r="L1024" i="26"/>
  <c r="G1024" i="26"/>
  <c r="R1023" i="26"/>
  <c r="Q1023" i="26"/>
  <c r="P1023" i="26"/>
  <c r="O1023" i="26"/>
  <c r="N1023" i="26"/>
  <c r="I1023" i="26"/>
  <c r="L1023" i="26" s="1"/>
  <c r="G1023" i="26"/>
  <c r="R1022" i="26"/>
  <c r="Q1022" i="26"/>
  <c r="P1022" i="26"/>
  <c r="O1022" i="26"/>
  <c r="N1022" i="26"/>
  <c r="I1022" i="26"/>
  <c r="L1022" i="26" s="1"/>
  <c r="G1022" i="26"/>
  <c r="R1021" i="26"/>
  <c r="Q1021" i="26"/>
  <c r="P1021" i="26"/>
  <c r="O1021" i="26"/>
  <c r="N1021" i="26"/>
  <c r="I1021" i="26"/>
  <c r="L1021" i="26" s="1"/>
  <c r="G1021" i="26"/>
  <c r="R1020" i="26"/>
  <c r="Q1020" i="26"/>
  <c r="P1020" i="26"/>
  <c r="O1020" i="26"/>
  <c r="N1020" i="26"/>
  <c r="I1020" i="26"/>
  <c r="L1020" i="26" s="1"/>
  <c r="M1020" i="26" s="1"/>
  <c r="R1019" i="26"/>
  <c r="Q1019" i="26"/>
  <c r="P1019" i="26"/>
  <c r="O1019" i="26"/>
  <c r="N1019" i="26"/>
  <c r="L1019" i="26"/>
  <c r="G1019" i="26"/>
  <c r="R1018" i="26"/>
  <c r="Q1018" i="26"/>
  <c r="P1018" i="26"/>
  <c r="O1018" i="26"/>
  <c r="N1018" i="26"/>
  <c r="I1018" i="26"/>
  <c r="L1018" i="26" s="1"/>
  <c r="M1018" i="26" s="1"/>
  <c r="R1017" i="26"/>
  <c r="Q1017" i="26"/>
  <c r="P1017" i="26"/>
  <c r="O1017" i="26"/>
  <c r="N1017" i="26"/>
  <c r="I1017" i="26"/>
  <c r="L1017" i="26" s="1"/>
  <c r="M1017" i="26" s="1"/>
  <c r="R1016" i="26"/>
  <c r="Q1016" i="26"/>
  <c r="P1016" i="26"/>
  <c r="O1016" i="26"/>
  <c r="N1016" i="26"/>
  <c r="I1016" i="26"/>
  <c r="L1016" i="26" s="1"/>
  <c r="M1016" i="26" s="1"/>
  <c r="R1015" i="26"/>
  <c r="Q1015" i="26"/>
  <c r="P1015" i="26"/>
  <c r="O1015" i="26"/>
  <c r="N1015" i="26"/>
  <c r="I1015" i="26"/>
  <c r="L1015" i="26" s="1"/>
  <c r="M1015" i="26" s="1"/>
  <c r="R1014" i="26"/>
  <c r="Q1014" i="26"/>
  <c r="P1014" i="26"/>
  <c r="O1014" i="26"/>
  <c r="N1014" i="26"/>
  <c r="I1014" i="26"/>
  <c r="L1014" i="26" s="1"/>
  <c r="G1014" i="26"/>
  <c r="R1013" i="26"/>
  <c r="Q1013" i="26"/>
  <c r="P1013" i="26"/>
  <c r="O1013" i="26"/>
  <c r="N1013" i="26"/>
  <c r="I1013" i="26"/>
  <c r="L1013" i="26" s="1"/>
  <c r="G1013" i="26"/>
  <c r="R1012" i="26"/>
  <c r="Q1012" i="26"/>
  <c r="P1012" i="26"/>
  <c r="O1012" i="26"/>
  <c r="N1012" i="26"/>
  <c r="I1012" i="26"/>
  <c r="L1012" i="26" s="1"/>
  <c r="G1012" i="26"/>
  <c r="R1011" i="26"/>
  <c r="Q1011" i="26"/>
  <c r="P1011" i="26"/>
  <c r="O1011" i="26"/>
  <c r="N1011" i="26"/>
  <c r="I1011" i="26"/>
  <c r="L1011" i="26" s="1"/>
  <c r="G1011" i="26"/>
  <c r="R1010" i="26"/>
  <c r="Q1010" i="26"/>
  <c r="P1010" i="26"/>
  <c r="O1010" i="26"/>
  <c r="N1010" i="26"/>
  <c r="I1010" i="26"/>
  <c r="L1010" i="26" s="1"/>
  <c r="M1010" i="26" s="1"/>
  <c r="R1009" i="26"/>
  <c r="Q1009" i="26"/>
  <c r="P1009" i="26"/>
  <c r="O1009" i="26"/>
  <c r="N1009" i="26"/>
  <c r="I1009" i="26"/>
  <c r="L1009" i="26" s="1"/>
  <c r="M1009" i="26" s="1"/>
  <c r="R1008" i="26"/>
  <c r="Q1008" i="26"/>
  <c r="P1008" i="26"/>
  <c r="O1008" i="26"/>
  <c r="N1008" i="26"/>
  <c r="L1008" i="26"/>
  <c r="M1008" i="26" s="1"/>
  <c r="R1007" i="26"/>
  <c r="Q1007" i="26"/>
  <c r="P1007" i="26"/>
  <c r="O1007" i="26"/>
  <c r="N1007" i="26"/>
  <c r="L1007" i="26"/>
  <c r="M1007" i="26" s="1"/>
  <c r="R1006" i="26"/>
  <c r="Q1006" i="26"/>
  <c r="P1006" i="26"/>
  <c r="O1006" i="26"/>
  <c r="N1006" i="26"/>
  <c r="I1006" i="26"/>
  <c r="L1006" i="26" s="1"/>
  <c r="G1006" i="26"/>
  <c r="R1005" i="26"/>
  <c r="Q1005" i="26"/>
  <c r="P1005" i="26"/>
  <c r="O1005" i="26"/>
  <c r="N1005" i="26"/>
  <c r="I1005" i="26"/>
  <c r="L1005" i="26" s="1"/>
  <c r="G1005" i="26"/>
  <c r="R1004" i="26"/>
  <c r="Q1004" i="26"/>
  <c r="P1004" i="26"/>
  <c r="O1004" i="26"/>
  <c r="N1004" i="26"/>
  <c r="I1004" i="26"/>
  <c r="L1004" i="26" s="1"/>
  <c r="G1004" i="26"/>
  <c r="R1003" i="26"/>
  <c r="Q1003" i="26"/>
  <c r="P1003" i="26"/>
  <c r="O1003" i="26"/>
  <c r="N1003" i="26"/>
  <c r="I1003" i="26"/>
  <c r="L1003" i="26" s="1"/>
  <c r="M1003" i="26" s="1"/>
  <c r="R1002" i="26"/>
  <c r="Q1002" i="26"/>
  <c r="P1002" i="26"/>
  <c r="O1002" i="26"/>
  <c r="N1002" i="26"/>
  <c r="M1002" i="26"/>
  <c r="R1000" i="26"/>
  <c r="Q1000" i="26"/>
  <c r="P1000" i="26"/>
  <c r="O1000" i="26"/>
  <c r="N1000" i="26"/>
  <c r="L1000" i="26"/>
  <c r="G1000" i="26"/>
  <c r="R999" i="26"/>
  <c r="Q999" i="26"/>
  <c r="P999" i="26"/>
  <c r="O999" i="26"/>
  <c r="N999" i="26"/>
  <c r="L999" i="26"/>
  <c r="G999" i="26"/>
  <c r="R998" i="26"/>
  <c r="Q998" i="26"/>
  <c r="P998" i="26"/>
  <c r="O998" i="26"/>
  <c r="N998" i="26"/>
  <c r="L998" i="26"/>
  <c r="G998" i="26"/>
  <c r="R997" i="26"/>
  <c r="Q997" i="26"/>
  <c r="P997" i="26"/>
  <c r="O997" i="26"/>
  <c r="N997" i="26"/>
  <c r="L997" i="26"/>
  <c r="G997" i="26"/>
  <c r="R996" i="26"/>
  <c r="Q996" i="26"/>
  <c r="P996" i="26"/>
  <c r="O996" i="26"/>
  <c r="N996" i="26"/>
  <c r="I996" i="26"/>
  <c r="L996" i="26" s="1"/>
  <c r="M996" i="26" s="1"/>
  <c r="R995" i="26"/>
  <c r="Q995" i="26"/>
  <c r="P995" i="26"/>
  <c r="O995" i="26"/>
  <c r="N995" i="26"/>
  <c r="I995" i="26"/>
  <c r="L995" i="26" s="1"/>
  <c r="G995" i="26"/>
  <c r="R994" i="26"/>
  <c r="Q994" i="26"/>
  <c r="P994" i="26"/>
  <c r="O994" i="26"/>
  <c r="N994" i="26"/>
  <c r="I994" i="26"/>
  <c r="L994" i="26" s="1"/>
  <c r="G994" i="26"/>
  <c r="R993" i="26"/>
  <c r="Q993" i="26"/>
  <c r="P993" i="26"/>
  <c r="O993" i="26"/>
  <c r="N993" i="26"/>
  <c r="I993" i="26"/>
  <c r="L993" i="26" s="1"/>
  <c r="G993" i="26"/>
  <c r="R992" i="26"/>
  <c r="Q992" i="26"/>
  <c r="P992" i="26"/>
  <c r="O992" i="26"/>
  <c r="N992" i="26"/>
  <c r="I992" i="26"/>
  <c r="L992" i="26" s="1"/>
  <c r="G992" i="26"/>
  <c r="R991" i="26"/>
  <c r="Q991" i="26"/>
  <c r="P991" i="26"/>
  <c r="O991" i="26"/>
  <c r="N991" i="26"/>
  <c r="I991" i="26"/>
  <c r="L991" i="26" s="1"/>
  <c r="M991" i="26" s="1"/>
  <c r="R990" i="26"/>
  <c r="Q990" i="26"/>
  <c r="P990" i="26"/>
  <c r="O990" i="26"/>
  <c r="N990" i="26"/>
  <c r="L990" i="26"/>
  <c r="G990" i="26"/>
  <c r="R989" i="26"/>
  <c r="Q989" i="26"/>
  <c r="P989" i="26"/>
  <c r="O989" i="26"/>
  <c r="N989" i="26"/>
  <c r="I989" i="26"/>
  <c r="L989" i="26" s="1"/>
  <c r="G989" i="26"/>
  <c r="R988" i="26"/>
  <c r="Q988" i="26"/>
  <c r="P988" i="26"/>
  <c r="O988" i="26"/>
  <c r="N988" i="26"/>
  <c r="M988" i="26"/>
  <c r="R986" i="26"/>
  <c r="Q986" i="26"/>
  <c r="P986" i="26"/>
  <c r="O986" i="26"/>
  <c r="N986" i="26"/>
  <c r="L986" i="26"/>
  <c r="G986" i="26"/>
  <c r="R985" i="26"/>
  <c r="Q985" i="26"/>
  <c r="P985" i="26"/>
  <c r="O985" i="26"/>
  <c r="N985" i="26"/>
  <c r="L985" i="26"/>
  <c r="G985" i="26"/>
  <c r="R984" i="26"/>
  <c r="Q984" i="26"/>
  <c r="P984" i="26"/>
  <c r="O984" i="26"/>
  <c r="N984" i="26"/>
  <c r="L984" i="26"/>
  <c r="G984" i="26"/>
  <c r="R983" i="26"/>
  <c r="Q983" i="26"/>
  <c r="P983" i="26"/>
  <c r="O983" i="26"/>
  <c r="N983" i="26"/>
  <c r="L983" i="26"/>
  <c r="G983" i="26"/>
  <c r="R982" i="26"/>
  <c r="Q982" i="26"/>
  <c r="P982" i="26"/>
  <c r="O982" i="26"/>
  <c r="N982" i="26"/>
  <c r="I982" i="26"/>
  <c r="L982" i="26" s="1"/>
  <c r="M982" i="26" s="1"/>
  <c r="R981" i="26"/>
  <c r="Q981" i="26"/>
  <c r="P981" i="26"/>
  <c r="O981" i="26"/>
  <c r="N981" i="26"/>
  <c r="I981" i="26"/>
  <c r="L981" i="26" s="1"/>
  <c r="G981" i="26"/>
  <c r="R980" i="26"/>
  <c r="Q980" i="26"/>
  <c r="P980" i="26"/>
  <c r="O980" i="26"/>
  <c r="N980" i="26"/>
  <c r="L980" i="26"/>
  <c r="M980" i="26" s="1"/>
  <c r="R979" i="26"/>
  <c r="Q979" i="26"/>
  <c r="P979" i="26"/>
  <c r="O979" i="26"/>
  <c r="N979" i="26"/>
  <c r="I979" i="26"/>
  <c r="L979" i="26" s="1"/>
  <c r="M979" i="26" s="1"/>
  <c r="R978" i="26"/>
  <c r="Q978" i="26"/>
  <c r="P978" i="26"/>
  <c r="O978" i="26"/>
  <c r="N978" i="26"/>
  <c r="I978" i="26"/>
  <c r="L978" i="26" s="1"/>
  <c r="G978" i="26"/>
  <c r="R977" i="26"/>
  <c r="Q977" i="26"/>
  <c r="P977" i="26"/>
  <c r="O977" i="26"/>
  <c r="N977" i="26"/>
  <c r="I977" i="26"/>
  <c r="L977" i="26" s="1"/>
  <c r="G977" i="26"/>
  <c r="R976" i="26"/>
  <c r="Q976" i="26"/>
  <c r="P976" i="26"/>
  <c r="O976" i="26"/>
  <c r="N976" i="26"/>
  <c r="I976" i="26"/>
  <c r="L976" i="26" s="1"/>
  <c r="G976" i="26"/>
  <c r="R975" i="26"/>
  <c r="Q975" i="26"/>
  <c r="P975" i="26"/>
  <c r="O975" i="26"/>
  <c r="N975" i="26"/>
  <c r="I975" i="26"/>
  <c r="L975" i="26" s="1"/>
  <c r="G975" i="26"/>
  <c r="R974" i="26"/>
  <c r="Q974" i="26"/>
  <c r="P974" i="26"/>
  <c r="O974" i="26"/>
  <c r="N974" i="26"/>
  <c r="I974" i="26"/>
  <c r="L974" i="26" s="1"/>
  <c r="G974" i="26"/>
  <c r="R973" i="26"/>
  <c r="Q973" i="26"/>
  <c r="P973" i="26"/>
  <c r="O973" i="26"/>
  <c r="N973" i="26"/>
  <c r="M973" i="26"/>
  <c r="R971" i="26"/>
  <c r="Q971" i="26"/>
  <c r="P971" i="26"/>
  <c r="O971" i="26"/>
  <c r="N971" i="26"/>
  <c r="L971" i="26"/>
  <c r="G971" i="26"/>
  <c r="R970" i="26"/>
  <c r="Q970" i="26"/>
  <c r="P970" i="26"/>
  <c r="O970" i="26"/>
  <c r="N970" i="26"/>
  <c r="L970" i="26"/>
  <c r="G970" i="26"/>
  <c r="R969" i="26"/>
  <c r="Q969" i="26"/>
  <c r="P969" i="26"/>
  <c r="O969" i="26"/>
  <c r="N969" i="26"/>
  <c r="L969" i="26"/>
  <c r="G969" i="26"/>
  <c r="R968" i="26"/>
  <c r="Q968" i="26"/>
  <c r="P968" i="26"/>
  <c r="O968" i="26"/>
  <c r="N968" i="26"/>
  <c r="L968" i="26"/>
  <c r="M968" i="26" s="1"/>
  <c r="R967" i="26"/>
  <c r="Q967" i="26"/>
  <c r="P967" i="26"/>
  <c r="O967" i="26"/>
  <c r="N967" i="26"/>
  <c r="I967" i="26"/>
  <c r="L967" i="26" s="1"/>
  <c r="M967" i="26" s="1"/>
  <c r="R966" i="26"/>
  <c r="Q966" i="26"/>
  <c r="P966" i="26"/>
  <c r="O966" i="26"/>
  <c r="N966" i="26"/>
  <c r="I966" i="26"/>
  <c r="L966" i="26" s="1"/>
  <c r="M966" i="26" s="1"/>
  <c r="R965" i="26"/>
  <c r="Q965" i="26"/>
  <c r="P965" i="26"/>
  <c r="O965" i="26"/>
  <c r="N965" i="26"/>
  <c r="I965" i="26"/>
  <c r="L965" i="26" s="1"/>
  <c r="G965" i="26"/>
  <c r="R964" i="26"/>
  <c r="Q964" i="26"/>
  <c r="P964" i="26"/>
  <c r="O964" i="26"/>
  <c r="N964" i="26"/>
  <c r="I964" i="26"/>
  <c r="L964" i="26" s="1"/>
  <c r="M964" i="26" s="1"/>
  <c r="R963" i="26"/>
  <c r="Q963" i="26"/>
  <c r="P963" i="26"/>
  <c r="O963" i="26"/>
  <c r="N963" i="26"/>
  <c r="I963" i="26"/>
  <c r="L963" i="26" s="1"/>
  <c r="G963" i="26"/>
  <c r="R962" i="26"/>
  <c r="Q962" i="26"/>
  <c r="P962" i="26"/>
  <c r="O962" i="26"/>
  <c r="N962" i="26"/>
  <c r="I962" i="26"/>
  <c r="L962" i="26" s="1"/>
  <c r="G962" i="26"/>
  <c r="R961" i="26"/>
  <c r="Q961" i="26"/>
  <c r="P961" i="26"/>
  <c r="O961" i="26"/>
  <c r="N961" i="26"/>
  <c r="I961" i="26"/>
  <c r="L961" i="26" s="1"/>
  <c r="G961" i="26"/>
  <c r="R960" i="26"/>
  <c r="Q960" i="26"/>
  <c r="P960" i="26"/>
  <c r="O960" i="26"/>
  <c r="N960" i="26"/>
  <c r="I960" i="26"/>
  <c r="L960" i="26" s="1"/>
  <c r="G960" i="26"/>
  <c r="R959" i="26"/>
  <c r="Q959" i="26"/>
  <c r="P959" i="26"/>
  <c r="O959" i="26"/>
  <c r="N959" i="26"/>
  <c r="I959" i="26"/>
  <c r="L959" i="26" s="1"/>
  <c r="G959" i="26"/>
  <c r="R958" i="26"/>
  <c r="Q958" i="26"/>
  <c r="P958" i="26"/>
  <c r="O958" i="26"/>
  <c r="N958" i="26"/>
  <c r="M958" i="26"/>
  <c r="R956" i="26"/>
  <c r="Q956" i="26"/>
  <c r="P956" i="26"/>
  <c r="O956" i="26"/>
  <c r="N956" i="26"/>
  <c r="L956" i="26"/>
  <c r="M956" i="26" s="1"/>
  <c r="R955" i="26"/>
  <c r="Q955" i="26"/>
  <c r="P955" i="26"/>
  <c r="O955" i="26"/>
  <c r="N955" i="26"/>
  <c r="L955" i="26"/>
  <c r="G955" i="26"/>
  <c r="R954" i="26"/>
  <c r="Q954" i="26"/>
  <c r="P954" i="26"/>
  <c r="O954" i="26"/>
  <c r="N954" i="26"/>
  <c r="L954" i="26"/>
  <c r="G954" i="26"/>
  <c r="R953" i="26"/>
  <c r="Q953" i="26"/>
  <c r="P953" i="26"/>
  <c r="O953" i="26"/>
  <c r="N953" i="26"/>
  <c r="L953" i="26"/>
  <c r="M953" i="26" s="1"/>
  <c r="R952" i="26"/>
  <c r="Q952" i="26"/>
  <c r="P952" i="26"/>
  <c r="O952" i="26"/>
  <c r="N952" i="26"/>
  <c r="I952" i="26"/>
  <c r="L952" i="26" s="1"/>
  <c r="M952" i="26" s="1"/>
  <c r="R951" i="26"/>
  <c r="Q951" i="26"/>
  <c r="P951" i="26"/>
  <c r="O951" i="26"/>
  <c r="N951" i="26"/>
  <c r="I951" i="26"/>
  <c r="L951" i="26" s="1"/>
  <c r="M951" i="26" s="1"/>
  <c r="R950" i="26"/>
  <c r="Q950" i="26"/>
  <c r="P950" i="26"/>
  <c r="O950" i="26"/>
  <c r="N950" i="26"/>
  <c r="I950" i="26"/>
  <c r="L950" i="26" s="1"/>
  <c r="M950" i="26" s="1"/>
  <c r="R949" i="26"/>
  <c r="Q949" i="26"/>
  <c r="P949" i="26"/>
  <c r="O949" i="26"/>
  <c r="N949" i="26"/>
  <c r="I949" i="26"/>
  <c r="L949" i="26" s="1"/>
  <c r="G949" i="26"/>
  <c r="R948" i="26"/>
  <c r="Q948" i="26"/>
  <c r="P948" i="26"/>
  <c r="O948" i="26"/>
  <c r="N948" i="26"/>
  <c r="I948" i="26"/>
  <c r="L948" i="26" s="1"/>
  <c r="M948" i="26" s="1"/>
  <c r="R947" i="26"/>
  <c r="Q947" i="26"/>
  <c r="P947" i="26"/>
  <c r="O947" i="26"/>
  <c r="N947" i="26"/>
  <c r="I947" i="26"/>
  <c r="L947" i="26" s="1"/>
  <c r="M947" i="26" s="1"/>
  <c r="R946" i="26"/>
  <c r="Q946" i="26"/>
  <c r="P946" i="26"/>
  <c r="O946" i="26"/>
  <c r="N946" i="26"/>
  <c r="I946" i="26"/>
  <c r="L946" i="26" s="1"/>
  <c r="G946" i="26"/>
  <c r="R945" i="26"/>
  <c r="Q945" i="26"/>
  <c r="P945" i="26"/>
  <c r="O945" i="26"/>
  <c r="N945" i="26"/>
  <c r="I945" i="26"/>
  <c r="L945" i="26" s="1"/>
  <c r="G945" i="26"/>
  <c r="R944" i="26"/>
  <c r="Q944" i="26"/>
  <c r="P944" i="26"/>
  <c r="O944" i="26"/>
  <c r="N944" i="26"/>
  <c r="M944" i="26"/>
  <c r="R943" i="26"/>
  <c r="Q943" i="26"/>
  <c r="P943" i="26"/>
  <c r="O943" i="26"/>
  <c r="N943" i="26"/>
  <c r="M943" i="26"/>
  <c r="L943" i="26"/>
  <c r="R940" i="26"/>
  <c r="Q940" i="26"/>
  <c r="P940" i="26"/>
  <c r="O940" i="26"/>
  <c r="N940" i="26"/>
  <c r="I940" i="26"/>
  <c r="L940" i="26" s="1"/>
  <c r="G940" i="26"/>
  <c r="R939" i="26"/>
  <c r="Q939" i="26"/>
  <c r="P939" i="26"/>
  <c r="O939" i="26"/>
  <c r="M939" i="26"/>
  <c r="I939" i="26"/>
  <c r="L939" i="26" s="1"/>
  <c r="G939" i="26"/>
  <c r="R938" i="26"/>
  <c r="Q938" i="26"/>
  <c r="P938" i="26"/>
  <c r="N938" i="26"/>
  <c r="M938" i="26"/>
  <c r="I938" i="26"/>
  <c r="L938" i="26" s="1"/>
  <c r="G938" i="26"/>
  <c r="R937" i="26"/>
  <c r="Q937" i="26"/>
  <c r="P937" i="26"/>
  <c r="O937" i="26"/>
  <c r="N937" i="26"/>
  <c r="I937" i="26"/>
  <c r="L937" i="26" s="1"/>
  <c r="G937" i="26"/>
  <c r="R936" i="26"/>
  <c r="Q936" i="26"/>
  <c r="P936" i="26"/>
  <c r="O936" i="26"/>
  <c r="M936" i="26"/>
  <c r="I936" i="26"/>
  <c r="L936" i="26" s="1"/>
  <c r="G936" i="26"/>
  <c r="R935" i="26"/>
  <c r="Q935" i="26"/>
  <c r="P935" i="26"/>
  <c r="O935" i="26"/>
  <c r="N935" i="26"/>
  <c r="M935" i="26"/>
  <c r="L935" i="26"/>
  <c r="R933" i="26"/>
  <c r="Q933" i="26"/>
  <c r="P933" i="26"/>
  <c r="O933" i="26"/>
  <c r="N933" i="26"/>
  <c r="I933" i="26"/>
  <c r="L933" i="26" s="1"/>
  <c r="M933" i="26" s="1"/>
  <c r="R932" i="26"/>
  <c r="Q932" i="26"/>
  <c r="P932" i="26"/>
  <c r="O932" i="26"/>
  <c r="M932" i="26"/>
  <c r="I932" i="26"/>
  <c r="L932" i="26" s="1"/>
  <c r="G932" i="26"/>
  <c r="R931" i="26"/>
  <c r="Q931" i="26"/>
  <c r="P931" i="26"/>
  <c r="N931" i="26"/>
  <c r="M931" i="26"/>
  <c r="I931" i="26"/>
  <c r="L931" i="26" s="1"/>
  <c r="G931" i="26"/>
  <c r="R930" i="26"/>
  <c r="Q930" i="26"/>
  <c r="P930" i="26"/>
  <c r="O930" i="26"/>
  <c r="N930" i="26"/>
  <c r="I930" i="26"/>
  <c r="L930" i="26" s="1"/>
  <c r="M930" i="26" s="1"/>
  <c r="R929" i="26"/>
  <c r="Q929" i="26"/>
  <c r="P929" i="26"/>
  <c r="O929" i="26"/>
  <c r="M929" i="26"/>
  <c r="L929" i="26"/>
  <c r="G929" i="26"/>
  <c r="R928" i="26"/>
  <c r="Q928" i="26"/>
  <c r="P928" i="26"/>
  <c r="O928" i="26"/>
  <c r="N928" i="26"/>
  <c r="M928" i="26"/>
  <c r="L928" i="26"/>
  <c r="R926" i="26"/>
  <c r="Q926" i="26"/>
  <c r="P926" i="26"/>
  <c r="O926" i="26"/>
  <c r="N926" i="26"/>
  <c r="L926" i="26"/>
  <c r="G926" i="26"/>
  <c r="R925" i="26"/>
  <c r="Q925" i="26"/>
  <c r="P925" i="26"/>
  <c r="O925" i="26"/>
  <c r="N925" i="26"/>
  <c r="L925" i="26"/>
  <c r="G925" i="26"/>
  <c r="R924" i="26"/>
  <c r="Q924" i="26"/>
  <c r="P924" i="26"/>
  <c r="O924" i="26"/>
  <c r="N924" i="26"/>
  <c r="L924" i="26"/>
  <c r="G924" i="26"/>
  <c r="R923" i="26"/>
  <c r="Q923" i="26"/>
  <c r="P923" i="26"/>
  <c r="O923" i="26"/>
  <c r="N923" i="26"/>
  <c r="L923" i="26"/>
  <c r="G923" i="26"/>
  <c r="R922" i="26"/>
  <c r="Q922" i="26"/>
  <c r="P922" i="26"/>
  <c r="O922" i="26"/>
  <c r="N922" i="26"/>
  <c r="I922" i="26"/>
  <c r="L922" i="26" s="1"/>
  <c r="G922" i="26"/>
  <c r="R921" i="26"/>
  <c r="Q921" i="26"/>
  <c r="P921" i="26"/>
  <c r="O921" i="26"/>
  <c r="N921" i="26"/>
  <c r="I921" i="26"/>
  <c r="L921" i="26" s="1"/>
  <c r="G921" i="26"/>
  <c r="R920" i="26"/>
  <c r="Q920" i="26"/>
  <c r="P920" i="26"/>
  <c r="O920" i="26"/>
  <c r="N920" i="26"/>
  <c r="I920" i="26"/>
  <c r="L920" i="26" s="1"/>
  <c r="G920" i="26"/>
  <c r="R919" i="26"/>
  <c r="Q919" i="26"/>
  <c r="P919" i="26"/>
  <c r="O919" i="26"/>
  <c r="N919" i="26"/>
  <c r="I919" i="26"/>
  <c r="L919" i="26" s="1"/>
  <c r="G919" i="26"/>
  <c r="R918" i="26"/>
  <c r="Q918" i="26"/>
  <c r="P918" i="26"/>
  <c r="O918" i="26"/>
  <c r="N918" i="26"/>
  <c r="I918" i="26"/>
  <c r="L918" i="26" s="1"/>
  <c r="G918" i="26"/>
  <c r="R917" i="26"/>
  <c r="Q917" i="26"/>
  <c r="P917" i="26"/>
  <c r="O917" i="26"/>
  <c r="N917" i="26"/>
  <c r="I917" i="26"/>
  <c r="L917" i="26" s="1"/>
  <c r="G917" i="26"/>
  <c r="R916" i="26"/>
  <c r="Q916" i="26"/>
  <c r="P916" i="26"/>
  <c r="O916" i="26"/>
  <c r="N916" i="26"/>
  <c r="I916" i="26"/>
  <c r="L916" i="26" s="1"/>
  <c r="G916" i="26"/>
  <c r="R915" i="26"/>
  <c r="Q915" i="26"/>
  <c r="P915" i="26"/>
  <c r="O915" i="26"/>
  <c r="N915" i="26"/>
  <c r="M915" i="26"/>
  <c r="R913" i="26"/>
  <c r="Q913" i="26"/>
  <c r="P913" i="26"/>
  <c r="O913" i="26"/>
  <c r="N913" i="26"/>
  <c r="L913" i="26"/>
  <c r="G913" i="26"/>
  <c r="R912" i="26"/>
  <c r="Q912" i="26"/>
  <c r="P912" i="26"/>
  <c r="O912" i="26"/>
  <c r="N912" i="26"/>
  <c r="L912" i="26"/>
  <c r="G912" i="26"/>
  <c r="R911" i="26"/>
  <c r="Q911" i="26"/>
  <c r="P911" i="26"/>
  <c r="O911" i="26"/>
  <c r="N911" i="26"/>
  <c r="L911" i="26"/>
  <c r="G911" i="26"/>
  <c r="R910" i="26"/>
  <c r="Q910" i="26"/>
  <c r="P910" i="26"/>
  <c r="O910" i="26"/>
  <c r="N910" i="26"/>
  <c r="L910" i="26"/>
  <c r="G910" i="26"/>
  <c r="R909" i="26"/>
  <c r="Q909" i="26"/>
  <c r="P909" i="26"/>
  <c r="O909" i="26"/>
  <c r="N909" i="26"/>
  <c r="L909" i="26"/>
  <c r="R908" i="26"/>
  <c r="Q908" i="26"/>
  <c r="P908" i="26"/>
  <c r="O908" i="26"/>
  <c r="N908" i="26"/>
  <c r="I908" i="26"/>
  <c r="L908" i="26" s="1"/>
  <c r="R907" i="26"/>
  <c r="Q907" i="26"/>
  <c r="P907" i="26"/>
  <c r="O907" i="26"/>
  <c r="N907" i="26"/>
  <c r="I907" i="26"/>
  <c r="L907" i="26" s="1"/>
  <c r="G907" i="26"/>
  <c r="R906" i="26"/>
  <c r="Q906" i="26"/>
  <c r="P906" i="26"/>
  <c r="O906" i="26"/>
  <c r="N906" i="26"/>
  <c r="I906" i="26"/>
  <c r="L906" i="26" s="1"/>
  <c r="R905" i="26"/>
  <c r="Q905" i="26"/>
  <c r="P905" i="26"/>
  <c r="O905" i="26"/>
  <c r="N905" i="26"/>
  <c r="I905" i="26"/>
  <c r="L905" i="26" s="1"/>
  <c r="R904" i="26"/>
  <c r="Q904" i="26"/>
  <c r="P904" i="26"/>
  <c r="O904" i="26"/>
  <c r="N904" i="26"/>
  <c r="I904" i="26"/>
  <c r="L904" i="26" s="1"/>
  <c r="G904" i="26"/>
  <c r="R903" i="26"/>
  <c r="Q903" i="26"/>
  <c r="P903" i="26"/>
  <c r="O903" i="26"/>
  <c r="N903" i="26"/>
  <c r="I903" i="26"/>
  <c r="L903" i="26" s="1"/>
  <c r="R902" i="26"/>
  <c r="Q902" i="26"/>
  <c r="P902" i="26"/>
  <c r="O902" i="26"/>
  <c r="N902" i="26"/>
  <c r="M902" i="26"/>
  <c r="R900" i="26"/>
  <c r="Q900" i="26"/>
  <c r="P900" i="26"/>
  <c r="O900" i="26"/>
  <c r="N900" i="26"/>
  <c r="L900" i="26"/>
  <c r="G900" i="26"/>
  <c r="R899" i="26"/>
  <c r="Q899" i="26"/>
  <c r="P899" i="26"/>
  <c r="O899" i="26"/>
  <c r="N899" i="26"/>
  <c r="L899" i="26"/>
  <c r="G899" i="26"/>
  <c r="R898" i="26"/>
  <c r="Q898" i="26"/>
  <c r="P898" i="26"/>
  <c r="O898" i="26"/>
  <c r="N898" i="26"/>
  <c r="L898" i="26"/>
  <c r="G898" i="26"/>
  <c r="R897" i="26"/>
  <c r="Q897" i="26"/>
  <c r="P897" i="26"/>
  <c r="O897" i="26"/>
  <c r="N897" i="26"/>
  <c r="I897" i="26"/>
  <c r="L897" i="26" s="1"/>
  <c r="G897" i="26"/>
  <c r="R896" i="26"/>
  <c r="Q896" i="26"/>
  <c r="P896" i="26"/>
  <c r="O896" i="26"/>
  <c r="N896" i="26"/>
  <c r="I896" i="26"/>
  <c r="L896" i="26" s="1"/>
  <c r="R895" i="26"/>
  <c r="Q895" i="26"/>
  <c r="P895" i="26"/>
  <c r="O895" i="26"/>
  <c r="N895" i="26"/>
  <c r="I895" i="26"/>
  <c r="L895" i="26" s="1"/>
  <c r="R894" i="26"/>
  <c r="Q894" i="26"/>
  <c r="P894" i="26"/>
  <c r="O894" i="26"/>
  <c r="N894" i="26"/>
  <c r="I894" i="26"/>
  <c r="L894" i="26" s="1"/>
  <c r="R893" i="26"/>
  <c r="Q893" i="26"/>
  <c r="P893" i="26"/>
  <c r="O893" i="26"/>
  <c r="N893" i="26"/>
  <c r="I893" i="26"/>
  <c r="L893" i="26" s="1"/>
  <c r="R892" i="26"/>
  <c r="Q892" i="26"/>
  <c r="P892" i="26"/>
  <c r="O892" i="26"/>
  <c r="N892" i="26"/>
  <c r="I892" i="26"/>
  <c r="L892" i="26" s="1"/>
  <c r="G892" i="26"/>
  <c r="R891" i="26"/>
  <c r="Q891" i="26"/>
  <c r="P891" i="26"/>
  <c r="O891" i="26"/>
  <c r="N891" i="26"/>
  <c r="I891" i="26"/>
  <c r="L891" i="26" s="1"/>
  <c r="R890" i="26"/>
  <c r="Q890" i="26"/>
  <c r="P890" i="26"/>
  <c r="O890" i="26"/>
  <c r="N890" i="26"/>
  <c r="I890" i="26"/>
  <c r="L890" i="26" s="1"/>
  <c r="R889" i="26"/>
  <c r="Q889" i="26"/>
  <c r="P889" i="26"/>
  <c r="O889" i="26"/>
  <c r="N889" i="26"/>
  <c r="M889" i="26"/>
  <c r="R887" i="26"/>
  <c r="Q887" i="26"/>
  <c r="P887" i="26"/>
  <c r="O887" i="26"/>
  <c r="N887" i="26"/>
  <c r="L887" i="26"/>
  <c r="G887" i="26"/>
  <c r="R886" i="26"/>
  <c r="Q886" i="26"/>
  <c r="P886" i="26"/>
  <c r="O886" i="26"/>
  <c r="N886" i="26"/>
  <c r="L886" i="26"/>
  <c r="G886" i="26"/>
  <c r="R885" i="26"/>
  <c r="Q885" i="26"/>
  <c r="P885" i="26"/>
  <c r="O885" i="26"/>
  <c r="N885" i="26"/>
  <c r="L885" i="26"/>
  <c r="G885" i="26"/>
  <c r="R884" i="26"/>
  <c r="Q884" i="26"/>
  <c r="P884" i="26"/>
  <c r="O884" i="26"/>
  <c r="N884" i="26"/>
  <c r="I884" i="26"/>
  <c r="L884" i="26" s="1"/>
  <c r="G884" i="26"/>
  <c r="R883" i="26"/>
  <c r="Q883" i="26"/>
  <c r="P883" i="26"/>
  <c r="O883" i="26"/>
  <c r="N883" i="26"/>
  <c r="I883" i="26"/>
  <c r="L883" i="26" s="1"/>
  <c r="G883" i="26"/>
  <c r="R882" i="26"/>
  <c r="Q882" i="26"/>
  <c r="P882" i="26"/>
  <c r="O882" i="26"/>
  <c r="N882" i="26"/>
  <c r="I882" i="26"/>
  <c r="L882" i="26" s="1"/>
  <c r="G882" i="26"/>
  <c r="R881" i="26"/>
  <c r="Q881" i="26"/>
  <c r="P881" i="26"/>
  <c r="O881" i="26"/>
  <c r="N881" i="26"/>
  <c r="I881" i="26"/>
  <c r="L881" i="26" s="1"/>
  <c r="G881" i="26"/>
  <c r="R880" i="26"/>
  <c r="Q880" i="26"/>
  <c r="P880" i="26"/>
  <c r="O880" i="26"/>
  <c r="N880" i="26"/>
  <c r="I880" i="26"/>
  <c r="L880" i="26" s="1"/>
  <c r="G880" i="26"/>
  <c r="R879" i="26"/>
  <c r="Q879" i="26"/>
  <c r="P879" i="26"/>
  <c r="O879" i="26"/>
  <c r="N879" i="26"/>
  <c r="I879" i="26"/>
  <c r="L879" i="26" s="1"/>
  <c r="G879" i="26"/>
  <c r="R878" i="26"/>
  <c r="Q878" i="26"/>
  <c r="P878" i="26"/>
  <c r="O878" i="26"/>
  <c r="N878" i="26"/>
  <c r="I878" i="26"/>
  <c r="L878" i="26" s="1"/>
  <c r="G878" i="26"/>
  <c r="R877" i="26"/>
  <c r="Q877" i="26"/>
  <c r="P877" i="26"/>
  <c r="O877" i="26"/>
  <c r="N877" i="26"/>
  <c r="I877" i="26"/>
  <c r="L877" i="26" s="1"/>
  <c r="G877" i="26"/>
  <c r="R876" i="26"/>
  <c r="Q876" i="26"/>
  <c r="P876" i="26"/>
  <c r="O876" i="26"/>
  <c r="N876" i="26"/>
  <c r="M876" i="26"/>
  <c r="R874" i="26"/>
  <c r="Q874" i="26"/>
  <c r="P874" i="26"/>
  <c r="O874" i="26"/>
  <c r="N874" i="26"/>
  <c r="L874" i="26"/>
  <c r="G874" i="26"/>
  <c r="R873" i="26"/>
  <c r="Q873" i="26"/>
  <c r="P873" i="26"/>
  <c r="O873" i="26"/>
  <c r="N873" i="26"/>
  <c r="L873" i="26"/>
  <c r="G873" i="26"/>
  <c r="R872" i="26"/>
  <c r="Q872" i="26"/>
  <c r="P872" i="26"/>
  <c r="O872" i="26"/>
  <c r="N872" i="26"/>
  <c r="L872" i="26"/>
  <c r="G872" i="26"/>
  <c r="R871" i="26"/>
  <c r="Q871" i="26"/>
  <c r="P871" i="26"/>
  <c r="O871" i="26"/>
  <c r="N871" i="26"/>
  <c r="L871" i="26"/>
  <c r="G871" i="26"/>
  <c r="R870" i="26"/>
  <c r="Q870" i="26"/>
  <c r="P870" i="26"/>
  <c r="O870" i="26"/>
  <c r="N870" i="26"/>
  <c r="L870" i="26"/>
  <c r="M870" i="26" s="1"/>
  <c r="R869" i="26"/>
  <c r="Q869" i="26"/>
  <c r="P869" i="26"/>
  <c r="O869" i="26"/>
  <c r="N869" i="26"/>
  <c r="L869" i="26"/>
  <c r="G869" i="26"/>
  <c r="R868" i="26"/>
  <c r="Q868" i="26"/>
  <c r="P868" i="26"/>
  <c r="O868" i="26"/>
  <c r="N868" i="26"/>
  <c r="L868" i="26"/>
  <c r="G868" i="26"/>
  <c r="R867" i="26"/>
  <c r="Q867" i="26"/>
  <c r="P867" i="26"/>
  <c r="O867" i="26"/>
  <c r="N867" i="26"/>
  <c r="I867" i="26"/>
  <c r="L867" i="26" s="1"/>
  <c r="M867" i="26" s="1"/>
  <c r="R866" i="26"/>
  <c r="Q866" i="26"/>
  <c r="P866" i="26"/>
  <c r="O866" i="26"/>
  <c r="N866" i="26"/>
  <c r="I866" i="26"/>
  <c r="L866" i="26" s="1"/>
  <c r="G866" i="26"/>
  <c r="R865" i="26"/>
  <c r="Q865" i="26"/>
  <c r="P865" i="26"/>
  <c r="O865" i="26"/>
  <c r="N865" i="26"/>
  <c r="I865" i="26"/>
  <c r="L865" i="26" s="1"/>
  <c r="G865" i="26"/>
  <c r="R864" i="26"/>
  <c r="Q864" i="26"/>
  <c r="P864" i="26"/>
  <c r="O864" i="26"/>
  <c r="N864" i="26"/>
  <c r="I864" i="26"/>
  <c r="L864" i="26" s="1"/>
  <c r="M864" i="26" s="1"/>
  <c r="R863" i="26"/>
  <c r="Q863" i="26"/>
  <c r="P863" i="26"/>
  <c r="O863" i="26"/>
  <c r="N863" i="26"/>
  <c r="I863" i="26"/>
  <c r="L863" i="26" s="1"/>
  <c r="M863" i="26" s="1"/>
  <c r="R862" i="26"/>
  <c r="Q862" i="26"/>
  <c r="P862" i="26"/>
  <c r="O862" i="26"/>
  <c r="N862" i="26"/>
  <c r="I862" i="26"/>
  <c r="L862" i="26" s="1"/>
  <c r="G862" i="26"/>
  <c r="R861" i="26"/>
  <c r="Q861" i="26"/>
  <c r="P861" i="26"/>
  <c r="O861" i="26"/>
  <c r="N861" i="26"/>
  <c r="I861" i="26"/>
  <c r="L861" i="26" s="1"/>
  <c r="G861" i="26"/>
  <c r="R860" i="26"/>
  <c r="Q860" i="26"/>
  <c r="P860" i="26"/>
  <c r="O860" i="26"/>
  <c r="N860" i="26"/>
  <c r="I860" i="26"/>
  <c r="L860" i="26" s="1"/>
  <c r="G860" i="26"/>
  <c r="R859" i="26"/>
  <c r="Q859" i="26"/>
  <c r="P859" i="26"/>
  <c r="O859" i="26"/>
  <c r="N859" i="26"/>
  <c r="I859" i="26"/>
  <c r="L859" i="26" s="1"/>
  <c r="G859" i="26"/>
  <c r="R858" i="26"/>
  <c r="Q858" i="26"/>
  <c r="P858" i="26"/>
  <c r="O858" i="26"/>
  <c r="N858" i="26"/>
  <c r="I858" i="26"/>
  <c r="L858" i="26" s="1"/>
  <c r="G858" i="26"/>
  <c r="R857" i="26"/>
  <c r="Q857" i="26"/>
  <c r="P857" i="26"/>
  <c r="O857" i="26"/>
  <c r="N857" i="26"/>
  <c r="I857" i="26"/>
  <c r="L857" i="26" s="1"/>
  <c r="G857" i="26"/>
  <c r="R856" i="26"/>
  <c r="Q856" i="26"/>
  <c r="P856" i="26"/>
  <c r="O856" i="26"/>
  <c r="N856" i="26"/>
  <c r="I856" i="26"/>
  <c r="L856" i="26" s="1"/>
  <c r="G856" i="26"/>
  <c r="R855" i="26"/>
  <c r="Q855" i="26"/>
  <c r="P855" i="26"/>
  <c r="O855" i="26"/>
  <c r="N855" i="26"/>
  <c r="I855" i="26"/>
  <c r="L855" i="26" s="1"/>
  <c r="M855" i="26" s="1"/>
  <c r="R854" i="26"/>
  <c r="Q854" i="26"/>
  <c r="P854" i="26"/>
  <c r="O854" i="26"/>
  <c r="N854" i="26"/>
  <c r="I854" i="26"/>
  <c r="L854" i="26" s="1"/>
  <c r="M854" i="26" s="1"/>
  <c r="R853" i="26"/>
  <c r="Q853" i="26"/>
  <c r="P853" i="26"/>
  <c r="O853" i="26"/>
  <c r="N853" i="26"/>
  <c r="I853" i="26"/>
  <c r="L853" i="26" s="1"/>
  <c r="G853" i="26"/>
  <c r="R852" i="26"/>
  <c r="Q852" i="26"/>
  <c r="P852" i="26"/>
  <c r="O852" i="26"/>
  <c r="N852" i="26"/>
  <c r="I852" i="26"/>
  <c r="L852" i="26" s="1"/>
  <c r="M852" i="26" s="1"/>
  <c r="R851" i="26"/>
  <c r="Q851" i="26"/>
  <c r="P851" i="26"/>
  <c r="O851" i="26"/>
  <c r="N851" i="26"/>
  <c r="I851" i="26"/>
  <c r="L851" i="26" s="1"/>
  <c r="M851" i="26" s="1"/>
  <c r="R850" i="26"/>
  <c r="Q850" i="26"/>
  <c r="P850" i="26"/>
  <c r="O850" i="26"/>
  <c r="N850" i="26"/>
  <c r="I850" i="26"/>
  <c r="L850" i="26" s="1"/>
  <c r="G850" i="26"/>
  <c r="R849" i="26"/>
  <c r="Q849" i="26"/>
  <c r="P849" i="26"/>
  <c r="O849" i="26"/>
  <c r="N849" i="26"/>
  <c r="I849" i="26"/>
  <c r="L849" i="26" s="1"/>
  <c r="G849" i="26"/>
  <c r="R848" i="26"/>
  <c r="Q848" i="26"/>
  <c r="P848" i="26"/>
  <c r="O848" i="26"/>
  <c r="N848" i="26"/>
  <c r="I848" i="26"/>
  <c r="L848" i="26" s="1"/>
  <c r="M848" i="26" s="1"/>
  <c r="R847" i="26"/>
  <c r="Q847" i="26"/>
  <c r="P847" i="26"/>
  <c r="O847" i="26"/>
  <c r="N847" i="26"/>
  <c r="M847" i="26"/>
  <c r="R845" i="26"/>
  <c r="Q845" i="26"/>
  <c r="P845" i="26"/>
  <c r="O845" i="26"/>
  <c r="N845" i="26"/>
  <c r="L845" i="26"/>
  <c r="G845" i="26"/>
  <c r="R844" i="26"/>
  <c r="Q844" i="26"/>
  <c r="P844" i="26"/>
  <c r="O844" i="26"/>
  <c r="N844" i="26"/>
  <c r="L844" i="26"/>
  <c r="G844" i="26"/>
  <c r="R843" i="26"/>
  <c r="Q843" i="26"/>
  <c r="P843" i="26"/>
  <c r="O843" i="26"/>
  <c r="N843" i="26"/>
  <c r="L843" i="26"/>
  <c r="G843" i="26"/>
  <c r="R842" i="26"/>
  <c r="Q842" i="26"/>
  <c r="P842" i="26"/>
  <c r="O842" i="26"/>
  <c r="N842" i="26"/>
  <c r="L842" i="26"/>
  <c r="G842" i="26"/>
  <c r="R841" i="26"/>
  <c r="Q841" i="26"/>
  <c r="P841" i="26"/>
  <c r="O841" i="26"/>
  <c r="N841" i="26"/>
  <c r="I841" i="26"/>
  <c r="L841" i="26" s="1"/>
  <c r="M841" i="26" s="1"/>
  <c r="R840" i="26"/>
  <c r="Q840" i="26"/>
  <c r="P840" i="26"/>
  <c r="O840" i="26"/>
  <c r="N840" i="26"/>
  <c r="I840" i="26"/>
  <c r="L840" i="26" s="1"/>
  <c r="R839" i="26"/>
  <c r="Q839" i="26"/>
  <c r="P839" i="26"/>
  <c r="O839" i="26"/>
  <c r="N839" i="26"/>
  <c r="I839" i="26"/>
  <c r="L839" i="26" s="1"/>
  <c r="R838" i="26"/>
  <c r="Q838" i="26"/>
  <c r="P838" i="26"/>
  <c r="O838" i="26"/>
  <c r="N838" i="26"/>
  <c r="I838" i="26"/>
  <c r="L838" i="26" s="1"/>
  <c r="R837" i="26"/>
  <c r="Q837" i="26"/>
  <c r="P837" i="26"/>
  <c r="O837" i="26"/>
  <c r="N837" i="26"/>
  <c r="I837" i="26"/>
  <c r="L837" i="26" s="1"/>
  <c r="G837" i="26"/>
  <c r="R836" i="26"/>
  <c r="Q836" i="26"/>
  <c r="P836" i="26"/>
  <c r="O836" i="26"/>
  <c r="N836" i="26"/>
  <c r="I836" i="26"/>
  <c r="L836" i="26" s="1"/>
  <c r="G836" i="26"/>
  <c r="R835" i="26"/>
  <c r="Q835" i="26"/>
  <c r="P835" i="26"/>
  <c r="O835" i="26"/>
  <c r="N835" i="26"/>
  <c r="M835" i="26"/>
  <c r="R833" i="26"/>
  <c r="Q833" i="26"/>
  <c r="P833" i="26"/>
  <c r="O833" i="26"/>
  <c r="N833" i="26"/>
  <c r="L833" i="26"/>
  <c r="G833" i="26"/>
  <c r="R832" i="26"/>
  <c r="Q832" i="26"/>
  <c r="P832" i="26"/>
  <c r="O832" i="26"/>
  <c r="N832" i="26"/>
  <c r="L832" i="26"/>
  <c r="G832" i="26"/>
  <c r="R831" i="26"/>
  <c r="Q831" i="26"/>
  <c r="P831" i="26"/>
  <c r="O831" i="26"/>
  <c r="N831" i="26"/>
  <c r="L831" i="26"/>
  <c r="G831" i="26"/>
  <c r="R830" i="26"/>
  <c r="Q830" i="26"/>
  <c r="P830" i="26"/>
  <c r="O830" i="26"/>
  <c r="N830" i="26"/>
  <c r="L830" i="26"/>
  <c r="G830" i="26"/>
  <c r="R829" i="26"/>
  <c r="Q829" i="26"/>
  <c r="P829" i="26"/>
  <c r="O829" i="26"/>
  <c r="N829" i="26"/>
  <c r="I829" i="26"/>
  <c r="L829" i="26" s="1"/>
  <c r="G829" i="26"/>
  <c r="R828" i="26"/>
  <c r="Q828" i="26"/>
  <c r="P828" i="26"/>
  <c r="O828" i="26"/>
  <c r="N828" i="26"/>
  <c r="I828" i="26"/>
  <c r="L828" i="26" s="1"/>
  <c r="G828" i="26"/>
  <c r="R827" i="26"/>
  <c r="Q827" i="26"/>
  <c r="P827" i="26"/>
  <c r="O827" i="26"/>
  <c r="N827" i="26"/>
  <c r="I827" i="26"/>
  <c r="L827" i="26" s="1"/>
  <c r="M827" i="26" s="1"/>
  <c r="R826" i="26"/>
  <c r="Q826" i="26"/>
  <c r="P826" i="26"/>
  <c r="O826" i="26"/>
  <c r="N826" i="26"/>
  <c r="I826" i="26"/>
  <c r="L826" i="26" s="1"/>
  <c r="G826" i="26"/>
  <c r="R825" i="26"/>
  <c r="Q825" i="26"/>
  <c r="P825" i="26"/>
  <c r="O825" i="26"/>
  <c r="N825" i="26"/>
  <c r="I825" i="26"/>
  <c r="L825" i="26" s="1"/>
  <c r="M825" i="26" s="1"/>
  <c r="R824" i="26"/>
  <c r="Q824" i="26"/>
  <c r="P824" i="26"/>
  <c r="O824" i="26"/>
  <c r="N824" i="26"/>
  <c r="I824" i="26"/>
  <c r="L824" i="26" s="1"/>
  <c r="G824" i="26"/>
  <c r="R823" i="26"/>
  <c r="Q823" i="26"/>
  <c r="P823" i="26"/>
  <c r="O823" i="26"/>
  <c r="N823" i="26"/>
  <c r="I823" i="26"/>
  <c r="L823" i="26" s="1"/>
  <c r="G823" i="26"/>
  <c r="R822" i="26"/>
  <c r="Q822" i="26"/>
  <c r="P822" i="26"/>
  <c r="O822" i="26"/>
  <c r="N822" i="26"/>
  <c r="I822" i="26"/>
  <c r="L822" i="26" s="1"/>
  <c r="G822" i="26"/>
  <c r="R821" i="26"/>
  <c r="Q821" i="26"/>
  <c r="P821" i="26"/>
  <c r="O821" i="26"/>
  <c r="N821" i="26"/>
  <c r="I821" i="26"/>
  <c r="L821" i="26" s="1"/>
  <c r="G821" i="26"/>
  <c r="R820" i="26"/>
  <c r="Q820" i="26"/>
  <c r="P820" i="26"/>
  <c r="O820" i="26"/>
  <c r="N820" i="26"/>
  <c r="M820" i="26"/>
  <c r="R819" i="26"/>
  <c r="Q819" i="26"/>
  <c r="P819" i="26"/>
  <c r="O819" i="26"/>
  <c r="N819" i="26"/>
  <c r="M819" i="26"/>
  <c r="L819" i="26"/>
  <c r="R817" i="26"/>
  <c r="Q817" i="26"/>
  <c r="P817" i="26"/>
  <c r="O817" i="26"/>
  <c r="N817" i="26"/>
  <c r="I817" i="26"/>
  <c r="L817" i="26" s="1"/>
  <c r="R816" i="26"/>
  <c r="Q816" i="26"/>
  <c r="P816" i="26"/>
  <c r="O816" i="26"/>
  <c r="M816" i="26"/>
  <c r="I816" i="26"/>
  <c r="L816" i="26" s="1"/>
  <c r="R815" i="26"/>
  <c r="Q815" i="26"/>
  <c r="P815" i="26"/>
  <c r="N815" i="26"/>
  <c r="M815" i="26"/>
  <c r="I815" i="26"/>
  <c r="L815" i="26" s="1"/>
  <c r="R814" i="26"/>
  <c r="Q814" i="26"/>
  <c r="P814" i="26"/>
  <c r="O814" i="26"/>
  <c r="N814" i="26"/>
  <c r="I814" i="26"/>
  <c r="L814" i="26" s="1"/>
  <c r="G814" i="26"/>
  <c r="R813" i="26"/>
  <c r="Q813" i="26"/>
  <c r="P813" i="26"/>
  <c r="O813" i="26"/>
  <c r="M813" i="26"/>
  <c r="L813" i="26"/>
  <c r="R812" i="26"/>
  <c r="Q812" i="26"/>
  <c r="P812" i="26"/>
  <c r="O812" i="26"/>
  <c r="N812" i="26"/>
  <c r="M812" i="26"/>
  <c r="L812" i="26"/>
  <c r="R810" i="26"/>
  <c r="Q810" i="26"/>
  <c r="P810" i="26"/>
  <c r="O810" i="26"/>
  <c r="N810" i="26"/>
  <c r="L810" i="26"/>
  <c r="G810" i="26"/>
  <c r="R809" i="26"/>
  <c r="Q809" i="26"/>
  <c r="P809" i="26"/>
  <c r="O809" i="26"/>
  <c r="N809" i="26"/>
  <c r="L809" i="26"/>
  <c r="G809" i="26"/>
  <c r="R808" i="26"/>
  <c r="Q808" i="26"/>
  <c r="P808" i="26"/>
  <c r="O808" i="26"/>
  <c r="N808" i="26"/>
  <c r="L808" i="26"/>
  <c r="G808" i="26"/>
  <c r="R807" i="26"/>
  <c r="Q807" i="26"/>
  <c r="P807" i="26"/>
  <c r="O807" i="26"/>
  <c r="N807" i="26"/>
  <c r="L807" i="26"/>
  <c r="G807" i="26"/>
  <c r="R806" i="26"/>
  <c r="Q806" i="26"/>
  <c r="P806" i="26"/>
  <c r="O806" i="26"/>
  <c r="N806" i="26"/>
  <c r="I806" i="26"/>
  <c r="L806" i="26" s="1"/>
  <c r="R805" i="26"/>
  <c r="Q805" i="26"/>
  <c r="P805" i="26"/>
  <c r="O805" i="26"/>
  <c r="N805" i="26"/>
  <c r="I805" i="26"/>
  <c r="L805" i="26" s="1"/>
  <c r="R804" i="26"/>
  <c r="Q804" i="26"/>
  <c r="P804" i="26"/>
  <c r="O804" i="26"/>
  <c r="N804" i="26"/>
  <c r="I804" i="26"/>
  <c r="L804" i="26" s="1"/>
  <c r="G804" i="26"/>
  <c r="R803" i="26"/>
  <c r="Q803" i="26"/>
  <c r="P803" i="26"/>
  <c r="O803" i="26"/>
  <c r="N803" i="26"/>
  <c r="I803" i="26"/>
  <c r="L803" i="26" s="1"/>
  <c r="G803" i="26"/>
  <c r="M803" i="26" s="1"/>
  <c r="R802" i="26"/>
  <c r="Q802" i="26"/>
  <c r="P802" i="26"/>
  <c r="O802" i="26"/>
  <c r="N802" i="26"/>
  <c r="I802" i="26"/>
  <c r="L802" i="26" s="1"/>
  <c r="R801" i="26"/>
  <c r="Q801" i="26"/>
  <c r="P801" i="26"/>
  <c r="O801" i="26"/>
  <c r="N801" i="26"/>
  <c r="I801" i="26"/>
  <c r="L801" i="26" s="1"/>
  <c r="G801" i="26"/>
  <c r="R800" i="26"/>
  <c r="Q800" i="26"/>
  <c r="P800" i="26"/>
  <c r="O800" i="26"/>
  <c r="N800" i="26"/>
  <c r="M800" i="26"/>
  <c r="R798" i="26"/>
  <c r="Q798" i="26"/>
  <c r="P798" i="26"/>
  <c r="O798" i="26"/>
  <c r="N798" i="26"/>
  <c r="L798" i="26"/>
  <c r="G798" i="26"/>
  <c r="R797" i="26"/>
  <c r="Q797" i="26"/>
  <c r="P797" i="26"/>
  <c r="O797" i="26"/>
  <c r="N797" i="26"/>
  <c r="L797" i="26"/>
  <c r="G797" i="26"/>
  <c r="R796" i="26"/>
  <c r="Q796" i="26"/>
  <c r="P796" i="26"/>
  <c r="O796" i="26"/>
  <c r="N796" i="26"/>
  <c r="L796" i="26"/>
  <c r="G796" i="26"/>
  <c r="R795" i="26"/>
  <c r="Q795" i="26"/>
  <c r="P795" i="26"/>
  <c r="O795" i="26"/>
  <c r="N795" i="26"/>
  <c r="L795" i="26"/>
  <c r="G795" i="26"/>
  <c r="R794" i="26"/>
  <c r="Q794" i="26"/>
  <c r="P794" i="26"/>
  <c r="O794" i="26"/>
  <c r="N794" i="26"/>
  <c r="I794" i="26"/>
  <c r="L794" i="26" s="1"/>
  <c r="G794" i="26"/>
  <c r="R793" i="26"/>
  <c r="Q793" i="26"/>
  <c r="P793" i="26"/>
  <c r="O793" i="26"/>
  <c r="N793" i="26"/>
  <c r="I793" i="26"/>
  <c r="L793" i="26" s="1"/>
  <c r="G793" i="26"/>
  <c r="R792" i="26"/>
  <c r="Q792" i="26"/>
  <c r="P792" i="26"/>
  <c r="O792" i="26"/>
  <c r="N792" i="26"/>
  <c r="I792" i="26"/>
  <c r="L792" i="26" s="1"/>
  <c r="G792" i="26"/>
  <c r="R791" i="26"/>
  <c r="Q791" i="26"/>
  <c r="P791" i="26"/>
  <c r="O791" i="26"/>
  <c r="N791" i="26"/>
  <c r="I791" i="26"/>
  <c r="L791" i="26" s="1"/>
  <c r="R790" i="26"/>
  <c r="Q790" i="26"/>
  <c r="P790" i="26"/>
  <c r="O790" i="26"/>
  <c r="N790" i="26"/>
  <c r="L790" i="26"/>
  <c r="G790" i="26"/>
  <c r="R789" i="26"/>
  <c r="Q789" i="26"/>
  <c r="P789" i="26"/>
  <c r="O789" i="26"/>
  <c r="N789" i="26"/>
  <c r="L789" i="26"/>
  <c r="G789" i="26"/>
  <c r="R788" i="26"/>
  <c r="Q788" i="26"/>
  <c r="P788" i="26"/>
  <c r="O788" i="26"/>
  <c r="N788" i="26"/>
  <c r="M788" i="26"/>
  <c r="R786" i="26"/>
  <c r="Q786" i="26"/>
  <c r="P786" i="26"/>
  <c r="O786" i="26"/>
  <c r="N786" i="26"/>
  <c r="L786" i="26"/>
  <c r="G786" i="26"/>
  <c r="R785" i="26"/>
  <c r="Q785" i="26"/>
  <c r="P785" i="26"/>
  <c r="O785" i="26"/>
  <c r="N785" i="26"/>
  <c r="L785" i="26"/>
  <c r="G785" i="26"/>
  <c r="R784" i="26"/>
  <c r="Q784" i="26"/>
  <c r="P784" i="26"/>
  <c r="O784" i="26"/>
  <c r="N784" i="26"/>
  <c r="L784" i="26"/>
  <c r="G784" i="26"/>
  <c r="R783" i="26"/>
  <c r="Q783" i="26"/>
  <c r="P783" i="26"/>
  <c r="O783" i="26"/>
  <c r="N783" i="26"/>
  <c r="L783" i="26"/>
  <c r="G783" i="26"/>
  <c r="R782" i="26"/>
  <c r="Q782" i="26"/>
  <c r="P782" i="26"/>
  <c r="O782" i="26"/>
  <c r="N782" i="26"/>
  <c r="I782" i="26"/>
  <c r="L782" i="26" s="1"/>
  <c r="R781" i="26"/>
  <c r="Q781" i="26"/>
  <c r="P781" i="26"/>
  <c r="O781" i="26"/>
  <c r="N781" i="26"/>
  <c r="I781" i="26"/>
  <c r="L781" i="26" s="1"/>
  <c r="R780" i="26"/>
  <c r="Q780" i="26"/>
  <c r="P780" i="26"/>
  <c r="O780" i="26"/>
  <c r="N780" i="26"/>
  <c r="I780" i="26"/>
  <c r="L780" i="26" s="1"/>
  <c r="R779" i="26"/>
  <c r="Q779" i="26"/>
  <c r="P779" i="26"/>
  <c r="O779" i="26"/>
  <c r="N779" i="26"/>
  <c r="I779" i="26"/>
  <c r="L779" i="26" s="1"/>
  <c r="G779" i="26"/>
  <c r="R778" i="26"/>
  <c r="Q778" i="26"/>
  <c r="P778" i="26"/>
  <c r="O778" i="26"/>
  <c r="N778" i="26"/>
  <c r="I778" i="26"/>
  <c r="L778" i="26" s="1"/>
  <c r="G778" i="26"/>
  <c r="R777" i="26"/>
  <c r="Q777" i="26"/>
  <c r="P777" i="26"/>
  <c r="O777" i="26"/>
  <c r="N777" i="26"/>
  <c r="I777" i="26"/>
  <c r="L777" i="26" s="1"/>
  <c r="G777" i="26"/>
  <c r="R776" i="26"/>
  <c r="Q776" i="26"/>
  <c r="P776" i="26"/>
  <c r="O776" i="26"/>
  <c r="N776" i="26"/>
  <c r="I776" i="26"/>
  <c r="L776" i="26" s="1"/>
  <c r="R775" i="26"/>
  <c r="Q775" i="26"/>
  <c r="P775" i="26"/>
  <c r="O775" i="26"/>
  <c r="N775" i="26"/>
  <c r="M775" i="26"/>
  <c r="R772" i="26"/>
  <c r="Q772" i="26"/>
  <c r="P772" i="26"/>
  <c r="O772" i="26"/>
  <c r="N772" i="26"/>
  <c r="I772" i="26"/>
  <c r="L772" i="26" s="1"/>
  <c r="G772" i="26"/>
  <c r="R771" i="26"/>
  <c r="Q771" i="26"/>
  <c r="P771" i="26"/>
  <c r="O771" i="26"/>
  <c r="M771" i="26"/>
  <c r="I771" i="26"/>
  <c r="L771" i="26" s="1"/>
  <c r="G771" i="26"/>
  <c r="R770" i="26"/>
  <c r="Q770" i="26"/>
  <c r="P770" i="26"/>
  <c r="N770" i="26"/>
  <c r="M770" i="26"/>
  <c r="I770" i="26"/>
  <c r="L770" i="26" s="1"/>
  <c r="G770" i="26"/>
  <c r="R769" i="26"/>
  <c r="Q769" i="26"/>
  <c r="P769" i="26"/>
  <c r="O769" i="26"/>
  <c r="N769" i="26"/>
  <c r="I769" i="26"/>
  <c r="L769" i="26" s="1"/>
  <c r="G769" i="26"/>
  <c r="R768" i="26"/>
  <c r="Q768" i="26"/>
  <c r="P768" i="26"/>
  <c r="O768" i="26"/>
  <c r="M768" i="26"/>
  <c r="L768" i="26"/>
  <c r="G768" i="26"/>
  <c r="R767" i="26"/>
  <c r="Q767" i="26"/>
  <c r="P767" i="26"/>
  <c r="O767" i="26"/>
  <c r="N767" i="26"/>
  <c r="M767" i="26"/>
  <c r="L767" i="26"/>
  <c r="R765" i="26"/>
  <c r="Q765" i="26"/>
  <c r="P765" i="26"/>
  <c r="O765" i="26"/>
  <c r="N765" i="26"/>
  <c r="I765" i="26"/>
  <c r="L765" i="26" s="1"/>
  <c r="M765" i="26" s="1"/>
  <c r="R764" i="26"/>
  <c r="Q764" i="26"/>
  <c r="P764" i="26"/>
  <c r="O764" i="26"/>
  <c r="M764" i="26"/>
  <c r="I764" i="26"/>
  <c r="L764" i="26" s="1"/>
  <c r="G764" i="26"/>
  <c r="R763" i="26"/>
  <c r="Q763" i="26"/>
  <c r="P763" i="26"/>
  <c r="N763" i="26"/>
  <c r="M763" i="26"/>
  <c r="I763" i="26"/>
  <c r="L763" i="26" s="1"/>
  <c r="G763" i="26"/>
  <c r="R762" i="26"/>
  <c r="Q762" i="26"/>
  <c r="P762" i="26"/>
  <c r="O762" i="26"/>
  <c r="N762" i="26"/>
  <c r="I762" i="26"/>
  <c r="L762" i="26" s="1"/>
  <c r="M762" i="26" s="1"/>
  <c r="R761" i="26"/>
  <c r="Q761" i="26"/>
  <c r="P761" i="26"/>
  <c r="O761" i="26"/>
  <c r="M761" i="26"/>
  <c r="L761" i="26"/>
  <c r="G761" i="26"/>
  <c r="R760" i="26"/>
  <c r="Q760" i="26"/>
  <c r="P760" i="26"/>
  <c r="O760" i="26"/>
  <c r="N760" i="26"/>
  <c r="M760" i="26"/>
  <c r="L760" i="26"/>
  <c r="R758" i="26"/>
  <c r="Q758" i="26"/>
  <c r="P758" i="26"/>
  <c r="O758" i="26"/>
  <c r="N758" i="26"/>
  <c r="L758" i="26"/>
  <c r="G758" i="26"/>
  <c r="R757" i="26"/>
  <c r="Q757" i="26"/>
  <c r="P757" i="26"/>
  <c r="O757" i="26"/>
  <c r="N757" i="26"/>
  <c r="L757" i="26"/>
  <c r="G757" i="26"/>
  <c r="R756" i="26"/>
  <c r="Q756" i="26"/>
  <c r="P756" i="26"/>
  <c r="O756" i="26"/>
  <c r="N756" i="26"/>
  <c r="L756" i="26"/>
  <c r="G756" i="26"/>
  <c r="R755" i="26"/>
  <c r="Q755" i="26"/>
  <c r="P755" i="26"/>
  <c r="O755" i="26"/>
  <c r="N755" i="26"/>
  <c r="L755" i="26"/>
  <c r="G755" i="26"/>
  <c r="R754" i="26"/>
  <c r="Q754" i="26"/>
  <c r="P754" i="26"/>
  <c r="O754" i="26"/>
  <c r="N754" i="26"/>
  <c r="I754" i="26"/>
  <c r="L754" i="26" s="1"/>
  <c r="G754" i="26"/>
  <c r="R753" i="26"/>
  <c r="Q753" i="26"/>
  <c r="P753" i="26"/>
  <c r="O753" i="26"/>
  <c r="N753" i="26"/>
  <c r="I753" i="26"/>
  <c r="L753" i="26" s="1"/>
  <c r="R752" i="26"/>
  <c r="Q752" i="26"/>
  <c r="P752" i="26"/>
  <c r="O752" i="26"/>
  <c r="N752" i="26"/>
  <c r="I752" i="26"/>
  <c r="L752" i="26" s="1"/>
  <c r="G752" i="26"/>
  <c r="R751" i="26"/>
  <c r="Q751" i="26"/>
  <c r="P751" i="26"/>
  <c r="O751" i="26"/>
  <c r="N751" i="26"/>
  <c r="I751" i="26"/>
  <c r="L751" i="26" s="1"/>
  <c r="G751" i="26"/>
  <c r="R750" i="26"/>
  <c r="Q750" i="26"/>
  <c r="P750" i="26"/>
  <c r="O750" i="26"/>
  <c r="N750" i="26"/>
  <c r="L750" i="26"/>
  <c r="G750" i="26"/>
  <c r="R749" i="26"/>
  <c r="Q749" i="26"/>
  <c r="P749" i="26"/>
  <c r="O749" i="26"/>
  <c r="N749" i="26"/>
  <c r="I749" i="26"/>
  <c r="L749" i="26" s="1"/>
  <c r="G749" i="26"/>
  <c r="R748" i="26"/>
  <c r="Q748" i="26"/>
  <c r="P748" i="26"/>
  <c r="O748" i="26"/>
  <c r="N748" i="26"/>
  <c r="I748" i="26"/>
  <c r="L748" i="26" s="1"/>
  <c r="G748" i="26"/>
  <c r="R747" i="26"/>
  <c r="Q747" i="26"/>
  <c r="P747" i="26"/>
  <c r="O747" i="26"/>
  <c r="N747" i="26"/>
  <c r="M747" i="26"/>
  <c r="R744" i="26"/>
  <c r="Q744" i="26"/>
  <c r="P744" i="26"/>
  <c r="O744" i="26"/>
  <c r="N744" i="26"/>
  <c r="L744" i="26"/>
  <c r="G744" i="26"/>
  <c r="R743" i="26"/>
  <c r="Q743" i="26"/>
  <c r="P743" i="26"/>
  <c r="O743" i="26"/>
  <c r="N743" i="26"/>
  <c r="L743" i="26"/>
  <c r="G743" i="26"/>
  <c r="R742" i="26"/>
  <c r="Q742" i="26"/>
  <c r="P742" i="26"/>
  <c r="O742" i="26"/>
  <c r="N742" i="26"/>
  <c r="L742" i="26"/>
  <c r="G742" i="26"/>
  <c r="R741" i="26"/>
  <c r="Q741" i="26"/>
  <c r="P741" i="26"/>
  <c r="O741" i="26"/>
  <c r="N741" i="26"/>
  <c r="L741" i="26"/>
  <c r="G741" i="26"/>
  <c r="R740" i="26"/>
  <c r="Q740" i="26"/>
  <c r="P740" i="26"/>
  <c r="O740" i="26"/>
  <c r="N740" i="26"/>
  <c r="I740" i="26"/>
  <c r="L740" i="26" s="1"/>
  <c r="R739" i="26"/>
  <c r="Q739" i="26"/>
  <c r="P739" i="26"/>
  <c r="O739" i="26"/>
  <c r="N739" i="26"/>
  <c r="I739" i="26"/>
  <c r="L739" i="26" s="1"/>
  <c r="R738" i="26"/>
  <c r="Q738" i="26"/>
  <c r="P738" i="26"/>
  <c r="O738" i="26"/>
  <c r="N738" i="26"/>
  <c r="I738" i="26"/>
  <c r="L738" i="26" s="1"/>
  <c r="R737" i="26"/>
  <c r="Q737" i="26"/>
  <c r="P737" i="26"/>
  <c r="O737" i="26"/>
  <c r="N737" i="26"/>
  <c r="I737" i="26"/>
  <c r="L737" i="26" s="1"/>
  <c r="G737" i="26"/>
  <c r="R736" i="26"/>
  <c r="Q736" i="26"/>
  <c r="P736" i="26"/>
  <c r="O736" i="26"/>
  <c r="N736" i="26"/>
  <c r="I736" i="26"/>
  <c r="L736" i="26" s="1"/>
  <c r="R735" i="26"/>
  <c r="Q735" i="26"/>
  <c r="P735" i="26"/>
  <c r="O735" i="26"/>
  <c r="N735" i="26"/>
  <c r="I735" i="26"/>
  <c r="L735" i="26" s="1"/>
  <c r="G735" i="26"/>
  <c r="R734" i="26"/>
  <c r="Q734" i="26"/>
  <c r="P734" i="26"/>
  <c r="O734" i="26"/>
  <c r="N734" i="26"/>
  <c r="I734" i="26"/>
  <c r="L734" i="26" s="1"/>
  <c r="R733" i="26"/>
  <c r="Q733" i="26"/>
  <c r="P733" i="26"/>
  <c r="O733" i="26"/>
  <c r="N733" i="26"/>
  <c r="I733" i="26"/>
  <c r="L733" i="26" s="1"/>
  <c r="G733" i="26"/>
  <c r="R732" i="26"/>
  <c r="Q732" i="26"/>
  <c r="P732" i="26"/>
  <c r="O732" i="26"/>
  <c r="N732" i="26"/>
  <c r="M732" i="26"/>
  <c r="R730" i="26"/>
  <c r="Q730" i="26"/>
  <c r="P730" i="26"/>
  <c r="O730" i="26"/>
  <c r="N730" i="26"/>
  <c r="L730" i="26"/>
  <c r="G730" i="26"/>
  <c r="R729" i="26"/>
  <c r="Q729" i="26"/>
  <c r="P729" i="26"/>
  <c r="O729" i="26"/>
  <c r="N729" i="26"/>
  <c r="L729" i="26"/>
  <c r="G729" i="26"/>
  <c r="R728" i="26"/>
  <c r="Q728" i="26"/>
  <c r="P728" i="26"/>
  <c r="O728" i="26"/>
  <c r="N728" i="26"/>
  <c r="L728" i="26"/>
  <c r="G728" i="26"/>
  <c r="R727" i="26"/>
  <c r="Q727" i="26"/>
  <c r="P727" i="26"/>
  <c r="O727" i="26"/>
  <c r="N727" i="26"/>
  <c r="I727" i="26"/>
  <c r="L727" i="26" s="1"/>
  <c r="G727" i="26"/>
  <c r="R726" i="26"/>
  <c r="Q726" i="26"/>
  <c r="P726" i="26"/>
  <c r="O726" i="26"/>
  <c r="N726" i="26"/>
  <c r="I726" i="26"/>
  <c r="L726" i="26" s="1"/>
  <c r="G726" i="26"/>
  <c r="R725" i="26"/>
  <c r="Q725" i="26"/>
  <c r="P725" i="26"/>
  <c r="O725" i="26"/>
  <c r="N725" i="26"/>
  <c r="I725" i="26"/>
  <c r="L725" i="26" s="1"/>
  <c r="R724" i="26"/>
  <c r="Q724" i="26"/>
  <c r="P724" i="26"/>
  <c r="O724" i="26"/>
  <c r="N724" i="26"/>
  <c r="I724" i="26"/>
  <c r="L724" i="26" s="1"/>
  <c r="R723" i="26"/>
  <c r="Q723" i="26"/>
  <c r="P723" i="26"/>
  <c r="O723" i="26"/>
  <c r="N723" i="26"/>
  <c r="I723" i="26"/>
  <c r="L723" i="26" s="1"/>
  <c r="R722" i="26"/>
  <c r="Q722" i="26"/>
  <c r="P722" i="26"/>
  <c r="O722" i="26"/>
  <c r="N722" i="26"/>
  <c r="I722" i="26"/>
  <c r="L722" i="26" s="1"/>
  <c r="G722" i="26"/>
  <c r="R721" i="26"/>
  <c r="Q721" i="26"/>
  <c r="P721" i="26"/>
  <c r="O721" i="26"/>
  <c r="N721" i="26"/>
  <c r="I721" i="26"/>
  <c r="L721" i="26" s="1"/>
  <c r="R720" i="26"/>
  <c r="Q720" i="26"/>
  <c r="P720" i="26"/>
  <c r="O720" i="26"/>
  <c r="N720" i="26"/>
  <c r="I720" i="26"/>
  <c r="L720" i="26" s="1"/>
  <c r="G720" i="26"/>
  <c r="R719" i="26"/>
  <c r="Q719" i="26"/>
  <c r="P719" i="26"/>
  <c r="O719" i="26"/>
  <c r="N719" i="26"/>
  <c r="L719" i="26"/>
  <c r="G719" i="26"/>
  <c r="R718" i="26"/>
  <c r="Q718" i="26"/>
  <c r="P718" i="26"/>
  <c r="O718" i="26"/>
  <c r="N718" i="26"/>
  <c r="I718" i="26"/>
  <c r="L718" i="26" s="1"/>
  <c r="G718" i="26"/>
  <c r="R717" i="26"/>
  <c r="Q717" i="26"/>
  <c r="P717" i="26"/>
  <c r="O717" i="26"/>
  <c r="N717" i="26"/>
  <c r="M717" i="26"/>
  <c r="R715" i="26"/>
  <c r="Q715" i="26"/>
  <c r="P715" i="26"/>
  <c r="O715" i="26"/>
  <c r="N715" i="26"/>
  <c r="L715" i="26"/>
  <c r="G715" i="26"/>
  <c r="R714" i="26"/>
  <c r="Q714" i="26"/>
  <c r="P714" i="26"/>
  <c r="O714" i="26"/>
  <c r="N714" i="26"/>
  <c r="L714" i="26"/>
  <c r="G714" i="26"/>
  <c r="R713" i="26"/>
  <c r="Q713" i="26"/>
  <c r="P713" i="26"/>
  <c r="O713" i="26"/>
  <c r="N713" i="26"/>
  <c r="L713" i="26"/>
  <c r="G713" i="26"/>
  <c r="R710" i="26"/>
  <c r="Q710" i="26"/>
  <c r="P710" i="26"/>
  <c r="O710" i="26"/>
  <c r="N710" i="26"/>
  <c r="I710" i="26"/>
  <c r="L710" i="26" s="1"/>
  <c r="R709" i="26"/>
  <c r="Q709" i="26"/>
  <c r="P709" i="26"/>
  <c r="O709" i="26"/>
  <c r="N709" i="26"/>
  <c r="I709" i="26"/>
  <c r="L709" i="26" s="1"/>
  <c r="G709" i="26"/>
  <c r="R708" i="26"/>
  <c r="Q708" i="26"/>
  <c r="P708" i="26"/>
  <c r="O708" i="26"/>
  <c r="N708" i="26"/>
  <c r="I708" i="26"/>
  <c r="L708" i="26" s="1"/>
  <c r="R707" i="26"/>
  <c r="Q707" i="26"/>
  <c r="P707" i="26"/>
  <c r="O707" i="26"/>
  <c r="N707" i="26"/>
  <c r="I707" i="26"/>
  <c r="L707" i="26" s="1"/>
  <c r="G707" i="26"/>
  <c r="R706" i="26"/>
  <c r="Q706" i="26"/>
  <c r="P706" i="26"/>
  <c r="O706" i="26"/>
  <c r="N706" i="26"/>
  <c r="I706" i="26"/>
  <c r="L706" i="26" s="1"/>
  <c r="R705" i="26"/>
  <c r="Q705" i="26"/>
  <c r="P705" i="26"/>
  <c r="O705" i="26"/>
  <c r="N705" i="26"/>
  <c r="I705" i="26"/>
  <c r="L705" i="26" s="1"/>
  <c r="R704" i="26"/>
  <c r="Q704" i="26"/>
  <c r="P704" i="26"/>
  <c r="O704" i="26"/>
  <c r="N704" i="26"/>
  <c r="L704" i="26"/>
  <c r="G704" i="26"/>
  <c r="R703" i="26"/>
  <c r="Q703" i="26"/>
  <c r="P703" i="26"/>
  <c r="O703" i="26"/>
  <c r="N703" i="26"/>
  <c r="I703" i="26"/>
  <c r="L703" i="26" s="1"/>
  <c r="G703" i="26"/>
  <c r="R702" i="26"/>
  <c r="Q702" i="26"/>
  <c r="P702" i="26"/>
  <c r="O702" i="26"/>
  <c r="N702" i="26"/>
  <c r="M702" i="26"/>
  <c r="R700" i="26"/>
  <c r="Q700" i="26"/>
  <c r="P700" i="26"/>
  <c r="O700" i="26"/>
  <c r="N700" i="26"/>
  <c r="L700" i="26"/>
  <c r="G700" i="26"/>
  <c r="R699" i="26"/>
  <c r="Q699" i="26"/>
  <c r="P699" i="26"/>
  <c r="O699" i="26"/>
  <c r="N699" i="26"/>
  <c r="L699" i="26"/>
  <c r="G699" i="26"/>
  <c r="R698" i="26"/>
  <c r="Q698" i="26"/>
  <c r="P698" i="26"/>
  <c r="O698" i="26"/>
  <c r="N698" i="26"/>
  <c r="L698" i="26"/>
  <c r="G698" i="26"/>
  <c r="R697" i="26"/>
  <c r="Q697" i="26"/>
  <c r="P697" i="26"/>
  <c r="O697" i="26"/>
  <c r="N697" i="26"/>
  <c r="L697" i="26"/>
  <c r="G697" i="26"/>
  <c r="R696" i="26"/>
  <c r="Q696" i="26"/>
  <c r="P696" i="26"/>
  <c r="O696" i="26"/>
  <c r="N696" i="26"/>
  <c r="L696" i="26"/>
  <c r="M696" i="26" s="1"/>
  <c r="R695" i="26"/>
  <c r="Q695" i="26"/>
  <c r="P695" i="26"/>
  <c r="O695" i="26"/>
  <c r="N695" i="26"/>
  <c r="L695" i="26"/>
  <c r="G695" i="26"/>
  <c r="R694" i="26"/>
  <c r="Q694" i="26"/>
  <c r="P694" i="26"/>
  <c r="O694" i="26"/>
  <c r="N694" i="26"/>
  <c r="L694" i="26"/>
  <c r="G694" i="26"/>
  <c r="R693" i="26"/>
  <c r="Q693" i="26"/>
  <c r="P693" i="26"/>
  <c r="O693" i="26"/>
  <c r="N693" i="26"/>
  <c r="I693" i="26"/>
  <c r="L693" i="26" s="1"/>
  <c r="M693" i="26" s="1"/>
  <c r="R692" i="26"/>
  <c r="Q692" i="26"/>
  <c r="P692" i="26"/>
  <c r="O692" i="26"/>
  <c r="N692" i="26"/>
  <c r="I692" i="26"/>
  <c r="L692" i="26" s="1"/>
  <c r="G692" i="26"/>
  <c r="R691" i="26"/>
  <c r="Q691" i="26"/>
  <c r="P691" i="26"/>
  <c r="O691" i="26"/>
  <c r="N691" i="26"/>
  <c r="I691" i="26"/>
  <c r="L691" i="26" s="1"/>
  <c r="G691" i="26"/>
  <c r="R690" i="26"/>
  <c r="Q690" i="26"/>
  <c r="P690" i="26"/>
  <c r="O690" i="26"/>
  <c r="N690" i="26"/>
  <c r="I690" i="26"/>
  <c r="L690" i="26" s="1"/>
  <c r="M690" i="26" s="1"/>
  <c r="R689" i="26"/>
  <c r="Q689" i="26"/>
  <c r="P689" i="26"/>
  <c r="O689" i="26"/>
  <c r="N689" i="26"/>
  <c r="I689" i="26"/>
  <c r="L689" i="26" s="1"/>
  <c r="M689" i="26" s="1"/>
  <c r="R688" i="26"/>
  <c r="Q688" i="26"/>
  <c r="P688" i="26"/>
  <c r="O688" i="26"/>
  <c r="N688" i="26"/>
  <c r="I688" i="26"/>
  <c r="L688" i="26" s="1"/>
  <c r="G688" i="26"/>
  <c r="R687" i="26"/>
  <c r="Q687" i="26"/>
  <c r="P687" i="26"/>
  <c r="O687" i="26"/>
  <c r="N687" i="26"/>
  <c r="I687" i="26"/>
  <c r="L687" i="26" s="1"/>
  <c r="G687" i="26"/>
  <c r="R686" i="26"/>
  <c r="Q686" i="26"/>
  <c r="P686" i="26"/>
  <c r="O686" i="26"/>
  <c r="N686" i="26"/>
  <c r="I686" i="26"/>
  <c r="L686" i="26" s="1"/>
  <c r="G686" i="26"/>
  <c r="R685" i="26"/>
  <c r="Q685" i="26"/>
  <c r="P685" i="26"/>
  <c r="O685" i="26"/>
  <c r="N685" i="26"/>
  <c r="I685" i="26"/>
  <c r="L685" i="26" s="1"/>
  <c r="G685" i="26"/>
  <c r="R684" i="26"/>
  <c r="Q684" i="26"/>
  <c r="P684" i="26"/>
  <c r="O684" i="26"/>
  <c r="N684" i="26"/>
  <c r="I684" i="26"/>
  <c r="L684" i="26" s="1"/>
  <c r="G684" i="26"/>
  <c r="R683" i="26"/>
  <c r="Q683" i="26"/>
  <c r="P683" i="26"/>
  <c r="O683" i="26"/>
  <c r="N683" i="26"/>
  <c r="I683" i="26"/>
  <c r="L683" i="26" s="1"/>
  <c r="G683" i="26"/>
  <c r="R682" i="26"/>
  <c r="Q682" i="26"/>
  <c r="P682" i="26"/>
  <c r="O682" i="26"/>
  <c r="N682" i="26"/>
  <c r="I682" i="26"/>
  <c r="L682" i="26" s="1"/>
  <c r="G682" i="26"/>
  <c r="R681" i="26"/>
  <c r="Q681" i="26"/>
  <c r="P681" i="26"/>
  <c r="O681" i="26"/>
  <c r="N681" i="26"/>
  <c r="I681" i="26"/>
  <c r="L681" i="26" s="1"/>
  <c r="M681" i="26" s="1"/>
  <c r="R680" i="26"/>
  <c r="Q680" i="26"/>
  <c r="P680" i="26"/>
  <c r="O680" i="26"/>
  <c r="N680" i="26"/>
  <c r="I680" i="26"/>
  <c r="L680" i="26" s="1"/>
  <c r="M680" i="26" s="1"/>
  <c r="R679" i="26"/>
  <c r="Q679" i="26"/>
  <c r="P679" i="26"/>
  <c r="O679" i="26"/>
  <c r="N679" i="26"/>
  <c r="I679" i="26"/>
  <c r="L679" i="26" s="1"/>
  <c r="G679" i="26"/>
  <c r="R678" i="26"/>
  <c r="Q678" i="26"/>
  <c r="P678" i="26"/>
  <c r="O678" i="26"/>
  <c r="N678" i="26"/>
  <c r="I678" i="26"/>
  <c r="L678" i="26" s="1"/>
  <c r="M678" i="26" s="1"/>
  <c r="R677" i="26"/>
  <c r="Q677" i="26"/>
  <c r="P677" i="26"/>
  <c r="O677" i="26"/>
  <c r="N677" i="26"/>
  <c r="I677" i="26"/>
  <c r="L677" i="26" s="1"/>
  <c r="M677" i="26" s="1"/>
  <c r="R676" i="26"/>
  <c r="Q676" i="26"/>
  <c r="P676" i="26"/>
  <c r="O676" i="26"/>
  <c r="N676" i="26"/>
  <c r="I676" i="26"/>
  <c r="L676" i="26" s="1"/>
  <c r="G676" i="26"/>
  <c r="R675" i="26"/>
  <c r="Q675" i="26"/>
  <c r="P675" i="26"/>
  <c r="O675" i="26"/>
  <c r="N675" i="26"/>
  <c r="I675" i="26"/>
  <c r="L675" i="26" s="1"/>
  <c r="G675" i="26"/>
  <c r="R674" i="26"/>
  <c r="Q674" i="26"/>
  <c r="P674" i="26"/>
  <c r="O674" i="26"/>
  <c r="N674" i="26"/>
  <c r="I674" i="26"/>
  <c r="L674" i="26" s="1"/>
  <c r="M674" i="26" s="1"/>
  <c r="R673" i="26"/>
  <c r="Q673" i="26"/>
  <c r="P673" i="26"/>
  <c r="O673" i="26"/>
  <c r="N673" i="26"/>
  <c r="M673" i="26"/>
  <c r="R671" i="26"/>
  <c r="Q671" i="26"/>
  <c r="P671" i="26"/>
  <c r="O671" i="26"/>
  <c r="N671" i="26"/>
  <c r="L671" i="26"/>
  <c r="G671" i="26"/>
  <c r="R670" i="26"/>
  <c r="Q670" i="26"/>
  <c r="P670" i="26"/>
  <c r="O670" i="26"/>
  <c r="N670" i="26"/>
  <c r="L670" i="26"/>
  <c r="G670" i="26"/>
  <c r="R669" i="26"/>
  <c r="Q669" i="26"/>
  <c r="P669" i="26"/>
  <c r="O669" i="26"/>
  <c r="N669" i="26"/>
  <c r="L669" i="26"/>
  <c r="G669" i="26"/>
  <c r="R668" i="26"/>
  <c r="Q668" i="26"/>
  <c r="P668" i="26"/>
  <c r="O668" i="26"/>
  <c r="N668" i="26"/>
  <c r="L668" i="26"/>
  <c r="G668" i="26"/>
  <c r="R667" i="26"/>
  <c r="Q667" i="26"/>
  <c r="P667" i="26"/>
  <c r="O667" i="26"/>
  <c r="N667" i="26"/>
  <c r="I667" i="26"/>
  <c r="L667" i="26" s="1"/>
  <c r="M667" i="26" s="1"/>
  <c r="R666" i="26"/>
  <c r="Q666" i="26"/>
  <c r="P666" i="26"/>
  <c r="O666" i="26"/>
  <c r="N666" i="26"/>
  <c r="I666" i="26"/>
  <c r="L666" i="26" s="1"/>
  <c r="M666" i="26" s="1"/>
  <c r="R665" i="26"/>
  <c r="Q665" i="26"/>
  <c r="P665" i="26"/>
  <c r="O665" i="26"/>
  <c r="N665" i="26"/>
  <c r="I665" i="26"/>
  <c r="L665" i="26" s="1"/>
  <c r="M665" i="26" s="1"/>
  <c r="R664" i="26"/>
  <c r="Q664" i="26"/>
  <c r="P664" i="26"/>
  <c r="O664" i="26"/>
  <c r="N664" i="26"/>
  <c r="I664" i="26"/>
  <c r="L664" i="26" s="1"/>
  <c r="M664" i="26" s="1"/>
  <c r="R663" i="26"/>
  <c r="Q663" i="26"/>
  <c r="P663" i="26"/>
  <c r="O663" i="26"/>
  <c r="N663" i="26"/>
  <c r="I663" i="26"/>
  <c r="L663" i="26" s="1"/>
  <c r="G663" i="26"/>
  <c r="R662" i="26"/>
  <c r="Q662" i="26"/>
  <c r="P662" i="26"/>
  <c r="O662" i="26"/>
  <c r="N662" i="26"/>
  <c r="I662" i="26"/>
  <c r="L662" i="26" s="1"/>
  <c r="G662" i="26"/>
  <c r="R661" i="26"/>
  <c r="Q661" i="26"/>
  <c r="P661" i="26"/>
  <c r="O661" i="26"/>
  <c r="N661" i="26"/>
  <c r="M661" i="26"/>
  <c r="R659" i="26"/>
  <c r="Q659" i="26"/>
  <c r="P659" i="26"/>
  <c r="O659" i="26"/>
  <c r="N659" i="26"/>
  <c r="L659" i="26"/>
  <c r="G659" i="26"/>
  <c r="R658" i="26"/>
  <c r="Q658" i="26"/>
  <c r="P658" i="26"/>
  <c r="O658" i="26"/>
  <c r="N658" i="26"/>
  <c r="L658" i="26"/>
  <c r="G658" i="26"/>
  <c r="R657" i="26"/>
  <c r="Q657" i="26"/>
  <c r="P657" i="26"/>
  <c r="O657" i="26"/>
  <c r="N657" i="26"/>
  <c r="L657" i="26"/>
  <c r="G657" i="26"/>
  <c r="R656" i="26"/>
  <c r="Q656" i="26"/>
  <c r="P656" i="26"/>
  <c r="O656" i="26"/>
  <c r="N656" i="26"/>
  <c r="L656" i="26"/>
  <c r="G656" i="26"/>
  <c r="R655" i="26"/>
  <c r="Q655" i="26"/>
  <c r="P655" i="26"/>
  <c r="O655" i="26"/>
  <c r="N655" i="26"/>
  <c r="I655" i="26"/>
  <c r="L655" i="26" s="1"/>
  <c r="G655" i="26"/>
  <c r="R654" i="26"/>
  <c r="Q654" i="26"/>
  <c r="P654" i="26"/>
  <c r="O654" i="26"/>
  <c r="N654" i="26"/>
  <c r="I654" i="26"/>
  <c r="L654" i="26" s="1"/>
  <c r="G654" i="26"/>
  <c r="R653" i="26"/>
  <c r="Q653" i="26"/>
  <c r="P653" i="26"/>
  <c r="O653" i="26"/>
  <c r="N653" i="26"/>
  <c r="I653" i="26"/>
  <c r="L653" i="26" s="1"/>
  <c r="M653" i="26" s="1"/>
  <c r="R652" i="26"/>
  <c r="Q652" i="26"/>
  <c r="P652" i="26"/>
  <c r="O652" i="26"/>
  <c r="N652" i="26"/>
  <c r="I652" i="26"/>
  <c r="L652" i="26" s="1"/>
  <c r="G652" i="26"/>
  <c r="R651" i="26"/>
  <c r="Q651" i="26"/>
  <c r="P651" i="26"/>
  <c r="O651" i="26"/>
  <c r="N651" i="26"/>
  <c r="I651" i="26"/>
  <c r="L651" i="26" s="1"/>
  <c r="M651" i="26" s="1"/>
  <c r="R650" i="26"/>
  <c r="Q650" i="26"/>
  <c r="P650" i="26"/>
  <c r="O650" i="26"/>
  <c r="N650" i="26"/>
  <c r="I650" i="26"/>
  <c r="L650" i="26" s="1"/>
  <c r="G650" i="26"/>
  <c r="R649" i="26"/>
  <c r="Q649" i="26"/>
  <c r="P649" i="26"/>
  <c r="O649" i="26"/>
  <c r="N649" i="26"/>
  <c r="I649" i="26"/>
  <c r="L649" i="26" s="1"/>
  <c r="G649" i="26"/>
  <c r="R648" i="26"/>
  <c r="Q648" i="26"/>
  <c r="P648" i="26"/>
  <c r="O648" i="26"/>
  <c r="N648" i="26"/>
  <c r="I648" i="26"/>
  <c r="L648" i="26" s="1"/>
  <c r="G648" i="26"/>
  <c r="R647" i="26"/>
  <c r="Q647" i="26"/>
  <c r="P647" i="26"/>
  <c r="O647" i="26"/>
  <c r="N647" i="26"/>
  <c r="I647" i="26"/>
  <c r="L647" i="26" s="1"/>
  <c r="G647" i="26"/>
  <c r="R646" i="26"/>
  <c r="Q646" i="26"/>
  <c r="P646" i="26"/>
  <c r="O646" i="26"/>
  <c r="N646" i="26"/>
  <c r="M646" i="26"/>
  <c r="R645" i="26"/>
  <c r="Q645" i="26"/>
  <c r="P645" i="26"/>
  <c r="O645" i="26"/>
  <c r="N645" i="26"/>
  <c r="M645" i="26"/>
  <c r="L645" i="26"/>
  <c r="R643" i="26"/>
  <c r="Q643" i="26"/>
  <c r="P643" i="26"/>
  <c r="O643" i="26"/>
  <c r="N643" i="26"/>
  <c r="L643" i="26"/>
  <c r="M643" i="26" s="1"/>
  <c r="R642" i="26"/>
  <c r="Q642" i="26"/>
  <c r="P642" i="26"/>
  <c r="O642" i="26"/>
  <c r="N642" i="26"/>
  <c r="L642" i="26"/>
  <c r="M642" i="26" s="1"/>
  <c r="R641" i="26"/>
  <c r="Q641" i="26"/>
  <c r="P641" i="26"/>
  <c r="O641" i="26"/>
  <c r="N641" i="26"/>
  <c r="I641" i="26"/>
  <c r="L641" i="26" s="1"/>
  <c r="M641" i="26" s="1"/>
  <c r="R640" i="26"/>
  <c r="Q640" i="26"/>
  <c r="P640" i="26"/>
  <c r="O640" i="26"/>
  <c r="M640" i="26"/>
  <c r="I640" i="26"/>
  <c r="L640" i="26" s="1"/>
  <c r="G640" i="26"/>
  <c r="R639" i="26"/>
  <c r="Q639" i="26"/>
  <c r="P639" i="26"/>
  <c r="N639" i="26"/>
  <c r="M639" i="26"/>
  <c r="L639" i="26"/>
  <c r="O639" i="26" s="1"/>
  <c r="R638" i="26"/>
  <c r="Q638" i="26"/>
  <c r="P638" i="26"/>
  <c r="O638" i="26"/>
  <c r="N638" i="26"/>
  <c r="I638" i="26"/>
  <c r="L638" i="26" s="1"/>
  <c r="M638" i="26" s="1"/>
  <c r="R637" i="26"/>
  <c r="Q637" i="26"/>
  <c r="P637" i="26"/>
  <c r="O637" i="26"/>
  <c r="M637" i="26"/>
  <c r="L637" i="26"/>
  <c r="N637" i="26" s="1"/>
  <c r="R636" i="26"/>
  <c r="Q636" i="26"/>
  <c r="P636" i="26"/>
  <c r="O636" i="26"/>
  <c r="M636" i="26"/>
  <c r="L636" i="26"/>
  <c r="N636" i="26" s="1"/>
  <c r="R635" i="26"/>
  <c r="Q635" i="26"/>
  <c r="P635" i="26"/>
  <c r="O635" i="26"/>
  <c r="N635" i="26"/>
  <c r="M635" i="26"/>
  <c r="L635" i="26"/>
  <c r="R632" i="26"/>
  <c r="Q632" i="26"/>
  <c r="P632" i="26"/>
  <c r="O632" i="26"/>
  <c r="N632" i="26"/>
  <c r="I632" i="26"/>
  <c r="L632" i="26" s="1"/>
  <c r="G632" i="26"/>
  <c r="R631" i="26"/>
  <c r="Q631" i="26"/>
  <c r="P631" i="26"/>
  <c r="O631" i="26"/>
  <c r="M631" i="26"/>
  <c r="I631" i="26"/>
  <c r="L631" i="26" s="1"/>
  <c r="G631" i="26"/>
  <c r="R630" i="26"/>
  <c r="Q630" i="26"/>
  <c r="P630" i="26"/>
  <c r="N630" i="26"/>
  <c r="M630" i="26"/>
  <c r="I630" i="26"/>
  <c r="L630" i="26" s="1"/>
  <c r="G630" i="26"/>
  <c r="R629" i="26"/>
  <c r="Q629" i="26"/>
  <c r="P629" i="26"/>
  <c r="O629" i="26"/>
  <c r="N629" i="26"/>
  <c r="I629" i="26"/>
  <c r="L629" i="26" s="1"/>
  <c r="G629" i="26"/>
  <c r="R628" i="26"/>
  <c r="Q628" i="26"/>
  <c r="P628" i="26"/>
  <c r="O628" i="26"/>
  <c r="M628" i="26"/>
  <c r="L628" i="26"/>
  <c r="G628" i="26"/>
  <c r="R627" i="26"/>
  <c r="Q627" i="26"/>
  <c r="P627" i="26"/>
  <c r="O627" i="26"/>
  <c r="N627" i="26"/>
  <c r="M627" i="26"/>
  <c r="L627" i="26"/>
  <c r="R625" i="26"/>
  <c r="Q625" i="26"/>
  <c r="P625" i="26"/>
  <c r="O625" i="26"/>
  <c r="N625" i="26"/>
  <c r="I625" i="26"/>
  <c r="L625" i="26" s="1"/>
  <c r="G625" i="26"/>
  <c r="R624" i="26"/>
  <c r="Q624" i="26"/>
  <c r="P624" i="26"/>
  <c r="O624" i="26"/>
  <c r="M624" i="26"/>
  <c r="I624" i="26"/>
  <c r="L624" i="26" s="1"/>
  <c r="G624" i="26"/>
  <c r="R623" i="26"/>
  <c r="Q623" i="26"/>
  <c r="P623" i="26"/>
  <c r="N623" i="26"/>
  <c r="M623" i="26"/>
  <c r="I623" i="26"/>
  <c r="L623" i="26" s="1"/>
  <c r="G623" i="26"/>
  <c r="R622" i="26"/>
  <c r="Q622" i="26"/>
  <c r="P622" i="26"/>
  <c r="O622" i="26"/>
  <c r="N622" i="26"/>
  <c r="I622" i="26"/>
  <c r="L622" i="26" s="1"/>
  <c r="G622" i="26"/>
  <c r="M622" i="26" s="1"/>
  <c r="R621" i="26"/>
  <c r="Q621" i="26"/>
  <c r="P621" i="26"/>
  <c r="O621" i="26"/>
  <c r="M621" i="26"/>
  <c r="L621" i="26"/>
  <c r="G621" i="26"/>
  <c r="R620" i="26"/>
  <c r="Q620" i="26"/>
  <c r="P620" i="26"/>
  <c r="O620" i="26"/>
  <c r="N620" i="26"/>
  <c r="M620" i="26"/>
  <c r="L620" i="26"/>
  <c r="R618" i="26"/>
  <c r="Q618" i="26"/>
  <c r="P618" i="26"/>
  <c r="O618" i="26"/>
  <c r="N618" i="26"/>
  <c r="L618" i="26"/>
  <c r="G618" i="26"/>
  <c r="R617" i="26"/>
  <c r="Q617" i="26"/>
  <c r="P617" i="26"/>
  <c r="O617" i="26"/>
  <c r="N617" i="26"/>
  <c r="L617" i="26"/>
  <c r="M617" i="26" s="1"/>
  <c r="R616" i="26"/>
  <c r="Q616" i="26"/>
  <c r="P616" i="26"/>
  <c r="O616" i="26"/>
  <c r="N616" i="26"/>
  <c r="I616" i="26"/>
  <c r="L616" i="26" s="1"/>
  <c r="G616" i="26"/>
  <c r="R615" i="26"/>
  <c r="Q615" i="26"/>
  <c r="P615" i="26"/>
  <c r="O615" i="26"/>
  <c r="N615" i="26"/>
  <c r="I615" i="26"/>
  <c r="L615" i="26" s="1"/>
  <c r="G615" i="26"/>
  <c r="R614" i="26"/>
  <c r="Q614" i="26"/>
  <c r="P614" i="26"/>
  <c r="O614" i="26"/>
  <c r="N614" i="26"/>
  <c r="M614" i="26"/>
  <c r="R612" i="26"/>
  <c r="Q612" i="26"/>
  <c r="P612" i="26"/>
  <c r="O612" i="26"/>
  <c r="N612" i="26"/>
  <c r="L612" i="26"/>
  <c r="G612" i="26"/>
  <c r="R611" i="26"/>
  <c r="Q611" i="26"/>
  <c r="P611" i="26"/>
  <c r="O611" i="26"/>
  <c r="N611" i="26"/>
  <c r="L611" i="26"/>
  <c r="G611" i="26"/>
  <c r="R610" i="26"/>
  <c r="Q610" i="26"/>
  <c r="P610" i="26"/>
  <c r="O610" i="26"/>
  <c r="N610" i="26"/>
  <c r="L610" i="26"/>
  <c r="G610" i="26"/>
  <c r="R609" i="26"/>
  <c r="Q609" i="26"/>
  <c r="P609" i="26"/>
  <c r="O609" i="26"/>
  <c r="N609" i="26"/>
  <c r="L609" i="26"/>
  <c r="G609" i="26"/>
  <c r="R608" i="26"/>
  <c r="Q608" i="26"/>
  <c r="P608" i="26"/>
  <c r="O608" i="26"/>
  <c r="N608" i="26"/>
  <c r="I608" i="26"/>
  <c r="L608" i="26" s="1"/>
  <c r="G608" i="26"/>
  <c r="R607" i="26"/>
  <c r="Q607" i="26"/>
  <c r="P607" i="26"/>
  <c r="O607" i="26"/>
  <c r="N607" i="26"/>
  <c r="I607" i="26"/>
  <c r="L607" i="26" s="1"/>
  <c r="M607" i="26" s="1"/>
  <c r="R606" i="26"/>
  <c r="Q606" i="26"/>
  <c r="P606" i="26"/>
  <c r="O606" i="26"/>
  <c r="N606" i="26"/>
  <c r="I606" i="26"/>
  <c r="L606" i="26" s="1"/>
  <c r="M606" i="26" s="1"/>
  <c r="R605" i="26"/>
  <c r="Q605" i="26"/>
  <c r="P605" i="26"/>
  <c r="O605" i="26"/>
  <c r="N605" i="26"/>
  <c r="I605" i="26"/>
  <c r="L605" i="26" s="1"/>
  <c r="G605" i="26"/>
  <c r="R604" i="26"/>
  <c r="Q604" i="26"/>
  <c r="P604" i="26"/>
  <c r="O604" i="26"/>
  <c r="N604" i="26"/>
  <c r="I604" i="26"/>
  <c r="L604" i="26" s="1"/>
  <c r="M604" i="26" s="1"/>
  <c r="R603" i="26"/>
  <c r="Q603" i="26"/>
  <c r="P603" i="26"/>
  <c r="O603" i="26"/>
  <c r="N603" i="26"/>
  <c r="I603" i="26"/>
  <c r="L603" i="26" s="1"/>
  <c r="G603" i="26"/>
  <c r="R602" i="26"/>
  <c r="Q602" i="26"/>
  <c r="P602" i="26"/>
  <c r="O602" i="26"/>
  <c r="N602" i="26"/>
  <c r="I602" i="26"/>
  <c r="L602" i="26" s="1"/>
  <c r="G602" i="26"/>
  <c r="R601" i="26"/>
  <c r="Q601" i="26"/>
  <c r="P601" i="26"/>
  <c r="O601" i="26"/>
  <c r="N601" i="26"/>
  <c r="M601" i="26"/>
  <c r="R599" i="26"/>
  <c r="Q599" i="26"/>
  <c r="P599" i="26"/>
  <c r="O599" i="26"/>
  <c r="N599" i="26"/>
  <c r="L599" i="26"/>
  <c r="G599" i="26"/>
  <c r="R598" i="26"/>
  <c r="Q598" i="26"/>
  <c r="P598" i="26"/>
  <c r="O598" i="26"/>
  <c r="N598" i="26"/>
  <c r="L598" i="26"/>
  <c r="G598" i="26"/>
  <c r="R597" i="26"/>
  <c r="Q597" i="26"/>
  <c r="P597" i="26"/>
  <c r="O597" i="26"/>
  <c r="N597" i="26"/>
  <c r="L597" i="26"/>
  <c r="G597" i="26"/>
  <c r="R596" i="26"/>
  <c r="Q596" i="26"/>
  <c r="P596" i="26"/>
  <c r="O596" i="26"/>
  <c r="N596" i="26"/>
  <c r="L596" i="26"/>
  <c r="G596" i="26"/>
  <c r="R595" i="26"/>
  <c r="Q595" i="26"/>
  <c r="P595" i="26"/>
  <c r="O595" i="26"/>
  <c r="N595" i="26"/>
  <c r="I595" i="26"/>
  <c r="L595" i="26" s="1"/>
  <c r="G595" i="26"/>
  <c r="R594" i="26"/>
  <c r="Q594" i="26"/>
  <c r="P594" i="26"/>
  <c r="O594" i="26"/>
  <c r="N594" i="26"/>
  <c r="I594" i="26"/>
  <c r="L594" i="26" s="1"/>
  <c r="G594" i="26"/>
  <c r="R593" i="26"/>
  <c r="Q593" i="26"/>
  <c r="P593" i="26"/>
  <c r="O593" i="26"/>
  <c r="N593" i="26"/>
  <c r="I593" i="26"/>
  <c r="L593" i="26" s="1"/>
  <c r="G593" i="26"/>
  <c r="R592" i="26"/>
  <c r="Q592" i="26"/>
  <c r="P592" i="26"/>
  <c r="O592" i="26"/>
  <c r="N592" i="26"/>
  <c r="I592" i="26"/>
  <c r="L592" i="26" s="1"/>
  <c r="M592" i="26" s="1"/>
  <c r="R591" i="26"/>
  <c r="Q591" i="26"/>
  <c r="P591" i="26"/>
  <c r="O591" i="26"/>
  <c r="N591" i="26"/>
  <c r="I591" i="26"/>
  <c r="L591" i="26" s="1"/>
  <c r="G591" i="26"/>
  <c r="R590" i="26"/>
  <c r="Q590" i="26"/>
  <c r="P590" i="26"/>
  <c r="O590" i="26"/>
  <c r="N590" i="26"/>
  <c r="I590" i="26"/>
  <c r="L590" i="26" s="1"/>
  <c r="G590" i="26"/>
  <c r="R589" i="26"/>
  <c r="Q589" i="26"/>
  <c r="P589" i="26"/>
  <c r="O589" i="26"/>
  <c r="N589" i="26"/>
  <c r="I589" i="26"/>
  <c r="L589" i="26" s="1"/>
  <c r="G589" i="26"/>
  <c r="R588" i="26"/>
  <c r="Q588" i="26"/>
  <c r="P588" i="26"/>
  <c r="O588" i="26"/>
  <c r="N588" i="26"/>
  <c r="I588" i="26"/>
  <c r="L588" i="26" s="1"/>
  <c r="M588" i="26" s="1"/>
  <c r="R587" i="26"/>
  <c r="Q587" i="26"/>
  <c r="P587" i="26"/>
  <c r="O587" i="26"/>
  <c r="N587" i="26"/>
  <c r="I587" i="26"/>
  <c r="L587" i="26" s="1"/>
  <c r="G587" i="26"/>
  <c r="R586" i="26"/>
  <c r="Q586" i="26"/>
  <c r="P586" i="26"/>
  <c r="O586" i="26"/>
  <c r="N586" i="26"/>
  <c r="I586" i="26"/>
  <c r="L586" i="26" s="1"/>
  <c r="M586" i="26" s="1"/>
  <c r="R585" i="26"/>
  <c r="Q585" i="26"/>
  <c r="P585" i="26"/>
  <c r="O585" i="26"/>
  <c r="N585" i="26"/>
  <c r="I585" i="26"/>
  <c r="L585" i="26" s="1"/>
  <c r="G585" i="26"/>
  <c r="R584" i="26"/>
  <c r="Q584" i="26"/>
  <c r="P584" i="26"/>
  <c r="O584" i="26"/>
  <c r="N584" i="26"/>
  <c r="I584" i="26"/>
  <c r="L584" i="26" s="1"/>
  <c r="G584" i="26"/>
  <c r="R583" i="26"/>
  <c r="Q583" i="26"/>
  <c r="P583" i="26"/>
  <c r="O583" i="26"/>
  <c r="N583" i="26"/>
  <c r="I583" i="26"/>
  <c r="L583" i="26" s="1"/>
  <c r="G583" i="26"/>
  <c r="R582" i="26"/>
  <c r="Q582" i="26"/>
  <c r="P582" i="26"/>
  <c r="O582" i="26"/>
  <c r="N582" i="26"/>
  <c r="I582" i="26"/>
  <c r="L582" i="26" s="1"/>
  <c r="M582" i="26" s="1"/>
  <c r="R581" i="26"/>
  <c r="Q581" i="26"/>
  <c r="P581" i="26"/>
  <c r="O581" i="26"/>
  <c r="N581" i="26"/>
  <c r="I581" i="26"/>
  <c r="L581" i="26" s="1"/>
  <c r="G581" i="26"/>
  <c r="R580" i="26"/>
  <c r="Q580" i="26"/>
  <c r="P580" i="26"/>
  <c r="O580" i="26"/>
  <c r="N580" i="26"/>
  <c r="M580" i="26"/>
  <c r="R578" i="26"/>
  <c r="Q578" i="26"/>
  <c r="P578" i="26"/>
  <c r="O578" i="26"/>
  <c r="N578" i="26"/>
  <c r="L578" i="26"/>
  <c r="G578" i="26"/>
  <c r="R577" i="26"/>
  <c r="Q577" i="26"/>
  <c r="P577" i="26"/>
  <c r="O577" i="26"/>
  <c r="N577" i="26"/>
  <c r="L577" i="26"/>
  <c r="G577" i="26"/>
  <c r="R576" i="26"/>
  <c r="Q576" i="26"/>
  <c r="P576" i="26"/>
  <c r="O576" i="26"/>
  <c r="N576" i="26"/>
  <c r="L576" i="26"/>
  <c r="G576" i="26"/>
  <c r="R575" i="26"/>
  <c r="Q575" i="26"/>
  <c r="P575" i="26"/>
  <c r="O575" i="26"/>
  <c r="N575" i="26"/>
  <c r="L575" i="26"/>
  <c r="G575" i="26"/>
  <c r="R574" i="26"/>
  <c r="Q574" i="26"/>
  <c r="P574" i="26"/>
  <c r="O574" i="26"/>
  <c r="N574" i="26"/>
  <c r="I574" i="26"/>
  <c r="L574" i="26" s="1"/>
  <c r="M574" i="26" s="1"/>
  <c r="R573" i="26"/>
  <c r="Q573" i="26"/>
  <c r="P573" i="26"/>
  <c r="O573" i="26"/>
  <c r="N573" i="26"/>
  <c r="I573" i="26"/>
  <c r="L573" i="26" s="1"/>
  <c r="M573" i="26" s="1"/>
  <c r="R572" i="26"/>
  <c r="Q572" i="26"/>
  <c r="P572" i="26"/>
  <c r="O572" i="26"/>
  <c r="N572" i="26"/>
  <c r="I572" i="26"/>
  <c r="L572" i="26" s="1"/>
  <c r="M572" i="26" s="1"/>
  <c r="R571" i="26"/>
  <c r="Q571" i="26"/>
  <c r="P571" i="26"/>
  <c r="O571" i="26"/>
  <c r="N571" i="26"/>
  <c r="I571" i="26"/>
  <c r="L571" i="26" s="1"/>
  <c r="M571" i="26" s="1"/>
  <c r="R570" i="26"/>
  <c r="Q570" i="26"/>
  <c r="P570" i="26"/>
  <c r="O570" i="26"/>
  <c r="N570" i="26"/>
  <c r="I570" i="26"/>
  <c r="L570" i="26" s="1"/>
  <c r="G570" i="26"/>
  <c r="R569" i="26"/>
  <c r="Q569" i="26"/>
  <c r="P569" i="26"/>
  <c r="O569" i="26"/>
  <c r="N569" i="26"/>
  <c r="I569" i="26"/>
  <c r="L569" i="26" s="1"/>
  <c r="M569" i="26" s="1"/>
  <c r="R568" i="26"/>
  <c r="Q568" i="26"/>
  <c r="P568" i="26"/>
  <c r="O568" i="26"/>
  <c r="N568" i="26"/>
  <c r="M568" i="26"/>
  <c r="R566" i="26"/>
  <c r="Q566" i="26"/>
  <c r="P566" i="26"/>
  <c r="O566" i="26"/>
  <c r="N566" i="26"/>
  <c r="I566" i="26"/>
  <c r="L566" i="26" s="1"/>
  <c r="G566" i="26"/>
  <c r="R565" i="26"/>
  <c r="Q565" i="26"/>
  <c r="P565" i="26"/>
  <c r="O565" i="26"/>
  <c r="N565" i="26"/>
  <c r="L565" i="26"/>
  <c r="G565" i="26"/>
  <c r="R564" i="26"/>
  <c r="Q564" i="26"/>
  <c r="P564" i="26"/>
  <c r="O564" i="26"/>
  <c r="N564" i="26"/>
  <c r="L564" i="26"/>
  <c r="G564" i="26"/>
  <c r="R563" i="26"/>
  <c r="Q563" i="26"/>
  <c r="P563" i="26"/>
  <c r="O563" i="26"/>
  <c r="N563" i="26"/>
  <c r="L563" i="26"/>
  <c r="G563" i="26"/>
  <c r="R562" i="26"/>
  <c r="Q562" i="26"/>
  <c r="P562" i="26"/>
  <c r="O562" i="26"/>
  <c r="N562" i="26"/>
  <c r="L562" i="26"/>
  <c r="G562" i="26"/>
  <c r="R561" i="26"/>
  <c r="Q561" i="26"/>
  <c r="P561" i="26"/>
  <c r="O561" i="26"/>
  <c r="N561" i="26"/>
  <c r="I561" i="26"/>
  <c r="L561" i="26" s="1"/>
  <c r="G561" i="26"/>
  <c r="R560" i="26"/>
  <c r="Q560" i="26"/>
  <c r="P560" i="26"/>
  <c r="O560" i="26"/>
  <c r="N560" i="26"/>
  <c r="I560" i="26"/>
  <c r="L560" i="26" s="1"/>
  <c r="M560" i="26" s="1"/>
  <c r="R559" i="26"/>
  <c r="Q559" i="26"/>
  <c r="P559" i="26"/>
  <c r="O559" i="26"/>
  <c r="N559" i="26"/>
  <c r="I559" i="26"/>
  <c r="L559" i="26" s="1"/>
  <c r="M559" i="26" s="1"/>
  <c r="R558" i="26"/>
  <c r="Q558" i="26"/>
  <c r="P558" i="26"/>
  <c r="O558" i="26"/>
  <c r="N558" i="26"/>
  <c r="I558" i="26"/>
  <c r="L558" i="26" s="1"/>
  <c r="G558" i="26"/>
  <c r="R557" i="26"/>
  <c r="Q557" i="26"/>
  <c r="P557" i="26"/>
  <c r="O557" i="26"/>
  <c r="N557" i="26"/>
  <c r="I557" i="26"/>
  <c r="L557" i="26" s="1"/>
  <c r="G557" i="26"/>
  <c r="R556" i="26"/>
  <c r="Q556" i="26"/>
  <c r="P556" i="26"/>
  <c r="O556" i="26"/>
  <c r="N556" i="26"/>
  <c r="I556" i="26"/>
  <c r="L556" i="26" s="1"/>
  <c r="G556" i="26"/>
  <c r="R555" i="26"/>
  <c r="Q555" i="26"/>
  <c r="P555" i="26"/>
  <c r="O555" i="26"/>
  <c r="N555" i="26"/>
  <c r="I555" i="26"/>
  <c r="L555" i="26" s="1"/>
  <c r="G555" i="26"/>
  <c r="R554" i="26"/>
  <c r="Q554" i="26"/>
  <c r="P554" i="26"/>
  <c r="O554" i="26"/>
  <c r="N554" i="26"/>
  <c r="I554" i="26"/>
  <c r="L554" i="26" s="1"/>
  <c r="G554" i="26"/>
  <c r="R553" i="26"/>
  <c r="Q553" i="26"/>
  <c r="P553" i="26"/>
  <c r="O553" i="26"/>
  <c r="N553" i="26"/>
  <c r="I553" i="26"/>
  <c r="L553" i="26" s="1"/>
  <c r="M553" i="26" s="1"/>
  <c r="R552" i="26"/>
  <c r="Q552" i="26"/>
  <c r="P552" i="26"/>
  <c r="O552" i="26"/>
  <c r="N552" i="26"/>
  <c r="I552" i="26"/>
  <c r="L552" i="26" s="1"/>
  <c r="M552" i="26" s="1"/>
  <c r="R551" i="26"/>
  <c r="Q551" i="26"/>
  <c r="P551" i="26"/>
  <c r="O551" i="26"/>
  <c r="N551" i="26"/>
  <c r="M551" i="26"/>
  <c r="R549" i="26"/>
  <c r="Q549" i="26"/>
  <c r="P549" i="26"/>
  <c r="O549" i="26"/>
  <c r="N549" i="26"/>
  <c r="L549" i="26"/>
  <c r="G549" i="26"/>
  <c r="R548" i="26"/>
  <c r="Q548" i="26"/>
  <c r="P548" i="26"/>
  <c r="O548" i="26"/>
  <c r="N548" i="26"/>
  <c r="L548" i="26"/>
  <c r="G548" i="26"/>
  <c r="R547" i="26"/>
  <c r="Q547" i="26"/>
  <c r="P547" i="26"/>
  <c r="O547" i="26"/>
  <c r="N547" i="26"/>
  <c r="L547" i="26"/>
  <c r="G547" i="26"/>
  <c r="R546" i="26"/>
  <c r="Q546" i="26"/>
  <c r="P546" i="26"/>
  <c r="O546" i="26"/>
  <c r="N546" i="26"/>
  <c r="L546" i="26"/>
  <c r="G546" i="26"/>
  <c r="R545" i="26"/>
  <c r="Q545" i="26"/>
  <c r="P545" i="26"/>
  <c r="O545" i="26"/>
  <c r="N545" i="26"/>
  <c r="I545" i="26"/>
  <c r="L545" i="26" s="1"/>
  <c r="G545" i="26"/>
  <c r="R544" i="26"/>
  <c r="Q544" i="26"/>
  <c r="P544" i="26"/>
  <c r="O544" i="26"/>
  <c r="N544" i="26"/>
  <c r="I544" i="26"/>
  <c r="L544" i="26" s="1"/>
  <c r="M544" i="26" s="1"/>
  <c r="R543" i="26"/>
  <c r="Q543" i="26"/>
  <c r="P543" i="26"/>
  <c r="O543" i="26"/>
  <c r="N543" i="26"/>
  <c r="I543" i="26"/>
  <c r="L543" i="26" s="1"/>
  <c r="M543" i="26" s="1"/>
  <c r="R542" i="26"/>
  <c r="Q542" i="26"/>
  <c r="P542" i="26"/>
  <c r="O542" i="26"/>
  <c r="N542" i="26"/>
  <c r="I542" i="26"/>
  <c r="L542" i="26" s="1"/>
  <c r="G542" i="26"/>
  <c r="R541" i="26"/>
  <c r="Q541" i="26"/>
  <c r="P541" i="26"/>
  <c r="O541" i="26"/>
  <c r="N541" i="26"/>
  <c r="I541" i="26"/>
  <c r="L541" i="26" s="1"/>
  <c r="G541" i="26"/>
  <c r="R540" i="26"/>
  <c r="Q540" i="26"/>
  <c r="P540" i="26"/>
  <c r="O540" i="26"/>
  <c r="N540" i="26"/>
  <c r="I540" i="26"/>
  <c r="L540" i="26" s="1"/>
  <c r="G540" i="26"/>
  <c r="R539" i="26"/>
  <c r="Q539" i="26"/>
  <c r="P539" i="26"/>
  <c r="O539" i="26"/>
  <c r="N539" i="26"/>
  <c r="I539" i="26"/>
  <c r="L539" i="26" s="1"/>
  <c r="G539" i="26"/>
  <c r="R538" i="26"/>
  <c r="Q538" i="26"/>
  <c r="P538" i="26"/>
  <c r="O538" i="26"/>
  <c r="N538" i="26"/>
  <c r="I538" i="26"/>
  <c r="L538" i="26" s="1"/>
  <c r="M538" i="26" s="1"/>
  <c r="R537" i="26"/>
  <c r="Q537" i="26"/>
  <c r="P537" i="26"/>
  <c r="O537" i="26"/>
  <c r="N537" i="26"/>
  <c r="M537" i="26"/>
  <c r="R535" i="26"/>
  <c r="Q535" i="26"/>
  <c r="P535" i="26"/>
  <c r="O535" i="26"/>
  <c r="N535" i="26"/>
  <c r="L535" i="26"/>
  <c r="M535" i="26" s="1"/>
  <c r="R534" i="26"/>
  <c r="Q534" i="26"/>
  <c r="P534" i="26"/>
  <c r="O534" i="26"/>
  <c r="N534" i="26"/>
  <c r="L534" i="26"/>
  <c r="G534" i="26"/>
  <c r="R533" i="26"/>
  <c r="Q533" i="26"/>
  <c r="P533" i="26"/>
  <c r="O533" i="26"/>
  <c r="N533" i="26"/>
  <c r="L533" i="26"/>
  <c r="G533" i="26"/>
  <c r="R532" i="26"/>
  <c r="Q532" i="26"/>
  <c r="P532" i="26"/>
  <c r="O532" i="26"/>
  <c r="N532" i="26"/>
  <c r="L532" i="26"/>
  <c r="G532" i="26"/>
  <c r="R531" i="26"/>
  <c r="Q531" i="26"/>
  <c r="P531" i="26"/>
  <c r="O531" i="26"/>
  <c r="N531" i="26"/>
  <c r="I531" i="26"/>
  <c r="L531" i="26" s="1"/>
  <c r="G531" i="26"/>
  <c r="R530" i="26"/>
  <c r="Q530" i="26"/>
  <c r="P530" i="26"/>
  <c r="O530" i="26"/>
  <c r="N530" i="26"/>
  <c r="I530" i="26"/>
  <c r="L530" i="26" s="1"/>
  <c r="M530" i="26" s="1"/>
  <c r="R529" i="26"/>
  <c r="Q529" i="26"/>
  <c r="P529" i="26"/>
  <c r="O529" i="26"/>
  <c r="N529" i="26"/>
  <c r="L529" i="26"/>
  <c r="M529" i="26" s="1"/>
  <c r="R528" i="26"/>
  <c r="Q528" i="26"/>
  <c r="P528" i="26"/>
  <c r="O528" i="26"/>
  <c r="N528" i="26"/>
  <c r="I528" i="26"/>
  <c r="L528" i="26" s="1"/>
  <c r="M528" i="26" s="1"/>
  <c r="R527" i="26"/>
  <c r="Q527" i="26"/>
  <c r="P527" i="26"/>
  <c r="O527" i="26"/>
  <c r="N527" i="26"/>
  <c r="I527" i="26"/>
  <c r="L527" i="26" s="1"/>
  <c r="G527" i="26"/>
  <c r="R526" i="26"/>
  <c r="Q526" i="26"/>
  <c r="P526" i="26"/>
  <c r="O526" i="26"/>
  <c r="N526" i="26"/>
  <c r="I526" i="26"/>
  <c r="L526" i="26" s="1"/>
  <c r="G526" i="26"/>
  <c r="R525" i="26"/>
  <c r="Q525" i="26"/>
  <c r="P525" i="26"/>
  <c r="O525" i="26"/>
  <c r="N525" i="26"/>
  <c r="M525" i="26"/>
  <c r="R523" i="26"/>
  <c r="Q523" i="26"/>
  <c r="P523" i="26"/>
  <c r="O523" i="26"/>
  <c r="N523" i="26"/>
  <c r="L523" i="26"/>
  <c r="G523" i="26"/>
  <c r="R522" i="26"/>
  <c r="Q522" i="26"/>
  <c r="P522" i="26"/>
  <c r="O522" i="26"/>
  <c r="N522" i="26"/>
  <c r="L522" i="26"/>
  <c r="G522" i="26"/>
  <c r="R521" i="26"/>
  <c r="Q521" i="26"/>
  <c r="P521" i="26"/>
  <c r="O521" i="26"/>
  <c r="N521" i="26"/>
  <c r="L521" i="26"/>
  <c r="G521" i="26"/>
  <c r="R520" i="26"/>
  <c r="Q520" i="26"/>
  <c r="P520" i="26"/>
  <c r="O520" i="26"/>
  <c r="N520" i="26"/>
  <c r="L520" i="26"/>
  <c r="G520" i="26"/>
  <c r="R519" i="26"/>
  <c r="Q519" i="26"/>
  <c r="P519" i="26"/>
  <c r="O519" i="26"/>
  <c r="N519" i="26"/>
  <c r="I519" i="26"/>
  <c r="L519" i="26" s="1"/>
  <c r="M519" i="26" s="1"/>
  <c r="R518" i="26"/>
  <c r="Q518" i="26"/>
  <c r="P518" i="26"/>
  <c r="O518" i="26"/>
  <c r="N518" i="26"/>
  <c r="I518" i="26"/>
  <c r="L518" i="26" s="1"/>
  <c r="M518" i="26" s="1"/>
  <c r="R517" i="26"/>
  <c r="Q517" i="26"/>
  <c r="P517" i="26"/>
  <c r="O517" i="26"/>
  <c r="N517" i="26"/>
  <c r="I517" i="26"/>
  <c r="L517" i="26" s="1"/>
  <c r="M517" i="26" s="1"/>
  <c r="R516" i="26"/>
  <c r="Q516" i="26"/>
  <c r="P516" i="26"/>
  <c r="O516" i="26"/>
  <c r="N516" i="26"/>
  <c r="I516" i="26"/>
  <c r="L516" i="26" s="1"/>
  <c r="M516" i="26" s="1"/>
  <c r="R515" i="26"/>
  <c r="Q515" i="26"/>
  <c r="P515" i="26"/>
  <c r="O515" i="26"/>
  <c r="N515" i="26"/>
  <c r="I515" i="26"/>
  <c r="L515" i="26" s="1"/>
  <c r="M515" i="26" s="1"/>
  <c r="R514" i="26"/>
  <c r="Q514" i="26"/>
  <c r="P514" i="26"/>
  <c r="O514" i="26"/>
  <c r="N514" i="26"/>
  <c r="I514" i="26"/>
  <c r="L514" i="26" s="1"/>
  <c r="M514" i="26" s="1"/>
  <c r="R513" i="26"/>
  <c r="Q513" i="26"/>
  <c r="P513" i="26"/>
  <c r="O513" i="26"/>
  <c r="N513" i="26"/>
  <c r="I513" i="26"/>
  <c r="L513" i="26" s="1"/>
  <c r="G513" i="26"/>
  <c r="R512" i="26"/>
  <c r="Q512" i="26"/>
  <c r="P512" i="26"/>
  <c r="O512" i="26"/>
  <c r="N512" i="26"/>
  <c r="I512" i="26"/>
  <c r="L512" i="26" s="1"/>
  <c r="M512" i="26" s="1"/>
  <c r="R511" i="26"/>
  <c r="Q511" i="26"/>
  <c r="P511" i="26"/>
  <c r="O511" i="26"/>
  <c r="N511" i="26"/>
  <c r="I511" i="26"/>
  <c r="L511" i="26" s="1"/>
  <c r="M511" i="26" s="1"/>
  <c r="R510" i="26"/>
  <c r="Q510" i="26"/>
  <c r="P510" i="26"/>
  <c r="O510" i="26"/>
  <c r="N510" i="26"/>
  <c r="M510" i="26"/>
  <c r="R508" i="26"/>
  <c r="Q508" i="26"/>
  <c r="P508" i="26"/>
  <c r="O508" i="26"/>
  <c r="N508" i="26"/>
  <c r="L508" i="26"/>
  <c r="M508" i="26" s="1"/>
  <c r="R507" i="26"/>
  <c r="Q507" i="26"/>
  <c r="P507" i="26"/>
  <c r="O507" i="26"/>
  <c r="N507" i="26"/>
  <c r="L507" i="26"/>
  <c r="G507" i="26"/>
  <c r="R506" i="26"/>
  <c r="Q506" i="26"/>
  <c r="P506" i="26"/>
  <c r="O506" i="26"/>
  <c r="N506" i="26"/>
  <c r="L506" i="26"/>
  <c r="G506" i="26"/>
  <c r="R505" i="26"/>
  <c r="Q505" i="26"/>
  <c r="P505" i="26"/>
  <c r="O505" i="26"/>
  <c r="N505" i="26"/>
  <c r="L505" i="26"/>
  <c r="G505" i="26"/>
  <c r="R504" i="26"/>
  <c r="Q504" i="26"/>
  <c r="P504" i="26"/>
  <c r="O504" i="26"/>
  <c r="N504" i="26"/>
  <c r="L504" i="26"/>
  <c r="G504" i="26"/>
  <c r="R503" i="26"/>
  <c r="Q503" i="26"/>
  <c r="P503" i="26"/>
  <c r="O503" i="26"/>
  <c r="N503" i="26"/>
  <c r="I503" i="26"/>
  <c r="L503" i="26" s="1"/>
  <c r="G503" i="26"/>
  <c r="R502" i="26"/>
  <c r="Q502" i="26"/>
  <c r="P502" i="26"/>
  <c r="O502" i="26"/>
  <c r="N502" i="26"/>
  <c r="I502" i="26"/>
  <c r="L502" i="26" s="1"/>
  <c r="G502" i="26"/>
  <c r="R501" i="26"/>
  <c r="Q501" i="26"/>
  <c r="P501" i="26"/>
  <c r="O501" i="26"/>
  <c r="N501" i="26"/>
  <c r="I501" i="26"/>
  <c r="L501" i="26" s="1"/>
  <c r="M501" i="26" s="1"/>
  <c r="R500" i="26"/>
  <c r="Q500" i="26"/>
  <c r="P500" i="26"/>
  <c r="O500" i="26"/>
  <c r="N500" i="26"/>
  <c r="I500" i="26"/>
  <c r="L500" i="26" s="1"/>
  <c r="M500" i="26" s="1"/>
  <c r="R499" i="26"/>
  <c r="Q499" i="26"/>
  <c r="P499" i="26"/>
  <c r="O499" i="26"/>
  <c r="N499" i="26"/>
  <c r="I499" i="26"/>
  <c r="L499" i="26" s="1"/>
  <c r="M499" i="26" s="1"/>
  <c r="R498" i="26"/>
  <c r="Q498" i="26"/>
  <c r="P498" i="26"/>
  <c r="O498" i="26"/>
  <c r="N498" i="26"/>
  <c r="I498" i="26"/>
  <c r="L498" i="26" s="1"/>
  <c r="M498" i="26" s="1"/>
  <c r="R497" i="26"/>
  <c r="Q497" i="26"/>
  <c r="P497" i="26"/>
  <c r="O497" i="26"/>
  <c r="N497" i="26"/>
  <c r="I497" i="26"/>
  <c r="L497" i="26" s="1"/>
  <c r="M497" i="26" s="1"/>
  <c r="R496" i="26"/>
  <c r="Q496" i="26"/>
  <c r="P496" i="26"/>
  <c r="O496" i="26"/>
  <c r="N496" i="26"/>
  <c r="I496" i="26"/>
  <c r="L496" i="26" s="1"/>
  <c r="G496" i="26"/>
  <c r="R495" i="26"/>
  <c r="Q495" i="26"/>
  <c r="P495" i="26"/>
  <c r="O495" i="26"/>
  <c r="N495" i="26"/>
  <c r="I495" i="26"/>
  <c r="L495" i="26" s="1"/>
  <c r="M495" i="26" s="1"/>
  <c r="R494" i="26"/>
  <c r="Q494" i="26"/>
  <c r="P494" i="26"/>
  <c r="O494" i="26"/>
  <c r="N494" i="26"/>
  <c r="M494" i="26"/>
  <c r="R487" i="26"/>
  <c r="Q487" i="26"/>
  <c r="P487" i="26"/>
  <c r="O487" i="26"/>
  <c r="N487" i="26"/>
  <c r="M487" i="26"/>
  <c r="L487" i="26"/>
  <c r="R486" i="26"/>
  <c r="Q486" i="26"/>
  <c r="P486" i="26"/>
  <c r="O486" i="26"/>
  <c r="N486" i="26"/>
  <c r="I486" i="26"/>
  <c r="L486" i="26" s="1"/>
  <c r="G486" i="26"/>
  <c r="R485" i="26"/>
  <c r="Q485" i="26"/>
  <c r="P485" i="26"/>
  <c r="N485" i="26"/>
  <c r="M485" i="26"/>
  <c r="J485" i="26"/>
  <c r="H485" i="26"/>
  <c r="R484" i="26"/>
  <c r="Q484" i="26"/>
  <c r="P484" i="26"/>
  <c r="N484" i="26"/>
  <c r="M484" i="26"/>
  <c r="J484" i="26"/>
  <c r="H484" i="26"/>
  <c r="R483" i="26"/>
  <c r="Q483" i="26"/>
  <c r="P483" i="26"/>
  <c r="O483" i="26"/>
  <c r="N483" i="26"/>
  <c r="M483" i="26"/>
  <c r="L483" i="26"/>
  <c r="R481" i="26"/>
  <c r="Q481" i="26"/>
  <c r="P481" i="26"/>
  <c r="O481" i="26"/>
  <c r="N481" i="26"/>
  <c r="I481" i="26"/>
  <c r="L481" i="26" s="1"/>
  <c r="G481" i="26"/>
  <c r="R480" i="26"/>
  <c r="Q480" i="26"/>
  <c r="P480" i="26"/>
  <c r="N480" i="26"/>
  <c r="M480" i="26"/>
  <c r="J480" i="26"/>
  <c r="H480" i="26"/>
  <c r="R479" i="26"/>
  <c r="Q479" i="26"/>
  <c r="P479" i="26"/>
  <c r="N479" i="26"/>
  <c r="M479" i="26"/>
  <c r="J479" i="26"/>
  <c r="H479" i="26"/>
  <c r="R478" i="26"/>
  <c r="Q478" i="26"/>
  <c r="P478" i="26"/>
  <c r="O478" i="26"/>
  <c r="N478" i="26"/>
  <c r="M478" i="26"/>
  <c r="L478" i="26"/>
  <c r="R476" i="26"/>
  <c r="Q476" i="26"/>
  <c r="P476" i="26"/>
  <c r="O476" i="26"/>
  <c r="N476" i="26"/>
  <c r="I476" i="26"/>
  <c r="L476" i="26" s="1"/>
  <c r="G476" i="26"/>
  <c r="R475" i="26"/>
  <c r="Q475" i="26"/>
  <c r="P475" i="26"/>
  <c r="N475" i="26"/>
  <c r="M475" i="26"/>
  <c r="J475" i="26"/>
  <c r="H475" i="26"/>
  <c r="R474" i="26"/>
  <c r="Q474" i="26"/>
  <c r="P474" i="26"/>
  <c r="N474" i="26"/>
  <c r="M474" i="26"/>
  <c r="J474" i="26"/>
  <c r="H474" i="26"/>
  <c r="R473" i="26"/>
  <c r="Q473" i="26"/>
  <c r="P473" i="26"/>
  <c r="O473" i="26"/>
  <c r="N473" i="26"/>
  <c r="M473" i="26"/>
  <c r="L473" i="26"/>
  <c r="R471" i="26"/>
  <c r="Q471" i="26"/>
  <c r="P471" i="26"/>
  <c r="O471" i="26"/>
  <c r="N471" i="26"/>
  <c r="I471" i="26"/>
  <c r="L471" i="26" s="1"/>
  <c r="G471" i="26"/>
  <c r="R470" i="26"/>
  <c r="Q470" i="26"/>
  <c r="P470" i="26"/>
  <c r="N470" i="26"/>
  <c r="M470" i="26"/>
  <c r="J470" i="26"/>
  <c r="H470" i="26"/>
  <c r="R469" i="26"/>
  <c r="Q469" i="26"/>
  <c r="P469" i="26"/>
  <c r="N469" i="26"/>
  <c r="M469" i="26"/>
  <c r="J469" i="26"/>
  <c r="H469" i="26"/>
  <c r="R468" i="26"/>
  <c r="Q468" i="26"/>
  <c r="P468" i="26"/>
  <c r="O468" i="26"/>
  <c r="N468" i="26"/>
  <c r="M468" i="26"/>
  <c r="L468" i="26"/>
  <c r="R466" i="26"/>
  <c r="Q466" i="26"/>
  <c r="P466" i="26"/>
  <c r="O466" i="26"/>
  <c r="N466" i="26"/>
  <c r="I466" i="26"/>
  <c r="L466" i="26" s="1"/>
  <c r="G466" i="26"/>
  <c r="R465" i="26"/>
  <c r="Q465" i="26"/>
  <c r="P465" i="26"/>
  <c r="N465" i="26"/>
  <c r="M465" i="26"/>
  <c r="J465" i="26"/>
  <c r="H465" i="26"/>
  <c r="R464" i="26"/>
  <c r="Q464" i="26"/>
  <c r="P464" i="26"/>
  <c r="N464" i="26"/>
  <c r="M464" i="26"/>
  <c r="J464" i="26"/>
  <c r="H464" i="26"/>
  <c r="R463" i="26"/>
  <c r="Q463" i="26"/>
  <c r="P463" i="26"/>
  <c r="O463" i="26"/>
  <c r="N463" i="26"/>
  <c r="M463" i="26"/>
  <c r="L463" i="26"/>
  <c r="R461" i="26"/>
  <c r="Q461" i="26"/>
  <c r="P461" i="26"/>
  <c r="O461" i="26"/>
  <c r="N461" i="26"/>
  <c r="I461" i="26"/>
  <c r="L461" i="26" s="1"/>
  <c r="G461" i="26"/>
  <c r="R460" i="26"/>
  <c r="Q460" i="26"/>
  <c r="P460" i="26"/>
  <c r="N460" i="26"/>
  <c r="M460" i="26"/>
  <c r="J460" i="26"/>
  <c r="H460" i="26"/>
  <c r="R459" i="26"/>
  <c r="Q459" i="26"/>
  <c r="P459" i="26"/>
  <c r="N459" i="26"/>
  <c r="M459" i="26"/>
  <c r="J459" i="26"/>
  <c r="H459" i="26"/>
  <c r="R458" i="26"/>
  <c r="Q458" i="26"/>
  <c r="P458" i="26"/>
  <c r="O458" i="26"/>
  <c r="N458" i="26"/>
  <c r="M458" i="26"/>
  <c r="L458" i="26"/>
  <c r="R457" i="26"/>
  <c r="Q457" i="26"/>
  <c r="P457" i="26"/>
  <c r="O457" i="26"/>
  <c r="N457" i="26"/>
  <c r="I457" i="26"/>
  <c r="L457" i="26" s="1"/>
  <c r="G457" i="26"/>
  <c r="R456" i="26"/>
  <c r="Q456" i="26"/>
  <c r="P456" i="26"/>
  <c r="O456" i="26"/>
  <c r="N456" i="26"/>
  <c r="I456" i="26"/>
  <c r="L456" i="26" s="1"/>
  <c r="G456" i="26"/>
  <c r="R455" i="26"/>
  <c r="Q455" i="26"/>
  <c r="P455" i="26"/>
  <c r="O455" i="26"/>
  <c r="N455" i="26"/>
  <c r="I455" i="26"/>
  <c r="L455" i="26" s="1"/>
  <c r="G455" i="26"/>
  <c r="R454" i="26"/>
  <c r="Q454" i="26"/>
  <c r="P454" i="26"/>
  <c r="O454" i="26"/>
  <c r="N454" i="26"/>
  <c r="I454" i="26"/>
  <c r="L454" i="26" s="1"/>
  <c r="G454" i="26"/>
  <c r="R453" i="26"/>
  <c r="Q453" i="26"/>
  <c r="O453" i="26"/>
  <c r="N453" i="26"/>
  <c r="M453" i="26"/>
  <c r="H453" i="26"/>
  <c r="L453" i="26" s="1"/>
  <c r="P453" i="26" s="1"/>
  <c r="R452" i="26"/>
  <c r="Q452" i="26"/>
  <c r="O452" i="26"/>
  <c r="N452" i="26"/>
  <c r="M452" i="26"/>
  <c r="H452" i="26"/>
  <c r="L452" i="26" s="1"/>
  <c r="P452" i="26" s="1"/>
  <c r="R451" i="26"/>
  <c r="Q451" i="26"/>
  <c r="P451" i="26"/>
  <c r="O451" i="26"/>
  <c r="N451" i="26"/>
  <c r="M451" i="26"/>
  <c r="L451" i="26"/>
  <c r="R450" i="26"/>
  <c r="Q450" i="26"/>
  <c r="P450" i="26"/>
  <c r="O450" i="26"/>
  <c r="N450" i="26"/>
  <c r="I450" i="26"/>
  <c r="L450" i="26" s="1"/>
  <c r="G450" i="26"/>
  <c r="R449" i="26"/>
  <c r="Q449" i="26"/>
  <c r="P449" i="26"/>
  <c r="O449" i="26"/>
  <c r="N449" i="26"/>
  <c r="I449" i="26"/>
  <c r="L449" i="26" s="1"/>
  <c r="G449" i="26"/>
  <c r="R448" i="26"/>
  <c r="Q448" i="26"/>
  <c r="P448" i="26"/>
  <c r="O448" i="26"/>
  <c r="N448" i="26"/>
  <c r="I448" i="26"/>
  <c r="L448" i="26" s="1"/>
  <c r="G448" i="26"/>
  <c r="R447" i="26"/>
  <c r="Q447" i="26"/>
  <c r="O447" i="26"/>
  <c r="N447" i="26"/>
  <c r="M447" i="26"/>
  <c r="J447" i="26"/>
  <c r="H447" i="26"/>
  <c r="R446" i="26"/>
  <c r="Q446" i="26"/>
  <c r="O446" i="26"/>
  <c r="N446" i="26"/>
  <c r="M446" i="26"/>
  <c r="J446" i="26"/>
  <c r="H446" i="26"/>
  <c r="R445" i="26"/>
  <c r="Q445" i="26"/>
  <c r="P445" i="26"/>
  <c r="O445" i="26"/>
  <c r="N445" i="26"/>
  <c r="M445" i="26"/>
  <c r="L445" i="26"/>
  <c r="R444" i="26"/>
  <c r="Q444" i="26"/>
  <c r="P444" i="26"/>
  <c r="O444" i="26"/>
  <c r="N444" i="26"/>
  <c r="I444" i="26"/>
  <c r="L444" i="26" s="1"/>
  <c r="G444" i="26"/>
  <c r="R443" i="26"/>
  <c r="Q443" i="26"/>
  <c r="P443" i="26"/>
  <c r="O443" i="26"/>
  <c r="N443" i="26"/>
  <c r="I443" i="26"/>
  <c r="L443" i="26" s="1"/>
  <c r="G443" i="26"/>
  <c r="R442" i="26"/>
  <c r="Q442" i="26"/>
  <c r="P442" i="26"/>
  <c r="O442" i="26"/>
  <c r="N442" i="26"/>
  <c r="I442" i="26"/>
  <c r="L442" i="26" s="1"/>
  <c r="G442" i="26"/>
  <c r="R441" i="26"/>
  <c r="Q441" i="26"/>
  <c r="P441" i="26"/>
  <c r="O441" i="26"/>
  <c r="N441" i="26"/>
  <c r="I441" i="26"/>
  <c r="L441" i="26" s="1"/>
  <c r="G441" i="26"/>
  <c r="R440" i="26"/>
  <c r="Q440" i="26"/>
  <c r="O440" i="26"/>
  <c r="N440" i="26"/>
  <c r="M440" i="26"/>
  <c r="J440" i="26"/>
  <c r="H440" i="26"/>
  <c r="R439" i="26"/>
  <c r="Q439" i="26"/>
  <c r="O439" i="26"/>
  <c r="N439" i="26"/>
  <c r="M439" i="26"/>
  <c r="J439" i="26"/>
  <c r="H439" i="26"/>
  <c r="R438" i="26"/>
  <c r="Q438" i="26"/>
  <c r="P438" i="26"/>
  <c r="O438" i="26"/>
  <c r="N438" i="26"/>
  <c r="M438" i="26"/>
  <c r="L438" i="26"/>
  <c r="R437" i="26"/>
  <c r="Q437" i="26"/>
  <c r="P437" i="26"/>
  <c r="O437" i="26"/>
  <c r="N437" i="26"/>
  <c r="I437" i="26"/>
  <c r="L437" i="26" s="1"/>
  <c r="G437" i="26"/>
  <c r="R436" i="26"/>
  <c r="Q436" i="26"/>
  <c r="P436" i="26"/>
  <c r="O436" i="26"/>
  <c r="N436" i="26"/>
  <c r="I436" i="26"/>
  <c r="L436" i="26" s="1"/>
  <c r="G436" i="26"/>
  <c r="R435" i="26"/>
  <c r="Q435" i="26"/>
  <c r="P435" i="26"/>
  <c r="O435" i="26"/>
  <c r="N435" i="26"/>
  <c r="I435" i="26"/>
  <c r="L435" i="26" s="1"/>
  <c r="G435" i="26"/>
  <c r="R434" i="26"/>
  <c r="Q434" i="26"/>
  <c r="P434" i="26"/>
  <c r="O434" i="26"/>
  <c r="N434" i="26"/>
  <c r="I434" i="26"/>
  <c r="L434" i="26" s="1"/>
  <c r="G434" i="26"/>
  <c r="R433" i="26"/>
  <c r="Q433" i="26"/>
  <c r="P433" i="26"/>
  <c r="O433" i="26"/>
  <c r="N433" i="26"/>
  <c r="I433" i="26"/>
  <c r="L433" i="26" s="1"/>
  <c r="G433" i="26"/>
  <c r="R432" i="26"/>
  <c r="Q432" i="26"/>
  <c r="O432" i="26"/>
  <c r="N432" i="26"/>
  <c r="M432" i="26"/>
  <c r="J432" i="26"/>
  <c r="H432" i="26"/>
  <c r="R431" i="26"/>
  <c r="Q431" i="26"/>
  <c r="O431" i="26"/>
  <c r="N431" i="26"/>
  <c r="M431" i="26"/>
  <c r="L431" i="26"/>
  <c r="P431" i="26" s="1"/>
  <c r="R430" i="26"/>
  <c r="Q430" i="26"/>
  <c r="O430" i="26"/>
  <c r="N430" i="26"/>
  <c r="M430" i="26"/>
  <c r="J430" i="26"/>
  <c r="H430" i="26"/>
  <c r="R429" i="26"/>
  <c r="Q429" i="26"/>
  <c r="P429" i="26"/>
  <c r="O429" i="26"/>
  <c r="N429" i="26"/>
  <c r="M429" i="26"/>
  <c r="L429" i="26"/>
  <c r="R428" i="26"/>
  <c r="Q428" i="26"/>
  <c r="P428" i="26"/>
  <c r="O428" i="26"/>
  <c r="N428" i="26"/>
  <c r="I428" i="26"/>
  <c r="L428" i="26" s="1"/>
  <c r="G428" i="26"/>
  <c r="R427" i="26"/>
  <c r="Q427" i="26"/>
  <c r="P427" i="26"/>
  <c r="O427" i="26"/>
  <c r="N427" i="26"/>
  <c r="I427" i="26"/>
  <c r="L427" i="26" s="1"/>
  <c r="G427" i="26"/>
  <c r="R426" i="26"/>
  <c r="Q426" i="26"/>
  <c r="O426" i="26"/>
  <c r="N426" i="26"/>
  <c r="M426" i="26"/>
  <c r="J426" i="26"/>
  <c r="H426" i="26"/>
  <c r="R425" i="26"/>
  <c r="Q425" i="26"/>
  <c r="O425" i="26"/>
  <c r="N425" i="26"/>
  <c r="M425" i="26"/>
  <c r="J425" i="26"/>
  <c r="H425" i="26"/>
  <c r="R424" i="26"/>
  <c r="Q424" i="26"/>
  <c r="P424" i="26"/>
  <c r="O424" i="26"/>
  <c r="N424" i="26"/>
  <c r="M424" i="26"/>
  <c r="L424" i="26"/>
  <c r="R423" i="26"/>
  <c r="Q423" i="26"/>
  <c r="P423" i="26"/>
  <c r="O423" i="26"/>
  <c r="N423" i="26"/>
  <c r="I423" i="26"/>
  <c r="L423" i="26" s="1"/>
  <c r="G423" i="26"/>
  <c r="R422" i="26"/>
  <c r="Q422" i="26"/>
  <c r="P422" i="26"/>
  <c r="O422" i="26"/>
  <c r="N422" i="26"/>
  <c r="I422" i="26"/>
  <c r="L422" i="26" s="1"/>
  <c r="G422" i="26"/>
  <c r="R421" i="26"/>
  <c r="Q421" i="26"/>
  <c r="P421" i="26"/>
  <c r="O421" i="26"/>
  <c r="N421" i="26"/>
  <c r="I421" i="26"/>
  <c r="L421" i="26" s="1"/>
  <c r="G421" i="26"/>
  <c r="R420" i="26"/>
  <c r="Q420" i="26"/>
  <c r="P420" i="26"/>
  <c r="N420" i="26"/>
  <c r="M420" i="26"/>
  <c r="L420" i="26"/>
  <c r="O420" i="26" s="1"/>
  <c r="R419" i="26"/>
  <c r="Q419" i="26"/>
  <c r="O419" i="26"/>
  <c r="N419" i="26"/>
  <c r="M419" i="26"/>
  <c r="J419" i="26"/>
  <c r="H419" i="26"/>
  <c r="R418" i="26"/>
  <c r="Q418" i="26"/>
  <c r="O418" i="26"/>
  <c r="N418" i="26"/>
  <c r="M418" i="26"/>
  <c r="J418" i="26"/>
  <c r="H418" i="26"/>
  <c r="R417" i="26"/>
  <c r="Q417" i="26"/>
  <c r="P417" i="26"/>
  <c r="O417" i="26"/>
  <c r="N417" i="26"/>
  <c r="M417" i="26"/>
  <c r="L417" i="26"/>
  <c r="R415" i="26"/>
  <c r="Q415" i="26"/>
  <c r="P415" i="26"/>
  <c r="O415" i="26"/>
  <c r="N415" i="26"/>
  <c r="I415" i="26"/>
  <c r="L415" i="26" s="1"/>
  <c r="G415" i="26"/>
  <c r="R414" i="26"/>
  <c r="Q414" i="26"/>
  <c r="P414" i="26"/>
  <c r="O414" i="26"/>
  <c r="N414" i="26"/>
  <c r="I414" i="26"/>
  <c r="L414" i="26" s="1"/>
  <c r="G414" i="26"/>
  <c r="R413" i="26"/>
  <c r="Q413" i="26"/>
  <c r="O413" i="26"/>
  <c r="N413" i="26"/>
  <c r="M413" i="26"/>
  <c r="K413" i="26"/>
  <c r="J413" i="26"/>
  <c r="H413" i="26"/>
  <c r="R412" i="26"/>
  <c r="Q412" i="26"/>
  <c r="O412" i="26"/>
  <c r="N412" i="26"/>
  <c r="M412" i="26"/>
  <c r="J412" i="26"/>
  <c r="H412" i="26"/>
  <c r="R411" i="26"/>
  <c r="Q411" i="26"/>
  <c r="P411" i="26"/>
  <c r="O411" i="26"/>
  <c r="N411" i="26"/>
  <c r="M411" i="26"/>
  <c r="L411" i="26"/>
  <c r="R409" i="26"/>
  <c r="Q409" i="26"/>
  <c r="P409" i="26"/>
  <c r="O409" i="26"/>
  <c r="N409" i="26"/>
  <c r="I409" i="26"/>
  <c r="L409" i="26" s="1"/>
  <c r="G409" i="26"/>
  <c r="R408" i="26"/>
  <c r="Q408" i="26"/>
  <c r="P408" i="26"/>
  <c r="O408" i="26"/>
  <c r="N408" i="26"/>
  <c r="I408" i="26"/>
  <c r="L408" i="26" s="1"/>
  <c r="G408" i="26"/>
  <c r="R407" i="26"/>
  <c r="Q407" i="26"/>
  <c r="P407" i="26"/>
  <c r="O407" i="26"/>
  <c r="N407" i="26"/>
  <c r="I407" i="26"/>
  <c r="L407" i="26" s="1"/>
  <c r="G407" i="26"/>
  <c r="R406" i="26"/>
  <c r="Q406" i="26"/>
  <c r="O406" i="26"/>
  <c r="N406" i="26"/>
  <c r="M406" i="26"/>
  <c r="J406" i="26"/>
  <c r="H406" i="26"/>
  <c r="R405" i="26"/>
  <c r="Q405" i="26"/>
  <c r="O405" i="26"/>
  <c r="N405" i="26"/>
  <c r="M405" i="26"/>
  <c r="J405" i="26"/>
  <c r="H405" i="26"/>
  <c r="R404" i="26"/>
  <c r="Q404" i="26"/>
  <c r="P404" i="26"/>
  <c r="O404" i="26"/>
  <c r="N404" i="26"/>
  <c r="M404" i="26"/>
  <c r="L404" i="26"/>
  <c r="R402" i="26"/>
  <c r="Q402" i="26"/>
  <c r="P402" i="26"/>
  <c r="O402" i="26"/>
  <c r="N402" i="26"/>
  <c r="I402" i="26"/>
  <c r="L402" i="26" s="1"/>
  <c r="G402" i="26"/>
  <c r="R401" i="26"/>
  <c r="Q401" i="26"/>
  <c r="P401" i="26"/>
  <c r="O401" i="26"/>
  <c r="N401" i="26"/>
  <c r="I401" i="26"/>
  <c r="L401" i="26" s="1"/>
  <c r="G401" i="26"/>
  <c r="R400" i="26"/>
  <c r="Q400" i="26"/>
  <c r="O400" i="26"/>
  <c r="N400" i="26"/>
  <c r="M400" i="26"/>
  <c r="J400" i="26"/>
  <c r="H400" i="26"/>
  <c r="R399" i="26"/>
  <c r="Q399" i="26"/>
  <c r="O399" i="26"/>
  <c r="N399" i="26"/>
  <c r="M399" i="26"/>
  <c r="J399" i="26"/>
  <c r="H399" i="26"/>
  <c r="R398" i="26"/>
  <c r="Q398" i="26"/>
  <c r="P398" i="26"/>
  <c r="O398" i="26"/>
  <c r="N398" i="26"/>
  <c r="M398" i="26"/>
  <c r="L398" i="26"/>
  <c r="R396" i="26"/>
  <c r="Q396" i="26"/>
  <c r="P396" i="26"/>
  <c r="O396" i="26"/>
  <c r="N396" i="26"/>
  <c r="I396" i="26"/>
  <c r="L396" i="26" s="1"/>
  <c r="G396" i="26"/>
  <c r="R395" i="26"/>
  <c r="Q395" i="26"/>
  <c r="O395" i="26"/>
  <c r="N395" i="26"/>
  <c r="M395" i="26"/>
  <c r="J395" i="26"/>
  <c r="H395" i="26"/>
  <c r="R394" i="26"/>
  <c r="Q394" i="26"/>
  <c r="O394" i="26"/>
  <c r="N394" i="26"/>
  <c r="M394" i="26"/>
  <c r="J394" i="26"/>
  <c r="H394" i="26"/>
  <c r="R393" i="26"/>
  <c r="Q393" i="26"/>
  <c r="P393" i="26"/>
  <c r="O393" i="26"/>
  <c r="N393" i="26"/>
  <c r="M393" i="26"/>
  <c r="L393" i="26"/>
  <c r="R391" i="26"/>
  <c r="Q391" i="26"/>
  <c r="P391" i="26"/>
  <c r="O391" i="26"/>
  <c r="N391" i="26"/>
  <c r="I391" i="26"/>
  <c r="L391" i="26" s="1"/>
  <c r="G391" i="26"/>
  <c r="R390" i="26"/>
  <c r="Q390" i="26"/>
  <c r="P390" i="26"/>
  <c r="O390" i="26"/>
  <c r="N390" i="26"/>
  <c r="I390" i="26"/>
  <c r="L390" i="26" s="1"/>
  <c r="G390" i="26"/>
  <c r="R389" i="26"/>
  <c r="Q389" i="26"/>
  <c r="P389" i="26"/>
  <c r="O389" i="26"/>
  <c r="N389" i="26"/>
  <c r="I389" i="26"/>
  <c r="L389" i="26" s="1"/>
  <c r="G389" i="26"/>
  <c r="R388" i="26"/>
  <c r="Q388" i="26"/>
  <c r="P388" i="26"/>
  <c r="O388" i="26"/>
  <c r="N388" i="26"/>
  <c r="I388" i="26"/>
  <c r="L388" i="26" s="1"/>
  <c r="G388" i="26"/>
  <c r="R387" i="26"/>
  <c r="Q387" i="26"/>
  <c r="O387" i="26"/>
  <c r="N387" i="26"/>
  <c r="M387" i="26"/>
  <c r="J387" i="26"/>
  <c r="H387" i="26"/>
  <c r="R386" i="26"/>
  <c r="Q386" i="26"/>
  <c r="O386" i="26"/>
  <c r="N386" i="26"/>
  <c r="M386" i="26"/>
  <c r="J386" i="26"/>
  <c r="H386" i="26"/>
  <c r="R385" i="26"/>
  <c r="Q385" i="26"/>
  <c r="P385" i="26"/>
  <c r="O385" i="26"/>
  <c r="N385" i="26"/>
  <c r="M385" i="26"/>
  <c r="L385" i="26"/>
  <c r="R383" i="26"/>
  <c r="Q383" i="26"/>
  <c r="P383" i="26"/>
  <c r="O383" i="26"/>
  <c r="N383" i="26"/>
  <c r="I383" i="26"/>
  <c r="L383" i="26" s="1"/>
  <c r="G383" i="26"/>
  <c r="R382" i="26"/>
  <c r="Q382" i="26"/>
  <c r="P382" i="26"/>
  <c r="O382" i="26"/>
  <c r="N382" i="26"/>
  <c r="I382" i="26"/>
  <c r="L382" i="26" s="1"/>
  <c r="G382" i="26"/>
  <c r="R381" i="26"/>
  <c r="Q381" i="26"/>
  <c r="P381" i="26"/>
  <c r="O381" i="26"/>
  <c r="N381" i="26"/>
  <c r="I381" i="26"/>
  <c r="L381" i="26" s="1"/>
  <c r="G381" i="26"/>
  <c r="R380" i="26"/>
  <c r="Q380" i="26"/>
  <c r="P380" i="26"/>
  <c r="O380" i="26"/>
  <c r="N380" i="26"/>
  <c r="I380" i="26"/>
  <c r="L380" i="26" s="1"/>
  <c r="G380" i="26"/>
  <c r="R379" i="26"/>
  <c r="Q379" i="26"/>
  <c r="P379" i="26"/>
  <c r="N379" i="26"/>
  <c r="M379" i="26"/>
  <c r="I379" i="26"/>
  <c r="L379" i="26" s="1"/>
  <c r="O379" i="26" s="1"/>
  <c r="R378" i="26"/>
  <c r="Q378" i="26"/>
  <c r="O378" i="26"/>
  <c r="N378" i="26"/>
  <c r="M378" i="26"/>
  <c r="J378" i="26"/>
  <c r="H378" i="26"/>
  <c r="R377" i="26"/>
  <c r="Q377" i="26"/>
  <c r="O377" i="26"/>
  <c r="N377" i="26"/>
  <c r="M377" i="26"/>
  <c r="J377" i="26"/>
  <c r="H377" i="26"/>
  <c r="R376" i="26"/>
  <c r="Q376" i="26"/>
  <c r="P376" i="26"/>
  <c r="O376" i="26"/>
  <c r="N376" i="26"/>
  <c r="M376" i="26"/>
  <c r="L376" i="26"/>
  <c r="R374" i="26"/>
  <c r="Q374" i="26"/>
  <c r="P374" i="26"/>
  <c r="O374" i="26"/>
  <c r="N374" i="26"/>
  <c r="I374" i="26"/>
  <c r="L374" i="26" s="1"/>
  <c r="G374" i="26"/>
  <c r="R373" i="26"/>
  <c r="Q373" i="26"/>
  <c r="P373" i="26"/>
  <c r="O373" i="26"/>
  <c r="N373" i="26"/>
  <c r="I373" i="26"/>
  <c r="L373" i="26" s="1"/>
  <c r="G373" i="26"/>
  <c r="R372" i="26"/>
  <c r="Q372" i="26"/>
  <c r="P372" i="26"/>
  <c r="N372" i="26"/>
  <c r="M372" i="26"/>
  <c r="H372" i="26"/>
  <c r="L372" i="26" s="1"/>
  <c r="O372" i="26" s="1"/>
  <c r="R371" i="26"/>
  <c r="Q371" i="26"/>
  <c r="O371" i="26"/>
  <c r="N371" i="26"/>
  <c r="M371" i="26"/>
  <c r="J371" i="26"/>
  <c r="H371" i="26"/>
  <c r="R370" i="26"/>
  <c r="Q370" i="26"/>
  <c r="O370" i="26"/>
  <c r="N370" i="26"/>
  <c r="M370" i="26"/>
  <c r="J370" i="26"/>
  <c r="H370" i="26"/>
  <c r="R369" i="26"/>
  <c r="Q369" i="26"/>
  <c r="P369" i="26"/>
  <c r="O369" i="26"/>
  <c r="N369" i="26"/>
  <c r="M369" i="26"/>
  <c r="L369" i="26"/>
  <c r="R367" i="26"/>
  <c r="Q367" i="26"/>
  <c r="P367" i="26"/>
  <c r="O367" i="26"/>
  <c r="M367" i="26"/>
  <c r="I367" i="26"/>
  <c r="L367" i="26" s="1"/>
  <c r="G367" i="26"/>
  <c r="R366" i="26"/>
  <c r="Q366" i="26"/>
  <c r="P366" i="26"/>
  <c r="N366" i="26"/>
  <c r="M366" i="26"/>
  <c r="J366" i="26"/>
  <c r="H366" i="26"/>
  <c r="R365" i="26"/>
  <c r="Q365" i="26"/>
  <c r="P365" i="26"/>
  <c r="N365" i="26"/>
  <c r="M365" i="26"/>
  <c r="J365" i="26"/>
  <c r="H365" i="26"/>
  <c r="R364" i="26"/>
  <c r="Q364" i="26"/>
  <c r="P364" i="26"/>
  <c r="O364" i="26"/>
  <c r="N364" i="26"/>
  <c r="M364" i="26"/>
  <c r="L364" i="26"/>
  <c r="R363" i="26"/>
  <c r="Q363" i="26"/>
  <c r="P363" i="26"/>
  <c r="O363" i="26"/>
  <c r="M363" i="26"/>
  <c r="I363" i="26"/>
  <c r="L363" i="26" s="1"/>
  <c r="G363" i="26"/>
  <c r="R362" i="26"/>
  <c r="Q362" i="26"/>
  <c r="P362" i="26"/>
  <c r="O362" i="26"/>
  <c r="M362" i="26"/>
  <c r="I362" i="26"/>
  <c r="L362" i="26" s="1"/>
  <c r="G362" i="26"/>
  <c r="R361" i="26"/>
  <c r="Q361" i="26"/>
  <c r="O361" i="26"/>
  <c r="N361" i="26"/>
  <c r="M361" i="26"/>
  <c r="J361" i="26"/>
  <c r="H361" i="26"/>
  <c r="R360" i="26"/>
  <c r="Q360" i="26"/>
  <c r="O360" i="26"/>
  <c r="N360" i="26"/>
  <c r="M360" i="26"/>
  <c r="J360" i="26"/>
  <c r="H360" i="26"/>
  <c r="R359" i="26"/>
  <c r="Q359" i="26"/>
  <c r="P359" i="26"/>
  <c r="O359" i="26"/>
  <c r="N359" i="26"/>
  <c r="M359" i="26"/>
  <c r="L359" i="26"/>
  <c r="R357" i="26"/>
  <c r="Q357" i="26"/>
  <c r="P357" i="26"/>
  <c r="O357" i="26"/>
  <c r="M357" i="26"/>
  <c r="I357" i="26"/>
  <c r="L357" i="26" s="1"/>
  <c r="G357" i="26"/>
  <c r="R356" i="26"/>
  <c r="Q356" i="26"/>
  <c r="P356" i="26"/>
  <c r="N356" i="26"/>
  <c r="M356" i="26"/>
  <c r="J356" i="26"/>
  <c r="H356" i="26"/>
  <c r="R355" i="26"/>
  <c r="Q355" i="26"/>
  <c r="P355" i="26"/>
  <c r="N355" i="26"/>
  <c r="M355" i="26"/>
  <c r="J355" i="26"/>
  <c r="H355" i="26"/>
  <c r="R354" i="26"/>
  <c r="Q354" i="26"/>
  <c r="P354" i="26"/>
  <c r="O354" i="26"/>
  <c r="N354" i="26"/>
  <c r="M354" i="26"/>
  <c r="L354" i="26"/>
  <c r="R352" i="26"/>
  <c r="Q352" i="26"/>
  <c r="P352" i="26"/>
  <c r="O352" i="26"/>
  <c r="N352" i="26"/>
  <c r="I352" i="26"/>
  <c r="L352" i="26" s="1"/>
  <c r="G352" i="26"/>
  <c r="R351" i="26"/>
  <c r="Q351" i="26"/>
  <c r="P351" i="26"/>
  <c r="O351" i="26"/>
  <c r="N351" i="26"/>
  <c r="I351" i="26"/>
  <c r="L351" i="26" s="1"/>
  <c r="G351" i="26"/>
  <c r="R350" i="26"/>
  <c r="Q350" i="26"/>
  <c r="O350" i="26"/>
  <c r="N350" i="26"/>
  <c r="M350" i="26"/>
  <c r="J350" i="26"/>
  <c r="H350" i="26"/>
  <c r="R349" i="26"/>
  <c r="Q349" i="26"/>
  <c r="O349" i="26"/>
  <c r="N349" i="26"/>
  <c r="M349" i="26"/>
  <c r="J349" i="26"/>
  <c r="H349" i="26"/>
  <c r="R348" i="26"/>
  <c r="Q348" i="26"/>
  <c r="P348" i="26"/>
  <c r="O348" i="26"/>
  <c r="N348" i="26"/>
  <c r="M348" i="26"/>
  <c r="L348" i="26"/>
  <c r="R346" i="26"/>
  <c r="Q346" i="26"/>
  <c r="P346" i="26"/>
  <c r="O346" i="26"/>
  <c r="N346" i="26"/>
  <c r="I346" i="26"/>
  <c r="L346" i="26" s="1"/>
  <c r="G346" i="26"/>
  <c r="R345" i="26"/>
  <c r="Q345" i="26"/>
  <c r="O345" i="26"/>
  <c r="N345" i="26"/>
  <c r="M345" i="26"/>
  <c r="J345" i="26"/>
  <c r="H345" i="26"/>
  <c r="R344" i="26"/>
  <c r="Q344" i="26"/>
  <c r="O344" i="26"/>
  <c r="N344" i="26"/>
  <c r="M344" i="26"/>
  <c r="J344" i="26"/>
  <c r="H344" i="26"/>
  <c r="R343" i="26"/>
  <c r="Q343" i="26"/>
  <c r="P343" i="26"/>
  <c r="O343" i="26"/>
  <c r="N343" i="26"/>
  <c r="M343" i="26"/>
  <c r="L343" i="26"/>
  <c r="R341" i="26"/>
  <c r="Q341" i="26"/>
  <c r="P341" i="26"/>
  <c r="O341" i="26"/>
  <c r="N341" i="26"/>
  <c r="I341" i="26"/>
  <c r="L341" i="26" s="1"/>
  <c r="G341" i="26"/>
  <c r="R340" i="26"/>
  <c r="Q340" i="26"/>
  <c r="P340" i="26"/>
  <c r="O340" i="26"/>
  <c r="N340" i="26"/>
  <c r="I340" i="26"/>
  <c r="L340" i="26" s="1"/>
  <c r="G340" i="26"/>
  <c r="R339" i="26"/>
  <c r="Q339" i="26"/>
  <c r="O339" i="26"/>
  <c r="N339" i="26"/>
  <c r="M339" i="26"/>
  <c r="J339" i="26"/>
  <c r="H339" i="26"/>
  <c r="R338" i="26"/>
  <c r="Q338" i="26"/>
  <c r="O338" i="26"/>
  <c r="N338" i="26"/>
  <c r="M338" i="26"/>
  <c r="J338" i="26"/>
  <c r="H338" i="26"/>
  <c r="R337" i="26"/>
  <c r="Q337" i="26"/>
  <c r="P337" i="26"/>
  <c r="O337" i="26"/>
  <c r="N337" i="26"/>
  <c r="M337" i="26"/>
  <c r="L337" i="26"/>
  <c r="R336" i="26"/>
  <c r="Q336" i="26"/>
  <c r="P336" i="26"/>
  <c r="O336" i="26"/>
  <c r="N336" i="26"/>
  <c r="I336" i="26"/>
  <c r="L336" i="26" s="1"/>
  <c r="G336" i="26"/>
  <c r="R335" i="26"/>
  <c r="Q335" i="26"/>
  <c r="P335" i="26"/>
  <c r="O335" i="26"/>
  <c r="N335" i="26"/>
  <c r="I335" i="26"/>
  <c r="L335" i="26" s="1"/>
  <c r="G335" i="26"/>
  <c r="R334" i="26"/>
  <c r="Q334" i="26"/>
  <c r="O334" i="26"/>
  <c r="N334" i="26"/>
  <c r="M334" i="26"/>
  <c r="J334" i="26"/>
  <c r="H334" i="26"/>
  <c r="R333" i="26"/>
  <c r="Q333" i="26"/>
  <c r="O333" i="26"/>
  <c r="N333" i="26"/>
  <c r="M333" i="26"/>
  <c r="J333" i="26"/>
  <c r="H333" i="26"/>
  <c r="R332" i="26"/>
  <c r="Q332" i="26"/>
  <c r="P332" i="26"/>
  <c r="O332" i="26"/>
  <c r="N332" i="26"/>
  <c r="M332" i="26"/>
  <c r="L332" i="26"/>
  <c r="R331" i="26"/>
  <c r="Q331" i="26"/>
  <c r="P331" i="26"/>
  <c r="O331" i="26"/>
  <c r="N331" i="26"/>
  <c r="I331" i="26"/>
  <c r="L331" i="26" s="1"/>
  <c r="G331" i="26"/>
  <c r="R330" i="26"/>
  <c r="Q330" i="26"/>
  <c r="P330" i="26"/>
  <c r="O330" i="26"/>
  <c r="N330" i="26"/>
  <c r="I330" i="26"/>
  <c r="L330" i="26" s="1"/>
  <c r="G330" i="26"/>
  <c r="R329" i="26"/>
  <c r="Q329" i="26"/>
  <c r="O329" i="26"/>
  <c r="N329" i="26"/>
  <c r="M329" i="26"/>
  <c r="J329" i="26"/>
  <c r="H329" i="26"/>
  <c r="R328" i="26"/>
  <c r="Q328" i="26"/>
  <c r="O328" i="26"/>
  <c r="N328" i="26"/>
  <c r="M328" i="26"/>
  <c r="J328" i="26"/>
  <c r="H328" i="26"/>
  <c r="R327" i="26"/>
  <c r="Q327" i="26"/>
  <c r="P327" i="26"/>
  <c r="O327" i="26"/>
  <c r="N327" i="26"/>
  <c r="M327" i="26"/>
  <c r="L327" i="26"/>
  <c r="R326" i="26"/>
  <c r="Q326" i="26"/>
  <c r="P326" i="26"/>
  <c r="O326" i="26"/>
  <c r="N326" i="26"/>
  <c r="I326" i="26"/>
  <c r="L326" i="26" s="1"/>
  <c r="G326" i="26"/>
  <c r="R325" i="26"/>
  <c r="Q325" i="26"/>
  <c r="P325" i="26"/>
  <c r="O325" i="26"/>
  <c r="N325" i="26"/>
  <c r="I325" i="26"/>
  <c r="L325" i="26" s="1"/>
  <c r="G325" i="26"/>
  <c r="R324" i="26"/>
  <c r="Q324" i="26"/>
  <c r="O324" i="26"/>
  <c r="N324" i="26"/>
  <c r="M324" i="26"/>
  <c r="J324" i="26"/>
  <c r="H324" i="26"/>
  <c r="R323" i="26"/>
  <c r="Q323" i="26"/>
  <c r="O323" i="26"/>
  <c r="N323" i="26"/>
  <c r="M323" i="26"/>
  <c r="J323" i="26"/>
  <c r="H323" i="26"/>
  <c r="R322" i="26"/>
  <c r="Q322" i="26"/>
  <c r="P322" i="26"/>
  <c r="O322" i="26"/>
  <c r="N322" i="26"/>
  <c r="M322" i="26"/>
  <c r="L322" i="26"/>
  <c r="R321" i="26"/>
  <c r="Q321" i="26"/>
  <c r="P321" i="26"/>
  <c r="O321" i="26"/>
  <c r="N321" i="26"/>
  <c r="I321" i="26"/>
  <c r="L321" i="26" s="1"/>
  <c r="G321" i="26"/>
  <c r="R320" i="26"/>
  <c r="Q320" i="26"/>
  <c r="P320" i="26"/>
  <c r="O320" i="26"/>
  <c r="N320" i="26"/>
  <c r="I320" i="26"/>
  <c r="L320" i="26" s="1"/>
  <c r="G320" i="26"/>
  <c r="R319" i="26"/>
  <c r="Q319" i="26"/>
  <c r="P319" i="26"/>
  <c r="N319" i="26"/>
  <c r="M319" i="26"/>
  <c r="H319" i="26"/>
  <c r="L319" i="26" s="1"/>
  <c r="O319" i="26" s="1"/>
  <c r="R318" i="26"/>
  <c r="Q318" i="26"/>
  <c r="P318" i="26"/>
  <c r="N318" i="26"/>
  <c r="M318" i="26"/>
  <c r="I318" i="26"/>
  <c r="L318" i="26" s="1"/>
  <c r="O318" i="26" s="1"/>
  <c r="R317" i="26"/>
  <c r="Q317" i="26"/>
  <c r="O317" i="26"/>
  <c r="N317" i="26"/>
  <c r="M317" i="26"/>
  <c r="J317" i="26"/>
  <c r="H317" i="26"/>
  <c r="R316" i="26"/>
  <c r="Q316" i="26"/>
  <c r="O316" i="26"/>
  <c r="N316" i="26"/>
  <c r="M316" i="26"/>
  <c r="J316" i="26"/>
  <c r="H316" i="26"/>
  <c r="R315" i="26"/>
  <c r="Q315" i="26"/>
  <c r="P315" i="26"/>
  <c r="O315" i="26"/>
  <c r="N315" i="26"/>
  <c r="M315" i="26"/>
  <c r="L315" i="26"/>
  <c r="R313" i="26"/>
  <c r="Q313" i="26"/>
  <c r="P313" i="26"/>
  <c r="O313" i="26"/>
  <c r="N313" i="26"/>
  <c r="I313" i="26"/>
  <c r="L313" i="26" s="1"/>
  <c r="G313" i="26"/>
  <c r="R312" i="26"/>
  <c r="Q312" i="26"/>
  <c r="O312" i="26"/>
  <c r="N312" i="26"/>
  <c r="M312" i="26"/>
  <c r="J312" i="26"/>
  <c r="H312" i="26"/>
  <c r="R311" i="26"/>
  <c r="Q311" i="26"/>
  <c r="O311" i="26"/>
  <c r="N311" i="26"/>
  <c r="M311" i="26"/>
  <c r="J311" i="26"/>
  <c r="H311" i="26"/>
  <c r="R310" i="26"/>
  <c r="Q310" i="26"/>
  <c r="P310" i="26"/>
  <c r="O310" i="26"/>
  <c r="N310" i="26"/>
  <c r="M310" i="26"/>
  <c r="L310" i="26"/>
  <c r="R308" i="26"/>
  <c r="Q308" i="26"/>
  <c r="P308" i="26"/>
  <c r="O308" i="26"/>
  <c r="N308" i="26"/>
  <c r="I308" i="26"/>
  <c r="L308" i="26" s="1"/>
  <c r="G308" i="26"/>
  <c r="R307" i="26"/>
  <c r="Q307" i="26"/>
  <c r="P307" i="26"/>
  <c r="O307" i="26"/>
  <c r="N307" i="26"/>
  <c r="I307" i="26"/>
  <c r="L307" i="26" s="1"/>
  <c r="G307" i="26"/>
  <c r="R306" i="26"/>
  <c r="Q306" i="26"/>
  <c r="O306" i="26"/>
  <c r="N306" i="26"/>
  <c r="M306" i="26"/>
  <c r="J306" i="26"/>
  <c r="H306" i="26"/>
  <c r="R305" i="26"/>
  <c r="Q305" i="26"/>
  <c r="O305" i="26"/>
  <c r="N305" i="26"/>
  <c r="M305" i="26"/>
  <c r="J305" i="26"/>
  <c r="L305" i="26" s="1"/>
  <c r="P305" i="26" s="1"/>
  <c r="R304" i="26"/>
  <c r="Q304" i="26"/>
  <c r="O304" i="26"/>
  <c r="N304" i="26"/>
  <c r="M304" i="26"/>
  <c r="J304" i="26"/>
  <c r="H304" i="26"/>
  <c r="R303" i="26"/>
  <c r="Q303" i="26"/>
  <c r="P303" i="26"/>
  <c r="O303" i="26"/>
  <c r="N303" i="26"/>
  <c r="M303" i="26"/>
  <c r="L303" i="26"/>
  <c r="R302" i="26"/>
  <c r="Q302" i="26"/>
  <c r="P302" i="26"/>
  <c r="O302" i="26"/>
  <c r="N302" i="26"/>
  <c r="I302" i="26"/>
  <c r="L302" i="26" s="1"/>
  <c r="G302" i="26"/>
  <c r="R301" i="26"/>
  <c r="Q301" i="26"/>
  <c r="P301" i="26"/>
  <c r="O301" i="26"/>
  <c r="N301" i="26"/>
  <c r="I301" i="26"/>
  <c r="L301" i="26" s="1"/>
  <c r="G301" i="26"/>
  <c r="R300" i="26"/>
  <c r="Q300" i="26"/>
  <c r="P300" i="26"/>
  <c r="O300" i="26"/>
  <c r="N300" i="26"/>
  <c r="I300" i="26"/>
  <c r="L300" i="26" s="1"/>
  <c r="G300" i="26"/>
  <c r="R299" i="26"/>
  <c r="Q299" i="26"/>
  <c r="P299" i="26"/>
  <c r="N299" i="26"/>
  <c r="M299" i="26"/>
  <c r="J299" i="26"/>
  <c r="L299" i="26" s="1"/>
  <c r="O299" i="26" s="1"/>
  <c r="R298" i="26"/>
  <c r="Q298" i="26"/>
  <c r="P298" i="26"/>
  <c r="N298" i="26"/>
  <c r="M298" i="26"/>
  <c r="I298" i="26"/>
  <c r="L298" i="26" s="1"/>
  <c r="O298" i="26" s="1"/>
  <c r="R297" i="26"/>
  <c r="Q297" i="26"/>
  <c r="P297" i="26"/>
  <c r="N297" i="26"/>
  <c r="M297" i="26"/>
  <c r="I297" i="26"/>
  <c r="L297" i="26" s="1"/>
  <c r="O297" i="26" s="1"/>
  <c r="R296" i="26"/>
  <c r="Q296" i="26"/>
  <c r="O296" i="26"/>
  <c r="N296" i="26"/>
  <c r="M296" i="26"/>
  <c r="J296" i="26"/>
  <c r="H296" i="26"/>
  <c r="R295" i="26"/>
  <c r="Q295" i="26"/>
  <c r="O295" i="26"/>
  <c r="N295" i="26"/>
  <c r="M295" i="26"/>
  <c r="J295" i="26"/>
  <c r="H295" i="26"/>
  <c r="R294" i="26"/>
  <c r="Q294" i="26"/>
  <c r="P294" i="26"/>
  <c r="O294" i="26"/>
  <c r="N294" i="26"/>
  <c r="M294" i="26"/>
  <c r="L294" i="26"/>
  <c r="R293" i="26"/>
  <c r="Q293" i="26"/>
  <c r="P293" i="26"/>
  <c r="O293" i="26"/>
  <c r="N293" i="26"/>
  <c r="M293" i="26"/>
  <c r="L293" i="26"/>
  <c r="R292" i="26"/>
  <c r="Q292" i="26"/>
  <c r="P292" i="26"/>
  <c r="O292" i="26"/>
  <c r="N292" i="26"/>
  <c r="I292" i="26"/>
  <c r="L292" i="26" s="1"/>
  <c r="G292" i="26"/>
  <c r="R291" i="26"/>
  <c r="Q291" i="26"/>
  <c r="O291" i="26"/>
  <c r="N291" i="26"/>
  <c r="M291" i="26"/>
  <c r="J291" i="26"/>
  <c r="H291" i="26"/>
  <c r="R290" i="26"/>
  <c r="Q290" i="26"/>
  <c r="O290" i="26"/>
  <c r="N290" i="26"/>
  <c r="M290" i="26"/>
  <c r="J290" i="26"/>
  <c r="H290" i="26"/>
  <c r="R289" i="26"/>
  <c r="Q289" i="26"/>
  <c r="P289" i="26"/>
  <c r="O289" i="26"/>
  <c r="N289" i="26"/>
  <c r="M289" i="26"/>
  <c r="L289" i="26"/>
  <c r="R287" i="26"/>
  <c r="Q287" i="26"/>
  <c r="P287" i="26"/>
  <c r="O287" i="26"/>
  <c r="N287" i="26"/>
  <c r="I287" i="26"/>
  <c r="L287" i="26" s="1"/>
  <c r="G287" i="26"/>
  <c r="R286" i="26"/>
  <c r="Q286" i="26"/>
  <c r="P286" i="26"/>
  <c r="O286" i="26"/>
  <c r="N286" i="26"/>
  <c r="I286" i="26"/>
  <c r="L286" i="26" s="1"/>
  <c r="G286" i="26"/>
  <c r="R285" i="26"/>
  <c r="Q285" i="26"/>
  <c r="O285" i="26"/>
  <c r="N285" i="26"/>
  <c r="M285" i="26"/>
  <c r="J285" i="26"/>
  <c r="H285" i="26"/>
  <c r="R284" i="26"/>
  <c r="Q284" i="26"/>
  <c r="O284" i="26"/>
  <c r="N284" i="26"/>
  <c r="M284" i="26"/>
  <c r="J284" i="26"/>
  <c r="H284" i="26"/>
  <c r="R283" i="26"/>
  <c r="Q283" i="26"/>
  <c r="P283" i="26"/>
  <c r="O283" i="26"/>
  <c r="N283" i="26"/>
  <c r="M283" i="26"/>
  <c r="L283" i="26"/>
  <c r="R282" i="26"/>
  <c r="Q282" i="26"/>
  <c r="P282" i="26"/>
  <c r="O282" i="26"/>
  <c r="N282" i="26"/>
  <c r="I282" i="26"/>
  <c r="L282" i="26" s="1"/>
  <c r="G282" i="26"/>
  <c r="R281" i="26"/>
  <c r="Q281" i="26"/>
  <c r="P281" i="26"/>
  <c r="O281" i="26"/>
  <c r="N281" i="26"/>
  <c r="I281" i="26"/>
  <c r="L281" i="26" s="1"/>
  <c r="G281" i="26"/>
  <c r="R280" i="26"/>
  <c r="Q280" i="26"/>
  <c r="P280" i="26"/>
  <c r="O280" i="26"/>
  <c r="N280" i="26"/>
  <c r="I280" i="26"/>
  <c r="L280" i="26" s="1"/>
  <c r="G280" i="26"/>
  <c r="R279" i="26"/>
  <c r="Q279" i="26"/>
  <c r="P279" i="26"/>
  <c r="O279" i="26"/>
  <c r="N279" i="26"/>
  <c r="I279" i="26"/>
  <c r="L279" i="26" s="1"/>
  <c r="G279" i="26"/>
  <c r="R278" i="26"/>
  <c r="Q278" i="26"/>
  <c r="P278" i="26"/>
  <c r="N278" i="26"/>
  <c r="M278" i="26"/>
  <c r="I278" i="26"/>
  <c r="L278" i="26" s="1"/>
  <c r="O278" i="26" s="1"/>
  <c r="R277" i="26"/>
  <c r="Q277" i="26"/>
  <c r="P277" i="26"/>
  <c r="N277" i="26"/>
  <c r="M277" i="26"/>
  <c r="I277" i="26"/>
  <c r="L277" i="26" s="1"/>
  <c r="O277" i="26" s="1"/>
  <c r="R276" i="26"/>
  <c r="Q276" i="26"/>
  <c r="O276" i="26"/>
  <c r="N276" i="26"/>
  <c r="M276" i="26"/>
  <c r="J276" i="26"/>
  <c r="H276" i="26"/>
  <c r="R275" i="26"/>
  <c r="Q275" i="26"/>
  <c r="O275" i="26"/>
  <c r="N275" i="26"/>
  <c r="M275" i="26"/>
  <c r="L275" i="26"/>
  <c r="P275" i="26" s="1"/>
  <c r="R274" i="26"/>
  <c r="Q274" i="26"/>
  <c r="O274" i="26"/>
  <c r="N274" i="26"/>
  <c r="M274" i="26"/>
  <c r="J274" i="26"/>
  <c r="H274" i="26"/>
  <c r="R273" i="26"/>
  <c r="Q273" i="26"/>
  <c r="P273" i="26"/>
  <c r="O273" i="26"/>
  <c r="N273" i="26"/>
  <c r="M273" i="26"/>
  <c r="L273" i="26"/>
  <c r="R272" i="26"/>
  <c r="Q272" i="26"/>
  <c r="P272" i="26"/>
  <c r="O272" i="26"/>
  <c r="N272" i="26"/>
  <c r="I272" i="26"/>
  <c r="L272" i="26" s="1"/>
  <c r="G272" i="26"/>
  <c r="R271" i="26"/>
  <c r="Q271" i="26"/>
  <c r="P271" i="26"/>
  <c r="O271" i="26"/>
  <c r="N271" i="26"/>
  <c r="I271" i="26"/>
  <c r="L271" i="26" s="1"/>
  <c r="G271" i="26"/>
  <c r="R270" i="26"/>
  <c r="Q270" i="26"/>
  <c r="P270" i="26"/>
  <c r="O270" i="26"/>
  <c r="N270" i="26"/>
  <c r="I270" i="26"/>
  <c r="L270" i="26" s="1"/>
  <c r="G270" i="26"/>
  <c r="R269" i="26"/>
  <c r="Q269" i="26"/>
  <c r="P269" i="26"/>
  <c r="O269" i="26"/>
  <c r="N269" i="26"/>
  <c r="I269" i="26"/>
  <c r="L269" i="26" s="1"/>
  <c r="G269" i="26"/>
  <c r="R268" i="26"/>
  <c r="Q268" i="26"/>
  <c r="O268" i="26"/>
  <c r="N268" i="26"/>
  <c r="M268" i="26"/>
  <c r="K268" i="26"/>
  <c r="J268" i="26"/>
  <c r="H268" i="26"/>
  <c r="R267" i="26"/>
  <c r="Q267" i="26"/>
  <c r="O267" i="26"/>
  <c r="N267" i="26"/>
  <c r="M267" i="26"/>
  <c r="J267" i="26"/>
  <c r="H267" i="26"/>
  <c r="R266" i="26"/>
  <c r="Q266" i="26"/>
  <c r="O266" i="26"/>
  <c r="N266" i="26"/>
  <c r="M266" i="26"/>
  <c r="H266" i="26"/>
  <c r="L266" i="26" s="1"/>
  <c r="P266" i="26" s="1"/>
  <c r="R265" i="26"/>
  <c r="Q265" i="26"/>
  <c r="P265" i="26"/>
  <c r="O265" i="26"/>
  <c r="N265" i="26"/>
  <c r="M265" i="26"/>
  <c r="L265" i="26"/>
  <c r="R264" i="26"/>
  <c r="Q264" i="26"/>
  <c r="P264" i="26"/>
  <c r="O264" i="26"/>
  <c r="N264" i="26"/>
  <c r="I264" i="26"/>
  <c r="L264" i="26" s="1"/>
  <c r="G264" i="26"/>
  <c r="R263" i="26"/>
  <c r="Q263" i="26"/>
  <c r="P263" i="26"/>
  <c r="O263" i="26"/>
  <c r="N263" i="26"/>
  <c r="I263" i="26"/>
  <c r="L263" i="26" s="1"/>
  <c r="G263" i="26"/>
  <c r="R262" i="26"/>
  <c r="Q262" i="26"/>
  <c r="O262" i="26"/>
  <c r="N262" i="26"/>
  <c r="M262" i="26"/>
  <c r="J262" i="26"/>
  <c r="H262" i="26"/>
  <c r="R261" i="26"/>
  <c r="Q261" i="26"/>
  <c r="O261" i="26"/>
  <c r="N261" i="26"/>
  <c r="M261" i="26"/>
  <c r="J261" i="26"/>
  <c r="H261" i="26"/>
  <c r="R260" i="26"/>
  <c r="Q260" i="26"/>
  <c r="P260" i="26"/>
  <c r="O260" i="26"/>
  <c r="N260" i="26"/>
  <c r="M260" i="26"/>
  <c r="L260" i="26"/>
  <c r="R258" i="26"/>
  <c r="Q258" i="26"/>
  <c r="P258" i="26"/>
  <c r="O258" i="26"/>
  <c r="N258" i="26"/>
  <c r="I258" i="26"/>
  <c r="L258" i="26" s="1"/>
  <c r="G258" i="26"/>
  <c r="R257" i="26"/>
  <c r="Q257" i="26"/>
  <c r="P257" i="26"/>
  <c r="O257" i="26"/>
  <c r="N257" i="26"/>
  <c r="I257" i="26"/>
  <c r="L257" i="26" s="1"/>
  <c r="G257" i="26"/>
  <c r="R256" i="26"/>
  <c r="Q256" i="26"/>
  <c r="P256" i="26"/>
  <c r="O256" i="26"/>
  <c r="N256" i="26"/>
  <c r="I256" i="26"/>
  <c r="L256" i="26" s="1"/>
  <c r="G256" i="26"/>
  <c r="R255" i="26"/>
  <c r="Q255" i="26"/>
  <c r="O255" i="26"/>
  <c r="N255" i="26"/>
  <c r="M255" i="26"/>
  <c r="J255" i="26"/>
  <c r="H255" i="26"/>
  <c r="R254" i="26"/>
  <c r="Q254" i="26"/>
  <c r="O254" i="26"/>
  <c r="N254" i="26"/>
  <c r="M254" i="26"/>
  <c r="J254" i="26"/>
  <c r="H254" i="26"/>
  <c r="R253" i="26"/>
  <c r="Q253" i="26"/>
  <c r="O253" i="26"/>
  <c r="N253" i="26"/>
  <c r="M253" i="26"/>
  <c r="J253" i="26"/>
  <c r="H253" i="26"/>
  <c r="R252" i="26"/>
  <c r="Q252" i="26"/>
  <c r="P252" i="26"/>
  <c r="O252" i="26"/>
  <c r="N252" i="26"/>
  <c r="M252" i="26"/>
  <c r="L252" i="26"/>
  <c r="R251" i="26"/>
  <c r="Q251" i="26"/>
  <c r="P251" i="26"/>
  <c r="O251" i="26"/>
  <c r="N251" i="26"/>
  <c r="I251" i="26"/>
  <c r="L251" i="26" s="1"/>
  <c r="G251" i="26"/>
  <c r="R250" i="26"/>
  <c r="Q250" i="26"/>
  <c r="P250" i="26"/>
  <c r="O250" i="26"/>
  <c r="N250" i="26"/>
  <c r="I250" i="26"/>
  <c r="L250" i="26" s="1"/>
  <c r="G250" i="26"/>
  <c r="R249" i="26"/>
  <c r="Q249" i="26"/>
  <c r="P249" i="26"/>
  <c r="O249" i="26"/>
  <c r="N249" i="26"/>
  <c r="I249" i="26"/>
  <c r="L249" i="26" s="1"/>
  <c r="G249" i="26"/>
  <c r="R248" i="26"/>
  <c r="Q248" i="26"/>
  <c r="P248" i="26"/>
  <c r="O248" i="26"/>
  <c r="N248" i="26"/>
  <c r="I248" i="26"/>
  <c r="L248" i="26" s="1"/>
  <c r="G248" i="26"/>
  <c r="R247" i="26"/>
  <c r="Q247" i="26"/>
  <c r="O247" i="26"/>
  <c r="N247" i="26"/>
  <c r="M247" i="26"/>
  <c r="J247" i="26"/>
  <c r="I247" i="26"/>
  <c r="R246" i="26"/>
  <c r="Q246" i="26"/>
  <c r="O246" i="26"/>
  <c r="N246" i="26"/>
  <c r="M246" i="26"/>
  <c r="J246" i="26"/>
  <c r="H246" i="26"/>
  <c r="R245" i="26"/>
  <c r="Q245" i="26"/>
  <c r="O245" i="26"/>
  <c r="N245" i="26"/>
  <c r="M245" i="26"/>
  <c r="J245" i="26"/>
  <c r="H245" i="26"/>
  <c r="R244" i="26"/>
  <c r="Q244" i="26"/>
  <c r="P244" i="26"/>
  <c r="O244" i="26"/>
  <c r="N244" i="26"/>
  <c r="M244" i="26"/>
  <c r="L244" i="26"/>
  <c r="R242" i="26"/>
  <c r="Q242" i="26"/>
  <c r="P242" i="26"/>
  <c r="O242" i="26"/>
  <c r="N242" i="26"/>
  <c r="I242" i="26"/>
  <c r="L242" i="26" s="1"/>
  <c r="G242" i="26"/>
  <c r="R241" i="26"/>
  <c r="Q241" i="26"/>
  <c r="P241" i="26"/>
  <c r="O241" i="26"/>
  <c r="N241" i="26"/>
  <c r="I241" i="26"/>
  <c r="L241" i="26" s="1"/>
  <c r="G241" i="26"/>
  <c r="R240" i="26"/>
  <c r="Q240" i="26"/>
  <c r="P240" i="26"/>
  <c r="N240" i="26"/>
  <c r="M240" i="26"/>
  <c r="I240" i="26"/>
  <c r="L240" i="26" s="1"/>
  <c r="O240" i="26" s="1"/>
  <c r="R239" i="26"/>
  <c r="Q239" i="26"/>
  <c r="O239" i="26"/>
  <c r="N239" i="26"/>
  <c r="M239" i="26"/>
  <c r="J239" i="26"/>
  <c r="H239" i="26"/>
  <c r="R238" i="26"/>
  <c r="Q238" i="26"/>
  <c r="O238" i="26"/>
  <c r="N238" i="26"/>
  <c r="M238" i="26"/>
  <c r="J238" i="26"/>
  <c r="H238" i="26"/>
  <c r="R237" i="26"/>
  <c r="Q237" i="26"/>
  <c r="P237" i="26"/>
  <c r="O237" i="26"/>
  <c r="N237" i="26"/>
  <c r="M237" i="26"/>
  <c r="L237" i="26"/>
  <c r="R235" i="26"/>
  <c r="Q235" i="26"/>
  <c r="P235" i="26"/>
  <c r="O235" i="26"/>
  <c r="N235" i="26"/>
  <c r="I235" i="26"/>
  <c r="L235" i="26" s="1"/>
  <c r="G235" i="26"/>
  <c r="R234" i="26"/>
  <c r="Q234" i="26"/>
  <c r="P234" i="26"/>
  <c r="O234" i="26"/>
  <c r="N234" i="26"/>
  <c r="I234" i="26"/>
  <c r="L234" i="26" s="1"/>
  <c r="G234" i="26"/>
  <c r="R233" i="26"/>
  <c r="Q233" i="26"/>
  <c r="P233" i="26"/>
  <c r="N233" i="26"/>
  <c r="M233" i="26"/>
  <c r="J233" i="26"/>
  <c r="L233" i="26" s="1"/>
  <c r="O233" i="26" s="1"/>
  <c r="R232" i="26"/>
  <c r="Q232" i="26"/>
  <c r="P232" i="26"/>
  <c r="N232" i="26"/>
  <c r="M232" i="26"/>
  <c r="I232" i="26"/>
  <c r="L232" i="26" s="1"/>
  <c r="O232" i="26" s="1"/>
  <c r="R231" i="26"/>
  <c r="Q231" i="26"/>
  <c r="P231" i="26"/>
  <c r="N231" i="26"/>
  <c r="M231" i="26"/>
  <c r="I231" i="26"/>
  <c r="L231" i="26" s="1"/>
  <c r="O231" i="26" s="1"/>
  <c r="R230" i="26"/>
  <c r="Q230" i="26"/>
  <c r="O230" i="26"/>
  <c r="N230" i="26"/>
  <c r="M230" i="26"/>
  <c r="J230" i="26"/>
  <c r="H230" i="26"/>
  <c r="R229" i="26"/>
  <c r="Q229" i="26"/>
  <c r="O229" i="26"/>
  <c r="N229" i="26"/>
  <c r="M229" i="26"/>
  <c r="J229" i="26"/>
  <c r="H229" i="26"/>
  <c r="R228" i="26"/>
  <c r="Q228" i="26"/>
  <c r="P228" i="26"/>
  <c r="O228" i="26"/>
  <c r="N228" i="26"/>
  <c r="M228" i="26"/>
  <c r="L228" i="26"/>
  <c r="R227" i="26"/>
  <c r="Q227" i="26"/>
  <c r="P227" i="26"/>
  <c r="O227" i="26"/>
  <c r="N227" i="26"/>
  <c r="I227" i="26"/>
  <c r="L227" i="26" s="1"/>
  <c r="G227" i="26"/>
  <c r="R226" i="26"/>
  <c r="Q226" i="26"/>
  <c r="P226" i="26"/>
  <c r="O226" i="26"/>
  <c r="N226" i="26"/>
  <c r="I226" i="26"/>
  <c r="L226" i="26" s="1"/>
  <c r="G226" i="26"/>
  <c r="R225" i="26"/>
  <c r="Q225" i="26"/>
  <c r="P225" i="26"/>
  <c r="O225" i="26"/>
  <c r="N225" i="26"/>
  <c r="I225" i="26"/>
  <c r="L225" i="26" s="1"/>
  <c r="G225" i="26"/>
  <c r="R224" i="26"/>
  <c r="Q224" i="26"/>
  <c r="O224" i="26"/>
  <c r="N224" i="26"/>
  <c r="M224" i="26"/>
  <c r="J224" i="26"/>
  <c r="H224" i="26"/>
  <c r="R223" i="26"/>
  <c r="Q223" i="26"/>
  <c r="O223" i="26"/>
  <c r="N223" i="26"/>
  <c r="M223" i="26"/>
  <c r="J223" i="26"/>
  <c r="H223" i="26"/>
  <c r="R222" i="26"/>
  <c r="Q222" i="26"/>
  <c r="P222" i="26"/>
  <c r="O222" i="26"/>
  <c r="N222" i="26"/>
  <c r="M222" i="26"/>
  <c r="L222" i="26"/>
  <c r="R221" i="26"/>
  <c r="Q221" i="26"/>
  <c r="P221" i="26"/>
  <c r="O221" i="26"/>
  <c r="N221" i="26"/>
  <c r="I221" i="26"/>
  <c r="L221" i="26" s="1"/>
  <c r="G221" i="26"/>
  <c r="R220" i="26"/>
  <c r="Q220" i="26"/>
  <c r="P220" i="26"/>
  <c r="O220" i="26"/>
  <c r="N220" i="26"/>
  <c r="I220" i="26"/>
  <c r="L220" i="26" s="1"/>
  <c r="G220" i="26"/>
  <c r="R219" i="26"/>
  <c r="Q219" i="26"/>
  <c r="O219" i="26"/>
  <c r="N219" i="26"/>
  <c r="M219" i="26"/>
  <c r="J219" i="26"/>
  <c r="H219" i="26"/>
  <c r="R218" i="26"/>
  <c r="Q218" i="26"/>
  <c r="O218" i="26"/>
  <c r="N218" i="26"/>
  <c r="M218" i="26"/>
  <c r="J218" i="26"/>
  <c r="H218" i="26"/>
  <c r="R217" i="26"/>
  <c r="Q217" i="26"/>
  <c r="P217" i="26"/>
  <c r="O217" i="26"/>
  <c r="N217" i="26"/>
  <c r="M217" i="26"/>
  <c r="L217" i="26"/>
  <c r="R216" i="26"/>
  <c r="Q216" i="26"/>
  <c r="P216" i="26"/>
  <c r="O216" i="26"/>
  <c r="N216" i="26"/>
  <c r="I216" i="26"/>
  <c r="L216" i="26" s="1"/>
  <c r="G216" i="26"/>
  <c r="R215" i="26"/>
  <c r="Q215" i="26"/>
  <c r="P215" i="26"/>
  <c r="O215" i="26"/>
  <c r="N215" i="26"/>
  <c r="I215" i="26"/>
  <c r="L215" i="26" s="1"/>
  <c r="G215" i="26"/>
  <c r="R214" i="26"/>
  <c r="Q214" i="26"/>
  <c r="P214" i="26"/>
  <c r="O214" i="26"/>
  <c r="N214" i="26"/>
  <c r="I214" i="26"/>
  <c r="L214" i="26" s="1"/>
  <c r="G214" i="26"/>
  <c r="R213" i="26"/>
  <c r="Q213" i="26"/>
  <c r="P213" i="26"/>
  <c r="O213" i="26"/>
  <c r="N213" i="26"/>
  <c r="I213" i="26"/>
  <c r="L213" i="26" s="1"/>
  <c r="G213" i="26"/>
  <c r="R212" i="26"/>
  <c r="Q212" i="26"/>
  <c r="O212" i="26"/>
  <c r="N212" i="26"/>
  <c r="M212" i="26"/>
  <c r="H212" i="26"/>
  <c r="L212" i="26" s="1"/>
  <c r="P212" i="26" s="1"/>
  <c r="R211" i="26"/>
  <c r="Q211" i="26"/>
  <c r="O211" i="26"/>
  <c r="N211" i="26"/>
  <c r="M211" i="26"/>
  <c r="I211" i="26"/>
  <c r="L211" i="26" s="1"/>
  <c r="P211" i="26" s="1"/>
  <c r="R210" i="26"/>
  <c r="Q210" i="26"/>
  <c r="P210" i="26"/>
  <c r="N210" i="26"/>
  <c r="M210" i="26"/>
  <c r="I210" i="26"/>
  <c r="L210" i="26" s="1"/>
  <c r="O210" i="26" s="1"/>
  <c r="R209" i="26"/>
  <c r="Q209" i="26"/>
  <c r="O209" i="26"/>
  <c r="N209" i="26"/>
  <c r="M209" i="26"/>
  <c r="J209" i="26"/>
  <c r="H209" i="26"/>
  <c r="R208" i="26"/>
  <c r="Q208" i="26"/>
  <c r="O208" i="26"/>
  <c r="N208" i="26"/>
  <c r="M208" i="26"/>
  <c r="J208" i="26"/>
  <c r="H208" i="26"/>
  <c r="R207" i="26"/>
  <c r="Q207" i="26"/>
  <c r="P207" i="26"/>
  <c r="O207" i="26"/>
  <c r="N207" i="26"/>
  <c r="M207" i="26"/>
  <c r="L207" i="26"/>
  <c r="R205" i="26"/>
  <c r="Q205" i="26"/>
  <c r="P205" i="26"/>
  <c r="O205" i="26"/>
  <c r="N205" i="26"/>
  <c r="I205" i="26"/>
  <c r="L205" i="26" s="1"/>
  <c r="G205" i="26"/>
  <c r="R204" i="26"/>
  <c r="Q204" i="26"/>
  <c r="P204" i="26"/>
  <c r="O204" i="26"/>
  <c r="N204" i="26"/>
  <c r="I204" i="26"/>
  <c r="L204" i="26" s="1"/>
  <c r="G204" i="26"/>
  <c r="R203" i="26"/>
  <c r="Q203" i="26"/>
  <c r="P203" i="26"/>
  <c r="O203" i="26"/>
  <c r="N203" i="26"/>
  <c r="I203" i="26"/>
  <c r="L203" i="26" s="1"/>
  <c r="G203" i="26"/>
  <c r="R202" i="26"/>
  <c r="Q202" i="26"/>
  <c r="O202" i="26"/>
  <c r="N202" i="26"/>
  <c r="M202" i="26"/>
  <c r="J202" i="26"/>
  <c r="H202" i="26"/>
  <c r="R201" i="26"/>
  <c r="Q201" i="26"/>
  <c r="O201" i="26"/>
  <c r="N201" i="26"/>
  <c r="M201" i="26"/>
  <c r="J201" i="26"/>
  <c r="L201" i="26" s="1"/>
  <c r="P201" i="26" s="1"/>
  <c r="R200" i="26"/>
  <c r="Q200" i="26"/>
  <c r="O200" i="26"/>
  <c r="N200" i="26"/>
  <c r="M200" i="26"/>
  <c r="J200" i="26"/>
  <c r="H200" i="26"/>
  <c r="R199" i="26"/>
  <c r="Q199" i="26"/>
  <c r="P199" i="26"/>
  <c r="O199" i="26"/>
  <c r="N199" i="26"/>
  <c r="M199" i="26"/>
  <c r="L199" i="26"/>
  <c r="R198" i="26"/>
  <c r="Q198" i="26"/>
  <c r="P198" i="26"/>
  <c r="O198" i="26"/>
  <c r="N198" i="26"/>
  <c r="I198" i="26"/>
  <c r="L198" i="26" s="1"/>
  <c r="G198" i="26"/>
  <c r="R197" i="26"/>
  <c r="Q197" i="26"/>
  <c r="P197" i="26"/>
  <c r="O197" i="26"/>
  <c r="N197" i="26"/>
  <c r="I197" i="26"/>
  <c r="L197" i="26" s="1"/>
  <c r="G197" i="26"/>
  <c r="R196" i="26"/>
  <c r="Q196" i="26"/>
  <c r="P196" i="26"/>
  <c r="O196" i="26"/>
  <c r="N196" i="26"/>
  <c r="I196" i="26"/>
  <c r="L196" i="26" s="1"/>
  <c r="G196" i="26"/>
  <c r="R195" i="26"/>
  <c r="Q195" i="26"/>
  <c r="O195" i="26"/>
  <c r="N195" i="26"/>
  <c r="M195" i="26"/>
  <c r="J195" i="26"/>
  <c r="H195" i="26"/>
  <c r="R194" i="26"/>
  <c r="Q194" i="26"/>
  <c r="O194" i="26"/>
  <c r="N194" i="26"/>
  <c r="M194" i="26"/>
  <c r="J194" i="26"/>
  <c r="H194" i="26"/>
  <c r="R193" i="26"/>
  <c r="Q193" i="26"/>
  <c r="P193" i="26"/>
  <c r="O193" i="26"/>
  <c r="N193" i="26"/>
  <c r="M193" i="26"/>
  <c r="L193" i="26"/>
  <c r="R191" i="26"/>
  <c r="Q191" i="26"/>
  <c r="P191" i="26"/>
  <c r="O191" i="26"/>
  <c r="N191" i="26"/>
  <c r="I191" i="26"/>
  <c r="L191" i="26" s="1"/>
  <c r="G191" i="26"/>
  <c r="R190" i="26"/>
  <c r="Q190" i="26"/>
  <c r="P190" i="26"/>
  <c r="O190" i="26"/>
  <c r="N190" i="26"/>
  <c r="I190" i="26"/>
  <c r="L190" i="26" s="1"/>
  <c r="G190" i="26"/>
  <c r="R189" i="26"/>
  <c r="Q189" i="26"/>
  <c r="P189" i="26"/>
  <c r="N189" i="26"/>
  <c r="M189" i="26"/>
  <c r="H189" i="26"/>
  <c r="L189" i="26" s="1"/>
  <c r="O189" i="26" s="1"/>
  <c r="R188" i="26"/>
  <c r="Q188" i="26"/>
  <c r="P188" i="26"/>
  <c r="N188" i="26"/>
  <c r="M188" i="26"/>
  <c r="I188" i="26"/>
  <c r="L188" i="26" s="1"/>
  <c r="O188" i="26" s="1"/>
  <c r="R187" i="26"/>
  <c r="Q187" i="26"/>
  <c r="O187" i="26"/>
  <c r="N187" i="26"/>
  <c r="M187" i="26"/>
  <c r="J187" i="26"/>
  <c r="H187" i="26"/>
  <c r="R186" i="26"/>
  <c r="Q186" i="26"/>
  <c r="O186" i="26"/>
  <c r="N186" i="26"/>
  <c r="M186" i="26"/>
  <c r="J186" i="26"/>
  <c r="H186" i="26"/>
  <c r="R185" i="26"/>
  <c r="Q185" i="26"/>
  <c r="P185" i="26"/>
  <c r="O185" i="26"/>
  <c r="N185" i="26"/>
  <c r="M185" i="26"/>
  <c r="L185" i="26"/>
  <c r="R184" i="26"/>
  <c r="Q184" i="26"/>
  <c r="P184" i="26"/>
  <c r="O184" i="26"/>
  <c r="N184" i="26"/>
  <c r="I184" i="26"/>
  <c r="L184" i="26" s="1"/>
  <c r="G184" i="26"/>
  <c r="R183" i="26"/>
  <c r="Q183" i="26"/>
  <c r="P183" i="26"/>
  <c r="O183" i="26"/>
  <c r="N183" i="26"/>
  <c r="I183" i="26"/>
  <c r="L183" i="26" s="1"/>
  <c r="G183" i="26"/>
  <c r="R182" i="26"/>
  <c r="Q182" i="26"/>
  <c r="P182" i="26"/>
  <c r="O182" i="26"/>
  <c r="N182" i="26"/>
  <c r="I182" i="26"/>
  <c r="L182" i="26" s="1"/>
  <c r="G182" i="26"/>
  <c r="R181" i="26"/>
  <c r="Q181" i="26"/>
  <c r="P181" i="26"/>
  <c r="O181" i="26"/>
  <c r="N181" i="26"/>
  <c r="I181" i="26"/>
  <c r="L181" i="26" s="1"/>
  <c r="G181" i="26"/>
  <c r="R180" i="26"/>
  <c r="Q180" i="26"/>
  <c r="P180" i="26"/>
  <c r="N180" i="26"/>
  <c r="M180" i="26"/>
  <c r="H180" i="26"/>
  <c r="L180" i="26" s="1"/>
  <c r="O180" i="26" s="1"/>
  <c r="R179" i="26"/>
  <c r="Q179" i="26"/>
  <c r="P179" i="26"/>
  <c r="N179" i="26"/>
  <c r="M179" i="26"/>
  <c r="H179" i="26"/>
  <c r="L179" i="26" s="1"/>
  <c r="O179" i="26" s="1"/>
  <c r="R178" i="26"/>
  <c r="Q178" i="26"/>
  <c r="P178" i="26"/>
  <c r="N178" i="26"/>
  <c r="M178" i="26"/>
  <c r="I178" i="26"/>
  <c r="L178" i="26" s="1"/>
  <c r="O178" i="26" s="1"/>
  <c r="R177" i="26"/>
  <c r="Q177" i="26"/>
  <c r="O177" i="26"/>
  <c r="N177" i="26"/>
  <c r="M177" i="26"/>
  <c r="J177" i="26"/>
  <c r="H177" i="26"/>
  <c r="R176" i="26"/>
  <c r="Q176" i="26"/>
  <c r="O176" i="26"/>
  <c r="N176" i="26"/>
  <c r="M176" i="26"/>
  <c r="J176" i="26"/>
  <c r="L176" i="26" s="1"/>
  <c r="P176" i="26" s="1"/>
  <c r="R175" i="26"/>
  <c r="Q175" i="26"/>
  <c r="O175" i="26"/>
  <c r="N175" i="26"/>
  <c r="M175" i="26"/>
  <c r="J175" i="26"/>
  <c r="H175" i="26"/>
  <c r="R174" i="26"/>
  <c r="Q174" i="26"/>
  <c r="P174" i="26"/>
  <c r="O174" i="26"/>
  <c r="N174" i="26"/>
  <c r="M174" i="26"/>
  <c r="L174" i="26"/>
  <c r="R173" i="26"/>
  <c r="Q173" i="26"/>
  <c r="P173" i="26"/>
  <c r="O173" i="26"/>
  <c r="N173" i="26"/>
  <c r="I173" i="26"/>
  <c r="L173" i="26" s="1"/>
  <c r="G173" i="26"/>
  <c r="R172" i="26"/>
  <c r="Q172" i="26"/>
  <c r="P172" i="26"/>
  <c r="O172" i="26"/>
  <c r="N172" i="26"/>
  <c r="I172" i="26"/>
  <c r="L172" i="26" s="1"/>
  <c r="G172" i="26"/>
  <c r="R171" i="26"/>
  <c r="Q171" i="26"/>
  <c r="P171" i="26"/>
  <c r="O171" i="26"/>
  <c r="N171" i="26"/>
  <c r="I171" i="26"/>
  <c r="L171" i="26" s="1"/>
  <c r="G171" i="26"/>
  <c r="R170" i="26"/>
  <c r="Q170" i="26"/>
  <c r="P170" i="26"/>
  <c r="O170" i="26"/>
  <c r="N170" i="26"/>
  <c r="I170" i="26"/>
  <c r="L170" i="26" s="1"/>
  <c r="G170" i="26"/>
  <c r="R169" i="26"/>
  <c r="Q169" i="26"/>
  <c r="P169" i="26"/>
  <c r="N169" i="26"/>
  <c r="M169" i="26"/>
  <c r="H169" i="26"/>
  <c r="L169" i="26" s="1"/>
  <c r="O169" i="26" s="1"/>
  <c r="R168" i="26"/>
  <c r="Q168" i="26"/>
  <c r="O168" i="26"/>
  <c r="N168" i="26"/>
  <c r="M168" i="26"/>
  <c r="I168" i="26"/>
  <c r="L168" i="26" s="1"/>
  <c r="P168" i="26" s="1"/>
  <c r="R167" i="26"/>
  <c r="Q167" i="26"/>
  <c r="P167" i="26"/>
  <c r="N167" i="26"/>
  <c r="M167" i="26"/>
  <c r="I167" i="26"/>
  <c r="L167" i="26" s="1"/>
  <c r="O167" i="26" s="1"/>
  <c r="R166" i="26"/>
  <c r="Q166" i="26"/>
  <c r="O166" i="26"/>
  <c r="N166" i="26"/>
  <c r="M166" i="26"/>
  <c r="J166" i="26"/>
  <c r="H166" i="26"/>
  <c r="R165" i="26"/>
  <c r="Q165" i="26"/>
  <c r="O165" i="26"/>
  <c r="N165" i="26"/>
  <c r="M165" i="26"/>
  <c r="J165" i="26"/>
  <c r="H165" i="26"/>
  <c r="R164" i="26"/>
  <c r="Q164" i="26"/>
  <c r="P164" i="26"/>
  <c r="O164" i="26"/>
  <c r="N164" i="26"/>
  <c r="M164" i="26"/>
  <c r="L164" i="26"/>
  <c r="R163" i="26"/>
  <c r="Q163" i="26"/>
  <c r="P163" i="26"/>
  <c r="O163" i="26"/>
  <c r="N163" i="26"/>
  <c r="I163" i="26"/>
  <c r="L163" i="26" s="1"/>
  <c r="G163" i="26"/>
  <c r="R162" i="26"/>
  <c r="Q162" i="26"/>
  <c r="P162" i="26"/>
  <c r="O162" i="26"/>
  <c r="N162" i="26"/>
  <c r="I162" i="26"/>
  <c r="L162" i="26" s="1"/>
  <c r="G162" i="26"/>
  <c r="R161" i="26"/>
  <c r="Q161" i="26"/>
  <c r="P161" i="26"/>
  <c r="O161" i="26"/>
  <c r="N161" i="26"/>
  <c r="I161" i="26"/>
  <c r="L161" i="26" s="1"/>
  <c r="G161" i="26"/>
  <c r="R160" i="26"/>
  <c r="Q160" i="26"/>
  <c r="P160" i="26"/>
  <c r="O160" i="26"/>
  <c r="N160" i="26"/>
  <c r="I160" i="26"/>
  <c r="L160" i="26" s="1"/>
  <c r="G160" i="26"/>
  <c r="R159" i="26"/>
  <c r="Q159" i="26"/>
  <c r="P159" i="26"/>
  <c r="N159" i="26"/>
  <c r="M159" i="26"/>
  <c r="I159" i="26"/>
  <c r="L159" i="26" s="1"/>
  <c r="O159" i="26" s="1"/>
  <c r="R158" i="26"/>
  <c r="Q158" i="26"/>
  <c r="P158" i="26"/>
  <c r="N158" i="26"/>
  <c r="M158" i="26"/>
  <c r="I158" i="26"/>
  <c r="L158" i="26" s="1"/>
  <c r="O158" i="26" s="1"/>
  <c r="R157" i="26"/>
  <c r="Q157" i="26"/>
  <c r="P157" i="26"/>
  <c r="N157" i="26"/>
  <c r="M157" i="26"/>
  <c r="I157" i="26"/>
  <c r="L157" i="26" s="1"/>
  <c r="O157" i="26" s="1"/>
  <c r="R156" i="26"/>
  <c r="Q156" i="26"/>
  <c r="P156" i="26"/>
  <c r="N156" i="26"/>
  <c r="M156" i="26"/>
  <c r="I156" i="26"/>
  <c r="L156" i="26" s="1"/>
  <c r="O156" i="26" s="1"/>
  <c r="R155" i="26"/>
  <c r="Q155" i="26"/>
  <c r="O155" i="26"/>
  <c r="N155" i="26"/>
  <c r="M155" i="26"/>
  <c r="J155" i="26"/>
  <c r="H155" i="26"/>
  <c r="R154" i="26"/>
  <c r="Q154" i="26"/>
  <c r="O154" i="26"/>
  <c r="N154" i="26"/>
  <c r="M154" i="26"/>
  <c r="J154" i="26"/>
  <c r="H154" i="26"/>
  <c r="R153" i="26"/>
  <c r="Q153" i="26"/>
  <c r="P153" i="26"/>
  <c r="O153" i="26"/>
  <c r="N153" i="26"/>
  <c r="M153" i="26"/>
  <c r="L153" i="26"/>
  <c r="R152" i="26"/>
  <c r="Q152" i="26"/>
  <c r="P152" i="26"/>
  <c r="O152" i="26"/>
  <c r="N152" i="26"/>
  <c r="I152" i="26"/>
  <c r="L152" i="26" s="1"/>
  <c r="G152" i="26"/>
  <c r="R151" i="26"/>
  <c r="Q151" i="26"/>
  <c r="P151" i="26"/>
  <c r="O151" i="26"/>
  <c r="N151" i="26"/>
  <c r="I151" i="26"/>
  <c r="L151" i="26" s="1"/>
  <c r="G151" i="26"/>
  <c r="R150" i="26"/>
  <c r="Q150" i="26"/>
  <c r="P150" i="26"/>
  <c r="N150" i="26"/>
  <c r="M150" i="26"/>
  <c r="H150" i="26"/>
  <c r="L150" i="26" s="1"/>
  <c r="O150" i="26" s="1"/>
  <c r="R149" i="26"/>
  <c r="Q149" i="26"/>
  <c r="P149" i="26"/>
  <c r="N149" i="26"/>
  <c r="M149" i="26"/>
  <c r="I149" i="26"/>
  <c r="L149" i="26" s="1"/>
  <c r="O149" i="26" s="1"/>
  <c r="R148" i="26"/>
  <c r="Q148" i="26"/>
  <c r="O148" i="26"/>
  <c r="N148" i="26"/>
  <c r="M148" i="26"/>
  <c r="J148" i="26"/>
  <c r="H148" i="26"/>
  <c r="R147" i="26"/>
  <c r="Q147" i="26"/>
  <c r="O147" i="26"/>
  <c r="N147" i="26"/>
  <c r="M147" i="26"/>
  <c r="J147" i="26"/>
  <c r="H147" i="26"/>
  <c r="R146" i="26"/>
  <c r="Q146" i="26"/>
  <c r="P146" i="26"/>
  <c r="O146" i="26"/>
  <c r="N146" i="26"/>
  <c r="M146" i="26"/>
  <c r="L146" i="26"/>
  <c r="R145" i="26"/>
  <c r="Q145" i="26"/>
  <c r="P145" i="26"/>
  <c r="O145" i="26"/>
  <c r="N145" i="26"/>
  <c r="I145" i="26"/>
  <c r="L145" i="26" s="1"/>
  <c r="G145" i="26"/>
  <c r="R144" i="26"/>
  <c r="P144" i="26"/>
  <c r="O144" i="26"/>
  <c r="N144" i="26"/>
  <c r="M144" i="26"/>
  <c r="J144" i="26"/>
  <c r="H144" i="26"/>
  <c r="R143" i="26"/>
  <c r="Q143" i="26"/>
  <c r="O143" i="26"/>
  <c r="N143" i="26"/>
  <c r="M143" i="26"/>
  <c r="J143" i="26"/>
  <c r="H143" i="26"/>
  <c r="R142" i="26"/>
  <c r="Q142" i="26"/>
  <c r="P142" i="26"/>
  <c r="O142" i="26"/>
  <c r="N142" i="26"/>
  <c r="M142" i="26"/>
  <c r="L142" i="26"/>
  <c r="R141" i="26"/>
  <c r="Q141" i="26"/>
  <c r="P141" i="26"/>
  <c r="O141" i="26"/>
  <c r="N141" i="26"/>
  <c r="I141" i="26"/>
  <c r="L141" i="26" s="1"/>
  <c r="G141" i="26"/>
  <c r="R140" i="26"/>
  <c r="Q140" i="26"/>
  <c r="P140" i="26"/>
  <c r="O140" i="26"/>
  <c r="N140" i="26"/>
  <c r="I140" i="26"/>
  <c r="L140" i="26" s="1"/>
  <c r="G140" i="26"/>
  <c r="R139" i="26"/>
  <c r="Q139" i="26"/>
  <c r="P139" i="26"/>
  <c r="N139" i="26"/>
  <c r="M139" i="26"/>
  <c r="H139" i="26"/>
  <c r="L139" i="26" s="1"/>
  <c r="O139" i="26" s="1"/>
  <c r="R138" i="26"/>
  <c r="Q138" i="26"/>
  <c r="P138" i="26"/>
  <c r="N138" i="26"/>
  <c r="M138" i="26"/>
  <c r="I138" i="26"/>
  <c r="L138" i="26" s="1"/>
  <c r="O138" i="26" s="1"/>
  <c r="R137" i="26"/>
  <c r="Q137" i="26"/>
  <c r="P137" i="26"/>
  <c r="N137" i="26"/>
  <c r="M137" i="26"/>
  <c r="I137" i="26"/>
  <c r="L137" i="26" s="1"/>
  <c r="O137" i="26" s="1"/>
  <c r="R136" i="26"/>
  <c r="Q136" i="26"/>
  <c r="O136" i="26"/>
  <c r="N136" i="26"/>
  <c r="M136" i="26"/>
  <c r="J136" i="26"/>
  <c r="H136" i="26"/>
  <c r="R135" i="26"/>
  <c r="Q135" i="26"/>
  <c r="O135" i="26"/>
  <c r="N135" i="26"/>
  <c r="M135" i="26"/>
  <c r="J135" i="26"/>
  <c r="H135" i="26"/>
  <c r="R134" i="26"/>
  <c r="Q134" i="26"/>
  <c r="P134" i="26"/>
  <c r="O134" i="26"/>
  <c r="N134" i="26"/>
  <c r="M134" i="26"/>
  <c r="L134" i="26"/>
  <c r="R133" i="26"/>
  <c r="Q133" i="26"/>
  <c r="P133" i="26"/>
  <c r="O133" i="26"/>
  <c r="N133" i="26"/>
  <c r="I133" i="26"/>
  <c r="L133" i="26" s="1"/>
  <c r="G133" i="26"/>
  <c r="R132" i="26"/>
  <c r="P132" i="26"/>
  <c r="O132" i="26"/>
  <c r="N132" i="26"/>
  <c r="M132" i="26"/>
  <c r="J132" i="26"/>
  <c r="H132" i="26"/>
  <c r="R131" i="26"/>
  <c r="Q131" i="26"/>
  <c r="O131" i="26"/>
  <c r="N131" i="26"/>
  <c r="M131" i="26"/>
  <c r="J131" i="26"/>
  <c r="H131" i="26"/>
  <c r="R130" i="26"/>
  <c r="Q130" i="26"/>
  <c r="P130" i="26"/>
  <c r="O130" i="26"/>
  <c r="N130" i="26"/>
  <c r="M130" i="26"/>
  <c r="L130" i="26"/>
  <c r="R129" i="26"/>
  <c r="Q129" i="26"/>
  <c r="P129" i="26"/>
  <c r="O129" i="26"/>
  <c r="N129" i="26"/>
  <c r="I129" i="26"/>
  <c r="L129" i="26" s="1"/>
  <c r="G129" i="26"/>
  <c r="R128" i="26"/>
  <c r="Q128" i="26"/>
  <c r="P128" i="26"/>
  <c r="O128" i="26"/>
  <c r="N128" i="26"/>
  <c r="I128" i="26"/>
  <c r="L128" i="26" s="1"/>
  <c r="G128" i="26"/>
  <c r="R127" i="26"/>
  <c r="Q127" i="26"/>
  <c r="O127" i="26"/>
  <c r="N127" i="26"/>
  <c r="M127" i="26"/>
  <c r="J127" i="26"/>
  <c r="L127" i="26" s="1"/>
  <c r="P127" i="26" s="1"/>
  <c r="R126" i="26"/>
  <c r="Q126" i="26"/>
  <c r="P126" i="26"/>
  <c r="N126" i="26"/>
  <c r="M126" i="26"/>
  <c r="I126" i="26"/>
  <c r="L126" i="26" s="1"/>
  <c r="O126" i="26" s="1"/>
  <c r="R125" i="26"/>
  <c r="Q125" i="26"/>
  <c r="O125" i="26"/>
  <c r="N125" i="26"/>
  <c r="M125" i="26"/>
  <c r="J125" i="26"/>
  <c r="H125" i="26"/>
  <c r="R124" i="26"/>
  <c r="Q124" i="26"/>
  <c r="O124" i="26"/>
  <c r="N124" i="26"/>
  <c r="M124" i="26"/>
  <c r="J124" i="26"/>
  <c r="H124" i="26"/>
  <c r="R123" i="26"/>
  <c r="Q123" i="26"/>
  <c r="P123" i="26"/>
  <c r="O123" i="26"/>
  <c r="N123" i="26"/>
  <c r="M123" i="26"/>
  <c r="L123" i="26"/>
  <c r="R122" i="26"/>
  <c r="Q122" i="26"/>
  <c r="P122" i="26"/>
  <c r="O122" i="26"/>
  <c r="M122" i="26"/>
  <c r="I122" i="26"/>
  <c r="L122" i="26" s="1"/>
  <c r="G122" i="26"/>
  <c r="R121" i="26"/>
  <c r="Q121" i="26"/>
  <c r="P121" i="26"/>
  <c r="O121" i="26"/>
  <c r="M121" i="26"/>
  <c r="I121" i="26"/>
  <c r="L121" i="26" s="1"/>
  <c r="G121" i="26"/>
  <c r="R120" i="26"/>
  <c r="Q120" i="26"/>
  <c r="P120" i="26"/>
  <c r="N120" i="26"/>
  <c r="M120" i="26"/>
  <c r="J120" i="26"/>
  <c r="H120" i="26"/>
  <c r="Q119" i="26"/>
  <c r="P119" i="26"/>
  <c r="O119" i="26"/>
  <c r="N119" i="26"/>
  <c r="M119" i="26"/>
  <c r="J119" i="26"/>
  <c r="H119" i="26"/>
  <c r="Q118" i="26"/>
  <c r="P118" i="26"/>
  <c r="O118" i="26"/>
  <c r="N118" i="26"/>
  <c r="M118" i="26"/>
  <c r="J118" i="26"/>
  <c r="H118" i="26"/>
  <c r="R117" i="26"/>
  <c r="Q117" i="26"/>
  <c r="P117" i="26"/>
  <c r="O117" i="26"/>
  <c r="N117" i="26"/>
  <c r="M117" i="26"/>
  <c r="L117" i="26"/>
  <c r="R116" i="26"/>
  <c r="Q116" i="26"/>
  <c r="P116" i="26"/>
  <c r="O116" i="26"/>
  <c r="N116" i="26"/>
  <c r="I116" i="26"/>
  <c r="L116" i="26" s="1"/>
  <c r="G116" i="26"/>
  <c r="R115" i="26"/>
  <c r="Q115" i="26"/>
  <c r="P115" i="26"/>
  <c r="O115" i="26"/>
  <c r="N115" i="26"/>
  <c r="I115" i="26"/>
  <c r="L115" i="26" s="1"/>
  <c r="G115" i="26"/>
  <c r="R114" i="26"/>
  <c r="Q114" i="26"/>
  <c r="P114" i="26"/>
  <c r="N114" i="26"/>
  <c r="M114" i="26"/>
  <c r="J114" i="26"/>
  <c r="L114" i="26" s="1"/>
  <c r="O114" i="26" s="1"/>
  <c r="R113" i="26"/>
  <c r="Q113" i="26"/>
  <c r="O113" i="26"/>
  <c r="N113" i="26"/>
  <c r="M113" i="26"/>
  <c r="J113" i="26"/>
  <c r="H113" i="26"/>
  <c r="R112" i="26"/>
  <c r="Q112" i="26"/>
  <c r="O112" i="26"/>
  <c r="N112" i="26"/>
  <c r="M112" i="26"/>
  <c r="J112" i="26"/>
  <c r="H112" i="26"/>
  <c r="R111" i="26"/>
  <c r="Q111" i="26"/>
  <c r="P111" i="26"/>
  <c r="O111" i="26"/>
  <c r="N111" i="26"/>
  <c r="M111" i="26"/>
  <c r="L111" i="26"/>
  <c r="R110" i="26"/>
  <c r="Q110" i="26"/>
  <c r="P110" i="26"/>
  <c r="O110" i="26"/>
  <c r="N110" i="26"/>
  <c r="I110" i="26"/>
  <c r="L110" i="26" s="1"/>
  <c r="G110" i="26"/>
  <c r="R109" i="26"/>
  <c r="Q109" i="26"/>
  <c r="P109" i="26"/>
  <c r="O109" i="26"/>
  <c r="N109" i="26"/>
  <c r="I109" i="26"/>
  <c r="L109" i="26" s="1"/>
  <c r="G109" i="26"/>
  <c r="R108" i="26"/>
  <c r="Q108" i="26"/>
  <c r="P108" i="26"/>
  <c r="O108" i="26"/>
  <c r="N108" i="26"/>
  <c r="I108" i="26"/>
  <c r="L108" i="26" s="1"/>
  <c r="G108" i="26"/>
  <c r="R107" i="26"/>
  <c r="Q107" i="26"/>
  <c r="P107" i="26"/>
  <c r="O107" i="26"/>
  <c r="N107" i="26"/>
  <c r="I107" i="26"/>
  <c r="L107" i="26" s="1"/>
  <c r="G107" i="26"/>
  <c r="R106" i="26"/>
  <c r="Q106" i="26"/>
  <c r="P106" i="26"/>
  <c r="O106" i="26"/>
  <c r="N106" i="26"/>
  <c r="I106" i="26"/>
  <c r="L106" i="26" s="1"/>
  <c r="G106" i="26"/>
  <c r="R105" i="26"/>
  <c r="Q105" i="26"/>
  <c r="O105" i="26"/>
  <c r="N105" i="26"/>
  <c r="M105" i="26"/>
  <c r="H105" i="26"/>
  <c r="L105" i="26" s="1"/>
  <c r="P105" i="26" s="1"/>
  <c r="R104" i="26"/>
  <c r="Q104" i="26"/>
  <c r="P104" i="26"/>
  <c r="N104" i="26"/>
  <c r="M104" i="26"/>
  <c r="I104" i="26"/>
  <c r="L104" i="26" s="1"/>
  <c r="O104" i="26" s="1"/>
  <c r="R103" i="26"/>
  <c r="Q103" i="26"/>
  <c r="P103" i="26"/>
  <c r="N103" i="26"/>
  <c r="M103" i="26"/>
  <c r="J103" i="26"/>
  <c r="I103" i="26"/>
  <c r="R102" i="26"/>
  <c r="Q102" i="26"/>
  <c r="O102" i="26"/>
  <c r="N102" i="26"/>
  <c r="M102" i="26"/>
  <c r="J102" i="26"/>
  <c r="H102" i="26"/>
  <c r="R101" i="26"/>
  <c r="Q101" i="26"/>
  <c r="O101" i="26"/>
  <c r="N101" i="26"/>
  <c r="M101" i="26"/>
  <c r="J101" i="26"/>
  <c r="H101" i="26"/>
  <c r="R100" i="26"/>
  <c r="Q100" i="26"/>
  <c r="O100" i="26"/>
  <c r="N100" i="26"/>
  <c r="M100" i="26"/>
  <c r="J100" i="26"/>
  <c r="H100" i="26"/>
  <c r="R99" i="26"/>
  <c r="Q99" i="26"/>
  <c r="O99" i="26"/>
  <c r="N99" i="26"/>
  <c r="M99" i="26"/>
  <c r="J99" i="26"/>
  <c r="H99" i="26"/>
  <c r="R98" i="26"/>
  <c r="Q98" i="26"/>
  <c r="P98" i="26"/>
  <c r="O98" i="26"/>
  <c r="N98" i="26"/>
  <c r="M98" i="26"/>
  <c r="L98" i="26"/>
  <c r="R97" i="26"/>
  <c r="Q97" i="26"/>
  <c r="P97" i="26"/>
  <c r="O97" i="26"/>
  <c r="N97" i="26"/>
  <c r="I97" i="26"/>
  <c r="L97" i="26" s="1"/>
  <c r="G97" i="26"/>
  <c r="R96" i="26"/>
  <c r="Q96" i="26"/>
  <c r="O96" i="26"/>
  <c r="N96" i="26"/>
  <c r="M96" i="26"/>
  <c r="J96" i="26"/>
  <c r="H96" i="26"/>
  <c r="R95" i="26"/>
  <c r="Q95" i="26"/>
  <c r="O95" i="26"/>
  <c r="N95" i="26"/>
  <c r="M95" i="26"/>
  <c r="J95" i="26"/>
  <c r="H95" i="26"/>
  <c r="R94" i="26"/>
  <c r="Q94" i="26"/>
  <c r="P94" i="26"/>
  <c r="O94" i="26"/>
  <c r="N94" i="26"/>
  <c r="M94" i="26"/>
  <c r="L94" i="26"/>
  <c r="R93" i="26"/>
  <c r="Q93" i="26"/>
  <c r="P93" i="26"/>
  <c r="O93" i="26"/>
  <c r="M93" i="26"/>
  <c r="I93" i="26"/>
  <c r="L93" i="26" s="1"/>
  <c r="G93" i="26"/>
  <c r="R92" i="26"/>
  <c r="Q92" i="26"/>
  <c r="P92" i="26"/>
  <c r="O92" i="26"/>
  <c r="N92" i="26"/>
  <c r="I92" i="26"/>
  <c r="L92" i="26" s="1"/>
  <c r="G92" i="26"/>
  <c r="R91" i="26"/>
  <c r="Q91" i="26"/>
  <c r="O91" i="26"/>
  <c r="N91" i="26"/>
  <c r="M91" i="26"/>
  <c r="I91" i="26"/>
  <c r="L91" i="26" s="1"/>
  <c r="P91" i="26" s="1"/>
  <c r="R90" i="26"/>
  <c r="Q90" i="26"/>
  <c r="O90" i="26"/>
  <c r="N90" i="26"/>
  <c r="M90" i="26"/>
  <c r="J90" i="26"/>
  <c r="H90" i="26"/>
  <c r="R89" i="26"/>
  <c r="P89" i="26"/>
  <c r="O89" i="26"/>
  <c r="N89" i="26"/>
  <c r="M89" i="26"/>
  <c r="J89" i="26"/>
  <c r="H89" i="26"/>
  <c r="R88" i="26"/>
  <c r="Q88" i="26"/>
  <c r="P88" i="26"/>
  <c r="O88" i="26"/>
  <c r="N88" i="26"/>
  <c r="M88" i="26"/>
  <c r="L88" i="26"/>
  <c r="R87" i="26"/>
  <c r="Q87" i="26"/>
  <c r="P87" i="26"/>
  <c r="O87" i="26"/>
  <c r="N87" i="26"/>
  <c r="I87" i="26"/>
  <c r="L87" i="26" s="1"/>
  <c r="G87" i="26"/>
  <c r="R86" i="26"/>
  <c r="Q86" i="26"/>
  <c r="P86" i="26"/>
  <c r="O86" i="26"/>
  <c r="N86" i="26"/>
  <c r="I86" i="26"/>
  <c r="L86" i="26" s="1"/>
  <c r="G86" i="26"/>
  <c r="R85" i="26"/>
  <c r="Q85" i="26"/>
  <c r="P85" i="26"/>
  <c r="O85" i="26"/>
  <c r="N85" i="26"/>
  <c r="I85" i="26"/>
  <c r="L85" i="26" s="1"/>
  <c r="G85" i="26"/>
  <c r="R84" i="26"/>
  <c r="Q84" i="26"/>
  <c r="O84" i="26"/>
  <c r="N84" i="26"/>
  <c r="M84" i="26"/>
  <c r="J84" i="26"/>
  <c r="H84" i="26"/>
  <c r="R83" i="26"/>
  <c r="Q83" i="26"/>
  <c r="O83" i="26"/>
  <c r="N83" i="26"/>
  <c r="M83" i="26"/>
  <c r="J83" i="26"/>
  <c r="L83" i="26" s="1"/>
  <c r="P83" i="26" s="1"/>
  <c r="R82" i="26"/>
  <c r="Q82" i="26"/>
  <c r="O82" i="26"/>
  <c r="N82" i="26"/>
  <c r="M82" i="26"/>
  <c r="J82" i="26"/>
  <c r="H82" i="26"/>
  <c r="R81" i="26"/>
  <c r="Q81" i="26"/>
  <c r="P81" i="26"/>
  <c r="O81" i="26"/>
  <c r="N81" i="26"/>
  <c r="M81" i="26"/>
  <c r="L81" i="26"/>
  <c r="R80" i="26"/>
  <c r="Q80" i="26"/>
  <c r="P80" i="26"/>
  <c r="O80" i="26"/>
  <c r="N80" i="26"/>
  <c r="I80" i="26"/>
  <c r="L80" i="26" s="1"/>
  <c r="G80" i="26"/>
  <c r="R79" i="26"/>
  <c r="Q79" i="26"/>
  <c r="P79" i="26"/>
  <c r="O79" i="26"/>
  <c r="N79" i="26"/>
  <c r="I79" i="26"/>
  <c r="L79" i="26" s="1"/>
  <c r="G79" i="26"/>
  <c r="R78" i="26"/>
  <c r="Q78" i="26"/>
  <c r="P78" i="26"/>
  <c r="N78" i="26"/>
  <c r="M78" i="26"/>
  <c r="I78" i="26"/>
  <c r="H78" i="26"/>
  <c r="R77" i="26"/>
  <c r="Q77" i="26"/>
  <c r="P77" i="26"/>
  <c r="N77" i="26"/>
  <c r="M77" i="26"/>
  <c r="I77" i="26"/>
  <c r="L77" i="26" s="1"/>
  <c r="O77" i="26" s="1"/>
  <c r="R76" i="26"/>
  <c r="Q76" i="26"/>
  <c r="P76" i="26"/>
  <c r="N76" i="26"/>
  <c r="M76" i="26"/>
  <c r="I76" i="26"/>
  <c r="L76" i="26" s="1"/>
  <c r="O76" i="26" s="1"/>
  <c r="R75" i="26"/>
  <c r="Q75" i="26"/>
  <c r="O75" i="26"/>
  <c r="N75" i="26"/>
  <c r="M75" i="26"/>
  <c r="J75" i="26"/>
  <c r="H75" i="26"/>
  <c r="R74" i="26"/>
  <c r="Q74" i="26"/>
  <c r="O74" i="26"/>
  <c r="N74" i="26"/>
  <c r="M74" i="26"/>
  <c r="J74" i="26"/>
  <c r="H74" i="26"/>
  <c r="R73" i="26"/>
  <c r="Q73" i="26"/>
  <c r="P73" i="26"/>
  <c r="O73" i="26"/>
  <c r="N73" i="26"/>
  <c r="M73" i="26"/>
  <c r="L73" i="26"/>
  <c r="R72" i="26"/>
  <c r="Q72" i="26"/>
  <c r="P72" i="26"/>
  <c r="O72" i="26"/>
  <c r="N72" i="26"/>
  <c r="I72" i="26"/>
  <c r="L72" i="26" s="1"/>
  <c r="G72" i="26"/>
  <c r="R71" i="26"/>
  <c r="Q71" i="26"/>
  <c r="P71" i="26"/>
  <c r="O71" i="26"/>
  <c r="N71" i="26"/>
  <c r="I71" i="26"/>
  <c r="L71" i="26" s="1"/>
  <c r="G71" i="26"/>
  <c r="R70" i="26"/>
  <c r="Q70" i="26"/>
  <c r="P70" i="26"/>
  <c r="N70" i="26"/>
  <c r="M70" i="26"/>
  <c r="H70" i="26"/>
  <c r="L70" i="26" s="1"/>
  <c r="O70" i="26" s="1"/>
  <c r="R69" i="26"/>
  <c r="Q69" i="26"/>
  <c r="P69" i="26"/>
  <c r="N69" i="26"/>
  <c r="M69" i="26"/>
  <c r="I69" i="26"/>
  <c r="L69" i="26" s="1"/>
  <c r="O69" i="26" s="1"/>
  <c r="R68" i="26"/>
  <c r="Q68" i="26"/>
  <c r="O68" i="26"/>
  <c r="N68" i="26"/>
  <c r="M68" i="26"/>
  <c r="J68" i="26"/>
  <c r="H68" i="26"/>
  <c r="R67" i="26"/>
  <c r="Q67" i="26"/>
  <c r="O67" i="26"/>
  <c r="N67" i="26"/>
  <c r="M67" i="26"/>
  <c r="J67" i="26"/>
  <c r="H67" i="26"/>
  <c r="R66" i="26"/>
  <c r="Q66" i="26"/>
  <c r="P66" i="26"/>
  <c r="O66" i="26"/>
  <c r="N66" i="26"/>
  <c r="M66" i="26"/>
  <c r="L66" i="26"/>
  <c r="R65" i="26"/>
  <c r="Q65" i="26"/>
  <c r="P65" i="26"/>
  <c r="O65" i="26"/>
  <c r="N65" i="26"/>
  <c r="I65" i="26"/>
  <c r="L65" i="26" s="1"/>
  <c r="G65" i="26"/>
  <c r="R64" i="26"/>
  <c r="Q64" i="26"/>
  <c r="P64" i="26"/>
  <c r="O64" i="26"/>
  <c r="N64" i="26"/>
  <c r="I64" i="26"/>
  <c r="L64" i="26" s="1"/>
  <c r="G64" i="26"/>
  <c r="R63" i="26"/>
  <c r="Q63" i="26"/>
  <c r="P63" i="26"/>
  <c r="N63" i="26"/>
  <c r="M63" i="26"/>
  <c r="I63" i="26"/>
  <c r="L63" i="26" s="1"/>
  <c r="O63" i="26" s="1"/>
  <c r="Q62" i="26"/>
  <c r="P62" i="26"/>
  <c r="O62" i="26"/>
  <c r="N62" i="26"/>
  <c r="M62" i="26"/>
  <c r="J62" i="26"/>
  <c r="H62" i="26"/>
  <c r="R61" i="26"/>
  <c r="P61" i="26"/>
  <c r="O61" i="26"/>
  <c r="N61" i="26"/>
  <c r="M61" i="26"/>
  <c r="J61" i="26"/>
  <c r="H61" i="26"/>
  <c r="R60" i="26"/>
  <c r="Q60" i="26"/>
  <c r="P60" i="26"/>
  <c r="O60" i="26"/>
  <c r="N60" i="26"/>
  <c r="M60" i="26"/>
  <c r="L60" i="26"/>
  <c r="R59" i="26"/>
  <c r="Q59" i="26"/>
  <c r="P59" i="26"/>
  <c r="O59" i="26"/>
  <c r="N59" i="26"/>
  <c r="I59" i="26"/>
  <c r="L59" i="26" s="1"/>
  <c r="G59" i="26"/>
  <c r="R58" i="26"/>
  <c r="Q58" i="26"/>
  <c r="P58" i="26"/>
  <c r="O58" i="26"/>
  <c r="N58" i="26"/>
  <c r="I58" i="26"/>
  <c r="L58" i="26" s="1"/>
  <c r="G58" i="26"/>
  <c r="R57" i="26"/>
  <c r="Q57" i="26"/>
  <c r="O57" i="26"/>
  <c r="N57" i="26"/>
  <c r="M57" i="26"/>
  <c r="I57" i="26"/>
  <c r="H57" i="26"/>
  <c r="R56" i="26"/>
  <c r="Q56" i="26"/>
  <c r="P56" i="26"/>
  <c r="N56" i="26"/>
  <c r="M56" i="26"/>
  <c r="I56" i="26"/>
  <c r="L56" i="26" s="1"/>
  <c r="O56" i="26" s="1"/>
  <c r="R55" i="26"/>
  <c r="Q55" i="26"/>
  <c r="O55" i="26"/>
  <c r="N55" i="26"/>
  <c r="M55" i="26"/>
  <c r="J55" i="26"/>
  <c r="H55" i="26"/>
  <c r="R54" i="26"/>
  <c r="Q54" i="26"/>
  <c r="O54" i="26"/>
  <c r="N54" i="26"/>
  <c r="M54" i="26"/>
  <c r="J54" i="26"/>
  <c r="H54" i="26"/>
  <c r="R53" i="26"/>
  <c r="Q53" i="26"/>
  <c r="P53" i="26"/>
  <c r="O53" i="26"/>
  <c r="N53" i="26"/>
  <c r="M53" i="26"/>
  <c r="L53" i="26"/>
  <c r="R52" i="26"/>
  <c r="Q52" i="26"/>
  <c r="P52" i="26"/>
  <c r="O52" i="26"/>
  <c r="N52" i="26"/>
  <c r="I52" i="26"/>
  <c r="L52" i="26" s="1"/>
  <c r="G52" i="26"/>
  <c r="R51" i="26"/>
  <c r="Q51" i="26"/>
  <c r="P51" i="26"/>
  <c r="O51" i="26"/>
  <c r="N51" i="26"/>
  <c r="I51" i="26"/>
  <c r="L51" i="26" s="1"/>
  <c r="G51" i="26"/>
  <c r="R50" i="26"/>
  <c r="Q50" i="26"/>
  <c r="P50" i="26"/>
  <c r="O50" i="26"/>
  <c r="N50" i="26"/>
  <c r="I50" i="26"/>
  <c r="L50" i="26" s="1"/>
  <c r="G50" i="26"/>
  <c r="R49" i="26"/>
  <c r="Q49" i="26"/>
  <c r="P49" i="26"/>
  <c r="O49" i="26"/>
  <c r="N49" i="26"/>
  <c r="I49" i="26"/>
  <c r="L49" i="26" s="1"/>
  <c r="G49" i="26"/>
  <c r="R48" i="26"/>
  <c r="Q48" i="26"/>
  <c r="O48" i="26"/>
  <c r="N48" i="26"/>
  <c r="M48" i="26"/>
  <c r="J48" i="26"/>
  <c r="H48" i="26"/>
  <c r="R47" i="26"/>
  <c r="Q47" i="26"/>
  <c r="O47" i="26"/>
  <c r="N47" i="26"/>
  <c r="M47" i="26"/>
  <c r="J47" i="26"/>
  <c r="L47" i="26" s="1"/>
  <c r="P47" i="26" s="1"/>
  <c r="R46" i="26"/>
  <c r="Q46" i="26"/>
  <c r="O46" i="26"/>
  <c r="N46" i="26"/>
  <c r="M46" i="26"/>
  <c r="J46" i="26"/>
  <c r="H46" i="26"/>
  <c r="R45" i="26"/>
  <c r="Q45" i="26"/>
  <c r="P45" i="26"/>
  <c r="O45" i="26"/>
  <c r="N45" i="26"/>
  <c r="M45" i="26"/>
  <c r="L45" i="26"/>
  <c r="R44" i="26"/>
  <c r="Q44" i="26"/>
  <c r="P44" i="26"/>
  <c r="O44" i="26"/>
  <c r="N44" i="26"/>
  <c r="I44" i="26"/>
  <c r="L44" i="26" s="1"/>
  <c r="G44" i="26"/>
  <c r="R43" i="26"/>
  <c r="Q43" i="26"/>
  <c r="P43" i="26"/>
  <c r="O43" i="26"/>
  <c r="N43" i="26"/>
  <c r="I43" i="26"/>
  <c r="L43" i="26" s="1"/>
  <c r="G43" i="26"/>
  <c r="R42" i="26"/>
  <c r="Q42" i="26"/>
  <c r="O42" i="26"/>
  <c r="N42" i="26"/>
  <c r="M42" i="26"/>
  <c r="J42" i="26"/>
  <c r="H42" i="26"/>
  <c r="R41" i="26"/>
  <c r="Q41" i="26"/>
  <c r="O41" i="26"/>
  <c r="N41" i="26"/>
  <c r="M41" i="26"/>
  <c r="J41" i="26"/>
  <c r="H41" i="26"/>
  <c r="R40" i="26"/>
  <c r="Q40" i="26"/>
  <c r="P40" i="26"/>
  <c r="O40" i="26"/>
  <c r="N40" i="26"/>
  <c r="M40" i="26"/>
  <c r="L40" i="26"/>
  <c r="R39" i="26"/>
  <c r="Q39" i="26"/>
  <c r="P39" i="26"/>
  <c r="O39" i="26"/>
  <c r="N39" i="26"/>
  <c r="I39" i="26"/>
  <c r="L39" i="26" s="1"/>
  <c r="G39" i="26"/>
  <c r="R38" i="26"/>
  <c r="Q38" i="26"/>
  <c r="P38" i="26"/>
  <c r="O38" i="26"/>
  <c r="N38" i="26"/>
  <c r="I38" i="26"/>
  <c r="L38" i="26" s="1"/>
  <c r="G38" i="26"/>
  <c r="R37" i="26"/>
  <c r="Q37" i="26"/>
  <c r="P37" i="26"/>
  <c r="N37" i="26"/>
  <c r="M37" i="26"/>
  <c r="I37" i="26"/>
  <c r="H37" i="26"/>
  <c r="R36" i="26"/>
  <c r="Q36" i="26"/>
  <c r="O36" i="26"/>
  <c r="N36" i="26"/>
  <c r="M36" i="26"/>
  <c r="J36" i="26"/>
  <c r="I36" i="26"/>
  <c r="H36" i="26"/>
  <c r="R35" i="26"/>
  <c r="Q35" i="26"/>
  <c r="O35" i="26"/>
  <c r="N35" i="26"/>
  <c r="M35" i="26"/>
  <c r="J35" i="26"/>
  <c r="I35" i="26"/>
  <c r="H35" i="26"/>
  <c r="R34" i="26"/>
  <c r="Q34" i="26"/>
  <c r="P34" i="26"/>
  <c r="O34" i="26"/>
  <c r="N34" i="26"/>
  <c r="M34" i="26"/>
  <c r="L34" i="26"/>
  <c r="R33" i="26"/>
  <c r="Q33" i="26"/>
  <c r="P33" i="26"/>
  <c r="O33" i="26"/>
  <c r="N33" i="26"/>
  <c r="I33" i="26"/>
  <c r="L33" i="26" s="1"/>
  <c r="G33" i="26"/>
  <c r="R32" i="26"/>
  <c r="Q32" i="26"/>
  <c r="P32" i="26"/>
  <c r="O32" i="26"/>
  <c r="N32" i="26"/>
  <c r="I32" i="26"/>
  <c r="L32" i="26" s="1"/>
  <c r="G32" i="26"/>
  <c r="R31" i="26"/>
  <c r="Q31" i="26"/>
  <c r="P31" i="26"/>
  <c r="O31" i="26"/>
  <c r="N31" i="26"/>
  <c r="I31" i="26"/>
  <c r="L31" i="26" s="1"/>
  <c r="G31" i="26"/>
  <c r="R30" i="26"/>
  <c r="Q30" i="26"/>
  <c r="P30" i="26"/>
  <c r="O30" i="26"/>
  <c r="N30" i="26"/>
  <c r="I30" i="26"/>
  <c r="L30" i="26" s="1"/>
  <c r="G30" i="26"/>
  <c r="R29" i="26"/>
  <c r="Q29" i="26"/>
  <c r="O29" i="26"/>
  <c r="N29" i="26"/>
  <c r="M29" i="26"/>
  <c r="J29" i="26"/>
  <c r="H29" i="26"/>
  <c r="R28" i="26"/>
  <c r="Q28" i="26"/>
  <c r="O28" i="26"/>
  <c r="N28" i="26"/>
  <c r="M28" i="26"/>
  <c r="J28" i="26"/>
  <c r="H28" i="26"/>
  <c r="R27" i="26"/>
  <c r="Q27" i="26"/>
  <c r="P27" i="26"/>
  <c r="O27" i="26"/>
  <c r="N27" i="26"/>
  <c r="M27" i="26"/>
  <c r="L27" i="26"/>
  <c r="R26" i="26"/>
  <c r="Q26" i="26"/>
  <c r="P26" i="26"/>
  <c r="O26" i="26"/>
  <c r="N26" i="26"/>
  <c r="I26" i="26"/>
  <c r="L26" i="26" s="1"/>
  <c r="G26" i="26"/>
  <c r="R25" i="26"/>
  <c r="Q25" i="26"/>
  <c r="O25" i="26"/>
  <c r="N25" i="26"/>
  <c r="M25" i="26"/>
  <c r="J25" i="26"/>
  <c r="H25" i="26"/>
  <c r="R24" i="26"/>
  <c r="Q24" i="26"/>
  <c r="O24" i="26"/>
  <c r="N24" i="26"/>
  <c r="M24" i="26"/>
  <c r="J24" i="26"/>
  <c r="H24" i="26"/>
  <c r="R23" i="26"/>
  <c r="Q23" i="26"/>
  <c r="P23" i="26"/>
  <c r="O23" i="26"/>
  <c r="N23" i="26"/>
  <c r="M23" i="26"/>
  <c r="L23" i="26"/>
  <c r="R21" i="26"/>
  <c r="Q21" i="26"/>
  <c r="P21" i="26"/>
  <c r="O21" i="26"/>
  <c r="N21" i="26"/>
  <c r="I21" i="26"/>
  <c r="L21" i="26" s="1"/>
  <c r="G21" i="26"/>
  <c r="R20" i="26"/>
  <c r="Q20" i="26"/>
  <c r="P20" i="26"/>
  <c r="N20" i="26"/>
  <c r="M20" i="26"/>
  <c r="J20" i="26"/>
  <c r="H20" i="26"/>
  <c r="R19" i="26"/>
  <c r="Q19" i="26"/>
  <c r="P19" i="26"/>
  <c r="N19" i="26"/>
  <c r="M19" i="26"/>
  <c r="J19" i="26"/>
  <c r="H19" i="26"/>
  <c r="R18" i="26"/>
  <c r="Q18" i="26"/>
  <c r="P18" i="26"/>
  <c r="O18" i="26"/>
  <c r="N18" i="26"/>
  <c r="M18" i="26"/>
  <c r="L18" i="26"/>
  <c r="R17" i="26"/>
  <c r="Q17" i="26"/>
  <c r="P17" i="26"/>
  <c r="O17" i="26"/>
  <c r="N17" i="26"/>
  <c r="I17" i="26"/>
  <c r="L17" i="26" s="1"/>
  <c r="G17" i="26"/>
  <c r="R16" i="26"/>
  <c r="Q16" i="26"/>
  <c r="P16" i="26"/>
  <c r="O16" i="26"/>
  <c r="N16" i="26"/>
  <c r="I16" i="26"/>
  <c r="L16" i="26" s="1"/>
  <c r="G16" i="26"/>
  <c r="R15" i="26"/>
  <c r="P15" i="26"/>
  <c r="O15" i="26"/>
  <c r="N15" i="26"/>
  <c r="M15" i="26"/>
  <c r="J15" i="26"/>
  <c r="H15" i="26"/>
  <c r="R14" i="26"/>
  <c r="Q14" i="26"/>
  <c r="O14" i="26"/>
  <c r="N14" i="26"/>
  <c r="M14" i="26"/>
  <c r="J14" i="26"/>
  <c r="H14" i="26"/>
  <c r="R13" i="26"/>
  <c r="Q13" i="26"/>
  <c r="P13" i="26"/>
  <c r="O13" i="26"/>
  <c r="N13" i="26"/>
  <c r="M13" i="26"/>
  <c r="L13" i="26"/>
  <c r="R12" i="26"/>
  <c r="Q12" i="26"/>
  <c r="P12" i="26"/>
  <c r="O12" i="26"/>
  <c r="N12" i="26"/>
  <c r="I12" i="26"/>
  <c r="L12" i="26" s="1"/>
  <c r="G12" i="26"/>
  <c r="R11" i="26"/>
  <c r="Q11" i="26"/>
  <c r="P11" i="26"/>
  <c r="O11" i="26"/>
  <c r="N11" i="26"/>
  <c r="I11" i="26"/>
  <c r="L11" i="26" s="1"/>
  <c r="G11" i="26"/>
  <c r="R10" i="26"/>
  <c r="Q10" i="26"/>
  <c r="P10" i="26"/>
  <c r="O10" i="26"/>
  <c r="N10" i="26"/>
  <c r="I10" i="26"/>
  <c r="L10" i="26" s="1"/>
  <c r="G10" i="26"/>
  <c r="R9" i="26"/>
  <c r="Q9" i="26"/>
  <c r="P9" i="26"/>
  <c r="O9" i="26"/>
  <c r="N9" i="26"/>
  <c r="I9" i="26"/>
  <c r="L9" i="26" s="1"/>
  <c r="G9" i="26"/>
  <c r="R8" i="26"/>
  <c r="Q8" i="26"/>
  <c r="P8" i="26"/>
  <c r="N8" i="26"/>
  <c r="M8" i="26"/>
  <c r="H8" i="26"/>
  <c r="L8" i="26" s="1"/>
  <c r="O8" i="26" s="1"/>
  <c r="R7" i="26"/>
  <c r="P7" i="26"/>
  <c r="O7" i="26"/>
  <c r="N7" i="26"/>
  <c r="M7" i="26"/>
  <c r="J7" i="26"/>
  <c r="I7" i="26"/>
  <c r="H7" i="26"/>
  <c r="R6" i="26"/>
  <c r="Q6" i="26"/>
  <c r="O6" i="26"/>
  <c r="N6" i="26"/>
  <c r="M6" i="26"/>
  <c r="J6" i="26"/>
  <c r="I6" i="26"/>
  <c r="H6" i="26"/>
  <c r="R5" i="26"/>
  <c r="Q5" i="26"/>
  <c r="P5" i="26"/>
  <c r="O5" i="26"/>
  <c r="N5" i="26"/>
  <c r="M5" i="26"/>
  <c r="L5" i="26"/>
  <c r="M837" i="26" l="1"/>
  <c r="M823" i="26"/>
  <c r="L15" i="26"/>
  <c r="Q15" i="26" s="1"/>
  <c r="L24" i="26"/>
  <c r="P24" i="26" s="1"/>
  <c r="M697" i="26"/>
  <c r="M873" i="26"/>
  <c r="N1171" i="26"/>
  <c r="L474" i="26"/>
  <c r="O474" i="26" s="1"/>
  <c r="M570" i="26"/>
  <c r="L124" i="26"/>
  <c r="P124" i="26" s="1"/>
  <c r="L323" i="26"/>
  <c r="P323" i="26" s="1"/>
  <c r="L344" i="26"/>
  <c r="P344" i="26" s="1"/>
  <c r="L412" i="26"/>
  <c r="P412" i="26" s="1"/>
  <c r="L418" i="26"/>
  <c r="P418" i="26" s="1"/>
  <c r="M792" i="26"/>
  <c r="M883" i="26"/>
  <c r="L131" i="26"/>
  <c r="P131" i="26" s="1"/>
  <c r="L135" i="26"/>
  <c r="P135" i="26" s="1"/>
  <c r="L262" i="26"/>
  <c r="P262" i="26" s="1"/>
  <c r="M793" i="26"/>
  <c r="L54" i="26"/>
  <c r="P54" i="26" s="1"/>
  <c r="M64" i="26"/>
  <c r="L102" i="26"/>
  <c r="P102" i="26" s="1"/>
  <c r="L112" i="26"/>
  <c r="P112" i="26" s="1"/>
  <c r="M31" i="26"/>
  <c r="L42" i="26"/>
  <c r="P42" i="26" s="1"/>
  <c r="L274" i="26"/>
  <c r="P274" i="26" s="1"/>
  <c r="M441" i="26"/>
  <c r="M455" i="26"/>
  <c r="M10" i="26"/>
  <c r="L20" i="26"/>
  <c r="O20" i="26" s="1"/>
  <c r="L29" i="26"/>
  <c r="P29" i="26" s="1"/>
  <c r="L75" i="26"/>
  <c r="P75" i="26" s="1"/>
  <c r="L84" i="26"/>
  <c r="P84" i="26" s="1"/>
  <c r="M85" i="26"/>
  <c r="M92" i="26"/>
  <c r="M106" i="26"/>
  <c r="M110" i="26"/>
  <c r="L125" i="26"/>
  <c r="P125" i="26" s="1"/>
  <c r="M133" i="26"/>
  <c r="M145" i="26"/>
  <c r="L195" i="26"/>
  <c r="P195" i="26" s="1"/>
  <c r="L267" i="26"/>
  <c r="P267" i="26" s="1"/>
  <c r="L387" i="26"/>
  <c r="P387" i="26" s="1"/>
  <c r="L406" i="26"/>
  <c r="P406" i="26" s="1"/>
  <c r="M877" i="26"/>
  <c r="O1169" i="26"/>
  <c r="M595" i="26"/>
  <c r="M603" i="26"/>
  <c r="M801" i="26"/>
  <c r="M805" i="26"/>
  <c r="M821" i="26"/>
  <c r="M692" i="26"/>
  <c r="M890" i="26"/>
  <c r="M1083" i="26"/>
  <c r="L6" i="26"/>
  <c r="P6" i="26" s="1"/>
  <c r="M589" i="26"/>
  <c r="L245" i="26"/>
  <c r="P245" i="26" s="1"/>
  <c r="M881" i="26"/>
  <c r="M895" i="26"/>
  <c r="M960" i="26"/>
  <c r="M976" i="26"/>
  <c r="M1025" i="26"/>
  <c r="M107" i="26"/>
  <c r="L187" i="26"/>
  <c r="P187" i="26" s="1"/>
  <c r="L219" i="26"/>
  <c r="P219" i="26" s="1"/>
  <c r="L246" i="26"/>
  <c r="P246" i="26" s="1"/>
  <c r="L284" i="26"/>
  <c r="P284" i="26" s="1"/>
  <c r="L370" i="26"/>
  <c r="P370" i="26" s="1"/>
  <c r="L378" i="26"/>
  <c r="P378" i="26" s="1"/>
  <c r="L405" i="26"/>
  <c r="P405" i="26" s="1"/>
  <c r="L446" i="26"/>
  <c r="P446" i="26" s="1"/>
  <c r="L470" i="26"/>
  <c r="O470" i="26" s="1"/>
  <c r="M576" i="26"/>
  <c r="M583" i="26"/>
  <c r="M700" i="26"/>
  <c r="M794" i="26"/>
  <c r="M993" i="26"/>
  <c r="M1006" i="26"/>
  <c r="M1051" i="26"/>
  <c r="M17" i="26"/>
  <c r="L35" i="26"/>
  <c r="P35" i="26" s="1"/>
  <c r="L37" i="26"/>
  <c r="O37" i="26" s="1"/>
  <c r="M72" i="26"/>
  <c r="L78" i="26"/>
  <c r="O78" i="26" s="1"/>
  <c r="L360" i="26"/>
  <c r="P360" i="26" s="1"/>
  <c r="L377" i="26"/>
  <c r="P377" i="26" s="1"/>
  <c r="L484" i="26"/>
  <c r="O484" i="26" s="1"/>
  <c r="M699" i="26"/>
  <c r="M822" i="26"/>
  <c r="M946" i="26"/>
  <c r="M1028" i="26"/>
  <c r="M282" i="26"/>
  <c r="L312" i="26"/>
  <c r="P312" i="26" s="1"/>
  <c r="M584" i="26"/>
  <c r="M691" i="26"/>
  <c r="M850" i="26"/>
  <c r="M862" i="26"/>
  <c r="M965" i="26"/>
  <c r="M994" i="26"/>
  <c r="M1004" i="26"/>
  <c r="M1070" i="26"/>
  <c r="M1125" i="26"/>
  <c r="M109" i="26"/>
  <c r="M152" i="26"/>
  <c r="M51" i="26"/>
  <c r="L46" i="26"/>
  <c r="P46" i="26" s="1"/>
  <c r="M97" i="26"/>
  <c r="L175" i="26"/>
  <c r="P175" i="26" s="1"/>
  <c r="L230" i="26"/>
  <c r="P230" i="26" s="1"/>
  <c r="L238" i="26"/>
  <c r="P238" i="26" s="1"/>
  <c r="L291" i="26"/>
  <c r="P291" i="26" s="1"/>
  <c r="L296" i="26"/>
  <c r="P296" i="26" s="1"/>
  <c r="L304" i="26"/>
  <c r="P304" i="26" s="1"/>
  <c r="M321" i="26"/>
  <c r="L333" i="26"/>
  <c r="P333" i="26" s="1"/>
  <c r="L399" i="26"/>
  <c r="P399" i="26" s="1"/>
  <c r="L419" i="26"/>
  <c r="P419" i="26" s="1"/>
  <c r="L426" i="26"/>
  <c r="P426" i="26" s="1"/>
  <c r="L430" i="26"/>
  <c r="P430" i="26" s="1"/>
  <c r="L464" i="26"/>
  <c r="O464" i="26" s="1"/>
  <c r="M481" i="26"/>
  <c r="M539" i="26"/>
  <c r="M540" i="26"/>
  <c r="M577" i="26"/>
  <c r="M679" i="26"/>
  <c r="M698" i="26"/>
  <c r="M721" i="26"/>
  <c r="M756" i="26"/>
  <c r="N761" i="26"/>
  <c r="M779" i="26"/>
  <c r="M844" i="26"/>
  <c r="M920" i="26"/>
  <c r="M962" i="26"/>
  <c r="M1012" i="26"/>
  <c r="M1026" i="26"/>
  <c r="M1101" i="26"/>
  <c r="M1118" i="26"/>
  <c r="M196" i="26"/>
  <c r="L306" i="26"/>
  <c r="P306" i="26" s="1"/>
  <c r="M351" i="26"/>
  <c r="M382" i="26"/>
  <c r="M396" i="26"/>
  <c r="M401" i="26"/>
  <c r="M454" i="26"/>
  <c r="M575" i="26"/>
  <c r="M694" i="26"/>
  <c r="M736" i="26"/>
  <c r="M804" i="26"/>
  <c r="M858" i="26"/>
  <c r="M884" i="26"/>
  <c r="M1024" i="26"/>
  <c r="M1034" i="26"/>
  <c r="L165" i="26"/>
  <c r="P165" i="26" s="1"/>
  <c r="M181" i="26"/>
  <c r="M335" i="26"/>
  <c r="L355" i="26"/>
  <c r="O355" i="26" s="1"/>
  <c r="L400" i="26"/>
  <c r="P400" i="26" s="1"/>
  <c r="M461" i="26"/>
  <c r="M578" i="26"/>
  <c r="M590" i="26"/>
  <c r="O630" i="26"/>
  <c r="M718" i="26"/>
  <c r="M777" i="26"/>
  <c r="M781" i="26"/>
  <c r="M832" i="26"/>
  <c r="M836" i="26"/>
  <c r="M861" i="26"/>
  <c r="M905" i="26"/>
  <c r="M1027" i="26"/>
  <c r="M1079" i="26"/>
  <c r="M504" i="26"/>
  <c r="M533" i="26"/>
  <c r="M545" i="26"/>
  <c r="M549" i="26"/>
  <c r="M565" i="26"/>
  <c r="M656" i="26"/>
  <c r="M668" i="26"/>
  <c r="M715" i="26"/>
  <c r="M1000" i="26"/>
  <c r="M248" i="26"/>
  <c r="M798" i="26"/>
  <c r="M886" i="26"/>
  <c r="O931" i="26"/>
  <c r="N1042" i="26"/>
  <c r="M281" i="26"/>
  <c r="M11" i="26"/>
  <c r="M33" i="26"/>
  <c r="M912" i="26"/>
  <c r="M784" i="26"/>
  <c r="M983" i="26"/>
  <c r="M562" i="26"/>
  <c r="M899" i="26"/>
  <c r="M887" i="26"/>
  <c r="M374" i="26"/>
  <c r="M389" i="26"/>
  <c r="M503" i="26"/>
  <c r="M507" i="26"/>
  <c r="M522" i="26"/>
  <c r="M532" i="26"/>
  <c r="M548" i="26"/>
  <c r="M564" i="26"/>
  <c r="M898" i="26"/>
  <c r="M926" i="26"/>
  <c r="M940" i="26"/>
  <c r="M12" i="26"/>
  <c r="M116" i="26"/>
  <c r="M506" i="26"/>
  <c r="M521" i="26"/>
  <c r="M547" i="26"/>
  <c r="M563" i="26"/>
  <c r="M610" i="26"/>
  <c r="M808" i="26"/>
  <c r="N813" i="26"/>
  <c r="M730" i="26"/>
  <c r="M743" i="26"/>
  <c r="M900" i="26"/>
  <c r="M978" i="26"/>
  <c r="M1091" i="26"/>
  <c r="M1106" i="26"/>
  <c r="L41" i="26"/>
  <c r="P41" i="26" s="1"/>
  <c r="L25" i="26"/>
  <c r="P25" i="26" s="1"/>
  <c r="L14" i="26"/>
  <c r="P14" i="26" s="1"/>
  <c r="M39" i="26"/>
  <c r="M43" i="26"/>
  <c r="M52" i="26"/>
  <c r="L67" i="26"/>
  <c r="P67" i="26" s="1"/>
  <c r="L68" i="26"/>
  <c r="P68" i="26" s="1"/>
  <c r="M86" i="26"/>
  <c r="L90" i="26"/>
  <c r="P90" i="26" s="1"/>
  <c r="L100" i="26"/>
  <c r="P100" i="26" s="1"/>
  <c r="L118" i="26"/>
  <c r="R118" i="26" s="1"/>
  <c r="L119" i="26"/>
  <c r="R119" i="26" s="1"/>
  <c r="M141" i="26"/>
  <c r="L144" i="26"/>
  <c r="Q144" i="26" s="1"/>
  <c r="M249" i="26"/>
  <c r="M320" i="26"/>
  <c r="M326" i="26"/>
  <c r="M340" i="26"/>
  <c r="M1100" i="26"/>
  <c r="L82" i="26"/>
  <c r="P82" i="26" s="1"/>
  <c r="L89" i="26"/>
  <c r="Q89" i="26" s="1"/>
  <c r="L99" i="26"/>
  <c r="P99" i="26" s="1"/>
  <c r="M129" i="26"/>
  <c r="L154" i="26"/>
  <c r="P154" i="26" s="1"/>
  <c r="L200" i="26"/>
  <c r="P200" i="26" s="1"/>
  <c r="L209" i="26"/>
  <c r="P209" i="26" s="1"/>
  <c r="L255" i="26"/>
  <c r="P255" i="26" s="1"/>
  <c r="L268" i="26"/>
  <c r="P268" i="26" s="1"/>
  <c r="L276" i="26"/>
  <c r="P276" i="26" s="1"/>
  <c r="M341" i="26"/>
  <c r="L371" i="26"/>
  <c r="P371" i="26" s="1"/>
  <c r="M427" i="26"/>
  <c r="M471" i="26"/>
  <c r="L485" i="26"/>
  <c r="O485" i="26" s="1"/>
  <c r="M555" i="26"/>
  <c r="M402" i="26"/>
  <c r="L425" i="26"/>
  <c r="P425" i="26" s="1"/>
  <c r="M435" i="26"/>
  <c r="M556" i="26"/>
  <c r="N640" i="26"/>
  <c r="M16" i="26"/>
  <c r="M65" i="26"/>
  <c r="L120" i="26"/>
  <c r="O120" i="26" s="1"/>
  <c r="M151" i="26"/>
  <c r="M171" i="26"/>
  <c r="M184" i="26"/>
  <c r="M272" i="26"/>
  <c r="L295" i="26"/>
  <c r="P295" i="26" s="1"/>
  <c r="M308" i="26"/>
  <c r="L324" i="26"/>
  <c r="P324" i="26" s="1"/>
  <c r="L328" i="26"/>
  <c r="P328" i="26" s="1"/>
  <c r="L345" i="26"/>
  <c r="P345" i="26" s="1"/>
  <c r="L361" i="26"/>
  <c r="P361" i="26" s="1"/>
  <c r="L365" i="26"/>
  <c r="O365" i="26" s="1"/>
  <c r="M391" i="26"/>
  <c r="L432" i="26"/>
  <c r="P432" i="26" s="1"/>
  <c r="L447" i="26"/>
  <c r="P447" i="26" s="1"/>
  <c r="L475" i="26"/>
  <c r="O475" i="26" s="1"/>
  <c r="L479" i="26"/>
  <c r="O479" i="26" s="1"/>
  <c r="M505" i="26"/>
  <c r="M541" i="26"/>
  <c r="M558" i="26"/>
  <c r="M566" i="26"/>
  <c r="M591" i="26"/>
  <c r="M594" i="26"/>
  <c r="M546" i="26"/>
  <c r="M561" i="26"/>
  <c r="M599" i="26"/>
  <c r="M602" i="26"/>
  <c r="N624" i="26"/>
  <c r="N628" i="26"/>
  <c r="N631" i="26"/>
  <c r="M632" i="26"/>
  <c r="M652" i="26"/>
  <c r="M688" i="26"/>
  <c r="M703" i="26"/>
  <c r="M709" i="26"/>
  <c r="M728" i="26"/>
  <c r="M733" i="26"/>
  <c r="M753" i="26"/>
  <c r="M758" i="26"/>
  <c r="O763" i="26"/>
  <c r="M791" i="26"/>
  <c r="M806" i="26"/>
  <c r="M810" i="26"/>
  <c r="O815" i="26"/>
  <c r="M829" i="26"/>
  <c r="M842" i="26"/>
  <c r="M849" i="26"/>
  <c r="M859" i="26"/>
  <c r="M882" i="26"/>
  <c r="M885" i="26"/>
  <c r="M897" i="26"/>
  <c r="M904" i="26"/>
  <c r="M921" i="26"/>
  <c r="M937" i="26"/>
  <c r="M971" i="26"/>
  <c r="M975" i="26"/>
  <c r="M1023" i="26"/>
  <c r="M1046" i="26"/>
  <c r="O1052" i="26"/>
  <c r="N1058" i="26"/>
  <c r="M1088" i="26"/>
  <c r="M1097" i="26"/>
  <c r="M1104" i="26"/>
  <c r="M1108" i="26"/>
  <c r="M1114" i="26"/>
  <c r="M1116" i="26"/>
  <c r="M1123" i="26"/>
  <c r="M1124" i="26"/>
  <c r="M1130" i="26"/>
  <c r="M611" i="26"/>
  <c r="M654" i="26"/>
  <c r="M658" i="26"/>
  <c r="M662" i="26"/>
  <c r="M670" i="26"/>
  <c r="M706" i="26"/>
  <c r="M707" i="26"/>
  <c r="M713" i="26"/>
  <c r="M769" i="26"/>
  <c r="M782" i="26"/>
  <c r="M786" i="26"/>
  <c r="M796" i="26"/>
  <c r="M824" i="26"/>
  <c r="M868" i="26"/>
  <c r="M871" i="26"/>
  <c r="M910" i="26"/>
  <c r="N932" i="26"/>
  <c r="N936" i="26"/>
  <c r="M1054" i="26"/>
  <c r="M1074" i="26"/>
  <c r="M1122" i="26"/>
  <c r="M685" i="26"/>
  <c r="M725" i="26"/>
  <c r="M749" i="26"/>
  <c r="M596" i="26"/>
  <c r="M629" i="26"/>
  <c r="M686" i="26"/>
  <c r="M705" i="26"/>
  <c r="M726" i="26"/>
  <c r="M750" i="26"/>
  <c r="N771" i="26"/>
  <c r="M780" i="26"/>
  <c r="M789" i="26"/>
  <c r="M817" i="26"/>
  <c r="M828" i="26"/>
  <c r="M830" i="26"/>
  <c r="M891" i="26"/>
  <c r="M894" i="26"/>
  <c r="M909" i="26"/>
  <c r="M959" i="26"/>
  <c r="M1076" i="26"/>
  <c r="M1078" i="26"/>
  <c r="M1093" i="26"/>
  <c r="M1102" i="26"/>
  <c r="M9" i="26"/>
  <c r="M21" i="26"/>
  <c r="L61" i="26"/>
  <c r="Q61" i="26" s="1"/>
  <c r="M241" i="26"/>
  <c r="M258" i="26"/>
  <c r="M301" i="26"/>
  <c r="M32" i="26"/>
  <c r="L36" i="26"/>
  <c r="P36" i="26" s="1"/>
  <c r="M44" i="26"/>
  <c r="M58" i="26"/>
  <c r="L101" i="26"/>
  <c r="P101" i="26" s="1"/>
  <c r="L48" i="26"/>
  <c r="P48" i="26" s="1"/>
  <c r="L95" i="26"/>
  <c r="P95" i="26" s="1"/>
  <c r="M216" i="26"/>
  <c r="M242" i="26"/>
  <c r="L7" i="26"/>
  <c r="Q7" i="26" s="1"/>
  <c r="L28" i="26"/>
  <c r="P28" i="26" s="1"/>
  <c r="L113" i="26"/>
  <c r="P113" i="26" s="1"/>
  <c r="M161" i="26"/>
  <c r="M287" i="26"/>
  <c r="M302" i="26"/>
  <c r="M421" i="26"/>
  <c r="M434" i="26"/>
  <c r="M526" i="26"/>
  <c r="L19" i="26"/>
  <c r="O19" i="26" s="1"/>
  <c r="M26" i="26"/>
  <c r="M30" i="26"/>
  <c r="M38" i="26"/>
  <c r="M49" i="26"/>
  <c r="M50" i="26"/>
  <c r="L55" i="26"/>
  <c r="P55" i="26" s="1"/>
  <c r="L57" i="26"/>
  <c r="P57" i="26" s="1"/>
  <c r="M59" i="26"/>
  <c r="L62" i="26"/>
  <c r="R62" i="26" s="1"/>
  <c r="L96" i="26"/>
  <c r="P96" i="26" s="1"/>
  <c r="L103" i="26"/>
  <c r="O103" i="26" s="1"/>
  <c r="M108" i="26"/>
  <c r="N121" i="26"/>
  <c r="L147" i="26"/>
  <c r="P147" i="26" s="1"/>
  <c r="M162" i="26"/>
  <c r="M170" i="26"/>
  <c r="L186" i="26"/>
  <c r="P186" i="26" s="1"/>
  <c r="M271" i="26"/>
  <c r="L329" i="26"/>
  <c r="P329" i="26" s="1"/>
  <c r="L166" i="26"/>
  <c r="P166" i="26" s="1"/>
  <c r="L177" i="26"/>
  <c r="P177" i="26" s="1"/>
  <c r="M182" i="26"/>
  <c r="L194" i="26"/>
  <c r="P194" i="26" s="1"/>
  <c r="L202" i="26"/>
  <c r="P202" i="26" s="1"/>
  <c r="L208" i="26"/>
  <c r="P208" i="26" s="1"/>
  <c r="M220" i="26"/>
  <c r="L224" i="26"/>
  <c r="P224" i="26" s="1"/>
  <c r="L229" i="26"/>
  <c r="P229" i="26" s="1"/>
  <c r="L239" i="26"/>
  <c r="P239" i="26" s="1"/>
  <c r="L247" i="26"/>
  <c r="P247" i="26" s="1"/>
  <c r="M250" i="26"/>
  <c r="L254" i="26"/>
  <c r="P254" i="26" s="1"/>
  <c r="M263" i="26"/>
  <c r="M280" i="26"/>
  <c r="L285" i="26"/>
  <c r="P285" i="26" s="1"/>
  <c r="M292" i="26"/>
  <c r="L316" i="26"/>
  <c r="P316" i="26" s="1"/>
  <c r="M325" i="26"/>
  <c r="L338" i="26"/>
  <c r="P338" i="26" s="1"/>
  <c r="M346" i="26"/>
  <c r="M352" i="26"/>
  <c r="N357" i="26"/>
  <c r="M380" i="26"/>
  <c r="L386" i="26"/>
  <c r="P386" i="26" s="1"/>
  <c r="M409" i="26"/>
  <c r="L413" i="26"/>
  <c r="P413" i="26" s="1"/>
  <c r="L465" i="26"/>
  <c r="O465" i="26" s="1"/>
  <c r="L469" i="26"/>
  <c r="O469" i="26" s="1"/>
  <c r="M486" i="26"/>
  <c r="M598" i="26"/>
  <c r="M625" i="26"/>
  <c r="M647" i="26"/>
  <c r="M650" i="26"/>
  <c r="M742" i="26"/>
  <c r="M963" i="26"/>
  <c r="M970" i="26"/>
  <c r="M1065" i="26"/>
  <c r="M1086" i="26"/>
  <c r="N122" i="26"/>
  <c r="L132" i="26"/>
  <c r="Q132" i="26" s="1"/>
  <c r="L136" i="26"/>
  <c r="P136" i="26" s="1"/>
  <c r="L143" i="26"/>
  <c r="P143" i="26" s="1"/>
  <c r="L148" i="26"/>
  <c r="P148" i="26" s="1"/>
  <c r="L155" i="26"/>
  <c r="P155" i="26" s="1"/>
  <c r="M173" i="26"/>
  <c r="M198" i="26"/>
  <c r="M203" i="26"/>
  <c r="M213" i="26"/>
  <c r="L218" i="26"/>
  <c r="P218" i="26" s="1"/>
  <c r="L223" i="26"/>
  <c r="P223" i="26" s="1"/>
  <c r="M225" i="26"/>
  <c r="M234" i="26"/>
  <c r="L253" i="26"/>
  <c r="P253" i="26" s="1"/>
  <c r="L261" i="26"/>
  <c r="P261" i="26" s="1"/>
  <c r="M279" i="26"/>
  <c r="L290" i="26"/>
  <c r="P290" i="26" s="1"/>
  <c r="M313" i="26"/>
  <c r="M331" i="26"/>
  <c r="M336" i="26"/>
  <c r="L350" i="26"/>
  <c r="P350" i="26" s="1"/>
  <c r="L356" i="26"/>
  <c r="O356" i="26" s="1"/>
  <c r="N363" i="26"/>
  <c r="N367" i="26"/>
  <c r="M373" i="26"/>
  <c r="M383" i="26"/>
  <c r="L395" i="26"/>
  <c r="P395" i="26" s="1"/>
  <c r="M408" i="26"/>
  <c r="M415" i="26"/>
  <c r="M437" i="26"/>
  <c r="M444" i="26"/>
  <c r="M450" i="26"/>
  <c r="M456" i="26"/>
  <c r="L460" i="26"/>
  <c r="O460" i="26" s="1"/>
  <c r="M476" i="26"/>
  <c r="M520" i="26"/>
  <c r="M531" i="26"/>
  <c r="M554" i="26"/>
  <c r="M557" i="26"/>
  <c r="M585" i="26"/>
  <c r="M593" i="26"/>
  <c r="M597" i="26"/>
  <c r="M609" i="26"/>
  <c r="N621" i="26"/>
  <c r="M740" i="26"/>
  <c r="M741" i="26"/>
  <c r="M776" i="26"/>
  <c r="M969" i="26"/>
  <c r="M1013" i="26"/>
  <c r="M1062" i="26"/>
  <c r="L311" i="26"/>
  <c r="P311" i="26" s="1"/>
  <c r="L317" i="26"/>
  <c r="P317" i="26" s="1"/>
  <c r="L334" i="26"/>
  <c r="P334" i="26" s="1"/>
  <c r="L339" i="26"/>
  <c r="P339" i="26" s="1"/>
  <c r="L349" i="26"/>
  <c r="P349" i="26" s="1"/>
  <c r="L366" i="26"/>
  <c r="O366" i="26" s="1"/>
  <c r="M381" i="26"/>
  <c r="M388" i="26"/>
  <c r="L394" i="26"/>
  <c r="P394" i="26" s="1"/>
  <c r="M414" i="26"/>
  <c r="L440" i="26"/>
  <c r="P440" i="26" s="1"/>
  <c r="M442" i="26"/>
  <c r="M443" i="26"/>
  <c r="M449" i="26"/>
  <c r="L459" i="26"/>
  <c r="O459" i="26" s="1"/>
  <c r="L480" i="26"/>
  <c r="O480" i="26" s="1"/>
  <c r="M523" i="26"/>
  <c r="M534" i="26"/>
  <c r="M612" i="26"/>
  <c r="M744" i="26"/>
  <c r="M1077" i="26"/>
  <c r="M1105" i="26"/>
  <c r="M618" i="26"/>
  <c r="M659" i="26"/>
  <c r="M671" i="26"/>
  <c r="M695" i="26"/>
  <c r="M714" i="26"/>
  <c r="M729" i="26"/>
  <c r="M755" i="26"/>
  <c r="M783" i="26"/>
  <c r="M795" i="26"/>
  <c r="M807" i="26"/>
  <c r="N816" i="26"/>
  <c r="M831" i="26"/>
  <c r="M840" i="26"/>
  <c r="M845" i="26"/>
  <c r="M853" i="26"/>
  <c r="M865" i="26"/>
  <c r="M874" i="26"/>
  <c r="M880" i="26"/>
  <c r="M893" i="26"/>
  <c r="M908" i="26"/>
  <c r="M911" i="26"/>
  <c r="M917" i="26"/>
  <c r="M925" i="26"/>
  <c r="N939" i="26"/>
  <c r="M955" i="26"/>
  <c r="M961" i="26"/>
  <c r="M986" i="26"/>
  <c r="M990" i="26"/>
  <c r="M999" i="26"/>
  <c r="M1019" i="26"/>
  <c r="O1060" i="26"/>
  <c r="M1073" i="26"/>
  <c r="M1128" i="26"/>
  <c r="M682" i="26"/>
  <c r="M722" i="26"/>
  <c r="M737" i="26"/>
  <c r="M754" i="26"/>
  <c r="M772" i="26"/>
  <c r="M892" i="26"/>
  <c r="M916" i="26"/>
  <c r="M924" i="26"/>
  <c r="N929" i="26"/>
  <c r="M945" i="26"/>
  <c r="M954" i="26"/>
  <c r="M985" i="26"/>
  <c r="M989" i="26"/>
  <c r="M992" i="26"/>
  <c r="M995" i="26"/>
  <c r="M998" i="26"/>
  <c r="M1014" i="26"/>
  <c r="M1021" i="26"/>
  <c r="M1039" i="26"/>
  <c r="N1050" i="26"/>
  <c r="M1059" i="26"/>
  <c r="M1068" i="26"/>
  <c r="M1072" i="26"/>
  <c r="M1087" i="26"/>
  <c r="M1090" i="26"/>
  <c r="M1096" i="26"/>
  <c r="M1099" i="26"/>
  <c r="M1119" i="26"/>
  <c r="P1206" i="26"/>
  <c r="P1208" i="26" s="1"/>
  <c r="O1168" i="26"/>
  <c r="O1171" i="26"/>
  <c r="M649" i="26"/>
  <c r="M657" i="26"/>
  <c r="M669" i="26"/>
  <c r="M684" i="26"/>
  <c r="M687" i="26"/>
  <c r="M704" i="26"/>
  <c r="M708" i="26"/>
  <c r="M710" i="26"/>
  <c r="M724" i="26"/>
  <c r="M727" i="26"/>
  <c r="M739" i="26"/>
  <c r="M757" i="26"/>
  <c r="N764" i="26"/>
  <c r="N768" i="26"/>
  <c r="M778" i="26"/>
  <c r="M785" i="26"/>
  <c r="M790" i="26"/>
  <c r="M797" i="26"/>
  <c r="M802" i="26"/>
  <c r="M809" i="26"/>
  <c r="M814" i="26"/>
  <c r="M826" i="26"/>
  <c r="M833" i="26"/>
  <c r="M838" i="26"/>
  <c r="M843" i="26"/>
  <c r="M856" i="26"/>
  <c r="M857" i="26"/>
  <c r="M866" i="26"/>
  <c r="M869" i="26"/>
  <c r="M872" i="26"/>
  <c r="M878" i="26"/>
  <c r="M906" i="26"/>
  <c r="M913" i="26"/>
  <c r="M918" i="26"/>
  <c r="M919" i="26"/>
  <c r="M923" i="26"/>
  <c r="M949" i="26"/>
  <c r="M981" i="26"/>
  <c r="M984" i="26"/>
  <c r="M997" i="26"/>
  <c r="M1038" i="26"/>
  <c r="M1043" i="26"/>
  <c r="N1061" i="26"/>
  <c r="M1067" i="26"/>
  <c r="M1075" i="26"/>
  <c r="M1089" i="26"/>
  <c r="M1098" i="26"/>
  <c r="M1109" i="26"/>
  <c r="N1165" i="26"/>
  <c r="O1170" i="26"/>
  <c r="L74" i="26"/>
  <c r="P74" i="26" s="1"/>
  <c r="M79" i="26"/>
  <c r="M80" i="26"/>
  <c r="N93" i="26"/>
  <c r="M115" i="26"/>
  <c r="M128" i="26"/>
  <c r="M140" i="26"/>
  <c r="M172" i="26"/>
  <c r="M191" i="26"/>
  <c r="M197" i="26"/>
  <c r="M205" i="26"/>
  <c r="M215" i="26"/>
  <c r="M227" i="26"/>
  <c r="M257" i="26"/>
  <c r="M270" i="26"/>
  <c r="M286" i="26"/>
  <c r="M300" i="26"/>
  <c r="M330" i="26"/>
  <c r="N362" i="26"/>
  <c r="M71" i="26"/>
  <c r="M87" i="26"/>
  <c r="M160" i="26"/>
  <c r="M163" i="26"/>
  <c r="M183" i="26"/>
  <c r="M190" i="26"/>
  <c r="M204" i="26"/>
  <c r="M214" i="26"/>
  <c r="M221" i="26"/>
  <c r="M226" i="26"/>
  <c r="M235" i="26"/>
  <c r="M251" i="26"/>
  <c r="M256" i="26"/>
  <c r="M264" i="26"/>
  <c r="M269" i="26"/>
  <c r="M307" i="26"/>
  <c r="M390" i="26"/>
  <c r="M422" i="26"/>
  <c r="M423" i="26"/>
  <c r="L439" i="26"/>
  <c r="P439" i="26" s="1"/>
  <c r="M466" i="26"/>
  <c r="M496" i="26"/>
  <c r="M513" i="26"/>
  <c r="M587" i="26"/>
  <c r="M608" i="26"/>
  <c r="M616" i="26"/>
  <c r="M648" i="26"/>
  <c r="M676" i="26"/>
  <c r="M683" i="26"/>
  <c r="M428" i="26"/>
  <c r="M433" i="26"/>
  <c r="M457" i="26"/>
  <c r="M502" i="26"/>
  <c r="M527" i="26"/>
  <c r="M542" i="26"/>
  <c r="M581" i="26"/>
  <c r="M605" i="26"/>
  <c r="M615" i="26"/>
  <c r="O623" i="26"/>
  <c r="M655" i="26"/>
  <c r="M663" i="26"/>
  <c r="M675" i="26"/>
  <c r="M407" i="26"/>
  <c r="M436" i="26"/>
  <c r="M448" i="26"/>
  <c r="R1206" i="26"/>
  <c r="R1208" i="26" s="1"/>
  <c r="M720" i="26"/>
  <c r="M723" i="26"/>
  <c r="M735" i="26"/>
  <c r="M738" i="26"/>
  <c r="M752" i="26"/>
  <c r="M860" i="26"/>
  <c r="M896" i="26"/>
  <c r="M903" i="26"/>
  <c r="M922" i="26"/>
  <c r="M719" i="26"/>
  <c r="M734" i="26"/>
  <c r="M748" i="26"/>
  <c r="M751" i="26"/>
  <c r="O770" i="26"/>
  <c r="M839" i="26"/>
  <c r="M879" i="26"/>
  <c r="M907" i="26"/>
  <c r="O938" i="26"/>
  <c r="M974" i="26"/>
  <c r="M977" i="26"/>
  <c r="M1005" i="26"/>
  <c r="M1011" i="26"/>
  <c r="M1022" i="26"/>
  <c r="N1053" i="26"/>
  <c r="M1084" i="26"/>
  <c r="M1103" i="26"/>
  <c r="M1112" i="26"/>
  <c r="Q1206" i="26"/>
  <c r="Q1208" i="26" s="1"/>
  <c r="R488" i="26" l="1"/>
  <c r="R490" i="26" s="1"/>
  <c r="M1206" i="26"/>
  <c r="M1208" i="26" s="1"/>
  <c r="N488" i="26"/>
  <c r="N490" i="26" s="1"/>
  <c r="O488" i="26"/>
  <c r="O490" i="26" s="1"/>
  <c r="Q488" i="26"/>
  <c r="Q490" i="26" s="1"/>
  <c r="P488" i="26"/>
  <c r="P490" i="26" s="1"/>
  <c r="M488" i="26"/>
  <c r="M490" i="26" s="1"/>
  <c r="G19" i="14" s="1"/>
  <c r="O1206" i="26"/>
  <c r="O1208" i="26" s="1"/>
  <c r="N1206" i="26"/>
  <c r="I19" i="14" l="1"/>
  <c r="J18" i="14"/>
  <c r="J19" i="14"/>
  <c r="K18" i="14"/>
  <c r="K19" i="14"/>
  <c r="L18" i="14"/>
  <c r="L19" i="14"/>
  <c r="S490" i="26"/>
  <c r="G18" i="14"/>
  <c r="I18" i="14"/>
  <c r="N1208" i="26"/>
  <c r="H18" i="14" s="1"/>
  <c r="H19" i="14" l="1"/>
  <c r="M19" i="14" s="1"/>
  <c r="S1208" i="26"/>
  <c r="S1210" i="26" s="1"/>
  <c r="H677" i="10" l="1"/>
  <c r="I677" i="10" s="1"/>
  <c r="H676" i="10"/>
  <c r="H674" i="10"/>
  <c r="I676" i="10"/>
  <c r="I675" i="10"/>
  <c r="I674" i="10"/>
  <c r="H673" i="10"/>
  <c r="I673" i="10" s="1"/>
  <c r="I672" i="10"/>
  <c r="H670" i="10"/>
  <c r="I670" i="10"/>
  <c r="I671" i="10"/>
  <c r="H667" i="10"/>
  <c r="I667" i="10" s="1"/>
  <c r="I668" i="10"/>
  <c r="H664" i="10"/>
  <c r="I664" i="10" s="1"/>
  <c r="I665" i="10"/>
  <c r="H662" i="10"/>
  <c r="I662" i="10"/>
  <c r="H660" i="10"/>
  <c r="I660" i="10" s="1"/>
  <c r="H679" i="10"/>
  <c r="I679" i="10" s="1"/>
  <c r="I680" i="10"/>
  <c r="H685" i="10"/>
  <c r="I685" i="10" s="1"/>
  <c r="H684" i="10"/>
  <c r="I684" i="10" s="1"/>
  <c r="F683" i="10"/>
  <c r="F682" i="10"/>
  <c r="H683" i="10"/>
  <c r="I683" i="10" s="1"/>
  <c r="H682" i="10"/>
  <c r="H658" i="10"/>
  <c r="I658" i="10" s="1"/>
  <c r="H657" i="10"/>
  <c r="I657" i="10" s="1"/>
  <c r="I655" i="10"/>
  <c r="H653" i="10"/>
  <c r="F653" i="10"/>
  <c r="H651" i="10"/>
  <c r="I651" i="10"/>
  <c r="I652" i="10"/>
  <c r="H649" i="10"/>
  <c r="I649" i="10"/>
  <c r="H648" i="10"/>
  <c r="I648" i="10" s="1"/>
  <c r="I647" i="10"/>
  <c r="H646" i="10"/>
  <c r="H645" i="10"/>
  <c r="I645" i="10" s="1"/>
  <c r="I646" i="10"/>
  <c r="H640" i="10"/>
  <c r="I640" i="10" s="1"/>
  <c r="H639" i="10"/>
  <c r="I639" i="10"/>
  <c r="H637" i="10"/>
  <c r="F637" i="10"/>
  <c r="H636" i="10"/>
  <c r="I636" i="10" s="1"/>
  <c r="H635" i="10"/>
  <c r="I635" i="10"/>
  <c r="H633" i="10"/>
  <c r="I633" i="10" s="1"/>
  <c r="H632" i="10"/>
  <c r="I632" i="10" s="1"/>
  <c r="I641" i="10"/>
  <c r="H643" i="10"/>
  <c r="I643" i="10" s="1"/>
  <c r="H642" i="10"/>
  <c r="I642" i="10" s="1"/>
  <c r="H630" i="10"/>
  <c r="I630" i="10" s="1"/>
  <c r="H629" i="10"/>
  <c r="I629" i="10" s="1"/>
  <c r="H627" i="10"/>
  <c r="I627" i="10" s="1"/>
  <c r="I625" i="10"/>
  <c r="H624" i="10"/>
  <c r="I624" i="10" s="1"/>
  <c r="H622" i="10"/>
  <c r="I622" i="10" s="1"/>
  <c r="H621" i="10"/>
  <c r="I621" i="10" s="1"/>
  <c r="H618" i="10"/>
  <c r="I618" i="10" s="1"/>
  <c r="I619" i="10"/>
  <c r="H616" i="10"/>
  <c r="F616" i="10"/>
  <c r="I614" i="10"/>
  <c r="H611" i="10"/>
  <c r="I611" i="10" s="1"/>
  <c r="I612" i="10"/>
  <c r="H609" i="10"/>
  <c r="I609" i="10" s="1"/>
  <c r="H608" i="10"/>
  <c r="I608" i="10" s="1"/>
  <c r="H606" i="10"/>
  <c r="I606" i="10" s="1"/>
  <c r="H605" i="10"/>
  <c r="I605" i="10" s="1"/>
  <c r="H603" i="10"/>
  <c r="I603" i="10" s="1"/>
  <c r="H601" i="10"/>
  <c r="F601" i="10"/>
  <c r="H600" i="10"/>
  <c r="I600" i="10" s="1"/>
  <c r="H599" i="10"/>
  <c r="I599" i="10" s="1"/>
  <c r="F597" i="10"/>
  <c r="H597" i="10"/>
  <c r="H596" i="10"/>
  <c r="I596" i="10" s="1"/>
  <c r="H593" i="10"/>
  <c r="I593" i="10" s="1"/>
  <c r="I594" i="10"/>
  <c r="H590" i="10"/>
  <c r="F590" i="10"/>
  <c r="H589" i="10"/>
  <c r="I589" i="10" s="1"/>
  <c r="I591" i="10"/>
  <c r="F587" i="10"/>
  <c r="I587" i="10" s="1"/>
  <c r="H586" i="10"/>
  <c r="I586" i="10" s="1"/>
  <c r="H585" i="10"/>
  <c r="I585" i="10" s="1"/>
  <c r="H583" i="10"/>
  <c r="I583" i="10" s="1"/>
  <c r="H582" i="10"/>
  <c r="I582" i="10" s="1"/>
  <c r="H580" i="10"/>
  <c r="I580" i="10" s="1"/>
  <c r="H579" i="10"/>
  <c r="I579" i="10" s="1"/>
  <c r="H577" i="10"/>
  <c r="I577" i="10" s="1"/>
  <c r="H576" i="10"/>
  <c r="I576" i="10" s="1"/>
  <c r="H574" i="10"/>
  <c r="I574" i="10" s="1"/>
  <c r="H572" i="10"/>
  <c r="I572" i="10" s="1"/>
  <c r="H571" i="10"/>
  <c r="I571" i="10" s="1"/>
  <c r="H569" i="10"/>
  <c r="I569" i="10" s="1"/>
  <c r="H568" i="10"/>
  <c r="I568" i="10" s="1"/>
  <c r="H566" i="10"/>
  <c r="H565" i="10"/>
  <c r="F565" i="10"/>
  <c r="F566" i="10"/>
  <c r="H563" i="10"/>
  <c r="I563" i="10" s="1"/>
  <c r="H562" i="10"/>
  <c r="I562" i="10" s="1"/>
  <c r="H560" i="10"/>
  <c r="I560" i="10" s="1"/>
  <c r="H559" i="10"/>
  <c r="I559" i="10" s="1"/>
  <c r="H557" i="10"/>
  <c r="I557" i="10" s="1"/>
  <c r="H556" i="10"/>
  <c r="I556" i="10" s="1"/>
  <c r="H554" i="10"/>
  <c r="I554" i="10" s="1"/>
  <c r="H552" i="10"/>
  <c r="I552" i="10" s="1"/>
  <c r="H551" i="10"/>
  <c r="I551" i="10" s="1"/>
  <c r="I548" i="10"/>
  <c r="I549" i="10"/>
  <c r="H545" i="10"/>
  <c r="I545" i="10" s="1"/>
  <c r="I546" i="10"/>
  <c r="H542" i="10"/>
  <c r="I542" i="10" s="1"/>
  <c r="I543" i="10"/>
  <c r="I775" i="10"/>
  <c r="G774" i="10"/>
  <c r="I774" i="10" s="1"/>
  <c r="I773" i="10"/>
  <c r="I452" i="9"/>
  <c r="I799" i="10"/>
  <c r="G768" i="10"/>
  <c r="I768" i="10" s="1"/>
  <c r="I769" i="10"/>
  <c r="H540" i="10"/>
  <c r="I540" i="10" s="1"/>
  <c r="H539" i="10"/>
  <c r="I539" i="10" s="1"/>
  <c r="H537" i="10"/>
  <c r="F537" i="10"/>
  <c r="H536" i="10"/>
  <c r="I536" i="10" s="1"/>
  <c r="H535" i="10"/>
  <c r="I535" i="10" s="1"/>
  <c r="I534" i="10"/>
  <c r="F533" i="10"/>
  <c r="H533" i="10"/>
  <c r="H532" i="10"/>
  <c r="I532" i="10" s="1"/>
  <c r="H531" i="10"/>
  <c r="I531" i="10" s="1"/>
  <c r="H529" i="10"/>
  <c r="I529" i="10" s="1"/>
  <c r="H528" i="10"/>
  <c r="I528" i="10" s="1"/>
  <c r="H525" i="10"/>
  <c r="I525" i="10" s="1"/>
  <c r="I526" i="10"/>
  <c r="H520" i="10"/>
  <c r="I520" i="10" s="1"/>
  <c r="H519" i="10"/>
  <c r="I519" i="10" s="1"/>
  <c r="F522" i="10"/>
  <c r="I522" i="10" s="1"/>
  <c r="F523" i="10"/>
  <c r="I523" i="10" s="1"/>
  <c r="I313" i="9"/>
  <c r="H517" i="10"/>
  <c r="I517" i="10" s="1"/>
  <c r="H516" i="10"/>
  <c r="I516" i="10" s="1"/>
  <c r="I515" i="10"/>
  <c r="H514" i="10"/>
  <c r="I514" i="10" s="1"/>
  <c r="H513" i="10"/>
  <c r="I513" i="10" s="1"/>
  <c r="H512" i="10"/>
  <c r="I512" i="10" s="1"/>
  <c r="H510" i="10"/>
  <c r="F510" i="10"/>
  <c r="H508" i="10"/>
  <c r="I508" i="10" s="1"/>
  <c r="I509" i="10"/>
  <c r="H506" i="10"/>
  <c r="I506" i="10" s="1"/>
  <c r="H503" i="10"/>
  <c r="I503" i="10" s="1"/>
  <c r="H500" i="10"/>
  <c r="I500" i="10" s="1"/>
  <c r="I504" i="10"/>
  <c r="I501" i="10"/>
  <c r="I682" i="10" l="1"/>
  <c r="I637" i="10"/>
  <c r="I653" i="10"/>
  <c r="I601" i="10"/>
  <c r="I616" i="10"/>
  <c r="I590" i="10"/>
  <c r="I565" i="10"/>
  <c r="I597" i="10"/>
  <c r="I566" i="10"/>
  <c r="I533" i="10"/>
  <c r="I510" i="10"/>
  <c r="I537" i="10"/>
  <c r="H498" i="10"/>
  <c r="I498" i="10" s="1"/>
  <c r="H497" i="10"/>
  <c r="I497" i="10" s="1"/>
  <c r="H496" i="10"/>
  <c r="I496" i="10" s="1"/>
  <c r="H493" i="10"/>
  <c r="I493" i="10" s="1"/>
  <c r="I494" i="10"/>
  <c r="H490" i="10"/>
  <c r="I490" i="10" s="1"/>
  <c r="I491" i="10"/>
  <c r="H488" i="10"/>
  <c r="I488" i="10" s="1"/>
  <c r="H487" i="10"/>
  <c r="I487" i="10" s="1"/>
  <c r="H486" i="10"/>
  <c r="I486" i="10" s="1"/>
  <c r="H484" i="10"/>
  <c r="I484" i="10" s="1"/>
  <c r="H483" i="10"/>
  <c r="I483" i="10" s="1"/>
  <c r="H482" i="10"/>
  <c r="I482" i="10" s="1"/>
  <c r="H480" i="10"/>
  <c r="I480" i="10" s="1"/>
  <c r="I479" i="10"/>
  <c r="H477" i="10"/>
  <c r="I477" i="10" s="1"/>
  <c r="H475" i="10"/>
  <c r="I475" i="10" s="1"/>
  <c r="I473" i="10"/>
  <c r="H471" i="10"/>
  <c r="I471" i="10" s="1"/>
  <c r="H470" i="10"/>
  <c r="I470" i="10" s="1"/>
  <c r="H468" i="10"/>
  <c r="I468" i="10" s="1"/>
  <c r="H467" i="10"/>
  <c r="I467" i="10" s="1"/>
  <c r="H465" i="10"/>
  <c r="I465" i="10" s="1"/>
  <c r="H462" i="10"/>
  <c r="I463" i="10" l="1"/>
  <c r="I462" i="10"/>
  <c r="I464" i="10"/>
  <c r="I459" i="10" l="1"/>
  <c r="I460" i="10"/>
  <c r="H457" i="10"/>
  <c r="I457" i="10" s="1"/>
  <c r="H456" i="10"/>
  <c r="I456" i="10" s="1"/>
  <c r="H453" i="10"/>
  <c r="I453" i="10" s="1"/>
  <c r="I454" i="10"/>
  <c r="H451" i="10"/>
  <c r="I451" i="10" s="1"/>
  <c r="H450" i="10"/>
  <c r="I450" i="10" s="1"/>
  <c r="H446" i="10"/>
  <c r="I446" i="10" s="1"/>
  <c r="H447" i="10"/>
  <c r="F447" i="10"/>
  <c r="I448" i="10"/>
  <c r="H444" i="10"/>
  <c r="I444" i="10" s="1"/>
  <c r="H443" i="10"/>
  <c r="I443" i="10" s="1"/>
  <c r="H440" i="10"/>
  <c r="I440" i="10" s="1"/>
  <c r="I441" i="10"/>
  <c r="H437" i="10"/>
  <c r="I437" i="10" s="1"/>
  <c r="I438" i="10"/>
  <c r="H435" i="10"/>
  <c r="I435" i="10" s="1"/>
  <c r="H434" i="10"/>
  <c r="I434" i="10" s="1"/>
  <c r="H432" i="10"/>
  <c r="I432" i="10" s="1"/>
  <c r="H431" i="10"/>
  <c r="I431" i="10" s="1"/>
  <c r="I433" i="10"/>
  <c r="H429" i="10"/>
  <c r="I429" i="10" s="1"/>
  <c r="H428" i="10"/>
  <c r="I428" i="10" s="1"/>
  <c r="H427" i="10"/>
  <c r="I427" i="10" s="1"/>
  <c r="H424" i="10"/>
  <c r="I424" i="10" s="1"/>
  <c r="I425" i="10"/>
  <c r="H421" i="10"/>
  <c r="I421" i="10" s="1"/>
  <c r="H420" i="10"/>
  <c r="I420" i="10" s="1"/>
  <c r="H419" i="10"/>
  <c r="I419" i="10" s="1"/>
  <c r="I422" i="10"/>
  <c r="H417" i="10"/>
  <c r="I417" i="10" s="1"/>
  <c r="H416" i="10"/>
  <c r="I416" i="10" s="1"/>
  <c r="H414" i="10"/>
  <c r="I414" i="10" s="1"/>
  <c r="H413" i="10"/>
  <c r="I413" i="10" s="1"/>
  <c r="H411" i="10"/>
  <c r="I411" i="10" s="1"/>
  <c r="H410" i="10"/>
  <c r="I410" i="10" s="1"/>
  <c r="F407" i="10"/>
  <c r="H407" i="10"/>
  <c r="H406" i="10"/>
  <c r="I406" i="10" s="1"/>
  <c r="I408" i="10"/>
  <c r="H404" i="10"/>
  <c r="I404" i="10" s="1"/>
  <c r="H403" i="10"/>
  <c r="I403" i="10" s="1"/>
  <c r="H402" i="10"/>
  <c r="I402" i="10" s="1"/>
  <c r="H400" i="10"/>
  <c r="I400" i="10" s="1"/>
  <c r="H399" i="10"/>
  <c r="I399" i="10" s="1"/>
  <c r="H396" i="10"/>
  <c r="I396" i="10" s="1"/>
  <c r="I397" i="10"/>
  <c r="H395" i="10"/>
  <c r="I395" i="10" s="1"/>
  <c r="H393" i="10"/>
  <c r="I393" i="10" s="1"/>
  <c r="H392" i="10"/>
  <c r="I392" i="10" s="1"/>
  <c r="H390" i="10"/>
  <c r="I390" i="10" s="1"/>
  <c r="I389" i="10"/>
  <c r="I387" i="10"/>
  <c r="F385" i="10"/>
  <c r="I385" i="10" s="1"/>
  <c r="F383" i="10"/>
  <c r="I383" i="10" s="1"/>
  <c r="I379" i="10"/>
  <c r="F381" i="10"/>
  <c r="I381" i="10" s="1"/>
  <c r="I377" i="10"/>
  <c r="I375" i="10"/>
  <c r="H373" i="10"/>
  <c r="I373" i="10" s="1"/>
  <c r="H372" i="10"/>
  <c r="I372" i="10" s="1"/>
  <c r="H370" i="10"/>
  <c r="I370" i="10" s="1"/>
  <c r="H369" i="10"/>
  <c r="I369" i="10" s="1"/>
  <c r="H367" i="10"/>
  <c r="I367" i="10" s="1"/>
  <c r="H366" i="10"/>
  <c r="I366" i="10" s="1"/>
  <c r="I780" i="10"/>
  <c r="I781" i="10"/>
  <c r="I782" i="10"/>
  <c r="I783" i="10"/>
  <c r="I785" i="10"/>
  <c r="I787" i="10"/>
  <c r="I788" i="10"/>
  <c r="I789" i="10"/>
  <c r="I790" i="10"/>
  <c r="I791" i="10"/>
  <c r="I792" i="10"/>
  <c r="I793" i="10"/>
  <c r="I795" i="10"/>
  <c r="I796" i="10"/>
  <c r="I797" i="10"/>
  <c r="I779" i="10"/>
  <c r="I447" i="10" l="1"/>
  <c r="I407" i="10"/>
  <c r="G798" i="10"/>
  <c r="I798" i="10" s="1"/>
  <c r="G794" i="10"/>
  <c r="I794" i="10" s="1"/>
  <c r="G786" i="10"/>
  <c r="I786" i="10" s="1"/>
  <c r="G784" i="10"/>
  <c r="I784" i="10" s="1"/>
  <c r="I772" i="10"/>
  <c r="I771" i="10"/>
  <c r="I767" i="10"/>
  <c r="I766" i="10"/>
  <c r="I765" i="10"/>
  <c r="I764" i="10"/>
  <c r="I763" i="10"/>
  <c r="I761" i="10"/>
  <c r="I760" i="10"/>
  <c r="I759" i="10"/>
  <c r="I758" i="10"/>
  <c r="I757" i="10"/>
  <c r="I756" i="10"/>
  <c r="I753" i="10"/>
  <c r="F752" i="10"/>
  <c r="I751" i="10"/>
  <c r="I750" i="10"/>
  <c r="I749" i="10"/>
  <c r="I748" i="10"/>
  <c r="I747" i="10"/>
  <c r="I746" i="10"/>
  <c r="I745" i="10"/>
  <c r="I744" i="10"/>
  <c r="I743" i="10"/>
  <c r="I742" i="10"/>
  <c r="I741" i="10"/>
  <c r="I740" i="10"/>
  <c r="I736" i="10"/>
  <c r="I735" i="10"/>
  <c r="I734" i="10"/>
  <c r="I733" i="10"/>
  <c r="I732" i="10"/>
  <c r="I731" i="10"/>
  <c r="I730" i="10"/>
  <c r="I729" i="10"/>
  <c r="I728" i="10"/>
  <c r="I727" i="10"/>
  <c r="I726" i="10"/>
  <c r="I725" i="10"/>
  <c r="I722" i="10"/>
  <c r="I721" i="10"/>
  <c r="I720" i="10"/>
  <c r="I719" i="10"/>
  <c r="I718" i="10"/>
  <c r="I717" i="10"/>
  <c r="I716" i="10"/>
  <c r="I715" i="10"/>
  <c r="I714" i="10"/>
  <c r="I713" i="10"/>
  <c r="I712" i="10"/>
  <c r="I711" i="10"/>
  <c r="I710" i="10"/>
  <c r="I709" i="10"/>
  <c r="I708" i="10"/>
  <c r="I707" i="10"/>
  <c r="I704" i="10"/>
  <c r="I703" i="10"/>
  <c r="I702" i="10"/>
  <c r="I701" i="10"/>
  <c r="I700" i="10"/>
  <c r="I699" i="10"/>
  <c r="I698" i="10"/>
  <c r="I697" i="10"/>
  <c r="I696" i="10"/>
  <c r="I695" i="10"/>
  <c r="I694" i="10"/>
  <c r="I693" i="10"/>
  <c r="I692" i="10"/>
  <c r="I691" i="10"/>
  <c r="I690" i="10"/>
  <c r="I689" i="10"/>
  <c r="I681" i="10"/>
  <c r="I678" i="10"/>
  <c r="I669" i="10"/>
  <c r="I666" i="10"/>
  <c r="I663" i="10"/>
  <c r="I661" i="10"/>
  <c r="I659" i="10"/>
  <c r="I656" i="10"/>
  <c r="I654" i="10"/>
  <c r="I650" i="10"/>
  <c r="I644" i="10"/>
  <c r="I638" i="10"/>
  <c r="I634" i="10"/>
  <c r="I631" i="10"/>
  <c r="I628" i="10"/>
  <c r="I626" i="10"/>
  <c r="I623" i="10"/>
  <c r="I620" i="10"/>
  <c r="I617" i="10"/>
  <c r="F615" i="10"/>
  <c r="I615" i="10" s="1"/>
  <c r="I613" i="10"/>
  <c r="I610" i="10"/>
  <c r="I607" i="10"/>
  <c r="I604" i="10"/>
  <c r="I602" i="10"/>
  <c r="I598" i="10"/>
  <c r="I595" i="10"/>
  <c r="I592" i="10"/>
  <c r="I588" i="10"/>
  <c r="I584" i="10"/>
  <c r="I581" i="10"/>
  <c r="I578" i="10"/>
  <c r="I575" i="10"/>
  <c r="I573" i="10"/>
  <c r="I570" i="10"/>
  <c r="I567" i="10"/>
  <c r="F564" i="10"/>
  <c r="I564" i="10" s="1"/>
  <c r="I561" i="10"/>
  <c r="I558" i="10"/>
  <c r="I555" i="10"/>
  <c r="I553" i="10"/>
  <c r="I550" i="10"/>
  <c r="I547" i="10"/>
  <c r="I544" i="10"/>
  <c r="I541" i="10"/>
  <c r="I538" i="10"/>
  <c r="I530" i="10"/>
  <c r="I527" i="10"/>
  <c r="I524" i="10"/>
  <c r="F521" i="10"/>
  <c r="I521" i="10" s="1"/>
  <c r="I518" i="10"/>
  <c r="I511" i="10"/>
  <c r="I507" i="10"/>
  <c r="I505" i="10"/>
  <c r="I502" i="10"/>
  <c r="I499" i="10"/>
  <c r="I495" i="10"/>
  <c r="I492" i="10"/>
  <c r="I489" i="10"/>
  <c r="I485" i="10"/>
  <c r="I481" i="10"/>
  <c r="I478" i="10"/>
  <c r="I476" i="10"/>
  <c r="I474" i="10"/>
  <c r="I472" i="10"/>
  <c r="I469" i="10"/>
  <c r="I466" i="10"/>
  <c r="I461" i="10"/>
  <c r="I458" i="10"/>
  <c r="I455" i="10"/>
  <c r="I452" i="10"/>
  <c r="I449" i="10"/>
  <c r="I445" i="10"/>
  <c r="I442" i="10"/>
  <c r="I439" i="10"/>
  <c r="I436" i="10"/>
  <c r="I430" i="10"/>
  <c r="I426" i="10"/>
  <c r="I423" i="10"/>
  <c r="I418" i="10"/>
  <c r="I415" i="10"/>
  <c r="I412" i="10"/>
  <c r="I409" i="10"/>
  <c r="I405" i="10"/>
  <c r="I401" i="10"/>
  <c r="I398" i="10"/>
  <c r="I394" i="10"/>
  <c r="I391" i="10"/>
  <c r="I388" i="10"/>
  <c r="I386" i="10"/>
  <c r="F384" i="10"/>
  <c r="I384" i="10" s="1"/>
  <c r="F382" i="10"/>
  <c r="I382" i="10" s="1"/>
  <c r="F380" i="10"/>
  <c r="I380" i="10" s="1"/>
  <c r="I378" i="10"/>
  <c r="I376" i="10"/>
  <c r="I374" i="10"/>
  <c r="I371" i="10"/>
  <c r="I368" i="10"/>
  <c r="I365" i="10"/>
  <c r="I342" i="10"/>
  <c r="G341" i="10"/>
  <c r="I341" i="10" s="1"/>
  <c r="I340" i="10"/>
  <c r="I339" i="10"/>
  <c r="I338" i="10"/>
  <c r="G337" i="10"/>
  <c r="I337" i="10" s="1"/>
  <c r="I336" i="10"/>
  <c r="I335" i="10"/>
  <c r="I334" i="10"/>
  <c r="I333" i="10"/>
  <c r="I332" i="10"/>
  <c r="I331" i="10"/>
  <c r="I330" i="10"/>
  <c r="G329" i="10"/>
  <c r="I329" i="10" s="1"/>
  <c r="I328" i="10"/>
  <c r="G327" i="10"/>
  <c r="I327" i="10" s="1"/>
  <c r="I326" i="10"/>
  <c r="I325" i="10"/>
  <c r="I324" i="10"/>
  <c r="I323" i="10"/>
  <c r="I322" i="10"/>
  <c r="I319" i="10"/>
  <c r="G318" i="10"/>
  <c r="I318" i="10" s="1"/>
  <c r="I317" i="10"/>
  <c r="I316" i="10"/>
  <c r="I315" i="10"/>
  <c r="G314" i="10"/>
  <c r="I314" i="10" s="1"/>
  <c r="I313" i="10"/>
  <c r="I312" i="10"/>
  <c r="I311" i="10"/>
  <c r="I310" i="10"/>
  <c r="I309" i="10"/>
  <c r="I308" i="10"/>
  <c r="I307" i="10"/>
  <c r="G306" i="10"/>
  <c r="I306" i="10" s="1"/>
  <c r="I305" i="10"/>
  <c r="G304" i="10"/>
  <c r="I304" i="10" s="1"/>
  <c r="I303" i="10"/>
  <c r="I302" i="10"/>
  <c r="I301" i="10"/>
  <c r="I300" i="10"/>
  <c r="I299" i="10"/>
  <c r="E18" i="19"/>
  <c r="F18" i="19"/>
  <c r="G18" i="19"/>
  <c r="H18" i="19"/>
  <c r="D18" i="19"/>
  <c r="K24" i="21"/>
  <c r="E24" i="21"/>
  <c r="F24" i="21"/>
  <c r="G24" i="21"/>
  <c r="H24" i="21"/>
  <c r="D24" i="21"/>
  <c r="I687" i="10" l="1"/>
  <c r="I802" i="10" s="1"/>
  <c r="I7" i="19" s="1"/>
  <c r="I361" i="10"/>
  <c r="I12" i="19" s="1"/>
  <c r="I800" i="10"/>
  <c r="I752" i="10"/>
  <c r="I754" i="10" s="1"/>
  <c r="I777" i="10"/>
  <c r="I723" i="10"/>
  <c r="I737" i="10"/>
  <c r="I705" i="10"/>
  <c r="I431" i="9" l="1"/>
  <c r="I397" i="9"/>
  <c r="I476" i="9"/>
  <c r="G475" i="9"/>
  <c r="I475" i="9" s="1"/>
  <c r="I474" i="9"/>
  <c r="I473" i="9"/>
  <c r="I472" i="9"/>
  <c r="G471" i="9"/>
  <c r="I471" i="9" s="1"/>
  <c r="I470" i="9"/>
  <c r="I469" i="9"/>
  <c r="I468" i="9"/>
  <c r="I467" i="9"/>
  <c r="I466" i="9"/>
  <c r="I465" i="9"/>
  <c r="I464" i="9"/>
  <c r="G463" i="9"/>
  <c r="I463" i="9" s="1"/>
  <c r="I462" i="9"/>
  <c r="G461" i="9"/>
  <c r="I461" i="9" s="1"/>
  <c r="I460" i="9"/>
  <c r="I459" i="9"/>
  <c r="I458" i="9"/>
  <c r="I457" i="9"/>
  <c r="I456" i="9"/>
  <c r="H417" i="9"/>
  <c r="I417" i="9" s="1"/>
  <c r="H416" i="9"/>
  <c r="I416" i="9" s="1"/>
  <c r="I415" i="9"/>
  <c r="I414" i="9"/>
  <c r="I413" i="9"/>
  <c r="I412" i="9"/>
  <c r="I411" i="9"/>
  <c r="I410" i="9"/>
  <c r="I409" i="9"/>
  <c r="I408" i="9"/>
  <c r="I407" i="9"/>
  <c r="I406" i="9"/>
  <c r="I451" i="9"/>
  <c r="I444" i="9"/>
  <c r="I448" i="9"/>
  <c r="I447" i="9"/>
  <c r="I446" i="9"/>
  <c r="I477" i="9" l="1"/>
  <c r="I418" i="9"/>
  <c r="H434" i="9"/>
  <c r="H433" i="9"/>
  <c r="H432" i="9"/>
  <c r="H402" i="9"/>
  <c r="H403" i="9"/>
  <c r="H401" i="9"/>
  <c r="H384" i="9"/>
  <c r="H383" i="9"/>
  <c r="H382" i="9" l="1"/>
  <c r="I366" i="9"/>
  <c r="I365" i="9"/>
  <c r="I364" i="9"/>
  <c r="I363" i="9"/>
  <c r="I362" i="9"/>
  <c r="I361" i="9"/>
  <c r="I358" i="9"/>
  <c r="I354" i="9" l="1"/>
  <c r="I350" i="9"/>
  <c r="F346" i="9"/>
  <c r="I334" i="9"/>
  <c r="F329" i="9"/>
  <c r="I329" i="9" s="1"/>
  <c r="I327" i="9"/>
  <c r="I323" i="9"/>
  <c r="I322" i="9"/>
  <c r="F315" i="9"/>
  <c r="I315" i="9" s="1"/>
  <c r="I312" i="9"/>
  <c r="I306" i="9"/>
  <c r="I268" i="9" l="1"/>
  <c r="F272" i="9" l="1"/>
  <c r="I272" i="9" s="1"/>
  <c r="F271" i="9"/>
  <c r="I271" i="9" s="1"/>
  <c r="F270" i="9"/>
  <c r="I270" i="9" s="1"/>
  <c r="I265" i="9"/>
  <c r="I266" i="9"/>
  <c r="I267" i="9"/>
  <c r="I269"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7" i="9"/>
  <c r="I308" i="9"/>
  <c r="I309" i="9"/>
  <c r="I310" i="9"/>
  <c r="I311" i="9"/>
  <c r="I314" i="9"/>
  <c r="I316" i="9"/>
  <c r="I317" i="9"/>
  <c r="I318" i="9"/>
  <c r="I319" i="9"/>
  <c r="I320" i="9"/>
  <c r="I321" i="9"/>
  <c r="I324" i="9"/>
  <c r="I325" i="9"/>
  <c r="I326" i="9"/>
  <c r="I328" i="9"/>
  <c r="I330" i="9"/>
  <c r="I331" i="9"/>
  <c r="I332" i="9"/>
  <c r="I333" i="9"/>
  <c r="I335" i="9"/>
  <c r="I336" i="9"/>
  <c r="I337" i="9"/>
  <c r="I338" i="9"/>
  <c r="I339" i="9"/>
  <c r="I340" i="9"/>
  <c r="I341" i="9"/>
  <c r="I342" i="9"/>
  <c r="I343" i="9"/>
  <c r="I344" i="9"/>
  <c r="I345" i="9"/>
  <c r="I346" i="9"/>
  <c r="I347" i="9"/>
  <c r="I348" i="9"/>
  <c r="I349" i="9"/>
  <c r="I351" i="9"/>
  <c r="I352" i="9"/>
  <c r="I353" i="9"/>
  <c r="I355" i="9"/>
  <c r="I356" i="9"/>
  <c r="I357" i="9"/>
  <c r="I359" i="9"/>
  <c r="I360" i="9"/>
  <c r="I264" i="9"/>
  <c r="I370" i="9"/>
  <c r="I390" i="9"/>
  <c r="I391" i="9"/>
  <c r="I392" i="9"/>
  <c r="I393" i="9"/>
  <c r="I394" i="9"/>
  <c r="I395" i="9"/>
  <c r="I396" i="9"/>
  <c r="I398" i="9"/>
  <c r="I399" i="9"/>
  <c r="I400" i="9"/>
  <c r="I401" i="9"/>
  <c r="I403" i="9"/>
  <c r="I389" i="9"/>
  <c r="I422" i="9"/>
  <c r="I423" i="9"/>
  <c r="I424" i="9"/>
  <c r="I425" i="9"/>
  <c r="I426" i="9"/>
  <c r="I427" i="9"/>
  <c r="I428" i="9"/>
  <c r="I429" i="9"/>
  <c r="I430" i="9"/>
  <c r="I432" i="9"/>
  <c r="I434" i="9"/>
  <c r="I421" i="9"/>
  <c r="I438" i="9"/>
  <c r="I439" i="9"/>
  <c r="I440" i="9"/>
  <c r="I441" i="9"/>
  <c r="I442" i="9"/>
  <c r="I445" i="9"/>
  <c r="I450" i="9"/>
  <c r="I437" i="9"/>
  <c r="I371" i="9"/>
  <c r="I372" i="9"/>
  <c r="I373" i="9"/>
  <c r="I374" i="9"/>
  <c r="I375" i="9"/>
  <c r="I376" i="9"/>
  <c r="I377" i="9"/>
  <c r="I378" i="9"/>
  <c r="I379" i="9"/>
  <c r="I380" i="9"/>
  <c r="I381" i="9"/>
  <c r="I382" i="9"/>
  <c r="I383" i="9"/>
  <c r="I384" i="9"/>
  <c r="F433" i="9"/>
  <c r="I433" i="9" s="1"/>
  <c r="I402" i="9"/>
  <c r="I388" i="9"/>
  <c r="I368" i="9" l="1"/>
  <c r="I404" i="9"/>
  <c r="I454" i="9"/>
  <c r="I435" i="9"/>
  <c r="I385" i="9"/>
  <c r="I386" i="9" s="1"/>
  <c r="I478" i="9" l="1"/>
  <c r="I14" i="21" s="1"/>
  <c r="I18" i="17"/>
  <c r="K18" i="17"/>
  <c r="L18" i="17"/>
  <c r="I242" i="9"/>
  <c r="G241" i="9"/>
  <c r="I241" i="9" s="1"/>
  <c r="I240" i="9"/>
  <c r="I239" i="9"/>
  <c r="I238" i="9"/>
  <c r="G237" i="9"/>
  <c r="I237" i="9" s="1"/>
  <c r="I236" i="9"/>
  <c r="I235" i="9"/>
  <c r="I234" i="9"/>
  <c r="I233" i="9"/>
  <c r="I232" i="9"/>
  <c r="I231" i="9"/>
  <c r="I230" i="9"/>
  <c r="G229" i="9"/>
  <c r="I229" i="9" s="1"/>
  <c r="I228" i="9"/>
  <c r="G227" i="9"/>
  <c r="I227" i="9" s="1"/>
  <c r="I226" i="9"/>
  <c r="I225" i="9"/>
  <c r="I224" i="9"/>
  <c r="I223" i="9"/>
  <c r="I222" i="9"/>
  <c r="I16" i="17"/>
  <c r="J16" i="17"/>
  <c r="K16" i="17"/>
  <c r="L16" i="17"/>
  <c r="F19" i="17" l="1"/>
  <c r="I243" i="9"/>
  <c r="I19" i="21" s="1"/>
  <c r="F16" i="17" l="1"/>
  <c r="I480" i="9"/>
  <c r="I24" i="21"/>
  <c r="G23" i="7"/>
  <c r="M112" i="7"/>
  <c r="G211" i="25" l="1"/>
  <c r="G209" i="25"/>
  <c r="G212" i="25"/>
  <c r="G210" i="25"/>
  <c r="G203" i="25"/>
  <c r="G200" i="25"/>
  <c r="G197" i="25"/>
  <c r="G198" i="25"/>
  <c r="G199" i="25"/>
  <c r="G201" i="25"/>
  <c r="G202" i="25"/>
  <c r="G204" i="25"/>
  <c r="G191" i="25"/>
  <c r="G189" i="25"/>
  <c r="G190" i="25"/>
  <c r="G192" i="25"/>
  <c r="G183" i="25"/>
  <c r="G180" i="25"/>
  <c r="G181" i="25"/>
  <c r="G182" i="25"/>
  <c r="G184" i="25"/>
  <c r="G174" i="25"/>
  <c r="G171" i="25"/>
  <c r="G168" i="25"/>
  <c r="G169" i="25"/>
  <c r="G170" i="25"/>
  <c r="G172" i="25"/>
  <c r="G173" i="25"/>
  <c r="G175" i="25"/>
  <c r="G162" i="25"/>
  <c r="G160" i="25"/>
  <c r="G163" i="25"/>
  <c r="G161" i="25"/>
  <c r="G155" i="25"/>
  <c r="G153" i="25"/>
  <c r="G154" i="25"/>
  <c r="G156" i="25"/>
  <c r="G148" i="25"/>
  <c r="G149" i="25"/>
  <c r="G143" i="25"/>
  <c r="G144" i="25"/>
  <c r="G142" i="25"/>
  <c r="G141" i="25"/>
  <c r="G135" i="25"/>
  <c r="G136" i="25"/>
  <c r="G137" i="25"/>
  <c r="G130" i="25"/>
  <c r="G131" i="25"/>
  <c r="G125" i="25"/>
  <c r="G122" i="25"/>
  <c r="G119" i="25"/>
  <c r="G120" i="25"/>
  <c r="G121" i="25"/>
  <c r="G123" i="25"/>
  <c r="G124" i="25"/>
  <c r="G126" i="25"/>
  <c r="G113" i="25"/>
  <c r="G107" i="25"/>
  <c r="G108" i="25"/>
  <c r="G109" i="25"/>
  <c r="G111" i="25"/>
  <c r="G112" i="25"/>
  <c r="G114" i="25"/>
  <c r="G94" i="25"/>
  <c r="G86" i="25"/>
  <c r="G78" i="25"/>
  <c r="G69" i="25"/>
  <c r="G61" i="25"/>
  <c r="G51" i="25"/>
  <c r="G41" i="25"/>
  <c r="G31" i="25"/>
  <c r="G24" i="25"/>
  <c r="G17" i="25"/>
  <c r="G9" i="25"/>
  <c r="I120" i="25"/>
  <c r="I108" i="25"/>
  <c r="I209" i="25"/>
  <c r="I212" i="25"/>
  <c r="I211" i="25"/>
  <c r="I210" i="25"/>
  <c r="I203" i="25"/>
  <c r="I201" i="25"/>
  <c r="I200" i="25"/>
  <c r="I198" i="25"/>
  <c r="I197" i="25"/>
  <c r="I192" i="25"/>
  <c r="I191" i="25"/>
  <c r="I190" i="25"/>
  <c r="I189" i="25"/>
  <c r="I184" i="25"/>
  <c r="I183" i="25"/>
  <c r="I182" i="25"/>
  <c r="I181" i="25"/>
  <c r="I180" i="25"/>
  <c r="I174" i="25"/>
  <c r="I173" i="25"/>
  <c r="I172" i="25"/>
  <c r="I171" i="25"/>
  <c r="I170" i="25"/>
  <c r="I169" i="25"/>
  <c r="I168" i="25"/>
  <c r="I162" i="25"/>
  <c r="I161" i="25"/>
  <c r="I160" i="25"/>
  <c r="I156" i="25"/>
  <c r="I155" i="25"/>
  <c r="I154" i="25"/>
  <c r="I153" i="25"/>
  <c r="I149" i="25"/>
  <c r="I148" i="25"/>
  <c r="I144" i="25"/>
  <c r="I143" i="25"/>
  <c r="I142" i="25"/>
  <c r="I141" i="25"/>
  <c r="I137" i="25"/>
  <c r="I136" i="25"/>
  <c r="I135" i="25"/>
  <c r="I131" i="25"/>
  <c r="I130" i="25"/>
  <c r="I126" i="25"/>
  <c r="I125" i="25"/>
  <c r="I124" i="25"/>
  <c r="I123" i="25"/>
  <c r="I122" i="25"/>
  <c r="I119" i="25"/>
  <c r="I113" i="25"/>
  <c r="I111" i="25"/>
  <c r="I110" i="25"/>
  <c r="I107" i="25"/>
  <c r="I58" i="25" l="1"/>
  <c r="I57" i="25"/>
  <c r="I53" i="25"/>
  <c r="I47" i="25"/>
  <c r="I43" i="25"/>
  <c r="I38" i="25"/>
  <c r="I37" i="25"/>
  <c r="I36" i="25"/>
  <c r="I35" i="25"/>
  <c r="I33" i="25"/>
  <c r="I29" i="25"/>
  <c r="I26" i="25"/>
  <c r="I22" i="25"/>
  <c r="I19" i="25"/>
  <c r="I14" i="25"/>
  <c r="I11" i="25"/>
  <c r="I101" i="25"/>
  <c r="I100" i="25"/>
  <c r="I99" i="25"/>
  <c r="I98" i="25"/>
  <c r="I97" i="25"/>
  <c r="I96" i="25"/>
  <c r="I95" i="25"/>
  <c r="I94" i="25"/>
  <c r="I91" i="25"/>
  <c r="I90" i="25"/>
  <c r="I89" i="25"/>
  <c r="I88" i="25"/>
  <c r="I87" i="25"/>
  <c r="I86" i="25"/>
  <c r="I83" i="25"/>
  <c r="I82" i="25"/>
  <c r="I81" i="25"/>
  <c r="I80" i="25"/>
  <c r="I79" i="25"/>
  <c r="I78" i="25"/>
  <c r="I74" i="25"/>
  <c r="I73" i="25"/>
  <c r="I72" i="25"/>
  <c r="I71" i="25"/>
  <c r="I70" i="25"/>
  <c r="I69" i="25"/>
  <c r="I64" i="25"/>
  <c r="I63" i="25"/>
  <c r="I66" i="25"/>
  <c r="I65" i="25"/>
  <c r="I62" i="25"/>
  <c r="I61" i="25"/>
  <c r="I56" i="25"/>
  <c r="I55" i="25"/>
  <c r="I48" i="25"/>
  <c r="I46" i="25"/>
  <c r="I45" i="25"/>
  <c r="I54" i="25"/>
  <c r="I52" i="25"/>
  <c r="I51" i="25"/>
  <c r="I44" i="25"/>
  <c r="I42" i="25"/>
  <c r="I41" i="25"/>
  <c r="I34" i="25"/>
  <c r="I32" i="25"/>
  <c r="I31" i="25"/>
  <c r="I28" i="25"/>
  <c r="I27" i="25"/>
  <c r="I25" i="25"/>
  <c r="I24" i="25"/>
  <c r="I21" i="25"/>
  <c r="I20" i="25"/>
  <c r="I18" i="25"/>
  <c r="I17" i="25"/>
  <c r="I13" i="25"/>
  <c r="I12" i="25"/>
  <c r="I10" i="25"/>
  <c r="I9" i="25"/>
  <c r="I81" i="8" l="1"/>
  <c r="I389" i="24" l="1"/>
  <c r="I390" i="24"/>
  <c r="I391" i="24"/>
  <c r="I392" i="24"/>
  <c r="I393" i="24"/>
  <c r="I394" i="24"/>
  <c r="I395" i="24"/>
  <c r="I396" i="24"/>
  <c r="I397" i="24"/>
  <c r="I398" i="24"/>
  <c r="I399" i="24"/>
  <c r="I400" i="24"/>
  <c r="I401" i="24"/>
  <c r="I402" i="24"/>
  <c r="I403" i="24"/>
  <c r="I404" i="24"/>
  <c r="I405" i="24"/>
  <c r="I406" i="24"/>
  <c r="I407" i="24"/>
  <c r="I408" i="24"/>
  <c r="I409" i="24"/>
  <c r="I388" i="24"/>
  <c r="I286" i="24"/>
  <c r="I285" i="24"/>
  <c r="I230" i="24"/>
  <c r="I202" i="24"/>
  <c r="I201" i="24"/>
  <c r="I192" i="24"/>
  <c r="I193" i="24"/>
  <c r="I194" i="24"/>
  <c r="I195" i="24"/>
  <c r="I191" i="24"/>
  <c r="I125" i="24"/>
  <c r="I124" i="24"/>
  <c r="I122" i="24"/>
  <c r="I123" i="24"/>
  <c r="I121" i="24"/>
  <c r="I112" i="24"/>
  <c r="I111" i="24"/>
  <c r="I333" i="24"/>
  <c r="I332" i="24"/>
  <c r="I334" i="24"/>
  <c r="I335" i="24"/>
  <c r="I336" i="24"/>
  <c r="I337" i="24"/>
  <c r="I338" i="24"/>
  <c r="I328" i="24"/>
  <c r="I327" i="24"/>
  <c r="I323" i="24"/>
  <c r="I319" i="24"/>
  <c r="I38" i="24"/>
  <c r="I34" i="24"/>
  <c r="I30" i="24"/>
  <c r="I26" i="24"/>
  <c r="I22" i="24"/>
  <c r="I382" i="24"/>
  <c r="I381" i="24"/>
  <c r="I377" i="24"/>
  <c r="I376" i="24"/>
  <c r="I375" i="24"/>
  <c r="I371" i="24"/>
  <c r="I367" i="24"/>
  <c r="I366" i="24"/>
  <c r="I365" i="24"/>
  <c r="I361" i="24"/>
  <c r="I360" i="24"/>
  <c r="I356" i="24"/>
  <c r="I352" i="24"/>
  <c r="I351" i="24"/>
  <c r="I347" i="24"/>
  <c r="I346" i="24"/>
  <c r="I342" i="24"/>
  <c r="I315" i="24"/>
  <c r="I311" i="24"/>
  <c r="I310" i="24"/>
  <c r="I306" i="24"/>
  <c r="I305" i="24"/>
  <c r="I301" i="24"/>
  <c r="I300" i="24"/>
  <c r="I296" i="24"/>
  <c r="I295" i="24"/>
  <c r="I291" i="24"/>
  <c r="I290" i="24"/>
  <c r="I281" i="24"/>
  <c r="I280" i="24"/>
  <c r="I274" i="24"/>
  <c r="I270" i="24"/>
  <c r="I266" i="24"/>
  <c r="I265" i="24"/>
  <c r="I259" i="24"/>
  <c r="I255" i="24"/>
  <c r="I254" i="24"/>
  <c r="I250" i="24"/>
  <c r="L250" i="24" s="1"/>
  <c r="I249" i="24"/>
  <c r="L249" i="24" s="1"/>
  <c r="I248" i="24"/>
  <c r="I247" i="24"/>
  <c r="I246" i="24"/>
  <c r="I240" i="24"/>
  <c r="I239" i="24"/>
  <c r="I235" i="24"/>
  <c r="I234" i="24"/>
  <c r="I226" i="24"/>
  <c r="I225" i="24"/>
  <c r="I224" i="24"/>
  <c r="I220" i="24"/>
  <c r="I219" i="24"/>
  <c r="I215" i="24"/>
  <c r="I214" i="24"/>
  <c r="I207" i="24"/>
  <c r="I206" i="24"/>
  <c r="I185" i="24"/>
  <c r="I184" i="24"/>
  <c r="I180" i="24"/>
  <c r="I176" i="24"/>
  <c r="I175" i="24"/>
  <c r="I169" i="24"/>
  <c r="I168" i="24"/>
  <c r="I167" i="24"/>
  <c r="I166" i="24"/>
  <c r="I162" i="24"/>
  <c r="I161" i="24"/>
  <c r="I160" i="24"/>
  <c r="I159" i="24"/>
  <c r="I151" i="24"/>
  <c r="I150" i="24"/>
  <c r="I149" i="24"/>
  <c r="I142" i="24"/>
  <c r="I141" i="24"/>
  <c r="I135" i="24"/>
  <c r="I134" i="24"/>
  <c r="I133" i="24"/>
  <c r="I132" i="24"/>
  <c r="I107" i="24"/>
  <c r="I106" i="24"/>
  <c r="I102" i="24"/>
  <c r="I101" i="24"/>
  <c r="I100" i="24"/>
  <c r="I99" i="24"/>
  <c r="I95" i="24"/>
  <c r="I91" i="24"/>
  <c r="I87" i="24"/>
  <c r="I86" i="24"/>
  <c r="I79" i="24"/>
  <c r="I78" i="24"/>
  <c r="I74" i="24"/>
  <c r="I73" i="24"/>
  <c r="I72" i="24"/>
  <c r="I68" i="24"/>
  <c r="I67" i="24"/>
  <c r="I63" i="24"/>
  <c r="I62" i="24"/>
  <c r="I61" i="24"/>
  <c r="I60" i="24"/>
  <c r="I54" i="24"/>
  <c r="I53" i="24"/>
  <c r="I52" i="24"/>
  <c r="I51" i="24"/>
  <c r="I47" i="24"/>
  <c r="I46" i="24"/>
  <c r="I42" i="24"/>
  <c r="I18" i="24"/>
  <c r="I17" i="24"/>
  <c r="I10" i="24"/>
  <c r="I11" i="24"/>
  <c r="I12" i="24"/>
  <c r="I9" i="24"/>
  <c r="G250" i="24"/>
  <c r="G249" i="24"/>
  <c r="R250" i="24"/>
  <c r="Q250" i="24"/>
  <c r="P250" i="24"/>
  <c r="O250" i="24"/>
  <c r="N250" i="24"/>
  <c r="R249" i="24"/>
  <c r="Q249" i="24"/>
  <c r="P249" i="24"/>
  <c r="O249" i="24"/>
  <c r="N249" i="24"/>
  <c r="K115" i="24"/>
  <c r="K114" i="24"/>
  <c r="I115" i="24"/>
  <c r="I114" i="24"/>
  <c r="G18" i="24"/>
  <c r="K1599" i="11"/>
  <c r="M249" i="24" l="1"/>
  <c r="I411" i="24"/>
  <c r="J411" i="24" s="1"/>
  <c r="M250" i="24"/>
  <c r="G11" i="25"/>
  <c r="K1062" i="25" l="1"/>
  <c r="K1061" i="25"/>
  <c r="K1060" i="25"/>
  <c r="K1050" i="25"/>
  <c r="K1049" i="25"/>
  <c r="K1048" i="25"/>
  <c r="K1041" i="25"/>
  <c r="K1040" i="25"/>
  <c r="K1039" i="25"/>
  <c r="K1032" i="25"/>
  <c r="K1031" i="25"/>
  <c r="K1030" i="25"/>
  <c r="K1020" i="25"/>
  <c r="K1019" i="25"/>
  <c r="K1018" i="25"/>
  <c r="K1011" i="25"/>
  <c r="K1010" i="25"/>
  <c r="K1009" i="25"/>
  <c r="K1003" i="25"/>
  <c r="K1002" i="25"/>
  <c r="K1001" i="25"/>
  <c r="K997" i="25"/>
  <c r="K996" i="25"/>
  <c r="K995" i="25"/>
  <c r="K989" i="25"/>
  <c r="K988" i="25"/>
  <c r="K987" i="25"/>
  <c r="K982" i="25"/>
  <c r="K981" i="25"/>
  <c r="K977" i="25"/>
  <c r="K976" i="25"/>
  <c r="K966" i="25"/>
  <c r="K965" i="25"/>
  <c r="K964" i="25"/>
  <c r="K954" i="25"/>
  <c r="K953" i="25"/>
  <c r="K952" i="25"/>
  <c r="K942" i="25"/>
  <c r="L942" i="25" s="1"/>
  <c r="K941" i="25"/>
  <c r="L941" i="25" s="1"/>
  <c r="P941" i="25" s="1"/>
  <c r="K934" i="25"/>
  <c r="L934" i="25" s="1"/>
  <c r="P934" i="25" s="1"/>
  <c r="K933" i="25"/>
  <c r="L933" i="25" s="1"/>
  <c r="P933" i="25" s="1"/>
  <c r="K926" i="25"/>
  <c r="K925" i="25"/>
  <c r="L925" i="25" s="1"/>
  <c r="P925" i="25" s="1"/>
  <c r="K918" i="25"/>
  <c r="K917" i="25"/>
  <c r="K910" i="25"/>
  <c r="K909" i="25"/>
  <c r="K900" i="25"/>
  <c r="K899" i="25"/>
  <c r="K890" i="25"/>
  <c r="K889" i="25"/>
  <c r="K880" i="25"/>
  <c r="K879" i="25"/>
  <c r="K872" i="25"/>
  <c r="K871" i="25"/>
  <c r="K864" i="25"/>
  <c r="K863" i="25"/>
  <c r="K856" i="25"/>
  <c r="K855" i="25"/>
  <c r="K845" i="25"/>
  <c r="K844" i="25"/>
  <c r="K843" i="25"/>
  <c r="K833" i="25"/>
  <c r="K832" i="25"/>
  <c r="K831" i="25"/>
  <c r="K824" i="25"/>
  <c r="K823" i="25"/>
  <c r="K822" i="25"/>
  <c r="K815" i="25"/>
  <c r="K814" i="25"/>
  <c r="K813" i="25"/>
  <c r="K803" i="25"/>
  <c r="K802" i="25"/>
  <c r="K801" i="25"/>
  <c r="K794" i="25"/>
  <c r="K793" i="25"/>
  <c r="K792" i="25"/>
  <c r="K786" i="25"/>
  <c r="K785" i="25"/>
  <c r="K784" i="25"/>
  <c r="K780" i="25"/>
  <c r="K779" i="25"/>
  <c r="K778" i="25"/>
  <c r="K772" i="25"/>
  <c r="K771" i="25"/>
  <c r="K770" i="25"/>
  <c r="K765" i="25"/>
  <c r="K764" i="25"/>
  <c r="K760" i="25"/>
  <c r="K759" i="25"/>
  <c r="K749" i="25"/>
  <c r="K748" i="25"/>
  <c r="K747" i="25"/>
  <c r="K737" i="25"/>
  <c r="K736" i="25"/>
  <c r="K735" i="25"/>
  <c r="K725" i="25"/>
  <c r="L725" i="25" s="1"/>
  <c r="K724" i="25"/>
  <c r="L724" i="25" s="1"/>
  <c r="P724" i="25" s="1"/>
  <c r="K717" i="25"/>
  <c r="K710" i="25"/>
  <c r="K709" i="25"/>
  <c r="L709" i="25" s="1"/>
  <c r="P709" i="25" s="1"/>
  <c r="K702" i="25"/>
  <c r="K701" i="25"/>
  <c r="K694" i="25"/>
  <c r="K693" i="25"/>
  <c r="K684" i="25"/>
  <c r="K683" i="25"/>
  <c r="K674" i="25"/>
  <c r="K673" i="25"/>
  <c r="K664" i="25"/>
  <c r="K663" i="25"/>
  <c r="K656" i="25"/>
  <c r="K655" i="25"/>
  <c r="K648" i="25"/>
  <c r="K647" i="25"/>
  <c r="K640" i="25"/>
  <c r="K639" i="25"/>
  <c r="K630" i="25"/>
  <c r="K629" i="25"/>
  <c r="K628" i="25"/>
  <c r="K618" i="25"/>
  <c r="K617" i="25"/>
  <c r="K616" i="25"/>
  <c r="K609" i="25"/>
  <c r="K608" i="25"/>
  <c r="K607" i="25"/>
  <c r="K600" i="25"/>
  <c r="K599" i="25"/>
  <c r="K598" i="25"/>
  <c r="K588" i="25"/>
  <c r="K587" i="25"/>
  <c r="K586" i="25"/>
  <c r="K580" i="25"/>
  <c r="K579" i="25"/>
  <c r="K578" i="25"/>
  <c r="K572" i="25"/>
  <c r="K571" i="25"/>
  <c r="K570" i="25"/>
  <c r="K566" i="25"/>
  <c r="K565" i="25"/>
  <c r="K559" i="25"/>
  <c r="K558" i="25"/>
  <c r="K557" i="25"/>
  <c r="K552" i="25"/>
  <c r="K551" i="25"/>
  <c r="K547" i="25"/>
  <c r="K546" i="25"/>
  <c r="K536" i="25"/>
  <c r="K535" i="25"/>
  <c r="K534" i="25"/>
  <c r="K524" i="25"/>
  <c r="K523" i="25"/>
  <c r="K522" i="25"/>
  <c r="K512" i="25"/>
  <c r="K511" i="25"/>
  <c r="L511" i="25" s="1"/>
  <c r="P511" i="25" s="1"/>
  <c r="K504" i="25"/>
  <c r="L504" i="25" s="1"/>
  <c r="K503" i="25"/>
  <c r="L503" i="25" s="1"/>
  <c r="Q503" i="25" s="1"/>
  <c r="K496" i="25"/>
  <c r="L496" i="25" s="1"/>
  <c r="K495" i="25"/>
  <c r="L495" i="25" s="1"/>
  <c r="P495" i="25" s="1"/>
  <c r="K488" i="25"/>
  <c r="K481" i="25"/>
  <c r="K480" i="25"/>
  <c r="K471" i="25"/>
  <c r="K470" i="25"/>
  <c r="K461" i="25"/>
  <c r="K460" i="25"/>
  <c r="K451" i="25"/>
  <c r="K450" i="25"/>
  <c r="K443" i="25"/>
  <c r="K442" i="25"/>
  <c r="K435" i="25"/>
  <c r="K434" i="25"/>
  <c r="K427" i="25"/>
  <c r="K426" i="25"/>
  <c r="K415" i="25"/>
  <c r="K403" i="25"/>
  <c r="K395" i="25"/>
  <c r="K386" i="25"/>
  <c r="K374" i="25"/>
  <c r="K367" i="25"/>
  <c r="K360" i="25"/>
  <c r="K355" i="25"/>
  <c r="K348" i="25"/>
  <c r="K342" i="25"/>
  <c r="K337" i="25"/>
  <c r="K325" i="25"/>
  <c r="K313" i="25"/>
  <c r="K302" i="25"/>
  <c r="L302" i="25" s="1"/>
  <c r="P302" i="25" s="1"/>
  <c r="K280" i="25"/>
  <c r="K272" i="25"/>
  <c r="K262" i="25"/>
  <c r="K252" i="25"/>
  <c r="K242" i="25"/>
  <c r="K235" i="25"/>
  <c r="K417" i="25"/>
  <c r="K416" i="25"/>
  <c r="K405" i="25"/>
  <c r="K404" i="25"/>
  <c r="K397" i="25"/>
  <c r="K396" i="25"/>
  <c r="K388" i="25"/>
  <c r="K387" i="25"/>
  <c r="K376" i="25"/>
  <c r="K375" i="25"/>
  <c r="K368" i="25"/>
  <c r="K361" i="25"/>
  <c r="K356" i="25"/>
  <c r="K349" i="25"/>
  <c r="K343" i="25"/>
  <c r="K338" i="25"/>
  <c r="K327" i="25"/>
  <c r="K326" i="25"/>
  <c r="K315" i="25"/>
  <c r="K314" i="25"/>
  <c r="K303" i="25"/>
  <c r="L303" i="25" s="1"/>
  <c r="K295" i="25"/>
  <c r="L295" i="25" s="1"/>
  <c r="R295" i="25" s="1"/>
  <c r="K288" i="25"/>
  <c r="L288" i="25" s="1"/>
  <c r="K287" i="25"/>
  <c r="K279" i="25"/>
  <c r="K271" i="25"/>
  <c r="K261" i="25"/>
  <c r="K251" i="25"/>
  <c r="K241" i="25"/>
  <c r="K234" i="25"/>
  <c r="K226" i="25"/>
  <c r="K219" i="25"/>
  <c r="K218" i="25"/>
  <c r="K207" i="25"/>
  <c r="K206" i="25"/>
  <c r="K205" i="25"/>
  <c r="K195" i="25"/>
  <c r="K194" i="25"/>
  <c r="K193" i="25"/>
  <c r="K187" i="25"/>
  <c r="K186" i="25"/>
  <c r="K185" i="25"/>
  <c r="K178" i="25"/>
  <c r="K177" i="25"/>
  <c r="K176" i="25"/>
  <c r="K166" i="25"/>
  <c r="K165" i="25"/>
  <c r="K164" i="25"/>
  <c r="K158" i="25"/>
  <c r="K157" i="25"/>
  <c r="K151" i="25"/>
  <c r="K150" i="25"/>
  <c r="K146" i="25"/>
  <c r="K145" i="25"/>
  <c r="K139" i="25"/>
  <c r="K138" i="25"/>
  <c r="K133" i="25"/>
  <c r="K132" i="25"/>
  <c r="K128" i="25"/>
  <c r="K127" i="25"/>
  <c r="K117" i="25"/>
  <c r="K116" i="25"/>
  <c r="K115" i="25"/>
  <c r="K105" i="25"/>
  <c r="K104" i="25"/>
  <c r="K103" i="25"/>
  <c r="K93" i="25"/>
  <c r="L93" i="25" s="1"/>
  <c r="K92" i="25"/>
  <c r="L92" i="25" s="1"/>
  <c r="P92" i="25" s="1"/>
  <c r="K85" i="25"/>
  <c r="L85" i="25" s="1"/>
  <c r="P85" i="25" s="1"/>
  <c r="K84" i="25"/>
  <c r="L84" i="25" s="1"/>
  <c r="Q84" i="25" s="1"/>
  <c r="K77" i="25"/>
  <c r="L77" i="25" s="1"/>
  <c r="K76" i="25"/>
  <c r="K75" i="25"/>
  <c r="L75" i="25" s="1"/>
  <c r="Q75" i="25" s="1"/>
  <c r="K68" i="25"/>
  <c r="K67" i="25"/>
  <c r="K60" i="25"/>
  <c r="K59" i="25"/>
  <c r="K50" i="25"/>
  <c r="K49" i="25"/>
  <c r="K40" i="25"/>
  <c r="K39" i="25"/>
  <c r="K30" i="25"/>
  <c r="K23" i="25"/>
  <c r="K16" i="25"/>
  <c r="K15" i="25"/>
  <c r="K8" i="25"/>
  <c r="K7" i="25"/>
  <c r="M934" i="25"/>
  <c r="N934" i="25"/>
  <c r="Q934" i="25"/>
  <c r="R934" i="25"/>
  <c r="S934" i="25"/>
  <c r="R950" i="25"/>
  <c r="Q950" i="25"/>
  <c r="P950" i="25"/>
  <c r="O950" i="25"/>
  <c r="N950" i="25"/>
  <c r="I950" i="25"/>
  <c r="L950" i="25" s="1"/>
  <c r="G950" i="25"/>
  <c r="R949" i="25"/>
  <c r="Q949" i="25"/>
  <c r="P949" i="25"/>
  <c r="O949" i="25"/>
  <c r="N949" i="25"/>
  <c r="I949" i="25"/>
  <c r="L949" i="25" s="1"/>
  <c r="G949" i="25"/>
  <c r="R948" i="25"/>
  <c r="Q948" i="25"/>
  <c r="P948" i="25"/>
  <c r="O948" i="25"/>
  <c r="N948" i="25"/>
  <c r="I948" i="25"/>
  <c r="L948" i="25" s="1"/>
  <c r="G948" i="25"/>
  <c r="R947" i="25"/>
  <c r="Q947" i="25"/>
  <c r="P947" i="25"/>
  <c r="O947" i="25"/>
  <c r="N947" i="25"/>
  <c r="I947" i="25"/>
  <c r="L947" i="25" s="1"/>
  <c r="G947" i="25"/>
  <c r="R946" i="25"/>
  <c r="Q946" i="25"/>
  <c r="P946" i="25"/>
  <c r="O946" i="25"/>
  <c r="M946" i="25"/>
  <c r="I946" i="25"/>
  <c r="L946" i="25" s="1"/>
  <c r="G946" i="25"/>
  <c r="R945" i="25"/>
  <c r="Q945" i="25"/>
  <c r="P945" i="25"/>
  <c r="O945" i="25"/>
  <c r="M945" i="25"/>
  <c r="I945" i="25"/>
  <c r="L945" i="25" s="1"/>
  <c r="G945" i="25"/>
  <c r="F945" i="25"/>
  <c r="R944" i="25"/>
  <c r="Q944" i="25"/>
  <c r="P944" i="25"/>
  <c r="O944" i="25"/>
  <c r="M944" i="25"/>
  <c r="I944" i="25"/>
  <c r="L944" i="25" s="1"/>
  <c r="G944" i="25"/>
  <c r="R943" i="25"/>
  <c r="Q943" i="25"/>
  <c r="P943" i="25"/>
  <c r="O943" i="25"/>
  <c r="M943" i="25"/>
  <c r="I943" i="25"/>
  <c r="L943" i="25" s="1"/>
  <c r="G943" i="25"/>
  <c r="R942" i="25"/>
  <c r="Q942" i="25"/>
  <c r="P942" i="25"/>
  <c r="N942" i="25"/>
  <c r="M942" i="25"/>
  <c r="E942" i="25"/>
  <c r="E943" i="25" s="1"/>
  <c r="E944" i="25" s="1"/>
  <c r="S941" i="25"/>
  <c r="R941" i="25"/>
  <c r="Q941" i="25"/>
  <c r="O941" i="25"/>
  <c r="N941" i="25"/>
  <c r="M941" i="25"/>
  <c r="R940" i="25"/>
  <c r="Q940" i="25"/>
  <c r="P940" i="25"/>
  <c r="O940" i="25"/>
  <c r="N940" i="25"/>
  <c r="I940" i="25"/>
  <c r="L940" i="25" s="1"/>
  <c r="G940" i="25"/>
  <c r="R939" i="25"/>
  <c r="Q939" i="25"/>
  <c r="P939" i="25"/>
  <c r="O939" i="25"/>
  <c r="N939" i="25"/>
  <c r="I939" i="25"/>
  <c r="L939" i="25" s="1"/>
  <c r="G939" i="25"/>
  <c r="R938" i="25"/>
  <c r="Q938" i="25"/>
  <c r="P938" i="25"/>
  <c r="O938" i="25"/>
  <c r="N938" i="25"/>
  <c r="I938" i="25"/>
  <c r="L938" i="25" s="1"/>
  <c r="G938" i="25"/>
  <c r="R937" i="25"/>
  <c r="Q937" i="25"/>
  <c r="P937" i="25"/>
  <c r="O937" i="25"/>
  <c r="M937" i="25"/>
  <c r="I937" i="25"/>
  <c r="L937" i="25" s="1"/>
  <c r="G937" i="25"/>
  <c r="F937" i="25"/>
  <c r="R936" i="25"/>
  <c r="Q936" i="25"/>
  <c r="P936" i="25"/>
  <c r="O936" i="25"/>
  <c r="M936" i="25"/>
  <c r="I936" i="25"/>
  <c r="L936" i="25" s="1"/>
  <c r="G936" i="25"/>
  <c r="R935" i="25"/>
  <c r="Q935" i="25"/>
  <c r="P935" i="25"/>
  <c r="O935" i="25"/>
  <c r="M935" i="25"/>
  <c r="I935" i="25"/>
  <c r="L935" i="25" s="1"/>
  <c r="G935" i="25"/>
  <c r="E935" i="25"/>
  <c r="E936" i="25" s="1"/>
  <c r="S933" i="25"/>
  <c r="R933" i="25"/>
  <c r="Q933" i="25"/>
  <c r="O933" i="25"/>
  <c r="N933" i="25"/>
  <c r="M933" i="25"/>
  <c r="R932" i="25"/>
  <c r="Q932" i="25"/>
  <c r="P932" i="25"/>
  <c r="O932" i="25"/>
  <c r="N932" i="25"/>
  <c r="I932" i="25"/>
  <c r="L932" i="25" s="1"/>
  <c r="G932" i="25"/>
  <c r="R931" i="25"/>
  <c r="Q931" i="25"/>
  <c r="P931" i="25"/>
  <c r="O931" i="25"/>
  <c r="N931" i="25"/>
  <c r="I931" i="25"/>
  <c r="L931" i="25" s="1"/>
  <c r="G931" i="25"/>
  <c r="R930" i="25"/>
  <c r="Q930" i="25"/>
  <c r="P930" i="25"/>
  <c r="O930" i="25"/>
  <c r="N930" i="25"/>
  <c r="I930" i="25"/>
  <c r="L930" i="25" s="1"/>
  <c r="G930" i="25"/>
  <c r="R929" i="25"/>
  <c r="Q929" i="25"/>
  <c r="P929" i="25"/>
  <c r="O929" i="25"/>
  <c r="M929" i="25"/>
  <c r="I929" i="25"/>
  <c r="L929" i="25" s="1"/>
  <c r="G929" i="25"/>
  <c r="F929" i="25"/>
  <c r="R928" i="25"/>
  <c r="Q928" i="25"/>
  <c r="P928" i="25"/>
  <c r="O928" i="25"/>
  <c r="M928" i="25"/>
  <c r="I928" i="25"/>
  <c r="L928" i="25" s="1"/>
  <c r="G928" i="25"/>
  <c r="R927" i="25"/>
  <c r="Q927" i="25"/>
  <c r="P927" i="25"/>
  <c r="O927" i="25"/>
  <c r="M927" i="25"/>
  <c r="I927" i="25"/>
  <c r="L927" i="25" s="1"/>
  <c r="G927" i="25"/>
  <c r="R926" i="25"/>
  <c r="Q926" i="25"/>
  <c r="P926" i="25"/>
  <c r="N926" i="25"/>
  <c r="M926" i="25"/>
  <c r="L926" i="25"/>
  <c r="E926" i="25"/>
  <c r="E927" i="25" s="1"/>
  <c r="S925" i="25"/>
  <c r="R925" i="25"/>
  <c r="Q925" i="25"/>
  <c r="O925" i="25"/>
  <c r="N925" i="25"/>
  <c r="M925" i="25"/>
  <c r="R733" i="25"/>
  <c r="Q733" i="25"/>
  <c r="P733" i="25"/>
  <c r="O733" i="25"/>
  <c r="N733" i="25"/>
  <c r="I733" i="25"/>
  <c r="L733" i="25" s="1"/>
  <c r="G733" i="25"/>
  <c r="R732" i="25"/>
  <c r="Q732" i="25"/>
  <c r="P732" i="25"/>
  <c r="O732" i="25"/>
  <c r="N732" i="25"/>
  <c r="I732" i="25"/>
  <c r="L732" i="25" s="1"/>
  <c r="G732" i="25"/>
  <c r="R731" i="25"/>
  <c r="Q731" i="25"/>
  <c r="P731" i="25"/>
  <c r="O731" i="25"/>
  <c r="N731" i="25"/>
  <c r="I731" i="25"/>
  <c r="L731" i="25" s="1"/>
  <c r="G731" i="25"/>
  <c r="R730" i="25"/>
  <c r="Q730" i="25"/>
  <c r="P730" i="25"/>
  <c r="O730" i="25"/>
  <c r="N730" i="25"/>
  <c r="I730" i="25"/>
  <c r="L730" i="25" s="1"/>
  <c r="G730" i="25"/>
  <c r="R729" i="25"/>
  <c r="Q729" i="25"/>
  <c r="P729" i="25"/>
  <c r="O729" i="25"/>
  <c r="M729" i="25"/>
  <c r="I729" i="25"/>
  <c r="L729" i="25" s="1"/>
  <c r="G729" i="25"/>
  <c r="R728" i="25"/>
  <c r="Q728" i="25"/>
  <c r="P728" i="25"/>
  <c r="O728" i="25"/>
  <c r="M728" i="25"/>
  <c r="I728" i="25"/>
  <c r="L728" i="25" s="1"/>
  <c r="G728" i="25"/>
  <c r="F728" i="25"/>
  <c r="R727" i="25"/>
  <c r="Q727" i="25"/>
  <c r="P727" i="25"/>
  <c r="O727" i="25"/>
  <c r="M727" i="25"/>
  <c r="I727" i="25"/>
  <c r="L727" i="25" s="1"/>
  <c r="G727" i="25"/>
  <c r="R726" i="25"/>
  <c r="Q726" i="25"/>
  <c r="P726" i="25"/>
  <c r="O726" i="25"/>
  <c r="M726" i="25"/>
  <c r="I726" i="25"/>
  <c r="L726" i="25" s="1"/>
  <c r="G726" i="25"/>
  <c r="R725" i="25"/>
  <c r="Q725" i="25"/>
  <c r="P725" i="25"/>
  <c r="N725" i="25"/>
  <c r="M725" i="25"/>
  <c r="E725" i="25"/>
  <c r="S725" i="25" s="1"/>
  <c r="S724" i="25"/>
  <c r="R724" i="25"/>
  <c r="Q724" i="25"/>
  <c r="O724" i="25"/>
  <c r="N724" i="25"/>
  <c r="M724" i="25"/>
  <c r="R723" i="25"/>
  <c r="Q723" i="25"/>
  <c r="P723" i="25"/>
  <c r="O723" i="25"/>
  <c r="N723" i="25"/>
  <c r="I723" i="25"/>
  <c r="L723" i="25" s="1"/>
  <c r="G723" i="25"/>
  <c r="R722" i="25"/>
  <c r="Q722" i="25"/>
  <c r="P722" i="25"/>
  <c r="O722" i="25"/>
  <c r="N722" i="25"/>
  <c r="I722" i="25"/>
  <c r="L722" i="25" s="1"/>
  <c r="G722" i="25"/>
  <c r="R721" i="25"/>
  <c r="Q721" i="25"/>
  <c r="P721" i="25"/>
  <c r="O721" i="25"/>
  <c r="N721" i="25"/>
  <c r="I721" i="25"/>
  <c r="L721" i="25" s="1"/>
  <c r="G721" i="25"/>
  <c r="R720" i="25"/>
  <c r="Q720" i="25"/>
  <c r="P720" i="25"/>
  <c r="O720" i="25"/>
  <c r="M720" i="25"/>
  <c r="I720" i="25"/>
  <c r="L720" i="25" s="1"/>
  <c r="G720" i="25"/>
  <c r="F720" i="25"/>
  <c r="R719" i="25"/>
  <c r="Q719" i="25"/>
  <c r="P719" i="25"/>
  <c r="O719" i="25"/>
  <c r="M719" i="25"/>
  <c r="I719" i="25"/>
  <c r="L719" i="25" s="1"/>
  <c r="G719" i="25"/>
  <c r="R718" i="25"/>
  <c r="Q718" i="25"/>
  <c r="P718" i="25"/>
  <c r="O718" i="25"/>
  <c r="M718" i="25"/>
  <c r="I718" i="25"/>
  <c r="L718" i="25" s="1"/>
  <c r="G718" i="25"/>
  <c r="E718" i="25"/>
  <c r="E719" i="25" s="1"/>
  <c r="S717" i="25"/>
  <c r="R717" i="25"/>
  <c r="O717" i="25"/>
  <c r="N717" i="25"/>
  <c r="M717" i="25"/>
  <c r="L717" i="25"/>
  <c r="Q717" i="25" s="1"/>
  <c r="R716" i="25"/>
  <c r="Q716" i="25"/>
  <c r="P716" i="25"/>
  <c r="O716" i="25"/>
  <c r="N716" i="25"/>
  <c r="I716" i="25"/>
  <c r="L716" i="25" s="1"/>
  <c r="G716" i="25"/>
  <c r="R715" i="25"/>
  <c r="Q715" i="25"/>
  <c r="P715" i="25"/>
  <c r="O715" i="25"/>
  <c r="N715" i="25"/>
  <c r="I715" i="25"/>
  <c r="L715" i="25" s="1"/>
  <c r="G715" i="25"/>
  <c r="R714" i="25"/>
  <c r="Q714" i="25"/>
  <c r="P714" i="25"/>
  <c r="O714" i="25"/>
  <c r="N714" i="25"/>
  <c r="I714" i="25"/>
  <c r="L714" i="25" s="1"/>
  <c r="G714" i="25"/>
  <c r="R713" i="25"/>
  <c r="Q713" i="25"/>
  <c r="P713" i="25"/>
  <c r="O713" i="25"/>
  <c r="M713" i="25"/>
  <c r="I713" i="25"/>
  <c r="L713" i="25" s="1"/>
  <c r="G713" i="25"/>
  <c r="F713" i="25"/>
  <c r="R712" i="25"/>
  <c r="Q712" i="25"/>
  <c r="P712" i="25"/>
  <c r="O712" i="25"/>
  <c r="M712" i="25"/>
  <c r="I712" i="25"/>
  <c r="L712" i="25" s="1"/>
  <c r="G712" i="25"/>
  <c r="R711" i="25"/>
  <c r="Q711" i="25"/>
  <c r="P711" i="25"/>
  <c r="O711" i="25"/>
  <c r="M711" i="25"/>
  <c r="I711" i="25"/>
  <c r="L711" i="25" s="1"/>
  <c r="G711" i="25"/>
  <c r="R710" i="25"/>
  <c r="Q710" i="25"/>
  <c r="P710" i="25"/>
  <c r="N710" i="25"/>
  <c r="M710" i="25"/>
  <c r="L710" i="25"/>
  <c r="E710" i="25"/>
  <c r="E711" i="25" s="1"/>
  <c r="S709" i="25"/>
  <c r="R709" i="25"/>
  <c r="Q709" i="25"/>
  <c r="O709" i="25"/>
  <c r="N709" i="25"/>
  <c r="M709" i="25"/>
  <c r="M504" i="25"/>
  <c r="N504" i="25"/>
  <c r="O504" i="25"/>
  <c r="R504" i="25"/>
  <c r="S504" i="25"/>
  <c r="R520" i="25"/>
  <c r="Q520" i="25"/>
  <c r="P520" i="25"/>
  <c r="O520" i="25"/>
  <c r="N520" i="25"/>
  <c r="I520" i="25"/>
  <c r="L520" i="25" s="1"/>
  <c r="G520" i="25"/>
  <c r="R519" i="25"/>
  <c r="Q519" i="25"/>
  <c r="P519" i="25"/>
  <c r="O519" i="25"/>
  <c r="N519" i="25"/>
  <c r="I519" i="25"/>
  <c r="L519" i="25" s="1"/>
  <c r="G519" i="25"/>
  <c r="R518" i="25"/>
  <c r="Q518" i="25"/>
  <c r="P518" i="25"/>
  <c r="O518" i="25"/>
  <c r="N518" i="25"/>
  <c r="I518" i="25"/>
  <c r="L518" i="25" s="1"/>
  <c r="G518" i="25"/>
  <c r="R517" i="25"/>
  <c r="Q517" i="25"/>
  <c r="P517" i="25"/>
  <c r="O517" i="25"/>
  <c r="N517" i="25"/>
  <c r="I517" i="25"/>
  <c r="L517" i="25" s="1"/>
  <c r="G517" i="25"/>
  <c r="R516" i="25"/>
  <c r="Q516" i="25"/>
  <c r="P516" i="25"/>
  <c r="O516" i="25"/>
  <c r="M516" i="25"/>
  <c r="I516" i="25"/>
  <c r="L516" i="25" s="1"/>
  <c r="G516" i="25"/>
  <c r="R515" i="25"/>
  <c r="Q515" i="25"/>
  <c r="P515" i="25"/>
  <c r="O515" i="25"/>
  <c r="M515" i="25"/>
  <c r="I515" i="25"/>
  <c r="L515" i="25" s="1"/>
  <c r="G515" i="25"/>
  <c r="F515" i="25"/>
  <c r="R514" i="25"/>
  <c r="Q514" i="25"/>
  <c r="P514" i="25"/>
  <c r="O514" i="25"/>
  <c r="M514" i="25"/>
  <c r="I514" i="25"/>
  <c r="L514" i="25" s="1"/>
  <c r="G514" i="25"/>
  <c r="R513" i="25"/>
  <c r="Q513" i="25"/>
  <c r="P513" i="25"/>
  <c r="O513" i="25"/>
  <c r="M513" i="25"/>
  <c r="I513" i="25"/>
  <c r="L513" i="25" s="1"/>
  <c r="G513" i="25"/>
  <c r="R512" i="25"/>
  <c r="Q512" i="25"/>
  <c r="P512" i="25"/>
  <c r="N512" i="25"/>
  <c r="M512" i="25"/>
  <c r="L512" i="25"/>
  <c r="E512" i="25"/>
  <c r="E513" i="25" s="1"/>
  <c r="S511" i="25"/>
  <c r="R511" i="25"/>
  <c r="Q511" i="25"/>
  <c r="O511" i="25"/>
  <c r="N511" i="25"/>
  <c r="M511" i="25"/>
  <c r="R510" i="25"/>
  <c r="Q510" i="25"/>
  <c r="P510" i="25"/>
  <c r="O510" i="25"/>
  <c r="N510" i="25"/>
  <c r="I510" i="25"/>
  <c r="L510" i="25" s="1"/>
  <c r="G510" i="25"/>
  <c r="R509" i="25"/>
  <c r="Q509" i="25"/>
  <c r="P509" i="25"/>
  <c r="O509" i="25"/>
  <c r="N509" i="25"/>
  <c r="I509" i="25"/>
  <c r="L509" i="25" s="1"/>
  <c r="G509" i="25"/>
  <c r="R508" i="25"/>
  <c r="Q508" i="25"/>
  <c r="P508" i="25"/>
  <c r="O508" i="25"/>
  <c r="N508" i="25"/>
  <c r="I508" i="25"/>
  <c r="L508" i="25" s="1"/>
  <c r="G508" i="25"/>
  <c r="R507" i="25"/>
  <c r="Q507" i="25"/>
  <c r="P507" i="25"/>
  <c r="O507" i="25"/>
  <c r="M507" i="25"/>
  <c r="I507" i="25"/>
  <c r="L507" i="25" s="1"/>
  <c r="G507" i="25"/>
  <c r="F507" i="25"/>
  <c r="R506" i="25"/>
  <c r="Q506" i="25"/>
  <c r="P506" i="25"/>
  <c r="O506" i="25"/>
  <c r="M506" i="25"/>
  <c r="I506" i="25"/>
  <c r="L506" i="25" s="1"/>
  <c r="G506" i="25"/>
  <c r="R505" i="25"/>
  <c r="Q505" i="25"/>
  <c r="P505" i="25"/>
  <c r="O505" i="25"/>
  <c r="M505" i="25"/>
  <c r="I505" i="25"/>
  <c r="L505" i="25" s="1"/>
  <c r="G505" i="25"/>
  <c r="E505" i="25"/>
  <c r="E506" i="25" s="1"/>
  <c r="E507" i="25" s="1"/>
  <c r="S503" i="25"/>
  <c r="R503" i="25"/>
  <c r="P503" i="25"/>
  <c r="O503" i="25"/>
  <c r="N503" i="25"/>
  <c r="M503" i="25"/>
  <c r="R502" i="25"/>
  <c r="Q502" i="25"/>
  <c r="P502" i="25"/>
  <c r="O502" i="25"/>
  <c r="N502" i="25"/>
  <c r="I502" i="25"/>
  <c r="L502" i="25" s="1"/>
  <c r="G502" i="25"/>
  <c r="R501" i="25"/>
  <c r="Q501" i="25"/>
  <c r="P501" i="25"/>
  <c r="O501" i="25"/>
  <c r="N501" i="25"/>
  <c r="I501" i="25"/>
  <c r="L501" i="25" s="1"/>
  <c r="G501" i="25"/>
  <c r="R500" i="25"/>
  <c r="Q500" i="25"/>
  <c r="P500" i="25"/>
  <c r="O500" i="25"/>
  <c r="N500" i="25"/>
  <c r="I500" i="25"/>
  <c r="L500" i="25" s="1"/>
  <c r="G500" i="25"/>
  <c r="R499" i="25"/>
  <c r="Q499" i="25"/>
  <c r="P499" i="25"/>
  <c r="O499" i="25"/>
  <c r="M499" i="25"/>
  <c r="I499" i="25"/>
  <c r="L499" i="25" s="1"/>
  <c r="G499" i="25"/>
  <c r="F499" i="25"/>
  <c r="R498" i="25"/>
  <c r="Q498" i="25"/>
  <c r="P498" i="25"/>
  <c r="O498" i="25"/>
  <c r="M498" i="25"/>
  <c r="I498" i="25"/>
  <c r="L498" i="25" s="1"/>
  <c r="G498" i="25"/>
  <c r="R497" i="25"/>
  <c r="Q497" i="25"/>
  <c r="P497" i="25"/>
  <c r="O497" i="25"/>
  <c r="M497" i="25"/>
  <c r="I497" i="25"/>
  <c r="L497" i="25" s="1"/>
  <c r="G497" i="25"/>
  <c r="R496" i="25"/>
  <c r="Q496" i="25"/>
  <c r="P496" i="25"/>
  <c r="N496" i="25"/>
  <c r="M496" i="25"/>
  <c r="E496" i="25"/>
  <c r="S496" i="25" s="1"/>
  <c r="S495" i="25"/>
  <c r="R495" i="25"/>
  <c r="Q495" i="25"/>
  <c r="O495" i="25"/>
  <c r="N495" i="25"/>
  <c r="M495" i="25"/>
  <c r="E296" i="25"/>
  <c r="E234" i="25"/>
  <c r="E235" i="25" s="1"/>
  <c r="I234" i="25"/>
  <c r="M234" i="25"/>
  <c r="N234" i="25"/>
  <c r="O234" i="25"/>
  <c r="P234" i="25"/>
  <c r="R234" i="25"/>
  <c r="E24" i="25"/>
  <c r="R311" i="25"/>
  <c r="Q311" i="25"/>
  <c r="P311" i="25"/>
  <c r="O311" i="25"/>
  <c r="N311" i="25"/>
  <c r="I311" i="25"/>
  <c r="L311" i="25" s="1"/>
  <c r="G311" i="25"/>
  <c r="R310" i="25"/>
  <c r="Q310" i="25"/>
  <c r="P310" i="25"/>
  <c r="O310" i="25"/>
  <c r="N310" i="25"/>
  <c r="I310" i="25"/>
  <c r="L310" i="25" s="1"/>
  <c r="G310" i="25"/>
  <c r="R309" i="25"/>
  <c r="Q309" i="25"/>
  <c r="P309" i="25"/>
  <c r="O309" i="25"/>
  <c r="N309" i="25"/>
  <c r="I309" i="25"/>
  <c r="L309" i="25" s="1"/>
  <c r="G309" i="25"/>
  <c r="R308" i="25"/>
  <c r="Q308" i="25"/>
  <c r="P308" i="25"/>
  <c r="O308" i="25"/>
  <c r="N308" i="25"/>
  <c r="I308" i="25"/>
  <c r="L308" i="25" s="1"/>
  <c r="G308" i="25"/>
  <c r="R307" i="25"/>
  <c r="Q307" i="25"/>
  <c r="P307" i="25"/>
  <c r="O307" i="25"/>
  <c r="M307" i="25"/>
  <c r="I307" i="25"/>
  <c r="L307" i="25" s="1"/>
  <c r="G307" i="25"/>
  <c r="R306" i="25"/>
  <c r="Q306" i="25"/>
  <c r="P306" i="25"/>
  <c r="O306" i="25"/>
  <c r="M306" i="25"/>
  <c r="I306" i="25"/>
  <c r="L306" i="25" s="1"/>
  <c r="G306" i="25"/>
  <c r="F306" i="25"/>
  <c r="R305" i="25"/>
  <c r="Q305" i="25"/>
  <c r="P305" i="25"/>
  <c r="O305" i="25"/>
  <c r="M305" i="25"/>
  <c r="I305" i="25"/>
  <c r="L305" i="25" s="1"/>
  <c r="G305" i="25"/>
  <c r="R304" i="25"/>
  <c r="Q304" i="25"/>
  <c r="P304" i="25"/>
  <c r="O304" i="25"/>
  <c r="M304" i="25"/>
  <c r="I304" i="25"/>
  <c r="G304" i="25"/>
  <c r="R303" i="25"/>
  <c r="Q303" i="25"/>
  <c r="P303" i="25"/>
  <c r="N303" i="25"/>
  <c r="M303" i="25"/>
  <c r="E303" i="25"/>
  <c r="E304" i="25" s="1"/>
  <c r="S302" i="25"/>
  <c r="R302" i="25"/>
  <c r="Q302" i="25"/>
  <c r="O302" i="25"/>
  <c r="N302" i="25"/>
  <c r="M302" i="25"/>
  <c r="R301" i="25"/>
  <c r="Q301" i="25"/>
  <c r="P301" i="25"/>
  <c r="O301" i="25"/>
  <c r="N301" i="25"/>
  <c r="I301" i="25"/>
  <c r="L301" i="25" s="1"/>
  <c r="G301" i="25"/>
  <c r="R300" i="25"/>
  <c r="Q300" i="25"/>
  <c r="P300" i="25"/>
  <c r="O300" i="25"/>
  <c r="N300" i="25"/>
  <c r="I300" i="25"/>
  <c r="L300" i="25" s="1"/>
  <c r="G300" i="25"/>
  <c r="R299" i="25"/>
  <c r="Q299" i="25"/>
  <c r="P299" i="25"/>
  <c r="O299" i="25"/>
  <c r="N299" i="25"/>
  <c r="I299" i="25"/>
  <c r="L299" i="25" s="1"/>
  <c r="G299" i="25"/>
  <c r="R298" i="25"/>
  <c r="Q298" i="25"/>
  <c r="P298" i="25"/>
  <c r="O298" i="25"/>
  <c r="M298" i="25"/>
  <c r="I298" i="25"/>
  <c r="L298" i="25" s="1"/>
  <c r="G298" i="25"/>
  <c r="F298" i="25"/>
  <c r="R297" i="25"/>
  <c r="Q297" i="25"/>
  <c r="P297" i="25"/>
  <c r="O297" i="25"/>
  <c r="M297" i="25"/>
  <c r="I297" i="25"/>
  <c r="L297" i="25" s="1"/>
  <c r="G297" i="25"/>
  <c r="R296" i="25"/>
  <c r="Q296" i="25"/>
  <c r="P296" i="25"/>
  <c r="O296" i="25"/>
  <c r="M296" i="25"/>
  <c r="I296" i="25"/>
  <c r="L296" i="25" s="1"/>
  <c r="G296" i="25"/>
  <c r="S295" i="25"/>
  <c r="P295" i="25"/>
  <c r="O295" i="25"/>
  <c r="N295" i="25"/>
  <c r="M295" i="25"/>
  <c r="R294" i="25"/>
  <c r="Q294" i="25"/>
  <c r="P294" i="25"/>
  <c r="O294" i="25"/>
  <c r="N294" i="25"/>
  <c r="I294" i="25"/>
  <c r="L294" i="25" s="1"/>
  <c r="G294" i="25"/>
  <c r="R293" i="25"/>
  <c r="Q293" i="25"/>
  <c r="P293" i="25"/>
  <c r="O293" i="25"/>
  <c r="N293" i="25"/>
  <c r="I293" i="25"/>
  <c r="L293" i="25" s="1"/>
  <c r="G293" i="25"/>
  <c r="R292" i="25"/>
  <c r="Q292" i="25"/>
  <c r="P292" i="25"/>
  <c r="O292" i="25"/>
  <c r="N292" i="25"/>
  <c r="I292" i="25"/>
  <c r="L292" i="25" s="1"/>
  <c r="G292" i="25"/>
  <c r="R291" i="25"/>
  <c r="Q291" i="25"/>
  <c r="P291" i="25"/>
  <c r="O291" i="25"/>
  <c r="M291" i="25"/>
  <c r="I291" i="25"/>
  <c r="L291" i="25" s="1"/>
  <c r="G291" i="25"/>
  <c r="F291" i="25"/>
  <c r="R290" i="25"/>
  <c r="Q290" i="25"/>
  <c r="P290" i="25"/>
  <c r="O290" i="25"/>
  <c r="M290" i="25"/>
  <c r="I290" i="25"/>
  <c r="L290" i="25" s="1"/>
  <c r="G290" i="25"/>
  <c r="R289" i="25"/>
  <c r="Q289" i="25"/>
  <c r="P289" i="25"/>
  <c r="O289" i="25"/>
  <c r="M289" i="25"/>
  <c r="I289" i="25"/>
  <c r="L289" i="25" s="1"/>
  <c r="G289" i="25"/>
  <c r="R288" i="25"/>
  <c r="Q288" i="25"/>
  <c r="N288" i="25"/>
  <c r="M288" i="25"/>
  <c r="E288" i="25"/>
  <c r="S287" i="25"/>
  <c r="R287" i="25"/>
  <c r="O287" i="25"/>
  <c r="N287" i="25"/>
  <c r="M287" i="25"/>
  <c r="L287" i="25"/>
  <c r="Q287" i="25" s="1"/>
  <c r="R101" i="25"/>
  <c r="Q101" i="25"/>
  <c r="P101" i="25"/>
  <c r="O101" i="25"/>
  <c r="N101" i="25"/>
  <c r="L101" i="25"/>
  <c r="G101" i="25"/>
  <c r="R100" i="25"/>
  <c r="Q100" i="25"/>
  <c r="P100" i="25"/>
  <c r="O100" i="25"/>
  <c r="N100" i="25"/>
  <c r="L100" i="25"/>
  <c r="G100" i="25"/>
  <c r="R99" i="25"/>
  <c r="Q99" i="25"/>
  <c r="P99" i="25"/>
  <c r="O99" i="25"/>
  <c r="N99" i="25"/>
  <c r="L99" i="25"/>
  <c r="G99" i="25"/>
  <c r="R98" i="25"/>
  <c r="Q98" i="25"/>
  <c r="P98" i="25"/>
  <c r="O98" i="25"/>
  <c r="N98" i="25"/>
  <c r="L98" i="25"/>
  <c r="G98" i="25"/>
  <c r="R97" i="25"/>
  <c r="Q97" i="25"/>
  <c r="P97" i="25"/>
  <c r="O97" i="25"/>
  <c r="M97" i="25"/>
  <c r="L97" i="25"/>
  <c r="G97" i="25"/>
  <c r="R96" i="25"/>
  <c r="Q96" i="25"/>
  <c r="P96" i="25"/>
  <c r="O96" i="25"/>
  <c r="M96" i="25"/>
  <c r="L96" i="25"/>
  <c r="G96" i="25"/>
  <c r="F96" i="25"/>
  <c r="R95" i="25"/>
  <c r="Q95" i="25"/>
  <c r="P95" i="25"/>
  <c r="O95" i="25"/>
  <c r="M95" i="25"/>
  <c r="L95" i="25"/>
  <c r="G95" i="25"/>
  <c r="R94" i="25"/>
  <c r="Q94" i="25"/>
  <c r="P94" i="25"/>
  <c r="O94" i="25"/>
  <c r="M94" i="25"/>
  <c r="L94" i="25"/>
  <c r="R93" i="25"/>
  <c r="Q93" i="25"/>
  <c r="P93" i="25"/>
  <c r="N93" i="25"/>
  <c r="M93" i="25"/>
  <c r="E93" i="25"/>
  <c r="E94" i="25" s="1"/>
  <c r="S92" i="25"/>
  <c r="R92" i="25"/>
  <c r="Q92" i="25"/>
  <c r="O92" i="25"/>
  <c r="N92" i="25"/>
  <c r="M92" i="25"/>
  <c r="A92" i="25"/>
  <c r="R91" i="25"/>
  <c r="Q91" i="25"/>
  <c r="P91" i="25"/>
  <c r="O91" i="25"/>
  <c r="N91" i="25"/>
  <c r="L91" i="25"/>
  <c r="G91" i="25"/>
  <c r="R90" i="25"/>
  <c r="Q90" i="25"/>
  <c r="P90" i="25"/>
  <c r="O90" i="25"/>
  <c r="N90" i="25"/>
  <c r="L90" i="25"/>
  <c r="G90" i="25"/>
  <c r="R89" i="25"/>
  <c r="Q89" i="25"/>
  <c r="P89" i="25"/>
  <c r="O89" i="25"/>
  <c r="N89" i="25"/>
  <c r="L89" i="25"/>
  <c r="G89" i="25"/>
  <c r="R88" i="25"/>
  <c r="Q88" i="25"/>
  <c r="P88" i="25"/>
  <c r="O88" i="25"/>
  <c r="M88" i="25"/>
  <c r="L88" i="25"/>
  <c r="G88" i="25"/>
  <c r="F88" i="25"/>
  <c r="R87" i="25"/>
  <c r="Q87" i="25"/>
  <c r="P87" i="25"/>
  <c r="O87" i="25"/>
  <c r="M87" i="25"/>
  <c r="L87" i="25"/>
  <c r="G87" i="25"/>
  <c r="R86" i="25"/>
  <c r="Q86" i="25"/>
  <c r="P86" i="25"/>
  <c r="O86" i="25"/>
  <c r="M86" i="25"/>
  <c r="L86" i="25"/>
  <c r="R85" i="25"/>
  <c r="O85" i="25"/>
  <c r="N85" i="25"/>
  <c r="M85" i="25"/>
  <c r="E85" i="25"/>
  <c r="E86" i="25" s="1"/>
  <c r="S84" i="25"/>
  <c r="P84" i="25"/>
  <c r="O84" i="25"/>
  <c r="N84" i="25"/>
  <c r="M84" i="25"/>
  <c r="A84" i="25"/>
  <c r="M77" i="25"/>
  <c r="N77" i="25"/>
  <c r="P77" i="25"/>
  <c r="Q77" i="25"/>
  <c r="R77" i="25"/>
  <c r="A75" i="25"/>
  <c r="R83" i="25"/>
  <c r="Q83" i="25"/>
  <c r="P83" i="25"/>
  <c r="O83" i="25"/>
  <c r="N83" i="25"/>
  <c r="L83" i="25"/>
  <c r="G83" i="25"/>
  <c r="R82" i="25"/>
  <c r="Q82" i="25"/>
  <c r="P82" i="25"/>
  <c r="O82" i="25"/>
  <c r="N82" i="25"/>
  <c r="L82" i="25"/>
  <c r="G82" i="25"/>
  <c r="R81" i="25"/>
  <c r="Q81" i="25"/>
  <c r="P81" i="25"/>
  <c r="O81" i="25"/>
  <c r="N81" i="25"/>
  <c r="L81" i="25"/>
  <c r="G81" i="25"/>
  <c r="R80" i="25"/>
  <c r="Q80" i="25"/>
  <c r="P80" i="25"/>
  <c r="O80" i="25"/>
  <c r="M80" i="25"/>
  <c r="L80" i="25"/>
  <c r="G80" i="25"/>
  <c r="F80" i="25"/>
  <c r="R79" i="25"/>
  <c r="Q79" i="25"/>
  <c r="P79" i="25"/>
  <c r="O79" i="25"/>
  <c r="M79" i="25"/>
  <c r="L79" i="25"/>
  <c r="G79" i="25"/>
  <c r="R78" i="25"/>
  <c r="Q78" i="25"/>
  <c r="P78" i="25"/>
  <c r="O78" i="25"/>
  <c r="M78" i="25"/>
  <c r="L78" i="25"/>
  <c r="R76" i="25"/>
  <c r="Q76" i="25"/>
  <c r="O76" i="25"/>
  <c r="N76" i="25"/>
  <c r="M76" i="25"/>
  <c r="L76" i="25"/>
  <c r="E76" i="25"/>
  <c r="E78" i="25" s="1"/>
  <c r="E79" i="25" s="1"/>
  <c r="S75" i="25"/>
  <c r="R75" i="25"/>
  <c r="P75" i="25"/>
  <c r="O75" i="25"/>
  <c r="N75" i="25"/>
  <c r="M75" i="25"/>
  <c r="E900" i="25"/>
  <c r="E901" i="25" s="1"/>
  <c r="E902" i="25" s="1"/>
  <c r="E903" i="25" s="1"/>
  <c r="E904" i="25" s="1"/>
  <c r="E905" i="25" s="1"/>
  <c r="E906" i="25" s="1"/>
  <c r="E907" i="25" s="1"/>
  <c r="E908" i="25" s="1"/>
  <c r="E684" i="25"/>
  <c r="E685" i="25" s="1"/>
  <c r="E686" i="25" s="1"/>
  <c r="E687" i="25" s="1"/>
  <c r="E688" i="25" s="1"/>
  <c r="E689" i="25" s="1"/>
  <c r="E690" i="25" s="1"/>
  <c r="E691" i="25" s="1"/>
  <c r="E692" i="25" s="1"/>
  <c r="E471" i="25"/>
  <c r="E472" i="25" s="1"/>
  <c r="E473" i="25" s="1"/>
  <c r="E474" i="25" s="1"/>
  <c r="E475" i="25" s="1"/>
  <c r="E476" i="25" s="1"/>
  <c r="E477" i="25" s="1"/>
  <c r="E478" i="25" s="1"/>
  <c r="E479" i="25" s="1"/>
  <c r="E262" i="25"/>
  <c r="E263" i="25" s="1"/>
  <c r="E264" i="25" s="1"/>
  <c r="E265" i="25" s="1"/>
  <c r="E266" i="25" s="1"/>
  <c r="E267" i="25" s="1"/>
  <c r="E268" i="25" s="1"/>
  <c r="E269" i="25" s="1"/>
  <c r="E270" i="25" s="1"/>
  <c r="E856" i="25"/>
  <c r="E857" i="25" s="1"/>
  <c r="E858" i="25" s="1"/>
  <c r="E859" i="25" s="1"/>
  <c r="E860" i="25" s="1"/>
  <c r="E861" i="25" s="1"/>
  <c r="E862" i="25" s="1"/>
  <c r="E640" i="25"/>
  <c r="E641" i="25" s="1"/>
  <c r="E642" i="25" s="1"/>
  <c r="E643" i="25" s="1"/>
  <c r="E644" i="25" s="1"/>
  <c r="E645" i="25" s="1"/>
  <c r="E646" i="25" s="1"/>
  <c r="E427" i="25"/>
  <c r="E428" i="25" s="1"/>
  <c r="E429" i="25" s="1"/>
  <c r="E430" i="25" s="1"/>
  <c r="E431" i="25" s="1"/>
  <c r="E432" i="25" s="1"/>
  <c r="E433" i="25" s="1"/>
  <c r="E219" i="25"/>
  <c r="E220" i="25" s="1"/>
  <c r="E221" i="25" s="1"/>
  <c r="E222" i="25" s="1"/>
  <c r="E223" i="25" s="1"/>
  <c r="E224" i="25" s="1"/>
  <c r="E225" i="25" s="1"/>
  <c r="E227" i="25"/>
  <c r="E228" i="25" s="1"/>
  <c r="E229" i="25" s="1"/>
  <c r="E230" i="25" s="1"/>
  <c r="E231" i="25" s="1"/>
  <c r="E232" i="25" s="1"/>
  <c r="E16" i="25"/>
  <c r="E17" i="25" s="1"/>
  <c r="E18" i="25" s="1"/>
  <c r="E19" i="25" s="1"/>
  <c r="E20" i="25" s="1"/>
  <c r="D259" i="10"/>
  <c r="D251" i="10"/>
  <c r="D249" i="10"/>
  <c r="D248" i="10"/>
  <c r="I248" i="10" s="1"/>
  <c r="O942" i="25" l="1"/>
  <c r="O710" i="25"/>
  <c r="S942" i="25"/>
  <c r="L304" i="25"/>
  <c r="O934" i="25"/>
  <c r="O288" i="25"/>
  <c r="E937" i="25"/>
  <c r="N936" i="25"/>
  <c r="E928" i="25"/>
  <c r="N927" i="25"/>
  <c r="E945" i="25"/>
  <c r="N944" i="25"/>
  <c r="O926" i="25"/>
  <c r="S926" i="25"/>
  <c r="N935" i="25"/>
  <c r="N943" i="25"/>
  <c r="S710" i="25"/>
  <c r="E726" i="25"/>
  <c r="E727" i="25" s="1"/>
  <c r="E728" i="25" s="1"/>
  <c r="E497" i="25"/>
  <c r="E498" i="25" s="1"/>
  <c r="E499" i="25" s="1"/>
  <c r="P717" i="25"/>
  <c r="E720" i="25"/>
  <c r="N719" i="25"/>
  <c r="E712" i="25"/>
  <c r="N711" i="25"/>
  <c r="N718" i="25"/>
  <c r="O725" i="25"/>
  <c r="Q504" i="25"/>
  <c r="P504" i="25"/>
  <c r="N505" i="25"/>
  <c r="N498" i="25"/>
  <c r="E508" i="25"/>
  <c r="N507" i="25"/>
  <c r="E514" i="25"/>
  <c r="N513" i="25"/>
  <c r="O496" i="25"/>
  <c r="N497" i="25"/>
  <c r="N506" i="25"/>
  <c r="O512" i="25"/>
  <c r="S512" i="25"/>
  <c r="L234" i="25"/>
  <c r="Q234" i="25" s="1"/>
  <c r="Q295" i="25"/>
  <c r="P287" i="25"/>
  <c r="O93" i="25"/>
  <c r="N296" i="25"/>
  <c r="E305" i="25"/>
  <c r="N304" i="25"/>
  <c r="E297" i="25"/>
  <c r="E289" i="25"/>
  <c r="S288" i="25"/>
  <c r="O303" i="25"/>
  <c r="S303" i="25"/>
  <c r="P288" i="25"/>
  <c r="E77" i="25"/>
  <c r="S77" i="25" s="1"/>
  <c r="S76" i="25"/>
  <c r="R84" i="25"/>
  <c r="Q85" i="25"/>
  <c r="S93" i="25"/>
  <c r="E95" i="25"/>
  <c r="N94" i="25"/>
  <c r="E87" i="25"/>
  <c r="N86" i="25"/>
  <c r="S85" i="25"/>
  <c r="P76" i="25"/>
  <c r="E80" i="25"/>
  <c r="N79" i="25"/>
  <c r="N78" i="25"/>
  <c r="D181" i="9"/>
  <c r="D180" i="9"/>
  <c r="D177" i="9"/>
  <c r="D175" i="9"/>
  <c r="D173" i="9"/>
  <c r="D171" i="9"/>
  <c r="D170" i="9"/>
  <c r="E929" i="25" l="1"/>
  <c r="N928" i="25"/>
  <c r="E946" i="25"/>
  <c r="N945" i="25"/>
  <c r="E938" i="25"/>
  <c r="N937" i="25"/>
  <c r="N726" i="25"/>
  <c r="N727" i="25"/>
  <c r="E729" i="25"/>
  <c r="N728" i="25"/>
  <c r="N712" i="25"/>
  <c r="E713" i="25"/>
  <c r="E721" i="25"/>
  <c r="N720" i="25"/>
  <c r="M508" i="25"/>
  <c r="E509" i="25"/>
  <c r="E515" i="25"/>
  <c r="N514" i="25"/>
  <c r="N499" i="25"/>
  <c r="E500" i="25"/>
  <c r="O77" i="25"/>
  <c r="E290" i="25"/>
  <c r="N289" i="25"/>
  <c r="E298" i="25"/>
  <c r="N297" i="25"/>
  <c r="E306" i="25"/>
  <c r="N305" i="25"/>
  <c r="E96" i="25"/>
  <c r="N95" i="25"/>
  <c r="E88" i="25"/>
  <c r="N87" i="25"/>
  <c r="N80" i="25"/>
  <c r="E81" i="25"/>
  <c r="L292" i="22"/>
  <c r="L291" i="22"/>
  <c r="L276" i="22"/>
  <c r="L278" i="22"/>
  <c r="L279" i="22"/>
  <c r="L280" i="22"/>
  <c r="L281" i="22"/>
  <c r="L282" i="22"/>
  <c r="L283" i="22"/>
  <c r="L284" i="22"/>
  <c r="L285" i="22"/>
  <c r="L286" i="22"/>
  <c r="L287" i="22"/>
  <c r="L288" i="22"/>
  <c r="L289" i="22"/>
  <c r="L290" i="22"/>
  <c r="L277" i="22"/>
  <c r="M276" i="22" l="1"/>
  <c r="N276" i="22" s="1"/>
  <c r="M277" i="22"/>
  <c r="N277" i="22" s="1"/>
  <c r="M288" i="22"/>
  <c r="N288" i="22" s="1"/>
  <c r="M289" i="22"/>
  <c r="N289" i="22" s="1"/>
  <c r="M285" i="22"/>
  <c r="N285" i="22" s="1"/>
  <c r="M281" i="22"/>
  <c r="N281" i="22" s="1"/>
  <c r="M284" i="22"/>
  <c r="N284" i="22" s="1"/>
  <c r="M280" i="22"/>
  <c r="N280" i="22" s="1"/>
  <c r="M291" i="22"/>
  <c r="N291" i="22" s="1"/>
  <c r="M287" i="22"/>
  <c r="N287" i="22" s="1"/>
  <c r="M283" i="22"/>
  <c r="N283" i="22" s="1"/>
  <c r="M279" i="22"/>
  <c r="N279" i="22" s="1"/>
  <c r="M292" i="22"/>
  <c r="N292" i="22" s="1"/>
  <c r="M290" i="22"/>
  <c r="N290" i="22" s="1"/>
  <c r="M286" i="22"/>
  <c r="N286" i="22" s="1"/>
  <c r="M282" i="22"/>
  <c r="N282" i="22" s="1"/>
  <c r="M278" i="22"/>
  <c r="N278" i="22" s="1"/>
  <c r="M938" i="25"/>
  <c r="E939" i="25"/>
  <c r="N929" i="25"/>
  <c r="E930" i="25"/>
  <c r="N946" i="25"/>
  <c r="E947" i="25"/>
  <c r="M721" i="25"/>
  <c r="E722" i="25"/>
  <c r="N729" i="25"/>
  <c r="E730" i="25"/>
  <c r="E714" i="25"/>
  <c r="N713" i="25"/>
  <c r="E516" i="25"/>
  <c r="N515" i="25"/>
  <c r="E501" i="25"/>
  <c r="M500" i="25"/>
  <c r="E510" i="25"/>
  <c r="M510" i="25" s="1"/>
  <c r="M509" i="25"/>
  <c r="E299" i="25"/>
  <c r="N298" i="25"/>
  <c r="E307" i="25"/>
  <c r="N306" i="25"/>
  <c r="E291" i="25"/>
  <c r="N290" i="25"/>
  <c r="E97" i="25"/>
  <c r="N96" i="25"/>
  <c r="E89" i="25"/>
  <c r="N88" i="25"/>
  <c r="E82" i="25"/>
  <c r="M81" i="25"/>
  <c r="L275" i="22"/>
  <c r="L274" i="22"/>
  <c r="L272" i="22"/>
  <c r="L273" i="22"/>
  <c r="L271" i="22"/>
  <c r="L270" i="22"/>
  <c r="L268" i="22"/>
  <c r="L267" i="22"/>
  <c r="L265" i="22"/>
  <c r="L263" i="22"/>
  <c r="L262" i="22"/>
  <c r="L260" i="22"/>
  <c r="L259" i="22"/>
  <c r="L269" i="22"/>
  <c r="L266" i="22"/>
  <c r="L264" i="22"/>
  <c r="L261" i="22"/>
  <c r="L258" i="22"/>
  <c r="M262" i="22" l="1"/>
  <c r="N262" i="22" s="1"/>
  <c r="M268" i="22"/>
  <c r="N268" i="22" s="1"/>
  <c r="M269" i="22"/>
  <c r="N269" i="22" s="1"/>
  <c r="M270" i="22"/>
  <c r="N270" i="22" s="1"/>
  <c r="M271" i="22"/>
  <c r="N271" i="22" s="1"/>
  <c r="M266" i="22"/>
  <c r="N266" i="22" s="1"/>
  <c r="M272" i="22"/>
  <c r="N272" i="22" s="1"/>
  <c r="M263" i="22"/>
  <c r="N263" i="22" s="1"/>
  <c r="M274" i="22"/>
  <c r="N274" i="22" s="1"/>
  <c r="M261" i="22"/>
  <c r="N261" i="22" s="1"/>
  <c r="M259" i="22"/>
  <c r="N259" i="22" s="1"/>
  <c r="M265" i="22"/>
  <c r="N265" i="22" s="1"/>
  <c r="M275" i="22"/>
  <c r="N275" i="22" s="1"/>
  <c r="M264" i="22"/>
  <c r="N264" i="22" s="1"/>
  <c r="M260" i="22"/>
  <c r="N260" i="22" s="1"/>
  <c r="M267" i="22"/>
  <c r="N267" i="22" s="1"/>
  <c r="M273" i="22"/>
  <c r="N273" i="22" s="1"/>
  <c r="M258" i="22"/>
  <c r="N258" i="22" s="1"/>
  <c r="E940" i="25"/>
  <c r="M940" i="25" s="1"/>
  <c r="M939" i="25"/>
  <c r="E931" i="25"/>
  <c r="M930" i="25"/>
  <c r="E948" i="25"/>
  <c r="M947" i="25"/>
  <c r="E723" i="25"/>
  <c r="M723" i="25" s="1"/>
  <c r="M722" i="25"/>
  <c r="M714" i="25"/>
  <c r="E715" i="25"/>
  <c r="E731" i="25"/>
  <c r="M730" i="25"/>
  <c r="M501" i="25"/>
  <c r="E502" i="25"/>
  <c r="M502" i="25" s="1"/>
  <c r="N516" i="25"/>
  <c r="E517" i="25"/>
  <c r="N307" i="25"/>
  <c r="E308" i="25"/>
  <c r="N291" i="25"/>
  <c r="E292" i="25"/>
  <c r="E300" i="25"/>
  <c r="M299" i="25"/>
  <c r="N97" i="25"/>
  <c r="E98" i="25"/>
  <c r="M89" i="25"/>
  <c r="E90" i="25"/>
  <c r="M82" i="25"/>
  <c r="E83" i="25"/>
  <c r="M83" i="25" s="1"/>
  <c r="K368" i="22"/>
  <c r="M948" i="25" l="1"/>
  <c r="E949" i="25"/>
  <c r="M931" i="25"/>
  <c r="E932" i="25"/>
  <c r="M932" i="25" s="1"/>
  <c r="M731" i="25"/>
  <c r="E732" i="25"/>
  <c r="E716" i="25"/>
  <c r="M716" i="25" s="1"/>
  <c r="M715" i="25"/>
  <c r="E518" i="25"/>
  <c r="M517" i="25"/>
  <c r="E293" i="25"/>
  <c r="M292" i="25"/>
  <c r="E309" i="25"/>
  <c r="M308" i="25"/>
  <c r="M300" i="25"/>
  <c r="E301" i="25"/>
  <c r="M301" i="25" s="1"/>
  <c r="E99" i="25"/>
  <c r="E100" i="25" s="1"/>
  <c r="E101" i="25" s="1"/>
  <c r="M98" i="25"/>
  <c r="E91" i="25"/>
  <c r="M91" i="25" s="1"/>
  <c r="M90" i="25"/>
  <c r="I14" i="17"/>
  <c r="J14" i="17"/>
  <c r="K14" i="17"/>
  <c r="E950" i="25" l="1"/>
  <c r="M950" i="25" s="1"/>
  <c r="M949" i="25"/>
  <c r="E733" i="25"/>
  <c r="M733" i="25" s="1"/>
  <c r="M732" i="25"/>
  <c r="M518" i="25"/>
  <c r="E519" i="25"/>
  <c r="M293" i="25"/>
  <c r="E294" i="25"/>
  <c r="M294" i="25" s="1"/>
  <c r="M309" i="25"/>
  <c r="E310" i="25"/>
  <c r="M99" i="25"/>
  <c r="E520" i="25" l="1"/>
  <c r="M520" i="25" s="1"/>
  <c r="M519" i="25"/>
  <c r="E311" i="25"/>
  <c r="M311" i="25" s="1"/>
  <c r="M310" i="25"/>
  <c r="M101" i="25"/>
  <c r="M100" i="25"/>
  <c r="L14" i="17"/>
  <c r="I82" i="8"/>
  <c r="D20" i="15"/>
  <c r="R1068" i="25" l="1"/>
  <c r="Q1068" i="25"/>
  <c r="P1068" i="25"/>
  <c r="O1068" i="25"/>
  <c r="N1068" i="25"/>
  <c r="M1068" i="25"/>
  <c r="L1068" i="25"/>
  <c r="R1067" i="25"/>
  <c r="Q1067" i="25"/>
  <c r="P1067" i="25"/>
  <c r="O1067" i="25"/>
  <c r="N1067" i="25"/>
  <c r="I1067" i="25"/>
  <c r="L1067" i="25" s="1"/>
  <c r="G1067" i="25"/>
  <c r="R1066" i="25"/>
  <c r="Q1066" i="25"/>
  <c r="P1066" i="25"/>
  <c r="O1066" i="25"/>
  <c r="N1066" i="25"/>
  <c r="I1066" i="25"/>
  <c r="L1066" i="25" s="1"/>
  <c r="G1066" i="25"/>
  <c r="R1065" i="25"/>
  <c r="Q1065" i="25"/>
  <c r="P1065" i="25"/>
  <c r="O1065" i="25"/>
  <c r="N1065" i="25"/>
  <c r="I1065" i="25"/>
  <c r="L1065" i="25" s="1"/>
  <c r="G1065" i="25"/>
  <c r="R1064" i="25"/>
  <c r="Q1064" i="25"/>
  <c r="P1064" i="25"/>
  <c r="O1064" i="25"/>
  <c r="N1064" i="25"/>
  <c r="I1064" i="25"/>
  <c r="L1064" i="25" s="1"/>
  <c r="G1064" i="25"/>
  <c r="R1063" i="25"/>
  <c r="Q1063" i="25"/>
  <c r="P1063" i="25"/>
  <c r="O1063" i="25"/>
  <c r="N1063" i="25"/>
  <c r="M1063" i="25"/>
  <c r="L1063" i="25"/>
  <c r="R1062" i="25"/>
  <c r="Q1062" i="25"/>
  <c r="P1062" i="25"/>
  <c r="O1062" i="25"/>
  <c r="M1062" i="25"/>
  <c r="I1062" i="25"/>
  <c r="R1061" i="25"/>
  <c r="Q1061" i="25"/>
  <c r="P1061" i="25"/>
  <c r="N1061" i="25"/>
  <c r="M1061" i="25"/>
  <c r="I1061" i="25"/>
  <c r="R1060" i="25"/>
  <c r="Q1060" i="25"/>
  <c r="O1060" i="25"/>
  <c r="N1060" i="25"/>
  <c r="M1060" i="25"/>
  <c r="I1060" i="25"/>
  <c r="R1059" i="25"/>
  <c r="Q1059" i="25"/>
  <c r="P1059" i="25"/>
  <c r="O1059" i="25"/>
  <c r="N1059" i="25"/>
  <c r="I1059" i="25"/>
  <c r="L1059" i="25" s="1"/>
  <c r="G1059" i="25"/>
  <c r="R1058" i="25"/>
  <c r="Q1058" i="25"/>
  <c r="P1058" i="25"/>
  <c r="O1058" i="25"/>
  <c r="N1058" i="25"/>
  <c r="I1058" i="25"/>
  <c r="L1058" i="25" s="1"/>
  <c r="G1058" i="25"/>
  <c r="R1057" i="25"/>
  <c r="Q1057" i="25"/>
  <c r="P1057" i="25"/>
  <c r="O1057" i="25"/>
  <c r="N1057" i="25"/>
  <c r="I1057" i="25"/>
  <c r="L1057" i="25" s="1"/>
  <c r="G1057" i="25"/>
  <c r="R1056" i="25"/>
  <c r="Q1056" i="25"/>
  <c r="P1056" i="25"/>
  <c r="O1056" i="25"/>
  <c r="N1056" i="25"/>
  <c r="I1056" i="25"/>
  <c r="L1056" i="25" s="1"/>
  <c r="G1056" i="25"/>
  <c r="R1055" i="25"/>
  <c r="Q1055" i="25"/>
  <c r="P1055" i="25"/>
  <c r="O1055" i="25"/>
  <c r="N1055" i="25"/>
  <c r="I1055" i="25"/>
  <c r="L1055" i="25" s="1"/>
  <c r="G1055" i="25"/>
  <c r="R1054" i="25"/>
  <c r="Q1054" i="25"/>
  <c r="P1054" i="25"/>
  <c r="O1054" i="25"/>
  <c r="N1054" i="25"/>
  <c r="I1054" i="25"/>
  <c r="L1054" i="25" s="1"/>
  <c r="G1054" i="25"/>
  <c r="R1053" i="25"/>
  <c r="Q1053" i="25"/>
  <c r="P1053" i="25"/>
  <c r="O1053" i="25"/>
  <c r="N1053" i="25"/>
  <c r="I1053" i="25"/>
  <c r="L1053" i="25" s="1"/>
  <c r="G1053" i="25"/>
  <c r="R1052" i="25"/>
  <c r="Q1052" i="25"/>
  <c r="P1052" i="25"/>
  <c r="O1052" i="25"/>
  <c r="N1052" i="25"/>
  <c r="I1052" i="25"/>
  <c r="L1052" i="25" s="1"/>
  <c r="G1052" i="25"/>
  <c r="R1051" i="25"/>
  <c r="Q1051" i="25"/>
  <c r="P1051" i="25"/>
  <c r="O1051" i="25"/>
  <c r="N1051" i="25"/>
  <c r="M1051" i="25"/>
  <c r="L1051" i="25"/>
  <c r="R1050" i="25"/>
  <c r="Q1050" i="25"/>
  <c r="P1050" i="25"/>
  <c r="O1050" i="25"/>
  <c r="M1050" i="25"/>
  <c r="I1050" i="25"/>
  <c r="R1049" i="25"/>
  <c r="Q1049" i="25"/>
  <c r="P1049" i="25"/>
  <c r="N1049" i="25"/>
  <c r="M1049" i="25"/>
  <c r="I1049" i="25"/>
  <c r="R1048" i="25"/>
  <c r="Q1048" i="25"/>
  <c r="O1048" i="25"/>
  <c r="N1048" i="25"/>
  <c r="M1048" i="25"/>
  <c r="I1048" i="25"/>
  <c r="R1047" i="25"/>
  <c r="Q1047" i="25"/>
  <c r="P1047" i="25"/>
  <c r="O1047" i="25"/>
  <c r="N1047" i="25"/>
  <c r="I1047" i="25"/>
  <c r="L1047" i="25" s="1"/>
  <c r="G1047" i="25"/>
  <c r="R1046" i="25"/>
  <c r="Q1046" i="25"/>
  <c r="P1046" i="25"/>
  <c r="O1046" i="25"/>
  <c r="N1046" i="25"/>
  <c r="I1046" i="25"/>
  <c r="L1046" i="25" s="1"/>
  <c r="G1046" i="25"/>
  <c r="R1045" i="25"/>
  <c r="Q1045" i="25"/>
  <c r="P1045" i="25"/>
  <c r="O1045" i="25"/>
  <c r="N1045" i="25"/>
  <c r="I1045" i="25"/>
  <c r="L1045" i="25" s="1"/>
  <c r="G1045" i="25"/>
  <c r="R1044" i="25"/>
  <c r="Q1044" i="25"/>
  <c r="P1044" i="25"/>
  <c r="O1044" i="25"/>
  <c r="N1044" i="25"/>
  <c r="I1044" i="25"/>
  <c r="L1044" i="25" s="1"/>
  <c r="G1044" i="25"/>
  <c r="F1044" i="25"/>
  <c r="R1043" i="25"/>
  <c r="Q1043" i="25"/>
  <c r="P1043" i="25"/>
  <c r="O1043" i="25"/>
  <c r="N1043" i="25"/>
  <c r="I1043" i="25"/>
  <c r="L1043" i="25" s="1"/>
  <c r="G1043" i="25"/>
  <c r="R1042" i="25"/>
  <c r="Q1042" i="25"/>
  <c r="P1042" i="25"/>
  <c r="O1042" i="25"/>
  <c r="N1042" i="25"/>
  <c r="M1042" i="25"/>
  <c r="L1042" i="25"/>
  <c r="R1041" i="25"/>
  <c r="Q1041" i="25"/>
  <c r="P1041" i="25"/>
  <c r="O1041" i="25"/>
  <c r="M1041" i="25"/>
  <c r="I1041" i="25"/>
  <c r="R1040" i="25"/>
  <c r="Q1040" i="25"/>
  <c r="P1040" i="25"/>
  <c r="N1040" i="25"/>
  <c r="M1040" i="25"/>
  <c r="I1040" i="25"/>
  <c r="R1039" i="25"/>
  <c r="Q1039" i="25"/>
  <c r="O1039" i="25"/>
  <c r="N1039" i="25"/>
  <c r="M1039" i="25"/>
  <c r="I1039" i="25"/>
  <c r="R1038" i="25"/>
  <c r="Q1038" i="25"/>
  <c r="P1038" i="25"/>
  <c r="O1038" i="25"/>
  <c r="N1038" i="25"/>
  <c r="I1038" i="25"/>
  <c r="L1038" i="25" s="1"/>
  <c r="G1038" i="25"/>
  <c r="R1037" i="25"/>
  <c r="Q1037" i="25"/>
  <c r="P1037" i="25"/>
  <c r="O1037" i="25"/>
  <c r="N1037" i="25"/>
  <c r="I1037" i="25"/>
  <c r="L1037" i="25" s="1"/>
  <c r="G1037" i="25"/>
  <c r="R1036" i="25"/>
  <c r="Q1036" i="25"/>
  <c r="P1036" i="25"/>
  <c r="O1036" i="25"/>
  <c r="N1036" i="25"/>
  <c r="I1036" i="25"/>
  <c r="L1036" i="25" s="1"/>
  <c r="G1036" i="25"/>
  <c r="R1035" i="25"/>
  <c r="Q1035" i="25"/>
  <c r="P1035" i="25"/>
  <c r="O1035" i="25"/>
  <c r="N1035" i="25"/>
  <c r="I1035" i="25"/>
  <c r="L1035" i="25" s="1"/>
  <c r="G1035" i="25"/>
  <c r="R1034" i="25"/>
  <c r="Q1034" i="25"/>
  <c r="P1034" i="25"/>
  <c r="O1034" i="25"/>
  <c r="N1034" i="25"/>
  <c r="I1034" i="25"/>
  <c r="L1034" i="25" s="1"/>
  <c r="G1034" i="25"/>
  <c r="R1033" i="25"/>
  <c r="Q1033" i="25"/>
  <c r="P1033" i="25"/>
  <c r="O1033" i="25"/>
  <c r="N1033" i="25"/>
  <c r="M1033" i="25"/>
  <c r="L1033" i="25"/>
  <c r="R1032" i="25"/>
  <c r="Q1032" i="25"/>
  <c r="P1032" i="25"/>
  <c r="O1032" i="25"/>
  <c r="M1032" i="25"/>
  <c r="I1032" i="25"/>
  <c r="R1031" i="25"/>
  <c r="Q1031" i="25"/>
  <c r="P1031" i="25"/>
  <c r="N1031" i="25"/>
  <c r="M1031" i="25"/>
  <c r="I1031" i="25"/>
  <c r="R1030" i="25"/>
  <c r="Q1030" i="25"/>
  <c r="O1030" i="25"/>
  <c r="N1030" i="25"/>
  <c r="M1030" i="25"/>
  <c r="I1030" i="25"/>
  <c r="R1029" i="25"/>
  <c r="Q1029" i="25"/>
  <c r="P1029" i="25"/>
  <c r="O1029" i="25"/>
  <c r="N1029" i="25"/>
  <c r="I1029" i="25"/>
  <c r="L1029" i="25" s="1"/>
  <c r="G1029" i="25"/>
  <c r="R1028" i="25"/>
  <c r="Q1028" i="25"/>
  <c r="P1028" i="25"/>
  <c r="O1028" i="25"/>
  <c r="N1028" i="25"/>
  <c r="I1028" i="25"/>
  <c r="L1028" i="25" s="1"/>
  <c r="G1028" i="25"/>
  <c r="R1027" i="25"/>
  <c r="Q1027" i="25"/>
  <c r="P1027" i="25"/>
  <c r="O1027" i="25"/>
  <c r="N1027" i="25"/>
  <c r="I1027" i="25"/>
  <c r="L1027" i="25" s="1"/>
  <c r="G1027" i="25"/>
  <c r="R1026" i="25"/>
  <c r="Q1026" i="25"/>
  <c r="P1026" i="25"/>
  <c r="O1026" i="25"/>
  <c r="N1026" i="25"/>
  <c r="I1026" i="25"/>
  <c r="L1026" i="25" s="1"/>
  <c r="G1026" i="25"/>
  <c r="R1025" i="25"/>
  <c r="Q1025" i="25"/>
  <c r="P1025" i="25"/>
  <c r="O1025" i="25"/>
  <c r="N1025" i="25"/>
  <c r="I1025" i="25"/>
  <c r="L1025" i="25" s="1"/>
  <c r="G1025" i="25"/>
  <c r="R1024" i="25"/>
  <c r="Q1024" i="25"/>
  <c r="P1024" i="25"/>
  <c r="O1024" i="25"/>
  <c r="N1024" i="25"/>
  <c r="I1024" i="25"/>
  <c r="L1024" i="25" s="1"/>
  <c r="G1024" i="25"/>
  <c r="R1023" i="25"/>
  <c r="Q1023" i="25"/>
  <c r="P1023" i="25"/>
  <c r="O1023" i="25"/>
  <c r="N1023" i="25"/>
  <c r="I1023" i="25"/>
  <c r="L1023" i="25" s="1"/>
  <c r="G1023" i="25"/>
  <c r="R1022" i="25"/>
  <c r="Q1022" i="25"/>
  <c r="P1022" i="25"/>
  <c r="O1022" i="25"/>
  <c r="N1022" i="25"/>
  <c r="I1022" i="25"/>
  <c r="L1022" i="25" s="1"/>
  <c r="G1022" i="25"/>
  <c r="R1021" i="25"/>
  <c r="Q1021" i="25"/>
  <c r="P1021" i="25"/>
  <c r="O1021" i="25"/>
  <c r="N1021" i="25"/>
  <c r="M1021" i="25"/>
  <c r="L1021" i="25"/>
  <c r="R1020" i="25"/>
  <c r="Q1020" i="25"/>
  <c r="P1020" i="25"/>
  <c r="O1020" i="25"/>
  <c r="M1020" i="25"/>
  <c r="I1020" i="25"/>
  <c r="R1019" i="25"/>
  <c r="Q1019" i="25"/>
  <c r="P1019" i="25"/>
  <c r="N1019" i="25"/>
  <c r="M1019" i="25"/>
  <c r="I1019" i="25"/>
  <c r="R1018" i="25"/>
  <c r="Q1018" i="25"/>
  <c r="O1018" i="25"/>
  <c r="N1018" i="25"/>
  <c r="M1018" i="25"/>
  <c r="I1018" i="25"/>
  <c r="R1017" i="25"/>
  <c r="Q1017" i="25"/>
  <c r="P1017" i="25"/>
  <c r="O1017" i="25"/>
  <c r="N1017" i="25"/>
  <c r="I1017" i="25"/>
  <c r="L1017" i="25" s="1"/>
  <c r="G1017" i="25"/>
  <c r="R1016" i="25"/>
  <c r="Q1016" i="25"/>
  <c r="P1016" i="25"/>
  <c r="O1016" i="25"/>
  <c r="N1016" i="25"/>
  <c r="I1016" i="25"/>
  <c r="L1016" i="25" s="1"/>
  <c r="G1016" i="25"/>
  <c r="R1015" i="25"/>
  <c r="Q1015" i="25"/>
  <c r="P1015" i="25"/>
  <c r="O1015" i="25"/>
  <c r="N1015" i="25"/>
  <c r="I1015" i="25"/>
  <c r="L1015" i="25" s="1"/>
  <c r="G1015" i="25"/>
  <c r="R1014" i="25"/>
  <c r="Q1014" i="25"/>
  <c r="P1014" i="25"/>
  <c r="O1014" i="25"/>
  <c r="N1014" i="25"/>
  <c r="I1014" i="25"/>
  <c r="L1014" i="25" s="1"/>
  <c r="G1014" i="25"/>
  <c r="S1013" i="25"/>
  <c r="R1013" i="25"/>
  <c r="Q1013" i="25"/>
  <c r="P1013" i="25"/>
  <c r="O1013" i="25"/>
  <c r="N1013" i="25"/>
  <c r="I1013" i="25"/>
  <c r="L1013" i="25" s="1"/>
  <c r="G1013" i="25"/>
  <c r="R1012" i="25"/>
  <c r="Q1012" i="25"/>
  <c r="P1012" i="25"/>
  <c r="O1012" i="25"/>
  <c r="N1012" i="25"/>
  <c r="M1012" i="25"/>
  <c r="L1012" i="25"/>
  <c r="R1011" i="25"/>
  <c r="Q1011" i="25"/>
  <c r="P1011" i="25"/>
  <c r="O1011" i="25"/>
  <c r="M1011" i="25"/>
  <c r="I1011" i="25"/>
  <c r="R1010" i="25"/>
  <c r="Q1010" i="25"/>
  <c r="P1010" i="25"/>
  <c r="N1010" i="25"/>
  <c r="M1010" i="25"/>
  <c r="I1010" i="25"/>
  <c r="R1009" i="25"/>
  <c r="Q1009" i="25"/>
  <c r="O1009" i="25"/>
  <c r="N1009" i="25"/>
  <c r="M1009" i="25"/>
  <c r="I1009" i="25"/>
  <c r="R1008" i="25"/>
  <c r="Q1008" i="25"/>
  <c r="P1008" i="25"/>
  <c r="O1008" i="25"/>
  <c r="N1008" i="25"/>
  <c r="I1008" i="25"/>
  <c r="L1008" i="25" s="1"/>
  <c r="G1008" i="25"/>
  <c r="R1007" i="25"/>
  <c r="Q1007" i="25"/>
  <c r="P1007" i="25"/>
  <c r="O1007" i="25"/>
  <c r="N1007" i="25"/>
  <c r="I1007" i="25"/>
  <c r="L1007" i="25" s="1"/>
  <c r="G1007" i="25"/>
  <c r="R1006" i="25"/>
  <c r="Q1006" i="25"/>
  <c r="P1006" i="25"/>
  <c r="O1006" i="25"/>
  <c r="N1006" i="25"/>
  <c r="I1006" i="25"/>
  <c r="L1006" i="25" s="1"/>
  <c r="G1006" i="25"/>
  <c r="R1005" i="25"/>
  <c r="Q1005" i="25"/>
  <c r="P1005" i="25"/>
  <c r="O1005" i="25"/>
  <c r="N1005" i="25"/>
  <c r="I1005" i="25"/>
  <c r="L1005" i="25" s="1"/>
  <c r="G1005" i="25"/>
  <c r="R1004" i="25"/>
  <c r="Q1004" i="25"/>
  <c r="P1004" i="25"/>
  <c r="O1004" i="25"/>
  <c r="N1004" i="25"/>
  <c r="M1004" i="25"/>
  <c r="L1004" i="25"/>
  <c r="R1003" i="25"/>
  <c r="Q1003" i="25"/>
  <c r="P1003" i="25"/>
  <c r="O1003" i="25"/>
  <c r="M1003" i="25"/>
  <c r="I1003" i="25"/>
  <c r="R1002" i="25"/>
  <c r="Q1002" i="25"/>
  <c r="P1002" i="25"/>
  <c r="N1002" i="25"/>
  <c r="M1002" i="25"/>
  <c r="I1002" i="25"/>
  <c r="R1001" i="25"/>
  <c r="Q1001" i="25"/>
  <c r="O1001" i="25"/>
  <c r="N1001" i="25"/>
  <c r="M1001" i="25"/>
  <c r="I1001" i="25"/>
  <c r="R1000" i="25"/>
  <c r="Q1000" i="25"/>
  <c r="P1000" i="25"/>
  <c r="O1000" i="25"/>
  <c r="N1000" i="25"/>
  <c r="I1000" i="25"/>
  <c r="L1000" i="25" s="1"/>
  <c r="G1000" i="25"/>
  <c r="R999" i="25"/>
  <c r="Q999" i="25"/>
  <c r="P999" i="25"/>
  <c r="O999" i="25"/>
  <c r="N999" i="25"/>
  <c r="I999" i="25"/>
  <c r="L999" i="25" s="1"/>
  <c r="G999" i="25"/>
  <c r="R998" i="25"/>
  <c r="Q998" i="25"/>
  <c r="P998" i="25"/>
  <c r="O998" i="25"/>
  <c r="N998" i="25"/>
  <c r="M998" i="25"/>
  <c r="L998" i="25"/>
  <c r="R997" i="25"/>
  <c r="Q997" i="25"/>
  <c r="P997" i="25"/>
  <c r="O997" i="25"/>
  <c r="M997" i="25"/>
  <c r="I997" i="25"/>
  <c r="R996" i="25"/>
  <c r="Q996" i="25"/>
  <c r="P996" i="25"/>
  <c r="N996" i="25"/>
  <c r="M996" i="25"/>
  <c r="I996" i="25"/>
  <c r="E996" i="25"/>
  <c r="E997" i="25" s="1"/>
  <c r="R995" i="25"/>
  <c r="Q995" i="25"/>
  <c r="O995" i="25"/>
  <c r="N995" i="25"/>
  <c r="M995" i="25"/>
  <c r="I995" i="25"/>
  <c r="R994" i="25"/>
  <c r="Q994" i="25"/>
  <c r="P994" i="25"/>
  <c r="O994" i="25"/>
  <c r="N994" i="25"/>
  <c r="I994" i="25"/>
  <c r="L994" i="25" s="1"/>
  <c r="G994" i="25"/>
  <c r="R993" i="25"/>
  <c r="Q993" i="25"/>
  <c r="P993" i="25"/>
  <c r="O993" i="25"/>
  <c r="N993" i="25"/>
  <c r="I993" i="25"/>
  <c r="L993" i="25" s="1"/>
  <c r="G993" i="25"/>
  <c r="R992" i="25"/>
  <c r="Q992" i="25"/>
  <c r="P992" i="25"/>
  <c r="O992" i="25"/>
  <c r="N992" i="25"/>
  <c r="I992" i="25"/>
  <c r="L992" i="25" s="1"/>
  <c r="G992" i="25"/>
  <c r="R991" i="25"/>
  <c r="Q991" i="25"/>
  <c r="P991" i="25"/>
  <c r="O991" i="25"/>
  <c r="N991" i="25"/>
  <c r="I991" i="25"/>
  <c r="L991" i="25" s="1"/>
  <c r="G991" i="25"/>
  <c r="R990" i="25"/>
  <c r="Q990" i="25"/>
  <c r="P990" i="25"/>
  <c r="O990" i="25"/>
  <c r="N990" i="25"/>
  <c r="M990" i="25"/>
  <c r="L990" i="25"/>
  <c r="R989" i="25"/>
  <c r="Q989" i="25"/>
  <c r="P989" i="25"/>
  <c r="O989" i="25"/>
  <c r="M989" i="25"/>
  <c r="I989" i="25"/>
  <c r="R988" i="25"/>
  <c r="Q988" i="25"/>
  <c r="P988" i="25"/>
  <c r="N988" i="25"/>
  <c r="M988" i="25"/>
  <c r="I988" i="25"/>
  <c r="E988" i="25"/>
  <c r="E989" i="25" s="1"/>
  <c r="R987" i="25"/>
  <c r="Q987" i="25"/>
  <c r="O987" i="25"/>
  <c r="N987" i="25"/>
  <c r="M987" i="25"/>
  <c r="I987" i="25"/>
  <c r="R986" i="25"/>
  <c r="Q986" i="25"/>
  <c r="P986" i="25"/>
  <c r="O986" i="25"/>
  <c r="N986" i="25"/>
  <c r="I986" i="25"/>
  <c r="L986" i="25" s="1"/>
  <c r="G986" i="25"/>
  <c r="R985" i="25"/>
  <c r="Q985" i="25"/>
  <c r="P985" i="25"/>
  <c r="O985" i="25"/>
  <c r="N985" i="25"/>
  <c r="I985" i="25"/>
  <c r="L985" i="25" s="1"/>
  <c r="G985" i="25"/>
  <c r="R984" i="25"/>
  <c r="Q984" i="25"/>
  <c r="P984" i="25"/>
  <c r="O984" i="25"/>
  <c r="N984" i="25"/>
  <c r="I984" i="25"/>
  <c r="L984" i="25" s="1"/>
  <c r="G984" i="25"/>
  <c r="R983" i="25"/>
  <c r="Q983" i="25"/>
  <c r="P983" i="25"/>
  <c r="O983" i="25"/>
  <c r="N983" i="25"/>
  <c r="M983" i="25"/>
  <c r="L983" i="25"/>
  <c r="R982" i="25"/>
  <c r="Q982" i="25"/>
  <c r="P982" i="25"/>
  <c r="N982" i="25"/>
  <c r="M982" i="25"/>
  <c r="I982" i="25"/>
  <c r="R981" i="25"/>
  <c r="Q981" i="25"/>
  <c r="O981" i="25"/>
  <c r="N981" i="25"/>
  <c r="M981" i="25"/>
  <c r="I981" i="25"/>
  <c r="R980" i="25"/>
  <c r="Q980" i="25"/>
  <c r="P980" i="25"/>
  <c r="O980" i="25"/>
  <c r="N980" i="25"/>
  <c r="I980" i="25"/>
  <c r="L980" i="25" s="1"/>
  <c r="G980" i="25"/>
  <c r="R979" i="25"/>
  <c r="Q979" i="25"/>
  <c r="P979" i="25"/>
  <c r="O979" i="25"/>
  <c r="N979" i="25"/>
  <c r="I979" i="25"/>
  <c r="L979" i="25" s="1"/>
  <c r="G979" i="25"/>
  <c r="R978" i="25"/>
  <c r="Q978" i="25"/>
  <c r="P978" i="25"/>
  <c r="O978" i="25"/>
  <c r="N978" i="25"/>
  <c r="M978" i="25"/>
  <c r="L978" i="25"/>
  <c r="R977" i="25"/>
  <c r="Q977" i="25"/>
  <c r="P977" i="25"/>
  <c r="N977" i="25"/>
  <c r="M977" i="25"/>
  <c r="I977" i="25"/>
  <c r="R976" i="25"/>
  <c r="Q976" i="25"/>
  <c r="O976" i="25"/>
  <c r="N976" i="25"/>
  <c r="M976" i="25"/>
  <c r="I976" i="25"/>
  <c r="R975" i="25"/>
  <c r="Q975" i="25"/>
  <c r="P975" i="25"/>
  <c r="O975" i="25"/>
  <c r="N975" i="25"/>
  <c r="I975" i="25"/>
  <c r="L975" i="25" s="1"/>
  <c r="G975" i="25"/>
  <c r="R974" i="25"/>
  <c r="Q974" i="25"/>
  <c r="P974" i="25"/>
  <c r="O974" i="25"/>
  <c r="N974" i="25"/>
  <c r="I974" i="25"/>
  <c r="L974" i="25" s="1"/>
  <c r="G974" i="25"/>
  <c r="R973" i="25"/>
  <c r="Q973" i="25"/>
  <c r="P973" i="25"/>
  <c r="O973" i="25"/>
  <c r="N973" i="25"/>
  <c r="I973" i="25"/>
  <c r="L973" i="25" s="1"/>
  <c r="G973" i="25"/>
  <c r="R972" i="25"/>
  <c r="Q972" i="25"/>
  <c r="P972" i="25"/>
  <c r="O972" i="25"/>
  <c r="N972" i="25"/>
  <c r="I972" i="25"/>
  <c r="L972" i="25" s="1"/>
  <c r="G972" i="25"/>
  <c r="R971" i="25"/>
  <c r="Q971" i="25"/>
  <c r="P971" i="25"/>
  <c r="O971" i="25"/>
  <c r="N971" i="25"/>
  <c r="I971" i="25"/>
  <c r="L971" i="25" s="1"/>
  <c r="G971" i="25"/>
  <c r="R970" i="25"/>
  <c r="Q970" i="25"/>
  <c r="P970" i="25"/>
  <c r="O970" i="25"/>
  <c r="N970" i="25"/>
  <c r="I970" i="25"/>
  <c r="L970" i="25" s="1"/>
  <c r="G970" i="25"/>
  <c r="R969" i="25"/>
  <c r="Q969" i="25"/>
  <c r="P969" i="25"/>
  <c r="O969" i="25"/>
  <c r="N969" i="25"/>
  <c r="I969" i="25"/>
  <c r="L969" i="25" s="1"/>
  <c r="G969" i="25"/>
  <c r="R968" i="25"/>
  <c r="Q968" i="25"/>
  <c r="P968" i="25"/>
  <c r="O968" i="25"/>
  <c r="N968" i="25"/>
  <c r="I968" i="25"/>
  <c r="L968" i="25" s="1"/>
  <c r="G968" i="25"/>
  <c r="R967" i="25"/>
  <c r="Q967" i="25"/>
  <c r="P967" i="25"/>
  <c r="O967" i="25"/>
  <c r="N967" i="25"/>
  <c r="M967" i="25"/>
  <c r="L967" i="25"/>
  <c r="R966" i="25"/>
  <c r="Q966" i="25"/>
  <c r="P966" i="25"/>
  <c r="O966" i="25"/>
  <c r="M966" i="25"/>
  <c r="I966" i="25"/>
  <c r="R965" i="25"/>
  <c r="Q965" i="25"/>
  <c r="P965" i="25"/>
  <c r="N965" i="25"/>
  <c r="M965" i="25"/>
  <c r="I965" i="25"/>
  <c r="R964" i="25"/>
  <c r="Q964" i="25"/>
  <c r="O964" i="25"/>
  <c r="N964" i="25"/>
  <c r="M964" i="25"/>
  <c r="I964" i="25"/>
  <c r="R963" i="25"/>
  <c r="Q963" i="25"/>
  <c r="P963" i="25"/>
  <c r="O963" i="25"/>
  <c r="N963" i="25"/>
  <c r="I963" i="25"/>
  <c r="L963" i="25" s="1"/>
  <c r="G963" i="25"/>
  <c r="R962" i="25"/>
  <c r="Q962" i="25"/>
  <c r="P962" i="25"/>
  <c r="O962" i="25"/>
  <c r="N962" i="25"/>
  <c r="I962" i="25"/>
  <c r="L962" i="25" s="1"/>
  <c r="G962" i="25"/>
  <c r="R961" i="25"/>
  <c r="Q961" i="25"/>
  <c r="P961" i="25"/>
  <c r="O961" i="25"/>
  <c r="N961" i="25"/>
  <c r="I961" i="25"/>
  <c r="L961" i="25" s="1"/>
  <c r="G961" i="25"/>
  <c r="R960" i="25"/>
  <c r="Q960" i="25"/>
  <c r="P960" i="25"/>
  <c r="O960" i="25"/>
  <c r="N960" i="25"/>
  <c r="I960" i="25"/>
  <c r="L960" i="25" s="1"/>
  <c r="G960" i="25"/>
  <c r="R959" i="25"/>
  <c r="Q959" i="25"/>
  <c r="P959" i="25"/>
  <c r="O959" i="25"/>
  <c r="N959" i="25"/>
  <c r="I959" i="25"/>
  <c r="L959" i="25" s="1"/>
  <c r="G959" i="25"/>
  <c r="R958" i="25"/>
  <c r="Q958" i="25"/>
  <c r="P958" i="25"/>
  <c r="O958" i="25"/>
  <c r="N958" i="25"/>
  <c r="I958" i="25"/>
  <c r="L958" i="25" s="1"/>
  <c r="G958" i="25"/>
  <c r="R957" i="25"/>
  <c r="Q957" i="25"/>
  <c r="P957" i="25"/>
  <c r="O957" i="25"/>
  <c r="N957" i="25"/>
  <c r="I957" i="25"/>
  <c r="L957" i="25" s="1"/>
  <c r="G957" i="25"/>
  <c r="R956" i="25"/>
  <c r="Q956" i="25"/>
  <c r="P956" i="25"/>
  <c r="O956" i="25"/>
  <c r="N956" i="25"/>
  <c r="I956" i="25"/>
  <c r="L956" i="25" s="1"/>
  <c r="G956" i="25"/>
  <c r="R955" i="25"/>
  <c r="Q955" i="25"/>
  <c r="P955" i="25"/>
  <c r="O955" i="25"/>
  <c r="N955" i="25"/>
  <c r="M955" i="25"/>
  <c r="L955" i="25"/>
  <c r="R954" i="25"/>
  <c r="Q954" i="25"/>
  <c r="P954" i="25"/>
  <c r="O954" i="25"/>
  <c r="M954" i="25"/>
  <c r="I954" i="25"/>
  <c r="R953" i="25"/>
  <c r="Q953" i="25"/>
  <c r="P953" i="25"/>
  <c r="N953" i="25"/>
  <c r="M953" i="25"/>
  <c r="I953" i="25"/>
  <c r="R952" i="25"/>
  <c r="Q952" i="25"/>
  <c r="O952" i="25"/>
  <c r="N952" i="25"/>
  <c r="M952" i="25"/>
  <c r="I952" i="25"/>
  <c r="R951" i="25"/>
  <c r="Q951" i="25"/>
  <c r="P951" i="25"/>
  <c r="O951" i="25"/>
  <c r="N951" i="25"/>
  <c r="M951" i="25"/>
  <c r="L951" i="25"/>
  <c r="R924" i="25"/>
  <c r="Q924" i="25"/>
  <c r="P924" i="25"/>
  <c r="O924" i="25"/>
  <c r="N924" i="25"/>
  <c r="I924" i="25"/>
  <c r="L924" i="25" s="1"/>
  <c r="G924" i="25"/>
  <c r="R923" i="25"/>
  <c r="Q923" i="25"/>
  <c r="P923" i="25"/>
  <c r="O923" i="25"/>
  <c r="N923" i="25"/>
  <c r="I923" i="25"/>
  <c r="L923" i="25" s="1"/>
  <c r="G923" i="25"/>
  <c r="R922" i="25"/>
  <c r="Q922" i="25"/>
  <c r="P922" i="25"/>
  <c r="O922" i="25"/>
  <c r="N922" i="25"/>
  <c r="I922" i="25"/>
  <c r="L922" i="25" s="1"/>
  <c r="G922" i="25"/>
  <c r="R921" i="25"/>
  <c r="Q921" i="25"/>
  <c r="P921" i="25"/>
  <c r="O921" i="25"/>
  <c r="M921" i="25"/>
  <c r="I921" i="25"/>
  <c r="L921" i="25" s="1"/>
  <c r="G921" i="25"/>
  <c r="F921" i="25"/>
  <c r="R920" i="25"/>
  <c r="Q920" i="25"/>
  <c r="P920" i="25"/>
  <c r="O920" i="25"/>
  <c r="M920" i="25"/>
  <c r="I920" i="25"/>
  <c r="L920" i="25" s="1"/>
  <c r="G920" i="25"/>
  <c r="R919" i="25"/>
  <c r="Q919" i="25"/>
  <c r="P919" i="25"/>
  <c r="O919" i="25"/>
  <c r="M919" i="25"/>
  <c r="I919" i="25"/>
  <c r="L919" i="25" s="1"/>
  <c r="G919" i="25"/>
  <c r="E919" i="25"/>
  <c r="R918" i="25"/>
  <c r="Q918" i="25"/>
  <c r="P918" i="25"/>
  <c r="N918" i="25"/>
  <c r="M918" i="25"/>
  <c r="I918" i="25"/>
  <c r="R917" i="25"/>
  <c r="Q917" i="25"/>
  <c r="O917" i="25"/>
  <c r="N917" i="25"/>
  <c r="M917" i="25"/>
  <c r="I917" i="25"/>
  <c r="R916" i="25"/>
  <c r="Q916" i="25"/>
  <c r="P916" i="25"/>
  <c r="O916" i="25"/>
  <c r="N916" i="25"/>
  <c r="I916" i="25"/>
  <c r="L916" i="25" s="1"/>
  <c r="G916" i="25"/>
  <c r="R915" i="25"/>
  <c r="Q915" i="25"/>
  <c r="P915" i="25"/>
  <c r="O915" i="25"/>
  <c r="N915" i="25"/>
  <c r="I915" i="25"/>
  <c r="L915" i="25" s="1"/>
  <c r="G915" i="25"/>
  <c r="R914" i="25"/>
  <c r="Q914" i="25"/>
  <c r="P914" i="25"/>
  <c r="O914" i="25"/>
  <c r="N914" i="25"/>
  <c r="I914" i="25"/>
  <c r="L914" i="25" s="1"/>
  <c r="G914" i="25"/>
  <c r="R913" i="25"/>
  <c r="Q913" i="25"/>
  <c r="P913" i="25"/>
  <c r="O913" i="25"/>
  <c r="M913" i="25"/>
  <c r="I913" i="25"/>
  <c r="L913" i="25" s="1"/>
  <c r="G913" i="25"/>
  <c r="F913" i="25"/>
  <c r="R912" i="25"/>
  <c r="Q912" i="25"/>
  <c r="P912" i="25"/>
  <c r="O912" i="25"/>
  <c r="M912" i="25"/>
  <c r="I912" i="25"/>
  <c r="L912" i="25" s="1"/>
  <c r="G912" i="25"/>
  <c r="F912" i="25"/>
  <c r="R911" i="25"/>
  <c r="Q911" i="25"/>
  <c r="P911" i="25"/>
  <c r="O911" i="25"/>
  <c r="M911" i="25"/>
  <c r="I911" i="25"/>
  <c r="L911" i="25" s="1"/>
  <c r="G911" i="25"/>
  <c r="R910" i="25"/>
  <c r="Q910" i="25"/>
  <c r="P910" i="25"/>
  <c r="N910" i="25"/>
  <c r="M910" i="25"/>
  <c r="I910" i="25"/>
  <c r="E910" i="25"/>
  <c r="E911" i="25" s="1"/>
  <c r="R909" i="25"/>
  <c r="Q909" i="25"/>
  <c r="O909" i="25"/>
  <c r="N909" i="25"/>
  <c r="M909" i="25"/>
  <c r="I909" i="25"/>
  <c r="R908" i="25"/>
  <c r="Q908" i="25"/>
  <c r="P908" i="25"/>
  <c r="O908" i="25"/>
  <c r="N908" i="25"/>
  <c r="I908" i="25"/>
  <c r="L908" i="25" s="1"/>
  <c r="G908" i="25"/>
  <c r="R907" i="25"/>
  <c r="Q907" i="25"/>
  <c r="P907" i="25"/>
  <c r="O907" i="25"/>
  <c r="N907" i="25"/>
  <c r="I907" i="25"/>
  <c r="L907" i="25" s="1"/>
  <c r="G907" i="25"/>
  <c r="R906" i="25"/>
  <c r="Q906" i="25"/>
  <c r="P906" i="25"/>
  <c r="O906" i="25"/>
  <c r="N906" i="25"/>
  <c r="I906" i="25"/>
  <c r="L906" i="25" s="1"/>
  <c r="G906" i="25"/>
  <c r="R905" i="25"/>
  <c r="Q905" i="25"/>
  <c r="P905" i="25"/>
  <c r="O905" i="25"/>
  <c r="N905" i="25"/>
  <c r="I905" i="25"/>
  <c r="L905" i="25" s="1"/>
  <c r="G905" i="25"/>
  <c r="R904" i="25"/>
  <c r="Q904" i="25"/>
  <c r="P904" i="25"/>
  <c r="O904" i="25"/>
  <c r="M904" i="25"/>
  <c r="I904" i="25"/>
  <c r="L904" i="25" s="1"/>
  <c r="G904" i="25"/>
  <c r="R903" i="25"/>
  <c r="Q903" i="25"/>
  <c r="P903" i="25"/>
  <c r="O903" i="25"/>
  <c r="M903" i="25"/>
  <c r="I903" i="25"/>
  <c r="L903" i="25" s="1"/>
  <c r="G903" i="25"/>
  <c r="F903" i="25"/>
  <c r="R902" i="25"/>
  <c r="Q902" i="25"/>
  <c r="P902" i="25"/>
  <c r="O902" i="25"/>
  <c r="M902" i="25"/>
  <c r="I902" i="25"/>
  <c r="L902" i="25" s="1"/>
  <c r="G902" i="25"/>
  <c r="R901" i="25"/>
  <c r="Q901" i="25"/>
  <c r="P901" i="25"/>
  <c r="O901" i="25"/>
  <c r="M901" i="25"/>
  <c r="I901" i="25"/>
  <c r="L901" i="25" s="1"/>
  <c r="G901" i="25"/>
  <c r="R900" i="25"/>
  <c r="Q900" i="25"/>
  <c r="P900" i="25"/>
  <c r="N900" i="25"/>
  <c r="M900" i="25"/>
  <c r="I900" i="25"/>
  <c r="R899" i="25"/>
  <c r="Q899" i="25"/>
  <c r="O899" i="25"/>
  <c r="N899" i="25"/>
  <c r="M899" i="25"/>
  <c r="I899" i="25"/>
  <c r="R898" i="25"/>
  <c r="Q898" i="25"/>
  <c r="P898" i="25"/>
  <c r="O898" i="25"/>
  <c r="N898" i="25"/>
  <c r="I898" i="25"/>
  <c r="L898" i="25" s="1"/>
  <c r="G898" i="25"/>
  <c r="R897" i="25"/>
  <c r="Q897" i="25"/>
  <c r="P897" i="25"/>
  <c r="O897" i="25"/>
  <c r="N897" i="25"/>
  <c r="I897" i="25"/>
  <c r="L897" i="25" s="1"/>
  <c r="G897" i="25"/>
  <c r="R896" i="25"/>
  <c r="Q896" i="25"/>
  <c r="P896" i="25"/>
  <c r="O896" i="25"/>
  <c r="N896" i="25"/>
  <c r="I896" i="25"/>
  <c r="L896" i="25" s="1"/>
  <c r="G896" i="25"/>
  <c r="R895" i="25"/>
  <c r="Q895" i="25"/>
  <c r="P895" i="25"/>
  <c r="O895" i="25"/>
  <c r="N895" i="25"/>
  <c r="I895" i="25"/>
  <c r="L895" i="25" s="1"/>
  <c r="G895" i="25"/>
  <c r="R894" i="25"/>
  <c r="Q894" i="25"/>
  <c r="P894" i="25"/>
  <c r="O894" i="25"/>
  <c r="M894" i="25"/>
  <c r="I894" i="25"/>
  <c r="L894" i="25" s="1"/>
  <c r="G894" i="25"/>
  <c r="R893" i="25"/>
  <c r="Q893" i="25"/>
  <c r="P893" i="25"/>
  <c r="O893" i="25"/>
  <c r="M893" i="25"/>
  <c r="I893" i="25"/>
  <c r="L893" i="25" s="1"/>
  <c r="G893" i="25"/>
  <c r="F893" i="25"/>
  <c r="R892" i="25"/>
  <c r="Q892" i="25"/>
  <c r="P892" i="25"/>
  <c r="O892" i="25"/>
  <c r="M892" i="25"/>
  <c r="I892" i="25"/>
  <c r="L892" i="25" s="1"/>
  <c r="G892" i="25"/>
  <c r="R891" i="25"/>
  <c r="Q891" i="25"/>
  <c r="P891" i="25"/>
  <c r="O891" i="25"/>
  <c r="M891" i="25"/>
  <c r="I891" i="25"/>
  <c r="L891" i="25" s="1"/>
  <c r="G891" i="25"/>
  <c r="R890" i="25"/>
  <c r="Q890" i="25"/>
  <c r="P890" i="25"/>
  <c r="N890" i="25"/>
  <c r="M890" i="25"/>
  <c r="I890" i="25"/>
  <c r="E890" i="25"/>
  <c r="E891" i="25" s="1"/>
  <c r="R889" i="25"/>
  <c r="Q889" i="25"/>
  <c r="O889" i="25"/>
  <c r="N889" i="25"/>
  <c r="M889" i="25"/>
  <c r="I889" i="25"/>
  <c r="R888" i="25"/>
  <c r="Q888" i="25"/>
  <c r="P888" i="25"/>
  <c r="O888" i="25"/>
  <c r="N888" i="25"/>
  <c r="I888" i="25"/>
  <c r="L888" i="25" s="1"/>
  <c r="G888" i="25"/>
  <c r="R887" i="25"/>
  <c r="Q887" i="25"/>
  <c r="P887" i="25"/>
  <c r="O887" i="25"/>
  <c r="N887" i="25"/>
  <c r="I887" i="25"/>
  <c r="L887" i="25" s="1"/>
  <c r="G887" i="25"/>
  <c r="R886" i="25"/>
  <c r="Q886" i="25"/>
  <c r="P886" i="25"/>
  <c r="O886" i="25"/>
  <c r="N886" i="25"/>
  <c r="I886" i="25"/>
  <c r="L886" i="25" s="1"/>
  <c r="G886" i="25"/>
  <c r="R885" i="25"/>
  <c r="Q885" i="25"/>
  <c r="P885" i="25"/>
  <c r="O885" i="25"/>
  <c r="N885" i="25"/>
  <c r="I885" i="25"/>
  <c r="L885" i="25" s="1"/>
  <c r="G885" i="25"/>
  <c r="R884" i="25"/>
  <c r="Q884" i="25"/>
  <c r="P884" i="25"/>
  <c r="O884" i="25"/>
  <c r="M884" i="25"/>
  <c r="I884" i="25"/>
  <c r="L884" i="25" s="1"/>
  <c r="G884" i="25"/>
  <c r="R883" i="25"/>
  <c r="Q883" i="25"/>
  <c r="P883" i="25"/>
  <c r="O883" i="25"/>
  <c r="M883" i="25"/>
  <c r="I883" i="25"/>
  <c r="L883" i="25" s="1"/>
  <c r="G883" i="25"/>
  <c r="F883" i="25"/>
  <c r="R882" i="25"/>
  <c r="Q882" i="25"/>
  <c r="P882" i="25"/>
  <c r="O882" i="25"/>
  <c r="M882" i="25"/>
  <c r="I882" i="25"/>
  <c r="L882" i="25" s="1"/>
  <c r="G882" i="25"/>
  <c r="R881" i="25"/>
  <c r="Q881" i="25"/>
  <c r="P881" i="25"/>
  <c r="O881" i="25"/>
  <c r="M881" i="25"/>
  <c r="I881" i="25"/>
  <c r="L881" i="25" s="1"/>
  <c r="G881" i="25"/>
  <c r="E881" i="25"/>
  <c r="E882" i="25" s="1"/>
  <c r="E883" i="25" s="1"/>
  <c r="R880" i="25"/>
  <c r="Q880" i="25"/>
  <c r="P880" i="25"/>
  <c r="N880" i="25"/>
  <c r="M880" i="25"/>
  <c r="I880" i="25"/>
  <c r="R879" i="25"/>
  <c r="Q879" i="25"/>
  <c r="O879" i="25"/>
  <c r="N879" i="25"/>
  <c r="M879" i="25"/>
  <c r="I879" i="25"/>
  <c r="R878" i="25"/>
  <c r="Q878" i="25"/>
  <c r="P878" i="25"/>
  <c r="O878" i="25"/>
  <c r="N878" i="25"/>
  <c r="I878" i="25"/>
  <c r="L878" i="25" s="1"/>
  <c r="G878" i="25"/>
  <c r="R877" i="25"/>
  <c r="Q877" i="25"/>
  <c r="P877" i="25"/>
  <c r="O877" i="25"/>
  <c r="N877" i="25"/>
  <c r="I877" i="25"/>
  <c r="L877" i="25" s="1"/>
  <c r="G877" i="25"/>
  <c r="R876" i="25"/>
  <c r="Q876" i="25"/>
  <c r="P876" i="25"/>
  <c r="O876" i="25"/>
  <c r="N876" i="25"/>
  <c r="I876" i="25"/>
  <c r="L876" i="25" s="1"/>
  <c r="G876" i="25"/>
  <c r="R875" i="25"/>
  <c r="Q875" i="25"/>
  <c r="P875" i="25"/>
  <c r="O875" i="25"/>
  <c r="M875" i="25"/>
  <c r="I875" i="25"/>
  <c r="L875" i="25" s="1"/>
  <c r="G875" i="25"/>
  <c r="F875" i="25"/>
  <c r="R874" i="25"/>
  <c r="Q874" i="25"/>
  <c r="P874" i="25"/>
  <c r="O874" i="25"/>
  <c r="M874" i="25"/>
  <c r="I874" i="25"/>
  <c r="L874" i="25" s="1"/>
  <c r="G874" i="25"/>
  <c r="R873" i="25"/>
  <c r="Q873" i="25"/>
  <c r="P873" i="25"/>
  <c r="O873" i="25"/>
  <c r="M873" i="25"/>
  <c r="I873" i="25"/>
  <c r="L873" i="25" s="1"/>
  <c r="G873" i="25"/>
  <c r="R872" i="25"/>
  <c r="P872" i="25"/>
  <c r="O872" i="25"/>
  <c r="N872" i="25"/>
  <c r="M872" i="25"/>
  <c r="I872" i="25"/>
  <c r="E872" i="25"/>
  <c r="E873" i="25" s="1"/>
  <c r="E874" i="25" s="1"/>
  <c r="R871" i="25"/>
  <c r="Q871" i="25"/>
  <c r="O871" i="25"/>
  <c r="N871" i="25"/>
  <c r="M871" i="25"/>
  <c r="I871" i="25"/>
  <c r="R870" i="25"/>
  <c r="Q870" i="25"/>
  <c r="P870" i="25"/>
  <c r="O870" i="25"/>
  <c r="N870" i="25"/>
  <c r="I870" i="25"/>
  <c r="L870" i="25" s="1"/>
  <c r="G870" i="25"/>
  <c r="R869" i="25"/>
  <c r="Q869" i="25"/>
  <c r="P869" i="25"/>
  <c r="O869" i="25"/>
  <c r="N869" i="25"/>
  <c r="I869" i="25"/>
  <c r="L869" i="25" s="1"/>
  <c r="G869" i="25"/>
  <c r="R868" i="25"/>
  <c r="Q868" i="25"/>
  <c r="P868" i="25"/>
  <c r="O868" i="25"/>
  <c r="N868" i="25"/>
  <c r="I868" i="25"/>
  <c r="L868" i="25" s="1"/>
  <c r="G868" i="25"/>
  <c r="R867" i="25"/>
  <c r="Q867" i="25"/>
  <c r="P867" i="25"/>
  <c r="O867" i="25"/>
  <c r="M867" i="25"/>
  <c r="I867" i="25"/>
  <c r="L867" i="25" s="1"/>
  <c r="G867" i="25"/>
  <c r="F867" i="25"/>
  <c r="R866" i="25"/>
  <c r="Q866" i="25"/>
  <c r="P866" i="25"/>
  <c r="O866" i="25"/>
  <c r="M866" i="25"/>
  <c r="I866" i="25"/>
  <c r="L866" i="25" s="1"/>
  <c r="G866" i="25"/>
  <c r="R865" i="25"/>
  <c r="Q865" i="25"/>
  <c r="P865" i="25"/>
  <c r="O865" i="25"/>
  <c r="M865" i="25"/>
  <c r="I865" i="25"/>
  <c r="L865" i="25" s="1"/>
  <c r="G865" i="25"/>
  <c r="R864" i="25"/>
  <c r="Q864" i="25"/>
  <c r="P864" i="25"/>
  <c r="N864" i="25"/>
  <c r="M864" i="25"/>
  <c r="I864" i="25"/>
  <c r="R863" i="25"/>
  <c r="Q863" i="25"/>
  <c r="O863" i="25"/>
  <c r="N863" i="25"/>
  <c r="M863" i="25"/>
  <c r="I863" i="25"/>
  <c r="R862" i="25"/>
  <c r="Q862" i="25"/>
  <c r="P862" i="25"/>
  <c r="O862" i="25"/>
  <c r="N862" i="25"/>
  <c r="I862" i="25"/>
  <c r="L862" i="25" s="1"/>
  <c r="G862" i="25"/>
  <c r="R861" i="25"/>
  <c r="Q861" i="25"/>
  <c r="P861" i="25"/>
  <c r="O861" i="25"/>
  <c r="N861" i="25"/>
  <c r="I861" i="25"/>
  <c r="L861" i="25" s="1"/>
  <c r="G861" i="25"/>
  <c r="R860" i="25"/>
  <c r="Q860" i="25"/>
  <c r="P860" i="25"/>
  <c r="O860" i="25"/>
  <c r="N860" i="25"/>
  <c r="I860" i="25"/>
  <c r="L860" i="25" s="1"/>
  <c r="G860" i="25"/>
  <c r="R859" i="25"/>
  <c r="Q859" i="25"/>
  <c r="P859" i="25"/>
  <c r="O859" i="25"/>
  <c r="M859" i="25"/>
  <c r="I859" i="25"/>
  <c r="L859" i="25" s="1"/>
  <c r="G859" i="25"/>
  <c r="F859" i="25"/>
  <c r="R858" i="25"/>
  <c r="Q858" i="25"/>
  <c r="P858" i="25"/>
  <c r="O858" i="25"/>
  <c r="M858" i="25"/>
  <c r="I858" i="25"/>
  <c r="L858" i="25" s="1"/>
  <c r="G858" i="25"/>
  <c r="R857" i="25"/>
  <c r="Q857" i="25"/>
  <c r="P857" i="25"/>
  <c r="O857" i="25"/>
  <c r="M857" i="25"/>
  <c r="I857" i="25"/>
  <c r="L857" i="25" s="1"/>
  <c r="G857" i="25"/>
  <c r="R856" i="25"/>
  <c r="Q856" i="25"/>
  <c r="P856" i="25"/>
  <c r="N856" i="25"/>
  <c r="M856" i="25"/>
  <c r="I856" i="25"/>
  <c r="R855" i="25"/>
  <c r="Q855" i="25"/>
  <c r="O855" i="25"/>
  <c r="N855" i="25"/>
  <c r="M855" i="25"/>
  <c r="I855" i="25"/>
  <c r="R851" i="25"/>
  <c r="Q851" i="25"/>
  <c r="P851" i="25"/>
  <c r="O851" i="25"/>
  <c r="N851" i="25"/>
  <c r="M851" i="25"/>
  <c r="L851" i="25"/>
  <c r="R850" i="25"/>
  <c r="Q850" i="25"/>
  <c r="P850" i="25"/>
  <c r="O850" i="25"/>
  <c r="N850" i="25"/>
  <c r="I850" i="25"/>
  <c r="L850" i="25" s="1"/>
  <c r="G850" i="25"/>
  <c r="R849" i="25"/>
  <c r="Q849" i="25"/>
  <c r="P849" i="25"/>
  <c r="O849" i="25"/>
  <c r="N849" i="25"/>
  <c r="I849" i="25"/>
  <c r="L849" i="25" s="1"/>
  <c r="G849" i="25"/>
  <c r="R848" i="25"/>
  <c r="Q848" i="25"/>
  <c r="P848" i="25"/>
  <c r="O848" i="25"/>
  <c r="N848" i="25"/>
  <c r="I848" i="25"/>
  <c r="L848" i="25" s="1"/>
  <c r="G848" i="25"/>
  <c r="R847" i="25"/>
  <c r="Q847" i="25"/>
  <c r="P847" i="25"/>
  <c r="O847" i="25"/>
  <c r="N847" i="25"/>
  <c r="I847" i="25"/>
  <c r="L847" i="25" s="1"/>
  <c r="G847" i="25"/>
  <c r="R846" i="25"/>
  <c r="Q846" i="25"/>
  <c r="P846" i="25"/>
  <c r="O846" i="25"/>
  <c r="N846" i="25"/>
  <c r="M846" i="25"/>
  <c r="L846" i="25"/>
  <c r="R845" i="25"/>
  <c r="Q845" i="25"/>
  <c r="P845" i="25"/>
  <c r="O845" i="25"/>
  <c r="M845" i="25"/>
  <c r="I845" i="25"/>
  <c r="R844" i="25"/>
  <c r="Q844" i="25"/>
  <c r="P844" i="25"/>
  <c r="N844" i="25"/>
  <c r="M844" i="25"/>
  <c r="I844" i="25"/>
  <c r="R843" i="25"/>
  <c r="Q843" i="25"/>
  <c r="O843" i="25"/>
  <c r="N843" i="25"/>
  <c r="M843" i="25"/>
  <c r="I843" i="25"/>
  <c r="R842" i="25"/>
  <c r="Q842" i="25"/>
  <c r="P842" i="25"/>
  <c r="O842" i="25"/>
  <c r="N842" i="25"/>
  <c r="I842" i="25"/>
  <c r="L842" i="25" s="1"/>
  <c r="G842" i="25"/>
  <c r="R841" i="25"/>
  <c r="Q841" i="25"/>
  <c r="P841" i="25"/>
  <c r="O841" i="25"/>
  <c r="N841" i="25"/>
  <c r="I841" i="25"/>
  <c r="L841" i="25" s="1"/>
  <c r="G841" i="25"/>
  <c r="R840" i="25"/>
  <c r="Q840" i="25"/>
  <c r="P840" i="25"/>
  <c r="O840" i="25"/>
  <c r="N840" i="25"/>
  <c r="I840" i="25"/>
  <c r="L840" i="25" s="1"/>
  <c r="G840" i="25"/>
  <c r="R839" i="25"/>
  <c r="Q839" i="25"/>
  <c r="P839" i="25"/>
  <c r="O839" i="25"/>
  <c r="N839" i="25"/>
  <c r="I839" i="25"/>
  <c r="L839" i="25" s="1"/>
  <c r="G839" i="25"/>
  <c r="R838" i="25"/>
  <c r="Q838" i="25"/>
  <c r="P838" i="25"/>
  <c r="O838" i="25"/>
  <c r="N838" i="25"/>
  <c r="I838" i="25"/>
  <c r="L838" i="25" s="1"/>
  <c r="G838" i="25"/>
  <c r="R837" i="25"/>
  <c r="Q837" i="25"/>
  <c r="P837" i="25"/>
  <c r="O837" i="25"/>
  <c r="N837" i="25"/>
  <c r="I837" i="25"/>
  <c r="L837" i="25" s="1"/>
  <c r="G837" i="25"/>
  <c r="R836" i="25"/>
  <c r="Q836" i="25"/>
  <c r="P836" i="25"/>
  <c r="O836" i="25"/>
  <c r="N836" i="25"/>
  <c r="I836" i="25"/>
  <c r="L836" i="25" s="1"/>
  <c r="G836" i="25"/>
  <c r="R835" i="25"/>
  <c r="Q835" i="25"/>
  <c r="P835" i="25"/>
  <c r="O835" i="25"/>
  <c r="N835" i="25"/>
  <c r="I835" i="25"/>
  <c r="L835" i="25" s="1"/>
  <c r="G835" i="25"/>
  <c r="R834" i="25"/>
  <c r="Q834" i="25"/>
  <c r="P834" i="25"/>
  <c r="O834" i="25"/>
  <c r="N834" i="25"/>
  <c r="M834" i="25"/>
  <c r="L834" i="25"/>
  <c r="R833" i="25"/>
  <c r="Q833" i="25"/>
  <c r="P833" i="25"/>
  <c r="O833" i="25"/>
  <c r="M833" i="25"/>
  <c r="I833" i="25"/>
  <c r="R832" i="25"/>
  <c r="Q832" i="25"/>
  <c r="P832" i="25"/>
  <c r="N832" i="25"/>
  <c r="M832" i="25"/>
  <c r="I832" i="25"/>
  <c r="R831" i="25"/>
  <c r="Q831" i="25"/>
  <c r="O831" i="25"/>
  <c r="N831" i="25"/>
  <c r="M831" i="25"/>
  <c r="I831" i="25"/>
  <c r="R830" i="25"/>
  <c r="Q830" i="25"/>
  <c r="P830" i="25"/>
  <c r="O830" i="25"/>
  <c r="N830" i="25"/>
  <c r="I830" i="25"/>
  <c r="L830" i="25" s="1"/>
  <c r="G830" i="25"/>
  <c r="R829" i="25"/>
  <c r="Q829" i="25"/>
  <c r="P829" i="25"/>
  <c r="O829" i="25"/>
  <c r="N829" i="25"/>
  <c r="I829" i="25"/>
  <c r="L829" i="25" s="1"/>
  <c r="G829" i="25"/>
  <c r="R828" i="25"/>
  <c r="Q828" i="25"/>
  <c r="P828" i="25"/>
  <c r="O828" i="25"/>
  <c r="N828" i="25"/>
  <c r="I828" i="25"/>
  <c r="L828" i="25" s="1"/>
  <c r="G828" i="25"/>
  <c r="R827" i="25"/>
  <c r="Q827" i="25"/>
  <c r="P827" i="25"/>
  <c r="O827" i="25"/>
  <c r="N827" i="25"/>
  <c r="I827" i="25"/>
  <c r="L827" i="25" s="1"/>
  <c r="G827" i="25"/>
  <c r="F827" i="25"/>
  <c r="R826" i="25"/>
  <c r="Q826" i="25"/>
  <c r="P826" i="25"/>
  <c r="O826" i="25"/>
  <c r="N826" i="25"/>
  <c r="I826" i="25"/>
  <c r="L826" i="25" s="1"/>
  <c r="G826" i="25"/>
  <c r="R825" i="25"/>
  <c r="Q825" i="25"/>
  <c r="P825" i="25"/>
  <c r="O825" i="25"/>
  <c r="N825" i="25"/>
  <c r="M825" i="25"/>
  <c r="L825" i="25"/>
  <c r="R824" i="25"/>
  <c r="Q824" i="25"/>
  <c r="P824" i="25"/>
  <c r="O824" i="25"/>
  <c r="M824" i="25"/>
  <c r="I824" i="25"/>
  <c r="R823" i="25"/>
  <c r="Q823" i="25"/>
  <c r="P823" i="25"/>
  <c r="N823" i="25"/>
  <c r="M823" i="25"/>
  <c r="I823" i="25"/>
  <c r="R822" i="25"/>
  <c r="Q822" i="25"/>
  <c r="O822" i="25"/>
  <c r="N822" i="25"/>
  <c r="M822" i="25"/>
  <c r="I822" i="25"/>
  <c r="R821" i="25"/>
  <c r="Q821" i="25"/>
  <c r="P821" i="25"/>
  <c r="O821" i="25"/>
  <c r="N821" i="25"/>
  <c r="I821" i="25"/>
  <c r="L821" i="25" s="1"/>
  <c r="G821" i="25"/>
  <c r="R820" i="25"/>
  <c r="Q820" i="25"/>
  <c r="P820" i="25"/>
  <c r="O820" i="25"/>
  <c r="N820" i="25"/>
  <c r="I820" i="25"/>
  <c r="L820" i="25" s="1"/>
  <c r="G820" i="25"/>
  <c r="R819" i="25"/>
  <c r="Q819" i="25"/>
  <c r="P819" i="25"/>
  <c r="O819" i="25"/>
  <c r="N819" i="25"/>
  <c r="I819" i="25"/>
  <c r="L819" i="25" s="1"/>
  <c r="G819" i="25"/>
  <c r="R818" i="25"/>
  <c r="Q818" i="25"/>
  <c r="P818" i="25"/>
  <c r="O818" i="25"/>
  <c r="N818" i="25"/>
  <c r="I818" i="25"/>
  <c r="L818" i="25" s="1"/>
  <c r="G818" i="25"/>
  <c r="R817" i="25"/>
  <c r="Q817" i="25"/>
  <c r="P817" i="25"/>
  <c r="O817" i="25"/>
  <c r="N817" i="25"/>
  <c r="I817" i="25"/>
  <c r="L817" i="25" s="1"/>
  <c r="G817" i="25"/>
  <c r="R816" i="25"/>
  <c r="Q816" i="25"/>
  <c r="P816" i="25"/>
  <c r="O816" i="25"/>
  <c r="N816" i="25"/>
  <c r="M816" i="25"/>
  <c r="L816" i="25"/>
  <c r="R815" i="25"/>
  <c r="Q815" i="25"/>
  <c r="P815" i="25"/>
  <c r="O815" i="25"/>
  <c r="M815" i="25"/>
  <c r="I815" i="25"/>
  <c r="R814" i="25"/>
  <c r="Q814" i="25"/>
  <c r="P814" i="25"/>
  <c r="N814" i="25"/>
  <c r="M814" i="25"/>
  <c r="I814" i="25"/>
  <c r="R813" i="25"/>
  <c r="Q813" i="25"/>
  <c r="O813" i="25"/>
  <c r="N813" i="25"/>
  <c r="M813" i="25"/>
  <c r="I813" i="25"/>
  <c r="R812" i="25"/>
  <c r="Q812" i="25"/>
  <c r="P812" i="25"/>
  <c r="O812" i="25"/>
  <c r="N812" i="25"/>
  <c r="I812" i="25"/>
  <c r="L812" i="25" s="1"/>
  <c r="G812" i="25"/>
  <c r="R811" i="25"/>
  <c r="Q811" i="25"/>
  <c r="P811" i="25"/>
  <c r="O811" i="25"/>
  <c r="N811" i="25"/>
  <c r="I811" i="25"/>
  <c r="L811" i="25" s="1"/>
  <c r="G811" i="25"/>
  <c r="R810" i="25"/>
  <c r="Q810" i="25"/>
  <c r="P810" i="25"/>
  <c r="O810" i="25"/>
  <c r="N810" i="25"/>
  <c r="I810" i="25"/>
  <c r="L810" i="25" s="1"/>
  <c r="G810" i="25"/>
  <c r="R809" i="25"/>
  <c r="Q809" i="25"/>
  <c r="P809" i="25"/>
  <c r="O809" i="25"/>
  <c r="N809" i="25"/>
  <c r="I809" i="25"/>
  <c r="L809" i="25" s="1"/>
  <c r="G809" i="25"/>
  <c r="R808" i="25"/>
  <c r="Q808" i="25"/>
  <c r="P808" i="25"/>
  <c r="O808" i="25"/>
  <c r="N808" i="25"/>
  <c r="I808" i="25"/>
  <c r="L808" i="25" s="1"/>
  <c r="G808" i="25"/>
  <c r="R807" i="25"/>
  <c r="Q807" i="25"/>
  <c r="P807" i="25"/>
  <c r="O807" i="25"/>
  <c r="N807" i="25"/>
  <c r="I807" i="25"/>
  <c r="L807" i="25" s="1"/>
  <c r="G807" i="25"/>
  <c r="R806" i="25"/>
  <c r="Q806" i="25"/>
  <c r="P806" i="25"/>
  <c r="O806" i="25"/>
  <c r="N806" i="25"/>
  <c r="I806" i="25"/>
  <c r="L806" i="25" s="1"/>
  <c r="G806" i="25"/>
  <c r="R805" i="25"/>
  <c r="Q805" i="25"/>
  <c r="P805" i="25"/>
  <c r="O805" i="25"/>
  <c r="N805" i="25"/>
  <c r="I805" i="25"/>
  <c r="L805" i="25" s="1"/>
  <c r="G805" i="25"/>
  <c r="R804" i="25"/>
  <c r="Q804" i="25"/>
  <c r="P804" i="25"/>
  <c r="O804" i="25"/>
  <c r="N804" i="25"/>
  <c r="M804" i="25"/>
  <c r="L804" i="25"/>
  <c r="R803" i="25"/>
  <c r="Q803" i="25"/>
  <c r="P803" i="25"/>
  <c r="O803" i="25"/>
  <c r="M803" i="25"/>
  <c r="I803" i="25"/>
  <c r="R802" i="25"/>
  <c r="Q802" i="25"/>
  <c r="P802" i="25"/>
  <c r="N802" i="25"/>
  <c r="M802" i="25"/>
  <c r="I802" i="25"/>
  <c r="R801" i="25"/>
  <c r="Q801" i="25"/>
  <c r="O801" i="25"/>
  <c r="N801" i="25"/>
  <c r="M801" i="25"/>
  <c r="I801" i="25"/>
  <c r="R800" i="25"/>
  <c r="Q800" i="25"/>
  <c r="P800" i="25"/>
  <c r="O800" i="25"/>
  <c r="N800" i="25"/>
  <c r="I800" i="25"/>
  <c r="L800" i="25" s="1"/>
  <c r="G800" i="25"/>
  <c r="R799" i="25"/>
  <c r="Q799" i="25"/>
  <c r="P799" i="25"/>
  <c r="O799" i="25"/>
  <c r="N799" i="25"/>
  <c r="I799" i="25"/>
  <c r="L799" i="25" s="1"/>
  <c r="G799" i="25"/>
  <c r="R798" i="25"/>
  <c r="Q798" i="25"/>
  <c r="P798" i="25"/>
  <c r="O798" i="25"/>
  <c r="N798" i="25"/>
  <c r="I798" i="25"/>
  <c r="L798" i="25" s="1"/>
  <c r="G798" i="25"/>
  <c r="R797" i="25"/>
  <c r="Q797" i="25"/>
  <c r="P797" i="25"/>
  <c r="O797" i="25"/>
  <c r="N797" i="25"/>
  <c r="I797" i="25"/>
  <c r="L797" i="25" s="1"/>
  <c r="G797" i="25"/>
  <c r="S796" i="25"/>
  <c r="R796" i="25"/>
  <c r="Q796" i="25"/>
  <c r="P796" i="25"/>
  <c r="O796" i="25"/>
  <c r="N796" i="25"/>
  <c r="I796" i="25"/>
  <c r="L796" i="25" s="1"/>
  <c r="G796" i="25"/>
  <c r="R795" i="25"/>
  <c r="Q795" i="25"/>
  <c r="P795" i="25"/>
  <c r="O795" i="25"/>
  <c r="N795" i="25"/>
  <c r="M795" i="25"/>
  <c r="L795" i="25"/>
  <c r="R794" i="25"/>
  <c r="Q794" i="25"/>
  <c r="P794" i="25"/>
  <c r="O794" i="25"/>
  <c r="M794" i="25"/>
  <c r="I794" i="25"/>
  <c r="R793" i="25"/>
  <c r="Q793" i="25"/>
  <c r="P793" i="25"/>
  <c r="N793" i="25"/>
  <c r="M793" i="25"/>
  <c r="I793" i="25"/>
  <c r="R792" i="25"/>
  <c r="Q792" i="25"/>
  <c r="O792" i="25"/>
  <c r="N792" i="25"/>
  <c r="M792" i="25"/>
  <c r="I792" i="25"/>
  <c r="R791" i="25"/>
  <c r="Q791" i="25"/>
  <c r="P791" i="25"/>
  <c r="O791" i="25"/>
  <c r="N791" i="25"/>
  <c r="I791" i="25"/>
  <c r="L791" i="25" s="1"/>
  <c r="G791" i="25"/>
  <c r="R790" i="25"/>
  <c r="Q790" i="25"/>
  <c r="P790" i="25"/>
  <c r="O790" i="25"/>
  <c r="N790" i="25"/>
  <c r="I790" i="25"/>
  <c r="L790" i="25" s="1"/>
  <c r="G790" i="25"/>
  <c r="R789" i="25"/>
  <c r="Q789" i="25"/>
  <c r="P789" i="25"/>
  <c r="O789" i="25"/>
  <c r="N789" i="25"/>
  <c r="I789" i="25"/>
  <c r="L789" i="25" s="1"/>
  <c r="G789" i="25"/>
  <c r="R788" i="25"/>
  <c r="Q788" i="25"/>
  <c r="P788" i="25"/>
  <c r="O788" i="25"/>
  <c r="N788" i="25"/>
  <c r="I788" i="25"/>
  <c r="L788" i="25" s="1"/>
  <c r="G788" i="25"/>
  <c r="R787" i="25"/>
  <c r="Q787" i="25"/>
  <c r="P787" i="25"/>
  <c r="O787" i="25"/>
  <c r="N787" i="25"/>
  <c r="M787" i="25"/>
  <c r="L787" i="25"/>
  <c r="R786" i="25"/>
  <c r="Q786" i="25"/>
  <c r="P786" i="25"/>
  <c r="O786" i="25"/>
  <c r="M786" i="25"/>
  <c r="I786" i="25"/>
  <c r="R785" i="25"/>
  <c r="Q785" i="25"/>
  <c r="P785" i="25"/>
  <c r="N785" i="25"/>
  <c r="M785" i="25"/>
  <c r="I785" i="25"/>
  <c r="R784" i="25"/>
  <c r="Q784" i="25"/>
  <c r="O784" i="25"/>
  <c r="N784" i="25"/>
  <c r="M784" i="25"/>
  <c r="I784" i="25"/>
  <c r="R783" i="25"/>
  <c r="Q783" i="25"/>
  <c r="P783" i="25"/>
  <c r="O783" i="25"/>
  <c r="N783" i="25"/>
  <c r="I783" i="25"/>
  <c r="L783" i="25" s="1"/>
  <c r="G783" i="25"/>
  <c r="R782" i="25"/>
  <c r="Q782" i="25"/>
  <c r="P782" i="25"/>
  <c r="O782" i="25"/>
  <c r="N782" i="25"/>
  <c r="I782" i="25"/>
  <c r="L782" i="25" s="1"/>
  <c r="G782" i="25"/>
  <c r="R781" i="25"/>
  <c r="Q781" i="25"/>
  <c r="P781" i="25"/>
  <c r="O781" i="25"/>
  <c r="N781" i="25"/>
  <c r="M781" i="25"/>
  <c r="L781" i="25"/>
  <c r="R780" i="25"/>
  <c r="Q780" i="25"/>
  <c r="P780" i="25"/>
  <c r="O780" i="25"/>
  <c r="M780" i="25"/>
  <c r="I780" i="25"/>
  <c r="R779" i="25"/>
  <c r="Q779" i="25"/>
  <c r="P779" i="25"/>
  <c r="N779" i="25"/>
  <c r="M779" i="25"/>
  <c r="I779" i="25"/>
  <c r="E779" i="25"/>
  <c r="E780" i="25" s="1"/>
  <c r="R778" i="25"/>
  <c r="Q778" i="25"/>
  <c r="O778" i="25"/>
  <c r="N778" i="25"/>
  <c r="M778" i="25"/>
  <c r="I778" i="25"/>
  <c r="R777" i="25"/>
  <c r="Q777" i="25"/>
  <c r="P777" i="25"/>
  <c r="O777" i="25"/>
  <c r="N777" i="25"/>
  <c r="I777" i="25"/>
  <c r="L777" i="25" s="1"/>
  <c r="G777" i="25"/>
  <c r="R776" i="25"/>
  <c r="Q776" i="25"/>
  <c r="P776" i="25"/>
  <c r="O776" i="25"/>
  <c r="N776" i="25"/>
  <c r="I776" i="25"/>
  <c r="L776" i="25" s="1"/>
  <c r="G776" i="25"/>
  <c r="R775" i="25"/>
  <c r="Q775" i="25"/>
  <c r="P775" i="25"/>
  <c r="O775" i="25"/>
  <c r="N775" i="25"/>
  <c r="I775" i="25"/>
  <c r="L775" i="25" s="1"/>
  <c r="G775" i="25"/>
  <c r="R774" i="25"/>
  <c r="Q774" i="25"/>
  <c r="P774" i="25"/>
  <c r="O774" i="25"/>
  <c r="N774" i="25"/>
  <c r="I774" i="25"/>
  <c r="L774" i="25" s="1"/>
  <c r="G774" i="25"/>
  <c r="R773" i="25"/>
  <c r="Q773" i="25"/>
  <c r="P773" i="25"/>
  <c r="O773" i="25"/>
  <c r="N773" i="25"/>
  <c r="M773" i="25"/>
  <c r="L773" i="25"/>
  <c r="R772" i="25"/>
  <c r="Q772" i="25"/>
  <c r="P772" i="25"/>
  <c r="O772" i="25"/>
  <c r="M772" i="25"/>
  <c r="I772" i="25"/>
  <c r="R771" i="25"/>
  <c r="Q771" i="25"/>
  <c r="P771" i="25"/>
  <c r="N771" i="25"/>
  <c r="M771" i="25"/>
  <c r="I771" i="25"/>
  <c r="E771" i="25"/>
  <c r="E772" i="25" s="1"/>
  <c r="R770" i="25"/>
  <c r="Q770" i="25"/>
  <c r="O770" i="25"/>
  <c r="N770" i="25"/>
  <c r="M770" i="25"/>
  <c r="I770" i="25"/>
  <c r="R769" i="25"/>
  <c r="Q769" i="25"/>
  <c r="P769" i="25"/>
  <c r="O769" i="25"/>
  <c r="N769" i="25"/>
  <c r="I769" i="25"/>
  <c r="L769" i="25" s="1"/>
  <c r="G769" i="25"/>
  <c r="R768" i="25"/>
  <c r="Q768" i="25"/>
  <c r="P768" i="25"/>
  <c r="O768" i="25"/>
  <c r="N768" i="25"/>
  <c r="I768" i="25"/>
  <c r="L768" i="25" s="1"/>
  <c r="G768" i="25"/>
  <c r="R767" i="25"/>
  <c r="Q767" i="25"/>
  <c r="P767" i="25"/>
  <c r="O767" i="25"/>
  <c r="N767" i="25"/>
  <c r="I767" i="25"/>
  <c r="L767" i="25" s="1"/>
  <c r="G767" i="25"/>
  <c r="R766" i="25"/>
  <c r="Q766" i="25"/>
  <c r="P766" i="25"/>
  <c r="O766" i="25"/>
  <c r="N766" i="25"/>
  <c r="M766" i="25"/>
  <c r="L766" i="25"/>
  <c r="R765" i="25"/>
  <c r="Q765" i="25"/>
  <c r="P765" i="25"/>
  <c r="N765" i="25"/>
  <c r="M765" i="25"/>
  <c r="I765" i="25"/>
  <c r="R764" i="25"/>
  <c r="Q764" i="25"/>
  <c r="O764" i="25"/>
  <c r="N764" i="25"/>
  <c r="M764" i="25"/>
  <c r="I764" i="25"/>
  <c r="R763" i="25"/>
  <c r="Q763" i="25"/>
  <c r="P763" i="25"/>
  <c r="O763" i="25"/>
  <c r="N763" i="25"/>
  <c r="I763" i="25"/>
  <c r="L763" i="25" s="1"/>
  <c r="G763" i="25"/>
  <c r="R762" i="25"/>
  <c r="Q762" i="25"/>
  <c r="P762" i="25"/>
  <c r="O762" i="25"/>
  <c r="N762" i="25"/>
  <c r="I762" i="25"/>
  <c r="L762" i="25" s="1"/>
  <c r="G762" i="25"/>
  <c r="R761" i="25"/>
  <c r="Q761" i="25"/>
  <c r="P761" i="25"/>
  <c r="O761" i="25"/>
  <c r="N761" i="25"/>
  <c r="M761" i="25"/>
  <c r="L761" i="25"/>
  <c r="R760" i="25"/>
  <c r="Q760" i="25"/>
  <c r="P760" i="25"/>
  <c r="N760" i="25"/>
  <c r="M760" i="25"/>
  <c r="I760" i="25"/>
  <c r="R759" i="25"/>
  <c r="Q759" i="25"/>
  <c r="O759" i="25"/>
  <c r="N759" i="25"/>
  <c r="M759" i="25"/>
  <c r="I759" i="25"/>
  <c r="R758" i="25"/>
  <c r="Q758" i="25"/>
  <c r="P758" i="25"/>
  <c r="O758" i="25"/>
  <c r="N758" i="25"/>
  <c r="I758" i="25"/>
  <c r="L758" i="25" s="1"/>
  <c r="G758" i="25"/>
  <c r="R757" i="25"/>
  <c r="Q757" i="25"/>
  <c r="P757" i="25"/>
  <c r="O757" i="25"/>
  <c r="N757" i="25"/>
  <c r="I757" i="25"/>
  <c r="L757" i="25" s="1"/>
  <c r="G757" i="25"/>
  <c r="R756" i="25"/>
  <c r="Q756" i="25"/>
  <c r="P756" i="25"/>
  <c r="O756" i="25"/>
  <c r="N756" i="25"/>
  <c r="I756" i="25"/>
  <c r="L756" i="25" s="1"/>
  <c r="G756" i="25"/>
  <c r="R755" i="25"/>
  <c r="Q755" i="25"/>
  <c r="P755" i="25"/>
  <c r="O755" i="25"/>
  <c r="N755" i="25"/>
  <c r="I755" i="25"/>
  <c r="L755" i="25" s="1"/>
  <c r="G755" i="25"/>
  <c r="R754" i="25"/>
  <c r="Q754" i="25"/>
  <c r="P754" i="25"/>
  <c r="O754" i="25"/>
  <c r="N754" i="25"/>
  <c r="I754" i="25"/>
  <c r="L754" i="25" s="1"/>
  <c r="G754" i="25"/>
  <c r="R753" i="25"/>
  <c r="Q753" i="25"/>
  <c r="P753" i="25"/>
  <c r="O753" i="25"/>
  <c r="N753" i="25"/>
  <c r="I753" i="25"/>
  <c r="L753" i="25" s="1"/>
  <c r="G753" i="25"/>
  <c r="R752" i="25"/>
  <c r="Q752" i="25"/>
  <c r="P752" i="25"/>
  <c r="O752" i="25"/>
  <c r="N752" i="25"/>
  <c r="I752" i="25"/>
  <c r="L752" i="25" s="1"/>
  <c r="G752" i="25"/>
  <c r="R751" i="25"/>
  <c r="Q751" i="25"/>
  <c r="P751" i="25"/>
  <c r="O751" i="25"/>
  <c r="N751" i="25"/>
  <c r="I751" i="25"/>
  <c r="L751" i="25" s="1"/>
  <c r="G751" i="25"/>
  <c r="R750" i="25"/>
  <c r="Q750" i="25"/>
  <c r="P750" i="25"/>
  <c r="O750" i="25"/>
  <c r="N750" i="25"/>
  <c r="M750" i="25"/>
  <c r="L750" i="25"/>
  <c r="R749" i="25"/>
  <c r="Q749" i="25"/>
  <c r="P749" i="25"/>
  <c r="O749" i="25"/>
  <c r="M749" i="25"/>
  <c r="I749" i="25"/>
  <c r="R748" i="25"/>
  <c r="Q748" i="25"/>
  <c r="P748" i="25"/>
  <c r="N748" i="25"/>
  <c r="M748" i="25"/>
  <c r="I748" i="25"/>
  <c r="R747" i="25"/>
  <c r="Q747" i="25"/>
  <c r="O747" i="25"/>
  <c r="N747" i="25"/>
  <c r="M747" i="25"/>
  <c r="I747" i="25"/>
  <c r="R746" i="25"/>
  <c r="Q746" i="25"/>
  <c r="P746" i="25"/>
  <c r="O746" i="25"/>
  <c r="N746" i="25"/>
  <c r="I746" i="25"/>
  <c r="L746" i="25" s="1"/>
  <c r="G746" i="25"/>
  <c r="R745" i="25"/>
  <c r="Q745" i="25"/>
  <c r="P745" i="25"/>
  <c r="O745" i="25"/>
  <c r="N745" i="25"/>
  <c r="I745" i="25"/>
  <c r="L745" i="25" s="1"/>
  <c r="G745" i="25"/>
  <c r="R744" i="25"/>
  <c r="Q744" i="25"/>
  <c r="P744" i="25"/>
  <c r="O744" i="25"/>
  <c r="N744" i="25"/>
  <c r="I744" i="25"/>
  <c r="L744" i="25" s="1"/>
  <c r="G744" i="25"/>
  <c r="R743" i="25"/>
  <c r="Q743" i="25"/>
  <c r="P743" i="25"/>
  <c r="O743" i="25"/>
  <c r="N743" i="25"/>
  <c r="I743" i="25"/>
  <c r="L743" i="25" s="1"/>
  <c r="G743" i="25"/>
  <c r="R742" i="25"/>
  <c r="Q742" i="25"/>
  <c r="P742" i="25"/>
  <c r="O742" i="25"/>
  <c r="N742" i="25"/>
  <c r="I742" i="25"/>
  <c r="L742" i="25" s="1"/>
  <c r="G742" i="25"/>
  <c r="R741" i="25"/>
  <c r="Q741" i="25"/>
  <c r="P741" i="25"/>
  <c r="O741" i="25"/>
  <c r="N741" i="25"/>
  <c r="I741" i="25"/>
  <c r="L741" i="25" s="1"/>
  <c r="G741" i="25"/>
  <c r="R740" i="25"/>
  <c r="Q740" i="25"/>
  <c r="P740" i="25"/>
  <c r="O740" i="25"/>
  <c r="N740" i="25"/>
  <c r="I740" i="25"/>
  <c r="L740" i="25" s="1"/>
  <c r="G740" i="25"/>
  <c r="R739" i="25"/>
  <c r="Q739" i="25"/>
  <c r="P739" i="25"/>
  <c r="O739" i="25"/>
  <c r="N739" i="25"/>
  <c r="I739" i="25"/>
  <c r="L739" i="25" s="1"/>
  <c r="G739" i="25"/>
  <c r="R738" i="25"/>
  <c r="Q738" i="25"/>
  <c r="P738" i="25"/>
  <c r="O738" i="25"/>
  <c r="N738" i="25"/>
  <c r="M738" i="25"/>
  <c r="L738" i="25"/>
  <c r="R737" i="25"/>
  <c r="Q737" i="25"/>
  <c r="P737" i="25"/>
  <c r="O737" i="25"/>
  <c r="M737" i="25"/>
  <c r="I737" i="25"/>
  <c r="R736" i="25"/>
  <c r="Q736" i="25"/>
  <c r="P736" i="25"/>
  <c r="N736" i="25"/>
  <c r="M736" i="25"/>
  <c r="I736" i="25"/>
  <c r="R735" i="25"/>
  <c r="Q735" i="25"/>
  <c r="O735" i="25"/>
  <c r="N735" i="25"/>
  <c r="M735" i="25"/>
  <c r="I735" i="25"/>
  <c r="R734" i="25"/>
  <c r="Q734" i="25"/>
  <c r="P734" i="25"/>
  <c r="O734" i="25"/>
  <c r="N734" i="25"/>
  <c r="M734" i="25"/>
  <c r="L734" i="25"/>
  <c r="R708" i="25"/>
  <c r="Q708" i="25"/>
  <c r="P708" i="25"/>
  <c r="O708" i="25"/>
  <c r="N708" i="25"/>
  <c r="I708" i="25"/>
  <c r="L708" i="25" s="1"/>
  <c r="G708" i="25"/>
  <c r="R707" i="25"/>
  <c r="Q707" i="25"/>
  <c r="P707" i="25"/>
  <c r="O707" i="25"/>
  <c r="N707" i="25"/>
  <c r="I707" i="25"/>
  <c r="L707" i="25" s="1"/>
  <c r="G707" i="25"/>
  <c r="R706" i="25"/>
  <c r="Q706" i="25"/>
  <c r="P706" i="25"/>
  <c r="O706" i="25"/>
  <c r="N706" i="25"/>
  <c r="I706" i="25"/>
  <c r="L706" i="25" s="1"/>
  <c r="G706" i="25"/>
  <c r="R705" i="25"/>
  <c r="Q705" i="25"/>
  <c r="P705" i="25"/>
  <c r="O705" i="25"/>
  <c r="M705" i="25"/>
  <c r="I705" i="25"/>
  <c r="L705" i="25" s="1"/>
  <c r="G705" i="25"/>
  <c r="F705" i="25"/>
  <c r="R704" i="25"/>
  <c r="Q704" i="25"/>
  <c r="P704" i="25"/>
  <c r="O704" i="25"/>
  <c r="M704" i="25"/>
  <c r="I704" i="25"/>
  <c r="L704" i="25" s="1"/>
  <c r="G704" i="25"/>
  <c r="R703" i="25"/>
  <c r="Q703" i="25"/>
  <c r="P703" i="25"/>
  <c r="O703" i="25"/>
  <c r="M703" i="25"/>
  <c r="I703" i="25"/>
  <c r="L703" i="25" s="1"/>
  <c r="G703" i="25"/>
  <c r="E703" i="25"/>
  <c r="E704" i="25" s="1"/>
  <c r="R702" i="25"/>
  <c r="Q702" i="25"/>
  <c r="P702" i="25"/>
  <c r="N702" i="25"/>
  <c r="M702" i="25"/>
  <c r="I702" i="25"/>
  <c r="R701" i="25"/>
  <c r="Q701" i="25"/>
  <c r="O701" i="25"/>
  <c r="N701" i="25"/>
  <c r="M701" i="25"/>
  <c r="I701" i="25"/>
  <c r="R700" i="25"/>
  <c r="Q700" i="25"/>
  <c r="P700" i="25"/>
  <c r="O700" i="25"/>
  <c r="N700" i="25"/>
  <c r="I700" i="25"/>
  <c r="L700" i="25" s="1"/>
  <c r="G700" i="25"/>
  <c r="R699" i="25"/>
  <c r="Q699" i="25"/>
  <c r="P699" i="25"/>
  <c r="O699" i="25"/>
  <c r="N699" i="25"/>
  <c r="I699" i="25"/>
  <c r="L699" i="25" s="1"/>
  <c r="G699" i="25"/>
  <c r="R698" i="25"/>
  <c r="Q698" i="25"/>
  <c r="P698" i="25"/>
  <c r="O698" i="25"/>
  <c r="N698" i="25"/>
  <c r="I698" i="25"/>
  <c r="L698" i="25" s="1"/>
  <c r="G698" i="25"/>
  <c r="R697" i="25"/>
  <c r="Q697" i="25"/>
  <c r="P697" i="25"/>
  <c r="O697" i="25"/>
  <c r="M697" i="25"/>
  <c r="I697" i="25"/>
  <c r="L697" i="25" s="1"/>
  <c r="G697" i="25"/>
  <c r="F697" i="25"/>
  <c r="R696" i="25"/>
  <c r="Q696" i="25"/>
  <c r="P696" i="25"/>
  <c r="O696" i="25"/>
  <c r="M696" i="25"/>
  <c r="I696" i="25"/>
  <c r="L696" i="25" s="1"/>
  <c r="G696" i="25"/>
  <c r="F696" i="25"/>
  <c r="R695" i="25"/>
  <c r="Q695" i="25"/>
  <c r="P695" i="25"/>
  <c r="O695" i="25"/>
  <c r="M695" i="25"/>
  <c r="I695" i="25"/>
  <c r="L695" i="25" s="1"/>
  <c r="G695" i="25"/>
  <c r="R694" i="25"/>
  <c r="Q694" i="25"/>
  <c r="P694" i="25"/>
  <c r="N694" i="25"/>
  <c r="M694" i="25"/>
  <c r="I694" i="25"/>
  <c r="E694" i="25"/>
  <c r="R693" i="25"/>
  <c r="Q693" i="25"/>
  <c r="O693" i="25"/>
  <c r="N693" i="25"/>
  <c r="M693" i="25"/>
  <c r="I693" i="25"/>
  <c r="R692" i="25"/>
  <c r="Q692" i="25"/>
  <c r="P692" i="25"/>
  <c r="O692" i="25"/>
  <c r="N692" i="25"/>
  <c r="I692" i="25"/>
  <c r="L692" i="25" s="1"/>
  <c r="G692" i="25"/>
  <c r="R691" i="25"/>
  <c r="Q691" i="25"/>
  <c r="P691" i="25"/>
  <c r="O691" i="25"/>
  <c r="N691" i="25"/>
  <c r="I691" i="25"/>
  <c r="L691" i="25" s="1"/>
  <c r="G691" i="25"/>
  <c r="R690" i="25"/>
  <c r="Q690" i="25"/>
  <c r="P690" i="25"/>
  <c r="O690" i="25"/>
  <c r="N690" i="25"/>
  <c r="I690" i="25"/>
  <c r="L690" i="25" s="1"/>
  <c r="G690" i="25"/>
  <c r="R689" i="25"/>
  <c r="Q689" i="25"/>
  <c r="P689" i="25"/>
  <c r="O689" i="25"/>
  <c r="N689" i="25"/>
  <c r="I689" i="25"/>
  <c r="L689" i="25" s="1"/>
  <c r="G689" i="25"/>
  <c r="R688" i="25"/>
  <c r="Q688" i="25"/>
  <c r="P688" i="25"/>
  <c r="O688" i="25"/>
  <c r="M688" i="25"/>
  <c r="I688" i="25"/>
  <c r="L688" i="25" s="1"/>
  <c r="G688" i="25"/>
  <c r="R687" i="25"/>
  <c r="Q687" i="25"/>
  <c r="P687" i="25"/>
  <c r="O687" i="25"/>
  <c r="M687" i="25"/>
  <c r="I687" i="25"/>
  <c r="L687" i="25" s="1"/>
  <c r="G687" i="25"/>
  <c r="F687" i="25"/>
  <c r="R686" i="25"/>
  <c r="Q686" i="25"/>
  <c r="P686" i="25"/>
  <c r="O686" i="25"/>
  <c r="M686" i="25"/>
  <c r="I686" i="25"/>
  <c r="L686" i="25" s="1"/>
  <c r="G686" i="25"/>
  <c r="R685" i="25"/>
  <c r="Q685" i="25"/>
  <c r="P685" i="25"/>
  <c r="O685" i="25"/>
  <c r="M685" i="25"/>
  <c r="I685" i="25"/>
  <c r="L685" i="25" s="1"/>
  <c r="G685" i="25"/>
  <c r="R684" i="25"/>
  <c r="Q684" i="25"/>
  <c r="P684" i="25"/>
  <c r="N684" i="25"/>
  <c r="M684" i="25"/>
  <c r="I684" i="25"/>
  <c r="R683" i="25"/>
  <c r="Q683" i="25"/>
  <c r="O683" i="25"/>
  <c r="N683" i="25"/>
  <c r="M683" i="25"/>
  <c r="I683" i="25"/>
  <c r="R682" i="25"/>
  <c r="Q682" i="25"/>
  <c r="P682" i="25"/>
  <c r="O682" i="25"/>
  <c r="N682" i="25"/>
  <c r="I682" i="25"/>
  <c r="L682" i="25" s="1"/>
  <c r="G682" i="25"/>
  <c r="R681" i="25"/>
  <c r="Q681" i="25"/>
  <c r="P681" i="25"/>
  <c r="O681" i="25"/>
  <c r="N681" i="25"/>
  <c r="I681" i="25"/>
  <c r="L681" i="25" s="1"/>
  <c r="G681" i="25"/>
  <c r="R680" i="25"/>
  <c r="Q680" i="25"/>
  <c r="P680" i="25"/>
  <c r="O680" i="25"/>
  <c r="N680" i="25"/>
  <c r="I680" i="25"/>
  <c r="L680" i="25" s="1"/>
  <c r="G680" i="25"/>
  <c r="R679" i="25"/>
  <c r="Q679" i="25"/>
  <c r="P679" i="25"/>
  <c r="O679" i="25"/>
  <c r="N679" i="25"/>
  <c r="I679" i="25"/>
  <c r="L679" i="25" s="1"/>
  <c r="G679" i="25"/>
  <c r="R678" i="25"/>
  <c r="Q678" i="25"/>
  <c r="P678" i="25"/>
  <c r="O678" i="25"/>
  <c r="M678" i="25"/>
  <c r="I678" i="25"/>
  <c r="L678" i="25" s="1"/>
  <c r="G678" i="25"/>
  <c r="R677" i="25"/>
  <c r="Q677" i="25"/>
  <c r="P677" i="25"/>
  <c r="O677" i="25"/>
  <c r="M677" i="25"/>
  <c r="I677" i="25"/>
  <c r="L677" i="25" s="1"/>
  <c r="G677" i="25"/>
  <c r="F677" i="25"/>
  <c r="R676" i="25"/>
  <c r="Q676" i="25"/>
  <c r="P676" i="25"/>
  <c r="O676" i="25"/>
  <c r="M676" i="25"/>
  <c r="I676" i="25"/>
  <c r="L676" i="25" s="1"/>
  <c r="G676" i="25"/>
  <c r="R675" i="25"/>
  <c r="Q675" i="25"/>
  <c r="P675" i="25"/>
  <c r="O675" i="25"/>
  <c r="M675" i="25"/>
  <c r="I675" i="25"/>
  <c r="L675" i="25" s="1"/>
  <c r="G675" i="25"/>
  <c r="R674" i="25"/>
  <c r="Q674" i="25"/>
  <c r="P674" i="25"/>
  <c r="N674" i="25"/>
  <c r="M674" i="25"/>
  <c r="I674" i="25"/>
  <c r="E674" i="25"/>
  <c r="E675" i="25" s="1"/>
  <c r="R673" i="25"/>
  <c r="Q673" i="25"/>
  <c r="O673" i="25"/>
  <c r="N673" i="25"/>
  <c r="M673" i="25"/>
  <c r="I673" i="25"/>
  <c r="R672" i="25"/>
  <c r="Q672" i="25"/>
  <c r="P672" i="25"/>
  <c r="O672" i="25"/>
  <c r="N672" i="25"/>
  <c r="I672" i="25"/>
  <c r="L672" i="25" s="1"/>
  <c r="G672" i="25"/>
  <c r="R671" i="25"/>
  <c r="Q671" i="25"/>
  <c r="P671" i="25"/>
  <c r="O671" i="25"/>
  <c r="N671" i="25"/>
  <c r="I671" i="25"/>
  <c r="L671" i="25" s="1"/>
  <c r="G671" i="25"/>
  <c r="R670" i="25"/>
  <c r="Q670" i="25"/>
  <c r="P670" i="25"/>
  <c r="O670" i="25"/>
  <c r="N670" i="25"/>
  <c r="I670" i="25"/>
  <c r="L670" i="25" s="1"/>
  <c r="G670" i="25"/>
  <c r="R669" i="25"/>
  <c r="Q669" i="25"/>
  <c r="P669" i="25"/>
  <c r="O669" i="25"/>
  <c r="N669" i="25"/>
  <c r="I669" i="25"/>
  <c r="L669" i="25" s="1"/>
  <c r="G669" i="25"/>
  <c r="R668" i="25"/>
  <c r="Q668" i="25"/>
  <c r="P668" i="25"/>
  <c r="O668" i="25"/>
  <c r="M668" i="25"/>
  <c r="I668" i="25"/>
  <c r="L668" i="25" s="1"/>
  <c r="G668" i="25"/>
  <c r="R667" i="25"/>
  <c r="Q667" i="25"/>
  <c r="P667" i="25"/>
  <c r="O667" i="25"/>
  <c r="M667" i="25"/>
  <c r="I667" i="25"/>
  <c r="L667" i="25" s="1"/>
  <c r="G667" i="25"/>
  <c r="F667" i="25"/>
  <c r="R666" i="25"/>
  <c r="Q666" i="25"/>
  <c r="P666" i="25"/>
  <c r="O666" i="25"/>
  <c r="M666" i="25"/>
  <c r="I666" i="25"/>
  <c r="L666" i="25" s="1"/>
  <c r="G666" i="25"/>
  <c r="R665" i="25"/>
  <c r="Q665" i="25"/>
  <c r="P665" i="25"/>
  <c r="O665" i="25"/>
  <c r="M665" i="25"/>
  <c r="I665" i="25"/>
  <c r="L665" i="25" s="1"/>
  <c r="G665" i="25"/>
  <c r="E665" i="25"/>
  <c r="R664" i="25"/>
  <c r="Q664" i="25"/>
  <c r="P664" i="25"/>
  <c r="N664" i="25"/>
  <c r="M664" i="25"/>
  <c r="I664" i="25"/>
  <c r="R663" i="25"/>
  <c r="Q663" i="25"/>
  <c r="O663" i="25"/>
  <c r="N663" i="25"/>
  <c r="M663" i="25"/>
  <c r="I663" i="25"/>
  <c r="R662" i="25"/>
  <c r="Q662" i="25"/>
  <c r="P662" i="25"/>
  <c r="O662" i="25"/>
  <c r="N662" i="25"/>
  <c r="I662" i="25"/>
  <c r="L662" i="25" s="1"/>
  <c r="G662" i="25"/>
  <c r="R661" i="25"/>
  <c r="Q661" i="25"/>
  <c r="P661" i="25"/>
  <c r="O661" i="25"/>
  <c r="N661" i="25"/>
  <c r="I661" i="25"/>
  <c r="L661" i="25" s="1"/>
  <c r="G661" i="25"/>
  <c r="R660" i="25"/>
  <c r="Q660" i="25"/>
  <c r="P660" i="25"/>
  <c r="O660" i="25"/>
  <c r="N660" i="25"/>
  <c r="I660" i="25"/>
  <c r="L660" i="25" s="1"/>
  <c r="G660" i="25"/>
  <c r="R659" i="25"/>
  <c r="Q659" i="25"/>
  <c r="P659" i="25"/>
  <c r="O659" i="25"/>
  <c r="M659" i="25"/>
  <c r="I659" i="25"/>
  <c r="L659" i="25" s="1"/>
  <c r="G659" i="25"/>
  <c r="F659" i="25"/>
  <c r="R658" i="25"/>
  <c r="Q658" i="25"/>
  <c r="P658" i="25"/>
  <c r="O658" i="25"/>
  <c r="M658" i="25"/>
  <c r="I658" i="25"/>
  <c r="L658" i="25" s="1"/>
  <c r="G658" i="25"/>
  <c r="R657" i="25"/>
  <c r="Q657" i="25"/>
  <c r="P657" i="25"/>
  <c r="O657" i="25"/>
  <c r="M657" i="25"/>
  <c r="I657" i="25"/>
  <c r="L657" i="25" s="1"/>
  <c r="G657" i="25"/>
  <c r="R656" i="25"/>
  <c r="O656" i="25"/>
  <c r="N656" i="25"/>
  <c r="M656" i="25"/>
  <c r="I656" i="25"/>
  <c r="E656" i="25"/>
  <c r="E657" i="25" s="1"/>
  <c r="E658" i="25" s="1"/>
  <c r="R655" i="25"/>
  <c r="O655" i="25"/>
  <c r="N655" i="25"/>
  <c r="M655" i="25"/>
  <c r="I655" i="25"/>
  <c r="R654" i="25"/>
  <c r="Q654" i="25"/>
  <c r="P654" i="25"/>
  <c r="O654" i="25"/>
  <c r="N654" i="25"/>
  <c r="I654" i="25"/>
  <c r="L654" i="25" s="1"/>
  <c r="G654" i="25"/>
  <c r="R653" i="25"/>
  <c r="Q653" i="25"/>
  <c r="P653" i="25"/>
  <c r="O653" i="25"/>
  <c r="N653" i="25"/>
  <c r="I653" i="25"/>
  <c r="L653" i="25" s="1"/>
  <c r="G653" i="25"/>
  <c r="R652" i="25"/>
  <c r="Q652" i="25"/>
  <c r="P652" i="25"/>
  <c r="O652" i="25"/>
  <c r="N652" i="25"/>
  <c r="I652" i="25"/>
  <c r="L652" i="25" s="1"/>
  <c r="G652" i="25"/>
  <c r="R651" i="25"/>
  <c r="Q651" i="25"/>
  <c r="P651" i="25"/>
  <c r="O651" i="25"/>
  <c r="M651" i="25"/>
  <c r="I651" i="25"/>
  <c r="L651" i="25" s="1"/>
  <c r="G651" i="25"/>
  <c r="F651" i="25"/>
  <c r="R650" i="25"/>
  <c r="Q650" i="25"/>
  <c r="P650" i="25"/>
  <c r="O650" i="25"/>
  <c r="M650" i="25"/>
  <c r="I650" i="25"/>
  <c r="L650" i="25" s="1"/>
  <c r="G650" i="25"/>
  <c r="R649" i="25"/>
  <c r="Q649" i="25"/>
  <c r="P649" i="25"/>
  <c r="O649" i="25"/>
  <c r="M649" i="25"/>
  <c r="I649" i="25"/>
  <c r="L649" i="25" s="1"/>
  <c r="G649" i="25"/>
  <c r="R648" i="25"/>
  <c r="Q648" i="25"/>
  <c r="P648" i="25"/>
  <c r="N648" i="25"/>
  <c r="M648" i="25"/>
  <c r="I648" i="25"/>
  <c r="R647" i="25"/>
  <c r="Q647" i="25"/>
  <c r="O647" i="25"/>
  <c r="N647" i="25"/>
  <c r="M647" i="25"/>
  <c r="I647" i="25"/>
  <c r="R646" i="25"/>
  <c r="Q646" i="25"/>
  <c r="P646" i="25"/>
  <c r="O646" i="25"/>
  <c r="N646" i="25"/>
  <c r="I646" i="25"/>
  <c r="L646" i="25" s="1"/>
  <c r="G646" i="25"/>
  <c r="R645" i="25"/>
  <c r="Q645" i="25"/>
  <c r="P645" i="25"/>
  <c r="O645" i="25"/>
  <c r="N645" i="25"/>
  <c r="I645" i="25"/>
  <c r="L645" i="25" s="1"/>
  <c r="G645" i="25"/>
  <c r="R644" i="25"/>
  <c r="Q644" i="25"/>
  <c r="P644" i="25"/>
  <c r="O644" i="25"/>
  <c r="N644" i="25"/>
  <c r="I644" i="25"/>
  <c r="L644" i="25" s="1"/>
  <c r="G644" i="25"/>
  <c r="R643" i="25"/>
  <c r="Q643" i="25"/>
  <c r="P643" i="25"/>
  <c r="O643" i="25"/>
  <c r="M643" i="25"/>
  <c r="I643" i="25"/>
  <c r="L643" i="25" s="1"/>
  <c r="G643" i="25"/>
  <c r="F643" i="25"/>
  <c r="R642" i="25"/>
  <c r="Q642" i="25"/>
  <c r="P642" i="25"/>
  <c r="O642" i="25"/>
  <c r="M642" i="25"/>
  <c r="I642" i="25"/>
  <c r="L642" i="25" s="1"/>
  <c r="G642" i="25"/>
  <c r="R641" i="25"/>
  <c r="Q641" i="25"/>
  <c r="P641" i="25"/>
  <c r="O641" i="25"/>
  <c r="M641" i="25"/>
  <c r="I641" i="25"/>
  <c r="L641" i="25" s="1"/>
  <c r="G641" i="25"/>
  <c r="R640" i="25"/>
  <c r="Q640" i="25"/>
  <c r="P640" i="25"/>
  <c r="N640" i="25"/>
  <c r="M640" i="25"/>
  <c r="I640" i="25"/>
  <c r="R639" i="25"/>
  <c r="Q639" i="25"/>
  <c r="O639" i="25"/>
  <c r="N639" i="25"/>
  <c r="M639" i="25"/>
  <c r="I639" i="25"/>
  <c r="R636" i="25"/>
  <c r="Q636" i="25"/>
  <c r="P636" i="25"/>
  <c r="O636" i="25"/>
  <c r="N636" i="25"/>
  <c r="M636" i="25"/>
  <c r="L636" i="25"/>
  <c r="R635" i="25"/>
  <c r="Q635" i="25"/>
  <c r="P635" i="25"/>
  <c r="O635" i="25"/>
  <c r="N635" i="25"/>
  <c r="I635" i="25"/>
  <c r="L635" i="25" s="1"/>
  <c r="G635" i="25"/>
  <c r="R634" i="25"/>
  <c r="Q634" i="25"/>
  <c r="P634" i="25"/>
  <c r="O634" i="25"/>
  <c r="N634" i="25"/>
  <c r="I634" i="25"/>
  <c r="L634" i="25" s="1"/>
  <c r="G634" i="25"/>
  <c r="R633" i="25"/>
  <c r="Q633" i="25"/>
  <c r="P633" i="25"/>
  <c r="O633" i="25"/>
  <c r="N633" i="25"/>
  <c r="I633" i="25"/>
  <c r="L633" i="25" s="1"/>
  <c r="G633" i="25"/>
  <c r="R632" i="25"/>
  <c r="Q632" i="25"/>
  <c r="P632" i="25"/>
  <c r="O632" i="25"/>
  <c r="N632" i="25"/>
  <c r="I632" i="25"/>
  <c r="L632" i="25" s="1"/>
  <c r="G632" i="25"/>
  <c r="R631" i="25"/>
  <c r="Q631" i="25"/>
  <c r="P631" i="25"/>
  <c r="O631" i="25"/>
  <c r="N631" i="25"/>
  <c r="M631" i="25"/>
  <c r="L631" i="25"/>
  <c r="R630" i="25"/>
  <c r="Q630" i="25"/>
  <c r="P630" i="25"/>
  <c r="O630" i="25"/>
  <c r="M630" i="25"/>
  <c r="I630" i="25"/>
  <c r="R629" i="25"/>
  <c r="Q629" i="25"/>
  <c r="P629" i="25"/>
  <c r="N629" i="25"/>
  <c r="M629" i="25"/>
  <c r="I629" i="25"/>
  <c r="R628" i="25"/>
  <c r="Q628" i="25"/>
  <c r="O628" i="25"/>
  <c r="N628" i="25"/>
  <c r="M628" i="25"/>
  <c r="I628" i="25"/>
  <c r="R627" i="25"/>
  <c r="Q627" i="25"/>
  <c r="P627" i="25"/>
  <c r="O627" i="25"/>
  <c r="N627" i="25"/>
  <c r="I627" i="25"/>
  <c r="L627" i="25" s="1"/>
  <c r="G627" i="25"/>
  <c r="R626" i="25"/>
  <c r="Q626" i="25"/>
  <c r="P626" i="25"/>
  <c r="O626" i="25"/>
  <c r="N626" i="25"/>
  <c r="I626" i="25"/>
  <c r="L626" i="25" s="1"/>
  <c r="G626" i="25"/>
  <c r="R625" i="25"/>
  <c r="Q625" i="25"/>
  <c r="P625" i="25"/>
  <c r="O625" i="25"/>
  <c r="N625" i="25"/>
  <c r="I625" i="25"/>
  <c r="L625" i="25" s="1"/>
  <c r="G625" i="25"/>
  <c r="R624" i="25"/>
  <c r="Q624" i="25"/>
  <c r="P624" i="25"/>
  <c r="O624" i="25"/>
  <c r="N624" i="25"/>
  <c r="I624" i="25"/>
  <c r="L624" i="25" s="1"/>
  <c r="G624" i="25"/>
  <c r="R623" i="25"/>
  <c r="Q623" i="25"/>
  <c r="P623" i="25"/>
  <c r="O623" i="25"/>
  <c r="N623" i="25"/>
  <c r="I623" i="25"/>
  <c r="L623" i="25" s="1"/>
  <c r="G623" i="25"/>
  <c r="R622" i="25"/>
  <c r="Q622" i="25"/>
  <c r="P622" i="25"/>
  <c r="O622" i="25"/>
  <c r="N622" i="25"/>
  <c r="I622" i="25"/>
  <c r="L622" i="25" s="1"/>
  <c r="G622" i="25"/>
  <c r="R621" i="25"/>
  <c r="Q621" i="25"/>
  <c r="P621" i="25"/>
  <c r="O621" i="25"/>
  <c r="N621" i="25"/>
  <c r="I621" i="25"/>
  <c r="L621" i="25" s="1"/>
  <c r="G621" i="25"/>
  <c r="R620" i="25"/>
  <c r="Q620" i="25"/>
  <c r="P620" i="25"/>
  <c r="O620" i="25"/>
  <c r="N620" i="25"/>
  <c r="I620" i="25"/>
  <c r="L620" i="25" s="1"/>
  <c r="G620" i="25"/>
  <c r="R619" i="25"/>
  <c r="Q619" i="25"/>
  <c r="P619" i="25"/>
  <c r="O619" i="25"/>
  <c r="N619" i="25"/>
  <c r="M619" i="25"/>
  <c r="L619" i="25"/>
  <c r="R618" i="25"/>
  <c r="Q618" i="25"/>
  <c r="P618" i="25"/>
  <c r="O618" i="25"/>
  <c r="M618" i="25"/>
  <c r="I618" i="25"/>
  <c r="R617" i="25"/>
  <c r="Q617" i="25"/>
  <c r="P617" i="25"/>
  <c r="N617" i="25"/>
  <c r="M617" i="25"/>
  <c r="I617" i="25"/>
  <c r="R616" i="25"/>
  <c r="Q616" i="25"/>
  <c r="O616" i="25"/>
  <c r="N616" i="25"/>
  <c r="M616" i="25"/>
  <c r="I616" i="25"/>
  <c r="R615" i="25"/>
  <c r="Q615" i="25"/>
  <c r="P615" i="25"/>
  <c r="O615" i="25"/>
  <c r="N615" i="25"/>
  <c r="I615" i="25"/>
  <c r="L615" i="25" s="1"/>
  <c r="G615" i="25"/>
  <c r="R614" i="25"/>
  <c r="Q614" i="25"/>
  <c r="P614" i="25"/>
  <c r="O614" i="25"/>
  <c r="N614" i="25"/>
  <c r="I614" i="25"/>
  <c r="L614" i="25" s="1"/>
  <c r="G614" i="25"/>
  <c r="R613" i="25"/>
  <c r="Q613" i="25"/>
  <c r="P613" i="25"/>
  <c r="O613" i="25"/>
  <c r="N613" i="25"/>
  <c r="I613" i="25"/>
  <c r="L613" i="25" s="1"/>
  <c r="G613" i="25"/>
  <c r="R612" i="25"/>
  <c r="Q612" i="25"/>
  <c r="P612" i="25"/>
  <c r="O612" i="25"/>
  <c r="N612" i="25"/>
  <c r="I612" i="25"/>
  <c r="L612" i="25" s="1"/>
  <c r="G612" i="25"/>
  <c r="F612" i="25"/>
  <c r="R611" i="25"/>
  <c r="Q611" i="25"/>
  <c r="P611" i="25"/>
  <c r="O611" i="25"/>
  <c r="N611" i="25"/>
  <c r="I611" i="25"/>
  <c r="L611" i="25" s="1"/>
  <c r="G611" i="25"/>
  <c r="R610" i="25"/>
  <c r="Q610" i="25"/>
  <c r="P610" i="25"/>
  <c r="O610" i="25"/>
  <c r="N610" i="25"/>
  <c r="M610" i="25"/>
  <c r="L610" i="25"/>
  <c r="R609" i="25"/>
  <c r="Q609" i="25"/>
  <c r="P609" i="25"/>
  <c r="O609" i="25"/>
  <c r="M609" i="25"/>
  <c r="I609" i="25"/>
  <c r="R608" i="25"/>
  <c r="Q608" i="25"/>
  <c r="P608" i="25"/>
  <c r="N608" i="25"/>
  <c r="M608" i="25"/>
  <c r="I608" i="25"/>
  <c r="R607" i="25"/>
  <c r="Q607" i="25"/>
  <c r="O607" i="25"/>
  <c r="N607" i="25"/>
  <c r="M607" i="25"/>
  <c r="I607" i="25"/>
  <c r="R606" i="25"/>
  <c r="Q606" i="25"/>
  <c r="P606" i="25"/>
  <c r="O606" i="25"/>
  <c r="N606" i="25"/>
  <c r="I606" i="25"/>
  <c r="L606" i="25" s="1"/>
  <c r="G606" i="25"/>
  <c r="R605" i="25"/>
  <c r="Q605" i="25"/>
  <c r="P605" i="25"/>
  <c r="O605" i="25"/>
  <c r="N605" i="25"/>
  <c r="I605" i="25"/>
  <c r="L605" i="25" s="1"/>
  <c r="G605" i="25"/>
  <c r="R604" i="25"/>
  <c r="Q604" i="25"/>
  <c r="P604" i="25"/>
  <c r="O604" i="25"/>
  <c r="N604" i="25"/>
  <c r="I604" i="25"/>
  <c r="L604" i="25" s="1"/>
  <c r="G604" i="25"/>
  <c r="R603" i="25"/>
  <c r="Q603" i="25"/>
  <c r="P603" i="25"/>
  <c r="O603" i="25"/>
  <c r="N603" i="25"/>
  <c r="I603" i="25"/>
  <c r="L603" i="25" s="1"/>
  <c r="G603" i="25"/>
  <c r="R602" i="25"/>
  <c r="Q602" i="25"/>
  <c r="P602" i="25"/>
  <c r="O602" i="25"/>
  <c r="N602" i="25"/>
  <c r="I602" i="25"/>
  <c r="L602" i="25" s="1"/>
  <c r="G602" i="25"/>
  <c r="R601" i="25"/>
  <c r="Q601" i="25"/>
  <c r="P601" i="25"/>
  <c r="O601" i="25"/>
  <c r="N601" i="25"/>
  <c r="M601" i="25"/>
  <c r="L601" i="25"/>
  <c r="R600" i="25"/>
  <c r="Q600" i="25"/>
  <c r="P600" i="25"/>
  <c r="O600" i="25"/>
  <c r="M600" i="25"/>
  <c r="I600" i="25"/>
  <c r="R599" i="25"/>
  <c r="Q599" i="25"/>
  <c r="P599" i="25"/>
  <c r="N599" i="25"/>
  <c r="M599" i="25"/>
  <c r="I599" i="25"/>
  <c r="R598" i="25"/>
  <c r="Q598" i="25"/>
  <c r="O598" i="25"/>
  <c r="N598" i="25"/>
  <c r="M598" i="25"/>
  <c r="I598" i="25"/>
  <c r="R597" i="25"/>
  <c r="Q597" i="25"/>
  <c r="P597" i="25"/>
  <c r="O597" i="25"/>
  <c r="N597" i="25"/>
  <c r="I597" i="25"/>
  <c r="L597" i="25" s="1"/>
  <c r="G597" i="25"/>
  <c r="R596" i="25"/>
  <c r="Q596" i="25"/>
  <c r="P596" i="25"/>
  <c r="O596" i="25"/>
  <c r="N596" i="25"/>
  <c r="I596" i="25"/>
  <c r="L596" i="25" s="1"/>
  <c r="G596" i="25"/>
  <c r="R595" i="25"/>
  <c r="Q595" i="25"/>
  <c r="P595" i="25"/>
  <c r="O595" i="25"/>
  <c r="N595" i="25"/>
  <c r="I595" i="25"/>
  <c r="L595" i="25" s="1"/>
  <c r="G595" i="25"/>
  <c r="R594" i="25"/>
  <c r="Q594" i="25"/>
  <c r="P594" i="25"/>
  <c r="O594" i="25"/>
  <c r="N594" i="25"/>
  <c r="I594" i="25"/>
  <c r="L594" i="25" s="1"/>
  <c r="G594" i="25"/>
  <c r="R593" i="25"/>
  <c r="Q593" i="25"/>
  <c r="P593" i="25"/>
  <c r="O593" i="25"/>
  <c r="N593" i="25"/>
  <c r="I593" i="25"/>
  <c r="L593" i="25" s="1"/>
  <c r="G593" i="25"/>
  <c r="R592" i="25"/>
  <c r="Q592" i="25"/>
  <c r="P592" i="25"/>
  <c r="O592" i="25"/>
  <c r="N592" i="25"/>
  <c r="I592" i="25"/>
  <c r="L592" i="25" s="1"/>
  <c r="G592" i="25"/>
  <c r="R591" i="25"/>
  <c r="Q591" i="25"/>
  <c r="P591" i="25"/>
  <c r="O591" i="25"/>
  <c r="N591" i="25"/>
  <c r="I591" i="25"/>
  <c r="L591" i="25" s="1"/>
  <c r="G591" i="25"/>
  <c r="R590" i="25"/>
  <c r="Q590" i="25"/>
  <c r="P590" i="25"/>
  <c r="O590" i="25"/>
  <c r="N590" i="25"/>
  <c r="I590" i="25"/>
  <c r="L590" i="25" s="1"/>
  <c r="G590" i="25"/>
  <c r="R589" i="25"/>
  <c r="Q589" i="25"/>
  <c r="P589" i="25"/>
  <c r="O589" i="25"/>
  <c r="N589" i="25"/>
  <c r="M589" i="25"/>
  <c r="L589" i="25"/>
  <c r="R588" i="25"/>
  <c r="Q588" i="25"/>
  <c r="P588" i="25"/>
  <c r="O588" i="25"/>
  <c r="M588" i="25"/>
  <c r="I588" i="25"/>
  <c r="R587" i="25"/>
  <c r="Q587" i="25"/>
  <c r="P587" i="25"/>
  <c r="N587" i="25"/>
  <c r="M587" i="25"/>
  <c r="I587" i="25"/>
  <c r="R586" i="25"/>
  <c r="Q586" i="25"/>
  <c r="O586" i="25"/>
  <c r="N586" i="25"/>
  <c r="M586" i="25"/>
  <c r="I586" i="25"/>
  <c r="R585" i="25"/>
  <c r="Q585" i="25"/>
  <c r="P585" i="25"/>
  <c r="O585" i="25"/>
  <c r="N585" i="25"/>
  <c r="I585" i="25"/>
  <c r="L585" i="25" s="1"/>
  <c r="G585" i="25"/>
  <c r="R584" i="25"/>
  <c r="Q584" i="25"/>
  <c r="P584" i="25"/>
  <c r="O584" i="25"/>
  <c r="N584" i="25"/>
  <c r="I584" i="25"/>
  <c r="L584" i="25" s="1"/>
  <c r="G584" i="25"/>
  <c r="R583" i="25"/>
  <c r="Q583" i="25"/>
  <c r="P583" i="25"/>
  <c r="O583" i="25"/>
  <c r="N583" i="25"/>
  <c r="I583" i="25"/>
  <c r="L583" i="25" s="1"/>
  <c r="G583" i="25"/>
  <c r="R582" i="25"/>
  <c r="Q582" i="25"/>
  <c r="P582" i="25"/>
  <c r="O582" i="25"/>
  <c r="N582" i="25"/>
  <c r="I582" i="25"/>
  <c r="L582" i="25" s="1"/>
  <c r="G582" i="25"/>
  <c r="R581" i="25"/>
  <c r="Q581" i="25"/>
  <c r="P581" i="25"/>
  <c r="O581" i="25"/>
  <c r="N581" i="25"/>
  <c r="M581" i="25"/>
  <c r="L581" i="25"/>
  <c r="R580" i="25"/>
  <c r="Q580" i="25"/>
  <c r="P580" i="25"/>
  <c r="O580" i="25"/>
  <c r="M580" i="25"/>
  <c r="I580" i="25"/>
  <c r="R579" i="25"/>
  <c r="Q579" i="25"/>
  <c r="P579" i="25"/>
  <c r="N579" i="25"/>
  <c r="M579" i="25"/>
  <c r="I579" i="25"/>
  <c r="R578" i="25"/>
  <c r="Q578" i="25"/>
  <c r="O578" i="25"/>
  <c r="N578" i="25"/>
  <c r="M578" i="25"/>
  <c r="I578" i="25"/>
  <c r="R577" i="25"/>
  <c r="Q577" i="25"/>
  <c r="P577" i="25"/>
  <c r="O577" i="25"/>
  <c r="N577" i="25"/>
  <c r="I577" i="25"/>
  <c r="L577" i="25" s="1"/>
  <c r="G577" i="25"/>
  <c r="R576" i="25"/>
  <c r="Q576" i="25"/>
  <c r="P576" i="25"/>
  <c r="O576" i="25"/>
  <c r="N576" i="25"/>
  <c r="I576" i="25"/>
  <c r="L576" i="25" s="1"/>
  <c r="G576" i="25"/>
  <c r="R575" i="25"/>
  <c r="Q575" i="25"/>
  <c r="P575" i="25"/>
  <c r="O575" i="25"/>
  <c r="N575" i="25"/>
  <c r="I575" i="25"/>
  <c r="L575" i="25" s="1"/>
  <c r="G575" i="25"/>
  <c r="R574" i="25"/>
  <c r="Q574" i="25"/>
  <c r="P574" i="25"/>
  <c r="O574" i="25"/>
  <c r="N574" i="25"/>
  <c r="I574" i="25"/>
  <c r="L574" i="25" s="1"/>
  <c r="G574" i="25"/>
  <c r="R573" i="25"/>
  <c r="Q573" i="25"/>
  <c r="P573" i="25"/>
  <c r="O573" i="25"/>
  <c r="N573" i="25"/>
  <c r="M573" i="25"/>
  <c r="L573" i="25"/>
  <c r="R572" i="25"/>
  <c r="Q572" i="25"/>
  <c r="P572" i="25"/>
  <c r="O572" i="25"/>
  <c r="M572" i="25"/>
  <c r="I572" i="25"/>
  <c r="R571" i="25"/>
  <c r="Q571" i="25"/>
  <c r="P571" i="25"/>
  <c r="N571" i="25"/>
  <c r="M571" i="25"/>
  <c r="I571" i="25"/>
  <c r="R570" i="25"/>
  <c r="Q570" i="25"/>
  <c r="O570" i="25"/>
  <c r="N570" i="25"/>
  <c r="M570" i="25"/>
  <c r="I570" i="25"/>
  <c r="R569" i="25"/>
  <c r="Q569" i="25"/>
  <c r="P569" i="25"/>
  <c r="O569" i="25"/>
  <c r="N569" i="25"/>
  <c r="I569" i="25"/>
  <c r="L569" i="25" s="1"/>
  <c r="G569" i="25"/>
  <c r="R568" i="25"/>
  <c r="Q568" i="25"/>
  <c r="P568" i="25"/>
  <c r="O568" i="25"/>
  <c r="N568" i="25"/>
  <c r="I568" i="25"/>
  <c r="L568" i="25" s="1"/>
  <c r="G568" i="25"/>
  <c r="R567" i="25"/>
  <c r="Q567" i="25"/>
  <c r="P567" i="25"/>
  <c r="O567" i="25"/>
  <c r="N567" i="25"/>
  <c r="M567" i="25"/>
  <c r="L567" i="25"/>
  <c r="R566" i="25"/>
  <c r="Q566" i="25"/>
  <c r="P566" i="25"/>
  <c r="N566" i="25"/>
  <c r="M566" i="25"/>
  <c r="I566" i="25"/>
  <c r="E566" i="25"/>
  <c r="R565" i="25"/>
  <c r="Q565" i="25"/>
  <c r="O565" i="25"/>
  <c r="N565" i="25"/>
  <c r="M565" i="25"/>
  <c r="I565" i="25"/>
  <c r="R564" i="25"/>
  <c r="Q564" i="25"/>
  <c r="P564" i="25"/>
  <c r="O564" i="25"/>
  <c r="N564" i="25"/>
  <c r="I564" i="25"/>
  <c r="L564" i="25" s="1"/>
  <c r="G564" i="25"/>
  <c r="R563" i="25"/>
  <c r="Q563" i="25"/>
  <c r="P563" i="25"/>
  <c r="O563" i="25"/>
  <c r="N563" i="25"/>
  <c r="I563" i="25"/>
  <c r="L563" i="25" s="1"/>
  <c r="G563" i="25"/>
  <c r="R562" i="25"/>
  <c r="Q562" i="25"/>
  <c r="P562" i="25"/>
  <c r="O562" i="25"/>
  <c r="N562" i="25"/>
  <c r="I562" i="25"/>
  <c r="L562" i="25" s="1"/>
  <c r="G562" i="25"/>
  <c r="R561" i="25"/>
  <c r="Q561" i="25"/>
  <c r="P561" i="25"/>
  <c r="O561" i="25"/>
  <c r="N561" i="25"/>
  <c r="I561" i="25"/>
  <c r="L561" i="25" s="1"/>
  <c r="G561" i="25"/>
  <c r="R560" i="25"/>
  <c r="Q560" i="25"/>
  <c r="P560" i="25"/>
  <c r="O560" i="25"/>
  <c r="N560" i="25"/>
  <c r="M560" i="25"/>
  <c r="L560" i="25"/>
  <c r="R559" i="25"/>
  <c r="Q559" i="25"/>
  <c r="P559" i="25"/>
  <c r="O559" i="25"/>
  <c r="M559" i="25"/>
  <c r="I559" i="25"/>
  <c r="R558" i="25"/>
  <c r="Q558" i="25"/>
  <c r="P558" i="25"/>
  <c r="N558" i="25"/>
  <c r="M558" i="25"/>
  <c r="I558" i="25"/>
  <c r="E558" i="25"/>
  <c r="E559" i="25" s="1"/>
  <c r="R557" i="25"/>
  <c r="Q557" i="25"/>
  <c r="O557" i="25"/>
  <c r="N557" i="25"/>
  <c r="M557" i="25"/>
  <c r="I557" i="25"/>
  <c r="R556" i="25"/>
  <c r="Q556" i="25"/>
  <c r="P556" i="25"/>
  <c r="O556" i="25"/>
  <c r="N556" i="25"/>
  <c r="I556" i="25"/>
  <c r="L556" i="25" s="1"/>
  <c r="G556" i="25"/>
  <c r="R555" i="25"/>
  <c r="Q555" i="25"/>
  <c r="P555" i="25"/>
  <c r="O555" i="25"/>
  <c r="N555" i="25"/>
  <c r="I555" i="25"/>
  <c r="L555" i="25" s="1"/>
  <c r="G555" i="25"/>
  <c r="R554" i="25"/>
  <c r="Q554" i="25"/>
  <c r="P554" i="25"/>
  <c r="O554" i="25"/>
  <c r="N554" i="25"/>
  <c r="I554" i="25"/>
  <c r="L554" i="25" s="1"/>
  <c r="G554" i="25"/>
  <c r="R553" i="25"/>
  <c r="Q553" i="25"/>
  <c r="P553" i="25"/>
  <c r="O553" i="25"/>
  <c r="N553" i="25"/>
  <c r="M553" i="25"/>
  <c r="L553" i="25"/>
  <c r="R552" i="25"/>
  <c r="Q552" i="25"/>
  <c r="P552" i="25"/>
  <c r="N552" i="25"/>
  <c r="M552" i="25"/>
  <c r="I552" i="25"/>
  <c r="R551" i="25"/>
  <c r="Q551" i="25"/>
  <c r="O551" i="25"/>
  <c r="N551" i="25"/>
  <c r="M551" i="25"/>
  <c r="I551" i="25"/>
  <c r="R550" i="25"/>
  <c r="Q550" i="25"/>
  <c r="P550" i="25"/>
  <c r="O550" i="25"/>
  <c r="N550" i="25"/>
  <c r="I550" i="25"/>
  <c r="L550" i="25" s="1"/>
  <c r="G550" i="25"/>
  <c r="R549" i="25"/>
  <c r="Q549" i="25"/>
  <c r="P549" i="25"/>
  <c r="O549" i="25"/>
  <c r="N549" i="25"/>
  <c r="I549" i="25"/>
  <c r="L549" i="25" s="1"/>
  <c r="G549" i="25"/>
  <c r="R548" i="25"/>
  <c r="Q548" i="25"/>
  <c r="P548" i="25"/>
  <c r="O548" i="25"/>
  <c r="N548" i="25"/>
  <c r="M548" i="25"/>
  <c r="L548" i="25"/>
  <c r="R547" i="25"/>
  <c r="Q547" i="25"/>
  <c r="P547" i="25"/>
  <c r="N547" i="25"/>
  <c r="M547" i="25"/>
  <c r="I547" i="25"/>
  <c r="R546" i="25"/>
  <c r="Q546" i="25"/>
  <c r="O546" i="25"/>
  <c r="N546" i="25"/>
  <c r="M546" i="25"/>
  <c r="I546" i="25"/>
  <c r="R545" i="25"/>
  <c r="Q545" i="25"/>
  <c r="P545" i="25"/>
  <c r="O545" i="25"/>
  <c r="N545" i="25"/>
  <c r="I545" i="25"/>
  <c r="L545" i="25" s="1"/>
  <c r="G545" i="25"/>
  <c r="R544" i="25"/>
  <c r="Q544" i="25"/>
  <c r="P544" i="25"/>
  <c r="O544" i="25"/>
  <c r="N544" i="25"/>
  <c r="I544" i="25"/>
  <c r="L544" i="25" s="1"/>
  <c r="G544" i="25"/>
  <c r="R543" i="25"/>
  <c r="Q543" i="25"/>
  <c r="P543" i="25"/>
  <c r="O543" i="25"/>
  <c r="N543" i="25"/>
  <c r="I543" i="25"/>
  <c r="L543" i="25" s="1"/>
  <c r="G543" i="25"/>
  <c r="R542" i="25"/>
  <c r="Q542" i="25"/>
  <c r="P542" i="25"/>
  <c r="O542" i="25"/>
  <c r="N542" i="25"/>
  <c r="I542" i="25"/>
  <c r="L542" i="25" s="1"/>
  <c r="G542" i="25"/>
  <c r="R541" i="25"/>
  <c r="Q541" i="25"/>
  <c r="P541" i="25"/>
  <c r="O541" i="25"/>
  <c r="N541" i="25"/>
  <c r="I541" i="25"/>
  <c r="L541" i="25" s="1"/>
  <c r="G541" i="25"/>
  <c r="R540" i="25"/>
  <c r="Q540" i="25"/>
  <c r="P540" i="25"/>
  <c r="O540" i="25"/>
  <c r="N540" i="25"/>
  <c r="I540" i="25"/>
  <c r="L540" i="25" s="1"/>
  <c r="G540" i="25"/>
  <c r="R539" i="25"/>
  <c r="Q539" i="25"/>
  <c r="P539" i="25"/>
  <c r="O539" i="25"/>
  <c r="N539" i="25"/>
  <c r="I539" i="25"/>
  <c r="L539" i="25" s="1"/>
  <c r="G539" i="25"/>
  <c r="R538" i="25"/>
  <c r="Q538" i="25"/>
  <c r="P538" i="25"/>
  <c r="O538" i="25"/>
  <c r="N538" i="25"/>
  <c r="I538" i="25"/>
  <c r="L538" i="25" s="1"/>
  <c r="G538" i="25"/>
  <c r="R537" i="25"/>
  <c r="Q537" i="25"/>
  <c r="P537" i="25"/>
  <c r="O537" i="25"/>
  <c r="N537" i="25"/>
  <c r="M537" i="25"/>
  <c r="L537" i="25"/>
  <c r="R536" i="25"/>
  <c r="Q536" i="25"/>
  <c r="P536" i="25"/>
  <c r="O536" i="25"/>
  <c r="M536" i="25"/>
  <c r="I536" i="25"/>
  <c r="R535" i="25"/>
  <c r="Q535" i="25"/>
  <c r="P535" i="25"/>
  <c r="N535" i="25"/>
  <c r="M535" i="25"/>
  <c r="I535" i="25"/>
  <c r="R534" i="25"/>
  <c r="Q534" i="25"/>
  <c r="O534" i="25"/>
  <c r="N534" i="25"/>
  <c r="M534" i="25"/>
  <c r="I534" i="25"/>
  <c r="R533" i="25"/>
  <c r="Q533" i="25"/>
  <c r="P533" i="25"/>
  <c r="O533" i="25"/>
  <c r="N533" i="25"/>
  <c r="I533" i="25"/>
  <c r="L533" i="25" s="1"/>
  <c r="G533" i="25"/>
  <c r="R532" i="25"/>
  <c r="Q532" i="25"/>
  <c r="P532" i="25"/>
  <c r="O532" i="25"/>
  <c r="N532" i="25"/>
  <c r="I532" i="25"/>
  <c r="L532" i="25" s="1"/>
  <c r="G532" i="25"/>
  <c r="R531" i="25"/>
  <c r="Q531" i="25"/>
  <c r="P531" i="25"/>
  <c r="O531" i="25"/>
  <c r="N531" i="25"/>
  <c r="I531" i="25"/>
  <c r="L531" i="25" s="1"/>
  <c r="G531" i="25"/>
  <c r="R530" i="25"/>
  <c r="Q530" i="25"/>
  <c r="P530" i="25"/>
  <c r="O530" i="25"/>
  <c r="N530" i="25"/>
  <c r="I530" i="25"/>
  <c r="L530" i="25" s="1"/>
  <c r="G530" i="25"/>
  <c r="R529" i="25"/>
  <c r="Q529" i="25"/>
  <c r="P529" i="25"/>
  <c r="O529" i="25"/>
  <c r="N529" i="25"/>
  <c r="I529" i="25"/>
  <c r="L529" i="25" s="1"/>
  <c r="G529" i="25"/>
  <c r="R528" i="25"/>
  <c r="Q528" i="25"/>
  <c r="P528" i="25"/>
  <c r="O528" i="25"/>
  <c r="N528" i="25"/>
  <c r="I528" i="25"/>
  <c r="L528" i="25" s="1"/>
  <c r="G528" i="25"/>
  <c r="R527" i="25"/>
  <c r="Q527" i="25"/>
  <c r="P527" i="25"/>
  <c r="O527" i="25"/>
  <c r="N527" i="25"/>
  <c r="I527" i="25"/>
  <c r="L527" i="25" s="1"/>
  <c r="G527" i="25"/>
  <c r="R526" i="25"/>
  <c r="Q526" i="25"/>
  <c r="P526" i="25"/>
  <c r="O526" i="25"/>
  <c r="N526" i="25"/>
  <c r="I526" i="25"/>
  <c r="L526" i="25" s="1"/>
  <c r="G526" i="25"/>
  <c r="R525" i="25"/>
  <c r="Q525" i="25"/>
  <c r="P525" i="25"/>
  <c r="O525" i="25"/>
  <c r="N525" i="25"/>
  <c r="M525" i="25"/>
  <c r="L525" i="25"/>
  <c r="R524" i="25"/>
  <c r="Q524" i="25"/>
  <c r="P524" i="25"/>
  <c r="O524" i="25"/>
  <c r="M524" i="25"/>
  <c r="I524" i="25"/>
  <c r="R523" i="25"/>
  <c r="Q523" i="25"/>
  <c r="P523" i="25"/>
  <c r="N523" i="25"/>
  <c r="M523" i="25"/>
  <c r="I523" i="25"/>
  <c r="R522" i="25"/>
  <c r="Q522" i="25"/>
  <c r="O522" i="25"/>
  <c r="N522" i="25"/>
  <c r="M522" i="25"/>
  <c r="I522" i="25"/>
  <c r="R521" i="25"/>
  <c r="Q521" i="25"/>
  <c r="P521" i="25"/>
  <c r="O521" i="25"/>
  <c r="N521" i="25"/>
  <c r="M521" i="25"/>
  <c r="L521" i="25"/>
  <c r="R494" i="25"/>
  <c r="Q494" i="25"/>
  <c r="P494" i="25"/>
  <c r="O494" i="25"/>
  <c r="N494" i="25"/>
  <c r="I494" i="25"/>
  <c r="L494" i="25" s="1"/>
  <c r="G494" i="25"/>
  <c r="R493" i="25"/>
  <c r="Q493" i="25"/>
  <c r="P493" i="25"/>
  <c r="O493" i="25"/>
  <c r="N493" i="25"/>
  <c r="I493" i="25"/>
  <c r="L493" i="25" s="1"/>
  <c r="G493" i="25"/>
  <c r="R492" i="25"/>
  <c r="Q492" i="25"/>
  <c r="P492" i="25"/>
  <c r="O492" i="25"/>
  <c r="N492" i="25"/>
  <c r="I492" i="25"/>
  <c r="L492" i="25" s="1"/>
  <c r="G492" i="25"/>
  <c r="R491" i="25"/>
  <c r="Q491" i="25"/>
  <c r="P491" i="25"/>
  <c r="O491" i="25"/>
  <c r="M491" i="25"/>
  <c r="I491" i="25"/>
  <c r="L491" i="25" s="1"/>
  <c r="G491" i="25"/>
  <c r="F491" i="25"/>
  <c r="R490" i="25"/>
  <c r="Q490" i="25"/>
  <c r="P490" i="25"/>
  <c r="O490" i="25"/>
  <c r="M490" i="25"/>
  <c r="I490" i="25"/>
  <c r="L490" i="25" s="1"/>
  <c r="G490" i="25"/>
  <c r="R489" i="25"/>
  <c r="Q489" i="25"/>
  <c r="P489" i="25"/>
  <c r="O489" i="25"/>
  <c r="M489" i="25"/>
  <c r="I489" i="25"/>
  <c r="L489" i="25" s="1"/>
  <c r="G489" i="25"/>
  <c r="E489" i="25"/>
  <c r="E490" i="25" s="1"/>
  <c r="R488" i="25"/>
  <c r="Q488" i="25"/>
  <c r="O488" i="25"/>
  <c r="N488" i="25"/>
  <c r="M488" i="25"/>
  <c r="I488" i="25"/>
  <c r="R487" i="25"/>
  <c r="Q487" i="25"/>
  <c r="P487" i="25"/>
  <c r="O487" i="25"/>
  <c r="N487" i="25"/>
  <c r="I487" i="25"/>
  <c r="L487" i="25" s="1"/>
  <c r="G487" i="25"/>
  <c r="R486" i="25"/>
  <c r="Q486" i="25"/>
  <c r="P486" i="25"/>
  <c r="O486" i="25"/>
  <c r="N486" i="25"/>
  <c r="I486" i="25"/>
  <c r="L486" i="25" s="1"/>
  <c r="G486" i="25"/>
  <c r="R485" i="25"/>
  <c r="Q485" i="25"/>
  <c r="P485" i="25"/>
  <c r="O485" i="25"/>
  <c r="N485" i="25"/>
  <c r="I485" i="25"/>
  <c r="L485" i="25" s="1"/>
  <c r="G485" i="25"/>
  <c r="R484" i="25"/>
  <c r="Q484" i="25"/>
  <c r="P484" i="25"/>
  <c r="O484" i="25"/>
  <c r="M484" i="25"/>
  <c r="I484" i="25"/>
  <c r="L484" i="25" s="1"/>
  <c r="G484" i="25"/>
  <c r="F484" i="25"/>
  <c r="R483" i="25"/>
  <c r="Q483" i="25"/>
  <c r="P483" i="25"/>
  <c r="O483" i="25"/>
  <c r="M483" i="25"/>
  <c r="I483" i="25"/>
  <c r="L483" i="25" s="1"/>
  <c r="G483" i="25"/>
  <c r="F483" i="25"/>
  <c r="R482" i="25"/>
  <c r="Q482" i="25"/>
  <c r="P482" i="25"/>
  <c r="O482" i="25"/>
  <c r="M482" i="25"/>
  <c r="I482" i="25"/>
  <c r="L482" i="25" s="1"/>
  <c r="G482" i="25"/>
  <c r="R481" i="25"/>
  <c r="Q481" i="25"/>
  <c r="P481" i="25"/>
  <c r="N481" i="25"/>
  <c r="M481" i="25"/>
  <c r="I481" i="25"/>
  <c r="E481" i="25"/>
  <c r="E482" i="25" s="1"/>
  <c r="R480" i="25"/>
  <c r="Q480" i="25"/>
  <c r="O480" i="25"/>
  <c r="N480" i="25"/>
  <c r="M480" i="25"/>
  <c r="I480" i="25"/>
  <c r="R479" i="25"/>
  <c r="Q479" i="25"/>
  <c r="P479" i="25"/>
  <c r="O479" i="25"/>
  <c r="N479" i="25"/>
  <c r="I479" i="25"/>
  <c r="L479" i="25" s="1"/>
  <c r="G479" i="25"/>
  <c r="R478" i="25"/>
  <c r="Q478" i="25"/>
  <c r="P478" i="25"/>
  <c r="O478" i="25"/>
  <c r="N478" i="25"/>
  <c r="I478" i="25"/>
  <c r="L478" i="25" s="1"/>
  <c r="G478" i="25"/>
  <c r="R477" i="25"/>
  <c r="Q477" i="25"/>
  <c r="P477" i="25"/>
  <c r="O477" i="25"/>
  <c r="N477" i="25"/>
  <c r="I477" i="25"/>
  <c r="L477" i="25" s="1"/>
  <c r="G477" i="25"/>
  <c r="R476" i="25"/>
  <c r="Q476" i="25"/>
  <c r="P476" i="25"/>
  <c r="O476" i="25"/>
  <c r="N476" i="25"/>
  <c r="I476" i="25"/>
  <c r="L476" i="25" s="1"/>
  <c r="G476" i="25"/>
  <c r="R475" i="25"/>
  <c r="Q475" i="25"/>
  <c r="P475" i="25"/>
  <c r="O475" i="25"/>
  <c r="M475" i="25"/>
  <c r="I475" i="25"/>
  <c r="L475" i="25" s="1"/>
  <c r="G475" i="25"/>
  <c r="R474" i="25"/>
  <c r="Q474" i="25"/>
  <c r="P474" i="25"/>
  <c r="O474" i="25"/>
  <c r="M474" i="25"/>
  <c r="I474" i="25"/>
  <c r="L474" i="25" s="1"/>
  <c r="G474" i="25"/>
  <c r="F474" i="25"/>
  <c r="R473" i="25"/>
  <c r="Q473" i="25"/>
  <c r="P473" i="25"/>
  <c r="O473" i="25"/>
  <c r="M473" i="25"/>
  <c r="I473" i="25"/>
  <c r="L473" i="25" s="1"/>
  <c r="G473" i="25"/>
  <c r="R472" i="25"/>
  <c r="Q472" i="25"/>
  <c r="P472" i="25"/>
  <c r="O472" i="25"/>
  <c r="M472" i="25"/>
  <c r="I472" i="25"/>
  <c r="L472" i="25" s="1"/>
  <c r="G472" i="25"/>
  <c r="R471" i="25"/>
  <c r="Q471" i="25"/>
  <c r="P471" i="25"/>
  <c r="N471" i="25"/>
  <c r="M471" i="25"/>
  <c r="I471" i="25"/>
  <c r="R470" i="25"/>
  <c r="Q470" i="25"/>
  <c r="O470" i="25"/>
  <c r="N470" i="25"/>
  <c r="M470" i="25"/>
  <c r="I470" i="25"/>
  <c r="R469" i="25"/>
  <c r="Q469" i="25"/>
  <c r="P469" i="25"/>
  <c r="O469" i="25"/>
  <c r="N469" i="25"/>
  <c r="I469" i="25"/>
  <c r="L469" i="25" s="1"/>
  <c r="G469" i="25"/>
  <c r="R468" i="25"/>
  <c r="Q468" i="25"/>
  <c r="P468" i="25"/>
  <c r="O468" i="25"/>
  <c r="N468" i="25"/>
  <c r="I468" i="25"/>
  <c r="L468" i="25" s="1"/>
  <c r="G468" i="25"/>
  <c r="R467" i="25"/>
  <c r="Q467" i="25"/>
  <c r="P467" i="25"/>
  <c r="O467" i="25"/>
  <c r="N467" i="25"/>
  <c r="I467" i="25"/>
  <c r="L467" i="25" s="1"/>
  <c r="G467" i="25"/>
  <c r="R466" i="25"/>
  <c r="Q466" i="25"/>
  <c r="P466" i="25"/>
  <c r="O466" i="25"/>
  <c r="N466" i="25"/>
  <c r="I466" i="25"/>
  <c r="L466" i="25" s="1"/>
  <c r="G466" i="25"/>
  <c r="R465" i="25"/>
  <c r="Q465" i="25"/>
  <c r="P465" i="25"/>
  <c r="O465" i="25"/>
  <c r="M465" i="25"/>
  <c r="I465" i="25"/>
  <c r="L465" i="25" s="1"/>
  <c r="G465" i="25"/>
  <c r="R464" i="25"/>
  <c r="Q464" i="25"/>
  <c r="P464" i="25"/>
  <c r="O464" i="25"/>
  <c r="M464" i="25"/>
  <c r="I464" i="25"/>
  <c r="L464" i="25" s="1"/>
  <c r="G464" i="25"/>
  <c r="F464" i="25"/>
  <c r="R463" i="25"/>
  <c r="Q463" i="25"/>
  <c r="P463" i="25"/>
  <c r="O463" i="25"/>
  <c r="M463" i="25"/>
  <c r="I463" i="25"/>
  <c r="L463" i="25" s="1"/>
  <c r="G463" i="25"/>
  <c r="R462" i="25"/>
  <c r="Q462" i="25"/>
  <c r="P462" i="25"/>
  <c r="O462" i="25"/>
  <c r="M462" i="25"/>
  <c r="I462" i="25"/>
  <c r="L462" i="25" s="1"/>
  <c r="G462" i="25"/>
  <c r="R461" i="25"/>
  <c r="Q461" i="25"/>
  <c r="P461" i="25"/>
  <c r="N461" i="25"/>
  <c r="M461" i="25"/>
  <c r="I461" i="25"/>
  <c r="E461" i="25"/>
  <c r="E462" i="25" s="1"/>
  <c r="R460" i="25"/>
  <c r="Q460" i="25"/>
  <c r="O460" i="25"/>
  <c r="N460" i="25"/>
  <c r="M460" i="25"/>
  <c r="I460" i="25"/>
  <c r="R459" i="25"/>
  <c r="Q459" i="25"/>
  <c r="P459" i="25"/>
  <c r="O459" i="25"/>
  <c r="N459" i="25"/>
  <c r="I459" i="25"/>
  <c r="L459" i="25" s="1"/>
  <c r="G459" i="25"/>
  <c r="R458" i="25"/>
  <c r="Q458" i="25"/>
  <c r="P458" i="25"/>
  <c r="O458" i="25"/>
  <c r="N458" i="25"/>
  <c r="I458" i="25"/>
  <c r="L458" i="25" s="1"/>
  <c r="G458" i="25"/>
  <c r="R457" i="25"/>
  <c r="Q457" i="25"/>
  <c r="P457" i="25"/>
  <c r="O457" i="25"/>
  <c r="N457" i="25"/>
  <c r="I457" i="25"/>
  <c r="L457" i="25" s="1"/>
  <c r="G457" i="25"/>
  <c r="R456" i="25"/>
  <c r="Q456" i="25"/>
  <c r="P456" i="25"/>
  <c r="O456" i="25"/>
  <c r="N456" i="25"/>
  <c r="I456" i="25"/>
  <c r="L456" i="25" s="1"/>
  <c r="G456" i="25"/>
  <c r="R455" i="25"/>
  <c r="Q455" i="25"/>
  <c r="P455" i="25"/>
  <c r="O455" i="25"/>
  <c r="M455" i="25"/>
  <c r="I455" i="25"/>
  <c r="L455" i="25" s="1"/>
  <c r="G455" i="25"/>
  <c r="R454" i="25"/>
  <c r="Q454" i="25"/>
  <c r="P454" i="25"/>
  <c r="O454" i="25"/>
  <c r="M454" i="25"/>
  <c r="I454" i="25"/>
  <c r="L454" i="25" s="1"/>
  <c r="G454" i="25"/>
  <c r="F454" i="25"/>
  <c r="R453" i="25"/>
  <c r="Q453" i="25"/>
  <c r="P453" i="25"/>
  <c r="O453" i="25"/>
  <c r="M453" i="25"/>
  <c r="I453" i="25"/>
  <c r="L453" i="25" s="1"/>
  <c r="G453" i="25"/>
  <c r="R452" i="25"/>
  <c r="Q452" i="25"/>
  <c r="P452" i="25"/>
  <c r="O452" i="25"/>
  <c r="M452" i="25"/>
  <c r="I452" i="25"/>
  <c r="L452" i="25" s="1"/>
  <c r="G452" i="25"/>
  <c r="E452" i="25"/>
  <c r="E453" i="25" s="1"/>
  <c r="E454" i="25" s="1"/>
  <c r="R451" i="25"/>
  <c r="Q451" i="25"/>
  <c r="O451" i="25"/>
  <c r="N451" i="25"/>
  <c r="M451" i="25"/>
  <c r="I451" i="25"/>
  <c r="R450" i="25"/>
  <c r="P450" i="25"/>
  <c r="O450" i="25"/>
  <c r="N450" i="25"/>
  <c r="M450" i="25"/>
  <c r="I450" i="25"/>
  <c r="R449" i="25"/>
  <c r="Q449" i="25"/>
  <c r="P449" i="25"/>
  <c r="O449" i="25"/>
  <c r="N449" i="25"/>
  <c r="I449" i="25"/>
  <c r="L449" i="25" s="1"/>
  <c r="G449" i="25"/>
  <c r="R448" i="25"/>
  <c r="Q448" i="25"/>
  <c r="P448" i="25"/>
  <c r="O448" i="25"/>
  <c r="N448" i="25"/>
  <c r="I448" i="25"/>
  <c r="L448" i="25" s="1"/>
  <c r="G448" i="25"/>
  <c r="R447" i="25"/>
  <c r="Q447" i="25"/>
  <c r="P447" i="25"/>
  <c r="O447" i="25"/>
  <c r="N447" i="25"/>
  <c r="I447" i="25"/>
  <c r="L447" i="25" s="1"/>
  <c r="G447" i="25"/>
  <c r="R446" i="25"/>
  <c r="Q446" i="25"/>
  <c r="P446" i="25"/>
  <c r="O446" i="25"/>
  <c r="M446" i="25"/>
  <c r="I446" i="25"/>
  <c r="L446" i="25" s="1"/>
  <c r="G446" i="25"/>
  <c r="F446" i="25"/>
  <c r="R445" i="25"/>
  <c r="Q445" i="25"/>
  <c r="P445" i="25"/>
  <c r="O445" i="25"/>
  <c r="M445" i="25"/>
  <c r="I445" i="25"/>
  <c r="L445" i="25" s="1"/>
  <c r="G445" i="25"/>
  <c r="R444" i="25"/>
  <c r="Q444" i="25"/>
  <c r="P444" i="25"/>
  <c r="O444" i="25"/>
  <c r="M444" i="25"/>
  <c r="I444" i="25"/>
  <c r="L444" i="25" s="1"/>
  <c r="G444" i="25"/>
  <c r="R443" i="25"/>
  <c r="P443" i="25"/>
  <c r="O443" i="25"/>
  <c r="N443" i="25"/>
  <c r="M443" i="25"/>
  <c r="I443" i="25"/>
  <c r="E443" i="25"/>
  <c r="Q442" i="25"/>
  <c r="O442" i="25"/>
  <c r="N442" i="25"/>
  <c r="M442" i="25"/>
  <c r="I442" i="25"/>
  <c r="R441" i="25"/>
  <c r="Q441" i="25"/>
  <c r="P441" i="25"/>
  <c r="O441" i="25"/>
  <c r="N441" i="25"/>
  <c r="I441" i="25"/>
  <c r="L441" i="25" s="1"/>
  <c r="G441" i="25"/>
  <c r="R440" i="25"/>
  <c r="Q440" i="25"/>
  <c r="P440" i="25"/>
  <c r="O440" i="25"/>
  <c r="N440" i="25"/>
  <c r="I440" i="25"/>
  <c r="L440" i="25" s="1"/>
  <c r="G440" i="25"/>
  <c r="R439" i="25"/>
  <c r="Q439" i="25"/>
  <c r="P439" i="25"/>
  <c r="O439" i="25"/>
  <c r="N439" i="25"/>
  <c r="I439" i="25"/>
  <c r="L439" i="25" s="1"/>
  <c r="G439" i="25"/>
  <c r="R438" i="25"/>
  <c r="Q438" i="25"/>
  <c r="P438" i="25"/>
  <c r="O438" i="25"/>
  <c r="M438" i="25"/>
  <c r="I438" i="25"/>
  <c r="L438" i="25" s="1"/>
  <c r="G438" i="25"/>
  <c r="F438" i="25"/>
  <c r="R437" i="25"/>
  <c r="Q437" i="25"/>
  <c r="P437" i="25"/>
  <c r="O437" i="25"/>
  <c r="M437" i="25"/>
  <c r="I437" i="25"/>
  <c r="L437" i="25" s="1"/>
  <c r="G437" i="25"/>
  <c r="R436" i="25"/>
  <c r="Q436" i="25"/>
  <c r="P436" i="25"/>
  <c r="O436" i="25"/>
  <c r="M436" i="25"/>
  <c r="I436" i="25"/>
  <c r="L436" i="25" s="1"/>
  <c r="G436" i="25"/>
  <c r="R435" i="25"/>
  <c r="Q435" i="25"/>
  <c r="P435" i="25"/>
  <c r="N435" i="25"/>
  <c r="M435" i="25"/>
  <c r="I435" i="25"/>
  <c r="R434" i="25"/>
  <c r="Q434" i="25"/>
  <c r="O434" i="25"/>
  <c r="N434" i="25"/>
  <c r="M434" i="25"/>
  <c r="I434" i="25"/>
  <c r="R433" i="25"/>
  <c r="Q433" i="25"/>
  <c r="P433" i="25"/>
  <c r="O433" i="25"/>
  <c r="N433" i="25"/>
  <c r="I433" i="25"/>
  <c r="L433" i="25" s="1"/>
  <c r="G433" i="25"/>
  <c r="R432" i="25"/>
  <c r="Q432" i="25"/>
  <c r="P432" i="25"/>
  <c r="O432" i="25"/>
  <c r="N432" i="25"/>
  <c r="I432" i="25"/>
  <c r="L432" i="25" s="1"/>
  <c r="G432" i="25"/>
  <c r="R431" i="25"/>
  <c r="Q431" i="25"/>
  <c r="P431" i="25"/>
  <c r="O431" i="25"/>
  <c r="N431" i="25"/>
  <c r="I431" i="25"/>
  <c r="L431" i="25" s="1"/>
  <c r="G431" i="25"/>
  <c r="R430" i="25"/>
  <c r="Q430" i="25"/>
  <c r="P430" i="25"/>
  <c r="O430" i="25"/>
  <c r="M430" i="25"/>
  <c r="I430" i="25"/>
  <c r="L430" i="25" s="1"/>
  <c r="G430" i="25"/>
  <c r="F430" i="25"/>
  <c r="R429" i="25"/>
  <c r="Q429" i="25"/>
  <c r="P429" i="25"/>
  <c r="O429" i="25"/>
  <c r="M429" i="25"/>
  <c r="I429" i="25"/>
  <c r="L429" i="25" s="1"/>
  <c r="G429" i="25"/>
  <c r="R428" i="25"/>
  <c r="Q428" i="25"/>
  <c r="P428" i="25"/>
  <c r="O428" i="25"/>
  <c r="M428" i="25"/>
  <c r="I428" i="25"/>
  <c r="L428" i="25" s="1"/>
  <c r="G428" i="25"/>
  <c r="R427" i="25"/>
  <c r="Q427" i="25"/>
  <c r="P427" i="25"/>
  <c r="N427" i="25"/>
  <c r="M427" i="25"/>
  <c r="I427" i="25"/>
  <c r="R426" i="25"/>
  <c r="Q426" i="25"/>
  <c r="O426" i="25"/>
  <c r="N426" i="25"/>
  <c r="M426" i="25"/>
  <c r="I426" i="25"/>
  <c r="R423" i="25"/>
  <c r="Q423" i="25"/>
  <c r="P423" i="25"/>
  <c r="O423" i="25"/>
  <c r="N423" i="25"/>
  <c r="M423" i="25"/>
  <c r="L423" i="25"/>
  <c r="R422" i="25"/>
  <c r="Q422" i="25"/>
  <c r="P422" i="25"/>
  <c r="O422" i="25"/>
  <c r="N422" i="25"/>
  <c r="I422" i="25"/>
  <c r="L422" i="25" s="1"/>
  <c r="G422" i="25"/>
  <c r="R421" i="25"/>
  <c r="Q421" i="25"/>
  <c r="P421" i="25"/>
  <c r="O421" i="25"/>
  <c r="N421" i="25"/>
  <c r="I421" i="25"/>
  <c r="L421" i="25" s="1"/>
  <c r="G421" i="25"/>
  <c r="R420" i="25"/>
  <c r="Q420" i="25"/>
  <c r="P420" i="25"/>
  <c r="O420" i="25"/>
  <c r="N420" i="25"/>
  <c r="I420" i="25"/>
  <c r="L420" i="25" s="1"/>
  <c r="G420" i="25"/>
  <c r="F420" i="25"/>
  <c r="R419" i="25"/>
  <c r="Q419" i="25"/>
  <c r="P419" i="25"/>
  <c r="O419" i="25"/>
  <c r="N419" i="25"/>
  <c r="I419" i="25"/>
  <c r="L419" i="25" s="1"/>
  <c r="G419" i="25"/>
  <c r="R418" i="25"/>
  <c r="Q418" i="25"/>
  <c r="P418" i="25"/>
  <c r="O418" i="25"/>
  <c r="N418" i="25"/>
  <c r="M418" i="25"/>
  <c r="L418" i="25"/>
  <c r="R417" i="25"/>
  <c r="Q417" i="25"/>
  <c r="P417" i="25"/>
  <c r="O417" i="25"/>
  <c r="M417" i="25"/>
  <c r="I417" i="25"/>
  <c r="R416" i="25"/>
  <c r="Q416" i="25"/>
  <c r="P416" i="25"/>
  <c r="N416" i="25"/>
  <c r="M416" i="25"/>
  <c r="I416" i="25"/>
  <c r="R415" i="25"/>
  <c r="Q415" i="25"/>
  <c r="O415" i="25"/>
  <c r="N415" i="25"/>
  <c r="M415" i="25"/>
  <c r="I415" i="25"/>
  <c r="R414" i="25"/>
  <c r="Q414" i="25"/>
  <c r="P414" i="25"/>
  <c r="O414" i="25"/>
  <c r="N414" i="25"/>
  <c r="I414" i="25"/>
  <c r="L414" i="25" s="1"/>
  <c r="G414" i="25"/>
  <c r="R413" i="25"/>
  <c r="Q413" i="25"/>
  <c r="P413" i="25"/>
  <c r="O413" i="25"/>
  <c r="N413" i="25"/>
  <c r="I413" i="25"/>
  <c r="L413" i="25" s="1"/>
  <c r="G413" i="25"/>
  <c r="R412" i="25"/>
  <c r="Q412" i="25"/>
  <c r="P412" i="25"/>
  <c r="O412" i="25"/>
  <c r="N412" i="25"/>
  <c r="I412" i="25"/>
  <c r="L412" i="25" s="1"/>
  <c r="G412" i="25"/>
  <c r="R411" i="25"/>
  <c r="Q411" i="25"/>
  <c r="P411" i="25"/>
  <c r="O411" i="25"/>
  <c r="N411" i="25"/>
  <c r="I411" i="25"/>
  <c r="L411" i="25" s="1"/>
  <c r="G411" i="25"/>
  <c r="R410" i="25"/>
  <c r="Q410" i="25"/>
  <c r="P410" i="25"/>
  <c r="O410" i="25"/>
  <c r="N410" i="25"/>
  <c r="I410" i="25"/>
  <c r="L410" i="25" s="1"/>
  <c r="G410" i="25"/>
  <c r="R409" i="25"/>
  <c r="Q409" i="25"/>
  <c r="P409" i="25"/>
  <c r="O409" i="25"/>
  <c r="N409" i="25"/>
  <c r="I409" i="25"/>
  <c r="L409" i="25" s="1"/>
  <c r="G409" i="25"/>
  <c r="R408" i="25"/>
  <c r="Q408" i="25"/>
  <c r="P408" i="25"/>
  <c r="O408" i="25"/>
  <c r="N408" i="25"/>
  <c r="I408" i="25"/>
  <c r="L408" i="25" s="1"/>
  <c r="G408" i="25"/>
  <c r="R407" i="25"/>
  <c r="Q407" i="25"/>
  <c r="P407" i="25"/>
  <c r="O407" i="25"/>
  <c r="N407" i="25"/>
  <c r="I407" i="25"/>
  <c r="L407" i="25" s="1"/>
  <c r="G407" i="25"/>
  <c r="R406" i="25"/>
  <c r="Q406" i="25"/>
  <c r="P406" i="25"/>
  <c r="O406" i="25"/>
  <c r="N406" i="25"/>
  <c r="M406" i="25"/>
  <c r="L406" i="25"/>
  <c r="R405" i="25"/>
  <c r="Q405" i="25"/>
  <c r="P405" i="25"/>
  <c r="O405" i="25"/>
  <c r="M405" i="25"/>
  <c r="I405" i="25"/>
  <c r="R404" i="25"/>
  <c r="Q404" i="25"/>
  <c r="P404" i="25"/>
  <c r="N404" i="25"/>
  <c r="M404" i="25"/>
  <c r="I404" i="25"/>
  <c r="R403" i="25"/>
  <c r="Q403" i="25"/>
  <c r="O403" i="25"/>
  <c r="N403" i="25"/>
  <c r="M403" i="25"/>
  <c r="I403" i="25"/>
  <c r="R402" i="25"/>
  <c r="Q402" i="25"/>
  <c r="P402" i="25"/>
  <c r="O402" i="25"/>
  <c r="N402" i="25"/>
  <c r="I402" i="25"/>
  <c r="L402" i="25" s="1"/>
  <c r="G402" i="25"/>
  <c r="R401" i="25"/>
  <c r="Q401" i="25"/>
  <c r="P401" i="25"/>
  <c r="O401" i="25"/>
  <c r="N401" i="25"/>
  <c r="I401" i="25"/>
  <c r="L401" i="25" s="1"/>
  <c r="G401" i="25"/>
  <c r="R400" i="25"/>
  <c r="Q400" i="25"/>
  <c r="P400" i="25"/>
  <c r="O400" i="25"/>
  <c r="N400" i="25"/>
  <c r="I400" i="25"/>
  <c r="L400" i="25" s="1"/>
  <c r="G400" i="25"/>
  <c r="F400" i="25"/>
  <c r="R399" i="25"/>
  <c r="Q399" i="25"/>
  <c r="P399" i="25"/>
  <c r="O399" i="25"/>
  <c r="N399" i="25"/>
  <c r="I399" i="25"/>
  <c r="L399" i="25" s="1"/>
  <c r="G399" i="25"/>
  <c r="R398" i="25"/>
  <c r="Q398" i="25"/>
  <c r="P398" i="25"/>
  <c r="O398" i="25"/>
  <c r="N398" i="25"/>
  <c r="M398" i="25"/>
  <c r="L398" i="25"/>
  <c r="R397" i="25"/>
  <c r="Q397" i="25"/>
  <c r="P397" i="25"/>
  <c r="O397" i="25"/>
  <c r="M397" i="25"/>
  <c r="I397" i="25"/>
  <c r="R396" i="25"/>
  <c r="Q396" i="25"/>
  <c r="P396" i="25"/>
  <c r="N396" i="25"/>
  <c r="M396" i="25"/>
  <c r="I396" i="25"/>
  <c r="R395" i="25"/>
  <c r="Q395" i="25"/>
  <c r="O395" i="25"/>
  <c r="N395" i="25"/>
  <c r="M395" i="25"/>
  <c r="I395" i="25"/>
  <c r="R394" i="25"/>
  <c r="Q394" i="25"/>
  <c r="P394" i="25"/>
  <c r="O394" i="25"/>
  <c r="N394" i="25"/>
  <c r="I394" i="25"/>
  <c r="L394" i="25" s="1"/>
  <c r="G394" i="25"/>
  <c r="R393" i="25"/>
  <c r="Q393" i="25"/>
  <c r="P393" i="25"/>
  <c r="O393" i="25"/>
  <c r="N393" i="25"/>
  <c r="I393" i="25"/>
  <c r="L393" i="25" s="1"/>
  <c r="G393" i="25"/>
  <c r="R392" i="25"/>
  <c r="Q392" i="25"/>
  <c r="P392" i="25"/>
  <c r="O392" i="25"/>
  <c r="N392" i="25"/>
  <c r="I392" i="25"/>
  <c r="L392" i="25" s="1"/>
  <c r="G392" i="25"/>
  <c r="R391" i="25"/>
  <c r="Q391" i="25"/>
  <c r="P391" i="25"/>
  <c r="O391" i="25"/>
  <c r="N391" i="25"/>
  <c r="I391" i="25"/>
  <c r="L391" i="25" s="1"/>
  <c r="G391" i="25"/>
  <c r="F391" i="25"/>
  <c r="R390" i="25"/>
  <c r="Q390" i="25"/>
  <c r="P390" i="25"/>
  <c r="O390" i="25"/>
  <c r="N390" i="25"/>
  <c r="I390" i="25"/>
  <c r="L390" i="25" s="1"/>
  <c r="G390" i="25"/>
  <c r="R389" i="25"/>
  <c r="Q389" i="25"/>
  <c r="P389" i="25"/>
  <c r="O389" i="25"/>
  <c r="N389" i="25"/>
  <c r="M389" i="25"/>
  <c r="L389" i="25"/>
  <c r="R388" i="25"/>
  <c r="Q388" i="25"/>
  <c r="P388" i="25"/>
  <c r="O388" i="25"/>
  <c r="M388" i="25"/>
  <c r="I388" i="25"/>
  <c r="R387" i="25"/>
  <c r="Q387" i="25"/>
  <c r="P387" i="25"/>
  <c r="N387" i="25"/>
  <c r="M387" i="25"/>
  <c r="I387" i="25"/>
  <c r="R386" i="25"/>
  <c r="Q386" i="25"/>
  <c r="O386" i="25"/>
  <c r="N386" i="25"/>
  <c r="M386" i="25"/>
  <c r="I386" i="25"/>
  <c r="R385" i="25"/>
  <c r="Q385" i="25"/>
  <c r="P385" i="25"/>
  <c r="O385" i="25"/>
  <c r="N385" i="25"/>
  <c r="I385" i="25"/>
  <c r="L385" i="25" s="1"/>
  <c r="G385" i="25"/>
  <c r="R384" i="25"/>
  <c r="Q384" i="25"/>
  <c r="P384" i="25"/>
  <c r="O384" i="25"/>
  <c r="N384" i="25"/>
  <c r="I384" i="25"/>
  <c r="L384" i="25" s="1"/>
  <c r="G384" i="25"/>
  <c r="R383" i="25"/>
  <c r="Q383" i="25"/>
  <c r="P383" i="25"/>
  <c r="O383" i="25"/>
  <c r="N383" i="25"/>
  <c r="I383" i="25"/>
  <c r="L383" i="25" s="1"/>
  <c r="G383" i="25"/>
  <c r="R382" i="25"/>
  <c r="Q382" i="25"/>
  <c r="P382" i="25"/>
  <c r="O382" i="25"/>
  <c r="N382" i="25"/>
  <c r="I382" i="25"/>
  <c r="L382" i="25" s="1"/>
  <c r="G382" i="25"/>
  <c r="R381" i="25"/>
  <c r="Q381" i="25"/>
  <c r="P381" i="25"/>
  <c r="O381" i="25"/>
  <c r="N381" i="25"/>
  <c r="I381" i="25"/>
  <c r="L381" i="25" s="1"/>
  <c r="G381" i="25"/>
  <c r="R380" i="25"/>
  <c r="Q380" i="25"/>
  <c r="P380" i="25"/>
  <c r="O380" i="25"/>
  <c r="N380" i="25"/>
  <c r="I380" i="25"/>
  <c r="L380" i="25" s="1"/>
  <c r="G380" i="25"/>
  <c r="R379" i="25"/>
  <c r="Q379" i="25"/>
  <c r="P379" i="25"/>
  <c r="O379" i="25"/>
  <c r="N379" i="25"/>
  <c r="I379" i="25"/>
  <c r="L379" i="25" s="1"/>
  <c r="G379" i="25"/>
  <c r="R378" i="25"/>
  <c r="Q378" i="25"/>
  <c r="P378" i="25"/>
  <c r="O378" i="25"/>
  <c r="N378" i="25"/>
  <c r="I378" i="25"/>
  <c r="L378" i="25" s="1"/>
  <c r="G378" i="25"/>
  <c r="R377" i="25"/>
  <c r="Q377" i="25"/>
  <c r="P377" i="25"/>
  <c r="O377" i="25"/>
  <c r="N377" i="25"/>
  <c r="M377" i="25"/>
  <c r="L377" i="25"/>
  <c r="R376" i="25"/>
  <c r="Q376" i="25"/>
  <c r="P376" i="25"/>
  <c r="O376" i="25"/>
  <c r="M376" i="25"/>
  <c r="I376" i="25"/>
  <c r="R375" i="25"/>
  <c r="Q375" i="25"/>
  <c r="P375" i="25"/>
  <c r="N375" i="25"/>
  <c r="M375" i="25"/>
  <c r="I375" i="25"/>
  <c r="R374" i="25"/>
  <c r="Q374" i="25"/>
  <c r="O374" i="25"/>
  <c r="N374" i="25"/>
  <c r="M374" i="25"/>
  <c r="I374" i="25"/>
  <c r="R373" i="25"/>
  <c r="Q373" i="25"/>
  <c r="P373" i="25"/>
  <c r="O373" i="25"/>
  <c r="N373" i="25"/>
  <c r="I373" i="25"/>
  <c r="L373" i="25" s="1"/>
  <c r="G373" i="25"/>
  <c r="R372" i="25"/>
  <c r="Q372" i="25"/>
  <c r="P372" i="25"/>
  <c r="O372" i="25"/>
  <c r="N372" i="25"/>
  <c r="I372" i="25"/>
  <c r="L372" i="25" s="1"/>
  <c r="G372" i="25"/>
  <c r="R371" i="25"/>
  <c r="Q371" i="25"/>
  <c r="P371" i="25"/>
  <c r="O371" i="25"/>
  <c r="N371" i="25"/>
  <c r="I371" i="25"/>
  <c r="L371" i="25" s="1"/>
  <c r="G371" i="25"/>
  <c r="R370" i="25"/>
  <c r="Q370" i="25"/>
  <c r="P370" i="25"/>
  <c r="O370" i="25"/>
  <c r="N370" i="25"/>
  <c r="I370" i="25"/>
  <c r="L370" i="25" s="1"/>
  <c r="G370" i="25"/>
  <c r="R369" i="25"/>
  <c r="Q369" i="25"/>
  <c r="P369" i="25"/>
  <c r="O369" i="25"/>
  <c r="N369" i="25"/>
  <c r="M369" i="25"/>
  <c r="L369" i="25"/>
  <c r="R368" i="25"/>
  <c r="Q368" i="25"/>
  <c r="P368" i="25"/>
  <c r="N368" i="25"/>
  <c r="M368" i="25"/>
  <c r="I368" i="25"/>
  <c r="R367" i="25"/>
  <c r="Q367" i="25"/>
  <c r="O367" i="25"/>
  <c r="N367" i="25"/>
  <c r="M367" i="25"/>
  <c r="I367" i="25"/>
  <c r="R366" i="25"/>
  <c r="Q366" i="25"/>
  <c r="P366" i="25"/>
  <c r="O366" i="25"/>
  <c r="N366" i="25"/>
  <c r="I366" i="25"/>
  <c r="L366" i="25" s="1"/>
  <c r="G366" i="25"/>
  <c r="R365" i="25"/>
  <c r="Q365" i="25"/>
  <c r="P365" i="25"/>
  <c r="O365" i="25"/>
  <c r="N365" i="25"/>
  <c r="I365" i="25"/>
  <c r="L365" i="25" s="1"/>
  <c r="G365" i="25"/>
  <c r="R364" i="25"/>
  <c r="Q364" i="25"/>
  <c r="P364" i="25"/>
  <c r="O364" i="25"/>
  <c r="N364" i="25"/>
  <c r="I364" i="25"/>
  <c r="L364" i="25" s="1"/>
  <c r="G364" i="25"/>
  <c r="R363" i="25"/>
  <c r="Q363" i="25"/>
  <c r="P363" i="25"/>
  <c r="O363" i="25"/>
  <c r="N363" i="25"/>
  <c r="I363" i="25"/>
  <c r="L363" i="25" s="1"/>
  <c r="G363" i="25"/>
  <c r="R362" i="25"/>
  <c r="Q362" i="25"/>
  <c r="P362" i="25"/>
  <c r="O362" i="25"/>
  <c r="N362" i="25"/>
  <c r="M362" i="25"/>
  <c r="L362" i="25"/>
  <c r="R361" i="25"/>
  <c r="Q361" i="25"/>
  <c r="P361" i="25"/>
  <c r="N361" i="25"/>
  <c r="M361" i="25"/>
  <c r="I361" i="25"/>
  <c r="R360" i="25"/>
  <c r="Q360" i="25"/>
  <c r="O360" i="25"/>
  <c r="N360" i="25"/>
  <c r="M360" i="25"/>
  <c r="I360" i="25"/>
  <c r="R359" i="25"/>
  <c r="Q359" i="25"/>
  <c r="P359" i="25"/>
  <c r="O359" i="25"/>
  <c r="N359" i="25"/>
  <c r="I359" i="25"/>
  <c r="L359" i="25" s="1"/>
  <c r="G359" i="25"/>
  <c r="R358" i="25"/>
  <c r="Q358" i="25"/>
  <c r="P358" i="25"/>
  <c r="O358" i="25"/>
  <c r="N358" i="25"/>
  <c r="I358" i="25"/>
  <c r="L358" i="25" s="1"/>
  <c r="G358" i="25"/>
  <c r="R357" i="25"/>
  <c r="Q357" i="25"/>
  <c r="P357" i="25"/>
  <c r="O357" i="25"/>
  <c r="N357" i="25"/>
  <c r="M357" i="25"/>
  <c r="L357" i="25"/>
  <c r="R356" i="25"/>
  <c r="Q356" i="25"/>
  <c r="P356" i="25"/>
  <c r="N356" i="25"/>
  <c r="M356" i="25"/>
  <c r="I356" i="25"/>
  <c r="E356" i="25"/>
  <c r="R355" i="25"/>
  <c r="Q355" i="25"/>
  <c r="O355" i="25"/>
  <c r="N355" i="25"/>
  <c r="M355" i="25"/>
  <c r="I355" i="25"/>
  <c r="R354" i="25"/>
  <c r="Q354" i="25"/>
  <c r="P354" i="25"/>
  <c r="O354" i="25"/>
  <c r="N354" i="25"/>
  <c r="I354" i="25"/>
  <c r="L354" i="25" s="1"/>
  <c r="G354" i="25"/>
  <c r="R353" i="25"/>
  <c r="Q353" i="25"/>
  <c r="P353" i="25"/>
  <c r="O353" i="25"/>
  <c r="N353" i="25"/>
  <c r="I353" i="25"/>
  <c r="L353" i="25" s="1"/>
  <c r="G353" i="25"/>
  <c r="R352" i="25"/>
  <c r="Q352" i="25"/>
  <c r="P352" i="25"/>
  <c r="O352" i="25"/>
  <c r="N352" i="25"/>
  <c r="I352" i="25"/>
  <c r="L352" i="25" s="1"/>
  <c r="G352" i="25"/>
  <c r="R351" i="25"/>
  <c r="Q351" i="25"/>
  <c r="P351" i="25"/>
  <c r="O351" i="25"/>
  <c r="N351" i="25"/>
  <c r="I351" i="25"/>
  <c r="L351" i="25" s="1"/>
  <c r="G351" i="25"/>
  <c r="R350" i="25"/>
  <c r="Q350" i="25"/>
  <c r="P350" i="25"/>
  <c r="O350" i="25"/>
  <c r="N350" i="25"/>
  <c r="M350" i="25"/>
  <c r="L350" i="25"/>
  <c r="R349" i="25"/>
  <c r="Q349" i="25"/>
  <c r="P349" i="25"/>
  <c r="N349" i="25"/>
  <c r="M349" i="25"/>
  <c r="I349" i="25"/>
  <c r="E349" i="25"/>
  <c r="R348" i="25"/>
  <c r="Q348" i="25"/>
  <c r="O348" i="25"/>
  <c r="N348" i="25"/>
  <c r="M348" i="25"/>
  <c r="I348" i="25"/>
  <c r="R347" i="25"/>
  <c r="Q347" i="25"/>
  <c r="P347" i="25"/>
  <c r="O347" i="25"/>
  <c r="N347" i="25"/>
  <c r="I347" i="25"/>
  <c r="L347" i="25" s="1"/>
  <c r="G347" i="25"/>
  <c r="R346" i="25"/>
  <c r="Q346" i="25"/>
  <c r="P346" i="25"/>
  <c r="O346" i="25"/>
  <c r="N346" i="25"/>
  <c r="I346" i="25"/>
  <c r="L346" i="25" s="1"/>
  <c r="G346" i="25"/>
  <c r="R345" i="25"/>
  <c r="Q345" i="25"/>
  <c r="P345" i="25"/>
  <c r="O345" i="25"/>
  <c r="N345" i="25"/>
  <c r="I345" i="25"/>
  <c r="L345" i="25" s="1"/>
  <c r="G345" i="25"/>
  <c r="R344" i="25"/>
  <c r="Q344" i="25"/>
  <c r="P344" i="25"/>
  <c r="O344" i="25"/>
  <c r="N344" i="25"/>
  <c r="M344" i="25"/>
  <c r="L344" i="25"/>
  <c r="R343" i="25"/>
  <c r="Q343" i="25"/>
  <c r="P343" i="25"/>
  <c r="N343" i="25"/>
  <c r="M343" i="25"/>
  <c r="I343" i="25"/>
  <c r="R342" i="25"/>
  <c r="Q342" i="25"/>
  <c r="O342" i="25"/>
  <c r="N342" i="25"/>
  <c r="M342" i="25"/>
  <c r="I342" i="25"/>
  <c r="R341" i="25"/>
  <c r="Q341" i="25"/>
  <c r="P341" i="25"/>
  <c r="O341" i="25"/>
  <c r="N341" i="25"/>
  <c r="I341" i="25"/>
  <c r="L341" i="25" s="1"/>
  <c r="G341" i="25"/>
  <c r="R340" i="25"/>
  <c r="Q340" i="25"/>
  <c r="P340" i="25"/>
  <c r="O340" i="25"/>
  <c r="N340" i="25"/>
  <c r="I340" i="25"/>
  <c r="L340" i="25" s="1"/>
  <c r="G340" i="25"/>
  <c r="R339" i="25"/>
  <c r="Q339" i="25"/>
  <c r="P339" i="25"/>
  <c r="O339" i="25"/>
  <c r="N339" i="25"/>
  <c r="M339" i="25"/>
  <c r="L339" i="25"/>
  <c r="R338" i="25"/>
  <c r="Q338" i="25"/>
  <c r="P338" i="25"/>
  <c r="N338" i="25"/>
  <c r="M338" i="25"/>
  <c r="I338" i="25"/>
  <c r="R337" i="25"/>
  <c r="Q337" i="25"/>
  <c r="O337" i="25"/>
  <c r="N337" i="25"/>
  <c r="M337" i="25"/>
  <c r="I337" i="25"/>
  <c r="R336" i="25"/>
  <c r="Q336" i="25"/>
  <c r="P336" i="25"/>
  <c r="O336" i="25"/>
  <c r="N336" i="25"/>
  <c r="I336" i="25"/>
  <c r="L336" i="25" s="1"/>
  <c r="G336" i="25"/>
  <c r="R335" i="25"/>
  <c r="Q335" i="25"/>
  <c r="P335" i="25"/>
  <c r="O335" i="25"/>
  <c r="N335" i="25"/>
  <c r="I335" i="25"/>
  <c r="L335" i="25" s="1"/>
  <c r="G335" i="25"/>
  <c r="R334" i="25"/>
  <c r="Q334" i="25"/>
  <c r="P334" i="25"/>
  <c r="O334" i="25"/>
  <c r="N334" i="25"/>
  <c r="I334" i="25"/>
  <c r="L334" i="25" s="1"/>
  <c r="G334" i="25"/>
  <c r="R333" i="25"/>
  <c r="Q333" i="25"/>
  <c r="P333" i="25"/>
  <c r="O333" i="25"/>
  <c r="N333" i="25"/>
  <c r="I333" i="25"/>
  <c r="L333" i="25" s="1"/>
  <c r="G333" i="25"/>
  <c r="R332" i="25"/>
  <c r="Q332" i="25"/>
  <c r="P332" i="25"/>
  <c r="O332" i="25"/>
  <c r="N332" i="25"/>
  <c r="I332" i="25"/>
  <c r="L332" i="25" s="1"/>
  <c r="G332" i="25"/>
  <c r="R331" i="25"/>
  <c r="Q331" i="25"/>
  <c r="P331" i="25"/>
  <c r="O331" i="25"/>
  <c r="N331" i="25"/>
  <c r="I331" i="25"/>
  <c r="L331" i="25" s="1"/>
  <c r="G331" i="25"/>
  <c r="R330" i="25"/>
  <c r="Q330" i="25"/>
  <c r="P330" i="25"/>
  <c r="O330" i="25"/>
  <c r="N330" i="25"/>
  <c r="I330" i="25"/>
  <c r="L330" i="25" s="1"/>
  <c r="G330" i="25"/>
  <c r="R329" i="25"/>
  <c r="Q329" i="25"/>
  <c r="P329" i="25"/>
  <c r="O329" i="25"/>
  <c r="N329" i="25"/>
  <c r="I329" i="25"/>
  <c r="L329" i="25" s="1"/>
  <c r="G329" i="25"/>
  <c r="R328" i="25"/>
  <c r="Q328" i="25"/>
  <c r="P328" i="25"/>
  <c r="O328" i="25"/>
  <c r="N328" i="25"/>
  <c r="M328" i="25"/>
  <c r="L328" i="25"/>
  <c r="R327" i="25"/>
  <c r="Q327" i="25"/>
  <c r="P327" i="25"/>
  <c r="O327" i="25"/>
  <c r="M327" i="25"/>
  <c r="I327" i="25"/>
  <c r="R326" i="25"/>
  <c r="Q326" i="25"/>
  <c r="P326" i="25"/>
  <c r="N326" i="25"/>
  <c r="M326" i="25"/>
  <c r="I326" i="25"/>
  <c r="R325" i="25"/>
  <c r="Q325" i="25"/>
  <c r="O325" i="25"/>
  <c r="N325" i="25"/>
  <c r="M325" i="25"/>
  <c r="I325" i="25"/>
  <c r="R324" i="25"/>
  <c r="Q324" i="25"/>
  <c r="P324" i="25"/>
  <c r="O324" i="25"/>
  <c r="N324" i="25"/>
  <c r="I324" i="25"/>
  <c r="L324" i="25" s="1"/>
  <c r="G324" i="25"/>
  <c r="R323" i="25"/>
  <c r="Q323" i="25"/>
  <c r="P323" i="25"/>
  <c r="O323" i="25"/>
  <c r="N323" i="25"/>
  <c r="I323" i="25"/>
  <c r="L323" i="25" s="1"/>
  <c r="G323" i="25"/>
  <c r="R322" i="25"/>
  <c r="Q322" i="25"/>
  <c r="P322" i="25"/>
  <c r="O322" i="25"/>
  <c r="N322" i="25"/>
  <c r="I322" i="25"/>
  <c r="L322" i="25" s="1"/>
  <c r="G322" i="25"/>
  <c r="R321" i="25"/>
  <c r="Q321" i="25"/>
  <c r="P321" i="25"/>
  <c r="O321" i="25"/>
  <c r="N321" i="25"/>
  <c r="I321" i="25"/>
  <c r="L321" i="25" s="1"/>
  <c r="G321" i="25"/>
  <c r="R320" i="25"/>
  <c r="Q320" i="25"/>
  <c r="P320" i="25"/>
  <c r="O320" i="25"/>
  <c r="N320" i="25"/>
  <c r="I320" i="25"/>
  <c r="L320" i="25" s="1"/>
  <c r="G320" i="25"/>
  <c r="R319" i="25"/>
  <c r="Q319" i="25"/>
  <c r="P319" i="25"/>
  <c r="O319" i="25"/>
  <c r="N319" i="25"/>
  <c r="I319" i="25"/>
  <c r="L319" i="25" s="1"/>
  <c r="G319" i="25"/>
  <c r="R318" i="25"/>
  <c r="Q318" i="25"/>
  <c r="P318" i="25"/>
  <c r="O318" i="25"/>
  <c r="N318" i="25"/>
  <c r="I318" i="25"/>
  <c r="L318" i="25" s="1"/>
  <c r="G318" i="25"/>
  <c r="R317" i="25"/>
  <c r="Q317" i="25"/>
  <c r="P317" i="25"/>
  <c r="O317" i="25"/>
  <c r="N317" i="25"/>
  <c r="I317" i="25"/>
  <c r="L317" i="25" s="1"/>
  <c r="G317" i="25"/>
  <c r="R316" i="25"/>
  <c r="Q316" i="25"/>
  <c r="P316" i="25"/>
  <c r="O316" i="25"/>
  <c r="N316" i="25"/>
  <c r="M316" i="25"/>
  <c r="L316" i="25"/>
  <c r="R315" i="25"/>
  <c r="Q315" i="25"/>
  <c r="P315" i="25"/>
  <c r="O315" i="25"/>
  <c r="M315" i="25"/>
  <c r="I315" i="25"/>
  <c r="R314" i="25"/>
  <c r="Q314" i="25"/>
  <c r="P314" i="25"/>
  <c r="N314" i="25"/>
  <c r="M314" i="25"/>
  <c r="I314" i="25"/>
  <c r="R313" i="25"/>
  <c r="Q313" i="25"/>
  <c r="O313" i="25"/>
  <c r="N313" i="25"/>
  <c r="M313" i="25"/>
  <c r="I313" i="25"/>
  <c r="R312" i="25"/>
  <c r="Q312" i="25"/>
  <c r="P312" i="25"/>
  <c r="O312" i="25"/>
  <c r="N312" i="25"/>
  <c r="M312" i="25"/>
  <c r="L312" i="25"/>
  <c r="R286" i="25"/>
  <c r="Q286" i="25"/>
  <c r="P286" i="25"/>
  <c r="O286" i="25"/>
  <c r="N286" i="25"/>
  <c r="I286" i="25"/>
  <c r="L286" i="25" s="1"/>
  <c r="G286" i="25"/>
  <c r="R285" i="25"/>
  <c r="Q285" i="25"/>
  <c r="P285" i="25"/>
  <c r="O285" i="25"/>
  <c r="N285" i="25"/>
  <c r="I285" i="25"/>
  <c r="L285" i="25" s="1"/>
  <c r="G285" i="25"/>
  <c r="R284" i="25"/>
  <c r="Q284" i="25"/>
  <c r="P284" i="25"/>
  <c r="O284" i="25"/>
  <c r="N284" i="25"/>
  <c r="I284" i="25"/>
  <c r="L284" i="25" s="1"/>
  <c r="G284" i="25"/>
  <c r="R283" i="25"/>
  <c r="Q283" i="25"/>
  <c r="P283" i="25"/>
  <c r="O283" i="25"/>
  <c r="M283" i="25"/>
  <c r="I283" i="25"/>
  <c r="L283" i="25" s="1"/>
  <c r="G283" i="25"/>
  <c r="F283" i="25"/>
  <c r="R282" i="25"/>
  <c r="Q282" i="25"/>
  <c r="P282" i="25"/>
  <c r="O282" i="25"/>
  <c r="M282" i="25"/>
  <c r="I282" i="25"/>
  <c r="L282" i="25" s="1"/>
  <c r="G282" i="25"/>
  <c r="R281" i="25"/>
  <c r="Q281" i="25"/>
  <c r="P281" i="25"/>
  <c r="O281" i="25"/>
  <c r="M281" i="25"/>
  <c r="I281" i="25"/>
  <c r="L281" i="25" s="1"/>
  <c r="G281" i="25"/>
  <c r="E281" i="25"/>
  <c r="R280" i="25"/>
  <c r="Q280" i="25"/>
  <c r="O280" i="25"/>
  <c r="N280" i="25"/>
  <c r="M280" i="25"/>
  <c r="I280" i="25"/>
  <c r="R279" i="25"/>
  <c r="P279" i="25"/>
  <c r="O279" i="25"/>
  <c r="N279" i="25"/>
  <c r="M279" i="25"/>
  <c r="I279" i="25"/>
  <c r="R278" i="25"/>
  <c r="Q278" i="25"/>
  <c r="P278" i="25"/>
  <c r="O278" i="25"/>
  <c r="N278" i="25"/>
  <c r="I278" i="25"/>
  <c r="L278" i="25" s="1"/>
  <c r="G278" i="25"/>
  <c r="R277" i="25"/>
  <c r="Q277" i="25"/>
  <c r="P277" i="25"/>
  <c r="O277" i="25"/>
  <c r="N277" i="25"/>
  <c r="I277" i="25"/>
  <c r="L277" i="25" s="1"/>
  <c r="G277" i="25"/>
  <c r="R276" i="25"/>
  <c r="Q276" i="25"/>
  <c r="P276" i="25"/>
  <c r="O276" i="25"/>
  <c r="N276" i="25"/>
  <c r="I276" i="25"/>
  <c r="L276" i="25" s="1"/>
  <c r="G276" i="25"/>
  <c r="R275" i="25"/>
  <c r="Q275" i="25"/>
  <c r="P275" i="25"/>
  <c r="O275" i="25"/>
  <c r="M275" i="25"/>
  <c r="I275" i="25"/>
  <c r="L275" i="25" s="1"/>
  <c r="G275" i="25"/>
  <c r="F275" i="25"/>
  <c r="R274" i="25"/>
  <c r="Q274" i="25"/>
  <c r="P274" i="25"/>
  <c r="O274" i="25"/>
  <c r="M274" i="25"/>
  <c r="I274" i="25"/>
  <c r="L274" i="25" s="1"/>
  <c r="G274" i="25"/>
  <c r="F274" i="25"/>
  <c r="R273" i="25"/>
  <c r="Q273" i="25"/>
  <c r="P273" i="25"/>
  <c r="O273" i="25"/>
  <c r="M273" i="25"/>
  <c r="I273" i="25"/>
  <c r="L273" i="25" s="1"/>
  <c r="G273" i="25"/>
  <c r="R272" i="25"/>
  <c r="Q272" i="25"/>
  <c r="P272" i="25"/>
  <c r="N272" i="25"/>
  <c r="M272" i="25"/>
  <c r="I272" i="25"/>
  <c r="E272" i="25"/>
  <c r="E273" i="25" s="1"/>
  <c r="R271" i="25"/>
  <c r="Q271" i="25"/>
  <c r="O271" i="25"/>
  <c r="N271" i="25"/>
  <c r="M271" i="25"/>
  <c r="I271" i="25"/>
  <c r="R270" i="25"/>
  <c r="Q270" i="25"/>
  <c r="P270" i="25"/>
  <c r="O270" i="25"/>
  <c r="N270" i="25"/>
  <c r="I270" i="25"/>
  <c r="L270" i="25" s="1"/>
  <c r="G270" i="25"/>
  <c r="R269" i="25"/>
  <c r="Q269" i="25"/>
  <c r="P269" i="25"/>
  <c r="O269" i="25"/>
  <c r="N269" i="25"/>
  <c r="I269" i="25"/>
  <c r="L269" i="25" s="1"/>
  <c r="G269" i="25"/>
  <c r="R268" i="25"/>
  <c r="Q268" i="25"/>
  <c r="P268" i="25"/>
  <c r="O268" i="25"/>
  <c r="N268" i="25"/>
  <c r="I268" i="25"/>
  <c r="L268" i="25" s="1"/>
  <c r="G268" i="25"/>
  <c r="R267" i="25"/>
  <c r="Q267" i="25"/>
  <c r="P267" i="25"/>
  <c r="O267" i="25"/>
  <c r="N267" i="25"/>
  <c r="I267" i="25"/>
  <c r="L267" i="25" s="1"/>
  <c r="G267" i="25"/>
  <c r="R266" i="25"/>
  <c r="Q266" i="25"/>
  <c r="P266" i="25"/>
  <c r="O266" i="25"/>
  <c r="M266" i="25"/>
  <c r="I266" i="25"/>
  <c r="L266" i="25" s="1"/>
  <c r="G266" i="25"/>
  <c r="R265" i="25"/>
  <c r="Q265" i="25"/>
  <c r="P265" i="25"/>
  <c r="O265" i="25"/>
  <c r="M265" i="25"/>
  <c r="I265" i="25"/>
  <c r="L265" i="25" s="1"/>
  <c r="G265" i="25"/>
  <c r="F265" i="25"/>
  <c r="R264" i="25"/>
  <c r="Q264" i="25"/>
  <c r="P264" i="25"/>
  <c r="O264" i="25"/>
  <c r="M264" i="25"/>
  <c r="I264" i="25"/>
  <c r="L264" i="25" s="1"/>
  <c r="G264" i="25"/>
  <c r="R263" i="25"/>
  <c r="Q263" i="25"/>
  <c r="P263" i="25"/>
  <c r="O263" i="25"/>
  <c r="M263" i="25"/>
  <c r="I263" i="25"/>
  <c r="L263" i="25" s="1"/>
  <c r="G263" i="25"/>
  <c r="R262" i="25"/>
  <c r="Q262" i="25"/>
  <c r="P262" i="25"/>
  <c r="N262" i="25"/>
  <c r="M262" i="25"/>
  <c r="I262" i="25"/>
  <c r="R261" i="25"/>
  <c r="Q261" i="25"/>
  <c r="O261" i="25"/>
  <c r="N261" i="25"/>
  <c r="M261" i="25"/>
  <c r="I261" i="25"/>
  <c r="R260" i="25"/>
  <c r="Q260" i="25"/>
  <c r="P260" i="25"/>
  <c r="O260" i="25"/>
  <c r="N260" i="25"/>
  <c r="I260" i="25"/>
  <c r="L260" i="25" s="1"/>
  <c r="G260" i="25"/>
  <c r="R259" i="25"/>
  <c r="Q259" i="25"/>
  <c r="P259" i="25"/>
  <c r="O259" i="25"/>
  <c r="N259" i="25"/>
  <c r="I259" i="25"/>
  <c r="L259" i="25" s="1"/>
  <c r="G259" i="25"/>
  <c r="R258" i="25"/>
  <c r="Q258" i="25"/>
  <c r="P258" i="25"/>
  <c r="O258" i="25"/>
  <c r="N258" i="25"/>
  <c r="I258" i="25"/>
  <c r="L258" i="25" s="1"/>
  <c r="G258" i="25"/>
  <c r="R257" i="25"/>
  <c r="Q257" i="25"/>
  <c r="P257" i="25"/>
  <c r="O257" i="25"/>
  <c r="N257" i="25"/>
  <c r="I257" i="25"/>
  <c r="L257" i="25" s="1"/>
  <c r="G257" i="25"/>
  <c r="R256" i="25"/>
  <c r="Q256" i="25"/>
  <c r="P256" i="25"/>
  <c r="O256" i="25"/>
  <c r="M256" i="25"/>
  <c r="I256" i="25"/>
  <c r="L256" i="25" s="1"/>
  <c r="G256" i="25"/>
  <c r="R255" i="25"/>
  <c r="Q255" i="25"/>
  <c r="P255" i="25"/>
  <c r="O255" i="25"/>
  <c r="M255" i="25"/>
  <c r="I255" i="25"/>
  <c r="L255" i="25" s="1"/>
  <c r="G255" i="25"/>
  <c r="F255" i="25"/>
  <c r="R254" i="25"/>
  <c r="Q254" i="25"/>
  <c r="P254" i="25"/>
  <c r="O254" i="25"/>
  <c r="M254" i="25"/>
  <c r="I254" i="25"/>
  <c r="L254" i="25" s="1"/>
  <c r="G254" i="25"/>
  <c r="R253" i="25"/>
  <c r="Q253" i="25"/>
  <c r="P253" i="25"/>
  <c r="O253" i="25"/>
  <c r="M253" i="25"/>
  <c r="I253" i="25"/>
  <c r="L253" i="25" s="1"/>
  <c r="G253" i="25"/>
  <c r="R252" i="25"/>
  <c r="Q252" i="25"/>
  <c r="P252" i="25"/>
  <c r="N252" i="25"/>
  <c r="M252" i="25"/>
  <c r="I252" i="25"/>
  <c r="E252" i="25"/>
  <c r="E253" i="25" s="1"/>
  <c r="R251" i="25"/>
  <c r="Q251" i="25"/>
  <c r="O251" i="25"/>
  <c r="N251" i="25"/>
  <c r="M251" i="25"/>
  <c r="I251" i="25"/>
  <c r="R250" i="25"/>
  <c r="Q250" i="25"/>
  <c r="P250" i="25"/>
  <c r="O250" i="25"/>
  <c r="N250" i="25"/>
  <c r="I250" i="25"/>
  <c r="L250" i="25" s="1"/>
  <c r="G250" i="25"/>
  <c r="R249" i="25"/>
  <c r="Q249" i="25"/>
  <c r="P249" i="25"/>
  <c r="O249" i="25"/>
  <c r="N249" i="25"/>
  <c r="I249" i="25"/>
  <c r="L249" i="25" s="1"/>
  <c r="G249" i="25"/>
  <c r="R248" i="25"/>
  <c r="Q248" i="25"/>
  <c r="P248" i="25"/>
  <c r="O248" i="25"/>
  <c r="N248" i="25"/>
  <c r="I248" i="25"/>
  <c r="L248" i="25" s="1"/>
  <c r="G248" i="25"/>
  <c r="R247" i="25"/>
  <c r="Q247" i="25"/>
  <c r="P247" i="25"/>
  <c r="O247" i="25"/>
  <c r="N247" i="25"/>
  <c r="I247" i="25"/>
  <c r="L247" i="25" s="1"/>
  <c r="G247" i="25"/>
  <c r="R246" i="25"/>
  <c r="Q246" i="25"/>
  <c r="P246" i="25"/>
  <c r="O246" i="25"/>
  <c r="M246" i="25"/>
  <c r="I246" i="25"/>
  <c r="L246" i="25" s="1"/>
  <c r="G246" i="25"/>
  <c r="R245" i="25"/>
  <c r="Q245" i="25"/>
  <c r="P245" i="25"/>
  <c r="O245" i="25"/>
  <c r="M245" i="25"/>
  <c r="I245" i="25"/>
  <c r="L245" i="25" s="1"/>
  <c r="G245" i="25"/>
  <c r="F245" i="25"/>
  <c r="R244" i="25"/>
  <c r="Q244" i="25"/>
  <c r="P244" i="25"/>
  <c r="O244" i="25"/>
  <c r="M244" i="25"/>
  <c r="I244" i="25"/>
  <c r="L244" i="25" s="1"/>
  <c r="G244" i="25"/>
  <c r="R243" i="25"/>
  <c r="Q243" i="25"/>
  <c r="P243" i="25"/>
  <c r="O243" i="25"/>
  <c r="M243" i="25"/>
  <c r="I243" i="25"/>
  <c r="L243" i="25" s="1"/>
  <c r="G243" i="25"/>
  <c r="E243" i="25"/>
  <c r="E244" i="25" s="1"/>
  <c r="R242" i="25"/>
  <c r="Q242" i="25"/>
  <c r="O242" i="25"/>
  <c r="N242" i="25"/>
  <c r="M242" i="25"/>
  <c r="I242" i="25"/>
  <c r="R241" i="25"/>
  <c r="P241" i="25"/>
  <c r="O241" i="25"/>
  <c r="N241" i="25"/>
  <c r="M241" i="25"/>
  <c r="I241" i="25"/>
  <c r="R240" i="25"/>
  <c r="Q240" i="25"/>
  <c r="P240" i="25"/>
  <c r="O240" i="25"/>
  <c r="N240" i="25"/>
  <c r="I240" i="25"/>
  <c r="L240" i="25" s="1"/>
  <c r="G240" i="25"/>
  <c r="R239" i="25"/>
  <c r="Q239" i="25"/>
  <c r="P239" i="25"/>
  <c r="O239" i="25"/>
  <c r="N239" i="25"/>
  <c r="I239" i="25"/>
  <c r="L239" i="25" s="1"/>
  <c r="G239" i="25"/>
  <c r="R238" i="25"/>
  <c r="Q238" i="25"/>
  <c r="P238" i="25"/>
  <c r="O238" i="25"/>
  <c r="N238" i="25"/>
  <c r="I238" i="25"/>
  <c r="L238" i="25" s="1"/>
  <c r="G238" i="25"/>
  <c r="R237" i="25"/>
  <c r="Q237" i="25"/>
  <c r="P237" i="25"/>
  <c r="O237" i="25"/>
  <c r="M237" i="25"/>
  <c r="I237" i="25"/>
  <c r="L237" i="25" s="1"/>
  <c r="G237" i="25"/>
  <c r="F237" i="25"/>
  <c r="R236" i="25"/>
  <c r="Q236" i="25"/>
  <c r="P236" i="25"/>
  <c r="O236" i="25"/>
  <c r="M236" i="25"/>
  <c r="I236" i="25"/>
  <c r="L236" i="25" s="1"/>
  <c r="G236" i="25"/>
  <c r="R235" i="25"/>
  <c r="Q235" i="25"/>
  <c r="P235" i="25"/>
  <c r="O235" i="25"/>
  <c r="M235" i="25"/>
  <c r="I235" i="25"/>
  <c r="L235" i="25" s="1"/>
  <c r="G235" i="25"/>
  <c r="Q233" i="25"/>
  <c r="P233" i="25"/>
  <c r="O233" i="25"/>
  <c r="N233" i="25"/>
  <c r="M233" i="25"/>
  <c r="I233" i="25"/>
  <c r="R232" i="25"/>
  <c r="Q232" i="25"/>
  <c r="P232" i="25"/>
  <c r="O232" i="25"/>
  <c r="N232" i="25"/>
  <c r="I232" i="25"/>
  <c r="L232" i="25" s="1"/>
  <c r="G232" i="25"/>
  <c r="R231" i="25"/>
  <c r="Q231" i="25"/>
  <c r="P231" i="25"/>
  <c r="O231" i="25"/>
  <c r="N231" i="25"/>
  <c r="I231" i="25"/>
  <c r="L231" i="25" s="1"/>
  <c r="G231" i="25"/>
  <c r="R230" i="25"/>
  <c r="Q230" i="25"/>
  <c r="P230" i="25"/>
  <c r="O230" i="25"/>
  <c r="N230" i="25"/>
  <c r="I230" i="25"/>
  <c r="L230" i="25" s="1"/>
  <c r="G230" i="25"/>
  <c r="R229" i="25"/>
  <c r="Q229" i="25"/>
  <c r="P229" i="25"/>
  <c r="O229" i="25"/>
  <c r="M229" i="25"/>
  <c r="I229" i="25"/>
  <c r="L229" i="25" s="1"/>
  <c r="G229" i="25"/>
  <c r="F229" i="25"/>
  <c r="R228" i="25"/>
  <c r="Q228" i="25"/>
  <c r="P228" i="25"/>
  <c r="O228" i="25"/>
  <c r="M228" i="25"/>
  <c r="I228" i="25"/>
  <c r="L228" i="25" s="1"/>
  <c r="G228" i="25"/>
  <c r="R227" i="25"/>
  <c r="Q227" i="25"/>
  <c r="P227" i="25"/>
  <c r="O227" i="25"/>
  <c r="M227" i="25"/>
  <c r="I227" i="25"/>
  <c r="L227" i="25" s="1"/>
  <c r="G227" i="25"/>
  <c r="R226" i="25"/>
  <c r="Q226" i="25"/>
  <c r="O226" i="25"/>
  <c r="N226" i="25"/>
  <c r="M226" i="25"/>
  <c r="I226" i="25"/>
  <c r="R225" i="25"/>
  <c r="Q225" i="25"/>
  <c r="P225" i="25"/>
  <c r="O225" i="25"/>
  <c r="N225" i="25"/>
  <c r="I225" i="25"/>
  <c r="L225" i="25" s="1"/>
  <c r="G225" i="25"/>
  <c r="R224" i="25"/>
  <c r="Q224" i="25"/>
  <c r="P224" i="25"/>
  <c r="O224" i="25"/>
  <c r="N224" i="25"/>
  <c r="I224" i="25"/>
  <c r="L224" i="25" s="1"/>
  <c r="G224" i="25"/>
  <c r="R223" i="25"/>
  <c r="Q223" i="25"/>
  <c r="P223" i="25"/>
  <c r="O223" i="25"/>
  <c r="N223" i="25"/>
  <c r="I223" i="25"/>
  <c r="L223" i="25" s="1"/>
  <c r="G223" i="25"/>
  <c r="R222" i="25"/>
  <c r="Q222" i="25"/>
  <c r="P222" i="25"/>
  <c r="O222" i="25"/>
  <c r="M222" i="25"/>
  <c r="I222" i="25"/>
  <c r="L222" i="25" s="1"/>
  <c r="G222" i="25"/>
  <c r="F222" i="25"/>
  <c r="R221" i="25"/>
  <c r="Q221" i="25"/>
  <c r="P221" i="25"/>
  <c r="O221" i="25"/>
  <c r="M221" i="25"/>
  <c r="I221" i="25"/>
  <c r="L221" i="25" s="1"/>
  <c r="G221" i="25"/>
  <c r="R220" i="25"/>
  <c r="Q220" i="25"/>
  <c r="P220" i="25"/>
  <c r="O220" i="25"/>
  <c r="M220" i="25"/>
  <c r="I220" i="25"/>
  <c r="L220" i="25" s="1"/>
  <c r="G220" i="25"/>
  <c r="R219" i="25"/>
  <c r="Q219" i="25"/>
  <c r="P219" i="25"/>
  <c r="N219" i="25"/>
  <c r="M219" i="25"/>
  <c r="I219" i="25"/>
  <c r="R218" i="25"/>
  <c r="Q218" i="25"/>
  <c r="O218" i="25"/>
  <c r="N218" i="25"/>
  <c r="M218" i="25"/>
  <c r="I218" i="25"/>
  <c r="R214" i="25"/>
  <c r="Q214" i="25"/>
  <c r="P214" i="25"/>
  <c r="O214" i="25"/>
  <c r="N214" i="25"/>
  <c r="M214" i="25"/>
  <c r="L214" i="25"/>
  <c r="R213" i="25"/>
  <c r="Q213" i="25"/>
  <c r="P213" i="25"/>
  <c r="O213" i="25"/>
  <c r="N213" i="25"/>
  <c r="M213" i="25"/>
  <c r="L213" i="25"/>
  <c r="R212" i="25"/>
  <c r="Q212" i="25"/>
  <c r="P212" i="25"/>
  <c r="O212" i="25"/>
  <c r="N212" i="25"/>
  <c r="L212" i="25"/>
  <c r="R211" i="25"/>
  <c r="Q211" i="25"/>
  <c r="P211" i="25"/>
  <c r="O211" i="25"/>
  <c r="N211" i="25"/>
  <c r="L211" i="25"/>
  <c r="R210" i="25"/>
  <c r="Q210" i="25"/>
  <c r="P210" i="25"/>
  <c r="O210" i="25"/>
  <c r="N210" i="25"/>
  <c r="L210" i="25"/>
  <c r="F210" i="25"/>
  <c r="R209" i="25"/>
  <c r="Q209" i="25"/>
  <c r="P209" i="25"/>
  <c r="O209" i="25"/>
  <c r="N209" i="25"/>
  <c r="L209" i="25"/>
  <c r="R208" i="25"/>
  <c r="Q208" i="25"/>
  <c r="P208" i="25"/>
  <c r="O208" i="25"/>
  <c r="N208" i="25"/>
  <c r="M208" i="25"/>
  <c r="L208" i="25"/>
  <c r="R207" i="25"/>
  <c r="Q207" i="25"/>
  <c r="P207" i="25"/>
  <c r="O207" i="25"/>
  <c r="M207" i="25"/>
  <c r="L207" i="25"/>
  <c r="N207" i="25" s="1"/>
  <c r="S206" i="25"/>
  <c r="R206" i="25"/>
  <c r="Q206" i="25"/>
  <c r="P206" i="25"/>
  <c r="N206" i="25"/>
  <c r="M206" i="25"/>
  <c r="L206" i="25"/>
  <c r="O206" i="25" s="1"/>
  <c r="S205" i="25"/>
  <c r="R205" i="25"/>
  <c r="Q205" i="25"/>
  <c r="O205" i="25"/>
  <c r="N205" i="25"/>
  <c r="M205" i="25"/>
  <c r="L205" i="25"/>
  <c r="P205" i="25" s="1"/>
  <c r="A205" i="25"/>
  <c r="R204" i="25"/>
  <c r="Q204" i="25"/>
  <c r="P204" i="25"/>
  <c r="O204" i="25"/>
  <c r="N204" i="25"/>
  <c r="I204" i="25"/>
  <c r="L204" i="25" s="1"/>
  <c r="R203" i="25"/>
  <c r="Q203" i="25"/>
  <c r="P203" i="25"/>
  <c r="O203" i="25"/>
  <c r="N203" i="25"/>
  <c r="L203" i="25"/>
  <c r="R202" i="25"/>
  <c r="Q202" i="25"/>
  <c r="P202" i="25"/>
  <c r="O202" i="25"/>
  <c r="N202" i="25"/>
  <c r="I202" i="25"/>
  <c r="L202" i="25" s="1"/>
  <c r="R201" i="25"/>
  <c r="Q201" i="25"/>
  <c r="P201" i="25"/>
  <c r="O201" i="25"/>
  <c r="N201" i="25"/>
  <c r="L201" i="25"/>
  <c r="R200" i="25"/>
  <c r="Q200" i="25"/>
  <c r="P200" i="25"/>
  <c r="O200" i="25"/>
  <c r="N200" i="25"/>
  <c r="L200" i="25"/>
  <c r="R199" i="25"/>
  <c r="Q199" i="25"/>
  <c r="P199" i="25"/>
  <c r="O199" i="25"/>
  <c r="N199" i="25"/>
  <c r="I199" i="25"/>
  <c r="L199" i="25" s="1"/>
  <c r="R198" i="25"/>
  <c r="Q198" i="25"/>
  <c r="P198" i="25"/>
  <c r="O198" i="25"/>
  <c r="N198" i="25"/>
  <c r="L198" i="25"/>
  <c r="R197" i="25"/>
  <c r="Q197" i="25"/>
  <c r="P197" i="25"/>
  <c r="O197" i="25"/>
  <c r="N197" i="25"/>
  <c r="L197" i="25"/>
  <c r="R196" i="25"/>
  <c r="Q196" i="25"/>
  <c r="P196" i="25"/>
  <c r="O196" i="25"/>
  <c r="N196" i="25"/>
  <c r="M196" i="25"/>
  <c r="L196" i="25"/>
  <c r="R195" i="25"/>
  <c r="Q195" i="25"/>
  <c r="P195" i="25"/>
  <c r="O195" i="25"/>
  <c r="M195" i="25"/>
  <c r="L195" i="25"/>
  <c r="N195" i="25" s="1"/>
  <c r="S194" i="25"/>
  <c r="R194" i="25"/>
  <c r="Q194" i="25"/>
  <c r="P194" i="25"/>
  <c r="N194" i="25"/>
  <c r="M194" i="25"/>
  <c r="L194" i="25"/>
  <c r="O194" i="25" s="1"/>
  <c r="S193" i="25"/>
  <c r="R193" i="25"/>
  <c r="Q193" i="25"/>
  <c r="O193" i="25"/>
  <c r="N193" i="25"/>
  <c r="M193" i="25"/>
  <c r="L193" i="25"/>
  <c r="P193" i="25" s="1"/>
  <c r="A193" i="25"/>
  <c r="R192" i="25"/>
  <c r="Q192" i="25"/>
  <c r="P192" i="25"/>
  <c r="O192" i="25"/>
  <c r="N192" i="25"/>
  <c r="L192" i="25"/>
  <c r="R191" i="25"/>
  <c r="Q191" i="25"/>
  <c r="P191" i="25"/>
  <c r="O191" i="25"/>
  <c r="N191" i="25"/>
  <c r="L191" i="25"/>
  <c r="R190" i="25"/>
  <c r="Q190" i="25"/>
  <c r="P190" i="25"/>
  <c r="O190" i="25"/>
  <c r="N190" i="25"/>
  <c r="L190" i="25"/>
  <c r="F190" i="25"/>
  <c r="R189" i="25"/>
  <c r="Q189" i="25"/>
  <c r="P189" i="25"/>
  <c r="O189" i="25"/>
  <c r="N189" i="25"/>
  <c r="L189" i="25"/>
  <c r="R188" i="25"/>
  <c r="Q188" i="25"/>
  <c r="P188" i="25"/>
  <c r="O188" i="25"/>
  <c r="N188" i="25"/>
  <c r="M188" i="25"/>
  <c r="L188" i="25"/>
  <c r="R187" i="25"/>
  <c r="Q187" i="25"/>
  <c r="P187" i="25"/>
  <c r="O187" i="25"/>
  <c r="M187" i="25"/>
  <c r="L187" i="25"/>
  <c r="N187" i="25" s="1"/>
  <c r="S186" i="25"/>
  <c r="R186" i="25"/>
  <c r="Q186" i="25"/>
  <c r="P186" i="25"/>
  <c r="N186" i="25"/>
  <c r="M186" i="25"/>
  <c r="L186" i="25"/>
  <c r="O186" i="25" s="1"/>
  <c r="S185" i="25"/>
  <c r="R185" i="25"/>
  <c r="Q185" i="25"/>
  <c r="O185" i="25"/>
  <c r="N185" i="25"/>
  <c r="M185" i="25"/>
  <c r="L185" i="25"/>
  <c r="P185" i="25" s="1"/>
  <c r="A185" i="25"/>
  <c r="R184" i="25"/>
  <c r="Q184" i="25"/>
  <c r="P184" i="25"/>
  <c r="O184" i="25"/>
  <c r="N184" i="25"/>
  <c r="L184" i="25"/>
  <c r="R183" i="25"/>
  <c r="Q183" i="25"/>
  <c r="P183" i="25"/>
  <c r="O183" i="25"/>
  <c r="N183" i="25"/>
  <c r="L183" i="25"/>
  <c r="R182" i="25"/>
  <c r="Q182" i="25"/>
  <c r="P182" i="25"/>
  <c r="O182" i="25"/>
  <c r="N182" i="25"/>
  <c r="L182" i="25"/>
  <c r="R181" i="25"/>
  <c r="Q181" i="25"/>
  <c r="P181" i="25"/>
  <c r="O181" i="25"/>
  <c r="N181" i="25"/>
  <c r="L181" i="25"/>
  <c r="F181" i="25"/>
  <c r="R180" i="25"/>
  <c r="Q180" i="25"/>
  <c r="P180" i="25"/>
  <c r="O180" i="25"/>
  <c r="N180" i="25"/>
  <c r="L180" i="25"/>
  <c r="R179" i="25"/>
  <c r="Q179" i="25"/>
  <c r="P179" i="25"/>
  <c r="O179" i="25"/>
  <c r="N179" i="25"/>
  <c r="M179" i="25"/>
  <c r="L179" i="25"/>
  <c r="R178" i="25"/>
  <c r="Q178" i="25"/>
  <c r="P178" i="25"/>
  <c r="O178" i="25"/>
  <c r="M178" i="25"/>
  <c r="L178" i="25"/>
  <c r="N178" i="25" s="1"/>
  <c r="S177" i="25"/>
  <c r="R177" i="25"/>
  <c r="Q177" i="25"/>
  <c r="P177" i="25"/>
  <c r="N177" i="25"/>
  <c r="M177" i="25"/>
  <c r="L177" i="25"/>
  <c r="O177" i="25" s="1"/>
  <c r="S176" i="25"/>
  <c r="R176" i="25"/>
  <c r="Q176" i="25"/>
  <c r="O176" i="25"/>
  <c r="N176" i="25"/>
  <c r="M176" i="25"/>
  <c r="L176" i="25"/>
  <c r="P176" i="25" s="1"/>
  <c r="A176" i="25"/>
  <c r="R175" i="25"/>
  <c r="Q175" i="25"/>
  <c r="P175" i="25"/>
  <c r="O175" i="25"/>
  <c r="N175" i="25"/>
  <c r="I175" i="25"/>
  <c r="L175" i="25" s="1"/>
  <c r="R174" i="25"/>
  <c r="Q174" i="25"/>
  <c r="P174" i="25"/>
  <c r="O174" i="25"/>
  <c r="N174" i="25"/>
  <c r="L174" i="25"/>
  <c r="R173" i="25"/>
  <c r="Q173" i="25"/>
  <c r="P173" i="25"/>
  <c r="O173" i="25"/>
  <c r="N173" i="25"/>
  <c r="L173" i="25"/>
  <c r="R172" i="25"/>
  <c r="Q172" i="25"/>
  <c r="P172" i="25"/>
  <c r="O172" i="25"/>
  <c r="N172" i="25"/>
  <c r="L172" i="25"/>
  <c r="R171" i="25"/>
  <c r="Q171" i="25"/>
  <c r="P171" i="25"/>
  <c r="O171" i="25"/>
  <c r="N171" i="25"/>
  <c r="L171" i="25"/>
  <c r="R170" i="25"/>
  <c r="Q170" i="25"/>
  <c r="P170" i="25"/>
  <c r="O170" i="25"/>
  <c r="N170" i="25"/>
  <c r="L170" i="25"/>
  <c r="R169" i="25"/>
  <c r="Q169" i="25"/>
  <c r="P169" i="25"/>
  <c r="O169" i="25"/>
  <c r="N169" i="25"/>
  <c r="L169" i="25"/>
  <c r="R168" i="25"/>
  <c r="Q168" i="25"/>
  <c r="P168" i="25"/>
  <c r="O168" i="25"/>
  <c r="N168" i="25"/>
  <c r="L168" i="25"/>
  <c r="R167" i="25"/>
  <c r="Q167" i="25"/>
  <c r="P167" i="25"/>
  <c r="O167" i="25"/>
  <c r="N167" i="25"/>
  <c r="M167" i="25"/>
  <c r="L167" i="25"/>
  <c r="R166" i="25"/>
  <c r="Q166" i="25"/>
  <c r="P166" i="25"/>
  <c r="O166" i="25"/>
  <c r="M166" i="25"/>
  <c r="L166" i="25"/>
  <c r="N166" i="25" s="1"/>
  <c r="S165" i="25"/>
  <c r="R165" i="25"/>
  <c r="Q165" i="25"/>
  <c r="P165" i="25"/>
  <c r="N165" i="25"/>
  <c r="M165" i="25"/>
  <c r="L165" i="25"/>
  <c r="O165" i="25" s="1"/>
  <c r="S164" i="25"/>
  <c r="R164" i="25"/>
  <c r="Q164" i="25"/>
  <c r="O164" i="25"/>
  <c r="N164" i="25"/>
  <c r="M164" i="25"/>
  <c r="L164" i="25"/>
  <c r="P164" i="25" s="1"/>
  <c r="A164" i="25"/>
  <c r="R163" i="25"/>
  <c r="Q163" i="25"/>
  <c r="P163" i="25"/>
  <c r="O163" i="25"/>
  <c r="N163" i="25"/>
  <c r="I163" i="25"/>
  <c r="L163" i="25" s="1"/>
  <c r="R162" i="25"/>
  <c r="Q162" i="25"/>
  <c r="P162" i="25"/>
  <c r="O162" i="25"/>
  <c r="N162" i="25"/>
  <c r="L162" i="25"/>
  <c r="R161" i="25"/>
  <c r="Q161" i="25"/>
  <c r="P161" i="25"/>
  <c r="O161" i="25"/>
  <c r="N161" i="25"/>
  <c r="L161" i="25"/>
  <c r="F161" i="25"/>
  <c r="R160" i="25"/>
  <c r="Q160" i="25"/>
  <c r="P160" i="25"/>
  <c r="O160" i="25"/>
  <c r="N160" i="25"/>
  <c r="L160" i="25"/>
  <c r="R159" i="25"/>
  <c r="Q159" i="25"/>
  <c r="P159" i="25"/>
  <c r="O159" i="25"/>
  <c r="N159" i="25"/>
  <c r="M159" i="25"/>
  <c r="L159" i="25"/>
  <c r="S158" i="25"/>
  <c r="R158" i="25"/>
  <c r="Q158" i="25"/>
  <c r="P158" i="25"/>
  <c r="N158" i="25"/>
  <c r="M158" i="25"/>
  <c r="L158" i="25"/>
  <c r="O158" i="25" s="1"/>
  <c r="S157" i="25"/>
  <c r="R157" i="25"/>
  <c r="Q157" i="25"/>
  <c r="O157" i="25"/>
  <c r="N157" i="25"/>
  <c r="M157" i="25"/>
  <c r="L157" i="25"/>
  <c r="P157" i="25" s="1"/>
  <c r="A157" i="25"/>
  <c r="R156" i="25"/>
  <c r="Q156" i="25"/>
  <c r="P156" i="25"/>
  <c r="O156" i="25"/>
  <c r="N156" i="25"/>
  <c r="L156" i="25"/>
  <c r="R155" i="25"/>
  <c r="Q155" i="25"/>
  <c r="P155" i="25"/>
  <c r="O155" i="25"/>
  <c r="N155" i="25"/>
  <c r="L155" i="25"/>
  <c r="R154" i="25"/>
  <c r="Q154" i="25"/>
  <c r="P154" i="25"/>
  <c r="O154" i="25"/>
  <c r="N154" i="25"/>
  <c r="L154" i="25"/>
  <c r="R153" i="25"/>
  <c r="Q153" i="25"/>
  <c r="P153" i="25"/>
  <c r="O153" i="25"/>
  <c r="N153" i="25"/>
  <c r="L153" i="25"/>
  <c r="R152" i="25"/>
  <c r="Q152" i="25"/>
  <c r="P152" i="25"/>
  <c r="O152" i="25"/>
  <c r="N152" i="25"/>
  <c r="M152" i="25"/>
  <c r="L152" i="25"/>
  <c r="S151" i="25"/>
  <c r="R151" i="25"/>
  <c r="Q151" i="25"/>
  <c r="P151" i="25"/>
  <c r="N151" i="25"/>
  <c r="M151" i="25"/>
  <c r="L151" i="25"/>
  <c r="O151" i="25" s="1"/>
  <c r="S150" i="25"/>
  <c r="R150" i="25"/>
  <c r="Q150" i="25"/>
  <c r="O150" i="25"/>
  <c r="N150" i="25"/>
  <c r="M150" i="25"/>
  <c r="L150" i="25"/>
  <c r="P150" i="25" s="1"/>
  <c r="A150" i="25"/>
  <c r="R149" i="25"/>
  <c r="Q149" i="25"/>
  <c r="P149" i="25"/>
  <c r="O149" i="25"/>
  <c r="N149" i="25"/>
  <c r="L149" i="25"/>
  <c r="R148" i="25"/>
  <c r="Q148" i="25"/>
  <c r="P148" i="25"/>
  <c r="O148" i="25"/>
  <c r="N148" i="25"/>
  <c r="L148" i="25"/>
  <c r="R147" i="25"/>
  <c r="Q147" i="25"/>
  <c r="P147" i="25"/>
  <c r="O147" i="25"/>
  <c r="N147" i="25"/>
  <c r="M147" i="25"/>
  <c r="L147" i="25"/>
  <c r="R146" i="25"/>
  <c r="Q146" i="25"/>
  <c r="P146" i="25"/>
  <c r="N146" i="25"/>
  <c r="M146" i="25"/>
  <c r="L146" i="25"/>
  <c r="E146" i="25"/>
  <c r="S146" i="25" s="1"/>
  <c r="S145" i="25"/>
  <c r="R145" i="25"/>
  <c r="Q145" i="25"/>
  <c r="O145" i="25"/>
  <c r="N145" i="25"/>
  <c r="M145" i="25"/>
  <c r="L145" i="25"/>
  <c r="P145" i="25" s="1"/>
  <c r="A145" i="25"/>
  <c r="R144" i="25"/>
  <c r="Q144" i="25"/>
  <c r="P144" i="25"/>
  <c r="O144" i="25"/>
  <c r="N144" i="25"/>
  <c r="L144" i="25"/>
  <c r="R143" i="25"/>
  <c r="Q143" i="25"/>
  <c r="P143" i="25"/>
  <c r="O143" i="25"/>
  <c r="N143" i="25"/>
  <c r="L143" i="25"/>
  <c r="R142" i="25"/>
  <c r="Q142" i="25"/>
  <c r="P142" i="25"/>
  <c r="O142" i="25"/>
  <c r="N142" i="25"/>
  <c r="L142" i="25"/>
  <c r="R141" i="25"/>
  <c r="Q141" i="25"/>
  <c r="P141" i="25"/>
  <c r="O141" i="25"/>
  <c r="N141" i="25"/>
  <c r="L141" i="25"/>
  <c r="R140" i="25"/>
  <c r="Q140" i="25"/>
  <c r="P140" i="25"/>
  <c r="O140" i="25"/>
  <c r="N140" i="25"/>
  <c r="M140" i="25"/>
  <c r="L140" i="25"/>
  <c r="R139" i="25"/>
  <c r="Q139" i="25"/>
  <c r="P139" i="25"/>
  <c r="N139" i="25"/>
  <c r="M139" i="25"/>
  <c r="L139" i="25"/>
  <c r="E139" i="25"/>
  <c r="S139" i="25" s="1"/>
  <c r="S138" i="25"/>
  <c r="R138" i="25"/>
  <c r="Q138" i="25"/>
  <c r="O138" i="25"/>
  <c r="N138" i="25"/>
  <c r="M138" i="25"/>
  <c r="L138" i="25"/>
  <c r="P138" i="25" s="1"/>
  <c r="A138" i="25"/>
  <c r="R137" i="25"/>
  <c r="Q137" i="25"/>
  <c r="P137" i="25"/>
  <c r="O137" i="25"/>
  <c r="N137" i="25"/>
  <c r="L137" i="25"/>
  <c r="R136" i="25"/>
  <c r="Q136" i="25"/>
  <c r="P136" i="25"/>
  <c r="O136" i="25"/>
  <c r="N136" i="25"/>
  <c r="L136" i="25"/>
  <c r="R135" i="25"/>
  <c r="Q135" i="25"/>
  <c r="P135" i="25"/>
  <c r="O135" i="25"/>
  <c r="N135" i="25"/>
  <c r="L135" i="25"/>
  <c r="R134" i="25"/>
  <c r="Q134" i="25"/>
  <c r="P134" i="25"/>
  <c r="O134" i="25"/>
  <c r="N134" i="25"/>
  <c r="M134" i="25"/>
  <c r="L134" i="25"/>
  <c r="S133" i="25"/>
  <c r="R133" i="25"/>
  <c r="Q133" i="25"/>
  <c r="P133" i="25"/>
  <c r="N133" i="25"/>
  <c r="M133" i="25"/>
  <c r="L133" i="25"/>
  <c r="O133" i="25" s="1"/>
  <c r="S132" i="25"/>
  <c r="R132" i="25"/>
  <c r="Q132" i="25"/>
  <c r="O132" i="25"/>
  <c r="N132" i="25"/>
  <c r="M132" i="25"/>
  <c r="L132" i="25"/>
  <c r="P132" i="25" s="1"/>
  <c r="A132" i="25"/>
  <c r="R131" i="25"/>
  <c r="Q131" i="25"/>
  <c r="P131" i="25"/>
  <c r="O131" i="25"/>
  <c r="N131" i="25"/>
  <c r="L131" i="25"/>
  <c r="R130" i="25"/>
  <c r="Q130" i="25"/>
  <c r="P130" i="25"/>
  <c r="O130" i="25"/>
  <c r="N130" i="25"/>
  <c r="L130" i="25"/>
  <c r="R129" i="25"/>
  <c r="Q129" i="25"/>
  <c r="P129" i="25"/>
  <c r="O129" i="25"/>
  <c r="N129" i="25"/>
  <c r="M129" i="25"/>
  <c r="L129" i="25"/>
  <c r="S128" i="25"/>
  <c r="R128" i="25"/>
  <c r="Q128" i="25"/>
  <c r="P128" i="25"/>
  <c r="N128" i="25"/>
  <c r="M128" i="25"/>
  <c r="L128" i="25"/>
  <c r="O128" i="25" s="1"/>
  <c r="S127" i="25"/>
  <c r="R127" i="25"/>
  <c r="Q127" i="25"/>
  <c r="O127" i="25"/>
  <c r="N127" i="25"/>
  <c r="M127" i="25"/>
  <c r="L127" i="25"/>
  <c r="P127" i="25" s="1"/>
  <c r="A127" i="25"/>
  <c r="R126" i="25"/>
  <c r="Q126" i="25"/>
  <c r="P126" i="25"/>
  <c r="O126" i="25"/>
  <c r="N126" i="25"/>
  <c r="L126" i="25"/>
  <c r="R125" i="25"/>
  <c r="Q125" i="25"/>
  <c r="P125" i="25"/>
  <c r="O125" i="25"/>
  <c r="N125" i="25"/>
  <c r="L125" i="25"/>
  <c r="R124" i="25"/>
  <c r="Q124" i="25"/>
  <c r="P124" i="25"/>
  <c r="O124" i="25"/>
  <c r="N124" i="25"/>
  <c r="L124" i="25"/>
  <c r="R123" i="25"/>
  <c r="Q123" i="25"/>
  <c r="P123" i="25"/>
  <c r="O123" i="25"/>
  <c r="N123" i="25"/>
  <c r="L123" i="25"/>
  <c r="R122" i="25"/>
  <c r="Q122" i="25"/>
  <c r="P122" i="25"/>
  <c r="O122" i="25"/>
  <c r="N122" i="25"/>
  <c r="L122" i="25"/>
  <c r="R121" i="25"/>
  <c r="Q121" i="25"/>
  <c r="P121" i="25"/>
  <c r="O121" i="25"/>
  <c r="N121" i="25"/>
  <c r="I121" i="25"/>
  <c r="L121" i="25" s="1"/>
  <c r="R120" i="25"/>
  <c r="Q120" i="25"/>
  <c r="P120" i="25"/>
  <c r="O120" i="25"/>
  <c r="N120" i="25"/>
  <c r="L120" i="25"/>
  <c r="R119" i="25"/>
  <c r="Q119" i="25"/>
  <c r="P119" i="25"/>
  <c r="O119" i="25"/>
  <c r="N119" i="25"/>
  <c r="L119" i="25"/>
  <c r="R118" i="25"/>
  <c r="Q118" i="25"/>
  <c r="P118" i="25"/>
  <c r="O118" i="25"/>
  <c r="N118" i="25"/>
  <c r="M118" i="25"/>
  <c r="L118" i="25"/>
  <c r="R117" i="25"/>
  <c r="Q117" i="25"/>
  <c r="P117" i="25"/>
  <c r="O117" i="25"/>
  <c r="M117" i="25"/>
  <c r="L117" i="25"/>
  <c r="N117" i="25" s="1"/>
  <c r="S116" i="25"/>
  <c r="R116" i="25"/>
  <c r="Q116" i="25"/>
  <c r="P116" i="25"/>
  <c r="N116" i="25"/>
  <c r="M116" i="25"/>
  <c r="L116" i="25"/>
  <c r="O116" i="25" s="1"/>
  <c r="S115" i="25"/>
  <c r="R115" i="25"/>
  <c r="Q115" i="25"/>
  <c r="O115" i="25"/>
  <c r="N115" i="25"/>
  <c r="M115" i="25"/>
  <c r="L115" i="25"/>
  <c r="P115" i="25" s="1"/>
  <c r="A115" i="25"/>
  <c r="R114" i="25"/>
  <c r="Q114" i="25"/>
  <c r="P114" i="25"/>
  <c r="O114" i="25"/>
  <c r="N114" i="25"/>
  <c r="I114" i="25"/>
  <c r="L114" i="25" s="1"/>
  <c r="R113" i="25"/>
  <c r="Q113" i="25"/>
  <c r="P113" i="25"/>
  <c r="O113" i="25"/>
  <c r="N113" i="25"/>
  <c r="L113" i="25"/>
  <c r="R112" i="25"/>
  <c r="Q112" i="25"/>
  <c r="P112" i="25"/>
  <c r="O112" i="25"/>
  <c r="N112" i="25"/>
  <c r="I112" i="25"/>
  <c r="L112" i="25" s="1"/>
  <c r="R111" i="25"/>
  <c r="Q111" i="25"/>
  <c r="P111" i="25"/>
  <c r="O111" i="25"/>
  <c r="N111" i="25"/>
  <c r="L111" i="25"/>
  <c r="R110" i="25"/>
  <c r="Q110" i="25"/>
  <c r="P110" i="25"/>
  <c r="O110" i="25"/>
  <c r="N110" i="25"/>
  <c r="L110" i="25"/>
  <c r="R109" i="25"/>
  <c r="Q109" i="25"/>
  <c r="P109" i="25"/>
  <c r="O109" i="25"/>
  <c r="N109" i="25"/>
  <c r="I109" i="25"/>
  <c r="L109" i="25" s="1"/>
  <c r="R108" i="25"/>
  <c r="Q108" i="25"/>
  <c r="P108" i="25"/>
  <c r="O108" i="25"/>
  <c r="N108" i="25"/>
  <c r="L108" i="25"/>
  <c r="R107" i="25"/>
  <c r="Q107" i="25"/>
  <c r="P107" i="25"/>
  <c r="O107" i="25"/>
  <c r="N107" i="25"/>
  <c r="L107" i="25"/>
  <c r="R106" i="25"/>
  <c r="Q106" i="25"/>
  <c r="P106" i="25"/>
  <c r="O106" i="25"/>
  <c r="N106" i="25"/>
  <c r="M106" i="25"/>
  <c r="L106" i="25"/>
  <c r="R105" i="25"/>
  <c r="Q105" i="25"/>
  <c r="P105" i="25"/>
  <c r="O105" i="25"/>
  <c r="M105" i="25"/>
  <c r="L105" i="25"/>
  <c r="N105" i="25" s="1"/>
  <c r="S104" i="25"/>
  <c r="R104" i="25"/>
  <c r="Q104" i="25"/>
  <c r="P104" i="25"/>
  <c r="N104" i="25"/>
  <c r="M104" i="25"/>
  <c r="L104" i="25"/>
  <c r="O104" i="25" s="1"/>
  <c r="S103" i="25"/>
  <c r="R103" i="25"/>
  <c r="Q103" i="25"/>
  <c r="O103" i="25"/>
  <c r="N103" i="25"/>
  <c r="M103" i="25"/>
  <c r="L103" i="25"/>
  <c r="P103" i="25" s="1"/>
  <c r="A103" i="25"/>
  <c r="R102" i="25"/>
  <c r="Q102" i="25"/>
  <c r="P102" i="25"/>
  <c r="O102" i="25"/>
  <c r="N102" i="25"/>
  <c r="M102" i="25"/>
  <c r="L102" i="25"/>
  <c r="R74" i="25"/>
  <c r="Q74" i="25"/>
  <c r="P74" i="25"/>
  <c r="O74" i="25"/>
  <c r="N74" i="25"/>
  <c r="L74" i="25"/>
  <c r="G74" i="25"/>
  <c r="R73" i="25"/>
  <c r="Q73" i="25"/>
  <c r="P73" i="25"/>
  <c r="O73" i="25"/>
  <c r="N73" i="25"/>
  <c r="L73" i="25"/>
  <c r="G73" i="25"/>
  <c r="R72" i="25"/>
  <c r="Q72" i="25"/>
  <c r="P72" i="25"/>
  <c r="O72" i="25"/>
  <c r="N72" i="25"/>
  <c r="L72" i="25"/>
  <c r="G72" i="25"/>
  <c r="R71" i="25"/>
  <c r="Q71" i="25"/>
  <c r="P71" i="25"/>
  <c r="O71" i="25"/>
  <c r="M71" i="25"/>
  <c r="L71" i="25"/>
  <c r="G71" i="25"/>
  <c r="F71" i="25"/>
  <c r="R70" i="25"/>
  <c r="Q70" i="25"/>
  <c r="P70" i="25"/>
  <c r="O70" i="25"/>
  <c r="M70" i="25"/>
  <c r="L70" i="25"/>
  <c r="G70" i="25"/>
  <c r="R69" i="25"/>
  <c r="Q69" i="25"/>
  <c r="P69" i="25"/>
  <c r="O69" i="25"/>
  <c r="M69" i="25"/>
  <c r="L69" i="25"/>
  <c r="E69" i="25"/>
  <c r="E70" i="25" s="1"/>
  <c r="E71" i="25" s="1"/>
  <c r="S68" i="25"/>
  <c r="R68" i="25"/>
  <c r="Q68" i="25"/>
  <c r="O68" i="25"/>
  <c r="N68" i="25"/>
  <c r="M68" i="25"/>
  <c r="L68" i="25"/>
  <c r="P68" i="25" s="1"/>
  <c r="S67" i="25"/>
  <c r="R67" i="25"/>
  <c r="P67" i="25"/>
  <c r="O67" i="25"/>
  <c r="N67" i="25"/>
  <c r="M67" i="25"/>
  <c r="L67" i="25"/>
  <c r="Q67" i="25" s="1"/>
  <c r="A67" i="25"/>
  <c r="R66" i="25"/>
  <c r="Q66" i="25"/>
  <c r="P66" i="25"/>
  <c r="O66" i="25"/>
  <c r="N66" i="25"/>
  <c r="L66" i="25"/>
  <c r="G66" i="25"/>
  <c r="R65" i="25"/>
  <c r="Q65" i="25"/>
  <c r="P65" i="25"/>
  <c r="O65" i="25"/>
  <c r="N65" i="25"/>
  <c r="L65" i="25"/>
  <c r="G65" i="25"/>
  <c r="R64" i="25"/>
  <c r="Q64" i="25"/>
  <c r="P64" i="25"/>
  <c r="O64" i="25"/>
  <c r="N64" i="25"/>
  <c r="L64" i="25"/>
  <c r="G64" i="25"/>
  <c r="R63" i="25"/>
  <c r="Q63" i="25"/>
  <c r="P63" i="25"/>
  <c r="O63" i="25"/>
  <c r="M63" i="25"/>
  <c r="L63" i="25"/>
  <c r="G63" i="25"/>
  <c r="F63" i="25"/>
  <c r="R62" i="25"/>
  <c r="Q62" i="25"/>
  <c r="P62" i="25"/>
  <c r="O62" i="25"/>
  <c r="M62" i="25"/>
  <c r="L62" i="25"/>
  <c r="G62" i="25"/>
  <c r="F62" i="25"/>
  <c r="R61" i="25"/>
  <c r="Q61" i="25"/>
  <c r="P61" i="25"/>
  <c r="O61" i="25"/>
  <c r="M61" i="25"/>
  <c r="L61" i="25"/>
  <c r="R60" i="25"/>
  <c r="Q60" i="25"/>
  <c r="P60" i="25"/>
  <c r="N60" i="25"/>
  <c r="M60" i="25"/>
  <c r="L60" i="25"/>
  <c r="E60" i="25"/>
  <c r="S59" i="25"/>
  <c r="R59" i="25"/>
  <c r="Q59" i="25"/>
  <c r="O59" i="25"/>
  <c r="N59" i="25"/>
  <c r="M59" i="25"/>
  <c r="L59" i="25"/>
  <c r="P59" i="25" s="1"/>
  <c r="A59" i="25"/>
  <c r="R58" i="25"/>
  <c r="Q58" i="25"/>
  <c r="P58" i="25"/>
  <c r="O58" i="25"/>
  <c r="N58" i="25"/>
  <c r="L58" i="25"/>
  <c r="G58" i="25"/>
  <c r="R57" i="25"/>
  <c r="Q57" i="25"/>
  <c r="P57" i="25"/>
  <c r="O57" i="25"/>
  <c r="N57" i="25"/>
  <c r="L57" i="25"/>
  <c r="G57" i="25"/>
  <c r="R56" i="25"/>
  <c r="Q56" i="25"/>
  <c r="P56" i="25"/>
  <c r="O56" i="25"/>
  <c r="N56" i="25"/>
  <c r="L56" i="25"/>
  <c r="G56" i="25"/>
  <c r="R55" i="25"/>
  <c r="Q55" i="25"/>
  <c r="P55" i="25"/>
  <c r="O55" i="25"/>
  <c r="N55" i="25"/>
  <c r="L55" i="25"/>
  <c r="G55" i="25"/>
  <c r="R54" i="25"/>
  <c r="Q54" i="25"/>
  <c r="P54" i="25"/>
  <c r="O54" i="25"/>
  <c r="M54" i="25"/>
  <c r="L54" i="25"/>
  <c r="G54" i="25"/>
  <c r="R53" i="25"/>
  <c r="Q53" i="25"/>
  <c r="P53" i="25"/>
  <c r="O53" i="25"/>
  <c r="M53" i="25"/>
  <c r="L53" i="25"/>
  <c r="G53" i="25"/>
  <c r="F53" i="25"/>
  <c r="R52" i="25"/>
  <c r="Q52" i="25"/>
  <c r="P52" i="25"/>
  <c r="O52" i="25"/>
  <c r="M52" i="25"/>
  <c r="L52" i="25"/>
  <c r="G52" i="25"/>
  <c r="R51" i="25"/>
  <c r="Q51" i="25"/>
  <c r="P51" i="25"/>
  <c r="O51" i="25"/>
  <c r="M51" i="25"/>
  <c r="L51" i="25"/>
  <c r="R50" i="25"/>
  <c r="Q50" i="25"/>
  <c r="P50" i="25"/>
  <c r="N50" i="25"/>
  <c r="M50" i="25"/>
  <c r="L50" i="25"/>
  <c r="E50" i="25"/>
  <c r="S50" i="25" s="1"/>
  <c r="S49" i="25"/>
  <c r="R49" i="25"/>
  <c r="Q49" i="25"/>
  <c r="O49" i="25"/>
  <c r="N49" i="25"/>
  <c r="M49" i="25"/>
  <c r="L49" i="25"/>
  <c r="P49" i="25" s="1"/>
  <c r="A49" i="25"/>
  <c r="R48" i="25"/>
  <c r="Q48" i="25"/>
  <c r="P48" i="25"/>
  <c r="O48" i="25"/>
  <c r="N48" i="25"/>
  <c r="L48" i="25"/>
  <c r="G48" i="25"/>
  <c r="R47" i="25"/>
  <c r="Q47" i="25"/>
  <c r="P47" i="25"/>
  <c r="O47" i="25"/>
  <c r="N47" i="25"/>
  <c r="L47" i="25"/>
  <c r="G47" i="25"/>
  <c r="R46" i="25"/>
  <c r="Q46" i="25"/>
  <c r="P46" i="25"/>
  <c r="O46" i="25"/>
  <c r="N46" i="25"/>
  <c r="L46" i="25"/>
  <c r="G46" i="25"/>
  <c r="R45" i="25"/>
  <c r="Q45" i="25"/>
  <c r="P45" i="25"/>
  <c r="O45" i="25"/>
  <c r="N45" i="25"/>
  <c r="L45" i="25"/>
  <c r="G45" i="25"/>
  <c r="R44" i="25"/>
  <c r="Q44" i="25"/>
  <c r="P44" i="25"/>
  <c r="O44" i="25"/>
  <c r="M44" i="25"/>
  <c r="L44" i="25"/>
  <c r="G44" i="25"/>
  <c r="R43" i="25"/>
  <c r="Q43" i="25"/>
  <c r="P43" i="25"/>
  <c r="O43" i="25"/>
  <c r="M43" i="25"/>
  <c r="L43" i="25"/>
  <c r="G43" i="25"/>
  <c r="F43" i="25"/>
  <c r="R42" i="25"/>
  <c r="Q42" i="25"/>
  <c r="P42" i="25"/>
  <c r="O42" i="25"/>
  <c r="M42" i="25"/>
  <c r="L42" i="25"/>
  <c r="G42" i="25"/>
  <c r="R41" i="25"/>
  <c r="Q41" i="25"/>
  <c r="P41" i="25"/>
  <c r="O41" i="25"/>
  <c r="M41" i="25"/>
  <c r="L41" i="25"/>
  <c r="R40" i="25"/>
  <c r="Q40" i="25"/>
  <c r="P40" i="25"/>
  <c r="N40" i="25"/>
  <c r="M40" i="25"/>
  <c r="L40" i="25"/>
  <c r="E40" i="25"/>
  <c r="S40" i="25" s="1"/>
  <c r="S39" i="25"/>
  <c r="R39" i="25"/>
  <c r="Q39" i="25"/>
  <c r="O39" i="25"/>
  <c r="N39" i="25"/>
  <c r="M39" i="25"/>
  <c r="L39" i="25"/>
  <c r="P39" i="25" s="1"/>
  <c r="A39" i="25"/>
  <c r="R38" i="25"/>
  <c r="Q38" i="25"/>
  <c r="P38" i="25"/>
  <c r="O38" i="25"/>
  <c r="N38" i="25"/>
  <c r="L38" i="25"/>
  <c r="G38" i="25"/>
  <c r="R37" i="25"/>
  <c r="Q37" i="25"/>
  <c r="P37" i="25"/>
  <c r="O37" i="25"/>
  <c r="N37" i="25"/>
  <c r="L37" i="25"/>
  <c r="G37" i="25"/>
  <c r="R36" i="25"/>
  <c r="Q36" i="25"/>
  <c r="P36" i="25"/>
  <c r="O36" i="25"/>
  <c r="N36" i="25"/>
  <c r="L36" i="25"/>
  <c r="G36" i="25"/>
  <c r="R35" i="25"/>
  <c r="Q35" i="25"/>
  <c r="P35" i="25"/>
  <c r="O35" i="25"/>
  <c r="N35" i="25"/>
  <c r="L35" i="25"/>
  <c r="G35" i="25"/>
  <c r="R34" i="25"/>
  <c r="Q34" i="25"/>
  <c r="P34" i="25"/>
  <c r="O34" i="25"/>
  <c r="M34" i="25"/>
  <c r="L34" i="25"/>
  <c r="G34" i="25"/>
  <c r="R33" i="25"/>
  <c r="Q33" i="25"/>
  <c r="P33" i="25"/>
  <c r="O33" i="25"/>
  <c r="M33" i="25"/>
  <c r="L33" i="25"/>
  <c r="G33" i="25"/>
  <c r="F33" i="25"/>
  <c r="R32" i="25"/>
  <c r="Q32" i="25"/>
  <c r="P32" i="25"/>
  <c r="O32" i="25"/>
  <c r="M32" i="25"/>
  <c r="L32" i="25"/>
  <c r="G32" i="25"/>
  <c r="R31" i="25"/>
  <c r="Q31" i="25"/>
  <c r="P31" i="25"/>
  <c r="O31" i="25"/>
  <c r="M31" i="25"/>
  <c r="L31" i="25"/>
  <c r="E31" i="25"/>
  <c r="E32" i="25" s="1"/>
  <c r="S30" i="25"/>
  <c r="R30" i="25"/>
  <c r="P30" i="25"/>
  <c r="O30" i="25"/>
  <c r="N30" i="25"/>
  <c r="M30" i="25"/>
  <c r="L30" i="25"/>
  <c r="Q30" i="25" s="1"/>
  <c r="A30" i="25"/>
  <c r="R29" i="25"/>
  <c r="Q29" i="25"/>
  <c r="P29" i="25"/>
  <c r="O29" i="25"/>
  <c r="N29" i="25"/>
  <c r="L29" i="25"/>
  <c r="G29" i="25"/>
  <c r="R28" i="25"/>
  <c r="Q28" i="25"/>
  <c r="P28" i="25"/>
  <c r="O28" i="25"/>
  <c r="N28" i="25"/>
  <c r="L28" i="25"/>
  <c r="G28" i="25"/>
  <c r="R27" i="25"/>
  <c r="Q27" i="25"/>
  <c r="P27" i="25"/>
  <c r="O27" i="25"/>
  <c r="N27" i="25"/>
  <c r="L27" i="25"/>
  <c r="G27" i="25"/>
  <c r="R26" i="25"/>
  <c r="Q26" i="25"/>
  <c r="P26" i="25"/>
  <c r="O26" i="25"/>
  <c r="M26" i="25"/>
  <c r="L26" i="25"/>
  <c r="G26" i="25"/>
  <c r="F26" i="25"/>
  <c r="R25" i="25"/>
  <c r="Q25" i="25"/>
  <c r="P25" i="25"/>
  <c r="O25" i="25"/>
  <c r="M25" i="25"/>
  <c r="L25" i="25"/>
  <c r="G25" i="25"/>
  <c r="R24" i="25"/>
  <c r="Q24" i="25"/>
  <c r="P24" i="25"/>
  <c r="O24" i="25"/>
  <c r="M24" i="25"/>
  <c r="L24" i="25"/>
  <c r="S23" i="25"/>
  <c r="Q23" i="25"/>
  <c r="P23" i="25"/>
  <c r="O23" i="25"/>
  <c r="N23" i="25"/>
  <c r="M23" i="25"/>
  <c r="L23" i="25"/>
  <c r="R23" i="25" s="1"/>
  <c r="A23" i="25"/>
  <c r="R22" i="25"/>
  <c r="Q22" i="25"/>
  <c r="P22" i="25"/>
  <c r="O22" i="25"/>
  <c r="N22" i="25"/>
  <c r="L22" i="25"/>
  <c r="G22" i="25"/>
  <c r="R21" i="25"/>
  <c r="Q21" i="25"/>
  <c r="P21" i="25"/>
  <c r="O21" i="25"/>
  <c r="N21" i="25"/>
  <c r="L21" i="25"/>
  <c r="G21" i="25"/>
  <c r="R20" i="25"/>
  <c r="Q20" i="25"/>
  <c r="P20" i="25"/>
  <c r="O20" i="25"/>
  <c r="N20" i="25"/>
  <c r="L20" i="25"/>
  <c r="G20" i="25"/>
  <c r="R19" i="25"/>
  <c r="Q19" i="25"/>
  <c r="P19" i="25"/>
  <c r="O19" i="25"/>
  <c r="M19" i="25"/>
  <c r="L19" i="25"/>
  <c r="G19" i="25"/>
  <c r="F19" i="25"/>
  <c r="R18" i="25"/>
  <c r="Q18" i="25"/>
  <c r="P18" i="25"/>
  <c r="O18" i="25"/>
  <c r="M18" i="25"/>
  <c r="L18" i="25"/>
  <c r="G18" i="25"/>
  <c r="R17" i="25"/>
  <c r="Q17" i="25"/>
  <c r="P17" i="25"/>
  <c r="O17" i="25"/>
  <c r="M17" i="25"/>
  <c r="L17" i="25"/>
  <c r="R16" i="25"/>
  <c r="Q16" i="25"/>
  <c r="O16" i="25"/>
  <c r="N16" i="25"/>
  <c r="M16" i="25"/>
  <c r="L16" i="25"/>
  <c r="S15" i="25"/>
  <c r="R15" i="25"/>
  <c r="P15" i="25"/>
  <c r="O15" i="25"/>
  <c r="N15" i="25"/>
  <c r="M15" i="25"/>
  <c r="L15" i="25"/>
  <c r="Q15" i="25" s="1"/>
  <c r="A15" i="25"/>
  <c r="R14" i="25"/>
  <c r="Q14" i="25"/>
  <c r="P14" i="25"/>
  <c r="O14" i="25"/>
  <c r="N14" i="25"/>
  <c r="L14" i="25"/>
  <c r="G14" i="25"/>
  <c r="R13" i="25"/>
  <c r="Q13" i="25"/>
  <c r="P13" i="25"/>
  <c r="O13" i="25"/>
  <c r="N13" i="25"/>
  <c r="L13" i="25"/>
  <c r="G13" i="25"/>
  <c r="R12" i="25"/>
  <c r="Q12" i="25"/>
  <c r="P12" i="25"/>
  <c r="O12" i="25"/>
  <c r="N12" i="25"/>
  <c r="L12" i="25"/>
  <c r="G12" i="25"/>
  <c r="R11" i="25"/>
  <c r="Q11" i="25"/>
  <c r="P11" i="25"/>
  <c r="O11" i="25"/>
  <c r="M11" i="25"/>
  <c r="L11" i="25"/>
  <c r="F11" i="25"/>
  <c r="R10" i="25"/>
  <c r="Q10" i="25"/>
  <c r="P10" i="25"/>
  <c r="O10" i="25"/>
  <c r="M10" i="25"/>
  <c r="L10" i="25"/>
  <c r="G10" i="25"/>
  <c r="R9" i="25"/>
  <c r="Q9" i="25"/>
  <c r="P9" i="25"/>
  <c r="O9" i="25"/>
  <c r="M9" i="25"/>
  <c r="L9" i="25"/>
  <c r="R8" i="25"/>
  <c r="Q8" i="25"/>
  <c r="P8" i="25"/>
  <c r="N8" i="25"/>
  <c r="M8" i="25"/>
  <c r="L8" i="25"/>
  <c r="E8" i="25"/>
  <c r="E9" i="25" s="1"/>
  <c r="E10" i="25" s="1"/>
  <c r="E11" i="25" s="1"/>
  <c r="E12" i="25" s="1"/>
  <c r="S7" i="25"/>
  <c r="R7" i="25"/>
  <c r="Q7" i="25"/>
  <c r="O7" i="25"/>
  <c r="N7" i="25"/>
  <c r="M7" i="25"/>
  <c r="L7" i="25"/>
  <c r="P7" i="25" s="1"/>
  <c r="A7" i="25"/>
  <c r="R383" i="24"/>
  <c r="Q383" i="24"/>
  <c r="P383" i="24"/>
  <c r="O383" i="24"/>
  <c r="N383" i="24"/>
  <c r="M383" i="24"/>
  <c r="L383" i="24"/>
  <c r="R382" i="24"/>
  <c r="Q382" i="24"/>
  <c r="P382" i="24"/>
  <c r="O382" i="24"/>
  <c r="N382" i="24"/>
  <c r="L382" i="24"/>
  <c r="G382" i="24"/>
  <c r="M382" i="24" s="1"/>
  <c r="R381" i="24"/>
  <c r="Q381" i="24"/>
  <c r="P381" i="24"/>
  <c r="O381" i="24"/>
  <c r="N381" i="24"/>
  <c r="L381" i="24"/>
  <c r="G381" i="24"/>
  <c r="R380" i="24"/>
  <c r="Q380" i="24"/>
  <c r="P380" i="24"/>
  <c r="N380" i="24"/>
  <c r="M380" i="24"/>
  <c r="I380" i="24"/>
  <c r="L380" i="24" s="1"/>
  <c r="O380" i="24" s="1"/>
  <c r="R379" i="24"/>
  <c r="Q379" i="24"/>
  <c r="P379" i="24"/>
  <c r="N379" i="24"/>
  <c r="M379" i="24"/>
  <c r="I379" i="24"/>
  <c r="L379" i="24" s="1"/>
  <c r="O379" i="24" s="1"/>
  <c r="R378" i="24"/>
  <c r="Q378" i="24"/>
  <c r="P378" i="24"/>
  <c r="O378" i="24"/>
  <c r="N378" i="24"/>
  <c r="M378" i="24"/>
  <c r="L378" i="24"/>
  <c r="R377" i="24"/>
  <c r="Q377" i="24"/>
  <c r="P377" i="24"/>
  <c r="O377" i="24"/>
  <c r="N377" i="24"/>
  <c r="L377" i="24"/>
  <c r="G377" i="24"/>
  <c r="M377" i="24" s="1"/>
  <c r="R376" i="24"/>
  <c r="Q376" i="24"/>
  <c r="P376" i="24"/>
  <c r="O376" i="24"/>
  <c r="N376" i="24"/>
  <c r="L376" i="24"/>
  <c r="G376" i="24"/>
  <c r="R375" i="24"/>
  <c r="Q375" i="24"/>
  <c r="P375" i="24"/>
  <c r="O375" i="24"/>
  <c r="N375" i="24"/>
  <c r="L375" i="24"/>
  <c r="G375" i="24"/>
  <c r="R374" i="24"/>
  <c r="Q374" i="24"/>
  <c r="P374" i="24"/>
  <c r="N374" i="24"/>
  <c r="M374" i="24"/>
  <c r="I374" i="24"/>
  <c r="L374" i="24" s="1"/>
  <c r="O374" i="24" s="1"/>
  <c r="R373" i="24"/>
  <c r="Q373" i="24"/>
  <c r="P373" i="24"/>
  <c r="N373" i="24"/>
  <c r="M373" i="24"/>
  <c r="I373" i="24"/>
  <c r="L373" i="24" s="1"/>
  <c r="O373" i="24" s="1"/>
  <c r="R372" i="24"/>
  <c r="Q372" i="24"/>
  <c r="P372" i="24"/>
  <c r="O372" i="24"/>
  <c r="N372" i="24"/>
  <c r="M372" i="24"/>
  <c r="L372" i="24"/>
  <c r="R371" i="24"/>
  <c r="Q371" i="24"/>
  <c r="P371" i="24"/>
  <c r="O371" i="24"/>
  <c r="N371" i="24"/>
  <c r="L371" i="24"/>
  <c r="G371" i="24"/>
  <c r="M371" i="24" s="1"/>
  <c r="R370" i="24"/>
  <c r="Q370" i="24"/>
  <c r="P370" i="24"/>
  <c r="N370" i="24"/>
  <c r="M370" i="24"/>
  <c r="I370" i="24"/>
  <c r="L370" i="24" s="1"/>
  <c r="O370" i="24" s="1"/>
  <c r="R369" i="24"/>
  <c r="Q369" i="24"/>
  <c r="P369" i="24"/>
  <c r="N369" i="24"/>
  <c r="M369" i="24"/>
  <c r="I369" i="24"/>
  <c r="L369" i="24" s="1"/>
  <c r="O369" i="24" s="1"/>
  <c r="R368" i="24"/>
  <c r="Q368" i="24"/>
  <c r="P368" i="24"/>
  <c r="O368" i="24"/>
  <c r="N368" i="24"/>
  <c r="M368" i="24"/>
  <c r="L368" i="24"/>
  <c r="R367" i="24"/>
  <c r="Q367" i="24"/>
  <c r="P367" i="24"/>
  <c r="O367" i="24"/>
  <c r="N367" i="24"/>
  <c r="L367" i="24"/>
  <c r="G367" i="24"/>
  <c r="R366" i="24"/>
  <c r="Q366" i="24"/>
  <c r="P366" i="24"/>
  <c r="O366" i="24"/>
  <c r="N366" i="24"/>
  <c r="L366" i="24"/>
  <c r="G366" i="24"/>
  <c r="R365" i="24"/>
  <c r="Q365" i="24"/>
  <c r="P365" i="24"/>
  <c r="O365" i="24"/>
  <c r="N365" i="24"/>
  <c r="L365" i="24"/>
  <c r="G365" i="24"/>
  <c r="R364" i="24"/>
  <c r="Q364" i="24"/>
  <c r="O364" i="24"/>
  <c r="N364" i="24"/>
  <c r="M364" i="24"/>
  <c r="I364" i="24"/>
  <c r="L364" i="24" s="1"/>
  <c r="P364" i="24" s="1"/>
  <c r="R363" i="24"/>
  <c r="Q363" i="24"/>
  <c r="O363" i="24"/>
  <c r="N363" i="24"/>
  <c r="M363" i="24"/>
  <c r="I363" i="24"/>
  <c r="L363" i="24" s="1"/>
  <c r="P363" i="24" s="1"/>
  <c r="R362" i="24"/>
  <c r="Q362" i="24"/>
  <c r="P362" i="24"/>
  <c r="O362" i="24"/>
  <c r="N362" i="24"/>
  <c r="M362" i="24"/>
  <c r="L362" i="24"/>
  <c r="R361" i="24"/>
  <c r="Q361" i="24"/>
  <c r="P361" i="24"/>
  <c r="O361" i="24"/>
  <c r="N361" i="24"/>
  <c r="L361" i="24"/>
  <c r="G361" i="24"/>
  <c r="R360" i="24"/>
  <c r="Q360" i="24"/>
  <c r="P360" i="24"/>
  <c r="O360" i="24"/>
  <c r="N360" i="24"/>
  <c r="L360" i="24"/>
  <c r="G360" i="24"/>
  <c r="R359" i="24"/>
  <c r="Q359" i="24"/>
  <c r="O359" i="24"/>
  <c r="N359" i="24"/>
  <c r="M359" i="24"/>
  <c r="I359" i="24"/>
  <c r="L359" i="24" s="1"/>
  <c r="P359" i="24" s="1"/>
  <c r="R358" i="24"/>
  <c r="Q358" i="24"/>
  <c r="O358" i="24"/>
  <c r="N358" i="24"/>
  <c r="M358" i="24"/>
  <c r="I358" i="24"/>
  <c r="L358" i="24" s="1"/>
  <c r="P358" i="24" s="1"/>
  <c r="R357" i="24"/>
  <c r="Q357" i="24"/>
  <c r="P357" i="24"/>
  <c r="O357" i="24"/>
  <c r="N357" i="24"/>
  <c r="M357" i="24"/>
  <c r="L357" i="24"/>
  <c r="R356" i="24"/>
  <c r="Q356" i="24"/>
  <c r="P356" i="24"/>
  <c r="O356" i="24"/>
  <c r="N356" i="24"/>
  <c r="L356" i="24"/>
  <c r="G356" i="24"/>
  <c r="R355" i="24"/>
  <c r="Q355" i="24"/>
  <c r="P355" i="24"/>
  <c r="N355" i="24"/>
  <c r="M355" i="24"/>
  <c r="L355" i="24"/>
  <c r="O355" i="24" s="1"/>
  <c r="R354" i="24"/>
  <c r="Q354" i="24"/>
  <c r="P354" i="24"/>
  <c r="N354" i="24"/>
  <c r="M354" i="24"/>
  <c r="L354" i="24"/>
  <c r="O354" i="24" s="1"/>
  <c r="R353" i="24"/>
  <c r="Q353" i="24"/>
  <c r="P353" i="24"/>
  <c r="O353" i="24"/>
  <c r="N353" i="24"/>
  <c r="M353" i="24"/>
  <c r="L353" i="24"/>
  <c r="R352" i="24"/>
  <c r="Q352" i="24"/>
  <c r="P352" i="24"/>
  <c r="O352" i="24"/>
  <c r="N352" i="24"/>
  <c r="L352" i="24"/>
  <c r="G352" i="24"/>
  <c r="R351" i="24"/>
  <c r="Q351" i="24"/>
  <c r="P351" i="24"/>
  <c r="O351" i="24"/>
  <c r="N351" i="24"/>
  <c r="L351" i="24"/>
  <c r="G351" i="24"/>
  <c r="R350" i="24"/>
  <c r="Q350" i="24"/>
  <c r="O350" i="24"/>
  <c r="N350" i="24"/>
  <c r="M350" i="24"/>
  <c r="I350" i="24"/>
  <c r="L350" i="24" s="1"/>
  <c r="P350" i="24" s="1"/>
  <c r="R349" i="24"/>
  <c r="Q349" i="24"/>
  <c r="O349" i="24"/>
  <c r="N349" i="24"/>
  <c r="M349" i="24"/>
  <c r="I349" i="24"/>
  <c r="L349" i="24" s="1"/>
  <c r="P349" i="24" s="1"/>
  <c r="R348" i="24"/>
  <c r="Q348" i="24"/>
  <c r="P348" i="24"/>
  <c r="O348" i="24"/>
  <c r="N348" i="24"/>
  <c r="M348" i="24"/>
  <c r="L348" i="24"/>
  <c r="R347" i="24"/>
  <c r="Q347" i="24"/>
  <c r="P347" i="24"/>
  <c r="O347" i="24"/>
  <c r="N347" i="24"/>
  <c r="L347" i="24"/>
  <c r="G347" i="24"/>
  <c r="R346" i="24"/>
  <c r="Q346" i="24"/>
  <c r="P346" i="24"/>
  <c r="O346" i="24"/>
  <c r="N346" i="24"/>
  <c r="L346" i="24"/>
  <c r="G346" i="24"/>
  <c r="R345" i="24"/>
  <c r="Q345" i="24"/>
  <c r="P345" i="24"/>
  <c r="N345" i="24"/>
  <c r="M345" i="24"/>
  <c r="I345" i="24"/>
  <c r="L345" i="24" s="1"/>
  <c r="O345" i="24" s="1"/>
  <c r="R344" i="24"/>
  <c r="Q344" i="24"/>
  <c r="P344" i="24"/>
  <c r="N344" i="24"/>
  <c r="M344" i="24"/>
  <c r="I344" i="24"/>
  <c r="L344" i="24" s="1"/>
  <c r="O344" i="24" s="1"/>
  <c r="R343" i="24"/>
  <c r="Q343" i="24"/>
  <c r="P343" i="24"/>
  <c r="O343" i="24"/>
  <c r="N343" i="24"/>
  <c r="M343" i="24"/>
  <c r="L343" i="24"/>
  <c r="R342" i="24"/>
  <c r="Q342" i="24"/>
  <c r="P342" i="24"/>
  <c r="O342" i="24"/>
  <c r="N342" i="24"/>
  <c r="L342" i="24"/>
  <c r="G342" i="24"/>
  <c r="R341" i="24"/>
  <c r="Q341" i="24"/>
  <c r="P341" i="24"/>
  <c r="N341" i="24"/>
  <c r="M341" i="24"/>
  <c r="I341" i="24"/>
  <c r="L341" i="24" s="1"/>
  <c r="O341" i="24" s="1"/>
  <c r="R340" i="24"/>
  <c r="Q340" i="24"/>
  <c r="P340" i="24"/>
  <c r="N340" i="24"/>
  <c r="M340" i="24"/>
  <c r="I340" i="24"/>
  <c r="L340" i="24" s="1"/>
  <c r="O340" i="24" s="1"/>
  <c r="R339" i="24"/>
  <c r="Q339" i="24"/>
  <c r="P339" i="24"/>
  <c r="O339" i="24"/>
  <c r="N339" i="24"/>
  <c r="M339" i="24"/>
  <c r="L339" i="24"/>
  <c r="R338" i="24"/>
  <c r="Q338" i="24"/>
  <c r="P338" i="24"/>
  <c r="O338" i="24"/>
  <c r="N338" i="24"/>
  <c r="L338" i="24"/>
  <c r="G338" i="24"/>
  <c r="R337" i="24"/>
  <c r="Q337" i="24"/>
  <c r="P337" i="24"/>
  <c r="O337" i="24"/>
  <c r="N337" i="24"/>
  <c r="L337" i="24"/>
  <c r="G337" i="24"/>
  <c r="R336" i="24"/>
  <c r="Q336" i="24"/>
  <c r="P336" i="24"/>
  <c r="O336" i="24"/>
  <c r="N336" i="24"/>
  <c r="L336" i="24"/>
  <c r="G336" i="24"/>
  <c r="R335" i="24"/>
  <c r="Q335" i="24"/>
  <c r="P335" i="24"/>
  <c r="O335" i="24"/>
  <c r="N335" i="24"/>
  <c r="L335" i="24"/>
  <c r="G335" i="24"/>
  <c r="R334" i="24"/>
  <c r="Q334" i="24"/>
  <c r="P334" i="24"/>
  <c r="O334" i="24"/>
  <c r="N334" i="24"/>
  <c r="L334" i="24"/>
  <c r="G334" i="24"/>
  <c r="R333" i="24"/>
  <c r="Q333" i="24"/>
  <c r="P333" i="24"/>
  <c r="O333" i="24"/>
  <c r="N333" i="24"/>
  <c r="L333" i="24"/>
  <c r="G333" i="24"/>
  <c r="R332" i="24"/>
  <c r="Q332" i="24"/>
  <c r="P332" i="24"/>
  <c r="O332" i="24"/>
  <c r="N332" i="24"/>
  <c r="L332" i="24"/>
  <c r="G332" i="24"/>
  <c r="R331" i="24"/>
  <c r="Q331" i="24"/>
  <c r="O331" i="24"/>
  <c r="N331" i="24"/>
  <c r="M331" i="24"/>
  <c r="K331" i="24"/>
  <c r="I331" i="24"/>
  <c r="R330" i="24"/>
  <c r="Q330" i="24"/>
  <c r="O330" i="24"/>
  <c r="N330" i="24"/>
  <c r="M330" i="24"/>
  <c r="K330" i="24"/>
  <c r="L330" i="24" s="1"/>
  <c r="P330" i="24" s="1"/>
  <c r="I330" i="24"/>
  <c r="R329" i="24"/>
  <c r="Q329" i="24"/>
  <c r="P329" i="24"/>
  <c r="O329" i="24"/>
  <c r="N329" i="24"/>
  <c r="M329" i="24"/>
  <c r="L329" i="24"/>
  <c r="R328" i="24"/>
  <c r="Q328" i="24"/>
  <c r="P328" i="24"/>
  <c r="O328" i="24"/>
  <c r="L328" i="24"/>
  <c r="G328" i="24"/>
  <c r="M328" i="24" s="1"/>
  <c r="R327" i="24"/>
  <c r="Q327" i="24"/>
  <c r="P327" i="24"/>
  <c r="O327" i="24"/>
  <c r="L327" i="24"/>
  <c r="G327" i="24"/>
  <c r="R326" i="24"/>
  <c r="Q326" i="24"/>
  <c r="O326" i="24"/>
  <c r="N326" i="24"/>
  <c r="M326" i="24"/>
  <c r="I326" i="24"/>
  <c r="L326" i="24" s="1"/>
  <c r="P326" i="24" s="1"/>
  <c r="R325" i="24"/>
  <c r="Q325" i="24"/>
  <c r="O325" i="24"/>
  <c r="N325" i="24"/>
  <c r="M325" i="24"/>
  <c r="I325" i="24"/>
  <c r="L325" i="24" s="1"/>
  <c r="P325" i="24" s="1"/>
  <c r="R324" i="24"/>
  <c r="Q324" i="24"/>
  <c r="P324" i="24"/>
  <c r="O324" i="24"/>
  <c r="N324" i="24"/>
  <c r="M324" i="24"/>
  <c r="L324" i="24"/>
  <c r="R323" i="24"/>
  <c r="Q323" i="24"/>
  <c r="P323" i="24"/>
  <c r="O323" i="24"/>
  <c r="L323" i="24"/>
  <c r="G323" i="24"/>
  <c r="R322" i="24"/>
  <c r="Q322" i="24"/>
  <c r="O322" i="24"/>
  <c r="N322" i="24"/>
  <c r="M322" i="24"/>
  <c r="I322" i="24"/>
  <c r="H322" i="24"/>
  <c r="L322" i="24" s="1"/>
  <c r="P322" i="24" s="1"/>
  <c r="R321" i="24"/>
  <c r="Q321" i="24"/>
  <c r="P321" i="24"/>
  <c r="N321" i="24"/>
  <c r="M321" i="24"/>
  <c r="I321" i="24"/>
  <c r="H321" i="24"/>
  <c r="R320" i="24"/>
  <c r="Q320" i="24"/>
  <c r="P320" i="24"/>
  <c r="O320" i="24"/>
  <c r="N320" i="24"/>
  <c r="M320" i="24"/>
  <c r="L320" i="24"/>
  <c r="R319" i="24"/>
  <c r="Q319" i="24"/>
  <c r="P319" i="24"/>
  <c r="O319" i="24"/>
  <c r="N319" i="24"/>
  <c r="L319" i="24"/>
  <c r="G319" i="24"/>
  <c r="R318" i="24"/>
  <c r="Q318" i="24"/>
  <c r="P318" i="24"/>
  <c r="N318" i="24"/>
  <c r="M318" i="24"/>
  <c r="I318" i="24"/>
  <c r="L318" i="24" s="1"/>
  <c r="O318" i="24" s="1"/>
  <c r="R317" i="24"/>
  <c r="Q317" i="24"/>
  <c r="P317" i="24"/>
  <c r="N317" i="24"/>
  <c r="M317" i="24"/>
  <c r="I317" i="24"/>
  <c r="L317" i="24" s="1"/>
  <c r="O317" i="24" s="1"/>
  <c r="R316" i="24"/>
  <c r="Q316" i="24"/>
  <c r="P316" i="24"/>
  <c r="O316" i="24"/>
  <c r="N316" i="24"/>
  <c r="M316" i="24"/>
  <c r="L316" i="24"/>
  <c r="R315" i="24"/>
  <c r="Q315" i="24"/>
  <c r="P315" i="24"/>
  <c r="O315" i="24"/>
  <c r="N315" i="24"/>
  <c r="L315" i="24"/>
  <c r="G315" i="24"/>
  <c r="R314" i="24"/>
  <c r="Q314" i="24"/>
  <c r="P314" i="24"/>
  <c r="N314" i="24"/>
  <c r="M314" i="24"/>
  <c r="I314" i="24"/>
  <c r="L314" i="24" s="1"/>
  <c r="O314" i="24" s="1"/>
  <c r="R313" i="24"/>
  <c r="Q313" i="24"/>
  <c r="P313" i="24"/>
  <c r="N313" i="24"/>
  <c r="M313" i="24"/>
  <c r="I313" i="24"/>
  <c r="L313" i="24" s="1"/>
  <c r="O313" i="24" s="1"/>
  <c r="R312" i="24"/>
  <c r="Q312" i="24"/>
  <c r="P312" i="24"/>
  <c r="O312" i="24"/>
  <c r="N312" i="24"/>
  <c r="M312" i="24"/>
  <c r="L312" i="24"/>
  <c r="R311" i="24"/>
  <c r="Q311" i="24"/>
  <c r="P311" i="24"/>
  <c r="O311" i="24"/>
  <c r="N311" i="24"/>
  <c r="L311" i="24"/>
  <c r="G311" i="24"/>
  <c r="R310" i="24"/>
  <c r="Q310" i="24"/>
  <c r="P310" i="24"/>
  <c r="O310" i="24"/>
  <c r="N310" i="24"/>
  <c r="L310" i="24"/>
  <c r="G310" i="24"/>
  <c r="M310" i="24" s="1"/>
  <c r="R309" i="24"/>
  <c r="Q309" i="24"/>
  <c r="P309" i="24"/>
  <c r="N309" i="24"/>
  <c r="M309" i="24"/>
  <c r="I309" i="24"/>
  <c r="L309" i="24" s="1"/>
  <c r="O309" i="24" s="1"/>
  <c r="R308" i="24"/>
  <c r="Q308" i="24"/>
  <c r="P308" i="24"/>
  <c r="N308" i="24"/>
  <c r="M308" i="24"/>
  <c r="I308" i="24"/>
  <c r="L308" i="24" s="1"/>
  <c r="O308" i="24" s="1"/>
  <c r="R307" i="24"/>
  <c r="Q307" i="24"/>
  <c r="P307" i="24"/>
  <c r="O307" i="24"/>
  <c r="N307" i="24"/>
  <c r="M307" i="24"/>
  <c r="L307" i="24"/>
  <c r="R306" i="24"/>
  <c r="Q306" i="24"/>
  <c r="P306" i="24"/>
  <c r="O306" i="24"/>
  <c r="N306" i="24"/>
  <c r="L306" i="24"/>
  <c r="G306" i="24"/>
  <c r="R305" i="24"/>
  <c r="Q305" i="24"/>
  <c r="P305" i="24"/>
  <c r="O305" i="24"/>
  <c r="N305" i="24"/>
  <c r="L305" i="24"/>
  <c r="G305" i="24"/>
  <c r="R304" i="24"/>
  <c r="Q304" i="24"/>
  <c r="O304" i="24"/>
  <c r="N304" i="24"/>
  <c r="M304" i="24"/>
  <c r="I304" i="24"/>
  <c r="L304" i="24" s="1"/>
  <c r="P304" i="24" s="1"/>
  <c r="R303" i="24"/>
  <c r="Q303" i="24"/>
  <c r="O303" i="24"/>
  <c r="N303" i="24"/>
  <c r="M303" i="24"/>
  <c r="I303" i="24"/>
  <c r="L303" i="24" s="1"/>
  <c r="P303" i="24" s="1"/>
  <c r="R302" i="24"/>
  <c r="Q302" i="24"/>
  <c r="P302" i="24"/>
  <c r="O302" i="24"/>
  <c r="N302" i="24"/>
  <c r="M302" i="24"/>
  <c r="L302" i="24"/>
  <c r="R301" i="24"/>
  <c r="Q301" i="24"/>
  <c r="P301" i="24"/>
  <c r="O301" i="24"/>
  <c r="N301" i="24"/>
  <c r="L301" i="24"/>
  <c r="G301" i="24"/>
  <c r="R300" i="24"/>
  <c r="Q300" i="24"/>
  <c r="P300" i="24"/>
  <c r="O300" i="24"/>
  <c r="N300" i="24"/>
  <c r="L300" i="24"/>
  <c r="G300" i="24"/>
  <c r="R299" i="24"/>
  <c r="Q299" i="24"/>
  <c r="O299" i="24"/>
  <c r="N299" i="24"/>
  <c r="M299" i="24"/>
  <c r="I299" i="24"/>
  <c r="L299" i="24" s="1"/>
  <c r="P299" i="24" s="1"/>
  <c r="R298" i="24"/>
  <c r="Q298" i="24"/>
  <c r="O298" i="24"/>
  <c r="N298" i="24"/>
  <c r="M298" i="24"/>
  <c r="I298" i="24"/>
  <c r="L298" i="24" s="1"/>
  <c r="P298" i="24" s="1"/>
  <c r="R297" i="24"/>
  <c r="Q297" i="24"/>
  <c r="P297" i="24"/>
  <c r="O297" i="24"/>
  <c r="N297" i="24"/>
  <c r="M297" i="24"/>
  <c r="L297" i="24"/>
  <c r="R296" i="24"/>
  <c r="Q296" i="24"/>
  <c r="P296" i="24"/>
  <c r="O296" i="24"/>
  <c r="N296" i="24"/>
  <c r="L296" i="24"/>
  <c r="G296" i="24"/>
  <c r="R295" i="24"/>
  <c r="Q295" i="24"/>
  <c r="P295" i="24"/>
  <c r="O295" i="24"/>
  <c r="N295" i="24"/>
  <c r="L295" i="24"/>
  <c r="G295" i="24"/>
  <c r="R294" i="24"/>
  <c r="Q294" i="24"/>
  <c r="O294" i="24"/>
  <c r="N294" i="24"/>
  <c r="M294" i="24"/>
  <c r="I294" i="24"/>
  <c r="L294" i="24" s="1"/>
  <c r="P294" i="24" s="1"/>
  <c r="R293" i="24"/>
  <c r="Q293" i="24"/>
  <c r="O293" i="24"/>
  <c r="N293" i="24"/>
  <c r="M293" i="24"/>
  <c r="I293" i="24"/>
  <c r="L293" i="24" s="1"/>
  <c r="P293" i="24" s="1"/>
  <c r="R292" i="24"/>
  <c r="Q292" i="24"/>
  <c r="P292" i="24"/>
  <c r="O292" i="24"/>
  <c r="N292" i="24"/>
  <c r="M292" i="24"/>
  <c r="L292" i="24"/>
  <c r="R291" i="24"/>
  <c r="Q291" i="24"/>
  <c r="P291" i="24"/>
  <c r="O291" i="24"/>
  <c r="N291" i="24"/>
  <c r="L291" i="24"/>
  <c r="G291" i="24"/>
  <c r="R290" i="24"/>
  <c r="Q290" i="24"/>
  <c r="P290" i="24"/>
  <c r="O290" i="24"/>
  <c r="N290" i="24"/>
  <c r="L290" i="24"/>
  <c r="G290" i="24"/>
  <c r="R289" i="24"/>
  <c r="Q289" i="24"/>
  <c r="P289" i="24"/>
  <c r="N289" i="24"/>
  <c r="M289" i="24"/>
  <c r="I289" i="24"/>
  <c r="L289" i="24" s="1"/>
  <c r="O289" i="24" s="1"/>
  <c r="R288" i="24"/>
  <c r="Q288" i="24"/>
  <c r="P288" i="24"/>
  <c r="N288" i="24"/>
  <c r="M288" i="24"/>
  <c r="I288" i="24"/>
  <c r="L288" i="24" s="1"/>
  <c r="O288" i="24" s="1"/>
  <c r="R287" i="24"/>
  <c r="Q287" i="24"/>
  <c r="P287" i="24"/>
  <c r="O287" i="24"/>
  <c r="N287" i="24"/>
  <c r="M287" i="24"/>
  <c r="L287" i="24"/>
  <c r="R286" i="24"/>
  <c r="Q286" i="24"/>
  <c r="P286" i="24"/>
  <c r="O286" i="24"/>
  <c r="N286" i="24"/>
  <c r="L286" i="24"/>
  <c r="G286" i="24"/>
  <c r="R285" i="24"/>
  <c r="Q285" i="24"/>
  <c r="P285" i="24"/>
  <c r="O285" i="24"/>
  <c r="N285" i="24"/>
  <c r="L285" i="24"/>
  <c r="G285" i="24"/>
  <c r="R284" i="24"/>
  <c r="Q284" i="24"/>
  <c r="O284" i="24"/>
  <c r="N284" i="24"/>
  <c r="M284" i="24"/>
  <c r="I284" i="24"/>
  <c r="L284" i="24" s="1"/>
  <c r="P284" i="24" s="1"/>
  <c r="R283" i="24"/>
  <c r="Q283" i="24"/>
  <c r="O283" i="24"/>
  <c r="N283" i="24"/>
  <c r="M283" i="24"/>
  <c r="I283" i="24"/>
  <c r="L283" i="24" s="1"/>
  <c r="P283" i="24" s="1"/>
  <c r="R282" i="24"/>
  <c r="Q282" i="24"/>
  <c r="P282" i="24"/>
  <c r="O282" i="24"/>
  <c r="N282" i="24"/>
  <c r="M282" i="24"/>
  <c r="L282" i="24"/>
  <c r="R281" i="24"/>
  <c r="Q281" i="24"/>
  <c r="P281" i="24"/>
  <c r="O281" i="24"/>
  <c r="N281" i="24"/>
  <c r="L281" i="24"/>
  <c r="G281" i="24"/>
  <c r="R280" i="24"/>
  <c r="Q280" i="24"/>
  <c r="P280" i="24"/>
  <c r="O280" i="24"/>
  <c r="N280" i="24"/>
  <c r="L280" i="24"/>
  <c r="G280" i="24"/>
  <c r="R279" i="24"/>
  <c r="Q279" i="24"/>
  <c r="P279" i="24"/>
  <c r="N279" i="24"/>
  <c r="M279" i="24"/>
  <c r="I279" i="24"/>
  <c r="L279" i="24" s="1"/>
  <c r="O279" i="24" s="1"/>
  <c r="R278" i="24"/>
  <c r="Q278" i="24"/>
  <c r="P278" i="24"/>
  <c r="N278" i="24"/>
  <c r="M278" i="24"/>
  <c r="L278" i="24"/>
  <c r="O278" i="24" s="1"/>
  <c r="R277" i="24"/>
  <c r="Q277" i="24"/>
  <c r="O277" i="24"/>
  <c r="N277" i="24"/>
  <c r="M277" i="24"/>
  <c r="I277" i="24"/>
  <c r="L277" i="24" s="1"/>
  <c r="P277" i="24" s="1"/>
  <c r="R276" i="24"/>
  <c r="Q276" i="24"/>
  <c r="O276" i="24"/>
  <c r="N276" i="24"/>
  <c r="M276" i="24"/>
  <c r="I276" i="24"/>
  <c r="L276" i="24" s="1"/>
  <c r="P276" i="24" s="1"/>
  <c r="R275" i="24"/>
  <c r="Q275" i="24"/>
  <c r="P275" i="24"/>
  <c r="O275" i="24"/>
  <c r="N275" i="24"/>
  <c r="M275" i="24"/>
  <c r="L275" i="24"/>
  <c r="R274" i="24"/>
  <c r="Q274" i="24"/>
  <c r="P274" i="24"/>
  <c r="O274" i="24"/>
  <c r="N274" i="24"/>
  <c r="L274" i="24"/>
  <c r="G274" i="24"/>
  <c r="R273" i="24"/>
  <c r="Q273" i="24"/>
  <c r="O273" i="24"/>
  <c r="N273" i="24"/>
  <c r="M273" i="24"/>
  <c r="I273" i="24"/>
  <c r="L273" i="24" s="1"/>
  <c r="P273" i="24" s="1"/>
  <c r="R272" i="24"/>
  <c r="Q272" i="24"/>
  <c r="O272" i="24"/>
  <c r="N272" i="24"/>
  <c r="M272" i="24"/>
  <c r="I272" i="24"/>
  <c r="L272" i="24" s="1"/>
  <c r="P272" i="24" s="1"/>
  <c r="R271" i="24"/>
  <c r="Q271" i="24"/>
  <c r="P271" i="24"/>
  <c r="O271" i="24"/>
  <c r="N271" i="24"/>
  <c r="M271" i="24"/>
  <c r="L271" i="24"/>
  <c r="R270" i="24"/>
  <c r="Q270" i="24"/>
  <c r="P270" i="24"/>
  <c r="O270" i="24"/>
  <c r="N270" i="24"/>
  <c r="L270" i="24"/>
  <c r="G270" i="24"/>
  <c r="R269" i="24"/>
  <c r="Q269" i="24"/>
  <c r="P269" i="24"/>
  <c r="N269" i="24"/>
  <c r="M269" i="24"/>
  <c r="J269" i="24"/>
  <c r="I269" i="24"/>
  <c r="R268" i="24"/>
  <c r="Q268" i="24"/>
  <c r="P268" i="24"/>
  <c r="N268" i="24"/>
  <c r="M268" i="24"/>
  <c r="J268" i="24"/>
  <c r="I268" i="24"/>
  <c r="R267" i="24"/>
  <c r="Q267" i="24"/>
  <c r="P267" i="24"/>
  <c r="O267" i="24"/>
  <c r="N267" i="24"/>
  <c r="M267" i="24"/>
  <c r="L267" i="24"/>
  <c r="R266" i="24"/>
  <c r="Q266" i="24"/>
  <c r="P266" i="24"/>
  <c r="O266" i="24"/>
  <c r="N266" i="24"/>
  <c r="L266" i="24"/>
  <c r="G266" i="24"/>
  <c r="R265" i="24"/>
  <c r="Q265" i="24"/>
  <c r="P265" i="24"/>
  <c r="O265" i="24"/>
  <c r="N265" i="24"/>
  <c r="L265" i="24"/>
  <c r="G265" i="24"/>
  <c r="R264" i="24"/>
  <c r="Q264" i="24"/>
  <c r="P264" i="24"/>
  <c r="N264" i="24"/>
  <c r="M264" i="24"/>
  <c r="I264" i="24"/>
  <c r="L264" i="24" s="1"/>
  <c r="O264" i="24" s="1"/>
  <c r="R263" i="24"/>
  <c r="Q263" i="24"/>
  <c r="P263" i="24"/>
  <c r="N263" i="24"/>
  <c r="M263" i="24"/>
  <c r="L263" i="24"/>
  <c r="O263" i="24" s="1"/>
  <c r="R262" i="24"/>
  <c r="Q262" i="24"/>
  <c r="P262" i="24"/>
  <c r="N262" i="24"/>
  <c r="M262" i="24"/>
  <c r="I262" i="24"/>
  <c r="L262" i="24" s="1"/>
  <c r="O262" i="24" s="1"/>
  <c r="R261" i="24"/>
  <c r="Q261" i="24"/>
  <c r="P261" i="24"/>
  <c r="N261" i="24"/>
  <c r="M261" i="24"/>
  <c r="I261" i="24"/>
  <c r="L261" i="24" s="1"/>
  <c r="O261" i="24" s="1"/>
  <c r="R260" i="24"/>
  <c r="Q260" i="24"/>
  <c r="P260" i="24"/>
  <c r="O260" i="24"/>
  <c r="N260" i="24"/>
  <c r="M260" i="24"/>
  <c r="L260" i="24"/>
  <c r="R259" i="24"/>
  <c r="Q259" i="24"/>
  <c r="P259" i="24"/>
  <c r="O259" i="24"/>
  <c r="N259" i="24"/>
  <c r="L259" i="24"/>
  <c r="G259" i="24"/>
  <c r="R258" i="24"/>
  <c r="Q258" i="24"/>
  <c r="P258" i="24"/>
  <c r="N258" i="24"/>
  <c r="M258" i="24"/>
  <c r="I258" i="24"/>
  <c r="L258" i="24" s="1"/>
  <c r="O258" i="24" s="1"/>
  <c r="R257" i="24"/>
  <c r="Q257" i="24"/>
  <c r="P257" i="24"/>
  <c r="N257" i="24"/>
  <c r="M257" i="24"/>
  <c r="I257" i="24"/>
  <c r="L257" i="24" s="1"/>
  <c r="O257" i="24" s="1"/>
  <c r="R256" i="24"/>
  <c r="Q256" i="24"/>
  <c r="P256" i="24"/>
  <c r="O256" i="24"/>
  <c r="N256" i="24"/>
  <c r="M256" i="24"/>
  <c r="L256" i="24"/>
  <c r="R255" i="24"/>
  <c r="Q255" i="24"/>
  <c r="P255" i="24"/>
  <c r="O255" i="24"/>
  <c r="N255" i="24"/>
  <c r="L255" i="24"/>
  <c r="G255" i="24"/>
  <c r="R254" i="24"/>
  <c r="Q254" i="24"/>
  <c r="P254" i="24"/>
  <c r="O254" i="24"/>
  <c r="N254" i="24"/>
  <c r="L254" i="24"/>
  <c r="G254" i="24"/>
  <c r="R253" i="24"/>
  <c r="Q253" i="24"/>
  <c r="O253" i="24"/>
  <c r="N253" i="24"/>
  <c r="M253" i="24"/>
  <c r="I253" i="24"/>
  <c r="L253" i="24" s="1"/>
  <c r="P253" i="24" s="1"/>
  <c r="R252" i="24"/>
  <c r="Q252" i="24"/>
  <c r="O252" i="24"/>
  <c r="N252" i="24"/>
  <c r="M252" i="24"/>
  <c r="I252" i="24"/>
  <c r="L252" i="24" s="1"/>
  <c r="P252" i="24" s="1"/>
  <c r="R251" i="24"/>
  <c r="Q251" i="24"/>
  <c r="P251" i="24"/>
  <c r="O251" i="24"/>
  <c r="N251" i="24"/>
  <c r="M251" i="24"/>
  <c r="L251" i="24"/>
  <c r="R248" i="24"/>
  <c r="Q248" i="24"/>
  <c r="P248" i="24"/>
  <c r="O248" i="24"/>
  <c r="N248" i="24"/>
  <c r="L248" i="24"/>
  <c r="G248" i="24"/>
  <c r="R247" i="24"/>
  <c r="Q247" i="24"/>
  <c r="P247" i="24"/>
  <c r="O247" i="24"/>
  <c r="N247" i="24"/>
  <c r="L247" i="24"/>
  <c r="G247" i="24"/>
  <c r="R246" i="24"/>
  <c r="Q246" i="24"/>
  <c r="P246" i="24"/>
  <c r="O246" i="24"/>
  <c r="N246" i="24"/>
  <c r="L246" i="24"/>
  <c r="G246" i="24"/>
  <c r="R245" i="24"/>
  <c r="Q245" i="24"/>
  <c r="P245" i="24"/>
  <c r="N245" i="24"/>
  <c r="M245" i="24"/>
  <c r="L245" i="24"/>
  <c r="O245" i="24" s="1"/>
  <c r="R244" i="24"/>
  <c r="Q244" i="24"/>
  <c r="P244" i="24"/>
  <c r="N244" i="24"/>
  <c r="M244" i="24"/>
  <c r="L244" i="24"/>
  <c r="O244" i="24" s="1"/>
  <c r="R243" i="24"/>
  <c r="Q243" i="24"/>
  <c r="O243" i="24"/>
  <c r="N243" i="24"/>
  <c r="M243" i="24"/>
  <c r="K243" i="24"/>
  <c r="I243" i="24"/>
  <c r="R242" i="24"/>
  <c r="Q242" i="24"/>
  <c r="O242" i="24"/>
  <c r="N242" i="24"/>
  <c r="M242" i="24"/>
  <c r="K242" i="24"/>
  <c r="I242" i="24"/>
  <c r="R241" i="24"/>
  <c r="Q241" i="24"/>
  <c r="P241" i="24"/>
  <c r="O241" i="24"/>
  <c r="N241" i="24"/>
  <c r="M241" i="24"/>
  <c r="L241" i="24"/>
  <c r="R240" i="24"/>
  <c r="Q240" i="24"/>
  <c r="P240" i="24"/>
  <c r="O240" i="24"/>
  <c r="N240" i="24"/>
  <c r="L240" i="24"/>
  <c r="G240" i="24"/>
  <c r="R239" i="24"/>
  <c r="Q239" i="24"/>
  <c r="P239" i="24"/>
  <c r="O239" i="24"/>
  <c r="N239" i="24"/>
  <c r="L239" i="24"/>
  <c r="G239" i="24"/>
  <c r="R238" i="24"/>
  <c r="Q238" i="24"/>
  <c r="O238" i="24"/>
  <c r="N238" i="24"/>
  <c r="M238" i="24"/>
  <c r="I238" i="24"/>
  <c r="L238" i="24" s="1"/>
  <c r="P238" i="24" s="1"/>
  <c r="R237" i="24"/>
  <c r="Q237" i="24"/>
  <c r="O237" i="24"/>
  <c r="N237" i="24"/>
  <c r="M237" i="24"/>
  <c r="I237" i="24"/>
  <c r="L237" i="24" s="1"/>
  <c r="P237" i="24" s="1"/>
  <c r="R236" i="24"/>
  <c r="Q236" i="24"/>
  <c r="P236" i="24"/>
  <c r="O236" i="24"/>
  <c r="N236" i="24"/>
  <c r="M236" i="24"/>
  <c r="L236" i="24"/>
  <c r="R235" i="24"/>
  <c r="Q235" i="24"/>
  <c r="P235" i="24"/>
  <c r="O235" i="24"/>
  <c r="N235" i="24"/>
  <c r="L235" i="24"/>
  <c r="G235" i="24"/>
  <c r="R234" i="24"/>
  <c r="Q234" i="24"/>
  <c r="P234" i="24"/>
  <c r="O234" i="24"/>
  <c r="N234" i="24"/>
  <c r="L234" i="24"/>
  <c r="G234" i="24"/>
  <c r="R233" i="24"/>
  <c r="Q233" i="24"/>
  <c r="P233" i="24"/>
  <c r="N233" i="24"/>
  <c r="M233" i="24"/>
  <c r="I233" i="24"/>
  <c r="L233" i="24" s="1"/>
  <c r="O233" i="24" s="1"/>
  <c r="R232" i="24"/>
  <c r="Q232" i="24"/>
  <c r="P232" i="24"/>
  <c r="N232" i="24"/>
  <c r="M232" i="24"/>
  <c r="I232" i="24"/>
  <c r="L232" i="24" s="1"/>
  <c r="O232" i="24" s="1"/>
  <c r="R231" i="24"/>
  <c r="Q231" i="24"/>
  <c r="P231" i="24"/>
  <c r="O231" i="24"/>
  <c r="N231" i="24"/>
  <c r="M231" i="24"/>
  <c r="L231" i="24"/>
  <c r="R230" i="24"/>
  <c r="Q230" i="24"/>
  <c r="P230" i="24"/>
  <c r="O230" i="24"/>
  <c r="N230" i="24"/>
  <c r="L230" i="24"/>
  <c r="G230" i="24"/>
  <c r="R229" i="24"/>
  <c r="Q229" i="24"/>
  <c r="P229" i="24"/>
  <c r="N229" i="24"/>
  <c r="M229" i="24"/>
  <c r="I229" i="24"/>
  <c r="L229" i="24" s="1"/>
  <c r="O229" i="24" s="1"/>
  <c r="R228" i="24"/>
  <c r="Q228" i="24"/>
  <c r="P228" i="24"/>
  <c r="N228" i="24"/>
  <c r="M228" i="24"/>
  <c r="I228" i="24"/>
  <c r="L228" i="24" s="1"/>
  <c r="O228" i="24" s="1"/>
  <c r="R227" i="24"/>
  <c r="Q227" i="24"/>
  <c r="P227" i="24"/>
  <c r="O227" i="24"/>
  <c r="N227" i="24"/>
  <c r="M227" i="24"/>
  <c r="L227" i="24"/>
  <c r="R226" i="24"/>
  <c r="Q226" i="24"/>
  <c r="P226" i="24"/>
  <c r="O226" i="24"/>
  <c r="N226" i="24"/>
  <c r="L226" i="24"/>
  <c r="G226" i="24"/>
  <c r="R225" i="24"/>
  <c r="Q225" i="24"/>
  <c r="P225" i="24"/>
  <c r="O225" i="24"/>
  <c r="N225" i="24"/>
  <c r="L225" i="24"/>
  <c r="G225" i="24"/>
  <c r="R224" i="24"/>
  <c r="Q224" i="24"/>
  <c r="P224" i="24"/>
  <c r="O224" i="24"/>
  <c r="N224" i="24"/>
  <c r="L224" i="24"/>
  <c r="G224" i="24"/>
  <c r="R223" i="24"/>
  <c r="Q223" i="24"/>
  <c r="P223" i="24"/>
  <c r="N223" i="24"/>
  <c r="M223" i="24"/>
  <c r="I223" i="24"/>
  <c r="L223" i="24" s="1"/>
  <c r="O223" i="24" s="1"/>
  <c r="R222" i="24"/>
  <c r="Q222" i="24"/>
  <c r="P222" i="24"/>
  <c r="N222" i="24"/>
  <c r="M222" i="24"/>
  <c r="I222" i="24"/>
  <c r="L222" i="24" s="1"/>
  <c r="O222" i="24" s="1"/>
  <c r="R221" i="24"/>
  <c r="Q221" i="24"/>
  <c r="P221" i="24"/>
  <c r="O221" i="24"/>
  <c r="N221" i="24"/>
  <c r="M221" i="24"/>
  <c r="L221" i="24"/>
  <c r="R220" i="24"/>
  <c r="Q220" i="24"/>
  <c r="P220" i="24"/>
  <c r="O220" i="24"/>
  <c r="N220" i="24"/>
  <c r="L220" i="24"/>
  <c r="G220" i="24"/>
  <c r="R219" i="24"/>
  <c r="Q219" i="24"/>
  <c r="P219" i="24"/>
  <c r="O219" i="24"/>
  <c r="N219" i="24"/>
  <c r="L219" i="24"/>
  <c r="G219" i="24"/>
  <c r="R218" i="24"/>
  <c r="Q218" i="24"/>
  <c r="O218" i="24"/>
  <c r="N218" i="24"/>
  <c r="M218" i="24"/>
  <c r="I218" i="24"/>
  <c r="L218" i="24" s="1"/>
  <c r="P218" i="24" s="1"/>
  <c r="R217" i="24"/>
  <c r="Q217" i="24"/>
  <c r="O217" i="24"/>
  <c r="N217" i="24"/>
  <c r="M217" i="24"/>
  <c r="I217" i="24"/>
  <c r="L217" i="24" s="1"/>
  <c r="P217" i="24" s="1"/>
  <c r="R216" i="24"/>
  <c r="Q216" i="24"/>
  <c r="P216" i="24"/>
  <c r="O216" i="24"/>
  <c r="N216" i="24"/>
  <c r="M216" i="24"/>
  <c r="L216" i="24"/>
  <c r="R215" i="24"/>
  <c r="Q215" i="24"/>
  <c r="P215" i="24"/>
  <c r="O215" i="24"/>
  <c r="N215" i="24"/>
  <c r="L215" i="24"/>
  <c r="G215" i="24"/>
  <c r="R214" i="24"/>
  <c r="Q214" i="24"/>
  <c r="P214" i="24"/>
  <c r="O214" i="24"/>
  <c r="N214" i="24"/>
  <c r="L214" i="24"/>
  <c r="G214" i="24"/>
  <c r="R213" i="24"/>
  <c r="Q213" i="24"/>
  <c r="P213" i="24"/>
  <c r="N213" i="24"/>
  <c r="M213" i="24"/>
  <c r="I213" i="24"/>
  <c r="L213" i="24" s="1"/>
  <c r="O213" i="24" s="1"/>
  <c r="R212" i="24"/>
  <c r="Q212" i="24"/>
  <c r="P212" i="24"/>
  <c r="N212" i="24"/>
  <c r="M212" i="24"/>
  <c r="L212" i="24"/>
  <c r="O212" i="24" s="1"/>
  <c r="R211" i="24"/>
  <c r="Q211" i="24"/>
  <c r="P211" i="24"/>
  <c r="N211" i="24"/>
  <c r="M211" i="24"/>
  <c r="L211" i="24"/>
  <c r="O211" i="24" s="1"/>
  <c r="R210" i="24"/>
  <c r="Q210" i="24"/>
  <c r="O210" i="24"/>
  <c r="N210" i="24"/>
  <c r="M210" i="24"/>
  <c r="I210" i="24"/>
  <c r="L210" i="24" s="1"/>
  <c r="P210" i="24" s="1"/>
  <c r="R209" i="24"/>
  <c r="Q209" i="24"/>
  <c r="O209" i="24"/>
  <c r="N209" i="24"/>
  <c r="M209" i="24"/>
  <c r="I209" i="24"/>
  <c r="L209" i="24" s="1"/>
  <c r="P209" i="24" s="1"/>
  <c r="R208" i="24"/>
  <c r="Q208" i="24"/>
  <c r="P208" i="24"/>
  <c r="O208" i="24"/>
  <c r="N208" i="24"/>
  <c r="M208" i="24"/>
  <c r="L208" i="24"/>
  <c r="R207" i="24"/>
  <c r="Q207" i="24"/>
  <c r="P207" i="24"/>
  <c r="O207" i="24"/>
  <c r="N207" i="24"/>
  <c r="L207" i="24"/>
  <c r="G207" i="24"/>
  <c r="R206" i="24"/>
  <c r="Q206" i="24"/>
  <c r="P206" i="24"/>
  <c r="O206" i="24"/>
  <c r="N206" i="24"/>
  <c r="L206" i="24"/>
  <c r="G206" i="24"/>
  <c r="R205" i="24"/>
  <c r="Q205" i="24"/>
  <c r="P205" i="24"/>
  <c r="N205" i="24"/>
  <c r="M205" i="24"/>
  <c r="I205" i="24"/>
  <c r="L205" i="24" s="1"/>
  <c r="O205" i="24" s="1"/>
  <c r="R204" i="24"/>
  <c r="Q204" i="24"/>
  <c r="P204" i="24"/>
  <c r="N204" i="24"/>
  <c r="M204" i="24"/>
  <c r="I204" i="24"/>
  <c r="L204" i="24" s="1"/>
  <c r="O204" i="24" s="1"/>
  <c r="R203" i="24"/>
  <c r="Q203" i="24"/>
  <c r="P203" i="24"/>
  <c r="O203" i="24"/>
  <c r="N203" i="24"/>
  <c r="M203" i="24"/>
  <c r="L203" i="24"/>
  <c r="R202" i="24"/>
  <c r="Q202" i="24"/>
  <c r="P202" i="24"/>
  <c r="O202" i="24"/>
  <c r="N202" i="24"/>
  <c r="L202" i="24"/>
  <c r="G202" i="24"/>
  <c r="R201" i="24"/>
  <c r="Q201" i="24"/>
  <c r="P201" i="24"/>
  <c r="O201" i="24"/>
  <c r="N201" i="24"/>
  <c r="L201" i="24"/>
  <c r="G201" i="24"/>
  <c r="M201" i="24" s="1"/>
  <c r="R200" i="24"/>
  <c r="Q200" i="24"/>
  <c r="O200" i="24"/>
  <c r="N200" i="24"/>
  <c r="M200" i="24"/>
  <c r="I200" i="24"/>
  <c r="L200" i="24" s="1"/>
  <c r="P200" i="24" s="1"/>
  <c r="R199" i="24"/>
  <c r="Q199" i="24"/>
  <c r="O199" i="24"/>
  <c r="N199" i="24"/>
  <c r="M199" i="24"/>
  <c r="I199" i="24"/>
  <c r="L199" i="24" s="1"/>
  <c r="P199" i="24" s="1"/>
  <c r="R198" i="24"/>
  <c r="Q198" i="24"/>
  <c r="P198" i="24"/>
  <c r="O198" i="24"/>
  <c r="N198" i="24"/>
  <c r="M198" i="24"/>
  <c r="L198" i="24"/>
  <c r="R195" i="24"/>
  <c r="Q195" i="24"/>
  <c r="P195" i="24"/>
  <c r="O195" i="24"/>
  <c r="N195" i="24"/>
  <c r="L195" i="24"/>
  <c r="G195" i="24"/>
  <c r="R194" i="24"/>
  <c r="Q194" i="24"/>
  <c r="P194" i="24"/>
  <c r="O194" i="24"/>
  <c r="N194" i="24"/>
  <c r="L194" i="24"/>
  <c r="G194" i="24"/>
  <c r="R193" i="24"/>
  <c r="Q193" i="24"/>
  <c r="P193" i="24"/>
  <c r="O193" i="24"/>
  <c r="N193" i="24"/>
  <c r="L193" i="24"/>
  <c r="G193" i="24"/>
  <c r="R192" i="24"/>
  <c r="Q192" i="24"/>
  <c r="P192" i="24"/>
  <c r="O192" i="24"/>
  <c r="N192" i="24"/>
  <c r="L192" i="24"/>
  <c r="G192" i="24"/>
  <c r="R191" i="24"/>
  <c r="Q191" i="24"/>
  <c r="P191" i="24"/>
  <c r="O191" i="24"/>
  <c r="N191" i="24"/>
  <c r="L191" i="24"/>
  <c r="G191" i="24"/>
  <c r="R190" i="24"/>
  <c r="Q190" i="24"/>
  <c r="O190" i="24"/>
  <c r="N190" i="24"/>
  <c r="M190" i="24"/>
  <c r="K190" i="24"/>
  <c r="I190" i="24"/>
  <c r="R189" i="24"/>
  <c r="Q189" i="24"/>
  <c r="O189" i="24"/>
  <c r="N189" i="24"/>
  <c r="M189" i="24"/>
  <c r="K189" i="24"/>
  <c r="I189" i="24"/>
  <c r="L189" i="24" s="1"/>
  <c r="P189" i="24" s="1"/>
  <c r="R188" i="24"/>
  <c r="Q188" i="24"/>
  <c r="P188" i="24"/>
  <c r="O188" i="24"/>
  <c r="N188" i="24"/>
  <c r="M188" i="24"/>
  <c r="L188" i="24"/>
  <c r="R187" i="24"/>
  <c r="Q187" i="24"/>
  <c r="P187" i="24"/>
  <c r="O187" i="24"/>
  <c r="N187" i="24"/>
  <c r="I187" i="24"/>
  <c r="L187" i="24" s="1"/>
  <c r="G187" i="24"/>
  <c r="R186" i="24"/>
  <c r="Q186" i="24"/>
  <c r="P186" i="24"/>
  <c r="O186" i="24"/>
  <c r="N186" i="24"/>
  <c r="I186" i="24"/>
  <c r="L186" i="24" s="1"/>
  <c r="G186" i="24"/>
  <c r="R185" i="24"/>
  <c r="Q185" i="24"/>
  <c r="P185" i="24"/>
  <c r="O185" i="24"/>
  <c r="N185" i="24"/>
  <c r="L185" i="24"/>
  <c r="G185" i="24"/>
  <c r="R184" i="24"/>
  <c r="Q184" i="24"/>
  <c r="P184" i="24"/>
  <c r="O184" i="24"/>
  <c r="N184" i="24"/>
  <c r="L184" i="24"/>
  <c r="G184" i="24"/>
  <c r="R183" i="24"/>
  <c r="Q183" i="24"/>
  <c r="O183" i="24"/>
  <c r="N183" i="24"/>
  <c r="M183" i="24"/>
  <c r="I183" i="24"/>
  <c r="L183" i="24" s="1"/>
  <c r="P183" i="24" s="1"/>
  <c r="R182" i="24"/>
  <c r="Q182" i="24"/>
  <c r="O182" i="24"/>
  <c r="N182" i="24"/>
  <c r="M182" i="24"/>
  <c r="I182" i="24"/>
  <c r="L182" i="24" s="1"/>
  <c r="P182" i="24" s="1"/>
  <c r="R181" i="24"/>
  <c r="Q181" i="24"/>
  <c r="P181" i="24"/>
  <c r="O181" i="24"/>
  <c r="N181" i="24"/>
  <c r="M181" i="24"/>
  <c r="L181" i="24"/>
  <c r="R180" i="24"/>
  <c r="Q180" i="24"/>
  <c r="P180" i="24"/>
  <c r="O180" i="24"/>
  <c r="N180" i="24"/>
  <c r="L180" i="24"/>
  <c r="G180" i="24"/>
  <c r="R179" i="24"/>
  <c r="P179" i="24"/>
  <c r="O179" i="24"/>
  <c r="N179" i="24"/>
  <c r="M179" i="24"/>
  <c r="I179" i="24"/>
  <c r="L179" i="24" s="1"/>
  <c r="Q179" i="24" s="1"/>
  <c r="R178" i="24"/>
  <c r="P178" i="24"/>
  <c r="O178" i="24"/>
  <c r="N178" i="24"/>
  <c r="M178" i="24"/>
  <c r="I178" i="24"/>
  <c r="L178" i="24" s="1"/>
  <c r="Q178" i="24" s="1"/>
  <c r="R177" i="24"/>
  <c r="Q177" i="24"/>
  <c r="P177" i="24"/>
  <c r="O177" i="24"/>
  <c r="N177" i="24"/>
  <c r="M177" i="24"/>
  <c r="L177" i="24"/>
  <c r="R176" i="24"/>
  <c r="Q176" i="24"/>
  <c r="P176" i="24"/>
  <c r="O176" i="24"/>
  <c r="N176" i="24"/>
  <c r="L176" i="24"/>
  <c r="G176" i="24"/>
  <c r="R175" i="24"/>
  <c r="Q175" i="24"/>
  <c r="P175" i="24"/>
  <c r="O175" i="24"/>
  <c r="N175" i="24"/>
  <c r="L175" i="24"/>
  <c r="G175" i="24"/>
  <c r="R174" i="24"/>
  <c r="Q174" i="24"/>
  <c r="O174" i="24"/>
  <c r="N174" i="24"/>
  <c r="M174" i="24"/>
  <c r="I174" i="24"/>
  <c r="L174" i="24" s="1"/>
  <c r="P174" i="24" s="1"/>
  <c r="R173" i="24"/>
  <c r="Q173" i="24"/>
  <c r="P173" i="24"/>
  <c r="N173" i="24"/>
  <c r="M173" i="24"/>
  <c r="L173" i="24"/>
  <c r="O173" i="24" s="1"/>
  <c r="R172" i="24"/>
  <c r="Q172" i="24"/>
  <c r="O172" i="24"/>
  <c r="N172" i="24"/>
  <c r="M172" i="24"/>
  <c r="I172" i="24"/>
  <c r="L172" i="24" s="1"/>
  <c r="P172" i="24" s="1"/>
  <c r="R171" i="24"/>
  <c r="Q171" i="24"/>
  <c r="O171" i="24"/>
  <c r="N171" i="24"/>
  <c r="M171" i="24"/>
  <c r="I171" i="24"/>
  <c r="L171" i="24" s="1"/>
  <c r="P171" i="24" s="1"/>
  <c r="R170" i="24"/>
  <c r="Q170" i="24"/>
  <c r="P170" i="24"/>
  <c r="O170" i="24"/>
  <c r="N170" i="24"/>
  <c r="M170" i="24"/>
  <c r="L170" i="24"/>
  <c r="R169" i="24"/>
  <c r="Q169" i="24"/>
  <c r="P169" i="24"/>
  <c r="O169" i="24"/>
  <c r="N169" i="24"/>
  <c r="L169" i="24"/>
  <c r="G169" i="24"/>
  <c r="R168" i="24"/>
  <c r="Q168" i="24"/>
  <c r="P168" i="24"/>
  <c r="O168" i="24"/>
  <c r="N168" i="24"/>
  <c r="L168" i="24"/>
  <c r="G168" i="24"/>
  <c r="R167" i="24"/>
  <c r="Q167" i="24"/>
  <c r="P167" i="24"/>
  <c r="O167" i="24"/>
  <c r="N167" i="24"/>
  <c r="L167" i="24"/>
  <c r="G167" i="24"/>
  <c r="M167" i="24" s="1"/>
  <c r="R166" i="24"/>
  <c r="Q166" i="24"/>
  <c r="P166" i="24"/>
  <c r="O166" i="24"/>
  <c r="N166" i="24"/>
  <c r="L166" i="24"/>
  <c r="G166" i="24"/>
  <c r="R165" i="24"/>
  <c r="Q165" i="24"/>
  <c r="O165" i="24"/>
  <c r="N165" i="24"/>
  <c r="M165" i="24"/>
  <c r="I165" i="24"/>
  <c r="L165" i="24" s="1"/>
  <c r="P165" i="24" s="1"/>
  <c r="R164" i="24"/>
  <c r="Q164" i="24"/>
  <c r="O164" i="24"/>
  <c r="N164" i="24"/>
  <c r="M164" i="24"/>
  <c r="I164" i="24"/>
  <c r="L164" i="24" s="1"/>
  <c r="P164" i="24" s="1"/>
  <c r="R163" i="24"/>
  <c r="Q163" i="24"/>
  <c r="P163" i="24"/>
  <c r="O163" i="24"/>
  <c r="N163" i="24"/>
  <c r="M163" i="24"/>
  <c r="L163" i="24"/>
  <c r="R162" i="24"/>
  <c r="Q162" i="24"/>
  <c r="P162" i="24"/>
  <c r="O162" i="24"/>
  <c r="N162" i="24"/>
  <c r="L162" i="24"/>
  <c r="G162" i="24"/>
  <c r="R161" i="24"/>
  <c r="Q161" i="24"/>
  <c r="P161" i="24"/>
  <c r="O161" i="24"/>
  <c r="N161" i="24"/>
  <c r="L161" i="24"/>
  <c r="G161" i="24"/>
  <c r="R160" i="24"/>
  <c r="Q160" i="24"/>
  <c r="P160" i="24"/>
  <c r="O160" i="24"/>
  <c r="N160" i="24"/>
  <c r="L160" i="24"/>
  <c r="G160" i="24"/>
  <c r="R159" i="24"/>
  <c r="Q159" i="24"/>
  <c r="P159" i="24"/>
  <c r="O159" i="24"/>
  <c r="N159" i="24"/>
  <c r="L159" i="24"/>
  <c r="G159" i="24"/>
  <c r="M159" i="24" s="1"/>
  <c r="R158" i="24"/>
  <c r="Q158" i="24"/>
  <c r="P158" i="24"/>
  <c r="N158" i="24"/>
  <c r="M158" i="24"/>
  <c r="I158" i="24"/>
  <c r="L158" i="24" s="1"/>
  <c r="O158" i="24" s="1"/>
  <c r="R157" i="24"/>
  <c r="Q157" i="24"/>
  <c r="O157" i="24"/>
  <c r="N157" i="24"/>
  <c r="M157" i="24"/>
  <c r="I157" i="24"/>
  <c r="L157" i="24" s="1"/>
  <c r="P157" i="24" s="1"/>
  <c r="R156" i="24"/>
  <c r="Q156" i="24"/>
  <c r="O156" i="24"/>
  <c r="N156" i="24"/>
  <c r="M156" i="24"/>
  <c r="L156" i="24"/>
  <c r="P156" i="24" s="1"/>
  <c r="R155" i="24"/>
  <c r="Q155" i="24"/>
  <c r="P155" i="24"/>
  <c r="N155" i="24"/>
  <c r="M155" i="24"/>
  <c r="L155" i="24"/>
  <c r="O155" i="24" s="1"/>
  <c r="R154" i="24"/>
  <c r="Q154" i="24"/>
  <c r="O154" i="24"/>
  <c r="N154" i="24"/>
  <c r="M154" i="24"/>
  <c r="I154" i="24"/>
  <c r="L154" i="24" s="1"/>
  <c r="P154" i="24" s="1"/>
  <c r="R153" i="24"/>
  <c r="Q153" i="24"/>
  <c r="O153" i="24"/>
  <c r="N153" i="24"/>
  <c r="M153" i="24"/>
  <c r="I153" i="24"/>
  <c r="L153" i="24" s="1"/>
  <c r="P153" i="24" s="1"/>
  <c r="R152" i="24"/>
  <c r="Q152" i="24"/>
  <c r="P152" i="24"/>
  <c r="O152" i="24"/>
  <c r="N152" i="24"/>
  <c r="M152" i="24"/>
  <c r="L152" i="24"/>
  <c r="R151" i="24"/>
  <c r="Q151" i="24"/>
  <c r="P151" i="24"/>
  <c r="O151" i="24"/>
  <c r="N151" i="24"/>
  <c r="L151" i="24"/>
  <c r="G151" i="24"/>
  <c r="R150" i="24"/>
  <c r="Q150" i="24"/>
  <c r="P150" i="24"/>
  <c r="O150" i="24"/>
  <c r="N150" i="24"/>
  <c r="L150" i="24"/>
  <c r="G150" i="24"/>
  <c r="R149" i="24"/>
  <c r="Q149" i="24"/>
  <c r="P149" i="24"/>
  <c r="O149" i="24"/>
  <c r="N149" i="24"/>
  <c r="L149" i="24"/>
  <c r="G149" i="24"/>
  <c r="R148" i="24"/>
  <c r="Q148" i="24"/>
  <c r="P148" i="24"/>
  <c r="N148" i="24"/>
  <c r="M148" i="24"/>
  <c r="L148" i="24"/>
  <c r="O148" i="24" s="1"/>
  <c r="R147" i="24"/>
  <c r="Q147" i="24"/>
  <c r="P147" i="24"/>
  <c r="N147" i="24"/>
  <c r="M147" i="24"/>
  <c r="L147" i="24"/>
  <c r="O147" i="24" s="1"/>
  <c r="R146" i="24"/>
  <c r="Q146" i="24"/>
  <c r="P146" i="24"/>
  <c r="N146" i="24"/>
  <c r="M146" i="24"/>
  <c r="L146" i="24"/>
  <c r="O146" i="24" s="1"/>
  <c r="R145" i="24"/>
  <c r="Q145" i="24"/>
  <c r="O145" i="24"/>
  <c r="N145" i="24"/>
  <c r="M145" i="24"/>
  <c r="I145" i="24"/>
  <c r="L145" i="24" s="1"/>
  <c r="P145" i="24" s="1"/>
  <c r="R144" i="24"/>
  <c r="Q144" i="24"/>
  <c r="O144" i="24"/>
  <c r="N144" i="24"/>
  <c r="M144" i="24"/>
  <c r="I144" i="24"/>
  <c r="L144" i="24" s="1"/>
  <c r="P144" i="24" s="1"/>
  <c r="R143" i="24"/>
  <c r="Q143" i="24"/>
  <c r="P143" i="24"/>
  <c r="O143" i="24"/>
  <c r="N143" i="24"/>
  <c r="M143" i="24"/>
  <c r="L143" i="24"/>
  <c r="R142" i="24"/>
  <c r="Q142" i="24"/>
  <c r="P142" i="24"/>
  <c r="O142" i="24"/>
  <c r="N142" i="24"/>
  <c r="L142" i="24"/>
  <c r="G142" i="24"/>
  <c r="R141" i="24"/>
  <c r="Q141" i="24"/>
  <c r="P141" i="24"/>
  <c r="O141" i="24"/>
  <c r="N141" i="24"/>
  <c r="L141" i="24"/>
  <c r="G141" i="24"/>
  <c r="R140" i="24"/>
  <c r="Q140" i="24"/>
  <c r="P140" i="24"/>
  <c r="N140" i="24"/>
  <c r="M140" i="24"/>
  <c r="I140" i="24"/>
  <c r="L140" i="24" s="1"/>
  <c r="O140" i="24" s="1"/>
  <c r="R139" i="24"/>
  <c r="Q139" i="24"/>
  <c r="P139" i="24"/>
  <c r="N139" i="24"/>
  <c r="M139" i="24"/>
  <c r="L139" i="24"/>
  <c r="O139" i="24" s="1"/>
  <c r="R138" i="24"/>
  <c r="Q138" i="24"/>
  <c r="O138" i="24"/>
  <c r="N138" i="24"/>
  <c r="M138" i="24"/>
  <c r="I138" i="24"/>
  <c r="L138" i="24" s="1"/>
  <c r="P138" i="24" s="1"/>
  <c r="R137" i="24"/>
  <c r="Q137" i="24"/>
  <c r="O137" i="24"/>
  <c r="N137" i="24"/>
  <c r="M137" i="24"/>
  <c r="I137" i="24"/>
  <c r="L137" i="24" s="1"/>
  <c r="P137" i="24" s="1"/>
  <c r="R136" i="24"/>
  <c r="Q136" i="24"/>
  <c r="P136" i="24"/>
  <c r="O136" i="24"/>
  <c r="N136" i="24"/>
  <c r="M136" i="24"/>
  <c r="L136" i="24"/>
  <c r="R135" i="24"/>
  <c r="Q135" i="24"/>
  <c r="P135" i="24"/>
  <c r="O135" i="24"/>
  <c r="N135" i="24"/>
  <c r="L135" i="24"/>
  <c r="G135" i="24"/>
  <c r="R134" i="24"/>
  <c r="Q134" i="24"/>
  <c r="P134" i="24"/>
  <c r="O134" i="24"/>
  <c r="N134" i="24"/>
  <c r="L134" i="24"/>
  <c r="G134" i="24"/>
  <c r="R133" i="24"/>
  <c r="Q133" i="24"/>
  <c r="P133" i="24"/>
  <c r="O133" i="24"/>
  <c r="N133" i="24"/>
  <c r="L133" i="24"/>
  <c r="G133" i="24"/>
  <c r="R132" i="24"/>
  <c r="Q132" i="24"/>
  <c r="P132" i="24"/>
  <c r="O132" i="24"/>
  <c r="N132" i="24"/>
  <c r="L132" i="24"/>
  <c r="G132" i="24"/>
  <c r="R131" i="24"/>
  <c r="Q131" i="24"/>
  <c r="P131" i="24"/>
  <c r="N131" i="24"/>
  <c r="M131" i="24"/>
  <c r="I131" i="24"/>
  <c r="L131" i="24" s="1"/>
  <c r="O131" i="24" s="1"/>
  <c r="R130" i="24"/>
  <c r="Q130" i="24"/>
  <c r="P130" i="24"/>
  <c r="N130" i="24"/>
  <c r="M130" i="24"/>
  <c r="L130" i="24"/>
  <c r="O130" i="24" s="1"/>
  <c r="R129" i="24"/>
  <c r="Q129" i="24"/>
  <c r="P129" i="24"/>
  <c r="N129" i="24"/>
  <c r="M129" i="24"/>
  <c r="L129" i="24"/>
  <c r="O129" i="24" s="1"/>
  <c r="R128" i="24"/>
  <c r="Q128" i="24"/>
  <c r="O128" i="24"/>
  <c r="N128" i="24"/>
  <c r="M128" i="24"/>
  <c r="I128" i="24"/>
  <c r="L128" i="24" s="1"/>
  <c r="P128" i="24" s="1"/>
  <c r="R127" i="24"/>
  <c r="Q127" i="24"/>
  <c r="O127" i="24"/>
  <c r="N127" i="24"/>
  <c r="M127" i="24"/>
  <c r="I127" i="24"/>
  <c r="L127" i="24" s="1"/>
  <c r="P127" i="24" s="1"/>
  <c r="R126" i="24"/>
  <c r="Q126" i="24"/>
  <c r="P126" i="24"/>
  <c r="O126" i="24"/>
  <c r="N126" i="24"/>
  <c r="M126" i="24"/>
  <c r="L126" i="24"/>
  <c r="R125" i="24"/>
  <c r="Q125" i="24"/>
  <c r="P125" i="24"/>
  <c r="O125" i="24"/>
  <c r="N125" i="24"/>
  <c r="L125" i="24"/>
  <c r="G125" i="24"/>
  <c r="R124" i="24"/>
  <c r="Q124" i="24"/>
  <c r="P124" i="24"/>
  <c r="O124" i="24"/>
  <c r="N124" i="24"/>
  <c r="L124" i="24"/>
  <c r="G124" i="24"/>
  <c r="R123" i="24"/>
  <c r="Q123" i="24"/>
  <c r="P123" i="24"/>
  <c r="O123" i="24"/>
  <c r="N123" i="24"/>
  <c r="L123" i="24"/>
  <c r="G123" i="24"/>
  <c r="R122" i="24"/>
  <c r="Q122" i="24"/>
  <c r="P122" i="24"/>
  <c r="O122" i="24"/>
  <c r="N122" i="24"/>
  <c r="L122" i="24"/>
  <c r="G122" i="24"/>
  <c r="R121" i="24"/>
  <c r="Q121" i="24"/>
  <c r="P121" i="24"/>
  <c r="O121" i="24"/>
  <c r="N121" i="24"/>
  <c r="L121" i="24"/>
  <c r="G121" i="24"/>
  <c r="R120" i="24"/>
  <c r="Q120" i="24"/>
  <c r="O120" i="24"/>
  <c r="N120" i="24"/>
  <c r="M120" i="24"/>
  <c r="L120" i="24"/>
  <c r="P120" i="24" s="1"/>
  <c r="R119" i="24"/>
  <c r="Q119" i="24"/>
  <c r="O119" i="24"/>
  <c r="N119" i="24"/>
  <c r="M119" i="24"/>
  <c r="L119" i="24"/>
  <c r="P119" i="24" s="1"/>
  <c r="R118" i="24"/>
  <c r="Q118" i="24"/>
  <c r="O118" i="24"/>
  <c r="N118" i="24"/>
  <c r="M118" i="24"/>
  <c r="L118" i="24"/>
  <c r="P118" i="24" s="1"/>
  <c r="R117" i="24"/>
  <c r="Q117" i="24"/>
  <c r="P117" i="24"/>
  <c r="N117" i="24"/>
  <c r="M117" i="24"/>
  <c r="L117" i="24"/>
  <c r="O117" i="24" s="1"/>
  <c r="R116" i="24"/>
  <c r="Q116" i="24"/>
  <c r="P116" i="24"/>
  <c r="N116" i="24"/>
  <c r="M116" i="24"/>
  <c r="L116" i="24"/>
  <c r="O116" i="24" s="1"/>
  <c r="R115" i="24"/>
  <c r="Q115" i="24"/>
  <c r="O115" i="24"/>
  <c r="N115" i="24"/>
  <c r="M115" i="24"/>
  <c r="L115" i="24"/>
  <c r="P115" i="24" s="1"/>
  <c r="R114" i="24"/>
  <c r="Q114" i="24"/>
  <c r="O114" i="24"/>
  <c r="N114" i="24"/>
  <c r="M114" i="24"/>
  <c r="L114" i="24"/>
  <c r="P114" i="24" s="1"/>
  <c r="R113" i="24"/>
  <c r="Q113" i="24"/>
  <c r="P113" i="24"/>
  <c r="O113" i="24"/>
  <c r="N113" i="24"/>
  <c r="M113" i="24"/>
  <c r="L113" i="24"/>
  <c r="R112" i="24"/>
  <c r="Q112" i="24"/>
  <c r="P112" i="24"/>
  <c r="O112" i="24"/>
  <c r="N112" i="24"/>
  <c r="L112" i="24"/>
  <c r="G112" i="24"/>
  <c r="R111" i="24"/>
  <c r="Q111" i="24"/>
  <c r="P111" i="24"/>
  <c r="O111" i="24"/>
  <c r="N111" i="24"/>
  <c r="L111" i="24"/>
  <c r="G111" i="24"/>
  <c r="R110" i="24"/>
  <c r="P110" i="24"/>
  <c r="O110" i="24"/>
  <c r="N110" i="24"/>
  <c r="M110" i="24"/>
  <c r="L110" i="24"/>
  <c r="Q110" i="24" s="1"/>
  <c r="R109" i="24"/>
  <c r="Q109" i="24"/>
  <c r="O109" i="24"/>
  <c r="N109" i="24"/>
  <c r="M109" i="24"/>
  <c r="L109" i="24"/>
  <c r="P109" i="24" s="1"/>
  <c r="R108" i="24"/>
  <c r="Q108" i="24"/>
  <c r="P108" i="24"/>
  <c r="O108" i="24"/>
  <c r="N108" i="24"/>
  <c r="M108" i="24"/>
  <c r="L108" i="24"/>
  <c r="R107" i="24"/>
  <c r="Q107" i="24"/>
  <c r="P107" i="24"/>
  <c r="O107" i="24"/>
  <c r="N107" i="24"/>
  <c r="L107" i="24"/>
  <c r="G107" i="24"/>
  <c r="R106" i="24"/>
  <c r="Q106" i="24"/>
  <c r="P106" i="24"/>
  <c r="O106" i="24"/>
  <c r="N106" i="24"/>
  <c r="L106" i="24"/>
  <c r="G106" i="24"/>
  <c r="R105" i="24"/>
  <c r="Q105" i="24"/>
  <c r="P105" i="24"/>
  <c r="N105" i="24"/>
  <c r="M105" i="24"/>
  <c r="I105" i="24"/>
  <c r="L105" i="24" s="1"/>
  <c r="O105" i="24" s="1"/>
  <c r="R104" i="24"/>
  <c r="Q104" i="24"/>
  <c r="P104" i="24"/>
  <c r="N104" i="24"/>
  <c r="M104" i="24"/>
  <c r="I104" i="24"/>
  <c r="L104" i="24" s="1"/>
  <c r="O104" i="24" s="1"/>
  <c r="R103" i="24"/>
  <c r="Q103" i="24"/>
  <c r="P103" i="24"/>
  <c r="O103" i="24"/>
  <c r="N103" i="24"/>
  <c r="M103" i="24"/>
  <c r="L103" i="24"/>
  <c r="R102" i="24"/>
  <c r="Q102" i="24"/>
  <c r="P102" i="24"/>
  <c r="O102" i="24"/>
  <c r="N102" i="24"/>
  <c r="L102" i="24"/>
  <c r="G102" i="24"/>
  <c r="R101" i="24"/>
  <c r="Q101" i="24"/>
  <c r="P101" i="24"/>
  <c r="O101" i="24"/>
  <c r="N101" i="24"/>
  <c r="L101" i="24"/>
  <c r="G101" i="24"/>
  <c r="R100" i="24"/>
  <c r="Q100" i="24"/>
  <c r="P100" i="24"/>
  <c r="O100" i="24"/>
  <c r="N100" i="24"/>
  <c r="L100" i="24"/>
  <c r="G100" i="24"/>
  <c r="R99" i="24"/>
  <c r="Q99" i="24"/>
  <c r="P99" i="24"/>
  <c r="O99" i="24"/>
  <c r="N99" i="24"/>
  <c r="L99" i="24"/>
  <c r="G99" i="24"/>
  <c r="R98" i="24"/>
  <c r="Q98" i="24"/>
  <c r="O98" i="24"/>
  <c r="N98" i="24"/>
  <c r="M98" i="24"/>
  <c r="I98" i="24"/>
  <c r="L98" i="24" s="1"/>
  <c r="P98" i="24" s="1"/>
  <c r="R97" i="24"/>
  <c r="Q97" i="24"/>
  <c r="O97" i="24"/>
  <c r="N97" i="24"/>
  <c r="M97" i="24"/>
  <c r="I97" i="24"/>
  <c r="L97" i="24" s="1"/>
  <c r="P97" i="24" s="1"/>
  <c r="R96" i="24"/>
  <c r="Q96" i="24"/>
  <c r="P96" i="24"/>
  <c r="O96" i="24"/>
  <c r="N96" i="24"/>
  <c r="M96" i="24"/>
  <c r="L96" i="24"/>
  <c r="R95" i="24"/>
  <c r="Q95" i="24"/>
  <c r="P95" i="24"/>
  <c r="O95" i="24"/>
  <c r="N95" i="24"/>
  <c r="L95" i="24"/>
  <c r="G95" i="24"/>
  <c r="R94" i="24"/>
  <c r="Q94" i="24"/>
  <c r="O94" i="24"/>
  <c r="N94" i="24"/>
  <c r="M94" i="24"/>
  <c r="L94" i="24"/>
  <c r="P94" i="24" s="1"/>
  <c r="R93" i="24"/>
  <c r="Q93" i="24"/>
  <c r="O93" i="24"/>
  <c r="N93" i="24"/>
  <c r="M93" i="24"/>
  <c r="L93" i="24"/>
  <c r="P93" i="24" s="1"/>
  <c r="R92" i="24"/>
  <c r="Q92" i="24"/>
  <c r="P92" i="24"/>
  <c r="O92" i="24"/>
  <c r="N92" i="24"/>
  <c r="M92" i="24"/>
  <c r="L92" i="24"/>
  <c r="R91" i="24"/>
  <c r="Q91" i="24"/>
  <c r="P91" i="24"/>
  <c r="O91" i="24"/>
  <c r="N91" i="24"/>
  <c r="L91" i="24"/>
  <c r="G91" i="24"/>
  <c r="R90" i="24"/>
  <c r="Q90" i="24"/>
  <c r="O90" i="24"/>
  <c r="N90" i="24"/>
  <c r="M90" i="24"/>
  <c r="I90" i="24"/>
  <c r="L90" i="24" s="1"/>
  <c r="P90" i="24" s="1"/>
  <c r="R89" i="24"/>
  <c r="Q89" i="24"/>
  <c r="O89" i="24"/>
  <c r="N89" i="24"/>
  <c r="M89" i="24"/>
  <c r="I89" i="24"/>
  <c r="L89" i="24" s="1"/>
  <c r="P89" i="24" s="1"/>
  <c r="R88" i="24"/>
  <c r="Q88" i="24"/>
  <c r="P88" i="24"/>
  <c r="O88" i="24"/>
  <c r="N88" i="24"/>
  <c r="M88" i="24"/>
  <c r="L88" i="24"/>
  <c r="R87" i="24"/>
  <c r="Q87" i="24"/>
  <c r="P87" i="24"/>
  <c r="O87" i="24"/>
  <c r="N87" i="24"/>
  <c r="L87" i="24"/>
  <c r="G87" i="24"/>
  <c r="R86" i="24"/>
  <c r="Q86" i="24"/>
  <c r="P86" i="24"/>
  <c r="O86" i="24"/>
  <c r="N86" i="24"/>
  <c r="L86" i="24"/>
  <c r="G86" i="24"/>
  <c r="R85" i="24"/>
  <c r="Q85" i="24"/>
  <c r="P85" i="24"/>
  <c r="N85" i="24"/>
  <c r="M85" i="24"/>
  <c r="I85" i="24"/>
  <c r="L85" i="24" s="1"/>
  <c r="O85" i="24" s="1"/>
  <c r="R84" i="24"/>
  <c r="Q84" i="24"/>
  <c r="P84" i="24"/>
  <c r="N84" i="24"/>
  <c r="M84" i="24"/>
  <c r="L84" i="24"/>
  <c r="O84" i="24" s="1"/>
  <c r="R83" i="24"/>
  <c r="Q83" i="24"/>
  <c r="P83" i="24"/>
  <c r="N83" i="24"/>
  <c r="M83" i="24"/>
  <c r="L83" i="24"/>
  <c r="O83" i="24" s="1"/>
  <c r="R82" i="24"/>
  <c r="Q82" i="24"/>
  <c r="O82" i="24"/>
  <c r="N82" i="24"/>
  <c r="M82" i="24"/>
  <c r="K82" i="24"/>
  <c r="I82" i="24"/>
  <c r="R81" i="24"/>
  <c r="Q81" i="24"/>
  <c r="O81" i="24"/>
  <c r="N81" i="24"/>
  <c r="M81" i="24"/>
  <c r="K81" i="24"/>
  <c r="I81" i="24"/>
  <c r="R80" i="24"/>
  <c r="Q80" i="24"/>
  <c r="P80" i="24"/>
  <c r="O80" i="24"/>
  <c r="N80" i="24"/>
  <c r="M80" i="24"/>
  <c r="L80" i="24"/>
  <c r="R79" i="24"/>
  <c r="Q79" i="24"/>
  <c r="P79" i="24"/>
  <c r="O79" i="24"/>
  <c r="N79" i="24"/>
  <c r="L79" i="24"/>
  <c r="G79" i="24"/>
  <c r="R78" i="24"/>
  <c r="Q78" i="24"/>
  <c r="P78" i="24"/>
  <c r="O78" i="24"/>
  <c r="N78" i="24"/>
  <c r="L78" i="24"/>
  <c r="G78" i="24"/>
  <c r="R77" i="24"/>
  <c r="Q77" i="24"/>
  <c r="O77" i="24"/>
  <c r="N77" i="24"/>
  <c r="M77" i="24"/>
  <c r="I77" i="24"/>
  <c r="L77" i="24" s="1"/>
  <c r="P77" i="24" s="1"/>
  <c r="R76" i="24"/>
  <c r="Q76" i="24"/>
  <c r="O76" i="24"/>
  <c r="N76" i="24"/>
  <c r="M76" i="24"/>
  <c r="I76" i="24"/>
  <c r="L76" i="24" s="1"/>
  <c r="P76" i="24" s="1"/>
  <c r="R75" i="24"/>
  <c r="Q75" i="24"/>
  <c r="P75" i="24"/>
  <c r="O75" i="24"/>
  <c r="N75" i="24"/>
  <c r="M75" i="24"/>
  <c r="L75" i="24"/>
  <c r="R74" i="24"/>
  <c r="Q74" i="24"/>
  <c r="P74" i="24"/>
  <c r="O74" i="24"/>
  <c r="N74" i="24"/>
  <c r="L74" i="24"/>
  <c r="G74" i="24"/>
  <c r="R73" i="24"/>
  <c r="Q73" i="24"/>
  <c r="P73" i="24"/>
  <c r="O73" i="24"/>
  <c r="N73" i="24"/>
  <c r="L73" i="24"/>
  <c r="G73" i="24"/>
  <c r="R72" i="24"/>
  <c r="Q72" i="24"/>
  <c r="P72" i="24"/>
  <c r="O72" i="24"/>
  <c r="N72" i="24"/>
  <c r="L72" i="24"/>
  <c r="G72" i="24"/>
  <c r="R71" i="24"/>
  <c r="Q71" i="24"/>
  <c r="O71" i="24"/>
  <c r="N71" i="24"/>
  <c r="M71" i="24"/>
  <c r="I71" i="24"/>
  <c r="L71" i="24" s="1"/>
  <c r="P71" i="24" s="1"/>
  <c r="R70" i="24"/>
  <c r="Q70" i="24"/>
  <c r="O70" i="24"/>
  <c r="N70" i="24"/>
  <c r="M70" i="24"/>
  <c r="I70" i="24"/>
  <c r="L70" i="24" s="1"/>
  <c r="P70" i="24" s="1"/>
  <c r="R69" i="24"/>
  <c r="Q69" i="24"/>
  <c r="P69" i="24"/>
  <c r="O69" i="24"/>
  <c r="N69" i="24"/>
  <c r="M69" i="24"/>
  <c r="L69" i="24"/>
  <c r="R68" i="24"/>
  <c r="Q68" i="24"/>
  <c r="P68" i="24"/>
  <c r="O68" i="24"/>
  <c r="N68" i="24"/>
  <c r="L68" i="24"/>
  <c r="G68" i="24"/>
  <c r="R67" i="24"/>
  <c r="Q67" i="24"/>
  <c r="P67" i="24"/>
  <c r="O67" i="24"/>
  <c r="N67" i="24"/>
  <c r="L67" i="24"/>
  <c r="G67" i="24"/>
  <c r="R66" i="24"/>
  <c r="Q66" i="24"/>
  <c r="O66" i="24"/>
  <c r="N66" i="24"/>
  <c r="M66" i="24"/>
  <c r="L66" i="24"/>
  <c r="P66" i="24" s="1"/>
  <c r="R65" i="24"/>
  <c r="Q65" i="24"/>
  <c r="O65" i="24"/>
  <c r="N65" i="24"/>
  <c r="M65" i="24"/>
  <c r="L65" i="24"/>
  <c r="P65" i="24" s="1"/>
  <c r="R64" i="24"/>
  <c r="Q64" i="24"/>
  <c r="P64" i="24"/>
  <c r="O64" i="24"/>
  <c r="N64" i="24"/>
  <c r="M64" i="24"/>
  <c r="L64" i="24"/>
  <c r="R63" i="24"/>
  <c r="Q63" i="24"/>
  <c r="P63" i="24"/>
  <c r="O63" i="24"/>
  <c r="N63" i="24"/>
  <c r="L63" i="24"/>
  <c r="G63" i="24"/>
  <c r="R62" i="24"/>
  <c r="Q62" i="24"/>
  <c r="P62" i="24"/>
  <c r="O62" i="24"/>
  <c r="N62" i="24"/>
  <c r="L62" i="24"/>
  <c r="G62" i="24"/>
  <c r="R61" i="24"/>
  <c r="Q61" i="24"/>
  <c r="P61" i="24"/>
  <c r="O61" i="24"/>
  <c r="N61" i="24"/>
  <c r="L61" i="24"/>
  <c r="G61" i="24"/>
  <c r="R60" i="24"/>
  <c r="Q60" i="24"/>
  <c r="P60" i="24"/>
  <c r="O60" i="24"/>
  <c r="N60" i="24"/>
  <c r="L60" i="24"/>
  <c r="G60" i="24"/>
  <c r="R59" i="24"/>
  <c r="Q59" i="24"/>
  <c r="O59" i="24"/>
  <c r="N59" i="24"/>
  <c r="M59" i="24"/>
  <c r="I59" i="24"/>
  <c r="L59" i="24" s="1"/>
  <c r="P59" i="24" s="1"/>
  <c r="R58" i="24"/>
  <c r="Q58" i="24"/>
  <c r="O58" i="24"/>
  <c r="N58" i="24"/>
  <c r="M58" i="24"/>
  <c r="I58" i="24"/>
  <c r="L58" i="24" s="1"/>
  <c r="P58" i="24" s="1"/>
  <c r="R57" i="24"/>
  <c r="Q57" i="24"/>
  <c r="P57" i="24"/>
  <c r="O57" i="24"/>
  <c r="N57" i="24"/>
  <c r="M57" i="24"/>
  <c r="L57" i="24"/>
  <c r="R54" i="24"/>
  <c r="Q54" i="24"/>
  <c r="P54" i="24"/>
  <c r="O54" i="24"/>
  <c r="N54" i="24"/>
  <c r="L54" i="24"/>
  <c r="G54" i="24"/>
  <c r="R53" i="24"/>
  <c r="Q53" i="24"/>
  <c r="P53" i="24"/>
  <c r="O53" i="24"/>
  <c r="N53" i="24"/>
  <c r="L53" i="24"/>
  <c r="G53" i="24"/>
  <c r="R52" i="24"/>
  <c r="Q52" i="24"/>
  <c r="P52" i="24"/>
  <c r="O52" i="24"/>
  <c r="N52" i="24"/>
  <c r="L52" i="24"/>
  <c r="G52" i="24"/>
  <c r="R51" i="24"/>
  <c r="Q51" i="24"/>
  <c r="P51" i="24"/>
  <c r="O51" i="24"/>
  <c r="N51" i="24"/>
  <c r="L51" i="24"/>
  <c r="G51" i="24"/>
  <c r="R50" i="24"/>
  <c r="Q50" i="24"/>
  <c r="P50" i="24"/>
  <c r="N50" i="24"/>
  <c r="M50" i="24"/>
  <c r="K50" i="24"/>
  <c r="L50" i="24" s="1"/>
  <c r="O50" i="24" s="1"/>
  <c r="R49" i="24"/>
  <c r="Q49" i="24"/>
  <c r="P49" i="24"/>
  <c r="N49" i="24"/>
  <c r="M49" i="24"/>
  <c r="K49" i="24"/>
  <c r="L49" i="24" s="1"/>
  <c r="O49" i="24" s="1"/>
  <c r="R48" i="24"/>
  <c r="Q48" i="24"/>
  <c r="P48" i="24"/>
  <c r="O48" i="24"/>
  <c r="N48" i="24"/>
  <c r="M48" i="24"/>
  <c r="L48" i="24"/>
  <c r="R47" i="24"/>
  <c r="Q47" i="24"/>
  <c r="P47" i="24"/>
  <c r="O47" i="24"/>
  <c r="N47" i="24"/>
  <c r="L47" i="24"/>
  <c r="G47" i="24"/>
  <c r="R46" i="24"/>
  <c r="Q46" i="24"/>
  <c r="P46" i="24"/>
  <c r="O46" i="24"/>
  <c r="N46" i="24"/>
  <c r="L46" i="24"/>
  <c r="G46" i="24"/>
  <c r="R45" i="24"/>
  <c r="Q45" i="24"/>
  <c r="P45" i="24"/>
  <c r="N45" i="24"/>
  <c r="M45" i="24"/>
  <c r="I45" i="24"/>
  <c r="L45" i="24" s="1"/>
  <c r="O45" i="24" s="1"/>
  <c r="R44" i="24"/>
  <c r="Q44" i="24"/>
  <c r="P44" i="24"/>
  <c r="N44" i="24"/>
  <c r="M44" i="24"/>
  <c r="I44" i="24"/>
  <c r="L44" i="24" s="1"/>
  <c r="O44" i="24" s="1"/>
  <c r="R43" i="24"/>
  <c r="Q43" i="24"/>
  <c r="P43" i="24"/>
  <c r="O43" i="24"/>
  <c r="N43" i="24"/>
  <c r="M43" i="24"/>
  <c r="L43" i="24"/>
  <c r="R42" i="24"/>
  <c r="Q42" i="24"/>
  <c r="P42" i="24"/>
  <c r="O42" i="24"/>
  <c r="N42" i="24"/>
  <c r="L42" i="24"/>
  <c r="G42" i="24"/>
  <c r="R41" i="24"/>
  <c r="Q41" i="24"/>
  <c r="O41" i="24"/>
  <c r="N41" i="24"/>
  <c r="M41" i="24"/>
  <c r="I41" i="24"/>
  <c r="L41" i="24" s="1"/>
  <c r="P41" i="24" s="1"/>
  <c r="R40" i="24"/>
  <c r="Q40" i="24"/>
  <c r="O40" i="24"/>
  <c r="N40" i="24"/>
  <c r="M40" i="24"/>
  <c r="I40" i="24"/>
  <c r="L40" i="24" s="1"/>
  <c r="P40" i="24" s="1"/>
  <c r="R39" i="24"/>
  <c r="Q39" i="24"/>
  <c r="P39" i="24"/>
  <c r="O39" i="24"/>
  <c r="N39" i="24"/>
  <c r="M39" i="24"/>
  <c r="L39" i="24"/>
  <c r="R38" i="24"/>
  <c r="Q38" i="24"/>
  <c r="P38" i="24"/>
  <c r="O38" i="24"/>
  <c r="N38" i="24"/>
  <c r="L38" i="24"/>
  <c r="G38" i="24"/>
  <c r="R37" i="24"/>
  <c r="Q37" i="24"/>
  <c r="P37" i="24"/>
  <c r="O37" i="24"/>
  <c r="M37" i="24"/>
  <c r="I37" i="24"/>
  <c r="L37" i="24" s="1"/>
  <c r="N37" i="24" s="1"/>
  <c r="R36" i="24"/>
  <c r="Q36" i="24"/>
  <c r="P36" i="24"/>
  <c r="O36" i="24"/>
  <c r="M36" i="24"/>
  <c r="I36" i="24"/>
  <c r="L36" i="24" s="1"/>
  <c r="N36" i="24" s="1"/>
  <c r="R35" i="24"/>
  <c r="Q35" i="24"/>
  <c r="P35" i="24"/>
  <c r="O35" i="24"/>
  <c r="N35" i="24"/>
  <c r="M35" i="24"/>
  <c r="L35" i="24"/>
  <c r="R34" i="24"/>
  <c r="Q34" i="24"/>
  <c r="P34" i="24"/>
  <c r="O34" i="24"/>
  <c r="N34" i="24"/>
  <c r="L34" i="24"/>
  <c r="G34" i="24"/>
  <c r="R33" i="24"/>
  <c r="Q33" i="24"/>
  <c r="P33" i="24"/>
  <c r="O33" i="24"/>
  <c r="M33" i="24"/>
  <c r="I33" i="24"/>
  <c r="L33" i="24" s="1"/>
  <c r="N33" i="24" s="1"/>
  <c r="R32" i="24"/>
  <c r="Q32" i="24"/>
  <c r="P32" i="24"/>
  <c r="O32" i="24"/>
  <c r="M32" i="24"/>
  <c r="I32" i="24"/>
  <c r="L32" i="24" s="1"/>
  <c r="N32" i="24" s="1"/>
  <c r="R31" i="24"/>
  <c r="Q31" i="24"/>
  <c r="P31" i="24"/>
  <c r="O31" i="24"/>
  <c r="N31" i="24"/>
  <c r="M31" i="24"/>
  <c r="L31" i="24"/>
  <c r="R30" i="24"/>
  <c r="Q30" i="24"/>
  <c r="P30" i="24"/>
  <c r="O30" i="24"/>
  <c r="N30" i="24"/>
  <c r="L30" i="24"/>
  <c r="G30" i="24"/>
  <c r="R29" i="24"/>
  <c r="Q29" i="24"/>
  <c r="P29" i="24"/>
  <c r="O29" i="24"/>
  <c r="M29" i="24"/>
  <c r="I29" i="24"/>
  <c r="L29" i="24" s="1"/>
  <c r="N29" i="24" s="1"/>
  <c r="R28" i="24"/>
  <c r="Q28" i="24"/>
  <c r="P28" i="24"/>
  <c r="O28" i="24"/>
  <c r="M28" i="24"/>
  <c r="I28" i="24"/>
  <c r="L28" i="24" s="1"/>
  <c r="N28" i="24" s="1"/>
  <c r="R27" i="24"/>
  <c r="Q27" i="24"/>
  <c r="P27" i="24"/>
  <c r="O27" i="24"/>
  <c r="N27" i="24"/>
  <c r="M27" i="24"/>
  <c r="L27" i="24"/>
  <c r="R26" i="24"/>
  <c r="Q26" i="24"/>
  <c r="P26" i="24"/>
  <c r="O26" i="24"/>
  <c r="N26" i="24"/>
  <c r="L26" i="24"/>
  <c r="G26" i="24"/>
  <c r="R25" i="24"/>
  <c r="Q25" i="24"/>
  <c r="P25" i="24"/>
  <c r="O25" i="24"/>
  <c r="M25" i="24"/>
  <c r="I25" i="24"/>
  <c r="L25" i="24" s="1"/>
  <c r="N25" i="24" s="1"/>
  <c r="R24" i="24"/>
  <c r="Q24" i="24"/>
  <c r="P24" i="24"/>
  <c r="O24" i="24"/>
  <c r="M24" i="24"/>
  <c r="I24" i="24"/>
  <c r="L24" i="24" s="1"/>
  <c r="N24" i="24" s="1"/>
  <c r="R23" i="24"/>
  <c r="Q23" i="24"/>
  <c r="P23" i="24"/>
  <c r="O23" i="24"/>
  <c r="N23" i="24"/>
  <c r="M23" i="24"/>
  <c r="L23" i="24"/>
  <c r="R22" i="24"/>
  <c r="Q22" i="24"/>
  <c r="P22" i="24"/>
  <c r="O22" i="24"/>
  <c r="N22" i="24"/>
  <c r="L22" i="24"/>
  <c r="G22" i="24"/>
  <c r="R21" i="24"/>
  <c r="Q21" i="24"/>
  <c r="P21" i="24"/>
  <c r="O21" i="24"/>
  <c r="M21" i="24"/>
  <c r="I21" i="24"/>
  <c r="L21" i="24" s="1"/>
  <c r="N21" i="24" s="1"/>
  <c r="R20" i="24"/>
  <c r="Q20" i="24"/>
  <c r="P20" i="24"/>
  <c r="O20" i="24"/>
  <c r="M20" i="24"/>
  <c r="I20" i="24"/>
  <c r="L20" i="24" s="1"/>
  <c r="N20" i="24" s="1"/>
  <c r="R19" i="24"/>
  <c r="Q19" i="24"/>
  <c r="P19" i="24"/>
  <c r="O19" i="24"/>
  <c r="N19" i="24"/>
  <c r="M19" i="24"/>
  <c r="L19" i="24"/>
  <c r="R18" i="24"/>
  <c r="Q18" i="24"/>
  <c r="P18" i="24"/>
  <c r="O18" i="24"/>
  <c r="N18" i="24"/>
  <c r="L18" i="24"/>
  <c r="R17" i="24"/>
  <c r="Q17" i="24"/>
  <c r="P17" i="24"/>
  <c r="O17" i="24"/>
  <c r="N17" i="24"/>
  <c r="L17" i="24"/>
  <c r="G17" i="24"/>
  <c r="R16" i="24"/>
  <c r="Q16" i="24"/>
  <c r="P16" i="24"/>
  <c r="O16" i="24"/>
  <c r="N16" i="24"/>
  <c r="M16" i="24"/>
  <c r="I16" i="24"/>
  <c r="L16" i="24" s="1"/>
  <c r="R15" i="24"/>
  <c r="Q15" i="24"/>
  <c r="O15" i="24"/>
  <c r="N15" i="24"/>
  <c r="M15" i="24"/>
  <c r="I15" i="24"/>
  <c r="L15" i="24" s="1"/>
  <c r="P15" i="24" s="1"/>
  <c r="R14" i="24"/>
  <c r="Q14" i="24"/>
  <c r="O14" i="24"/>
  <c r="N14" i="24"/>
  <c r="M14" i="24"/>
  <c r="I14" i="24"/>
  <c r="L14" i="24" s="1"/>
  <c r="P14" i="24" s="1"/>
  <c r="R13" i="24"/>
  <c r="Q13" i="24"/>
  <c r="P13" i="24"/>
  <c r="O13" i="24"/>
  <c r="N13" i="24"/>
  <c r="M13" i="24"/>
  <c r="L13" i="24"/>
  <c r="R12" i="24"/>
  <c r="Q12" i="24"/>
  <c r="P12" i="24"/>
  <c r="O12" i="24"/>
  <c r="N12" i="24"/>
  <c r="L12" i="24"/>
  <c r="G12" i="24"/>
  <c r="R11" i="24"/>
  <c r="Q11" i="24"/>
  <c r="P11" i="24"/>
  <c r="O11" i="24"/>
  <c r="N11" i="24"/>
  <c r="L11" i="24"/>
  <c r="G11" i="24"/>
  <c r="R10" i="24"/>
  <c r="Q10" i="24"/>
  <c r="P10" i="24"/>
  <c r="O10" i="24"/>
  <c r="N10" i="24"/>
  <c r="L10" i="24"/>
  <c r="G10" i="24"/>
  <c r="R9" i="24"/>
  <c r="Q9" i="24"/>
  <c r="P9" i="24"/>
  <c r="O9" i="24"/>
  <c r="N9" i="24"/>
  <c r="L9" i="24"/>
  <c r="G9" i="24"/>
  <c r="R8" i="24"/>
  <c r="Q8" i="24"/>
  <c r="P8" i="24"/>
  <c r="O8" i="24"/>
  <c r="N8" i="24"/>
  <c r="M8" i="24"/>
  <c r="I8" i="24"/>
  <c r="L8" i="24" s="1"/>
  <c r="R7" i="24"/>
  <c r="Q7" i="24"/>
  <c r="O7" i="24"/>
  <c r="N7" i="24"/>
  <c r="M7" i="24"/>
  <c r="I7" i="24"/>
  <c r="L7" i="24" s="1"/>
  <c r="P7" i="24" s="1"/>
  <c r="R6" i="24"/>
  <c r="Q6" i="24"/>
  <c r="O6" i="24"/>
  <c r="N6" i="24"/>
  <c r="M6" i="24"/>
  <c r="I6" i="24"/>
  <c r="L6" i="24" s="1"/>
  <c r="P6" i="24" s="1"/>
  <c r="R5" i="24"/>
  <c r="Q5" i="24"/>
  <c r="P5" i="24"/>
  <c r="O5" i="24"/>
  <c r="N5" i="24"/>
  <c r="M5" i="24"/>
  <c r="L5" i="24"/>
  <c r="M323" i="24" l="1"/>
  <c r="M53" i="24"/>
  <c r="M73" i="24"/>
  <c r="L243" i="24"/>
  <c r="P243" i="24" s="1"/>
  <c r="M121" i="24"/>
  <c r="L268" i="24"/>
  <c r="O268" i="24" s="1"/>
  <c r="M184" i="24"/>
  <c r="M150" i="24"/>
  <c r="M327" i="24"/>
  <c r="M149" i="24"/>
  <c r="M206" i="24"/>
  <c r="M60" i="24"/>
  <c r="L242" i="24"/>
  <c r="P242" i="24" s="1"/>
  <c r="M270" i="24"/>
  <c r="M335" i="24"/>
  <c r="M38" i="24"/>
  <c r="M142" i="24"/>
  <c r="M255" i="24"/>
  <c r="M95" i="24"/>
  <c r="M125" i="24"/>
  <c r="M141" i="24"/>
  <c r="M351" i="24"/>
  <c r="M46" i="24"/>
  <c r="M52" i="24"/>
  <c r="M235" i="24"/>
  <c r="M176" i="24"/>
  <c r="L269" i="24"/>
  <c r="O269" i="24" s="1"/>
  <c r="M281" i="24"/>
  <c r="M305" i="24"/>
  <c r="M375" i="24"/>
  <c r="M215" i="24"/>
  <c r="M30" i="24"/>
  <c r="M101" i="24"/>
  <c r="M266" i="24"/>
  <c r="M291" i="24"/>
  <c r="L331" i="24"/>
  <c r="P331" i="24" s="1"/>
  <c r="M11" i="24"/>
  <c r="M17" i="24"/>
  <c r="M63" i="24"/>
  <c r="M112" i="24"/>
  <c r="M123" i="24"/>
  <c r="M135" i="24"/>
  <c r="M194" i="24"/>
  <c r="M315" i="24"/>
  <c r="M22" i="24"/>
  <c r="M47" i="24"/>
  <c r="M61" i="24"/>
  <c r="M62" i="24"/>
  <c r="M74" i="24"/>
  <c r="L82" i="24"/>
  <c r="P82" i="24" s="1"/>
  <c r="M122" i="24"/>
  <c r="M161" i="24"/>
  <c r="M367" i="24"/>
  <c r="M124" i="24"/>
  <c r="M195" i="24"/>
  <c r="N327" i="24"/>
  <c r="M346" i="24"/>
  <c r="M352" i="24"/>
  <c r="M319" i="24"/>
  <c r="M336" i="24"/>
  <c r="M366" i="24"/>
  <c r="M169" i="24"/>
  <c r="M160" i="24"/>
  <c r="M67" i="24"/>
  <c r="M68" i="24"/>
  <c r="M133" i="24"/>
  <c r="M134" i="24"/>
  <c r="M193" i="24"/>
  <c r="M219" i="24"/>
  <c r="M226" i="24"/>
  <c r="M286" i="24"/>
  <c r="M295" i="24"/>
  <c r="M311" i="24"/>
  <c r="M347" i="24"/>
  <c r="M381" i="24"/>
  <c r="M102" i="24"/>
  <c r="M72" i="24"/>
  <c r="L81" i="24"/>
  <c r="P81" i="24" s="1"/>
  <c r="M132" i="24"/>
  <c r="M180" i="24"/>
  <c r="M192" i="24"/>
  <c r="M225" i="24"/>
  <c r="M285" i="24"/>
  <c r="M301" i="24"/>
  <c r="M361" i="24"/>
  <c r="M12" i="24"/>
  <c r="M224" i="24"/>
  <c r="M240" i="24"/>
  <c r="M26" i="24"/>
  <c r="M42" i="24"/>
  <c r="M9" i="24"/>
  <c r="M79" i="24"/>
  <c r="M86" i="24"/>
  <c r="M87" i="24"/>
  <c r="M99" i="24"/>
  <c r="M107" i="24"/>
  <c r="M187" i="24"/>
  <c r="L190" i="24"/>
  <c r="P190" i="24" s="1"/>
  <c r="M202" i="24"/>
  <c r="M214" i="24"/>
  <c r="M230" i="24"/>
  <c r="M239" i="24"/>
  <c r="M248" i="24"/>
  <c r="M259" i="24"/>
  <c r="M265" i="24"/>
  <c r="M290" i="24"/>
  <c r="N323" i="24"/>
  <c r="M334" i="24"/>
  <c r="M337" i="24"/>
  <c r="M191" i="24"/>
  <c r="M360" i="24"/>
  <c r="M34" i="24"/>
  <c r="M106" i="24"/>
  <c r="M185" i="24"/>
  <c r="M246" i="24"/>
  <c r="M306" i="24"/>
  <c r="M332" i="24"/>
  <c r="M342" i="24"/>
  <c r="M376" i="24"/>
  <c r="M300" i="24"/>
  <c r="M18" i="24"/>
  <c r="M54" i="24"/>
  <c r="M78" i="24"/>
  <c r="M91" i="24"/>
  <c r="M111" i="24"/>
  <c r="M151" i="24"/>
  <c r="M186" i="24"/>
  <c r="M207" i="24"/>
  <c r="M247" i="24"/>
  <c r="M274" i="24"/>
  <c r="M280" i="24"/>
  <c r="L321" i="24"/>
  <c r="O321" i="24" s="1"/>
  <c r="M333" i="24"/>
  <c r="M365" i="24"/>
  <c r="M338" i="24"/>
  <c r="M220" i="24"/>
  <c r="M234" i="24"/>
  <c r="M254" i="24"/>
  <c r="M296" i="24"/>
  <c r="N328" i="24"/>
  <c r="M356" i="24"/>
  <c r="M122" i="25"/>
  <c r="L559" i="25"/>
  <c r="N559" i="25" s="1"/>
  <c r="M592" i="25"/>
  <c r="L663" i="25"/>
  <c r="P663" i="25" s="1"/>
  <c r="L1011" i="25"/>
  <c r="N1011" i="25" s="1"/>
  <c r="M564" i="25"/>
  <c r="M320" i="25"/>
  <c r="M107" i="25"/>
  <c r="M582" i="25"/>
  <c r="L735" i="25"/>
  <c r="P735" i="25" s="1"/>
  <c r="L759" i="25"/>
  <c r="P759" i="25" s="1"/>
  <c r="M763" i="25"/>
  <c r="L996" i="25"/>
  <c r="O996" i="25" s="1"/>
  <c r="L1009" i="25"/>
  <c r="P1009" i="25" s="1"/>
  <c r="L271" i="25"/>
  <c r="P271" i="25" s="1"/>
  <c r="L272" i="25"/>
  <c r="O272" i="25" s="1"/>
  <c r="L279" i="25"/>
  <c r="Q279" i="25" s="1"/>
  <c r="L338" i="25"/>
  <c r="O338" i="25" s="1"/>
  <c r="L1002" i="25"/>
  <c r="O1002" i="25" s="1"/>
  <c r="L1049" i="25"/>
  <c r="O1049" i="25" s="1"/>
  <c r="M1053" i="25"/>
  <c r="M1057" i="25"/>
  <c r="O50" i="25"/>
  <c r="L356" i="25"/>
  <c r="O356" i="25" s="1"/>
  <c r="M620" i="25"/>
  <c r="M627" i="25"/>
  <c r="L749" i="25"/>
  <c r="N749" i="25" s="1"/>
  <c r="L765" i="25"/>
  <c r="O765" i="25" s="1"/>
  <c r="L815" i="25"/>
  <c r="N815" i="25" s="1"/>
  <c r="L833" i="25"/>
  <c r="N833" i="25" s="1"/>
  <c r="M837" i="25"/>
  <c r="L844" i="25"/>
  <c r="O844" i="25" s="1"/>
  <c r="L856" i="25"/>
  <c r="O856" i="25" s="1"/>
  <c r="M869" i="25"/>
  <c r="L899" i="25"/>
  <c r="P899" i="25" s="1"/>
  <c r="L988" i="25"/>
  <c r="O988" i="25" s="1"/>
  <c r="L1001" i="25"/>
  <c r="P1001" i="25" s="1"/>
  <c r="L395" i="25"/>
  <c r="P395" i="25" s="1"/>
  <c r="L404" i="25"/>
  <c r="O404" i="25" s="1"/>
  <c r="M408" i="25"/>
  <c r="L802" i="25"/>
  <c r="O802" i="25" s="1"/>
  <c r="L822" i="25"/>
  <c r="P822" i="25" s="1"/>
  <c r="L831" i="25"/>
  <c r="P831" i="25" s="1"/>
  <c r="M970" i="25"/>
  <c r="M1008" i="25"/>
  <c r="L415" i="25"/>
  <c r="P415" i="25" s="1"/>
  <c r="L460" i="25"/>
  <c r="P460" i="25" s="1"/>
  <c r="L461" i="25"/>
  <c r="O461" i="25" s="1"/>
  <c r="M621" i="25"/>
  <c r="M625" i="25"/>
  <c r="L629" i="25"/>
  <c r="O629" i="25" s="1"/>
  <c r="M821" i="25"/>
  <c r="M830" i="25"/>
  <c r="M850" i="25"/>
  <c r="M994" i="25"/>
  <c r="M1007" i="25"/>
  <c r="L361" i="25"/>
  <c r="O361" i="25" s="1"/>
  <c r="M529" i="25"/>
  <c r="L639" i="25"/>
  <c r="P639" i="25" s="1"/>
  <c r="L648" i="25"/>
  <c r="O648" i="25" s="1"/>
  <c r="M868" i="25"/>
  <c r="L954" i="25"/>
  <c r="N954" i="25" s="1"/>
  <c r="M959" i="25"/>
  <c r="M1014" i="25"/>
  <c r="E41" i="25"/>
  <c r="E42" i="25" s="1"/>
  <c r="E43" i="25" s="1"/>
  <c r="E44" i="25" s="1"/>
  <c r="M323" i="25"/>
  <c r="M340" i="25"/>
  <c r="M371" i="25"/>
  <c r="L450" i="25"/>
  <c r="Q450" i="25" s="1"/>
  <c r="L481" i="25"/>
  <c r="O481" i="25" s="1"/>
  <c r="M527" i="25"/>
  <c r="M539" i="25"/>
  <c r="L551" i="25"/>
  <c r="P551" i="25" s="1"/>
  <c r="M555" i="25"/>
  <c r="M584" i="25"/>
  <c r="M595" i="25"/>
  <c r="M632" i="25"/>
  <c r="L917" i="25"/>
  <c r="P917" i="25" s="1"/>
  <c r="L953" i="25"/>
  <c r="O953" i="25" s="1"/>
  <c r="L1041" i="25"/>
  <c r="N1041" i="25" s="1"/>
  <c r="M330" i="25"/>
  <c r="M378" i="25"/>
  <c r="M382" i="25"/>
  <c r="L405" i="25"/>
  <c r="N405" i="25" s="1"/>
  <c r="M530" i="25"/>
  <c r="L546" i="25"/>
  <c r="P546" i="25" s="1"/>
  <c r="L570" i="25"/>
  <c r="P570" i="25" s="1"/>
  <c r="L598" i="25"/>
  <c r="P598" i="25" s="1"/>
  <c r="M615" i="25"/>
  <c r="L655" i="25"/>
  <c r="M960" i="25"/>
  <c r="L964" i="25"/>
  <c r="P964" i="25" s="1"/>
  <c r="M980" i="25"/>
  <c r="M1043" i="25"/>
  <c r="O40" i="25"/>
  <c r="M174" i="25"/>
  <c r="M184" i="25"/>
  <c r="L386" i="25"/>
  <c r="P386" i="25" s="1"/>
  <c r="M411" i="25"/>
  <c r="M420" i="25"/>
  <c r="M421" i="25"/>
  <c r="L427" i="25"/>
  <c r="O427" i="25" s="1"/>
  <c r="L443" i="25"/>
  <c r="Q443" i="25" s="1"/>
  <c r="L522" i="25"/>
  <c r="P522" i="25" s="1"/>
  <c r="M526" i="25"/>
  <c r="L535" i="25"/>
  <c r="O535" i="25" s="1"/>
  <c r="L565" i="25"/>
  <c r="P565" i="25" s="1"/>
  <c r="L571" i="25"/>
  <c r="O571" i="25" s="1"/>
  <c r="M574" i="25"/>
  <c r="L587" i="25"/>
  <c r="O587" i="25" s="1"/>
  <c r="L647" i="25"/>
  <c r="P647" i="25" s="1"/>
  <c r="M755" i="25"/>
  <c r="M767" i="25"/>
  <c r="L793" i="25"/>
  <c r="O793" i="25" s="1"/>
  <c r="M798" i="25"/>
  <c r="L814" i="25"/>
  <c r="O814" i="25" s="1"/>
  <c r="M818" i="25"/>
  <c r="L879" i="25"/>
  <c r="P879" i="25" s="1"/>
  <c r="L889" i="25"/>
  <c r="P889" i="25" s="1"/>
  <c r="L909" i="25"/>
  <c r="P909" i="25" s="1"/>
  <c r="M969" i="25"/>
  <c r="M973" i="25"/>
  <c r="M974" i="25"/>
  <c r="L977" i="25"/>
  <c r="O977" i="25" s="1"/>
  <c r="L1031" i="25"/>
  <c r="O1031" i="25" s="1"/>
  <c r="M1045" i="25"/>
  <c r="L219" i="25"/>
  <c r="O219" i="25" s="1"/>
  <c r="M351" i="25"/>
  <c r="M359" i="25"/>
  <c r="L360" i="25"/>
  <c r="P360" i="25" s="1"/>
  <c r="L471" i="25"/>
  <c r="O471" i="25" s="1"/>
  <c r="M545" i="25"/>
  <c r="M757" i="25"/>
  <c r="M769" i="25"/>
  <c r="M800" i="25"/>
  <c r="L845" i="25"/>
  <c r="N845" i="25" s="1"/>
  <c r="N866" i="25"/>
  <c r="M1013" i="25"/>
  <c r="M1022" i="25"/>
  <c r="M1026" i="25"/>
  <c r="L1030" i="25"/>
  <c r="P1030" i="25" s="1"/>
  <c r="M1055" i="25"/>
  <c r="M1067" i="25"/>
  <c r="M394" i="25"/>
  <c r="M211" i="25"/>
  <c r="M232" i="25"/>
  <c r="L242" i="25"/>
  <c r="P242" i="25" s="1"/>
  <c r="L470" i="25"/>
  <c r="P470" i="25" s="1"/>
  <c r="L524" i="25"/>
  <c r="N524" i="25" s="1"/>
  <c r="L536" i="25"/>
  <c r="N536" i="25" s="1"/>
  <c r="L580" i="25"/>
  <c r="N580" i="25" s="1"/>
  <c r="L600" i="25"/>
  <c r="N600" i="25" s="1"/>
  <c r="M811" i="25"/>
  <c r="L823" i="25"/>
  <c r="O823" i="25" s="1"/>
  <c r="M840" i="25"/>
  <c r="M979" i="25"/>
  <c r="L1032" i="25"/>
  <c r="N1032" i="25" s="1"/>
  <c r="L1040" i="25"/>
  <c r="O1040" i="25" s="1"/>
  <c r="M111" i="25"/>
  <c r="M135" i="25"/>
  <c r="M148" i="25"/>
  <c r="M181" i="25"/>
  <c r="M182" i="25"/>
  <c r="M200" i="25"/>
  <c r="M209" i="25"/>
  <c r="M231" i="25"/>
  <c r="M322" i="25"/>
  <c r="M108" i="25"/>
  <c r="M121" i="25"/>
  <c r="M131" i="25"/>
  <c r="M170" i="25"/>
  <c r="M180" i="25"/>
  <c r="M189" i="25"/>
  <c r="M212" i="25"/>
  <c r="M112" i="25"/>
  <c r="M136" i="25"/>
  <c r="M175" i="25"/>
  <c r="M329" i="25"/>
  <c r="M143" i="25"/>
  <c r="M199" i="25"/>
  <c r="M203" i="25"/>
  <c r="M230" i="25"/>
  <c r="L262" i="25"/>
  <c r="O262" i="25" s="1"/>
  <c r="L367" i="25"/>
  <c r="P367" i="25" s="1"/>
  <c r="M413" i="25"/>
  <c r="M124" i="25"/>
  <c r="M130" i="25"/>
  <c r="O139" i="25"/>
  <c r="M142" i="25"/>
  <c r="M153" i="25"/>
  <c r="M156" i="25"/>
  <c r="M197" i="25"/>
  <c r="L261" i="25"/>
  <c r="P261" i="25" s="1"/>
  <c r="M319" i="25"/>
  <c r="M333" i="25"/>
  <c r="M334" i="25"/>
  <c r="L355" i="25"/>
  <c r="P355" i="25" s="1"/>
  <c r="M365" i="25"/>
  <c r="M366" i="25"/>
  <c r="M372" i="25"/>
  <c r="L375" i="25"/>
  <c r="O375" i="25" s="1"/>
  <c r="L403" i="25"/>
  <c r="P403" i="25" s="1"/>
  <c r="M414" i="25"/>
  <c r="L434" i="25"/>
  <c r="P434" i="25" s="1"/>
  <c r="M439" i="25"/>
  <c r="L451" i="25"/>
  <c r="P451" i="25" s="1"/>
  <c r="N31" i="25"/>
  <c r="M155" i="25"/>
  <c r="L314" i="25"/>
  <c r="O314" i="25" s="1"/>
  <c r="M336" i="25"/>
  <c r="L349" i="25"/>
  <c r="O349" i="25" s="1"/>
  <c r="M354" i="25"/>
  <c r="M345" i="25"/>
  <c r="L376" i="25"/>
  <c r="N376" i="25" s="1"/>
  <c r="M381" i="25"/>
  <c r="L396" i="25"/>
  <c r="O396" i="25" s="1"/>
  <c r="M409" i="25"/>
  <c r="L416" i="25"/>
  <c r="O416" i="25" s="1"/>
  <c r="M419" i="25"/>
  <c r="L435" i="25"/>
  <c r="O435" i="25" s="1"/>
  <c r="N490" i="25"/>
  <c r="M549" i="25"/>
  <c r="M550" i="25"/>
  <c r="L557" i="25"/>
  <c r="P557" i="25" s="1"/>
  <c r="L586" i="25"/>
  <c r="P586" i="25" s="1"/>
  <c r="M605" i="25"/>
  <c r="M611" i="25"/>
  <c r="L616" i="25"/>
  <c r="P616" i="25" s="1"/>
  <c r="L630" i="25"/>
  <c r="N630" i="25" s="1"/>
  <c r="M635" i="25"/>
  <c r="L656" i="25"/>
  <c r="P656" i="25" s="1"/>
  <c r="L748" i="25"/>
  <c r="O748" i="25" s="1"/>
  <c r="M753" i="25"/>
  <c r="M754" i="25"/>
  <c r="L778" i="25"/>
  <c r="P778" i="25" s="1"/>
  <c r="L779" i="25"/>
  <c r="O779" i="25" s="1"/>
  <c r="M783" i="25"/>
  <c r="M790" i="25"/>
  <c r="M797" i="25"/>
  <c r="L801" i="25"/>
  <c r="P801" i="25" s="1"/>
  <c r="M805" i="25"/>
  <c r="L824" i="25"/>
  <c r="N824" i="25" s="1"/>
  <c r="L843" i="25"/>
  <c r="P843" i="25" s="1"/>
  <c r="M847" i="25"/>
  <c r="L863" i="25"/>
  <c r="P863" i="25" s="1"/>
  <c r="N867" i="25"/>
  <c r="M870" i="25"/>
  <c r="L872" i="25"/>
  <c r="Q872" i="25" s="1"/>
  <c r="Q1069" i="25" s="1"/>
  <c r="L900" i="25"/>
  <c r="O900" i="25" s="1"/>
  <c r="N911" i="25"/>
  <c r="M956" i="25"/>
  <c r="L981" i="25"/>
  <c r="P981" i="25" s="1"/>
  <c r="M984" i="25"/>
  <c r="M1016" i="25"/>
  <c r="L1020" i="25"/>
  <c r="N1020" i="25" s="1"/>
  <c r="M1034" i="25"/>
  <c r="M1038" i="25"/>
  <c r="L1060" i="25"/>
  <c r="P1060" i="25" s="1"/>
  <c r="M602" i="25"/>
  <c r="N675" i="25"/>
  <c r="M540" i="25"/>
  <c r="M624" i="25"/>
  <c r="M654" i="25"/>
  <c r="N665" i="25"/>
  <c r="M741" i="25"/>
  <c r="L772" i="25"/>
  <c r="N772" i="25" s="1"/>
  <c r="L785" i="25"/>
  <c r="O785" i="25" s="1"/>
  <c r="M789" i="25"/>
  <c r="M808" i="25"/>
  <c r="L813" i="25"/>
  <c r="P813" i="25" s="1"/>
  <c r="L832" i="25"/>
  <c r="O832" i="25" s="1"/>
  <c r="M841" i="25"/>
  <c r="L890" i="25"/>
  <c r="O890" i="25" s="1"/>
  <c r="M1036" i="25"/>
  <c r="L1050" i="25"/>
  <c r="N1050" i="25" s="1"/>
  <c r="M1059" i="25"/>
  <c r="L547" i="25"/>
  <c r="O547" i="25" s="1"/>
  <c r="M561" i="25"/>
  <c r="L588" i="25"/>
  <c r="N588" i="25" s="1"/>
  <c r="M614" i="25"/>
  <c r="L674" i="25"/>
  <c r="O674" i="25" s="1"/>
  <c r="M744" i="25"/>
  <c r="M756" i="25"/>
  <c r="L760" i="25"/>
  <c r="O760" i="25" s="1"/>
  <c r="L764" i="25"/>
  <c r="P764" i="25" s="1"/>
  <c r="L770" i="25"/>
  <c r="P770" i="25" s="1"/>
  <c r="L771" i="25"/>
  <c r="O771" i="25" s="1"/>
  <c r="M775" i="25"/>
  <c r="L780" i="25"/>
  <c r="N780" i="25" s="1"/>
  <c r="L784" i="25"/>
  <c r="P784" i="25" s="1"/>
  <c r="L803" i="25"/>
  <c r="N803" i="25" s="1"/>
  <c r="M812" i="25"/>
  <c r="L880" i="25"/>
  <c r="O880" i="25" s="1"/>
  <c r="L982" i="25"/>
  <c r="O982" i="25" s="1"/>
  <c r="M986" i="25"/>
  <c r="M125" i="25"/>
  <c r="M385" i="25"/>
  <c r="M422" i="25"/>
  <c r="M576" i="25"/>
  <c r="E51" i="25"/>
  <c r="N51" i="25" s="1"/>
  <c r="E25" i="25"/>
  <c r="M114" i="25"/>
  <c r="M120" i="25"/>
  <c r="M123" i="25"/>
  <c r="M141" i="25"/>
  <c r="M154" i="25"/>
  <c r="M172" i="25"/>
  <c r="M190" i="25"/>
  <c r="M191" i="25"/>
  <c r="M192" i="25"/>
  <c r="M201" i="25"/>
  <c r="M202" i="25"/>
  <c r="L218" i="25"/>
  <c r="P218" i="25" s="1"/>
  <c r="L226" i="25"/>
  <c r="P226" i="25" s="1"/>
  <c r="L233" i="25"/>
  <c r="R233" i="25" s="1"/>
  <c r="R424" i="25" s="1"/>
  <c r="L20" i="14" s="1"/>
  <c r="L241" i="25"/>
  <c r="Q241" i="25" s="1"/>
  <c r="L251" i="25"/>
  <c r="P251" i="25" s="1"/>
  <c r="L252" i="25"/>
  <c r="O252" i="25" s="1"/>
  <c r="L313" i="25"/>
  <c r="P313" i="25" s="1"/>
  <c r="L315" i="25"/>
  <c r="N315" i="25" s="1"/>
  <c r="L325" i="25"/>
  <c r="P325" i="25" s="1"/>
  <c r="L343" i="25"/>
  <c r="O343" i="25" s="1"/>
  <c r="M353" i="25"/>
  <c r="M364" i="25"/>
  <c r="L368" i="25"/>
  <c r="O368" i="25" s="1"/>
  <c r="M380" i="25"/>
  <c r="M383" i="25"/>
  <c r="L387" i="25"/>
  <c r="O387" i="25" s="1"/>
  <c r="M393" i="25"/>
  <c r="L397" i="25"/>
  <c r="N397" i="25" s="1"/>
  <c r="M402" i="25"/>
  <c r="M407" i="25"/>
  <c r="L417" i="25"/>
  <c r="N417" i="25" s="1"/>
  <c r="L442" i="25"/>
  <c r="L488" i="25"/>
  <c r="P488" i="25" s="1"/>
  <c r="N489" i="25"/>
  <c r="M531" i="25"/>
  <c r="L534" i="25"/>
  <c r="P534" i="25" s="1"/>
  <c r="M543" i="25"/>
  <c r="L558" i="25"/>
  <c r="O558" i="25" s="1"/>
  <c r="M568" i="25"/>
  <c r="L572" i="25"/>
  <c r="N572" i="25" s="1"/>
  <c r="M590" i="25"/>
  <c r="M596" i="25"/>
  <c r="L599" i="25"/>
  <c r="O599" i="25" s="1"/>
  <c r="M606" i="25"/>
  <c r="L609" i="25"/>
  <c r="N609" i="25" s="1"/>
  <c r="M634" i="25"/>
  <c r="M817" i="25"/>
  <c r="M836" i="25"/>
  <c r="M963" i="25"/>
  <c r="M985" i="25"/>
  <c r="Q215" i="25"/>
  <c r="K17" i="14" s="1"/>
  <c r="I20" i="15" s="1"/>
  <c r="N69" i="25"/>
  <c r="M126" i="25"/>
  <c r="M144" i="25"/>
  <c r="M161" i="25"/>
  <c r="M171" i="25"/>
  <c r="N228" i="25"/>
  <c r="M324" i="25"/>
  <c r="L327" i="25"/>
  <c r="N327" i="25" s="1"/>
  <c r="M346" i="25"/>
  <c r="M363" i="25"/>
  <c r="M370" i="25"/>
  <c r="M373" i="25"/>
  <c r="M379" i="25"/>
  <c r="M399" i="25"/>
  <c r="M401" i="25"/>
  <c r="M410" i="25"/>
  <c r="N438" i="25"/>
  <c r="M441" i="25"/>
  <c r="M533" i="25"/>
  <c r="M575" i="25"/>
  <c r="L579" i="25"/>
  <c r="O579" i="25" s="1"/>
  <c r="M585" i="25"/>
  <c r="L618" i="25"/>
  <c r="N618" i="25" s="1"/>
  <c r="L628" i="25"/>
  <c r="P628" i="25" s="1"/>
  <c r="M633" i="25"/>
  <c r="N641" i="25"/>
  <c r="N649" i="25"/>
  <c r="M788" i="25"/>
  <c r="M807" i="25"/>
  <c r="M993" i="25"/>
  <c r="L337" i="25"/>
  <c r="P337" i="25" s="1"/>
  <c r="M358" i="25"/>
  <c r="N436" i="25"/>
  <c r="M556" i="25"/>
  <c r="M183" i="25"/>
  <c r="M198" i="25"/>
  <c r="M204" i="25"/>
  <c r="L426" i="25"/>
  <c r="P426" i="25" s="1"/>
  <c r="E444" i="25"/>
  <c r="N444" i="25" s="1"/>
  <c r="L480" i="25"/>
  <c r="P480" i="25" s="1"/>
  <c r="L523" i="25"/>
  <c r="O523" i="25" s="1"/>
  <c r="M541" i="25"/>
  <c r="M544" i="25"/>
  <c r="L552" i="25"/>
  <c r="O552" i="25" s="1"/>
  <c r="M569" i="25"/>
  <c r="L578" i="25"/>
  <c r="P578" i="25" s="1"/>
  <c r="M591" i="25"/>
  <c r="L640" i="25"/>
  <c r="O640" i="25" s="1"/>
  <c r="M603" i="25"/>
  <c r="M604" i="25"/>
  <c r="L607" i="25"/>
  <c r="P607" i="25" s="1"/>
  <c r="N651" i="25"/>
  <c r="L664" i="25"/>
  <c r="O664" i="25" s="1"/>
  <c r="L673" i="25"/>
  <c r="P673" i="25" s="1"/>
  <c r="L693" i="25"/>
  <c r="P693" i="25" s="1"/>
  <c r="L694" i="25"/>
  <c r="O694" i="25" s="1"/>
  <c r="L736" i="25"/>
  <c r="O736" i="25" s="1"/>
  <c r="M740" i="25"/>
  <c r="M746" i="25"/>
  <c r="M752" i="25"/>
  <c r="M762" i="25"/>
  <c r="M768" i="25"/>
  <c r="M774" i="25"/>
  <c r="L786" i="25"/>
  <c r="N786" i="25" s="1"/>
  <c r="L792" i="25"/>
  <c r="P792" i="25" s="1"/>
  <c r="L794" i="25"/>
  <c r="N794" i="25" s="1"/>
  <c r="L855" i="25"/>
  <c r="P855" i="25" s="1"/>
  <c r="L864" i="25"/>
  <c r="O864" i="25" s="1"/>
  <c r="L910" i="25"/>
  <c r="O910" i="25" s="1"/>
  <c r="L952" i="25"/>
  <c r="P952" i="25" s="1"/>
  <c r="L965" i="25"/>
  <c r="O965" i="25" s="1"/>
  <c r="L995" i="25"/>
  <c r="P995" i="25" s="1"/>
  <c r="L997" i="25"/>
  <c r="N997" i="25" s="1"/>
  <c r="L1003" i="25"/>
  <c r="N1003" i="25" s="1"/>
  <c r="L1010" i="25"/>
  <c r="O1010" i="25" s="1"/>
  <c r="L1018" i="25"/>
  <c r="P1018" i="25" s="1"/>
  <c r="M1025" i="25"/>
  <c r="M1029" i="25"/>
  <c r="L1048" i="25"/>
  <c r="P1048" i="25" s="1"/>
  <c r="M1065" i="25"/>
  <c r="M745" i="25"/>
  <c r="M751" i="25"/>
  <c r="M827" i="25"/>
  <c r="R1069" i="25"/>
  <c r="L871" i="25"/>
  <c r="P871" i="25" s="1"/>
  <c r="N919" i="25"/>
  <c r="M957" i="25"/>
  <c r="M999" i="25"/>
  <c r="M1005" i="25"/>
  <c r="M1015" i="25"/>
  <c r="M1023" i="25"/>
  <c r="M1024" i="25"/>
  <c r="M1027" i="25"/>
  <c r="M1028" i="25"/>
  <c r="M1035" i="25"/>
  <c r="L1039" i="25"/>
  <c r="P1039" i="25" s="1"/>
  <c r="M1046" i="25"/>
  <c r="M1047" i="25"/>
  <c r="M1054" i="25"/>
  <c r="M1058" i="25"/>
  <c r="L1062" i="25"/>
  <c r="N1062" i="25" s="1"/>
  <c r="M1037" i="25"/>
  <c r="M1052" i="25"/>
  <c r="M1056" i="25"/>
  <c r="M1066" i="25"/>
  <c r="L683" i="25"/>
  <c r="P683" i="25" s="1"/>
  <c r="L702" i="25"/>
  <c r="O702" i="25" s="1"/>
  <c r="L737" i="25"/>
  <c r="N737" i="25" s="1"/>
  <c r="M742" i="25"/>
  <c r="L747" i="25"/>
  <c r="P747" i="25" s="1"/>
  <c r="M758" i="25"/>
  <c r="M776" i="25"/>
  <c r="M782" i="25"/>
  <c r="N865" i="25"/>
  <c r="L918" i="25"/>
  <c r="O918" i="25" s="1"/>
  <c r="L966" i="25"/>
  <c r="N966" i="25" s="1"/>
  <c r="L976" i="25"/>
  <c r="P976" i="25" s="1"/>
  <c r="L987" i="25"/>
  <c r="P987" i="25" s="1"/>
  <c r="L989" i="25"/>
  <c r="N989" i="25" s="1"/>
  <c r="M1017" i="25"/>
  <c r="L1019" i="25"/>
  <c r="O1019" i="25" s="1"/>
  <c r="M1044" i="25"/>
  <c r="L1061" i="25"/>
  <c r="O1061" i="25" s="1"/>
  <c r="M1064" i="25"/>
  <c r="E13" i="25"/>
  <c r="M12" i="25"/>
  <c r="N11" i="25"/>
  <c r="E33" i="25"/>
  <c r="N32" i="25"/>
  <c r="M110" i="25"/>
  <c r="M113" i="25"/>
  <c r="M119" i="25"/>
  <c r="M137" i="25"/>
  <c r="M163" i="25"/>
  <c r="M169" i="25"/>
  <c r="N243" i="25"/>
  <c r="N244" i="25"/>
  <c r="N263" i="25"/>
  <c r="N9" i="25"/>
  <c r="O8" i="25"/>
  <c r="S8" i="25"/>
  <c r="P16" i="25"/>
  <c r="P215" i="25" s="1"/>
  <c r="J17" i="14" s="1"/>
  <c r="H20" i="15" s="1"/>
  <c r="S16" i="25"/>
  <c r="N71" i="25"/>
  <c r="E72" i="25"/>
  <c r="M109" i="25"/>
  <c r="M149" i="25"/>
  <c r="M160" i="25"/>
  <c r="M162" i="25"/>
  <c r="M168" i="25"/>
  <c r="M173" i="25"/>
  <c r="M210" i="25"/>
  <c r="N220" i="25"/>
  <c r="N227" i="25"/>
  <c r="N229" i="25"/>
  <c r="E254" i="25"/>
  <c r="N253" i="25"/>
  <c r="R215" i="25"/>
  <c r="L17" i="14" s="1"/>
  <c r="J20" i="15" s="1"/>
  <c r="N10" i="25"/>
  <c r="S60" i="25"/>
  <c r="O60" i="25"/>
  <c r="E61" i="25"/>
  <c r="N273" i="25"/>
  <c r="E274" i="25"/>
  <c r="N70" i="25"/>
  <c r="O146" i="25"/>
  <c r="E245" i="25"/>
  <c r="L280" i="25"/>
  <c r="P280" i="25" s="1"/>
  <c r="M341" i="25"/>
  <c r="L348" i="25"/>
  <c r="P348" i="25" s="1"/>
  <c r="M391" i="25"/>
  <c r="N428" i="25"/>
  <c r="N454" i="25"/>
  <c r="E455" i="25"/>
  <c r="E483" i="25"/>
  <c r="N482" i="25"/>
  <c r="M317" i="25"/>
  <c r="M318" i="25"/>
  <c r="L326" i="25"/>
  <c r="O326" i="25" s="1"/>
  <c r="M331" i="25"/>
  <c r="M332" i="25"/>
  <c r="L342" i="25"/>
  <c r="P342" i="25" s="1"/>
  <c r="M384" i="25"/>
  <c r="M390" i="25"/>
  <c r="M392" i="25"/>
  <c r="M412" i="25"/>
  <c r="N437" i="25"/>
  <c r="M440" i="25"/>
  <c r="N452" i="25"/>
  <c r="N281" i="25"/>
  <c r="M321" i="25"/>
  <c r="M335" i="25"/>
  <c r="E463" i="25"/>
  <c r="N462" i="25"/>
  <c r="E282" i="25"/>
  <c r="M347" i="25"/>
  <c r="M352" i="25"/>
  <c r="L374" i="25"/>
  <c r="P374" i="25" s="1"/>
  <c r="L388" i="25"/>
  <c r="N388" i="25" s="1"/>
  <c r="M400" i="25"/>
  <c r="N472" i="25"/>
  <c r="N453" i="25"/>
  <c r="E491" i="25"/>
  <c r="M528" i="25"/>
  <c r="M538" i="25"/>
  <c r="L566" i="25"/>
  <c r="O566" i="25" s="1"/>
  <c r="M577" i="25"/>
  <c r="M593" i="25"/>
  <c r="M594" i="25"/>
  <c r="M612" i="25"/>
  <c r="M613" i="25"/>
  <c r="L617" i="25"/>
  <c r="O617" i="25" s="1"/>
  <c r="M623" i="25"/>
  <c r="M626" i="25"/>
  <c r="M653" i="25"/>
  <c r="Q656" i="25"/>
  <c r="E659" i="25"/>
  <c r="N658" i="25"/>
  <c r="M562" i="25"/>
  <c r="M563" i="25"/>
  <c r="M597" i="25"/>
  <c r="M622" i="25"/>
  <c r="N650" i="25"/>
  <c r="M652" i="25"/>
  <c r="N685" i="25"/>
  <c r="M532" i="25"/>
  <c r="M542" i="25"/>
  <c r="M554" i="25"/>
  <c r="M583" i="25"/>
  <c r="L608" i="25"/>
  <c r="O608" i="25" s="1"/>
  <c r="N657" i="25"/>
  <c r="E666" i="25"/>
  <c r="E676" i="25"/>
  <c r="L684" i="25"/>
  <c r="O684" i="25" s="1"/>
  <c r="L701" i="25"/>
  <c r="P701" i="25" s="1"/>
  <c r="M739" i="25"/>
  <c r="M799" i="25"/>
  <c r="M849" i="25"/>
  <c r="N874" i="25"/>
  <c r="E875" i="25"/>
  <c r="N703" i="25"/>
  <c r="E705" i="25"/>
  <c r="N704" i="25"/>
  <c r="M743" i="25"/>
  <c r="M777" i="25"/>
  <c r="M791" i="25"/>
  <c r="M796" i="25"/>
  <c r="M810" i="25"/>
  <c r="M820" i="25"/>
  <c r="M829" i="25"/>
  <c r="M839" i="25"/>
  <c r="M842" i="25"/>
  <c r="M848" i="25"/>
  <c r="M806" i="25"/>
  <c r="M809" i="25"/>
  <c r="M819" i="25"/>
  <c r="M826" i="25"/>
  <c r="M828" i="25"/>
  <c r="M835" i="25"/>
  <c r="M838" i="25"/>
  <c r="N857" i="25"/>
  <c r="R852" i="25"/>
  <c r="E695" i="25"/>
  <c r="N883" i="25"/>
  <c r="E884" i="25"/>
  <c r="M958" i="25"/>
  <c r="M961" i="25"/>
  <c r="M968" i="25"/>
  <c r="M971" i="25"/>
  <c r="M991" i="25"/>
  <c r="M1000" i="25"/>
  <c r="M1006" i="25"/>
  <c r="N891" i="25"/>
  <c r="E892" i="25"/>
  <c r="N873" i="25"/>
  <c r="N881" i="25"/>
  <c r="N882" i="25"/>
  <c r="N901" i="25"/>
  <c r="M962" i="25"/>
  <c r="M972" i="25"/>
  <c r="M975" i="25"/>
  <c r="M992" i="25"/>
  <c r="E912" i="25"/>
  <c r="E920" i="25"/>
  <c r="M10" i="24"/>
  <c r="M100" i="24"/>
  <c r="M51" i="24"/>
  <c r="Q384" i="24"/>
  <c r="K12" i="14" s="1"/>
  <c r="M166" i="24"/>
  <c r="M168" i="24"/>
  <c r="M175" i="24"/>
  <c r="R384" i="24"/>
  <c r="L12" i="14" s="1"/>
  <c r="M162" i="24"/>
  <c r="O384" i="24" l="1"/>
  <c r="I12" i="14" s="1"/>
  <c r="N384" i="24"/>
  <c r="H12" i="14" s="1"/>
  <c r="P384" i="24"/>
  <c r="J12" i="14" s="1"/>
  <c r="N42" i="25"/>
  <c r="N41" i="25"/>
  <c r="M384" i="24"/>
  <c r="N43" i="25"/>
  <c r="E52" i="25"/>
  <c r="N52" i="25" s="1"/>
  <c r="P655" i="25"/>
  <c r="P852" i="25" s="1"/>
  <c r="Q655" i="25"/>
  <c r="Q852" i="25" s="1"/>
  <c r="Q637" i="25"/>
  <c r="P442" i="25"/>
  <c r="P637" i="25" s="1"/>
  <c r="R442" i="25"/>
  <c r="R637" i="25" s="1"/>
  <c r="E445" i="25"/>
  <c r="E446" i="25" s="1"/>
  <c r="N24" i="25"/>
  <c r="Q424" i="25"/>
  <c r="K20" i="14" s="1"/>
  <c r="P1069" i="25"/>
  <c r="O424" i="25"/>
  <c r="I20" i="14" s="1"/>
  <c r="O637" i="25"/>
  <c r="O1069" i="25"/>
  <c r="N25" i="25"/>
  <c r="E26" i="25"/>
  <c r="O852" i="25"/>
  <c r="O215" i="25"/>
  <c r="I17" i="14" s="1"/>
  <c r="G20" i="15" s="1"/>
  <c r="P424" i="25"/>
  <c r="J20" i="14" s="1"/>
  <c r="E921" i="25"/>
  <c r="N920" i="25"/>
  <c r="N892" i="25"/>
  <c r="E893" i="25"/>
  <c r="N695" i="25"/>
  <c r="E696" i="25"/>
  <c r="E876" i="25"/>
  <c r="N875" i="25"/>
  <c r="E456" i="25"/>
  <c r="N455" i="25"/>
  <c r="N61" i="25"/>
  <c r="E62" i="25"/>
  <c r="N254" i="25"/>
  <c r="E255" i="25"/>
  <c r="N221" i="25"/>
  <c r="M72" i="25"/>
  <c r="E73" i="25"/>
  <c r="N264" i="25"/>
  <c r="E913" i="25"/>
  <c r="N912" i="25"/>
  <c r="E885" i="25"/>
  <c r="N884" i="25"/>
  <c r="N858" i="25"/>
  <c r="N642" i="25"/>
  <c r="E492" i="25"/>
  <c r="N491" i="25"/>
  <c r="N473" i="25"/>
  <c r="E275" i="25"/>
  <c r="N274" i="25"/>
  <c r="N44" i="25"/>
  <c r="E45" i="25"/>
  <c r="M13" i="25"/>
  <c r="E14" i="25"/>
  <c r="M14" i="25" s="1"/>
  <c r="N902" i="25"/>
  <c r="E706" i="25"/>
  <c r="N705" i="25"/>
  <c r="E677" i="25"/>
  <c r="N676" i="25"/>
  <c r="N686" i="25"/>
  <c r="E660" i="25"/>
  <c r="N659" i="25"/>
  <c r="E464" i="25"/>
  <c r="N463" i="25"/>
  <c r="E236" i="25"/>
  <c r="N235" i="25"/>
  <c r="E246" i="25"/>
  <c r="N245" i="25"/>
  <c r="N17" i="25"/>
  <c r="E667" i="25"/>
  <c r="N666" i="25"/>
  <c r="N282" i="25"/>
  <c r="E283" i="25"/>
  <c r="E484" i="25"/>
  <c r="N483" i="25"/>
  <c r="N429" i="25"/>
  <c r="E34" i="25"/>
  <c r="N33" i="25"/>
  <c r="E53" i="25" l="1"/>
  <c r="S384" i="24"/>
  <c r="G12" i="14"/>
  <c r="M12" i="14" s="1"/>
  <c r="N445" i="25"/>
  <c r="E27" i="25"/>
  <c r="N26" i="25"/>
  <c r="N859" i="25"/>
  <c r="E256" i="25"/>
  <c r="N255" i="25"/>
  <c r="E284" i="25"/>
  <c r="N283" i="25"/>
  <c r="E46" i="25"/>
  <c r="M45" i="25"/>
  <c r="N265" i="25"/>
  <c r="N696" i="25"/>
  <c r="E697" i="25"/>
  <c r="E63" i="25"/>
  <c r="N62" i="25"/>
  <c r="N34" i="25"/>
  <c r="E35" i="25"/>
  <c r="N430" i="25"/>
  <c r="E668" i="25"/>
  <c r="N667" i="25"/>
  <c r="E247" i="25"/>
  <c r="N246" i="25"/>
  <c r="N464" i="25"/>
  <c r="E465" i="25"/>
  <c r="N687" i="25"/>
  <c r="M706" i="25"/>
  <c r="E707" i="25"/>
  <c r="N474" i="25"/>
  <c r="N643" i="25"/>
  <c r="M885" i="25"/>
  <c r="E886" i="25"/>
  <c r="N222" i="25"/>
  <c r="M456" i="25"/>
  <c r="E457" i="25"/>
  <c r="E922" i="25"/>
  <c r="N921" i="25"/>
  <c r="N903" i="25"/>
  <c r="E74" i="25"/>
  <c r="M74" i="25" s="1"/>
  <c r="M73" i="25"/>
  <c r="E894" i="25"/>
  <c r="N893" i="25"/>
  <c r="N53" i="25"/>
  <c r="E54" i="25"/>
  <c r="E485" i="25"/>
  <c r="N484" i="25"/>
  <c r="E447" i="25"/>
  <c r="N446" i="25"/>
  <c r="N18" i="25"/>
  <c r="E237" i="25"/>
  <c r="N236" i="25"/>
  <c r="M660" i="25"/>
  <c r="E661" i="25"/>
  <c r="E678" i="25"/>
  <c r="N677" i="25"/>
  <c r="E276" i="25"/>
  <c r="N275" i="25"/>
  <c r="M492" i="25"/>
  <c r="E493" i="25"/>
  <c r="E914" i="25"/>
  <c r="N913" i="25"/>
  <c r="E877" i="25"/>
  <c r="M876" i="25"/>
  <c r="M27" i="25" l="1"/>
  <c r="E28" i="25"/>
  <c r="N237" i="25"/>
  <c r="E238" i="25"/>
  <c r="E486" i="25"/>
  <c r="M485" i="25"/>
  <c r="E923" i="25"/>
  <c r="M922" i="25"/>
  <c r="E708" i="25"/>
  <c r="M708" i="25" s="1"/>
  <c r="M707" i="25"/>
  <c r="E466" i="25"/>
  <c r="N465" i="25"/>
  <c r="M431" i="25"/>
  <c r="N266" i="25"/>
  <c r="E662" i="25"/>
  <c r="M662" i="25" s="1"/>
  <c r="M661" i="25"/>
  <c r="N54" i="25"/>
  <c r="E55" i="25"/>
  <c r="E458" i="25"/>
  <c r="M457" i="25"/>
  <c r="N63" i="25"/>
  <c r="E64" i="25"/>
  <c r="E257" i="25"/>
  <c r="N256" i="25"/>
  <c r="M877" i="25"/>
  <c r="E878" i="25"/>
  <c r="M878" i="25" s="1"/>
  <c r="M914" i="25"/>
  <c r="E915" i="25"/>
  <c r="M276" i="25"/>
  <c r="E277" i="25"/>
  <c r="N19" i="25"/>
  <c r="E448" i="25"/>
  <c r="M447" i="25"/>
  <c r="E895" i="25"/>
  <c r="N894" i="25"/>
  <c r="N904" i="25"/>
  <c r="M644" i="25"/>
  <c r="N688" i="25"/>
  <c r="E36" i="25"/>
  <c r="M35" i="25"/>
  <c r="E698" i="25"/>
  <c r="N697" i="25"/>
  <c r="E285" i="25"/>
  <c r="M284" i="25"/>
  <c r="E494" i="25"/>
  <c r="M494" i="25" s="1"/>
  <c r="M493" i="25"/>
  <c r="M223" i="25"/>
  <c r="E887" i="25"/>
  <c r="M886" i="25"/>
  <c r="N475" i="25"/>
  <c r="E248" i="25"/>
  <c r="M247" i="25"/>
  <c r="E669" i="25"/>
  <c r="N668" i="25"/>
  <c r="M46" i="25"/>
  <c r="E47" i="25"/>
  <c r="M860" i="25"/>
  <c r="E679" i="25"/>
  <c r="N678" i="25"/>
  <c r="N637" i="25" l="1"/>
  <c r="N852" i="25"/>
  <c r="N424" i="25"/>
  <c r="H20" i="14" s="1"/>
  <c r="M28" i="25"/>
  <c r="E29" i="25"/>
  <c r="M29" i="25" s="1"/>
  <c r="M698" i="25"/>
  <c r="E699" i="25"/>
  <c r="M645" i="25"/>
  <c r="M646" i="25"/>
  <c r="M20" i="25"/>
  <c r="E21" i="25"/>
  <c r="E258" i="25"/>
  <c r="M257" i="25"/>
  <c r="M862" i="25"/>
  <c r="M861" i="25"/>
  <c r="N1069" i="25"/>
  <c r="M277" i="25"/>
  <c r="E278" i="25"/>
  <c r="M278" i="25" s="1"/>
  <c r="M64" i="25"/>
  <c r="E65" i="25"/>
  <c r="E239" i="25"/>
  <c r="M238" i="25"/>
  <c r="M895" i="25"/>
  <c r="E896" i="25"/>
  <c r="M486" i="25"/>
  <c r="E487" i="25"/>
  <c r="M487" i="25" s="1"/>
  <c r="M669" i="25"/>
  <c r="E670" i="25"/>
  <c r="M476" i="25"/>
  <c r="M224" i="25"/>
  <c r="M225" i="25"/>
  <c r="M285" i="25"/>
  <c r="E286" i="25"/>
  <c r="M286" i="25" s="1"/>
  <c r="M36" i="25"/>
  <c r="E37" i="25"/>
  <c r="M905" i="25"/>
  <c r="M448" i="25"/>
  <c r="E449" i="25"/>
  <c r="M449" i="25" s="1"/>
  <c r="N215" i="25"/>
  <c r="H17" i="14" s="1"/>
  <c r="F20" i="15" s="1"/>
  <c r="M458" i="25"/>
  <c r="E459" i="25"/>
  <c r="M459" i="25" s="1"/>
  <c r="M267" i="25"/>
  <c r="M679" i="25"/>
  <c r="E680" i="25"/>
  <c r="M248" i="25"/>
  <c r="E249" i="25"/>
  <c r="M887" i="25"/>
  <c r="E888" i="25"/>
  <c r="M888" i="25" s="1"/>
  <c r="M432" i="25"/>
  <c r="M433" i="25"/>
  <c r="M466" i="25"/>
  <c r="E467" i="25"/>
  <c r="M923" i="25"/>
  <c r="E924" i="25"/>
  <c r="M924" i="25" s="1"/>
  <c r="E48" i="25"/>
  <c r="M48" i="25" s="1"/>
  <c r="M47" i="25"/>
  <c r="M689" i="25"/>
  <c r="E916" i="25"/>
  <c r="M916" i="25" s="1"/>
  <c r="M915" i="25"/>
  <c r="M55" i="25"/>
  <c r="E56" i="25"/>
  <c r="E468" i="25" l="1"/>
  <c r="M467" i="25"/>
  <c r="E681" i="25"/>
  <c r="M680" i="25"/>
  <c r="E897" i="25"/>
  <c r="M896" i="25"/>
  <c r="E66" i="25"/>
  <c r="M66" i="25" s="1"/>
  <c r="M65" i="25"/>
  <c r="M258" i="25"/>
  <c r="E259" i="25"/>
  <c r="E57" i="25"/>
  <c r="M56" i="25"/>
  <c r="M906" i="25"/>
  <c r="E38" i="25"/>
  <c r="M38" i="25" s="1"/>
  <c r="M37" i="25"/>
  <c r="E671" i="25"/>
  <c r="M670" i="25"/>
  <c r="E22" i="25"/>
  <c r="M22" i="25" s="1"/>
  <c r="M21" i="25"/>
  <c r="E700" i="25"/>
  <c r="M700" i="25" s="1"/>
  <c r="M699" i="25"/>
  <c r="M268" i="25"/>
  <c r="M477" i="25"/>
  <c r="M239" i="25"/>
  <c r="E240" i="25"/>
  <c r="M240" i="25" s="1"/>
  <c r="M690" i="25"/>
  <c r="E250" i="25"/>
  <c r="M250" i="25" s="1"/>
  <c r="M249" i="25"/>
  <c r="M269" i="25" l="1"/>
  <c r="M270" i="25"/>
  <c r="M57" i="25"/>
  <c r="E58" i="25"/>
  <c r="M58" i="25" s="1"/>
  <c r="M692" i="25"/>
  <c r="M691" i="25"/>
  <c r="E260" i="25"/>
  <c r="M260" i="25" s="1"/>
  <c r="M259" i="25"/>
  <c r="M478" i="25"/>
  <c r="M479" i="25"/>
  <c r="M671" i="25"/>
  <c r="E672" i="25"/>
  <c r="M672" i="25" s="1"/>
  <c r="M907" i="25"/>
  <c r="M908" i="25"/>
  <c r="M897" i="25"/>
  <c r="E898" i="25"/>
  <c r="M898" i="25" s="1"/>
  <c r="M681" i="25"/>
  <c r="E682" i="25"/>
  <c r="M682" i="25" s="1"/>
  <c r="M468" i="25"/>
  <c r="E469" i="25"/>
  <c r="M469" i="25" s="1"/>
  <c r="M215" i="25" l="1"/>
  <c r="M424" i="25"/>
  <c r="M1069" i="25"/>
  <c r="S1069" i="25" s="1"/>
  <c r="M852" i="25"/>
  <c r="S852" i="25" s="1"/>
  <c r="M637" i="25"/>
  <c r="S637" i="25" s="1"/>
  <c r="S424" i="25" l="1"/>
  <c r="G20" i="14"/>
  <c r="M20" i="14" s="1"/>
  <c r="S215" i="25"/>
  <c r="G17" i="14"/>
  <c r="G27" i="8"/>
  <c r="M17" i="14" l="1"/>
  <c r="E20" i="15"/>
  <c r="I284" i="10"/>
  <c r="I285" i="10"/>
  <c r="I287" i="10"/>
  <c r="I294" i="10"/>
  <c r="G293" i="10"/>
  <c r="I293" i="10" s="1"/>
  <c r="I292" i="10"/>
  <c r="I291" i="10"/>
  <c r="I290" i="10"/>
  <c r="G289" i="10"/>
  <c r="I289" i="10" s="1"/>
  <c r="I288" i="10"/>
  <c r="I286" i="10"/>
  <c r="I283" i="10"/>
  <c r="I282" i="10"/>
  <c r="G281" i="10"/>
  <c r="I281" i="10" s="1"/>
  <c r="I280" i="10"/>
  <c r="G279" i="10"/>
  <c r="I279" i="10" s="1"/>
  <c r="I278" i="10"/>
  <c r="I277" i="10"/>
  <c r="I276" i="10"/>
  <c r="I275" i="10"/>
  <c r="I274" i="10"/>
  <c r="I258" i="10"/>
  <c r="I259" i="10"/>
  <c r="I261" i="10"/>
  <c r="D269" i="10"/>
  <c r="I269" i="10" s="1"/>
  <c r="D268" i="10"/>
  <c r="I268" i="10" s="1"/>
  <c r="G267" i="10"/>
  <c r="I267" i="10" s="1"/>
  <c r="D266" i="10"/>
  <c r="I266" i="10" s="1"/>
  <c r="D265" i="10"/>
  <c r="I265" i="10" s="1"/>
  <c r="D264" i="10"/>
  <c r="I264" i="10" s="1"/>
  <c r="G263" i="10"/>
  <c r="I263" i="10" s="1"/>
  <c r="D262" i="10"/>
  <c r="I262" i="10" s="1"/>
  <c r="D260" i="10"/>
  <c r="I260" i="10" s="1"/>
  <c r="D257" i="10"/>
  <c r="I257" i="10" s="1"/>
  <c r="D256" i="10"/>
  <c r="I256" i="10" s="1"/>
  <c r="G255" i="10"/>
  <c r="I255" i="10" s="1"/>
  <c r="D254" i="10"/>
  <c r="I254" i="10" s="1"/>
  <c r="G253" i="10"/>
  <c r="I253" i="10" s="1"/>
  <c r="D252" i="10"/>
  <c r="I252" i="10" s="1"/>
  <c r="I251" i="10"/>
  <c r="D250" i="10"/>
  <c r="I250" i="10" s="1"/>
  <c r="I249" i="10"/>
  <c r="I246" i="10"/>
  <c r="I245" i="10"/>
  <c r="I244" i="10"/>
  <c r="I243" i="10"/>
  <c r="I242" i="10"/>
  <c r="I241" i="10"/>
  <c r="F240" i="10"/>
  <c r="I240" i="10" s="1"/>
  <c r="F239" i="10"/>
  <c r="I239" i="10" s="1"/>
  <c r="F238" i="10"/>
  <c r="I238" i="10" s="1"/>
  <c r="F237" i="10"/>
  <c r="I237" i="10" s="1"/>
  <c r="I236" i="10"/>
  <c r="I235" i="10"/>
  <c r="I234" i="10"/>
  <c r="I233" i="10"/>
  <c r="I232" i="10"/>
  <c r="I231" i="10"/>
  <c r="I230" i="10"/>
  <c r="I229" i="10"/>
  <c r="I228" i="10"/>
  <c r="I227" i="10"/>
  <c r="F226" i="10"/>
  <c r="I226" i="10" s="1"/>
  <c r="F225" i="10"/>
  <c r="I225" i="10" s="1"/>
  <c r="I224" i="10"/>
  <c r="I223" i="10"/>
  <c r="I222" i="10"/>
  <c r="I221" i="10"/>
  <c r="I220" i="10"/>
  <c r="I219" i="10"/>
  <c r="I218" i="10"/>
  <c r="I217" i="10"/>
  <c r="I216" i="10"/>
  <c r="I215" i="10"/>
  <c r="I214" i="10"/>
  <c r="I213" i="10"/>
  <c r="I212" i="10"/>
  <c r="I211" i="10"/>
  <c r="I210" i="10"/>
  <c r="I209" i="10"/>
  <c r="I208" i="10"/>
  <c r="I207" i="10"/>
  <c r="I206" i="10"/>
  <c r="I205" i="10"/>
  <c r="I204" i="10"/>
  <c r="I203" i="10"/>
  <c r="F202" i="10"/>
  <c r="I202" i="10" s="1"/>
  <c r="F201" i="10"/>
  <c r="I201" i="10" s="1"/>
  <c r="I200" i="10"/>
  <c r="I199" i="10"/>
  <c r="I198" i="10"/>
  <c r="I197" i="10"/>
  <c r="I196" i="10"/>
  <c r="I195" i="10"/>
  <c r="I194" i="10"/>
  <c r="I193" i="10"/>
  <c r="F192" i="10"/>
  <c r="I192" i="10" s="1"/>
  <c r="F191" i="10"/>
  <c r="I191" i="10" s="1"/>
  <c r="I190" i="10"/>
  <c r="I189" i="10"/>
  <c r="I188" i="10"/>
  <c r="I187" i="10"/>
  <c r="I186" i="10"/>
  <c r="I185" i="10"/>
  <c r="I184" i="10"/>
  <c r="I183" i="10"/>
  <c r="I182" i="10"/>
  <c r="I181" i="10"/>
  <c r="I180" i="10"/>
  <c r="I179" i="10"/>
  <c r="I178" i="10"/>
  <c r="I177" i="10"/>
  <c r="I176" i="10"/>
  <c r="I175" i="10"/>
  <c r="F174" i="10"/>
  <c r="I174" i="10" s="1"/>
  <c r="F173" i="10"/>
  <c r="I173" i="10" s="1"/>
  <c r="I172" i="10"/>
  <c r="I171" i="10"/>
  <c r="F170" i="10"/>
  <c r="I170" i="10" s="1"/>
  <c r="F169" i="10"/>
  <c r="I169" i="10" s="1"/>
  <c r="I168" i="10"/>
  <c r="I167" i="10"/>
  <c r="I166" i="10"/>
  <c r="I165" i="10"/>
  <c r="F164" i="10"/>
  <c r="I164" i="10" s="1"/>
  <c r="F163" i="10"/>
  <c r="I163" i="10" s="1"/>
  <c r="F162" i="10"/>
  <c r="I162" i="10" s="1"/>
  <c r="F161" i="10"/>
  <c r="I161" i="10" s="1"/>
  <c r="F160" i="10"/>
  <c r="I160" i="10" s="1"/>
  <c r="F159" i="10"/>
  <c r="I159" i="10" s="1"/>
  <c r="I158" i="10"/>
  <c r="I157" i="10"/>
  <c r="I156" i="10"/>
  <c r="I155" i="10"/>
  <c r="F154" i="10"/>
  <c r="I154" i="10" s="1"/>
  <c r="F153" i="10"/>
  <c r="I153" i="10" s="1"/>
  <c r="I152" i="10"/>
  <c r="I151" i="10"/>
  <c r="I150" i="10"/>
  <c r="I149" i="10"/>
  <c r="I148" i="10"/>
  <c r="I147" i="10"/>
  <c r="I146" i="10"/>
  <c r="I145" i="10"/>
  <c r="I144" i="10"/>
  <c r="I143" i="10"/>
  <c r="I142" i="10"/>
  <c r="I141" i="10"/>
  <c r="I140" i="10"/>
  <c r="I139" i="10"/>
  <c r="I138" i="10"/>
  <c r="I137" i="10"/>
  <c r="I136" i="10"/>
  <c r="I135" i="10"/>
  <c r="I134" i="10"/>
  <c r="I133" i="10"/>
  <c r="I132" i="10"/>
  <c r="I131" i="10"/>
  <c r="F130" i="10"/>
  <c r="I130" i="10" s="1"/>
  <c r="F129" i="10"/>
  <c r="I129" i="10" s="1"/>
  <c r="I128" i="10"/>
  <c r="I127" i="10"/>
  <c r="I126" i="10"/>
  <c r="I125" i="10"/>
  <c r="I124" i="10"/>
  <c r="I123" i="10"/>
  <c r="I122" i="10"/>
  <c r="I121" i="10"/>
  <c r="I120" i="10"/>
  <c r="I119" i="10"/>
  <c r="I118" i="10"/>
  <c r="I117" i="10"/>
  <c r="I116" i="10"/>
  <c r="I115" i="10"/>
  <c r="I114" i="10"/>
  <c r="I113" i="10"/>
  <c r="I112" i="10"/>
  <c r="I111" i="10"/>
  <c r="I110" i="10"/>
  <c r="I109" i="10"/>
  <c r="I271" i="10" l="1"/>
  <c r="I296" i="10"/>
  <c r="I18" i="19" s="1"/>
  <c r="L30" i="17"/>
  <c r="L31" i="17" s="1"/>
  <c r="L15" i="17"/>
  <c r="L12" i="17"/>
  <c r="L10" i="17"/>
  <c r="L9" i="17"/>
  <c r="L8" i="17"/>
  <c r="L7" i="17"/>
  <c r="L6" i="17"/>
  <c r="I15" i="17"/>
  <c r="J15" i="17"/>
  <c r="K15" i="17"/>
  <c r="I13" i="17"/>
  <c r="K13" i="17"/>
  <c r="I215" i="9"/>
  <c r="G214" i="9"/>
  <c r="I214" i="9" s="1"/>
  <c r="I213" i="9"/>
  <c r="I212" i="9"/>
  <c r="I211" i="9"/>
  <c r="G210" i="9"/>
  <c r="I210" i="9" s="1"/>
  <c r="I209" i="9"/>
  <c r="I208" i="9"/>
  <c r="I207" i="9"/>
  <c r="I206" i="9"/>
  <c r="I205" i="9"/>
  <c r="I204" i="9"/>
  <c r="I203" i="9"/>
  <c r="G202" i="9"/>
  <c r="I202" i="9" s="1"/>
  <c r="I201" i="9"/>
  <c r="G200" i="9"/>
  <c r="I200" i="9" s="1"/>
  <c r="I199" i="9"/>
  <c r="I198" i="9"/>
  <c r="I197" i="9"/>
  <c r="I196" i="9"/>
  <c r="I195"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98" i="9"/>
  <c r="I12" i="17"/>
  <c r="K12" i="17"/>
  <c r="I217" i="9" l="1"/>
  <c r="L24" i="17"/>
  <c r="F15" i="17" l="1"/>
  <c r="J13" i="17"/>
  <c r="M13" i="17"/>
  <c r="M12" i="17"/>
  <c r="I99" i="9" l="1"/>
  <c r="I100" i="9"/>
  <c r="I101" i="9"/>
  <c r="I102" i="9"/>
  <c r="I103" i="9"/>
  <c r="I104" i="9"/>
  <c r="I105" i="9"/>
  <c r="I106" i="9"/>
  <c r="I107" i="9"/>
  <c r="I109" i="9"/>
  <c r="I110" i="9"/>
  <c r="I111" i="9"/>
  <c r="I112" i="9"/>
  <c r="I113" i="9"/>
  <c r="I114" i="9"/>
  <c r="I115" i="9"/>
  <c r="I116" i="9"/>
  <c r="I117" i="9"/>
  <c r="I118" i="9"/>
  <c r="I119" i="9"/>
  <c r="I121" i="9"/>
  <c r="I122" i="9"/>
  <c r="I126" i="9"/>
  <c r="I127" i="9"/>
  <c r="I129" i="9"/>
  <c r="I131" i="9"/>
  <c r="I132" i="9"/>
  <c r="I133" i="9"/>
  <c r="I134" i="9"/>
  <c r="I135" i="9"/>
  <c r="I136" i="9"/>
  <c r="I137" i="9"/>
  <c r="I138" i="9"/>
  <c r="I140" i="9"/>
  <c r="I141" i="9"/>
  <c r="I142" i="9"/>
  <c r="I143" i="9"/>
  <c r="I145" i="9"/>
  <c r="I146" i="9"/>
  <c r="I147" i="9"/>
  <c r="I148" i="9"/>
  <c r="I149" i="9"/>
  <c r="I150" i="9"/>
  <c r="I151" i="9"/>
  <c r="I152" i="9"/>
  <c r="I153" i="9"/>
  <c r="I154" i="9"/>
  <c r="I155" i="9"/>
  <c r="I157" i="9"/>
  <c r="I158" i="9"/>
  <c r="I159" i="9"/>
  <c r="I160" i="9"/>
  <c r="I161" i="9"/>
  <c r="I164" i="9"/>
  <c r="I165" i="9"/>
  <c r="I166" i="9"/>
  <c r="F163" i="9"/>
  <c r="I163" i="9" s="1"/>
  <c r="F162" i="9"/>
  <c r="I162" i="9" s="1"/>
  <c r="F156" i="9"/>
  <c r="I156" i="9" s="1"/>
  <c r="F144" i="9"/>
  <c r="I144" i="9" s="1"/>
  <c r="F139" i="9"/>
  <c r="I139" i="9" s="1"/>
  <c r="F130" i="9"/>
  <c r="I130" i="9" s="1"/>
  <c r="F128" i="9"/>
  <c r="I128" i="9" s="1"/>
  <c r="F125" i="9"/>
  <c r="I125" i="9" s="1"/>
  <c r="F124" i="9"/>
  <c r="I124" i="9" s="1"/>
  <c r="F123" i="9"/>
  <c r="I123" i="9" s="1"/>
  <c r="F120" i="9"/>
  <c r="I120" i="9" s="1"/>
  <c r="F108" i="9"/>
  <c r="I108" i="9" s="1"/>
  <c r="D191" i="9" l="1"/>
  <c r="I191" i="9" s="1"/>
  <c r="D190" i="9"/>
  <c r="I190" i="9" s="1"/>
  <c r="G189" i="9"/>
  <c r="I189" i="9" s="1"/>
  <c r="D188" i="9"/>
  <c r="I188" i="9" s="1"/>
  <c r="D187" i="9"/>
  <c r="I187" i="9" s="1"/>
  <c r="D186" i="9"/>
  <c r="I186" i="9" s="1"/>
  <c r="G185" i="9"/>
  <c r="I185" i="9" s="1"/>
  <c r="D184" i="9"/>
  <c r="I184" i="9" s="1"/>
  <c r="I183" i="9"/>
  <c r="D182" i="9"/>
  <c r="I182" i="9" s="1"/>
  <c r="I181" i="9"/>
  <c r="I180" i="9"/>
  <c r="D179" i="9"/>
  <c r="I179" i="9" s="1"/>
  <c r="D178" i="9"/>
  <c r="I178" i="9" s="1"/>
  <c r="G177" i="9"/>
  <c r="I177" i="9" s="1"/>
  <c r="D176" i="9"/>
  <c r="I176" i="9" s="1"/>
  <c r="G175" i="9"/>
  <c r="I175" i="9" s="1"/>
  <c r="D174" i="9"/>
  <c r="I174" i="9" s="1"/>
  <c r="I173" i="9"/>
  <c r="D172" i="9"/>
  <c r="I172" i="9" s="1"/>
  <c r="I171" i="9"/>
  <c r="I170" i="9"/>
  <c r="I98" i="9"/>
  <c r="I193" i="9" l="1"/>
  <c r="F14" i="17" s="1"/>
  <c r="I168" i="9"/>
  <c r="I85" i="10"/>
  <c r="I219" i="9" l="1"/>
  <c r="F12" i="17"/>
  <c r="K20" i="15"/>
  <c r="K17" i="15"/>
  <c r="G39" i="7"/>
  <c r="I368" i="22" l="1"/>
  <c r="H368" i="22"/>
  <c r="J368" i="22"/>
  <c r="G368" i="22"/>
  <c r="I1614" i="12" l="1"/>
  <c r="I1609" i="12"/>
  <c r="I1605" i="12"/>
  <c r="I1600" i="12"/>
  <c r="I1596" i="12"/>
  <c r="I1591" i="12"/>
  <c r="I1586" i="12"/>
  <c r="E1609" i="12" l="1"/>
  <c r="U1615" i="12"/>
  <c r="T1615" i="12"/>
  <c r="S1615" i="12"/>
  <c r="R1615" i="12"/>
  <c r="Q1615" i="12"/>
  <c r="P1615" i="12"/>
  <c r="U1614" i="12"/>
  <c r="T1614" i="12"/>
  <c r="S1614" i="12"/>
  <c r="R1614" i="12"/>
  <c r="Q1614" i="12"/>
  <c r="M1614" i="12"/>
  <c r="D1614" i="12"/>
  <c r="J1614" i="12" s="1"/>
  <c r="U1613" i="12"/>
  <c r="T1613" i="12"/>
  <c r="S1613" i="12"/>
  <c r="R1613" i="12"/>
  <c r="Q1613" i="12"/>
  <c r="P1613" i="12"/>
  <c r="U1612" i="12"/>
  <c r="T1612" i="12"/>
  <c r="S1612" i="12"/>
  <c r="R1612" i="12"/>
  <c r="Q1612" i="12"/>
  <c r="P1612" i="12"/>
  <c r="U1611" i="12"/>
  <c r="T1611" i="12"/>
  <c r="S1611" i="12"/>
  <c r="R1611" i="12"/>
  <c r="Q1611" i="12"/>
  <c r="P1611" i="12"/>
  <c r="D1611" i="12"/>
  <c r="U1610" i="12"/>
  <c r="T1610" i="12"/>
  <c r="S1610" i="12"/>
  <c r="R1610" i="12"/>
  <c r="Q1610" i="12"/>
  <c r="P1610" i="12"/>
  <c r="U1609" i="12"/>
  <c r="T1609" i="12"/>
  <c r="S1609" i="12"/>
  <c r="R1609" i="12"/>
  <c r="Q1609" i="12"/>
  <c r="M1609" i="12"/>
  <c r="U1608" i="12"/>
  <c r="T1608" i="12"/>
  <c r="S1608" i="12"/>
  <c r="R1608" i="12"/>
  <c r="Q1608" i="12"/>
  <c r="P1608" i="12"/>
  <c r="U1607" i="12"/>
  <c r="T1607" i="12"/>
  <c r="S1607" i="12"/>
  <c r="R1607" i="12"/>
  <c r="Q1607" i="12"/>
  <c r="P1607" i="12"/>
  <c r="U1606" i="12"/>
  <c r="T1606" i="12"/>
  <c r="S1606" i="12"/>
  <c r="R1606" i="12"/>
  <c r="Q1606" i="12"/>
  <c r="P1606" i="12"/>
  <c r="U1605" i="12"/>
  <c r="T1605" i="12"/>
  <c r="S1605" i="12"/>
  <c r="R1605" i="12"/>
  <c r="Q1605" i="12"/>
  <c r="M1605" i="12"/>
  <c r="D1605" i="12"/>
  <c r="J1605" i="12" s="1"/>
  <c r="N1605" i="12" s="1"/>
  <c r="O1605" i="12" s="1"/>
  <c r="P1605" i="12" s="1"/>
  <c r="U1604" i="12"/>
  <c r="T1604" i="12"/>
  <c r="S1604" i="12"/>
  <c r="R1604" i="12"/>
  <c r="Q1604" i="12"/>
  <c r="P1604" i="12"/>
  <c r="U1603" i="12"/>
  <c r="T1603" i="12"/>
  <c r="S1603" i="12"/>
  <c r="R1603" i="12"/>
  <c r="Q1603" i="12"/>
  <c r="P1603" i="12"/>
  <c r="U1602" i="12"/>
  <c r="T1602" i="12"/>
  <c r="S1602" i="12"/>
  <c r="R1602" i="12"/>
  <c r="Q1602" i="12"/>
  <c r="P1602" i="12"/>
  <c r="D1602" i="12"/>
  <c r="U1601" i="12"/>
  <c r="T1601" i="12"/>
  <c r="S1601" i="12"/>
  <c r="R1601" i="12"/>
  <c r="Q1601" i="12"/>
  <c r="P1601" i="12"/>
  <c r="U1600" i="12"/>
  <c r="T1600" i="12"/>
  <c r="S1600" i="12"/>
  <c r="R1600" i="12"/>
  <c r="Q1600" i="12"/>
  <c r="M1600" i="12"/>
  <c r="E1600" i="12"/>
  <c r="U1599" i="12"/>
  <c r="T1599" i="12"/>
  <c r="S1599" i="12"/>
  <c r="R1599" i="12"/>
  <c r="Q1599" i="12"/>
  <c r="P1599" i="12"/>
  <c r="U1598" i="12"/>
  <c r="T1598" i="12"/>
  <c r="S1598" i="12"/>
  <c r="R1598" i="12"/>
  <c r="Q1598" i="12"/>
  <c r="P1598" i="12"/>
  <c r="U1597" i="12"/>
  <c r="T1597" i="12"/>
  <c r="S1597" i="12"/>
  <c r="R1597" i="12"/>
  <c r="Q1597" i="12"/>
  <c r="P1597" i="12"/>
  <c r="U1596" i="12"/>
  <c r="T1596" i="12"/>
  <c r="S1596" i="12"/>
  <c r="R1596" i="12"/>
  <c r="Q1596" i="12"/>
  <c r="M1596" i="12"/>
  <c r="D1596" i="12"/>
  <c r="J1596" i="12" s="1"/>
  <c r="U1595" i="12"/>
  <c r="T1595" i="12"/>
  <c r="S1595" i="12"/>
  <c r="R1595" i="12"/>
  <c r="Q1595" i="12"/>
  <c r="P1595" i="12"/>
  <c r="U1594" i="12"/>
  <c r="T1594" i="12"/>
  <c r="S1594" i="12"/>
  <c r="R1594" i="12"/>
  <c r="Q1594" i="12"/>
  <c r="P1594" i="12"/>
  <c r="U1593" i="12"/>
  <c r="T1593" i="12"/>
  <c r="S1593" i="12"/>
  <c r="R1593" i="12"/>
  <c r="Q1593" i="12"/>
  <c r="P1593" i="12"/>
  <c r="D1593" i="12"/>
  <c r="U1592" i="12"/>
  <c r="T1592" i="12"/>
  <c r="S1592" i="12"/>
  <c r="R1592" i="12"/>
  <c r="Q1592" i="12"/>
  <c r="P1592" i="12"/>
  <c r="U1591" i="12"/>
  <c r="T1591" i="12"/>
  <c r="S1591" i="12"/>
  <c r="R1591" i="12"/>
  <c r="Q1591" i="12"/>
  <c r="M1591" i="12"/>
  <c r="E1591" i="12"/>
  <c r="U1590" i="12"/>
  <c r="T1590" i="12"/>
  <c r="S1590" i="12"/>
  <c r="R1590" i="12"/>
  <c r="Q1590" i="12"/>
  <c r="P1590" i="12"/>
  <c r="U1589" i="12"/>
  <c r="T1589" i="12"/>
  <c r="S1589" i="12"/>
  <c r="R1589" i="12"/>
  <c r="Q1589" i="12"/>
  <c r="P1589" i="12"/>
  <c r="U1588" i="12"/>
  <c r="T1588" i="12"/>
  <c r="S1588" i="12"/>
  <c r="R1588" i="12"/>
  <c r="Q1588" i="12"/>
  <c r="P1588" i="12"/>
  <c r="D1588" i="12"/>
  <c r="U1587" i="12"/>
  <c r="T1587" i="12"/>
  <c r="S1587" i="12"/>
  <c r="R1587" i="12"/>
  <c r="Q1587" i="12"/>
  <c r="P1587" i="12"/>
  <c r="U1586" i="12"/>
  <c r="T1586" i="12"/>
  <c r="S1586" i="12"/>
  <c r="R1586" i="12"/>
  <c r="Q1586" i="12"/>
  <c r="M1586" i="12"/>
  <c r="E1586" i="12"/>
  <c r="U1585" i="12"/>
  <c r="T1585" i="12"/>
  <c r="S1585" i="12"/>
  <c r="R1585" i="12"/>
  <c r="Q1585" i="12"/>
  <c r="P1585" i="12"/>
  <c r="U1584" i="12"/>
  <c r="T1584" i="12"/>
  <c r="S1584" i="12"/>
  <c r="R1584" i="12"/>
  <c r="Q1584" i="12"/>
  <c r="P1584" i="12"/>
  <c r="I1651" i="12"/>
  <c r="Q1652" i="12"/>
  <c r="P1652" i="12"/>
  <c r="Q1651" i="12"/>
  <c r="M1651" i="12"/>
  <c r="J1651" i="12"/>
  <c r="I579" i="12"/>
  <c r="I1644" i="12"/>
  <c r="I1649" i="12"/>
  <c r="Q1646" i="12"/>
  <c r="Q1647" i="12"/>
  <c r="Q1648" i="12"/>
  <c r="Q1650" i="12"/>
  <c r="Q1653" i="12"/>
  <c r="P1650" i="12"/>
  <c r="P1648" i="12"/>
  <c r="P1647" i="12"/>
  <c r="M1649" i="12"/>
  <c r="J1649" i="12"/>
  <c r="I1679" i="12"/>
  <c r="I1674" i="12"/>
  <c r="I1669" i="12"/>
  <c r="I1664" i="12"/>
  <c r="E1674" i="12"/>
  <c r="E1669" i="12"/>
  <c r="E1664" i="12"/>
  <c r="U1680" i="12"/>
  <c r="T1680" i="12"/>
  <c r="S1680" i="12"/>
  <c r="R1680" i="12"/>
  <c r="Q1680" i="12"/>
  <c r="P1680" i="12"/>
  <c r="U1679" i="12"/>
  <c r="T1679" i="12"/>
  <c r="S1679" i="12"/>
  <c r="R1679" i="12"/>
  <c r="Q1679" i="12"/>
  <c r="M1679" i="12"/>
  <c r="D1679" i="12"/>
  <c r="J1679" i="12" s="1"/>
  <c r="U1678" i="12"/>
  <c r="T1678" i="12"/>
  <c r="S1678" i="12"/>
  <c r="R1678" i="12"/>
  <c r="Q1678" i="12"/>
  <c r="P1678" i="12"/>
  <c r="U1677" i="12"/>
  <c r="T1677" i="12"/>
  <c r="S1677" i="12"/>
  <c r="R1677" i="12"/>
  <c r="Q1677" i="12"/>
  <c r="P1677" i="12"/>
  <c r="U1676" i="12"/>
  <c r="T1676" i="12"/>
  <c r="S1676" i="12"/>
  <c r="R1676" i="12"/>
  <c r="Q1676" i="12"/>
  <c r="P1676" i="12"/>
  <c r="D1676" i="12"/>
  <c r="U1675" i="12"/>
  <c r="T1675" i="12"/>
  <c r="S1675" i="12"/>
  <c r="R1675" i="12"/>
  <c r="Q1675" i="12"/>
  <c r="P1675" i="12"/>
  <c r="U1674" i="12"/>
  <c r="T1674" i="12"/>
  <c r="S1674" i="12"/>
  <c r="R1674" i="12"/>
  <c r="Q1674" i="12"/>
  <c r="M1674" i="12"/>
  <c r="U1673" i="12"/>
  <c r="T1673" i="12"/>
  <c r="S1673" i="12"/>
  <c r="R1673" i="12"/>
  <c r="Q1673" i="12"/>
  <c r="P1673" i="12"/>
  <c r="U1671" i="12"/>
  <c r="T1671" i="12"/>
  <c r="S1671" i="12"/>
  <c r="R1671" i="12"/>
  <c r="Q1671" i="12"/>
  <c r="P1671" i="12"/>
  <c r="D1671" i="12"/>
  <c r="U1670" i="12"/>
  <c r="T1670" i="12"/>
  <c r="S1670" i="12"/>
  <c r="R1670" i="12"/>
  <c r="Q1670" i="12"/>
  <c r="P1670" i="12"/>
  <c r="U1669" i="12"/>
  <c r="T1669" i="12"/>
  <c r="S1669" i="12"/>
  <c r="R1669" i="12"/>
  <c r="Q1669" i="12"/>
  <c r="M1669" i="12"/>
  <c r="U1668" i="12"/>
  <c r="T1668" i="12"/>
  <c r="S1668" i="12"/>
  <c r="R1668" i="12"/>
  <c r="Q1668" i="12"/>
  <c r="P1668" i="12"/>
  <c r="U1666" i="12"/>
  <c r="T1666" i="12"/>
  <c r="S1666" i="12"/>
  <c r="R1666" i="12"/>
  <c r="Q1666" i="12"/>
  <c r="P1666" i="12"/>
  <c r="D1666" i="12"/>
  <c r="J1664" i="12" s="1"/>
  <c r="U1665" i="12"/>
  <c r="T1665" i="12"/>
  <c r="S1665" i="12"/>
  <c r="R1665" i="12"/>
  <c r="Q1665" i="12"/>
  <c r="P1665" i="12"/>
  <c r="U1664" i="12"/>
  <c r="T1664" i="12"/>
  <c r="S1664" i="12"/>
  <c r="R1664" i="12"/>
  <c r="Q1664" i="12"/>
  <c r="M1664" i="12"/>
  <c r="U1663" i="12"/>
  <c r="T1663" i="12"/>
  <c r="S1663" i="12"/>
  <c r="R1663" i="12"/>
  <c r="Q1663" i="12"/>
  <c r="P1663" i="12"/>
  <c r="I1634" i="12"/>
  <c r="E1565" i="12"/>
  <c r="E1629" i="12"/>
  <c r="E1634" i="12"/>
  <c r="E1624" i="12"/>
  <c r="U1640" i="12"/>
  <c r="T1640" i="12"/>
  <c r="S1640" i="12"/>
  <c r="R1640" i="12"/>
  <c r="Q1640" i="12"/>
  <c r="P1640" i="12"/>
  <c r="U1639" i="12"/>
  <c r="T1639" i="12"/>
  <c r="S1639" i="12"/>
  <c r="R1639" i="12"/>
  <c r="Q1639" i="12"/>
  <c r="M1639" i="12"/>
  <c r="I1639" i="12"/>
  <c r="D1639" i="12"/>
  <c r="J1639" i="12" s="1"/>
  <c r="U1638" i="12"/>
  <c r="T1638" i="12"/>
  <c r="S1638" i="12"/>
  <c r="R1638" i="12"/>
  <c r="Q1638" i="12"/>
  <c r="P1638" i="12"/>
  <c r="U1637" i="12"/>
  <c r="T1637" i="12"/>
  <c r="S1637" i="12"/>
  <c r="R1637" i="12"/>
  <c r="Q1637" i="12"/>
  <c r="P1637" i="12"/>
  <c r="U1636" i="12"/>
  <c r="T1636" i="12"/>
  <c r="S1636" i="12"/>
  <c r="R1636" i="12"/>
  <c r="Q1636" i="12"/>
  <c r="P1636" i="12"/>
  <c r="D1636" i="12"/>
  <c r="U1635" i="12"/>
  <c r="T1635" i="12"/>
  <c r="S1635" i="12"/>
  <c r="R1635" i="12"/>
  <c r="Q1635" i="12"/>
  <c r="P1635" i="12"/>
  <c r="U1634" i="12"/>
  <c r="T1634" i="12"/>
  <c r="S1634" i="12"/>
  <c r="R1634" i="12"/>
  <c r="Q1634" i="12"/>
  <c r="M1634" i="12"/>
  <c r="U1633" i="12"/>
  <c r="T1633" i="12"/>
  <c r="S1633" i="12"/>
  <c r="R1633" i="12"/>
  <c r="Q1633" i="12"/>
  <c r="P1633" i="12"/>
  <c r="U1631" i="12"/>
  <c r="T1631" i="12"/>
  <c r="S1631" i="12"/>
  <c r="R1631" i="12"/>
  <c r="Q1631" i="12"/>
  <c r="P1631" i="12"/>
  <c r="D1631" i="12"/>
  <c r="U1630" i="12"/>
  <c r="T1630" i="12"/>
  <c r="S1630" i="12"/>
  <c r="R1630" i="12"/>
  <c r="Q1630" i="12"/>
  <c r="P1630" i="12"/>
  <c r="U1629" i="12"/>
  <c r="T1629" i="12"/>
  <c r="S1629" i="12"/>
  <c r="R1629" i="12"/>
  <c r="Q1629" i="12"/>
  <c r="M1629" i="12"/>
  <c r="I1629" i="12"/>
  <c r="U1628" i="12"/>
  <c r="T1628" i="12"/>
  <c r="S1628" i="12"/>
  <c r="R1628" i="12"/>
  <c r="Q1628" i="12"/>
  <c r="P1628" i="12"/>
  <c r="U1626" i="12"/>
  <c r="T1626" i="12"/>
  <c r="S1626" i="12"/>
  <c r="R1626" i="12"/>
  <c r="Q1626" i="12"/>
  <c r="P1626" i="12"/>
  <c r="D1626" i="12"/>
  <c r="U1625" i="12"/>
  <c r="T1625" i="12"/>
  <c r="S1625" i="12"/>
  <c r="R1625" i="12"/>
  <c r="Q1625" i="12"/>
  <c r="P1625" i="12"/>
  <c r="U1624" i="12"/>
  <c r="T1624" i="12"/>
  <c r="S1624" i="12"/>
  <c r="R1624" i="12"/>
  <c r="Q1624" i="12"/>
  <c r="M1624" i="12"/>
  <c r="I1624" i="12"/>
  <c r="U1623" i="12"/>
  <c r="T1623" i="12"/>
  <c r="S1623" i="12"/>
  <c r="R1623" i="12"/>
  <c r="Q1623" i="12"/>
  <c r="P1623" i="12"/>
  <c r="I1570" i="12"/>
  <c r="E1570" i="12"/>
  <c r="E1560" i="12"/>
  <c r="U1576" i="12"/>
  <c r="T1576" i="12"/>
  <c r="S1576" i="12"/>
  <c r="R1576" i="12"/>
  <c r="Q1576" i="12"/>
  <c r="P1576" i="12"/>
  <c r="U1575" i="12"/>
  <c r="T1575" i="12"/>
  <c r="S1575" i="12"/>
  <c r="R1575" i="12"/>
  <c r="Q1575" i="12"/>
  <c r="M1575" i="12"/>
  <c r="I1575" i="12"/>
  <c r="D1575" i="12"/>
  <c r="J1575" i="12" s="1"/>
  <c r="U1574" i="12"/>
  <c r="T1574" i="12"/>
  <c r="S1574" i="12"/>
  <c r="R1574" i="12"/>
  <c r="Q1574" i="12"/>
  <c r="P1574" i="12"/>
  <c r="U1573" i="12"/>
  <c r="T1573" i="12"/>
  <c r="S1573" i="12"/>
  <c r="R1573" i="12"/>
  <c r="Q1573" i="12"/>
  <c r="P1573" i="12"/>
  <c r="U1572" i="12"/>
  <c r="T1572" i="12"/>
  <c r="S1572" i="12"/>
  <c r="R1572" i="12"/>
  <c r="Q1572" i="12"/>
  <c r="P1572" i="12"/>
  <c r="D1572" i="12"/>
  <c r="U1571" i="12"/>
  <c r="T1571" i="12"/>
  <c r="S1571" i="12"/>
  <c r="R1571" i="12"/>
  <c r="Q1571" i="12"/>
  <c r="P1571" i="12"/>
  <c r="U1570" i="12"/>
  <c r="T1570" i="12"/>
  <c r="S1570" i="12"/>
  <c r="R1570" i="12"/>
  <c r="Q1570" i="12"/>
  <c r="M1570" i="12"/>
  <c r="U1569" i="12"/>
  <c r="T1569" i="12"/>
  <c r="S1569" i="12"/>
  <c r="R1569" i="12"/>
  <c r="Q1569" i="12"/>
  <c r="P1569" i="12"/>
  <c r="U1567" i="12"/>
  <c r="T1567" i="12"/>
  <c r="S1567" i="12"/>
  <c r="R1567" i="12"/>
  <c r="Q1567" i="12"/>
  <c r="P1567" i="12"/>
  <c r="D1567" i="12"/>
  <c r="U1566" i="12"/>
  <c r="T1566" i="12"/>
  <c r="S1566" i="12"/>
  <c r="R1566" i="12"/>
  <c r="Q1566" i="12"/>
  <c r="P1566" i="12"/>
  <c r="U1565" i="12"/>
  <c r="T1565" i="12"/>
  <c r="S1565" i="12"/>
  <c r="R1565" i="12"/>
  <c r="Q1565" i="12"/>
  <c r="M1565" i="12"/>
  <c r="I1565" i="12"/>
  <c r="U1564" i="12"/>
  <c r="T1564" i="12"/>
  <c r="S1564" i="12"/>
  <c r="R1564" i="12"/>
  <c r="Q1564" i="12"/>
  <c r="P1564" i="12"/>
  <c r="U1562" i="12"/>
  <c r="T1562" i="12"/>
  <c r="S1562" i="12"/>
  <c r="R1562" i="12"/>
  <c r="Q1562" i="12"/>
  <c r="P1562" i="12"/>
  <c r="D1562" i="12"/>
  <c r="U1561" i="12"/>
  <c r="T1561" i="12"/>
  <c r="S1561" i="12"/>
  <c r="R1561" i="12"/>
  <c r="Q1561" i="12"/>
  <c r="P1561" i="12"/>
  <c r="U1560" i="12"/>
  <c r="T1560" i="12"/>
  <c r="S1560" i="12"/>
  <c r="R1560" i="12"/>
  <c r="Q1560" i="12"/>
  <c r="M1560" i="12"/>
  <c r="I1560" i="12"/>
  <c r="U1559" i="12"/>
  <c r="T1559" i="12"/>
  <c r="S1559" i="12"/>
  <c r="R1559" i="12"/>
  <c r="Q1559" i="12"/>
  <c r="P1559" i="12"/>
  <c r="I1548" i="12"/>
  <c r="U1549" i="12"/>
  <c r="T1549" i="12"/>
  <c r="S1549" i="12"/>
  <c r="R1549" i="12"/>
  <c r="Q1549" i="12"/>
  <c r="P1549" i="12"/>
  <c r="U1548" i="12"/>
  <c r="T1548" i="12"/>
  <c r="S1548" i="12"/>
  <c r="R1548" i="12"/>
  <c r="Q1548" i="12"/>
  <c r="M1548" i="12"/>
  <c r="D1548" i="12"/>
  <c r="J1548" i="12" s="1"/>
  <c r="U1547" i="12"/>
  <c r="T1547" i="12"/>
  <c r="S1547" i="12"/>
  <c r="R1547" i="12"/>
  <c r="Q1547" i="12"/>
  <c r="P1547" i="12"/>
  <c r="U1546" i="12"/>
  <c r="T1546" i="12"/>
  <c r="S1546" i="12"/>
  <c r="R1546" i="12"/>
  <c r="Q1546" i="12"/>
  <c r="P1546" i="12"/>
  <c r="I1544" i="12"/>
  <c r="I1539" i="12"/>
  <c r="E1539" i="12"/>
  <c r="I1534" i="12"/>
  <c r="E1534" i="12"/>
  <c r="I1529" i="12"/>
  <c r="E1529" i="12"/>
  <c r="N1664" i="12" l="1"/>
  <c r="N1596" i="12"/>
  <c r="O1596" i="12" s="1"/>
  <c r="P1596" i="12" s="1"/>
  <c r="J1669" i="12"/>
  <c r="N1669" i="12" s="1"/>
  <c r="J1674" i="12"/>
  <c r="N1674" i="12" s="1"/>
  <c r="J1586" i="12"/>
  <c r="J1565" i="12"/>
  <c r="N1679" i="12"/>
  <c r="J1591" i="12"/>
  <c r="N1591" i="12" s="1"/>
  <c r="O1591" i="12" s="1"/>
  <c r="P1591" i="12" s="1"/>
  <c r="N1548" i="12"/>
  <c r="O1548" i="12" s="1"/>
  <c r="P1548" i="12" s="1"/>
  <c r="N1586" i="12"/>
  <c r="O1586" i="12" s="1"/>
  <c r="P1586" i="12" s="1"/>
  <c r="J1600" i="12"/>
  <c r="N1600" i="12" s="1"/>
  <c r="O1600" i="12" s="1"/>
  <c r="P1600" i="12" s="1"/>
  <c r="N1614" i="12"/>
  <c r="O1614" i="12" s="1"/>
  <c r="P1614" i="12" s="1"/>
  <c r="J1609" i="12"/>
  <c r="N1609" i="12" s="1"/>
  <c r="O1609" i="12" s="1"/>
  <c r="P1609" i="12" s="1"/>
  <c r="N1651" i="12"/>
  <c r="K1651" i="12" s="1"/>
  <c r="J1570" i="12"/>
  <c r="N1570" i="12" s="1"/>
  <c r="O1570" i="12" s="1"/>
  <c r="P1570" i="12" s="1"/>
  <c r="J1634" i="12"/>
  <c r="N1634" i="12" s="1"/>
  <c r="O1634" i="12" s="1"/>
  <c r="P1634" i="12" s="1"/>
  <c r="N1565" i="12"/>
  <c r="O1565" i="12" s="1"/>
  <c r="P1565" i="12" s="1"/>
  <c r="O1651" i="12"/>
  <c r="P1651" i="12" s="1"/>
  <c r="N1649" i="12"/>
  <c r="K1649" i="12" s="1"/>
  <c r="J1624" i="12"/>
  <c r="N1624" i="12" s="1"/>
  <c r="J1629" i="12"/>
  <c r="N1629" i="12" s="1"/>
  <c r="O1629" i="12" s="1"/>
  <c r="P1629" i="12" s="1"/>
  <c r="O1674" i="12"/>
  <c r="P1674" i="12" s="1"/>
  <c r="O1669" i="12"/>
  <c r="P1669" i="12" s="1"/>
  <c r="O1664" i="12"/>
  <c r="P1664" i="12" s="1"/>
  <c r="O1679" i="12"/>
  <c r="P1679" i="12" s="1"/>
  <c r="J1560" i="12"/>
  <c r="N1560" i="12" s="1"/>
  <c r="O1560" i="12" s="1"/>
  <c r="P1560" i="12" s="1"/>
  <c r="N1639" i="12"/>
  <c r="O1639" i="12" s="1"/>
  <c r="P1639" i="12" s="1"/>
  <c r="O1624" i="12"/>
  <c r="P1624" i="12" s="1"/>
  <c r="N1575" i="12"/>
  <c r="O1575" i="12" s="1"/>
  <c r="P1575" i="12" s="1"/>
  <c r="K19" i="15"/>
  <c r="K15" i="15"/>
  <c r="H1599" i="11"/>
  <c r="S1599" i="11" s="1"/>
  <c r="L257" i="22"/>
  <c r="L256" i="22"/>
  <c r="M256" i="22" s="1"/>
  <c r="L240" i="22"/>
  <c r="M240" i="22" s="1"/>
  <c r="L241" i="22"/>
  <c r="M241" i="22" s="1"/>
  <c r="L242" i="22"/>
  <c r="M242" i="22" s="1"/>
  <c r="L243" i="22"/>
  <c r="M243" i="22" s="1"/>
  <c r="L244" i="22"/>
  <c r="M244" i="22" s="1"/>
  <c r="L245" i="22"/>
  <c r="M245" i="22" s="1"/>
  <c r="L246" i="22"/>
  <c r="M246" i="22" s="1"/>
  <c r="L247" i="22"/>
  <c r="M247" i="22" s="1"/>
  <c r="L248" i="22"/>
  <c r="M248" i="22" s="1"/>
  <c r="L249" i="22"/>
  <c r="M249" i="22" s="1"/>
  <c r="L250" i="22"/>
  <c r="M250" i="22" s="1"/>
  <c r="L251" i="22"/>
  <c r="M251" i="22" s="1"/>
  <c r="L252" i="22"/>
  <c r="M252" i="22" s="1"/>
  <c r="L253" i="22"/>
  <c r="M253" i="22" s="1"/>
  <c r="L239" i="22"/>
  <c r="M239" i="22" s="1"/>
  <c r="V1603" i="11"/>
  <c r="U1603" i="11"/>
  <c r="T1603" i="11"/>
  <c r="S1603" i="11"/>
  <c r="R1603" i="11"/>
  <c r="Q1603" i="11"/>
  <c r="V1599" i="11"/>
  <c r="U1599" i="11"/>
  <c r="V1598" i="11"/>
  <c r="U1598" i="11"/>
  <c r="T1598" i="11"/>
  <c r="S1598" i="11"/>
  <c r="R1598" i="11"/>
  <c r="Q1598" i="11"/>
  <c r="F27" i="14"/>
  <c r="D11" i="15" s="1"/>
  <c r="M257" i="22" l="1"/>
  <c r="N257" i="22" s="1"/>
  <c r="N1599" i="11"/>
  <c r="O1599" i="11" s="1"/>
  <c r="R1599" i="11"/>
  <c r="R1605" i="11" s="1"/>
  <c r="R1607" i="11" s="1"/>
  <c r="H24" i="14" s="1"/>
  <c r="O1649" i="12"/>
  <c r="P1649" i="12" s="1"/>
  <c r="Q1649" i="12"/>
  <c r="V1605" i="11"/>
  <c r="V1607" i="11" s="1"/>
  <c r="L24" i="14" s="1"/>
  <c r="S1605" i="11"/>
  <c r="S1607" i="11" s="1"/>
  <c r="I24" i="14" s="1"/>
  <c r="P1599" i="11"/>
  <c r="U1605" i="11"/>
  <c r="U1607" i="11" s="1"/>
  <c r="K24" i="14" s="1"/>
  <c r="L255" i="22"/>
  <c r="L254" i="22"/>
  <c r="N239" i="22"/>
  <c r="N240" i="22"/>
  <c r="N241" i="22"/>
  <c r="N242" i="22"/>
  <c r="N243" i="22"/>
  <c r="N244" i="22"/>
  <c r="N245" i="22"/>
  <c r="N247" i="22"/>
  <c r="N248" i="22"/>
  <c r="N249" i="22"/>
  <c r="N250" i="22"/>
  <c r="N251" i="22"/>
  <c r="N252" i="22"/>
  <c r="N253" i="22"/>
  <c r="N256" i="22"/>
  <c r="N246" i="22"/>
  <c r="M254" i="22" l="1"/>
  <c r="N254" i="22" s="1"/>
  <c r="M255" i="22"/>
  <c r="N255" i="22" s="1"/>
  <c r="T1599" i="11"/>
  <c r="T1605" i="11" s="1"/>
  <c r="T1607" i="11" s="1"/>
  <c r="J24" i="14" s="1"/>
  <c r="Q1599" i="11"/>
  <c r="Q1605" i="11" s="1"/>
  <c r="Q1607" i="11" s="1"/>
  <c r="I30" i="17"/>
  <c r="M30" i="17"/>
  <c r="I11" i="17"/>
  <c r="K11" i="17"/>
  <c r="I10" i="17"/>
  <c r="K10" i="17"/>
  <c r="M10" i="17"/>
  <c r="G24" i="14" l="1"/>
  <c r="W1607" i="11"/>
  <c r="D91" i="9" l="1"/>
  <c r="V1589" i="11" l="1"/>
  <c r="U1589" i="11"/>
  <c r="T1589" i="11"/>
  <c r="S1589" i="11"/>
  <c r="R1589" i="11"/>
  <c r="Q1589" i="11"/>
  <c r="V1588" i="11"/>
  <c r="U1588" i="11"/>
  <c r="S1588" i="11"/>
  <c r="R1588" i="11"/>
  <c r="Q1588" i="11"/>
  <c r="N1588" i="11"/>
  <c r="O1588" i="11" s="1"/>
  <c r="L1588" i="11"/>
  <c r="K1588" i="11"/>
  <c r="J1588" i="11"/>
  <c r="V1587" i="11"/>
  <c r="U1587" i="11"/>
  <c r="T1587" i="11"/>
  <c r="S1587" i="11"/>
  <c r="R1587" i="11"/>
  <c r="Q1587" i="11"/>
  <c r="V1586" i="11"/>
  <c r="U1586" i="11"/>
  <c r="T1586" i="11"/>
  <c r="S1586" i="11"/>
  <c r="R1586" i="11"/>
  <c r="Q1586" i="11"/>
  <c r="V1585" i="11"/>
  <c r="U1585" i="11"/>
  <c r="S1585" i="11"/>
  <c r="R1585" i="11"/>
  <c r="Q1585" i="11"/>
  <c r="N1585" i="11"/>
  <c r="O1585" i="11" s="1"/>
  <c r="K1585" i="11"/>
  <c r="J1585" i="11"/>
  <c r="V1584" i="11"/>
  <c r="U1584" i="11"/>
  <c r="T1584" i="11"/>
  <c r="S1584" i="11"/>
  <c r="R1584" i="11"/>
  <c r="Q1584" i="11"/>
  <c r="L1582" i="11"/>
  <c r="K1579" i="11"/>
  <c r="J1582" i="11"/>
  <c r="J1579" i="11"/>
  <c r="V1583" i="11"/>
  <c r="U1583" i="11"/>
  <c r="T1583" i="11"/>
  <c r="S1583" i="11"/>
  <c r="R1583" i="11"/>
  <c r="Q1583" i="11"/>
  <c r="V1582" i="11"/>
  <c r="U1582" i="11"/>
  <c r="S1582" i="11"/>
  <c r="R1582" i="11"/>
  <c r="Q1582" i="11"/>
  <c r="N1582" i="11"/>
  <c r="O1582" i="11" s="1"/>
  <c r="K1582" i="11"/>
  <c r="V1581" i="11"/>
  <c r="U1581" i="11"/>
  <c r="T1581" i="11"/>
  <c r="S1581" i="11"/>
  <c r="R1581" i="11"/>
  <c r="Q1581" i="11"/>
  <c r="V1580" i="11"/>
  <c r="U1580" i="11"/>
  <c r="T1580" i="11"/>
  <c r="S1580" i="11"/>
  <c r="R1580" i="11"/>
  <c r="Q1580" i="11"/>
  <c r="V1579" i="11"/>
  <c r="U1579" i="11"/>
  <c r="S1579" i="11"/>
  <c r="R1579" i="11"/>
  <c r="Q1579" i="11"/>
  <c r="N1579" i="11"/>
  <c r="O1579" i="11" s="1"/>
  <c r="V1578" i="11"/>
  <c r="U1578" i="11"/>
  <c r="T1578" i="11"/>
  <c r="S1578" i="11"/>
  <c r="R1578" i="11"/>
  <c r="Q1578" i="11"/>
  <c r="U1518" i="12"/>
  <c r="T1518" i="12"/>
  <c r="S1518" i="12"/>
  <c r="R1518" i="12"/>
  <c r="Q1518" i="12"/>
  <c r="P1518" i="12"/>
  <c r="U1517" i="12"/>
  <c r="T1517" i="12"/>
  <c r="S1517" i="12"/>
  <c r="R1517" i="12"/>
  <c r="Q1517" i="12"/>
  <c r="M1517" i="12"/>
  <c r="I1517" i="12"/>
  <c r="D1517" i="12"/>
  <c r="J1517" i="12" s="1"/>
  <c r="U1516" i="12"/>
  <c r="T1516" i="12"/>
  <c r="S1516" i="12"/>
  <c r="R1516" i="12"/>
  <c r="Q1516" i="12"/>
  <c r="P1516" i="12"/>
  <c r="U1515" i="12"/>
  <c r="T1515" i="12"/>
  <c r="S1515" i="12"/>
  <c r="R1515" i="12"/>
  <c r="Q1515" i="12"/>
  <c r="P1515" i="12"/>
  <c r="U1514" i="12"/>
  <c r="T1514" i="12"/>
  <c r="S1514" i="12"/>
  <c r="R1514" i="12"/>
  <c r="Q1514" i="12"/>
  <c r="P1514" i="12"/>
  <c r="D1514" i="12"/>
  <c r="U1513" i="12"/>
  <c r="T1513" i="12"/>
  <c r="S1513" i="12"/>
  <c r="R1513" i="12"/>
  <c r="Q1513" i="12"/>
  <c r="P1513" i="12"/>
  <c r="U1512" i="12"/>
  <c r="T1512" i="12"/>
  <c r="S1512" i="12"/>
  <c r="R1512" i="12"/>
  <c r="Q1512" i="12"/>
  <c r="M1512" i="12"/>
  <c r="I1512" i="12"/>
  <c r="E1512" i="12"/>
  <c r="U1511" i="12"/>
  <c r="T1511" i="12"/>
  <c r="S1511" i="12"/>
  <c r="R1511" i="12"/>
  <c r="Q1511" i="12"/>
  <c r="P1511" i="12"/>
  <c r="U1510" i="12"/>
  <c r="T1510" i="12"/>
  <c r="S1510" i="12"/>
  <c r="R1510" i="12"/>
  <c r="Q1510" i="12"/>
  <c r="P1510" i="12"/>
  <c r="U1509" i="12"/>
  <c r="T1509" i="12"/>
  <c r="S1509" i="12"/>
  <c r="R1509" i="12"/>
  <c r="Q1509" i="12"/>
  <c r="P1509" i="12"/>
  <c r="U1508" i="12"/>
  <c r="T1508" i="12"/>
  <c r="S1508" i="12"/>
  <c r="R1508" i="12"/>
  <c r="Q1508" i="12"/>
  <c r="M1508" i="12"/>
  <c r="I1508" i="12"/>
  <c r="D1508" i="12"/>
  <c r="J1508" i="12" s="1"/>
  <c r="U1507" i="12"/>
  <c r="T1507" i="12"/>
  <c r="S1507" i="12"/>
  <c r="R1507" i="12"/>
  <c r="Q1507" i="12"/>
  <c r="P1507" i="12"/>
  <c r="U1506" i="12"/>
  <c r="T1506" i="12"/>
  <c r="S1506" i="12"/>
  <c r="R1506" i="12"/>
  <c r="Q1506" i="12"/>
  <c r="P1506" i="12"/>
  <c r="U1505" i="12"/>
  <c r="T1505" i="12"/>
  <c r="S1505" i="12"/>
  <c r="R1505" i="12"/>
  <c r="Q1505" i="12"/>
  <c r="P1505" i="12"/>
  <c r="D1505" i="12"/>
  <c r="U1504" i="12"/>
  <c r="T1504" i="12"/>
  <c r="S1504" i="12"/>
  <c r="R1504" i="12"/>
  <c r="Q1504" i="12"/>
  <c r="P1504" i="12"/>
  <c r="U1503" i="12"/>
  <c r="T1503" i="12"/>
  <c r="S1503" i="12"/>
  <c r="R1503" i="12"/>
  <c r="Q1503" i="12"/>
  <c r="M1503" i="12"/>
  <c r="I1503" i="12"/>
  <c r="E1503" i="12"/>
  <c r="U1502" i="12"/>
  <c r="T1502" i="12"/>
  <c r="S1502" i="12"/>
  <c r="R1502" i="12"/>
  <c r="Q1502" i="12"/>
  <c r="P1502" i="12"/>
  <c r="U1501" i="12"/>
  <c r="T1501" i="12"/>
  <c r="S1501" i="12"/>
  <c r="R1501" i="12"/>
  <c r="Q1501" i="12"/>
  <c r="P1501" i="12"/>
  <c r="U1500" i="12"/>
  <c r="T1500" i="12"/>
  <c r="S1500" i="12"/>
  <c r="R1500" i="12"/>
  <c r="Q1500" i="12"/>
  <c r="P1500" i="12"/>
  <c r="U1499" i="12"/>
  <c r="T1499" i="12"/>
  <c r="S1499" i="12"/>
  <c r="R1499" i="12"/>
  <c r="Q1499" i="12"/>
  <c r="M1499" i="12"/>
  <c r="I1499" i="12"/>
  <c r="D1499" i="12"/>
  <c r="J1499" i="12" s="1"/>
  <c r="U1498" i="12"/>
  <c r="T1498" i="12"/>
  <c r="S1498" i="12"/>
  <c r="R1498" i="12"/>
  <c r="Q1498" i="12"/>
  <c r="P1498" i="12"/>
  <c r="U1497" i="12"/>
  <c r="T1497" i="12"/>
  <c r="S1497" i="12"/>
  <c r="R1497" i="12"/>
  <c r="Q1497" i="12"/>
  <c r="P1497" i="12"/>
  <c r="U1496" i="12"/>
  <c r="T1496" i="12"/>
  <c r="S1496" i="12"/>
  <c r="R1496" i="12"/>
  <c r="Q1496" i="12"/>
  <c r="P1496" i="12"/>
  <c r="D1496" i="12"/>
  <c r="U1495" i="12"/>
  <c r="T1495" i="12"/>
  <c r="S1495" i="12"/>
  <c r="R1495" i="12"/>
  <c r="Q1495" i="12"/>
  <c r="P1495" i="12"/>
  <c r="U1494" i="12"/>
  <c r="T1494" i="12"/>
  <c r="S1494" i="12"/>
  <c r="R1494" i="12"/>
  <c r="Q1494" i="12"/>
  <c r="M1494" i="12"/>
  <c r="I1494" i="12"/>
  <c r="E1494" i="12"/>
  <c r="U1493" i="12"/>
  <c r="T1493" i="12"/>
  <c r="S1493" i="12"/>
  <c r="R1493" i="12"/>
  <c r="Q1493" i="12"/>
  <c r="P1493" i="12"/>
  <c r="U1492" i="12"/>
  <c r="T1492" i="12"/>
  <c r="S1492" i="12"/>
  <c r="R1492" i="12"/>
  <c r="Q1492" i="12"/>
  <c r="P1492" i="12"/>
  <c r="U1491" i="12"/>
  <c r="T1491" i="12"/>
  <c r="S1491" i="12"/>
  <c r="R1491" i="12"/>
  <c r="Q1491" i="12"/>
  <c r="P1491" i="12"/>
  <c r="D1491" i="12"/>
  <c r="U1490" i="12"/>
  <c r="T1490" i="12"/>
  <c r="S1490" i="12"/>
  <c r="R1490" i="12"/>
  <c r="Q1490" i="12"/>
  <c r="P1490" i="12"/>
  <c r="U1489" i="12"/>
  <c r="T1489" i="12"/>
  <c r="S1489" i="12"/>
  <c r="R1489" i="12"/>
  <c r="Q1489" i="12"/>
  <c r="M1489" i="12"/>
  <c r="I1489" i="12"/>
  <c r="E1489" i="12"/>
  <c r="U1488" i="12"/>
  <c r="T1488" i="12"/>
  <c r="S1488" i="12"/>
  <c r="R1488" i="12"/>
  <c r="Q1488" i="12"/>
  <c r="P1488" i="12"/>
  <c r="U1487" i="12"/>
  <c r="T1487" i="12"/>
  <c r="S1487" i="12"/>
  <c r="R1487" i="12"/>
  <c r="Q1487" i="12"/>
  <c r="P1487" i="12"/>
  <c r="I1478" i="12"/>
  <c r="I1473" i="12"/>
  <c r="I1458" i="12"/>
  <c r="I1453" i="12"/>
  <c r="U1460" i="12"/>
  <c r="T1460" i="12"/>
  <c r="S1460" i="12"/>
  <c r="R1460" i="12"/>
  <c r="Q1460" i="12"/>
  <c r="P1460" i="12"/>
  <c r="D1460" i="12"/>
  <c r="U1459" i="12"/>
  <c r="T1459" i="12"/>
  <c r="S1459" i="12"/>
  <c r="R1459" i="12"/>
  <c r="Q1459" i="12"/>
  <c r="P1459" i="12"/>
  <c r="U1458" i="12"/>
  <c r="T1458" i="12"/>
  <c r="S1458" i="12"/>
  <c r="R1458" i="12"/>
  <c r="P1458" i="12"/>
  <c r="M1458" i="12"/>
  <c r="E1458" i="12"/>
  <c r="U1457" i="12"/>
  <c r="T1457" i="12"/>
  <c r="S1457" i="12"/>
  <c r="R1457" i="12"/>
  <c r="Q1457" i="12"/>
  <c r="P1457" i="12"/>
  <c r="U1456" i="12"/>
  <c r="T1456" i="12"/>
  <c r="S1456" i="12"/>
  <c r="R1456" i="12"/>
  <c r="Q1456" i="12"/>
  <c r="P1456" i="12"/>
  <c r="U1455" i="12"/>
  <c r="T1455" i="12"/>
  <c r="S1455" i="12"/>
  <c r="R1455" i="12"/>
  <c r="Q1455" i="12"/>
  <c r="P1455" i="12"/>
  <c r="D1455" i="12"/>
  <c r="U1454" i="12"/>
  <c r="T1454" i="12"/>
  <c r="S1454" i="12"/>
  <c r="R1454" i="12"/>
  <c r="Q1454" i="12"/>
  <c r="P1454" i="12"/>
  <c r="U1453" i="12"/>
  <c r="T1453" i="12"/>
  <c r="S1453" i="12"/>
  <c r="R1453" i="12"/>
  <c r="P1453" i="12"/>
  <c r="M1453" i="12"/>
  <c r="E1453" i="12"/>
  <c r="U1452" i="12"/>
  <c r="T1452" i="12"/>
  <c r="S1452" i="12"/>
  <c r="R1452" i="12"/>
  <c r="Q1452" i="12"/>
  <c r="P1452" i="12"/>
  <c r="U1450" i="12"/>
  <c r="T1450" i="12"/>
  <c r="S1450" i="12"/>
  <c r="Q1450" i="12"/>
  <c r="P1450" i="12"/>
  <c r="M1450" i="12"/>
  <c r="J1450" i="12"/>
  <c r="U1449" i="12"/>
  <c r="T1449" i="12"/>
  <c r="S1449" i="12"/>
  <c r="Q1449" i="12"/>
  <c r="P1449" i="12"/>
  <c r="M1449" i="12"/>
  <c r="J1449" i="12"/>
  <c r="U1448" i="12"/>
  <c r="T1448" i="12"/>
  <c r="S1448" i="12"/>
  <c r="Q1448" i="12"/>
  <c r="P1448" i="12"/>
  <c r="M1448" i="12"/>
  <c r="J1448" i="12"/>
  <c r="U1447" i="12"/>
  <c r="T1447" i="12"/>
  <c r="R1447" i="12"/>
  <c r="Q1447" i="12"/>
  <c r="P1447" i="12"/>
  <c r="M1447" i="12"/>
  <c r="J1447" i="12"/>
  <c r="U1446" i="12"/>
  <c r="T1446" i="12"/>
  <c r="R1446" i="12"/>
  <c r="Q1446" i="12"/>
  <c r="P1446" i="12"/>
  <c r="M1446" i="12"/>
  <c r="J1446" i="12"/>
  <c r="U1445" i="12"/>
  <c r="T1445" i="12"/>
  <c r="R1445" i="12"/>
  <c r="Q1445" i="12"/>
  <c r="P1445" i="12"/>
  <c r="M1445" i="12"/>
  <c r="J1445" i="12"/>
  <c r="U1444" i="12"/>
  <c r="T1444" i="12"/>
  <c r="S1444" i="12"/>
  <c r="R1444" i="12"/>
  <c r="Q1444" i="12"/>
  <c r="P1444" i="12"/>
  <c r="U1443" i="12"/>
  <c r="T1443" i="12"/>
  <c r="S1443" i="12"/>
  <c r="R1443" i="12"/>
  <c r="Q1443" i="12"/>
  <c r="P1443" i="12"/>
  <c r="I1440" i="12"/>
  <c r="I1435" i="12"/>
  <c r="I1423" i="12"/>
  <c r="I1418" i="12"/>
  <c r="I1413" i="12"/>
  <c r="I1408" i="12"/>
  <c r="I1395" i="12"/>
  <c r="I1390" i="12"/>
  <c r="I1385" i="12"/>
  <c r="I1372" i="12"/>
  <c r="I1367" i="12"/>
  <c r="E1352" i="12"/>
  <c r="U1358" i="12"/>
  <c r="T1358" i="12"/>
  <c r="S1358" i="12"/>
  <c r="R1358" i="12"/>
  <c r="Q1358" i="12"/>
  <c r="P1358" i="12"/>
  <c r="U1357" i="12"/>
  <c r="T1357" i="12"/>
  <c r="S1357" i="12"/>
  <c r="R1357" i="12"/>
  <c r="Q1357" i="12"/>
  <c r="M1357" i="12"/>
  <c r="I1357" i="12"/>
  <c r="D1357" i="12"/>
  <c r="J1357" i="12" s="1"/>
  <c r="U1356" i="12"/>
  <c r="T1356" i="12"/>
  <c r="S1356" i="12"/>
  <c r="R1356" i="12"/>
  <c r="Q1356" i="12"/>
  <c r="P1356" i="12"/>
  <c r="U1355" i="12"/>
  <c r="T1355" i="12"/>
  <c r="S1355" i="12"/>
  <c r="R1355" i="12"/>
  <c r="Q1355" i="12"/>
  <c r="P1355" i="12"/>
  <c r="U1354" i="12"/>
  <c r="T1354" i="12"/>
  <c r="S1354" i="12"/>
  <c r="R1354" i="12"/>
  <c r="Q1354" i="12"/>
  <c r="P1354" i="12"/>
  <c r="D1354" i="12"/>
  <c r="U1353" i="12"/>
  <c r="T1353" i="12"/>
  <c r="S1353" i="12"/>
  <c r="R1353" i="12"/>
  <c r="Q1353" i="12"/>
  <c r="P1353" i="12"/>
  <c r="U1352" i="12"/>
  <c r="T1352" i="12"/>
  <c r="S1352" i="12"/>
  <c r="R1352" i="12"/>
  <c r="Q1352" i="12"/>
  <c r="M1352" i="12"/>
  <c r="I1352" i="12"/>
  <c r="U1351" i="12"/>
  <c r="T1351" i="12"/>
  <c r="S1351" i="12"/>
  <c r="R1351" i="12"/>
  <c r="Q1351" i="12"/>
  <c r="P1351" i="12"/>
  <c r="U1350" i="12"/>
  <c r="T1350" i="12"/>
  <c r="S1350" i="12"/>
  <c r="R1350" i="12"/>
  <c r="Q1350" i="12"/>
  <c r="P1350" i="12"/>
  <c r="U1349" i="12"/>
  <c r="T1349" i="12"/>
  <c r="S1349" i="12"/>
  <c r="R1349" i="12"/>
  <c r="Q1349" i="12"/>
  <c r="P1349" i="12"/>
  <c r="U1348" i="12"/>
  <c r="T1348" i="12"/>
  <c r="S1348" i="12"/>
  <c r="R1348" i="12"/>
  <c r="Q1348" i="12"/>
  <c r="M1348" i="12"/>
  <c r="I1348" i="12"/>
  <c r="D1348" i="12"/>
  <c r="J1348" i="12" s="1"/>
  <c r="U1347" i="12"/>
  <c r="T1347" i="12"/>
  <c r="S1347" i="12"/>
  <c r="R1347" i="12"/>
  <c r="Q1347" i="12"/>
  <c r="P1347" i="12"/>
  <c r="U1346" i="12"/>
  <c r="T1346" i="12"/>
  <c r="S1346" i="12"/>
  <c r="R1346" i="12"/>
  <c r="Q1346" i="12"/>
  <c r="P1346" i="12"/>
  <c r="U1345" i="12"/>
  <c r="T1345" i="12"/>
  <c r="S1345" i="12"/>
  <c r="R1345" i="12"/>
  <c r="Q1345" i="12"/>
  <c r="P1345" i="12"/>
  <c r="D1345" i="12"/>
  <c r="U1344" i="12"/>
  <c r="T1344" i="12"/>
  <c r="S1344" i="12"/>
  <c r="R1344" i="12"/>
  <c r="Q1344" i="12"/>
  <c r="P1344" i="12"/>
  <c r="U1343" i="12"/>
  <c r="T1343" i="12"/>
  <c r="S1343" i="12"/>
  <c r="R1343" i="12"/>
  <c r="Q1343" i="12"/>
  <c r="M1343" i="12"/>
  <c r="I1343" i="12"/>
  <c r="E1343" i="12"/>
  <c r="U1342" i="12"/>
  <c r="T1342" i="12"/>
  <c r="S1342" i="12"/>
  <c r="R1342" i="12"/>
  <c r="Q1342" i="12"/>
  <c r="P1342" i="12"/>
  <c r="U1341" i="12"/>
  <c r="T1341" i="12"/>
  <c r="S1341" i="12"/>
  <c r="R1341" i="12"/>
  <c r="Q1341" i="12"/>
  <c r="P1341" i="12"/>
  <c r="U1340" i="12"/>
  <c r="T1340" i="12"/>
  <c r="S1340" i="12"/>
  <c r="R1340" i="12"/>
  <c r="Q1340" i="12"/>
  <c r="P1340" i="12"/>
  <c r="U1339" i="12"/>
  <c r="T1339" i="12"/>
  <c r="S1339" i="12"/>
  <c r="R1339" i="12"/>
  <c r="Q1339" i="12"/>
  <c r="M1339" i="12"/>
  <c r="I1339" i="12"/>
  <c r="D1339" i="12"/>
  <c r="J1339" i="12" s="1"/>
  <c r="U1338" i="12"/>
  <c r="T1338" i="12"/>
  <c r="S1338" i="12"/>
  <c r="R1338" i="12"/>
  <c r="Q1338" i="12"/>
  <c r="P1338" i="12"/>
  <c r="U1337" i="12"/>
  <c r="T1337" i="12"/>
  <c r="S1337" i="12"/>
  <c r="R1337" i="12"/>
  <c r="Q1337" i="12"/>
  <c r="P1337" i="12"/>
  <c r="U1336" i="12"/>
  <c r="T1336" i="12"/>
  <c r="S1336" i="12"/>
  <c r="R1336" i="12"/>
  <c r="Q1336" i="12"/>
  <c r="P1336" i="12"/>
  <c r="D1336" i="12"/>
  <c r="U1335" i="12"/>
  <c r="T1335" i="12"/>
  <c r="S1335" i="12"/>
  <c r="R1335" i="12"/>
  <c r="Q1335" i="12"/>
  <c r="P1335" i="12"/>
  <c r="U1334" i="12"/>
  <c r="T1334" i="12"/>
  <c r="S1334" i="12"/>
  <c r="R1334" i="12"/>
  <c r="Q1334" i="12"/>
  <c r="M1334" i="12"/>
  <c r="I1334" i="12"/>
  <c r="E1334" i="12"/>
  <c r="U1333" i="12"/>
  <c r="T1333" i="12"/>
  <c r="S1333" i="12"/>
  <c r="R1333" i="12"/>
  <c r="Q1333" i="12"/>
  <c r="P1333" i="12"/>
  <c r="U1332" i="12"/>
  <c r="T1332" i="12"/>
  <c r="S1332" i="12"/>
  <c r="R1332" i="12"/>
  <c r="Q1332" i="12"/>
  <c r="P1332" i="12"/>
  <c r="U1331" i="12"/>
  <c r="T1331" i="12"/>
  <c r="S1331" i="12"/>
  <c r="R1331" i="12"/>
  <c r="Q1331" i="12"/>
  <c r="P1331" i="12"/>
  <c r="D1331" i="12"/>
  <c r="U1330" i="12"/>
  <c r="T1330" i="12"/>
  <c r="S1330" i="12"/>
  <c r="R1330" i="12"/>
  <c r="Q1330" i="12"/>
  <c r="P1330" i="12"/>
  <c r="U1329" i="12"/>
  <c r="T1329" i="12"/>
  <c r="S1329" i="12"/>
  <c r="R1329" i="12"/>
  <c r="Q1329" i="12"/>
  <c r="M1329" i="12"/>
  <c r="I1329" i="12"/>
  <c r="E1329" i="12"/>
  <c r="U1328" i="12"/>
  <c r="T1328" i="12"/>
  <c r="S1328" i="12"/>
  <c r="R1328" i="12"/>
  <c r="Q1328" i="12"/>
  <c r="P1328" i="12"/>
  <c r="U1327" i="12"/>
  <c r="T1327" i="12"/>
  <c r="S1327" i="12"/>
  <c r="R1327" i="12"/>
  <c r="Q1327" i="12"/>
  <c r="P1327" i="12"/>
  <c r="I1310" i="12"/>
  <c r="I1301" i="12"/>
  <c r="U1311" i="12"/>
  <c r="T1311" i="12"/>
  <c r="S1311" i="12"/>
  <c r="R1311" i="12"/>
  <c r="Q1311" i="12"/>
  <c r="P1311" i="12"/>
  <c r="U1310" i="12"/>
  <c r="T1310" i="12"/>
  <c r="S1310" i="12"/>
  <c r="R1310" i="12"/>
  <c r="Q1310" i="12"/>
  <c r="M1310" i="12"/>
  <c r="D1310" i="12"/>
  <c r="J1310" i="12" s="1"/>
  <c r="U1309" i="12"/>
  <c r="T1309" i="12"/>
  <c r="S1309" i="12"/>
  <c r="R1309" i="12"/>
  <c r="Q1309" i="12"/>
  <c r="P1309" i="12"/>
  <c r="U1308" i="12"/>
  <c r="T1308" i="12"/>
  <c r="S1308" i="12"/>
  <c r="R1308" i="12"/>
  <c r="Q1308" i="12"/>
  <c r="P1308" i="12"/>
  <c r="U1302" i="12"/>
  <c r="T1302" i="12"/>
  <c r="S1302" i="12"/>
  <c r="R1302" i="12"/>
  <c r="Q1302" i="12"/>
  <c r="P1302" i="12"/>
  <c r="U1301" i="12"/>
  <c r="T1301" i="12"/>
  <c r="S1301" i="12"/>
  <c r="R1301" i="12"/>
  <c r="Q1301" i="12"/>
  <c r="M1301" i="12"/>
  <c r="D1301" i="12"/>
  <c r="J1301" i="12" s="1"/>
  <c r="U1300" i="12"/>
  <c r="T1300" i="12"/>
  <c r="S1300" i="12"/>
  <c r="R1300" i="12"/>
  <c r="Q1300" i="12"/>
  <c r="P1300" i="12"/>
  <c r="U1299" i="12"/>
  <c r="T1299" i="12"/>
  <c r="S1299" i="12"/>
  <c r="R1299" i="12"/>
  <c r="Q1299" i="12"/>
  <c r="P1299" i="12"/>
  <c r="I1319" i="12"/>
  <c r="I1305" i="12"/>
  <c r="I1314" i="12"/>
  <c r="I1296" i="12"/>
  <c r="E1296" i="12"/>
  <c r="E1314" i="12"/>
  <c r="E1305" i="12"/>
  <c r="I1291" i="12"/>
  <c r="I1279" i="12"/>
  <c r="I1274" i="12"/>
  <c r="I1270" i="12"/>
  <c r="I1265" i="12"/>
  <c r="P1579" i="11" l="1"/>
  <c r="T1579" i="11" s="1"/>
  <c r="J1329" i="12"/>
  <c r="J1503" i="12"/>
  <c r="N1503" i="12" s="1"/>
  <c r="J1489" i="12"/>
  <c r="N1489" i="12" s="1"/>
  <c r="O1489" i="12" s="1"/>
  <c r="P1489" i="12" s="1"/>
  <c r="N1499" i="12"/>
  <c r="O1499" i="12" s="1"/>
  <c r="P1499" i="12" s="1"/>
  <c r="N1508" i="12"/>
  <c r="O1508" i="12" s="1"/>
  <c r="P1508" i="12" s="1"/>
  <c r="J1494" i="12"/>
  <c r="N1494" i="12" s="1"/>
  <c r="O1494" i="12" s="1"/>
  <c r="P1494" i="12" s="1"/>
  <c r="J1352" i="12"/>
  <c r="N1352" i="12" s="1"/>
  <c r="O1352" i="12" s="1"/>
  <c r="P1352" i="12" s="1"/>
  <c r="J1512" i="12"/>
  <c r="N1512" i="12" s="1"/>
  <c r="O1512" i="12" s="1"/>
  <c r="P1512" i="12" s="1"/>
  <c r="N1329" i="12"/>
  <c r="O1329" i="12" s="1"/>
  <c r="P1329" i="12" s="1"/>
  <c r="N1517" i="12"/>
  <c r="O1517" i="12" s="1"/>
  <c r="P1517" i="12" s="1"/>
  <c r="P1585" i="11"/>
  <c r="T1585" i="11" s="1"/>
  <c r="P1588" i="11"/>
  <c r="T1588" i="11" s="1"/>
  <c r="Q1591" i="11"/>
  <c r="Q1593" i="11" s="1"/>
  <c r="G11" i="14" s="1"/>
  <c r="P1582" i="11"/>
  <c r="T1582" i="11" s="1"/>
  <c r="S1591" i="11"/>
  <c r="S1593" i="11" s="1"/>
  <c r="I11" i="14" s="1"/>
  <c r="U1591" i="11"/>
  <c r="U1593" i="11" s="1"/>
  <c r="K11" i="14" s="1"/>
  <c r="V1591" i="11"/>
  <c r="V1593" i="11" s="1"/>
  <c r="L11" i="14" s="1"/>
  <c r="R1591" i="11"/>
  <c r="R1593" i="11" s="1"/>
  <c r="H11" i="14" s="1"/>
  <c r="J1458" i="12"/>
  <c r="N1458" i="12" s="1"/>
  <c r="O1458" i="12" s="1"/>
  <c r="Q1458" i="12" s="1"/>
  <c r="J1343" i="12"/>
  <c r="N1343" i="12" s="1"/>
  <c r="O1343" i="12" s="1"/>
  <c r="P1343" i="12" s="1"/>
  <c r="N1357" i="12"/>
  <c r="O1503" i="12"/>
  <c r="P1503" i="12" s="1"/>
  <c r="N1445" i="12"/>
  <c r="K1445" i="12" s="1"/>
  <c r="N1446" i="12"/>
  <c r="O1446" i="12" s="1"/>
  <c r="S1446" i="12" s="1"/>
  <c r="N1450" i="12"/>
  <c r="O1450" i="12" s="1"/>
  <c r="R1450" i="12" s="1"/>
  <c r="J1453" i="12"/>
  <c r="N1453" i="12" s="1"/>
  <c r="O1453" i="12" s="1"/>
  <c r="Q1453" i="12" s="1"/>
  <c r="J1334" i="12"/>
  <c r="N1334" i="12" s="1"/>
  <c r="O1334" i="12" s="1"/>
  <c r="P1334" i="12" s="1"/>
  <c r="N1348" i="12"/>
  <c r="O1348" i="12" s="1"/>
  <c r="P1348" i="12" s="1"/>
  <c r="N1447" i="12"/>
  <c r="K1447" i="12" s="1"/>
  <c r="N1339" i="12"/>
  <c r="O1339" i="12" s="1"/>
  <c r="P1339" i="12" s="1"/>
  <c r="O1357" i="12"/>
  <c r="P1357" i="12" s="1"/>
  <c r="N1449" i="12"/>
  <c r="K1449" i="12" s="1"/>
  <c r="N1448" i="12"/>
  <c r="K1448" i="12" s="1"/>
  <c r="N1310" i="12"/>
  <c r="O1310" i="12" s="1"/>
  <c r="P1310" i="12" s="1"/>
  <c r="N1301" i="12"/>
  <c r="O1301" i="12" s="1"/>
  <c r="P1301" i="12" s="1"/>
  <c r="U1282" i="12"/>
  <c r="T1282" i="12"/>
  <c r="S1282" i="12"/>
  <c r="R1282" i="12"/>
  <c r="Q1282" i="12"/>
  <c r="P1282" i="12"/>
  <c r="D1282" i="12"/>
  <c r="J1279" i="12" s="1"/>
  <c r="U1281" i="12"/>
  <c r="T1281" i="12"/>
  <c r="S1281" i="12"/>
  <c r="R1281" i="12"/>
  <c r="Q1281" i="12"/>
  <c r="P1281" i="12"/>
  <c r="U1280" i="12"/>
  <c r="T1280" i="12"/>
  <c r="S1280" i="12"/>
  <c r="R1280" i="12"/>
  <c r="Q1280" i="12"/>
  <c r="P1280" i="12"/>
  <c r="U1279" i="12"/>
  <c r="T1279" i="12"/>
  <c r="S1279" i="12"/>
  <c r="R1279" i="12"/>
  <c r="M1279" i="12"/>
  <c r="U1278" i="12"/>
  <c r="T1278" i="12"/>
  <c r="S1278" i="12"/>
  <c r="R1278" i="12"/>
  <c r="Q1278" i="12"/>
  <c r="P1278" i="12"/>
  <c r="U1277" i="12"/>
  <c r="T1277" i="12"/>
  <c r="S1277" i="12"/>
  <c r="R1277" i="12"/>
  <c r="Q1277" i="12"/>
  <c r="P1277" i="12"/>
  <c r="D1277" i="12"/>
  <c r="J1274" i="12" s="1"/>
  <c r="U1276" i="12"/>
  <c r="T1276" i="12"/>
  <c r="S1276" i="12"/>
  <c r="R1276" i="12"/>
  <c r="Q1276" i="12"/>
  <c r="P1276" i="12"/>
  <c r="U1275" i="12"/>
  <c r="T1275" i="12"/>
  <c r="S1275" i="12"/>
  <c r="R1275" i="12"/>
  <c r="Q1275" i="12"/>
  <c r="P1275" i="12"/>
  <c r="U1274" i="12"/>
  <c r="T1274" i="12"/>
  <c r="S1274" i="12"/>
  <c r="R1274" i="12"/>
  <c r="M1274" i="12"/>
  <c r="U1273" i="12"/>
  <c r="T1273" i="12"/>
  <c r="S1273" i="12"/>
  <c r="R1273" i="12"/>
  <c r="Q1273" i="12"/>
  <c r="P1273" i="12"/>
  <c r="U1272" i="12"/>
  <c r="T1272" i="12"/>
  <c r="S1272" i="12"/>
  <c r="R1272" i="12"/>
  <c r="Q1272" i="12"/>
  <c r="P1272" i="12"/>
  <c r="D1272" i="12"/>
  <c r="U1271" i="12"/>
  <c r="T1271" i="12"/>
  <c r="S1271" i="12"/>
  <c r="R1271" i="12"/>
  <c r="Q1271" i="12"/>
  <c r="P1271" i="12"/>
  <c r="U1270" i="12"/>
  <c r="T1270" i="12"/>
  <c r="S1270" i="12"/>
  <c r="R1270" i="12"/>
  <c r="M1270" i="12"/>
  <c r="E1270" i="12"/>
  <c r="U1269" i="12"/>
  <c r="T1269" i="12"/>
  <c r="S1269" i="12"/>
  <c r="R1269" i="12"/>
  <c r="Q1269" i="12"/>
  <c r="P1269" i="12"/>
  <c r="U1268" i="12"/>
  <c r="T1268" i="12"/>
  <c r="S1268" i="12"/>
  <c r="R1268" i="12"/>
  <c r="Q1268" i="12"/>
  <c r="P1268" i="12"/>
  <c r="U1267" i="12"/>
  <c r="T1267" i="12"/>
  <c r="S1267" i="12"/>
  <c r="R1267" i="12"/>
  <c r="Q1267" i="12"/>
  <c r="P1267" i="12"/>
  <c r="D1267" i="12"/>
  <c r="U1266" i="12"/>
  <c r="T1266" i="12"/>
  <c r="S1266" i="12"/>
  <c r="R1266" i="12"/>
  <c r="Q1266" i="12"/>
  <c r="P1266" i="12"/>
  <c r="U1265" i="12"/>
  <c r="T1265" i="12"/>
  <c r="S1265" i="12"/>
  <c r="R1265" i="12"/>
  <c r="M1265" i="12"/>
  <c r="E1265" i="12"/>
  <c r="U1264" i="12"/>
  <c r="T1264" i="12"/>
  <c r="S1264" i="12"/>
  <c r="R1264" i="12"/>
  <c r="Q1264" i="12"/>
  <c r="P1264" i="12"/>
  <c r="U1263" i="12"/>
  <c r="T1263" i="12"/>
  <c r="S1263" i="12"/>
  <c r="R1263" i="12"/>
  <c r="Q1263" i="12"/>
  <c r="P1263" i="12"/>
  <c r="I1259" i="12"/>
  <c r="I1254" i="12"/>
  <c r="I1250" i="12"/>
  <c r="I1245" i="12"/>
  <c r="I1233" i="12"/>
  <c r="I1228" i="12"/>
  <c r="I1224" i="12"/>
  <c r="I1219" i="12"/>
  <c r="I1214" i="12"/>
  <c r="U1186" i="12"/>
  <c r="T1186" i="12"/>
  <c r="S1186" i="12"/>
  <c r="Q1186" i="12"/>
  <c r="P1186" i="12"/>
  <c r="M1186" i="12"/>
  <c r="J1186" i="12"/>
  <c r="U1185" i="12"/>
  <c r="T1185" i="12"/>
  <c r="S1185" i="12"/>
  <c r="Q1185" i="12"/>
  <c r="P1185" i="12"/>
  <c r="M1185" i="12"/>
  <c r="J1185" i="12"/>
  <c r="U1184" i="12"/>
  <c r="T1184" i="12"/>
  <c r="S1184" i="12"/>
  <c r="Q1184" i="12"/>
  <c r="P1184" i="12"/>
  <c r="M1184" i="12"/>
  <c r="J1184" i="12"/>
  <c r="U1183" i="12"/>
  <c r="T1183" i="12"/>
  <c r="S1183" i="12"/>
  <c r="Q1183" i="12"/>
  <c r="P1183" i="12"/>
  <c r="M1183" i="12"/>
  <c r="J1183" i="12"/>
  <c r="U1182" i="12"/>
  <c r="T1182" i="12"/>
  <c r="R1182" i="12"/>
  <c r="Q1182" i="12"/>
  <c r="P1182" i="12"/>
  <c r="M1182" i="12"/>
  <c r="J1182" i="12"/>
  <c r="U1181" i="12"/>
  <c r="T1181" i="12"/>
  <c r="S1181" i="12"/>
  <c r="R1181" i="12"/>
  <c r="Q1181" i="12"/>
  <c r="P1181" i="12"/>
  <c r="U1180" i="12"/>
  <c r="T1180" i="12"/>
  <c r="S1180" i="12"/>
  <c r="R1180" i="12"/>
  <c r="Q1180" i="12"/>
  <c r="P1180" i="12"/>
  <c r="J1270" i="12" l="1"/>
  <c r="J1265" i="12"/>
  <c r="N1265" i="12" s="1"/>
  <c r="O1265" i="12" s="1"/>
  <c r="O1448" i="12"/>
  <c r="R1448" i="12" s="1"/>
  <c r="O1449" i="12"/>
  <c r="R1449" i="12" s="1"/>
  <c r="K1446" i="12"/>
  <c r="T1591" i="11"/>
  <c r="T1593" i="11" s="1"/>
  <c r="K1450" i="12"/>
  <c r="O1445" i="12"/>
  <c r="S1445" i="12" s="1"/>
  <c r="O1447" i="12"/>
  <c r="S1447" i="12" s="1"/>
  <c r="N1185" i="12"/>
  <c r="K1185" i="12" s="1"/>
  <c r="N1182" i="12"/>
  <c r="O1182" i="12" s="1"/>
  <c r="S1182" i="12" s="1"/>
  <c r="N1186" i="12"/>
  <c r="K1186" i="12" s="1"/>
  <c r="N1183" i="12"/>
  <c r="O1183" i="12" s="1"/>
  <c r="R1183" i="12" s="1"/>
  <c r="N1279" i="12"/>
  <c r="O1279" i="12" s="1"/>
  <c r="N1274" i="12"/>
  <c r="O1274" i="12" s="1"/>
  <c r="N1270" i="12"/>
  <c r="O1270" i="12" s="1"/>
  <c r="N1184" i="12"/>
  <c r="O1184" i="12" s="1"/>
  <c r="R1184" i="12" s="1"/>
  <c r="U1236" i="12"/>
  <c r="T1236" i="12"/>
  <c r="S1236" i="12"/>
  <c r="R1236" i="12"/>
  <c r="Q1236" i="12"/>
  <c r="P1236" i="12"/>
  <c r="D1236" i="12"/>
  <c r="J1233" i="12" s="1"/>
  <c r="U1235" i="12"/>
  <c r="T1235" i="12"/>
  <c r="S1235" i="12"/>
  <c r="R1235" i="12"/>
  <c r="Q1235" i="12"/>
  <c r="P1235" i="12"/>
  <c r="U1234" i="12"/>
  <c r="T1234" i="12"/>
  <c r="S1234" i="12"/>
  <c r="R1234" i="12"/>
  <c r="Q1234" i="12"/>
  <c r="P1234" i="12"/>
  <c r="U1233" i="12"/>
  <c r="T1233" i="12"/>
  <c r="S1233" i="12"/>
  <c r="R1233" i="12"/>
  <c r="Q1233" i="12"/>
  <c r="M1233" i="12"/>
  <c r="U1232" i="12"/>
  <c r="T1232" i="12"/>
  <c r="S1232" i="12"/>
  <c r="R1232" i="12"/>
  <c r="Q1232" i="12"/>
  <c r="P1232" i="12"/>
  <c r="U1231" i="12"/>
  <c r="T1231" i="12"/>
  <c r="S1231" i="12"/>
  <c r="R1231" i="12"/>
  <c r="Q1231" i="12"/>
  <c r="P1231" i="12"/>
  <c r="D1231" i="12"/>
  <c r="J1228" i="12" s="1"/>
  <c r="U1230" i="12"/>
  <c r="T1230" i="12"/>
  <c r="S1230" i="12"/>
  <c r="R1230" i="12"/>
  <c r="Q1230" i="12"/>
  <c r="P1230" i="12"/>
  <c r="U1229" i="12"/>
  <c r="T1229" i="12"/>
  <c r="S1229" i="12"/>
  <c r="R1229" i="12"/>
  <c r="Q1229" i="12"/>
  <c r="P1229" i="12"/>
  <c r="U1228" i="12"/>
  <c r="T1228" i="12"/>
  <c r="S1228" i="12"/>
  <c r="R1228" i="12"/>
  <c r="Q1228" i="12"/>
  <c r="M1228" i="12"/>
  <c r="U1227" i="12"/>
  <c r="T1227" i="12"/>
  <c r="S1227" i="12"/>
  <c r="R1227" i="12"/>
  <c r="Q1227" i="12"/>
  <c r="P1227" i="12"/>
  <c r="U1226" i="12"/>
  <c r="T1226" i="12"/>
  <c r="S1226" i="12"/>
  <c r="R1226" i="12"/>
  <c r="Q1226" i="12"/>
  <c r="P1226" i="12"/>
  <c r="D1226" i="12"/>
  <c r="U1225" i="12"/>
  <c r="T1225" i="12"/>
  <c r="S1225" i="12"/>
  <c r="R1225" i="12"/>
  <c r="Q1225" i="12"/>
  <c r="P1225" i="12"/>
  <c r="U1224" i="12"/>
  <c r="T1224" i="12"/>
  <c r="S1224" i="12"/>
  <c r="R1224" i="12"/>
  <c r="Q1224" i="12"/>
  <c r="M1224" i="12"/>
  <c r="E1224" i="12"/>
  <c r="U1223" i="12"/>
  <c r="T1223" i="12"/>
  <c r="S1223" i="12"/>
  <c r="R1223" i="12"/>
  <c r="Q1223" i="12"/>
  <c r="P1223" i="12"/>
  <c r="U1222" i="12"/>
  <c r="T1222" i="12"/>
  <c r="S1222" i="12"/>
  <c r="R1222" i="12"/>
  <c r="Q1222" i="12"/>
  <c r="P1222" i="12"/>
  <c r="U1221" i="12"/>
  <c r="T1221" i="12"/>
  <c r="S1221" i="12"/>
  <c r="R1221" i="12"/>
  <c r="Q1221" i="12"/>
  <c r="P1221" i="12"/>
  <c r="D1221" i="12"/>
  <c r="U1220" i="12"/>
  <c r="T1220" i="12"/>
  <c r="S1220" i="12"/>
  <c r="R1220" i="12"/>
  <c r="Q1220" i="12"/>
  <c r="P1220" i="12"/>
  <c r="U1219" i="12"/>
  <c r="T1219" i="12"/>
  <c r="S1219" i="12"/>
  <c r="R1219" i="12"/>
  <c r="Q1219" i="12"/>
  <c r="M1219" i="12"/>
  <c r="E1219" i="12"/>
  <c r="U1218" i="12"/>
  <c r="T1218" i="12"/>
  <c r="S1218" i="12"/>
  <c r="R1218" i="12"/>
  <c r="Q1218" i="12"/>
  <c r="P1218" i="12"/>
  <c r="U1217" i="12"/>
  <c r="T1217" i="12"/>
  <c r="S1217" i="12"/>
  <c r="R1217" i="12"/>
  <c r="Q1217" i="12"/>
  <c r="P1217" i="12"/>
  <c r="U1216" i="12"/>
  <c r="T1216" i="12"/>
  <c r="S1216" i="12"/>
  <c r="R1216" i="12"/>
  <c r="Q1216" i="12"/>
  <c r="P1216" i="12"/>
  <c r="D1216" i="12"/>
  <c r="U1215" i="12"/>
  <c r="T1215" i="12"/>
  <c r="S1215" i="12"/>
  <c r="R1215" i="12"/>
  <c r="Q1215" i="12"/>
  <c r="P1215" i="12"/>
  <c r="U1214" i="12"/>
  <c r="T1214" i="12"/>
  <c r="S1214" i="12"/>
  <c r="R1214" i="12"/>
  <c r="Q1214" i="12"/>
  <c r="M1214" i="12"/>
  <c r="E1214" i="12"/>
  <c r="U1213" i="12"/>
  <c r="T1213" i="12"/>
  <c r="S1213" i="12"/>
  <c r="R1213" i="12"/>
  <c r="Q1213" i="12"/>
  <c r="P1213" i="12"/>
  <c r="U1212" i="12"/>
  <c r="T1212" i="12"/>
  <c r="S1212" i="12"/>
  <c r="R1212" i="12"/>
  <c r="Q1212" i="12"/>
  <c r="P1212" i="12"/>
  <c r="U1211" i="12"/>
  <c r="T1211" i="12"/>
  <c r="S1211" i="12"/>
  <c r="R1211" i="12"/>
  <c r="Q1211" i="12"/>
  <c r="P1211" i="12"/>
  <c r="D1211" i="12"/>
  <c r="J1208" i="12" s="1"/>
  <c r="U1210" i="12"/>
  <c r="T1210" i="12"/>
  <c r="S1210" i="12"/>
  <c r="R1210" i="12"/>
  <c r="Q1210" i="12"/>
  <c r="P1210" i="12"/>
  <c r="U1209" i="12"/>
  <c r="T1209" i="12"/>
  <c r="S1209" i="12"/>
  <c r="R1209" i="12"/>
  <c r="Q1209" i="12"/>
  <c r="P1209" i="12"/>
  <c r="U1208" i="12"/>
  <c r="T1208" i="12"/>
  <c r="S1208" i="12"/>
  <c r="R1208" i="12"/>
  <c r="P1208" i="12"/>
  <c r="M1208" i="12"/>
  <c r="I1208" i="12"/>
  <c r="U1207" i="12"/>
  <c r="T1207" i="12"/>
  <c r="S1207" i="12"/>
  <c r="R1207" i="12"/>
  <c r="Q1207" i="12"/>
  <c r="P1207" i="12"/>
  <c r="U1206" i="12"/>
  <c r="T1206" i="12"/>
  <c r="S1206" i="12"/>
  <c r="R1206" i="12"/>
  <c r="Q1206" i="12"/>
  <c r="P1206" i="12"/>
  <c r="D1206" i="12"/>
  <c r="J1203" i="12" s="1"/>
  <c r="U1205" i="12"/>
  <c r="T1205" i="12"/>
  <c r="S1205" i="12"/>
  <c r="R1205" i="12"/>
  <c r="Q1205" i="12"/>
  <c r="P1205" i="12"/>
  <c r="U1204" i="12"/>
  <c r="T1204" i="12"/>
  <c r="S1204" i="12"/>
  <c r="R1204" i="12"/>
  <c r="Q1204" i="12"/>
  <c r="P1204" i="12"/>
  <c r="U1203" i="12"/>
  <c r="T1203" i="12"/>
  <c r="S1203" i="12"/>
  <c r="R1203" i="12"/>
  <c r="P1203" i="12"/>
  <c r="M1203" i="12"/>
  <c r="I1203" i="12"/>
  <c r="U1202" i="12"/>
  <c r="T1202" i="12"/>
  <c r="S1202" i="12"/>
  <c r="R1202" i="12"/>
  <c r="Q1202" i="12"/>
  <c r="P1202" i="12"/>
  <c r="U1201" i="12"/>
  <c r="T1201" i="12"/>
  <c r="S1201" i="12"/>
  <c r="R1201" i="12"/>
  <c r="Q1201" i="12"/>
  <c r="P1201" i="12"/>
  <c r="D1201" i="12"/>
  <c r="U1200" i="12"/>
  <c r="T1200" i="12"/>
  <c r="S1200" i="12"/>
  <c r="R1200" i="12"/>
  <c r="Q1200" i="12"/>
  <c r="P1200" i="12"/>
  <c r="U1199" i="12"/>
  <c r="T1199" i="12"/>
  <c r="S1199" i="12"/>
  <c r="R1199" i="12"/>
  <c r="P1199" i="12"/>
  <c r="M1199" i="12"/>
  <c r="I1199" i="12"/>
  <c r="E1199" i="12"/>
  <c r="U1198" i="12"/>
  <c r="T1198" i="12"/>
  <c r="S1198" i="12"/>
  <c r="R1198" i="12"/>
  <c r="Q1198" i="12"/>
  <c r="P1198" i="12"/>
  <c r="U1197" i="12"/>
  <c r="T1197" i="12"/>
  <c r="S1197" i="12"/>
  <c r="R1197" i="12"/>
  <c r="Q1197" i="12"/>
  <c r="P1197" i="12"/>
  <c r="U1196" i="12"/>
  <c r="T1196" i="12"/>
  <c r="S1196" i="12"/>
  <c r="R1196" i="12"/>
  <c r="Q1196" i="12"/>
  <c r="P1196" i="12"/>
  <c r="D1196" i="12"/>
  <c r="U1195" i="12"/>
  <c r="T1195" i="12"/>
  <c r="S1195" i="12"/>
  <c r="R1195" i="12"/>
  <c r="Q1195" i="12"/>
  <c r="P1195" i="12"/>
  <c r="U1194" i="12"/>
  <c r="T1194" i="12"/>
  <c r="S1194" i="12"/>
  <c r="R1194" i="12"/>
  <c r="P1194" i="12"/>
  <c r="M1194" i="12"/>
  <c r="I1194" i="12"/>
  <c r="E1194" i="12"/>
  <c r="U1193" i="12"/>
  <c r="T1193" i="12"/>
  <c r="S1193" i="12"/>
  <c r="R1193" i="12"/>
  <c r="Q1193" i="12"/>
  <c r="P1193" i="12"/>
  <c r="U1192" i="12"/>
  <c r="T1192" i="12"/>
  <c r="S1192" i="12"/>
  <c r="R1192" i="12"/>
  <c r="Q1192" i="12"/>
  <c r="P1192" i="12"/>
  <c r="U1191" i="12"/>
  <c r="T1191" i="12"/>
  <c r="S1191" i="12"/>
  <c r="R1191" i="12"/>
  <c r="Q1191" i="12"/>
  <c r="P1191" i="12"/>
  <c r="D1191" i="12"/>
  <c r="U1190" i="12"/>
  <c r="T1190" i="12"/>
  <c r="S1190" i="12"/>
  <c r="R1190" i="12"/>
  <c r="Q1190" i="12"/>
  <c r="P1190" i="12"/>
  <c r="U1189" i="12"/>
  <c r="T1189" i="12"/>
  <c r="S1189" i="12"/>
  <c r="R1189" i="12"/>
  <c r="P1189" i="12"/>
  <c r="M1189" i="12"/>
  <c r="I1189" i="12"/>
  <c r="E1189" i="12"/>
  <c r="U1188" i="12"/>
  <c r="T1188" i="12"/>
  <c r="S1188" i="12"/>
  <c r="R1188" i="12"/>
  <c r="Q1188" i="12"/>
  <c r="P1188" i="12"/>
  <c r="U1187" i="12"/>
  <c r="T1187" i="12"/>
  <c r="S1187" i="12"/>
  <c r="R1187" i="12"/>
  <c r="Q1187" i="12"/>
  <c r="P1187" i="12"/>
  <c r="I1176" i="12"/>
  <c r="I1171" i="12"/>
  <c r="I1167" i="12"/>
  <c r="I1162" i="12"/>
  <c r="I1157" i="12"/>
  <c r="M1157" i="12"/>
  <c r="U1179" i="12"/>
  <c r="T1179" i="12"/>
  <c r="S1179" i="12"/>
  <c r="R1179" i="12"/>
  <c r="Q1179" i="12"/>
  <c r="P1179" i="12"/>
  <c r="D1179" i="12"/>
  <c r="J1176" i="12" s="1"/>
  <c r="U1178" i="12"/>
  <c r="T1178" i="12"/>
  <c r="S1178" i="12"/>
  <c r="R1178" i="12"/>
  <c r="Q1178" i="12"/>
  <c r="P1178" i="12"/>
  <c r="U1177" i="12"/>
  <c r="T1177" i="12"/>
  <c r="S1177" i="12"/>
  <c r="R1177" i="12"/>
  <c r="Q1177" i="12"/>
  <c r="P1177" i="12"/>
  <c r="U1176" i="12"/>
  <c r="T1176" i="12"/>
  <c r="S1176" i="12"/>
  <c r="R1176" i="12"/>
  <c r="M1176" i="12"/>
  <c r="U1175" i="12"/>
  <c r="T1175" i="12"/>
  <c r="S1175" i="12"/>
  <c r="R1175" i="12"/>
  <c r="Q1175" i="12"/>
  <c r="P1175" i="12"/>
  <c r="U1174" i="12"/>
  <c r="T1174" i="12"/>
  <c r="S1174" i="12"/>
  <c r="R1174" i="12"/>
  <c r="Q1174" i="12"/>
  <c r="P1174" i="12"/>
  <c r="D1174" i="12"/>
  <c r="J1171" i="12" s="1"/>
  <c r="U1173" i="12"/>
  <c r="T1173" i="12"/>
  <c r="S1173" i="12"/>
  <c r="R1173" i="12"/>
  <c r="Q1173" i="12"/>
  <c r="P1173" i="12"/>
  <c r="U1172" i="12"/>
  <c r="T1172" i="12"/>
  <c r="S1172" i="12"/>
  <c r="R1172" i="12"/>
  <c r="Q1172" i="12"/>
  <c r="P1172" i="12"/>
  <c r="U1171" i="12"/>
  <c r="T1171" i="12"/>
  <c r="S1171" i="12"/>
  <c r="R1171" i="12"/>
  <c r="M1171" i="12"/>
  <c r="U1170" i="12"/>
  <c r="T1170" i="12"/>
  <c r="S1170" i="12"/>
  <c r="R1170" i="12"/>
  <c r="Q1170" i="12"/>
  <c r="P1170" i="12"/>
  <c r="U1169" i="12"/>
  <c r="T1169" i="12"/>
  <c r="S1169" i="12"/>
  <c r="R1169" i="12"/>
  <c r="Q1169" i="12"/>
  <c r="P1169" i="12"/>
  <c r="D1169" i="12"/>
  <c r="U1168" i="12"/>
  <c r="T1168" i="12"/>
  <c r="S1168" i="12"/>
  <c r="R1168" i="12"/>
  <c r="Q1168" i="12"/>
  <c r="P1168" i="12"/>
  <c r="U1167" i="12"/>
  <c r="T1167" i="12"/>
  <c r="S1167" i="12"/>
  <c r="R1167" i="12"/>
  <c r="M1167" i="12"/>
  <c r="E1167" i="12"/>
  <c r="U1166" i="12"/>
  <c r="T1166" i="12"/>
  <c r="S1166" i="12"/>
  <c r="R1166" i="12"/>
  <c r="Q1166" i="12"/>
  <c r="P1166" i="12"/>
  <c r="U1165" i="12"/>
  <c r="T1165" i="12"/>
  <c r="S1165" i="12"/>
  <c r="R1165" i="12"/>
  <c r="Q1165" i="12"/>
  <c r="P1165" i="12"/>
  <c r="U1164" i="12"/>
  <c r="T1164" i="12"/>
  <c r="S1164" i="12"/>
  <c r="R1164" i="12"/>
  <c r="Q1164" i="12"/>
  <c r="P1164" i="12"/>
  <c r="D1164" i="12"/>
  <c r="U1163" i="12"/>
  <c r="T1163" i="12"/>
  <c r="S1163" i="12"/>
  <c r="R1163" i="12"/>
  <c r="Q1163" i="12"/>
  <c r="P1163" i="12"/>
  <c r="U1162" i="12"/>
  <c r="T1162" i="12"/>
  <c r="S1162" i="12"/>
  <c r="R1162" i="12"/>
  <c r="M1162" i="12"/>
  <c r="E1162" i="12"/>
  <c r="U1161" i="12"/>
  <c r="T1161" i="12"/>
  <c r="S1161" i="12"/>
  <c r="R1161" i="12"/>
  <c r="Q1161" i="12"/>
  <c r="P1161" i="12"/>
  <c r="U1160" i="12"/>
  <c r="T1160" i="12"/>
  <c r="S1160" i="12"/>
  <c r="R1160" i="12"/>
  <c r="Q1160" i="12"/>
  <c r="P1160" i="12"/>
  <c r="U1159" i="12"/>
  <c r="T1159" i="12"/>
  <c r="S1159" i="12"/>
  <c r="R1159" i="12"/>
  <c r="Q1159" i="12"/>
  <c r="P1159" i="12"/>
  <c r="D1159" i="12"/>
  <c r="U1158" i="12"/>
  <c r="T1158" i="12"/>
  <c r="S1158" i="12"/>
  <c r="R1158" i="12"/>
  <c r="Q1158" i="12"/>
  <c r="P1158" i="12"/>
  <c r="U1157" i="12"/>
  <c r="T1157" i="12"/>
  <c r="S1157" i="12"/>
  <c r="R1157" i="12"/>
  <c r="E1157" i="12"/>
  <c r="U1156" i="12"/>
  <c r="T1156" i="12"/>
  <c r="S1156" i="12"/>
  <c r="R1156" i="12"/>
  <c r="Q1156" i="12"/>
  <c r="P1156" i="12"/>
  <c r="U1155" i="12"/>
  <c r="T1155" i="12"/>
  <c r="S1155" i="12"/>
  <c r="R1155" i="12"/>
  <c r="Q1155" i="12"/>
  <c r="P1155" i="12"/>
  <c r="I1151" i="12"/>
  <c r="I1146" i="12"/>
  <c r="I1142" i="12"/>
  <c r="I1137" i="12"/>
  <c r="I1132" i="12"/>
  <c r="I1121" i="12"/>
  <c r="I1115" i="12"/>
  <c r="I1110" i="12"/>
  <c r="I1106" i="12"/>
  <c r="I1101" i="12"/>
  <c r="U1122" i="12"/>
  <c r="T1122" i="12"/>
  <c r="S1122" i="12"/>
  <c r="R1122" i="12"/>
  <c r="Q1122" i="12"/>
  <c r="P1122" i="12"/>
  <c r="U1121" i="12"/>
  <c r="T1121" i="12"/>
  <c r="S1121" i="12"/>
  <c r="R1121" i="12"/>
  <c r="M1121" i="12"/>
  <c r="D1121" i="12"/>
  <c r="J1121" i="12" s="1"/>
  <c r="U1120" i="12"/>
  <c r="T1120" i="12"/>
  <c r="S1120" i="12"/>
  <c r="R1120" i="12"/>
  <c r="Q1120" i="12"/>
  <c r="P1120" i="12"/>
  <c r="U1119" i="12"/>
  <c r="T1119" i="12"/>
  <c r="S1119" i="12"/>
  <c r="R1119" i="12"/>
  <c r="Q1119" i="12"/>
  <c r="P1119" i="12"/>
  <c r="U1118" i="12"/>
  <c r="T1118" i="12"/>
  <c r="S1118" i="12"/>
  <c r="R1118" i="12"/>
  <c r="Q1118" i="12"/>
  <c r="P1118" i="12"/>
  <c r="D1118" i="12"/>
  <c r="J1115" i="12" s="1"/>
  <c r="U1117" i="12"/>
  <c r="T1117" i="12"/>
  <c r="S1117" i="12"/>
  <c r="R1117" i="12"/>
  <c r="Q1117" i="12"/>
  <c r="P1117" i="12"/>
  <c r="U1116" i="12"/>
  <c r="T1116" i="12"/>
  <c r="S1116" i="12"/>
  <c r="R1116" i="12"/>
  <c r="Q1116" i="12"/>
  <c r="P1116" i="12"/>
  <c r="U1115" i="12"/>
  <c r="T1115" i="12"/>
  <c r="S1115" i="12"/>
  <c r="R1115" i="12"/>
  <c r="M1115" i="12"/>
  <c r="U1114" i="12"/>
  <c r="T1114" i="12"/>
  <c r="S1114" i="12"/>
  <c r="R1114" i="12"/>
  <c r="Q1114" i="12"/>
  <c r="P1114" i="12"/>
  <c r="U1113" i="12"/>
  <c r="T1113" i="12"/>
  <c r="S1113" i="12"/>
  <c r="R1113" i="12"/>
  <c r="Q1113" i="12"/>
  <c r="P1113" i="12"/>
  <c r="D1113" i="12"/>
  <c r="J1110" i="12" s="1"/>
  <c r="U1112" i="12"/>
  <c r="T1112" i="12"/>
  <c r="S1112" i="12"/>
  <c r="R1112" i="12"/>
  <c r="Q1112" i="12"/>
  <c r="P1112" i="12"/>
  <c r="U1111" i="12"/>
  <c r="T1111" i="12"/>
  <c r="S1111" i="12"/>
  <c r="R1111" i="12"/>
  <c r="Q1111" i="12"/>
  <c r="P1111" i="12"/>
  <c r="U1110" i="12"/>
  <c r="T1110" i="12"/>
  <c r="S1110" i="12"/>
  <c r="R1110" i="12"/>
  <c r="M1110" i="12"/>
  <c r="U1109" i="12"/>
  <c r="T1109" i="12"/>
  <c r="S1109" i="12"/>
  <c r="R1109" i="12"/>
  <c r="Q1109" i="12"/>
  <c r="P1109" i="12"/>
  <c r="U1108" i="12"/>
  <c r="T1108" i="12"/>
  <c r="S1108" i="12"/>
  <c r="R1108" i="12"/>
  <c r="Q1108" i="12"/>
  <c r="P1108" i="12"/>
  <c r="D1108" i="12"/>
  <c r="U1107" i="12"/>
  <c r="T1107" i="12"/>
  <c r="S1107" i="12"/>
  <c r="R1107" i="12"/>
  <c r="Q1107" i="12"/>
  <c r="P1107" i="12"/>
  <c r="U1106" i="12"/>
  <c r="T1106" i="12"/>
  <c r="S1106" i="12"/>
  <c r="R1106" i="12"/>
  <c r="M1106" i="12"/>
  <c r="E1106" i="12"/>
  <c r="U1105" i="12"/>
  <c r="T1105" i="12"/>
  <c r="S1105" i="12"/>
  <c r="R1105" i="12"/>
  <c r="Q1105" i="12"/>
  <c r="P1105" i="12"/>
  <c r="U1104" i="12"/>
  <c r="T1104" i="12"/>
  <c r="S1104" i="12"/>
  <c r="R1104" i="12"/>
  <c r="Q1104" i="12"/>
  <c r="P1104" i="12"/>
  <c r="U1103" i="12"/>
  <c r="T1103" i="12"/>
  <c r="S1103" i="12"/>
  <c r="R1103" i="12"/>
  <c r="Q1103" i="12"/>
  <c r="P1103" i="12"/>
  <c r="D1103" i="12"/>
  <c r="U1102" i="12"/>
  <c r="T1102" i="12"/>
  <c r="S1102" i="12"/>
  <c r="R1102" i="12"/>
  <c r="Q1102" i="12"/>
  <c r="P1102" i="12"/>
  <c r="U1101" i="12"/>
  <c r="T1101" i="12"/>
  <c r="S1101" i="12"/>
  <c r="R1101" i="12"/>
  <c r="M1101" i="12"/>
  <c r="E1101" i="12"/>
  <c r="U1100" i="12"/>
  <c r="T1100" i="12"/>
  <c r="S1100" i="12"/>
  <c r="R1100" i="12"/>
  <c r="Q1100" i="12"/>
  <c r="P1100" i="12"/>
  <c r="U1099" i="12"/>
  <c r="T1099" i="12"/>
  <c r="S1099" i="12"/>
  <c r="R1099" i="12"/>
  <c r="Q1099" i="12"/>
  <c r="P1099" i="12"/>
  <c r="I1097" i="12"/>
  <c r="I1091" i="12"/>
  <c r="I1086" i="12"/>
  <c r="I1082" i="12"/>
  <c r="I1077" i="12"/>
  <c r="I1011" i="12"/>
  <c r="I1005" i="12"/>
  <c r="I1000" i="12"/>
  <c r="I996" i="12"/>
  <c r="I991" i="12"/>
  <c r="I935" i="12"/>
  <c r="I940" i="12"/>
  <c r="I944" i="12"/>
  <c r="I949" i="12"/>
  <c r="I955" i="12"/>
  <c r="U1067" i="12"/>
  <c r="T1067" i="12"/>
  <c r="S1067" i="12"/>
  <c r="R1067" i="12"/>
  <c r="Q1067" i="12"/>
  <c r="P1067" i="12"/>
  <c r="U1066" i="12"/>
  <c r="T1066" i="12"/>
  <c r="S1066" i="12"/>
  <c r="R1066" i="12"/>
  <c r="M1066" i="12"/>
  <c r="I1066" i="12"/>
  <c r="D1066" i="12"/>
  <c r="J1066" i="12" s="1"/>
  <c r="U1065" i="12"/>
  <c r="T1065" i="12"/>
  <c r="S1065" i="12"/>
  <c r="R1065" i="12"/>
  <c r="Q1065" i="12"/>
  <c r="P1065" i="12"/>
  <c r="U1064" i="12"/>
  <c r="T1064" i="12"/>
  <c r="S1064" i="12"/>
  <c r="R1064" i="12"/>
  <c r="Q1064" i="12"/>
  <c r="P1064" i="12"/>
  <c r="U1063" i="12"/>
  <c r="T1063" i="12"/>
  <c r="S1063" i="12"/>
  <c r="R1063" i="12"/>
  <c r="Q1063" i="12"/>
  <c r="P1063" i="12"/>
  <c r="D1063" i="12"/>
  <c r="J1060" i="12" s="1"/>
  <c r="U1062" i="12"/>
  <c r="T1062" i="12"/>
  <c r="S1062" i="12"/>
  <c r="R1062" i="12"/>
  <c r="Q1062" i="12"/>
  <c r="P1062" i="12"/>
  <c r="U1061" i="12"/>
  <c r="T1061" i="12"/>
  <c r="S1061" i="12"/>
  <c r="R1061" i="12"/>
  <c r="Q1061" i="12"/>
  <c r="P1061" i="12"/>
  <c r="U1060" i="12"/>
  <c r="T1060" i="12"/>
  <c r="S1060" i="12"/>
  <c r="R1060" i="12"/>
  <c r="M1060" i="12"/>
  <c r="I1060" i="12"/>
  <c r="U1059" i="12"/>
  <c r="T1059" i="12"/>
  <c r="S1059" i="12"/>
  <c r="R1059" i="12"/>
  <c r="Q1059" i="12"/>
  <c r="P1059" i="12"/>
  <c r="U1058" i="12"/>
  <c r="T1058" i="12"/>
  <c r="S1058" i="12"/>
  <c r="R1058" i="12"/>
  <c r="Q1058" i="12"/>
  <c r="P1058" i="12"/>
  <c r="D1058" i="12"/>
  <c r="J1055" i="12" s="1"/>
  <c r="U1057" i="12"/>
  <c r="T1057" i="12"/>
  <c r="S1057" i="12"/>
  <c r="R1057" i="12"/>
  <c r="Q1057" i="12"/>
  <c r="P1057" i="12"/>
  <c r="U1056" i="12"/>
  <c r="T1056" i="12"/>
  <c r="S1056" i="12"/>
  <c r="R1056" i="12"/>
  <c r="Q1056" i="12"/>
  <c r="P1056" i="12"/>
  <c r="U1055" i="12"/>
  <c r="T1055" i="12"/>
  <c r="S1055" i="12"/>
  <c r="R1055" i="12"/>
  <c r="M1055" i="12"/>
  <c r="I1055" i="12"/>
  <c r="U1054" i="12"/>
  <c r="T1054" i="12"/>
  <c r="S1054" i="12"/>
  <c r="R1054" i="12"/>
  <c r="Q1054" i="12"/>
  <c r="P1054" i="12"/>
  <c r="U1053" i="12"/>
  <c r="T1053" i="12"/>
  <c r="S1053" i="12"/>
  <c r="R1053" i="12"/>
  <c r="Q1053" i="12"/>
  <c r="P1053" i="12"/>
  <c r="D1053" i="12"/>
  <c r="U1052" i="12"/>
  <c r="T1052" i="12"/>
  <c r="S1052" i="12"/>
  <c r="R1052" i="12"/>
  <c r="Q1052" i="12"/>
  <c r="P1052" i="12"/>
  <c r="U1051" i="12"/>
  <c r="T1051" i="12"/>
  <c r="S1051" i="12"/>
  <c r="R1051" i="12"/>
  <c r="M1051" i="12"/>
  <c r="I1051" i="12"/>
  <c r="E1051" i="12"/>
  <c r="U1050" i="12"/>
  <c r="T1050" i="12"/>
  <c r="S1050" i="12"/>
  <c r="R1050" i="12"/>
  <c r="Q1050" i="12"/>
  <c r="P1050" i="12"/>
  <c r="U1049" i="12"/>
  <c r="T1049" i="12"/>
  <c r="S1049" i="12"/>
  <c r="R1049" i="12"/>
  <c r="Q1049" i="12"/>
  <c r="P1049" i="12"/>
  <c r="U1048" i="12"/>
  <c r="T1048" i="12"/>
  <c r="S1048" i="12"/>
  <c r="R1048" i="12"/>
  <c r="Q1048" i="12"/>
  <c r="P1048" i="12"/>
  <c r="D1048" i="12"/>
  <c r="U1047" i="12"/>
  <c r="T1047" i="12"/>
  <c r="S1047" i="12"/>
  <c r="R1047" i="12"/>
  <c r="Q1047" i="12"/>
  <c r="P1047" i="12"/>
  <c r="U1046" i="12"/>
  <c r="T1046" i="12"/>
  <c r="S1046" i="12"/>
  <c r="R1046" i="12"/>
  <c r="M1046" i="12"/>
  <c r="I1046" i="12"/>
  <c r="E1046" i="12"/>
  <c r="U1045" i="12"/>
  <c r="T1045" i="12"/>
  <c r="S1045" i="12"/>
  <c r="R1045" i="12"/>
  <c r="Q1045" i="12"/>
  <c r="P1045" i="12"/>
  <c r="U1044" i="12"/>
  <c r="T1044" i="12"/>
  <c r="S1044" i="12"/>
  <c r="R1044" i="12"/>
  <c r="Q1044" i="12"/>
  <c r="P1044" i="12"/>
  <c r="U1043" i="12"/>
  <c r="T1043" i="12"/>
  <c r="S1043" i="12"/>
  <c r="R1043" i="12"/>
  <c r="Q1043" i="12"/>
  <c r="P1043" i="12"/>
  <c r="U1042" i="12"/>
  <c r="T1042" i="12"/>
  <c r="S1042" i="12"/>
  <c r="R1042" i="12"/>
  <c r="P1042" i="12"/>
  <c r="M1042" i="12"/>
  <c r="I1042" i="12"/>
  <c r="D1042" i="12"/>
  <c r="J1042" i="12" s="1"/>
  <c r="U1041" i="12"/>
  <c r="T1041" i="12"/>
  <c r="S1041" i="12"/>
  <c r="R1041" i="12"/>
  <c r="Q1041" i="12"/>
  <c r="P1041" i="12"/>
  <c r="U1040" i="12"/>
  <c r="T1040" i="12"/>
  <c r="S1040" i="12"/>
  <c r="R1040" i="12"/>
  <c r="Q1040" i="12"/>
  <c r="P1040" i="12"/>
  <c r="U1039" i="12"/>
  <c r="T1039" i="12"/>
  <c r="S1039" i="12"/>
  <c r="R1039" i="12"/>
  <c r="Q1039" i="12"/>
  <c r="P1039" i="12"/>
  <c r="D1039" i="12"/>
  <c r="J1036" i="12" s="1"/>
  <c r="U1038" i="12"/>
  <c r="T1038" i="12"/>
  <c r="S1038" i="12"/>
  <c r="R1038" i="12"/>
  <c r="Q1038" i="12"/>
  <c r="P1038" i="12"/>
  <c r="U1037" i="12"/>
  <c r="T1037" i="12"/>
  <c r="S1037" i="12"/>
  <c r="R1037" i="12"/>
  <c r="Q1037" i="12"/>
  <c r="P1037" i="12"/>
  <c r="U1036" i="12"/>
  <c r="T1036" i="12"/>
  <c r="S1036" i="12"/>
  <c r="R1036" i="12"/>
  <c r="P1036" i="12"/>
  <c r="M1036" i="12"/>
  <c r="I1036" i="12"/>
  <c r="U1035" i="12"/>
  <c r="T1035" i="12"/>
  <c r="S1035" i="12"/>
  <c r="R1035" i="12"/>
  <c r="Q1035" i="12"/>
  <c r="P1035" i="12"/>
  <c r="U1034" i="12"/>
  <c r="T1034" i="12"/>
  <c r="S1034" i="12"/>
  <c r="R1034" i="12"/>
  <c r="Q1034" i="12"/>
  <c r="P1034" i="12"/>
  <c r="D1034" i="12"/>
  <c r="J1031" i="12" s="1"/>
  <c r="U1033" i="12"/>
  <c r="T1033" i="12"/>
  <c r="S1033" i="12"/>
  <c r="R1033" i="12"/>
  <c r="Q1033" i="12"/>
  <c r="P1033" i="12"/>
  <c r="U1032" i="12"/>
  <c r="T1032" i="12"/>
  <c r="S1032" i="12"/>
  <c r="R1032" i="12"/>
  <c r="Q1032" i="12"/>
  <c r="P1032" i="12"/>
  <c r="U1031" i="12"/>
  <c r="T1031" i="12"/>
  <c r="S1031" i="12"/>
  <c r="R1031" i="12"/>
  <c r="P1031" i="12"/>
  <c r="M1031" i="12"/>
  <c r="I1031" i="12"/>
  <c r="U1030" i="12"/>
  <c r="T1030" i="12"/>
  <c r="S1030" i="12"/>
  <c r="R1030" i="12"/>
  <c r="Q1030" i="12"/>
  <c r="P1030" i="12"/>
  <c r="U1029" i="12"/>
  <c r="T1029" i="12"/>
  <c r="S1029" i="12"/>
  <c r="R1029" i="12"/>
  <c r="Q1029" i="12"/>
  <c r="P1029" i="12"/>
  <c r="D1029" i="12"/>
  <c r="U1028" i="12"/>
  <c r="T1028" i="12"/>
  <c r="S1028" i="12"/>
  <c r="R1028" i="12"/>
  <c r="Q1028" i="12"/>
  <c r="P1028" i="12"/>
  <c r="U1027" i="12"/>
  <c r="T1027" i="12"/>
  <c r="S1027" i="12"/>
  <c r="R1027" i="12"/>
  <c r="P1027" i="12"/>
  <c r="M1027" i="12"/>
  <c r="I1027" i="12"/>
  <c r="E1027" i="12"/>
  <c r="U1026" i="12"/>
  <c r="T1026" i="12"/>
  <c r="S1026" i="12"/>
  <c r="R1026" i="12"/>
  <c r="Q1026" i="12"/>
  <c r="P1026" i="12"/>
  <c r="U1025" i="12"/>
  <c r="T1025" i="12"/>
  <c r="S1025" i="12"/>
  <c r="R1025" i="12"/>
  <c r="Q1025" i="12"/>
  <c r="P1025" i="12"/>
  <c r="U1024" i="12"/>
  <c r="T1024" i="12"/>
  <c r="S1024" i="12"/>
  <c r="R1024" i="12"/>
  <c r="Q1024" i="12"/>
  <c r="P1024" i="12"/>
  <c r="D1024" i="12"/>
  <c r="U1023" i="12"/>
  <c r="T1023" i="12"/>
  <c r="S1023" i="12"/>
  <c r="R1023" i="12"/>
  <c r="Q1023" i="12"/>
  <c r="P1023" i="12"/>
  <c r="U1022" i="12"/>
  <c r="T1022" i="12"/>
  <c r="S1022" i="12"/>
  <c r="R1022" i="12"/>
  <c r="P1022" i="12"/>
  <c r="M1022" i="12"/>
  <c r="I1022" i="12"/>
  <c r="E1022" i="12"/>
  <c r="U1021" i="12"/>
  <c r="T1021" i="12"/>
  <c r="S1021" i="12"/>
  <c r="R1021" i="12"/>
  <c r="Q1021" i="12"/>
  <c r="P1021" i="12"/>
  <c r="U1020" i="12"/>
  <c r="T1020" i="12"/>
  <c r="S1020" i="12"/>
  <c r="R1020" i="12"/>
  <c r="Q1020" i="12"/>
  <c r="P1020" i="12"/>
  <c r="U1019" i="12"/>
  <c r="T1019" i="12"/>
  <c r="R1019" i="12"/>
  <c r="Q1019" i="12"/>
  <c r="P1019" i="12"/>
  <c r="M1019" i="12"/>
  <c r="J1019" i="12"/>
  <c r="U1018" i="12"/>
  <c r="T1018" i="12"/>
  <c r="R1018" i="12"/>
  <c r="Q1018" i="12"/>
  <c r="P1018" i="12"/>
  <c r="M1018" i="12"/>
  <c r="J1018" i="12"/>
  <c r="U1017" i="12"/>
  <c r="T1017" i="12"/>
  <c r="R1017" i="12"/>
  <c r="Q1017" i="12"/>
  <c r="P1017" i="12"/>
  <c r="M1017" i="12"/>
  <c r="J1017" i="12"/>
  <c r="U1016" i="12"/>
  <c r="T1016" i="12"/>
  <c r="R1016" i="12"/>
  <c r="Q1016" i="12"/>
  <c r="P1016" i="12"/>
  <c r="M1016" i="12"/>
  <c r="J1016" i="12"/>
  <c r="U1015" i="12"/>
  <c r="S1015" i="12"/>
  <c r="R1015" i="12"/>
  <c r="Q1015" i="12"/>
  <c r="P1015" i="12"/>
  <c r="M1015" i="12"/>
  <c r="J1015" i="12"/>
  <c r="U1014" i="12"/>
  <c r="T1014" i="12"/>
  <c r="S1014" i="12"/>
  <c r="R1014" i="12"/>
  <c r="Q1014" i="12"/>
  <c r="P1014" i="12"/>
  <c r="U1013" i="12"/>
  <c r="T1013" i="12"/>
  <c r="S1013" i="12"/>
  <c r="R1013" i="12"/>
  <c r="Q1013" i="12"/>
  <c r="P1013" i="12"/>
  <c r="P1068" i="12"/>
  <c r="Q1068" i="12"/>
  <c r="R1068" i="12"/>
  <c r="S1068" i="12"/>
  <c r="T1068" i="12"/>
  <c r="U1068" i="12"/>
  <c r="U1012" i="12"/>
  <c r="T1012" i="12"/>
  <c r="S1012" i="12"/>
  <c r="R1012" i="12"/>
  <c r="Q1012" i="12"/>
  <c r="P1012" i="12"/>
  <c r="U1011" i="12"/>
  <c r="T1011" i="12"/>
  <c r="S1011" i="12"/>
  <c r="R1011" i="12"/>
  <c r="M1011" i="12"/>
  <c r="D1011" i="12"/>
  <c r="J1011" i="12" s="1"/>
  <c r="U1010" i="12"/>
  <c r="T1010" i="12"/>
  <c r="S1010" i="12"/>
  <c r="R1010" i="12"/>
  <c r="Q1010" i="12"/>
  <c r="P1010" i="12"/>
  <c r="U1009" i="12"/>
  <c r="T1009" i="12"/>
  <c r="S1009" i="12"/>
  <c r="R1009" i="12"/>
  <c r="Q1009" i="12"/>
  <c r="P1009" i="12"/>
  <c r="U1008" i="12"/>
  <c r="T1008" i="12"/>
  <c r="S1008" i="12"/>
  <c r="R1008" i="12"/>
  <c r="Q1008" i="12"/>
  <c r="P1008" i="12"/>
  <c r="D1008" i="12"/>
  <c r="J1005" i="12" s="1"/>
  <c r="U1007" i="12"/>
  <c r="T1007" i="12"/>
  <c r="S1007" i="12"/>
  <c r="R1007" i="12"/>
  <c r="Q1007" i="12"/>
  <c r="P1007" i="12"/>
  <c r="U1006" i="12"/>
  <c r="T1006" i="12"/>
  <c r="S1006" i="12"/>
  <c r="R1006" i="12"/>
  <c r="Q1006" i="12"/>
  <c r="P1006" i="12"/>
  <c r="U1005" i="12"/>
  <c r="T1005" i="12"/>
  <c r="S1005" i="12"/>
  <c r="R1005" i="12"/>
  <c r="M1005" i="12"/>
  <c r="U1004" i="12"/>
  <c r="T1004" i="12"/>
  <c r="S1004" i="12"/>
  <c r="R1004" i="12"/>
  <c r="Q1004" i="12"/>
  <c r="P1004" i="12"/>
  <c r="U1003" i="12"/>
  <c r="T1003" i="12"/>
  <c r="S1003" i="12"/>
  <c r="R1003" i="12"/>
  <c r="Q1003" i="12"/>
  <c r="P1003" i="12"/>
  <c r="D1003" i="12"/>
  <c r="J1000" i="12" s="1"/>
  <c r="U1002" i="12"/>
  <c r="T1002" i="12"/>
  <c r="S1002" i="12"/>
  <c r="R1002" i="12"/>
  <c r="Q1002" i="12"/>
  <c r="P1002" i="12"/>
  <c r="U1001" i="12"/>
  <c r="T1001" i="12"/>
  <c r="S1001" i="12"/>
  <c r="R1001" i="12"/>
  <c r="Q1001" i="12"/>
  <c r="P1001" i="12"/>
  <c r="U1000" i="12"/>
  <c r="T1000" i="12"/>
  <c r="S1000" i="12"/>
  <c r="R1000" i="12"/>
  <c r="M1000" i="12"/>
  <c r="U999" i="12"/>
  <c r="T999" i="12"/>
  <c r="S999" i="12"/>
  <c r="R999" i="12"/>
  <c r="Q999" i="12"/>
  <c r="P999" i="12"/>
  <c r="U998" i="12"/>
  <c r="T998" i="12"/>
  <c r="S998" i="12"/>
  <c r="R998" i="12"/>
  <c r="Q998" i="12"/>
  <c r="P998" i="12"/>
  <c r="D998" i="12"/>
  <c r="U997" i="12"/>
  <c r="T997" i="12"/>
  <c r="S997" i="12"/>
  <c r="R997" i="12"/>
  <c r="Q997" i="12"/>
  <c r="P997" i="12"/>
  <c r="U996" i="12"/>
  <c r="T996" i="12"/>
  <c r="S996" i="12"/>
  <c r="R996" i="12"/>
  <c r="M996" i="12"/>
  <c r="E996" i="12"/>
  <c r="U995" i="12"/>
  <c r="T995" i="12"/>
  <c r="S995" i="12"/>
  <c r="R995" i="12"/>
  <c r="Q995" i="12"/>
  <c r="P995" i="12"/>
  <c r="U994" i="12"/>
  <c r="T994" i="12"/>
  <c r="S994" i="12"/>
  <c r="R994" i="12"/>
  <c r="Q994" i="12"/>
  <c r="P994" i="12"/>
  <c r="U993" i="12"/>
  <c r="T993" i="12"/>
  <c r="S993" i="12"/>
  <c r="R993" i="12"/>
  <c r="Q993" i="12"/>
  <c r="P993" i="12"/>
  <c r="D993" i="12"/>
  <c r="U992" i="12"/>
  <c r="T992" i="12"/>
  <c r="S992" i="12"/>
  <c r="R992" i="12"/>
  <c r="Q992" i="12"/>
  <c r="P992" i="12"/>
  <c r="U991" i="12"/>
  <c r="T991" i="12"/>
  <c r="S991" i="12"/>
  <c r="R991" i="12"/>
  <c r="M991" i="12"/>
  <c r="E991" i="12"/>
  <c r="U990" i="12"/>
  <c r="T990" i="12"/>
  <c r="S990" i="12"/>
  <c r="R990" i="12"/>
  <c r="Q990" i="12"/>
  <c r="P990" i="12"/>
  <c r="U989" i="12"/>
  <c r="T989" i="12"/>
  <c r="S989" i="12"/>
  <c r="R989" i="12"/>
  <c r="Q989" i="12"/>
  <c r="P989" i="12"/>
  <c r="I987" i="12"/>
  <c r="I981" i="12"/>
  <c r="I976" i="12"/>
  <c r="I972" i="12"/>
  <c r="I967" i="12"/>
  <c r="J991" i="12" l="1"/>
  <c r="J1106" i="12"/>
  <c r="K1182" i="12"/>
  <c r="J1101" i="12"/>
  <c r="N1101" i="12" s="1"/>
  <c r="O1101" i="12" s="1"/>
  <c r="P1101" i="12" s="1"/>
  <c r="J996" i="12"/>
  <c r="J1167" i="12"/>
  <c r="N1167" i="12" s="1"/>
  <c r="O1167" i="12" s="1"/>
  <c r="N1031" i="12"/>
  <c r="O1031" i="12" s="1"/>
  <c r="Q1031" i="12" s="1"/>
  <c r="N991" i="12"/>
  <c r="O991" i="12" s="1"/>
  <c r="Q991" i="12" s="1"/>
  <c r="J1022" i="12"/>
  <c r="N1022" i="12" s="1"/>
  <c r="W1593" i="11"/>
  <c r="J11" i="14"/>
  <c r="M11" i="14" s="1"/>
  <c r="N1110" i="12"/>
  <c r="O1110" i="12" s="1"/>
  <c r="Q1110" i="12" s="1"/>
  <c r="J1194" i="12"/>
  <c r="N1194" i="12" s="1"/>
  <c r="O1194" i="12" s="1"/>
  <c r="Q1194" i="12" s="1"/>
  <c r="K1183" i="12"/>
  <c r="N1176" i="12"/>
  <c r="O1176" i="12" s="1"/>
  <c r="N996" i="12"/>
  <c r="O996" i="12" s="1"/>
  <c r="N1066" i="12"/>
  <c r="O1066" i="12" s="1"/>
  <c r="J1157" i="12"/>
  <c r="J1189" i="12"/>
  <c r="N1189" i="12" s="1"/>
  <c r="O1189" i="12" s="1"/>
  <c r="Q1189" i="12" s="1"/>
  <c r="N1233" i="12"/>
  <c r="O1233" i="12" s="1"/>
  <c r="P1233" i="12" s="1"/>
  <c r="J1027" i="12"/>
  <c r="N1027" i="12" s="1"/>
  <c r="O1027" i="12" s="1"/>
  <c r="Q1027" i="12" s="1"/>
  <c r="J1219" i="12"/>
  <c r="N1219" i="12" s="1"/>
  <c r="O1219" i="12" s="1"/>
  <c r="P1219" i="12" s="1"/>
  <c r="N1005" i="12"/>
  <c r="O1005" i="12" s="1"/>
  <c r="Q1005" i="12" s="1"/>
  <c r="J1162" i="12"/>
  <c r="N1162" i="12" s="1"/>
  <c r="O1162" i="12" s="1"/>
  <c r="N1115" i="12"/>
  <c r="O1115" i="12" s="1"/>
  <c r="P1115" i="12" s="1"/>
  <c r="O1185" i="12"/>
  <c r="R1185" i="12" s="1"/>
  <c r="O1186" i="12"/>
  <c r="R1186" i="12" s="1"/>
  <c r="J1046" i="12"/>
  <c r="N1046" i="12" s="1"/>
  <c r="O1046" i="12" s="1"/>
  <c r="J1051" i="12"/>
  <c r="N1051" i="12" s="1"/>
  <c r="O1051" i="12" s="1"/>
  <c r="N1106" i="12"/>
  <c r="O1106" i="12" s="1"/>
  <c r="N1203" i="12"/>
  <c r="O1203" i="12" s="1"/>
  <c r="Q1203" i="12" s="1"/>
  <c r="N1208" i="12"/>
  <c r="O1208" i="12" s="1"/>
  <c r="Q1208" i="12" s="1"/>
  <c r="N1036" i="12"/>
  <c r="O1036" i="12" s="1"/>
  <c r="Q1036" i="12" s="1"/>
  <c r="J1214" i="12"/>
  <c r="N1214" i="12" s="1"/>
  <c r="O1214" i="12" s="1"/>
  <c r="P1214" i="12" s="1"/>
  <c r="N1228" i="12"/>
  <c r="O1228" i="12" s="1"/>
  <c r="P1228" i="12" s="1"/>
  <c r="Q1101" i="12"/>
  <c r="Q1115" i="12"/>
  <c r="N1015" i="12"/>
  <c r="K1015" i="12" s="1"/>
  <c r="N1011" i="12"/>
  <c r="O1011" i="12" s="1"/>
  <c r="N1018" i="12"/>
  <c r="K1018" i="12" s="1"/>
  <c r="N1042" i="12"/>
  <c r="O1042" i="12" s="1"/>
  <c r="Q1042" i="12" s="1"/>
  <c r="N1055" i="12"/>
  <c r="O1055" i="12" s="1"/>
  <c r="N1060" i="12"/>
  <c r="O1060" i="12" s="1"/>
  <c r="N1171" i="12"/>
  <c r="O1171" i="12" s="1"/>
  <c r="J1199" i="12"/>
  <c r="N1199" i="12" s="1"/>
  <c r="O1199" i="12" s="1"/>
  <c r="Q1199" i="12" s="1"/>
  <c r="N1121" i="12"/>
  <c r="O1121" i="12" s="1"/>
  <c r="J1224" i="12"/>
  <c r="N1224" i="12" s="1"/>
  <c r="O1224" i="12" s="1"/>
  <c r="P1224" i="12" s="1"/>
  <c r="Q1279" i="12"/>
  <c r="P1279" i="12"/>
  <c r="Q1274" i="12"/>
  <c r="P1274" i="12"/>
  <c r="Q1270" i="12"/>
  <c r="P1270" i="12"/>
  <c r="Q1265" i="12"/>
  <c r="P1265" i="12"/>
  <c r="K1184" i="12"/>
  <c r="N1157" i="12"/>
  <c r="O1157" i="12" s="1"/>
  <c r="N1019" i="12"/>
  <c r="K1019" i="12" s="1"/>
  <c r="N1016" i="12"/>
  <c r="K1016" i="12" s="1"/>
  <c r="N1017" i="12"/>
  <c r="O1017" i="12" s="1"/>
  <c r="S1017" i="12" s="1"/>
  <c r="O1022" i="12"/>
  <c r="Q1022" i="12" s="1"/>
  <c r="N1000" i="12"/>
  <c r="O1000" i="12" s="1"/>
  <c r="U956" i="12"/>
  <c r="T956" i="12"/>
  <c r="S956" i="12"/>
  <c r="R956" i="12"/>
  <c r="Q956" i="12"/>
  <c r="P956" i="12"/>
  <c r="U955" i="12"/>
  <c r="T955" i="12"/>
  <c r="S955" i="12"/>
  <c r="R955" i="12"/>
  <c r="Q955" i="12"/>
  <c r="M955" i="12"/>
  <c r="D955" i="12"/>
  <c r="J955" i="12" s="1"/>
  <c r="U954" i="12"/>
  <c r="T954" i="12"/>
  <c r="S954" i="12"/>
  <c r="R954" i="12"/>
  <c r="Q954" i="12"/>
  <c r="P954" i="12"/>
  <c r="U953" i="12"/>
  <c r="T953" i="12"/>
  <c r="S953" i="12"/>
  <c r="R953" i="12"/>
  <c r="Q953" i="12"/>
  <c r="P953" i="12"/>
  <c r="U952" i="12"/>
  <c r="T952" i="12"/>
  <c r="S952" i="12"/>
  <c r="R952" i="12"/>
  <c r="Q952" i="12"/>
  <c r="P952" i="12"/>
  <c r="D952" i="12"/>
  <c r="J949" i="12" s="1"/>
  <c r="U951" i="12"/>
  <c r="T951" i="12"/>
  <c r="S951" i="12"/>
  <c r="R951" i="12"/>
  <c r="Q951" i="12"/>
  <c r="P951" i="12"/>
  <c r="U950" i="12"/>
  <c r="T950" i="12"/>
  <c r="S950" i="12"/>
  <c r="R950" i="12"/>
  <c r="Q950" i="12"/>
  <c r="P950" i="12"/>
  <c r="U949" i="12"/>
  <c r="T949" i="12"/>
  <c r="S949" i="12"/>
  <c r="R949" i="12"/>
  <c r="Q949" i="12"/>
  <c r="M949" i="12"/>
  <c r="U948" i="12"/>
  <c r="T948" i="12"/>
  <c r="S948" i="12"/>
  <c r="R948" i="12"/>
  <c r="Q948" i="12"/>
  <c r="P948" i="12"/>
  <c r="U947" i="12"/>
  <c r="T947" i="12"/>
  <c r="S947" i="12"/>
  <c r="R947" i="12"/>
  <c r="Q947" i="12"/>
  <c r="P947" i="12"/>
  <c r="D947" i="12"/>
  <c r="J944" i="12" s="1"/>
  <c r="U946" i="12"/>
  <c r="T946" i="12"/>
  <c r="S946" i="12"/>
  <c r="R946" i="12"/>
  <c r="Q946" i="12"/>
  <c r="P946" i="12"/>
  <c r="U945" i="12"/>
  <c r="T945" i="12"/>
  <c r="S945" i="12"/>
  <c r="R945" i="12"/>
  <c r="Q945" i="12"/>
  <c r="P945" i="12"/>
  <c r="U944" i="12"/>
  <c r="T944" i="12"/>
  <c r="S944" i="12"/>
  <c r="R944" i="12"/>
  <c r="Q944" i="12"/>
  <c r="M944" i="12"/>
  <c r="U943" i="12"/>
  <c r="T943" i="12"/>
  <c r="S943" i="12"/>
  <c r="R943" i="12"/>
  <c r="Q943" i="12"/>
  <c r="P943" i="12"/>
  <c r="U942" i="12"/>
  <c r="T942" i="12"/>
  <c r="S942" i="12"/>
  <c r="R942" i="12"/>
  <c r="Q942" i="12"/>
  <c r="P942" i="12"/>
  <c r="D942" i="12"/>
  <c r="U941" i="12"/>
  <c r="T941" i="12"/>
  <c r="S941" i="12"/>
  <c r="R941" i="12"/>
  <c r="Q941" i="12"/>
  <c r="P941" i="12"/>
  <c r="U940" i="12"/>
  <c r="T940" i="12"/>
  <c r="S940" i="12"/>
  <c r="R940" i="12"/>
  <c r="Q940" i="12"/>
  <c r="M940" i="12"/>
  <c r="E940" i="12"/>
  <c r="U939" i="12"/>
  <c r="T939" i="12"/>
  <c r="S939" i="12"/>
  <c r="R939" i="12"/>
  <c r="Q939" i="12"/>
  <c r="P939" i="12"/>
  <c r="U938" i="12"/>
  <c r="T938" i="12"/>
  <c r="S938" i="12"/>
  <c r="R938" i="12"/>
  <c r="Q938" i="12"/>
  <c r="P938" i="12"/>
  <c r="U937" i="12"/>
  <c r="T937" i="12"/>
  <c r="S937" i="12"/>
  <c r="R937" i="12"/>
  <c r="Q937" i="12"/>
  <c r="P937" i="12"/>
  <c r="D937" i="12"/>
  <c r="U936" i="12"/>
  <c r="T936" i="12"/>
  <c r="S936" i="12"/>
  <c r="R936" i="12"/>
  <c r="Q936" i="12"/>
  <c r="P936" i="12"/>
  <c r="U935" i="12"/>
  <c r="T935" i="12"/>
  <c r="S935" i="12"/>
  <c r="R935" i="12"/>
  <c r="Q935" i="12"/>
  <c r="M935" i="12"/>
  <c r="E935" i="12"/>
  <c r="U934" i="12"/>
  <c r="T934" i="12"/>
  <c r="S934" i="12"/>
  <c r="R934" i="12"/>
  <c r="Q934" i="12"/>
  <c r="P934" i="12"/>
  <c r="U933" i="12"/>
  <c r="T933" i="12"/>
  <c r="S933" i="12"/>
  <c r="R933" i="12"/>
  <c r="Q933" i="12"/>
  <c r="P933" i="12"/>
  <c r="U932" i="12"/>
  <c r="T932" i="12"/>
  <c r="S932" i="12"/>
  <c r="R932" i="12"/>
  <c r="Q932" i="12"/>
  <c r="P932" i="12"/>
  <c r="U931" i="12"/>
  <c r="T931" i="12"/>
  <c r="S931" i="12"/>
  <c r="R931" i="12"/>
  <c r="P931" i="12"/>
  <c r="M931" i="12"/>
  <c r="I931" i="12"/>
  <c r="D931" i="12"/>
  <c r="J931" i="12" s="1"/>
  <c r="U930" i="12"/>
  <c r="T930" i="12"/>
  <c r="S930" i="12"/>
  <c r="R930" i="12"/>
  <c r="Q930" i="12"/>
  <c r="P930" i="12"/>
  <c r="U929" i="12"/>
  <c r="T929" i="12"/>
  <c r="S929" i="12"/>
  <c r="R929" i="12"/>
  <c r="Q929" i="12"/>
  <c r="P929" i="12"/>
  <c r="U928" i="12"/>
  <c r="T928" i="12"/>
  <c r="S928" i="12"/>
  <c r="R928" i="12"/>
  <c r="Q928" i="12"/>
  <c r="P928" i="12"/>
  <c r="D928" i="12"/>
  <c r="J925" i="12" s="1"/>
  <c r="U927" i="12"/>
  <c r="T927" i="12"/>
  <c r="S927" i="12"/>
  <c r="R927" i="12"/>
  <c r="Q927" i="12"/>
  <c r="P927" i="12"/>
  <c r="U926" i="12"/>
  <c r="T926" i="12"/>
  <c r="S926" i="12"/>
  <c r="R926" i="12"/>
  <c r="Q926" i="12"/>
  <c r="P926" i="12"/>
  <c r="U925" i="12"/>
  <c r="T925" i="12"/>
  <c r="S925" i="12"/>
  <c r="R925" i="12"/>
  <c r="P925" i="12"/>
  <c r="M925" i="12"/>
  <c r="I925" i="12"/>
  <c r="U924" i="12"/>
  <c r="T924" i="12"/>
  <c r="S924" i="12"/>
  <c r="R924" i="12"/>
  <c r="Q924" i="12"/>
  <c r="P924" i="12"/>
  <c r="U923" i="12"/>
  <c r="T923" i="12"/>
  <c r="S923" i="12"/>
  <c r="R923" i="12"/>
  <c r="Q923" i="12"/>
  <c r="P923" i="12"/>
  <c r="D923" i="12"/>
  <c r="J920" i="12" s="1"/>
  <c r="U922" i="12"/>
  <c r="T922" i="12"/>
  <c r="S922" i="12"/>
  <c r="R922" i="12"/>
  <c r="Q922" i="12"/>
  <c r="P922" i="12"/>
  <c r="U921" i="12"/>
  <c r="T921" i="12"/>
  <c r="S921" i="12"/>
  <c r="R921" i="12"/>
  <c r="Q921" i="12"/>
  <c r="P921" i="12"/>
  <c r="U920" i="12"/>
  <c r="T920" i="12"/>
  <c r="S920" i="12"/>
  <c r="R920" i="12"/>
  <c r="P920" i="12"/>
  <c r="M920" i="12"/>
  <c r="I920" i="12"/>
  <c r="U919" i="12"/>
  <c r="T919" i="12"/>
  <c r="S919" i="12"/>
  <c r="R919" i="12"/>
  <c r="Q919" i="12"/>
  <c r="P919" i="12"/>
  <c r="U918" i="12"/>
  <c r="T918" i="12"/>
  <c r="S918" i="12"/>
  <c r="R918" i="12"/>
  <c r="Q918" i="12"/>
  <c r="P918" i="12"/>
  <c r="D918" i="12"/>
  <c r="U917" i="12"/>
  <c r="T917" i="12"/>
  <c r="S917" i="12"/>
  <c r="R917" i="12"/>
  <c r="Q917" i="12"/>
  <c r="P917" i="12"/>
  <c r="U916" i="12"/>
  <c r="T916" i="12"/>
  <c r="S916" i="12"/>
  <c r="R916" i="12"/>
  <c r="P916" i="12"/>
  <c r="M916" i="12"/>
  <c r="I916" i="12"/>
  <c r="E916" i="12"/>
  <c r="U915" i="12"/>
  <c r="T915" i="12"/>
  <c r="S915" i="12"/>
  <c r="R915" i="12"/>
  <c r="Q915" i="12"/>
  <c r="P915" i="12"/>
  <c r="U914" i="12"/>
  <c r="T914" i="12"/>
  <c r="S914" i="12"/>
  <c r="R914" i="12"/>
  <c r="Q914" i="12"/>
  <c r="P914" i="12"/>
  <c r="U913" i="12"/>
  <c r="T913" i="12"/>
  <c r="S913" i="12"/>
  <c r="R913" i="12"/>
  <c r="Q913" i="12"/>
  <c r="P913" i="12"/>
  <c r="D913" i="12"/>
  <c r="U912" i="12"/>
  <c r="T912" i="12"/>
  <c r="S912" i="12"/>
  <c r="R912" i="12"/>
  <c r="Q912" i="12"/>
  <c r="P912" i="12"/>
  <c r="U911" i="12"/>
  <c r="T911" i="12"/>
  <c r="S911" i="12"/>
  <c r="R911" i="12"/>
  <c r="P911" i="12"/>
  <c r="M911" i="12"/>
  <c r="I911" i="12"/>
  <c r="E911" i="12"/>
  <c r="U910" i="12"/>
  <c r="T910" i="12"/>
  <c r="S910" i="12"/>
  <c r="R910" i="12"/>
  <c r="Q910" i="12"/>
  <c r="P910" i="12"/>
  <c r="U909" i="12"/>
  <c r="T909" i="12"/>
  <c r="S909" i="12"/>
  <c r="R909" i="12"/>
  <c r="Q909" i="12"/>
  <c r="P909" i="12"/>
  <c r="U908" i="12"/>
  <c r="S908" i="12"/>
  <c r="R908" i="12"/>
  <c r="Q908" i="12"/>
  <c r="P908" i="12"/>
  <c r="M908" i="12"/>
  <c r="J908" i="12"/>
  <c r="U907" i="12"/>
  <c r="S907" i="12"/>
  <c r="R907" i="12"/>
  <c r="Q907" i="12"/>
  <c r="P907" i="12"/>
  <c r="M907" i="12"/>
  <c r="J907" i="12"/>
  <c r="U906" i="12"/>
  <c r="S906" i="12"/>
  <c r="R906" i="12"/>
  <c r="Q906" i="12"/>
  <c r="P906" i="12"/>
  <c r="M906" i="12"/>
  <c r="J906" i="12"/>
  <c r="U905" i="12"/>
  <c r="S905" i="12"/>
  <c r="R905" i="12"/>
  <c r="Q905" i="12"/>
  <c r="P905" i="12"/>
  <c r="M905" i="12"/>
  <c r="J905" i="12"/>
  <c r="U904" i="12"/>
  <c r="S904" i="12"/>
  <c r="R904" i="12"/>
  <c r="Q904" i="12"/>
  <c r="P904" i="12"/>
  <c r="M904" i="12"/>
  <c r="J904" i="12"/>
  <c r="U903" i="12"/>
  <c r="T903" i="12"/>
  <c r="S903" i="12"/>
  <c r="R903" i="12"/>
  <c r="Q903" i="12"/>
  <c r="P903" i="12"/>
  <c r="U902" i="12"/>
  <c r="T902" i="12"/>
  <c r="S902" i="12"/>
  <c r="R902" i="12"/>
  <c r="Q902" i="12"/>
  <c r="P902" i="12"/>
  <c r="I900" i="12"/>
  <c r="I894" i="12"/>
  <c r="I889" i="12"/>
  <c r="I885" i="12"/>
  <c r="I880" i="12"/>
  <c r="U901" i="12"/>
  <c r="T901" i="12"/>
  <c r="S901" i="12"/>
  <c r="R901" i="12"/>
  <c r="Q901" i="12"/>
  <c r="P901" i="12"/>
  <c r="U900" i="12"/>
  <c r="T900" i="12"/>
  <c r="S900" i="12"/>
  <c r="R900" i="12"/>
  <c r="M900" i="12"/>
  <c r="D900" i="12"/>
  <c r="J900" i="12" s="1"/>
  <c r="U899" i="12"/>
  <c r="T899" i="12"/>
  <c r="S899" i="12"/>
  <c r="R899" i="12"/>
  <c r="Q899" i="12"/>
  <c r="P899" i="12"/>
  <c r="U898" i="12"/>
  <c r="T898" i="12"/>
  <c r="S898" i="12"/>
  <c r="R898" i="12"/>
  <c r="Q898" i="12"/>
  <c r="P898" i="12"/>
  <c r="U897" i="12"/>
  <c r="T897" i="12"/>
  <c r="S897" i="12"/>
  <c r="R897" i="12"/>
  <c r="Q897" i="12"/>
  <c r="P897" i="12"/>
  <c r="D897" i="12"/>
  <c r="J894" i="12" s="1"/>
  <c r="U896" i="12"/>
  <c r="T896" i="12"/>
  <c r="S896" i="12"/>
  <c r="R896" i="12"/>
  <c r="Q896" i="12"/>
  <c r="P896" i="12"/>
  <c r="U895" i="12"/>
  <c r="T895" i="12"/>
  <c r="S895" i="12"/>
  <c r="R895" i="12"/>
  <c r="Q895" i="12"/>
  <c r="P895" i="12"/>
  <c r="U894" i="12"/>
  <c r="T894" i="12"/>
  <c r="S894" i="12"/>
  <c r="R894" i="12"/>
  <c r="M894" i="12"/>
  <c r="U893" i="12"/>
  <c r="T893" i="12"/>
  <c r="S893" i="12"/>
  <c r="R893" i="12"/>
  <c r="Q893" i="12"/>
  <c r="P893" i="12"/>
  <c r="U892" i="12"/>
  <c r="T892" i="12"/>
  <c r="S892" i="12"/>
  <c r="R892" i="12"/>
  <c r="Q892" i="12"/>
  <c r="P892" i="12"/>
  <c r="D892" i="12"/>
  <c r="J889" i="12" s="1"/>
  <c r="U891" i="12"/>
  <c r="T891" i="12"/>
  <c r="S891" i="12"/>
  <c r="R891" i="12"/>
  <c r="Q891" i="12"/>
  <c r="P891" i="12"/>
  <c r="U890" i="12"/>
  <c r="T890" i="12"/>
  <c r="S890" i="12"/>
  <c r="R890" i="12"/>
  <c r="Q890" i="12"/>
  <c r="P890" i="12"/>
  <c r="U889" i="12"/>
  <c r="T889" i="12"/>
  <c r="S889" i="12"/>
  <c r="R889" i="12"/>
  <c r="M889" i="12"/>
  <c r="U888" i="12"/>
  <c r="T888" i="12"/>
  <c r="S888" i="12"/>
  <c r="R888" i="12"/>
  <c r="Q888" i="12"/>
  <c r="P888" i="12"/>
  <c r="U887" i="12"/>
  <c r="T887" i="12"/>
  <c r="S887" i="12"/>
  <c r="R887" i="12"/>
  <c r="Q887" i="12"/>
  <c r="P887" i="12"/>
  <c r="D887" i="12"/>
  <c r="U886" i="12"/>
  <c r="T886" i="12"/>
  <c r="S886" i="12"/>
  <c r="R886" i="12"/>
  <c r="Q886" i="12"/>
  <c r="P886" i="12"/>
  <c r="U885" i="12"/>
  <c r="T885" i="12"/>
  <c r="S885" i="12"/>
  <c r="R885" i="12"/>
  <c r="M885" i="12"/>
  <c r="E885" i="12"/>
  <c r="U884" i="12"/>
  <c r="T884" i="12"/>
  <c r="S884" i="12"/>
  <c r="R884" i="12"/>
  <c r="Q884" i="12"/>
  <c r="P884" i="12"/>
  <c r="U883" i="12"/>
  <c r="T883" i="12"/>
  <c r="S883" i="12"/>
  <c r="R883" i="12"/>
  <c r="Q883" i="12"/>
  <c r="P883" i="12"/>
  <c r="U882" i="12"/>
  <c r="T882" i="12"/>
  <c r="S882" i="12"/>
  <c r="R882" i="12"/>
  <c r="Q882" i="12"/>
  <c r="P882" i="12"/>
  <c r="D882" i="12"/>
  <c r="U881" i="12"/>
  <c r="T881" i="12"/>
  <c r="S881" i="12"/>
  <c r="R881" i="12"/>
  <c r="Q881" i="12"/>
  <c r="P881" i="12"/>
  <c r="U880" i="12"/>
  <c r="T880" i="12"/>
  <c r="S880" i="12"/>
  <c r="R880" i="12"/>
  <c r="M880" i="12"/>
  <c r="E880" i="12"/>
  <c r="U879" i="12"/>
  <c r="T879" i="12"/>
  <c r="S879" i="12"/>
  <c r="R879" i="12"/>
  <c r="Q879" i="12"/>
  <c r="P879" i="12"/>
  <c r="U878" i="12"/>
  <c r="T878" i="12"/>
  <c r="S878" i="12"/>
  <c r="R878" i="12"/>
  <c r="Q878" i="12"/>
  <c r="P878" i="12"/>
  <c r="I876" i="12"/>
  <c r="I870" i="12"/>
  <c r="I865" i="12"/>
  <c r="I861" i="12"/>
  <c r="I856" i="12"/>
  <c r="I705" i="12"/>
  <c r="I700" i="12"/>
  <c r="I696" i="12"/>
  <c r="I691" i="12"/>
  <c r="I797" i="12"/>
  <c r="I792" i="12"/>
  <c r="I788" i="12"/>
  <c r="I783" i="12"/>
  <c r="I843" i="12"/>
  <c r="I838" i="12"/>
  <c r="I834" i="12"/>
  <c r="I829" i="12"/>
  <c r="U846" i="12"/>
  <c r="T846" i="12"/>
  <c r="S846" i="12"/>
  <c r="R846" i="12"/>
  <c r="Q846" i="12"/>
  <c r="P846" i="12"/>
  <c r="D846" i="12"/>
  <c r="J843" i="12" s="1"/>
  <c r="U845" i="12"/>
  <c r="T845" i="12"/>
  <c r="S845" i="12"/>
  <c r="R845" i="12"/>
  <c r="Q845" i="12"/>
  <c r="P845" i="12"/>
  <c r="U844" i="12"/>
  <c r="T844" i="12"/>
  <c r="S844" i="12"/>
  <c r="R844" i="12"/>
  <c r="Q844" i="12"/>
  <c r="P844" i="12"/>
  <c r="U843" i="12"/>
  <c r="T843" i="12"/>
  <c r="S843" i="12"/>
  <c r="R843" i="12"/>
  <c r="M843" i="12"/>
  <c r="U842" i="12"/>
  <c r="T842" i="12"/>
  <c r="S842" i="12"/>
  <c r="R842" i="12"/>
  <c r="Q842" i="12"/>
  <c r="P842" i="12"/>
  <c r="U841" i="12"/>
  <c r="T841" i="12"/>
  <c r="S841" i="12"/>
  <c r="R841" i="12"/>
  <c r="Q841" i="12"/>
  <c r="P841" i="12"/>
  <c r="D841" i="12"/>
  <c r="J838" i="12" s="1"/>
  <c r="U840" i="12"/>
  <c r="T840" i="12"/>
  <c r="S840" i="12"/>
  <c r="R840" i="12"/>
  <c r="Q840" i="12"/>
  <c r="P840" i="12"/>
  <c r="U839" i="12"/>
  <c r="T839" i="12"/>
  <c r="S839" i="12"/>
  <c r="R839" i="12"/>
  <c r="Q839" i="12"/>
  <c r="P839" i="12"/>
  <c r="U838" i="12"/>
  <c r="T838" i="12"/>
  <c r="S838" i="12"/>
  <c r="R838" i="12"/>
  <c r="M838" i="12"/>
  <c r="U837" i="12"/>
  <c r="T837" i="12"/>
  <c r="S837" i="12"/>
  <c r="R837" i="12"/>
  <c r="Q837" i="12"/>
  <c r="P837" i="12"/>
  <c r="U836" i="12"/>
  <c r="T836" i="12"/>
  <c r="S836" i="12"/>
  <c r="R836" i="12"/>
  <c r="Q836" i="12"/>
  <c r="P836" i="12"/>
  <c r="D836" i="12"/>
  <c r="U835" i="12"/>
  <c r="T835" i="12"/>
  <c r="S835" i="12"/>
  <c r="R835" i="12"/>
  <c r="Q835" i="12"/>
  <c r="P835" i="12"/>
  <c r="U834" i="12"/>
  <c r="T834" i="12"/>
  <c r="S834" i="12"/>
  <c r="R834" i="12"/>
  <c r="M834" i="12"/>
  <c r="E834" i="12"/>
  <c r="U833" i="12"/>
  <c r="T833" i="12"/>
  <c r="S833" i="12"/>
  <c r="R833" i="12"/>
  <c r="Q833" i="12"/>
  <c r="P833" i="12"/>
  <c r="U832" i="12"/>
  <c r="T832" i="12"/>
  <c r="S832" i="12"/>
  <c r="R832" i="12"/>
  <c r="Q832" i="12"/>
  <c r="P832" i="12"/>
  <c r="U831" i="12"/>
  <c r="T831" i="12"/>
  <c r="S831" i="12"/>
  <c r="R831" i="12"/>
  <c r="Q831" i="12"/>
  <c r="P831" i="12"/>
  <c r="D831" i="12"/>
  <c r="U830" i="12"/>
  <c r="T830" i="12"/>
  <c r="S830" i="12"/>
  <c r="R830" i="12"/>
  <c r="Q830" i="12"/>
  <c r="P830" i="12"/>
  <c r="U829" i="12"/>
  <c r="T829" i="12"/>
  <c r="S829" i="12"/>
  <c r="R829" i="12"/>
  <c r="M829" i="12"/>
  <c r="E829" i="12"/>
  <c r="U828" i="12"/>
  <c r="T828" i="12"/>
  <c r="S828" i="12"/>
  <c r="R828" i="12"/>
  <c r="Q828" i="12"/>
  <c r="P828" i="12"/>
  <c r="U827" i="12"/>
  <c r="T827" i="12"/>
  <c r="S827" i="12"/>
  <c r="R827" i="12"/>
  <c r="Q827" i="12"/>
  <c r="P827" i="12"/>
  <c r="I823" i="12"/>
  <c r="I818" i="12"/>
  <c r="I814" i="12"/>
  <c r="I809" i="12"/>
  <c r="J829" i="12" l="1"/>
  <c r="N829" i="12" s="1"/>
  <c r="O829" i="12" s="1"/>
  <c r="J885" i="12"/>
  <c r="N885" i="12" s="1"/>
  <c r="O885" i="12" s="1"/>
  <c r="J880" i="12"/>
  <c r="N880" i="12" s="1"/>
  <c r="O880" i="12" s="1"/>
  <c r="J834" i="12"/>
  <c r="N834" i="12" s="1"/>
  <c r="O834" i="12" s="1"/>
  <c r="P1005" i="12"/>
  <c r="P991" i="12"/>
  <c r="N955" i="12"/>
  <c r="O955" i="12" s="1"/>
  <c r="P955" i="12" s="1"/>
  <c r="P1110" i="12"/>
  <c r="O1018" i="12"/>
  <c r="S1018" i="12" s="1"/>
  <c r="O1015" i="12"/>
  <c r="T1015" i="12" s="1"/>
  <c r="N843" i="12"/>
  <c r="O843" i="12" s="1"/>
  <c r="J935" i="12"/>
  <c r="N935" i="12" s="1"/>
  <c r="O935" i="12" s="1"/>
  <c r="P935" i="12" s="1"/>
  <c r="O1019" i="12"/>
  <c r="S1019" i="12" s="1"/>
  <c r="K1017" i="12"/>
  <c r="Q1011" i="12"/>
  <c r="P1011" i="12"/>
  <c r="Q1000" i="12"/>
  <c r="P1000" i="12"/>
  <c r="Q996" i="12"/>
  <c r="P996" i="12"/>
  <c r="Q1066" i="12"/>
  <c r="P1066" i="12"/>
  <c r="Q1060" i="12"/>
  <c r="P1060" i="12"/>
  <c r="Q1055" i="12"/>
  <c r="P1055" i="12"/>
  <c r="Q1051" i="12"/>
  <c r="P1051" i="12"/>
  <c r="Q1046" i="12"/>
  <c r="P1046" i="12"/>
  <c r="Q1121" i="12"/>
  <c r="P1121" i="12"/>
  <c r="Q1106" i="12"/>
  <c r="P1106" i="12"/>
  <c r="Q1176" i="12"/>
  <c r="P1176" i="12"/>
  <c r="Q1171" i="12"/>
  <c r="P1171" i="12"/>
  <c r="Q1167" i="12"/>
  <c r="P1167" i="12"/>
  <c r="Q1162" i="12"/>
  <c r="P1162" i="12"/>
  <c r="Q1157" i="12"/>
  <c r="P1157" i="12"/>
  <c r="O1016" i="12"/>
  <c r="S1016" i="12" s="1"/>
  <c r="N838" i="12"/>
  <c r="O838" i="12" s="1"/>
  <c r="N925" i="12"/>
  <c r="O925" i="12" s="1"/>
  <c r="Q925" i="12" s="1"/>
  <c r="N949" i="12"/>
  <c r="O949" i="12" s="1"/>
  <c r="P949" i="12" s="1"/>
  <c r="N904" i="12"/>
  <c r="O904" i="12" s="1"/>
  <c r="T904" i="12" s="1"/>
  <c r="N908" i="12"/>
  <c r="O908" i="12" s="1"/>
  <c r="T908" i="12" s="1"/>
  <c r="J916" i="12"/>
  <c r="N916" i="12" s="1"/>
  <c r="O916" i="12" s="1"/>
  <c r="Q916" i="12" s="1"/>
  <c r="N920" i="12"/>
  <c r="O920" i="12" s="1"/>
  <c r="Q920" i="12" s="1"/>
  <c r="N944" i="12"/>
  <c r="O944" i="12" s="1"/>
  <c r="P944" i="12" s="1"/>
  <c r="N900" i="12"/>
  <c r="O900" i="12" s="1"/>
  <c r="N905" i="12"/>
  <c r="K905" i="12" s="1"/>
  <c r="J911" i="12"/>
  <c r="N911" i="12" s="1"/>
  <c r="O911" i="12" s="1"/>
  <c r="Q911" i="12" s="1"/>
  <c r="N931" i="12"/>
  <c r="O931" i="12" s="1"/>
  <c r="Q931" i="12" s="1"/>
  <c r="J940" i="12"/>
  <c r="N940" i="12" s="1"/>
  <c r="N906" i="12"/>
  <c r="K906" i="12" s="1"/>
  <c r="N907" i="12"/>
  <c r="K907" i="12" s="1"/>
  <c r="O940" i="12"/>
  <c r="P940" i="12" s="1"/>
  <c r="N894" i="12"/>
  <c r="O894" i="12" s="1"/>
  <c r="N889" i="12"/>
  <c r="O889" i="12" s="1"/>
  <c r="U800" i="12"/>
  <c r="T800" i="12"/>
  <c r="S800" i="12"/>
  <c r="R800" i="12"/>
  <c r="Q800" i="12"/>
  <c r="P800" i="12"/>
  <c r="D800" i="12"/>
  <c r="J797" i="12" s="1"/>
  <c r="U799" i="12"/>
  <c r="T799" i="12"/>
  <c r="S799" i="12"/>
  <c r="R799" i="12"/>
  <c r="Q799" i="12"/>
  <c r="P799" i="12"/>
  <c r="U798" i="12"/>
  <c r="T798" i="12"/>
  <c r="S798" i="12"/>
  <c r="R798" i="12"/>
  <c r="Q798" i="12"/>
  <c r="P798" i="12"/>
  <c r="U797" i="12"/>
  <c r="T797" i="12"/>
  <c r="S797" i="12"/>
  <c r="R797" i="12"/>
  <c r="Q797" i="12"/>
  <c r="M797" i="12"/>
  <c r="U796" i="12"/>
  <c r="T796" i="12"/>
  <c r="S796" i="12"/>
  <c r="R796" i="12"/>
  <c r="Q796" i="12"/>
  <c r="P796" i="12"/>
  <c r="U795" i="12"/>
  <c r="T795" i="12"/>
  <c r="S795" i="12"/>
  <c r="R795" i="12"/>
  <c r="Q795" i="12"/>
  <c r="P795" i="12"/>
  <c r="D795" i="12"/>
  <c r="J792" i="12" s="1"/>
  <c r="U794" i="12"/>
  <c r="T794" i="12"/>
  <c r="S794" i="12"/>
  <c r="R794" i="12"/>
  <c r="Q794" i="12"/>
  <c r="P794" i="12"/>
  <c r="U793" i="12"/>
  <c r="T793" i="12"/>
  <c r="S793" i="12"/>
  <c r="R793" i="12"/>
  <c r="Q793" i="12"/>
  <c r="P793" i="12"/>
  <c r="U792" i="12"/>
  <c r="T792" i="12"/>
  <c r="S792" i="12"/>
  <c r="R792" i="12"/>
  <c r="Q792" i="12"/>
  <c r="M792" i="12"/>
  <c r="U791" i="12"/>
  <c r="T791" i="12"/>
  <c r="S791" i="12"/>
  <c r="R791" i="12"/>
  <c r="Q791" i="12"/>
  <c r="P791" i="12"/>
  <c r="U790" i="12"/>
  <c r="T790" i="12"/>
  <c r="S790" i="12"/>
  <c r="R790" i="12"/>
  <c r="Q790" i="12"/>
  <c r="P790" i="12"/>
  <c r="D790" i="12"/>
  <c r="U789" i="12"/>
  <c r="T789" i="12"/>
  <c r="S789" i="12"/>
  <c r="R789" i="12"/>
  <c r="Q789" i="12"/>
  <c r="P789" i="12"/>
  <c r="U788" i="12"/>
  <c r="T788" i="12"/>
  <c r="S788" i="12"/>
  <c r="R788" i="12"/>
  <c r="Q788" i="12"/>
  <c r="M788" i="12"/>
  <c r="E788" i="12"/>
  <c r="U787" i="12"/>
  <c r="T787" i="12"/>
  <c r="S787" i="12"/>
  <c r="R787" i="12"/>
  <c r="Q787" i="12"/>
  <c r="P787" i="12"/>
  <c r="U786" i="12"/>
  <c r="T786" i="12"/>
  <c r="S786" i="12"/>
  <c r="R786" i="12"/>
  <c r="Q786" i="12"/>
  <c r="P786" i="12"/>
  <c r="U785" i="12"/>
  <c r="T785" i="12"/>
  <c r="S785" i="12"/>
  <c r="R785" i="12"/>
  <c r="Q785" i="12"/>
  <c r="P785" i="12"/>
  <c r="D785" i="12"/>
  <c r="U784" i="12"/>
  <c r="T784" i="12"/>
  <c r="S784" i="12"/>
  <c r="R784" i="12"/>
  <c r="Q784" i="12"/>
  <c r="P784" i="12"/>
  <c r="U783" i="12"/>
  <c r="T783" i="12"/>
  <c r="S783" i="12"/>
  <c r="R783" i="12"/>
  <c r="Q783" i="12"/>
  <c r="M783" i="12"/>
  <c r="E783" i="12"/>
  <c r="U782" i="12"/>
  <c r="T782" i="12"/>
  <c r="S782" i="12"/>
  <c r="R782" i="12"/>
  <c r="Q782" i="12"/>
  <c r="P782" i="12"/>
  <c r="U781" i="12"/>
  <c r="T781" i="12"/>
  <c r="S781" i="12"/>
  <c r="R781" i="12"/>
  <c r="Q781" i="12"/>
  <c r="P781" i="12"/>
  <c r="U780" i="12"/>
  <c r="T780" i="12"/>
  <c r="S780" i="12"/>
  <c r="R780" i="12"/>
  <c r="Q780" i="12"/>
  <c r="P780" i="12"/>
  <c r="D780" i="12"/>
  <c r="J777" i="12" s="1"/>
  <c r="U779" i="12"/>
  <c r="T779" i="12"/>
  <c r="S779" i="12"/>
  <c r="R779" i="12"/>
  <c r="Q779" i="12"/>
  <c r="P779" i="12"/>
  <c r="U778" i="12"/>
  <c r="T778" i="12"/>
  <c r="S778" i="12"/>
  <c r="R778" i="12"/>
  <c r="Q778" i="12"/>
  <c r="P778" i="12"/>
  <c r="U777" i="12"/>
  <c r="T777" i="12"/>
  <c r="S777" i="12"/>
  <c r="R777" i="12"/>
  <c r="P777" i="12"/>
  <c r="M777" i="12"/>
  <c r="I777" i="12"/>
  <c r="U776" i="12"/>
  <c r="T776" i="12"/>
  <c r="S776" i="12"/>
  <c r="R776" i="12"/>
  <c r="Q776" i="12"/>
  <c r="P776" i="12"/>
  <c r="U775" i="12"/>
  <c r="T775" i="12"/>
  <c r="S775" i="12"/>
  <c r="R775" i="12"/>
  <c r="Q775" i="12"/>
  <c r="P775" i="12"/>
  <c r="D775" i="12"/>
  <c r="J772" i="12" s="1"/>
  <c r="U774" i="12"/>
  <c r="T774" i="12"/>
  <c r="S774" i="12"/>
  <c r="R774" i="12"/>
  <c r="Q774" i="12"/>
  <c r="P774" i="12"/>
  <c r="U773" i="12"/>
  <c r="T773" i="12"/>
  <c r="S773" i="12"/>
  <c r="R773" i="12"/>
  <c r="Q773" i="12"/>
  <c r="P773" i="12"/>
  <c r="U772" i="12"/>
  <c r="T772" i="12"/>
  <c r="S772" i="12"/>
  <c r="R772" i="12"/>
  <c r="P772" i="12"/>
  <c r="M772" i="12"/>
  <c r="I772" i="12"/>
  <c r="U771" i="12"/>
  <c r="T771" i="12"/>
  <c r="S771" i="12"/>
  <c r="R771" i="12"/>
  <c r="Q771" i="12"/>
  <c r="P771" i="12"/>
  <c r="U770" i="12"/>
  <c r="T770" i="12"/>
  <c r="S770" i="12"/>
  <c r="R770" i="12"/>
  <c r="Q770" i="12"/>
  <c r="P770" i="12"/>
  <c r="D770" i="12"/>
  <c r="U769" i="12"/>
  <c r="T769" i="12"/>
  <c r="S769" i="12"/>
  <c r="R769" i="12"/>
  <c r="Q769" i="12"/>
  <c r="P769" i="12"/>
  <c r="U768" i="12"/>
  <c r="T768" i="12"/>
  <c r="S768" i="12"/>
  <c r="R768" i="12"/>
  <c r="P768" i="12"/>
  <c r="M768" i="12"/>
  <c r="I768" i="12"/>
  <c r="E768" i="12"/>
  <c r="U767" i="12"/>
  <c r="T767" i="12"/>
  <c r="S767" i="12"/>
  <c r="R767" i="12"/>
  <c r="Q767" i="12"/>
  <c r="P767" i="12"/>
  <c r="U766" i="12"/>
  <c r="T766" i="12"/>
  <c r="S766" i="12"/>
  <c r="R766" i="12"/>
  <c r="Q766" i="12"/>
  <c r="P766" i="12"/>
  <c r="U765" i="12"/>
  <c r="T765" i="12"/>
  <c r="S765" i="12"/>
  <c r="R765" i="12"/>
  <c r="Q765" i="12"/>
  <c r="P765" i="12"/>
  <c r="D765" i="12"/>
  <c r="U764" i="12"/>
  <c r="T764" i="12"/>
  <c r="S764" i="12"/>
  <c r="R764" i="12"/>
  <c r="Q764" i="12"/>
  <c r="P764" i="12"/>
  <c r="U763" i="12"/>
  <c r="T763" i="12"/>
  <c r="S763" i="12"/>
  <c r="R763" i="12"/>
  <c r="P763" i="12"/>
  <c r="M763" i="12"/>
  <c r="I763" i="12"/>
  <c r="E763" i="12"/>
  <c r="U762" i="12"/>
  <c r="T762" i="12"/>
  <c r="S762" i="12"/>
  <c r="R762" i="12"/>
  <c r="Q762" i="12"/>
  <c r="P762" i="12"/>
  <c r="U761" i="12"/>
  <c r="T761" i="12"/>
  <c r="S761" i="12"/>
  <c r="R761" i="12"/>
  <c r="Q761" i="12"/>
  <c r="P761" i="12"/>
  <c r="U760" i="12"/>
  <c r="T760" i="12"/>
  <c r="R760" i="12"/>
  <c r="Q760" i="12"/>
  <c r="P760" i="12"/>
  <c r="M760" i="12"/>
  <c r="J760" i="12"/>
  <c r="U759" i="12"/>
  <c r="T759" i="12"/>
  <c r="R759" i="12"/>
  <c r="Q759" i="12"/>
  <c r="P759" i="12"/>
  <c r="M759" i="12"/>
  <c r="J759" i="12"/>
  <c r="U758" i="12"/>
  <c r="S758" i="12"/>
  <c r="R758" i="12"/>
  <c r="Q758" i="12"/>
  <c r="P758" i="12"/>
  <c r="M758" i="12"/>
  <c r="J758" i="12"/>
  <c r="U757" i="12"/>
  <c r="S757" i="12"/>
  <c r="R757" i="12"/>
  <c r="Q757" i="12"/>
  <c r="P757" i="12"/>
  <c r="M757" i="12"/>
  <c r="J757" i="12"/>
  <c r="U756" i="12"/>
  <c r="T756" i="12"/>
  <c r="S756" i="12"/>
  <c r="R756" i="12"/>
  <c r="Q756" i="12"/>
  <c r="P756" i="12"/>
  <c r="U755" i="12"/>
  <c r="T755" i="12"/>
  <c r="S755" i="12"/>
  <c r="R755" i="12"/>
  <c r="Q755" i="12"/>
  <c r="P755" i="12"/>
  <c r="I751" i="12"/>
  <c r="I746" i="12"/>
  <c r="I742" i="12"/>
  <c r="I737" i="12"/>
  <c r="U754" i="12"/>
  <c r="T754" i="12"/>
  <c r="S754" i="12"/>
  <c r="R754" i="12"/>
  <c r="Q754" i="12"/>
  <c r="P754" i="12"/>
  <c r="D754" i="12"/>
  <c r="J751" i="12" s="1"/>
  <c r="U753" i="12"/>
  <c r="T753" i="12"/>
  <c r="S753" i="12"/>
  <c r="R753" i="12"/>
  <c r="Q753" i="12"/>
  <c r="P753" i="12"/>
  <c r="U752" i="12"/>
  <c r="T752" i="12"/>
  <c r="S752" i="12"/>
  <c r="R752" i="12"/>
  <c r="Q752" i="12"/>
  <c r="P752" i="12"/>
  <c r="U751" i="12"/>
  <c r="T751" i="12"/>
  <c r="S751" i="12"/>
  <c r="R751" i="12"/>
  <c r="M751" i="12"/>
  <c r="U750" i="12"/>
  <c r="T750" i="12"/>
  <c r="S750" i="12"/>
  <c r="R750" i="12"/>
  <c r="Q750" i="12"/>
  <c r="P750" i="12"/>
  <c r="U749" i="12"/>
  <c r="T749" i="12"/>
  <c r="S749" i="12"/>
  <c r="R749" i="12"/>
  <c r="Q749" i="12"/>
  <c r="P749" i="12"/>
  <c r="D749" i="12"/>
  <c r="J746" i="12" s="1"/>
  <c r="U748" i="12"/>
  <c r="T748" i="12"/>
  <c r="S748" i="12"/>
  <c r="R748" i="12"/>
  <c r="Q748" i="12"/>
  <c r="P748" i="12"/>
  <c r="U747" i="12"/>
  <c r="T747" i="12"/>
  <c r="S747" i="12"/>
  <c r="R747" i="12"/>
  <c r="Q747" i="12"/>
  <c r="P747" i="12"/>
  <c r="U746" i="12"/>
  <c r="T746" i="12"/>
  <c r="S746" i="12"/>
  <c r="R746" i="12"/>
  <c r="M746" i="12"/>
  <c r="U745" i="12"/>
  <c r="T745" i="12"/>
  <c r="S745" i="12"/>
  <c r="R745" i="12"/>
  <c r="Q745" i="12"/>
  <c r="P745" i="12"/>
  <c r="U744" i="12"/>
  <c r="T744" i="12"/>
  <c r="S744" i="12"/>
  <c r="R744" i="12"/>
  <c r="Q744" i="12"/>
  <c r="P744" i="12"/>
  <c r="D744" i="12"/>
  <c r="U743" i="12"/>
  <c r="T743" i="12"/>
  <c r="S743" i="12"/>
  <c r="R743" i="12"/>
  <c r="Q743" i="12"/>
  <c r="P743" i="12"/>
  <c r="U742" i="12"/>
  <c r="T742" i="12"/>
  <c r="S742" i="12"/>
  <c r="R742" i="12"/>
  <c r="M742" i="12"/>
  <c r="E742" i="12"/>
  <c r="U741" i="12"/>
  <c r="T741" i="12"/>
  <c r="S741" i="12"/>
  <c r="R741" i="12"/>
  <c r="Q741" i="12"/>
  <c r="P741" i="12"/>
  <c r="U740" i="12"/>
  <c r="T740" i="12"/>
  <c r="S740" i="12"/>
  <c r="R740" i="12"/>
  <c r="Q740" i="12"/>
  <c r="P740" i="12"/>
  <c r="U739" i="12"/>
  <c r="T739" i="12"/>
  <c r="S739" i="12"/>
  <c r="R739" i="12"/>
  <c r="Q739" i="12"/>
  <c r="P739" i="12"/>
  <c r="D739" i="12"/>
  <c r="U738" i="12"/>
  <c r="T738" i="12"/>
  <c r="S738" i="12"/>
  <c r="R738" i="12"/>
  <c r="Q738" i="12"/>
  <c r="P738" i="12"/>
  <c r="U737" i="12"/>
  <c r="T737" i="12"/>
  <c r="S737" i="12"/>
  <c r="R737" i="12"/>
  <c r="M737" i="12"/>
  <c r="E737" i="12"/>
  <c r="U736" i="12"/>
  <c r="T736" i="12"/>
  <c r="S736" i="12"/>
  <c r="R736" i="12"/>
  <c r="Q736" i="12"/>
  <c r="P736" i="12"/>
  <c r="U735" i="12"/>
  <c r="T735" i="12"/>
  <c r="S735" i="12"/>
  <c r="R735" i="12"/>
  <c r="Q735" i="12"/>
  <c r="P735" i="12"/>
  <c r="I731" i="12"/>
  <c r="I726" i="12"/>
  <c r="I722" i="12"/>
  <c r="I717" i="12"/>
  <c r="U708" i="12"/>
  <c r="T708" i="12"/>
  <c r="S708" i="12"/>
  <c r="R708" i="12"/>
  <c r="Q708" i="12"/>
  <c r="P708" i="12"/>
  <c r="D708" i="12"/>
  <c r="J705" i="12" s="1"/>
  <c r="U707" i="12"/>
  <c r="T707" i="12"/>
  <c r="S707" i="12"/>
  <c r="R707" i="12"/>
  <c r="Q707" i="12"/>
  <c r="P707" i="12"/>
  <c r="U706" i="12"/>
  <c r="T706" i="12"/>
  <c r="S706" i="12"/>
  <c r="R706" i="12"/>
  <c r="Q706" i="12"/>
  <c r="P706" i="12"/>
  <c r="U705" i="12"/>
  <c r="T705" i="12"/>
  <c r="S705" i="12"/>
  <c r="R705" i="12"/>
  <c r="Q705" i="12"/>
  <c r="M705" i="12"/>
  <c r="U704" i="12"/>
  <c r="T704" i="12"/>
  <c r="S704" i="12"/>
  <c r="R704" i="12"/>
  <c r="Q704" i="12"/>
  <c r="P704" i="12"/>
  <c r="U703" i="12"/>
  <c r="T703" i="12"/>
  <c r="S703" i="12"/>
  <c r="R703" i="12"/>
  <c r="Q703" i="12"/>
  <c r="P703" i="12"/>
  <c r="D703" i="12"/>
  <c r="J700" i="12" s="1"/>
  <c r="U702" i="12"/>
  <c r="T702" i="12"/>
  <c r="S702" i="12"/>
  <c r="R702" i="12"/>
  <c r="Q702" i="12"/>
  <c r="P702" i="12"/>
  <c r="U701" i="12"/>
  <c r="T701" i="12"/>
  <c r="S701" i="12"/>
  <c r="R701" i="12"/>
  <c r="Q701" i="12"/>
  <c r="P701" i="12"/>
  <c r="U700" i="12"/>
  <c r="T700" i="12"/>
  <c r="S700" i="12"/>
  <c r="R700" i="12"/>
  <c r="Q700" i="12"/>
  <c r="M700" i="12"/>
  <c r="U699" i="12"/>
  <c r="T699" i="12"/>
  <c r="S699" i="12"/>
  <c r="R699" i="12"/>
  <c r="Q699" i="12"/>
  <c r="P699" i="12"/>
  <c r="U698" i="12"/>
  <c r="T698" i="12"/>
  <c r="S698" i="12"/>
  <c r="R698" i="12"/>
  <c r="Q698" i="12"/>
  <c r="P698" i="12"/>
  <c r="D698" i="12"/>
  <c r="U697" i="12"/>
  <c r="T697" i="12"/>
  <c r="S697" i="12"/>
  <c r="R697" i="12"/>
  <c r="Q697" i="12"/>
  <c r="P697" i="12"/>
  <c r="U696" i="12"/>
  <c r="T696" i="12"/>
  <c r="S696" i="12"/>
  <c r="R696" i="12"/>
  <c r="Q696" i="12"/>
  <c r="M696" i="12"/>
  <c r="E696" i="12"/>
  <c r="U695" i="12"/>
  <c r="T695" i="12"/>
  <c r="S695" i="12"/>
  <c r="R695" i="12"/>
  <c r="Q695" i="12"/>
  <c r="P695" i="12"/>
  <c r="U694" i="12"/>
  <c r="T694" i="12"/>
  <c r="S694" i="12"/>
  <c r="R694" i="12"/>
  <c r="Q694" i="12"/>
  <c r="P694" i="12"/>
  <c r="U693" i="12"/>
  <c r="T693" i="12"/>
  <c r="S693" i="12"/>
  <c r="R693" i="12"/>
  <c r="Q693" i="12"/>
  <c r="P693" i="12"/>
  <c r="D693" i="12"/>
  <c r="U692" i="12"/>
  <c r="T692" i="12"/>
  <c r="S692" i="12"/>
  <c r="R692" i="12"/>
  <c r="Q692" i="12"/>
  <c r="P692" i="12"/>
  <c r="U691" i="12"/>
  <c r="T691" i="12"/>
  <c r="S691" i="12"/>
  <c r="R691" i="12"/>
  <c r="Q691" i="12"/>
  <c r="M691" i="12"/>
  <c r="E691" i="12"/>
  <c r="U690" i="12"/>
  <c r="T690" i="12"/>
  <c r="S690" i="12"/>
  <c r="R690" i="12"/>
  <c r="Q690" i="12"/>
  <c r="P690" i="12"/>
  <c r="U689" i="12"/>
  <c r="T689" i="12"/>
  <c r="S689" i="12"/>
  <c r="R689" i="12"/>
  <c r="Q689" i="12"/>
  <c r="P689" i="12"/>
  <c r="D689" i="12"/>
  <c r="J686" i="12" s="1"/>
  <c r="U688" i="12"/>
  <c r="T688" i="12"/>
  <c r="S688" i="12"/>
  <c r="R688" i="12"/>
  <c r="Q688" i="12"/>
  <c r="P688" i="12"/>
  <c r="U687" i="12"/>
  <c r="T687" i="12"/>
  <c r="S687" i="12"/>
  <c r="R687" i="12"/>
  <c r="Q687" i="12"/>
  <c r="P687" i="12"/>
  <c r="U686" i="12"/>
  <c r="T686" i="12"/>
  <c r="S686" i="12"/>
  <c r="R686" i="12"/>
  <c r="P686" i="12"/>
  <c r="M686" i="12"/>
  <c r="I686" i="12"/>
  <c r="U685" i="12"/>
  <c r="T685" i="12"/>
  <c r="S685" i="12"/>
  <c r="R685" i="12"/>
  <c r="Q685" i="12"/>
  <c r="P685" i="12"/>
  <c r="U684" i="12"/>
  <c r="T684" i="12"/>
  <c r="S684" i="12"/>
  <c r="R684" i="12"/>
  <c r="Q684" i="12"/>
  <c r="P684" i="12"/>
  <c r="D684" i="12"/>
  <c r="J681" i="12" s="1"/>
  <c r="U683" i="12"/>
  <c r="T683" i="12"/>
  <c r="S683" i="12"/>
  <c r="R683" i="12"/>
  <c r="Q683" i="12"/>
  <c r="P683" i="12"/>
  <c r="U682" i="12"/>
  <c r="T682" i="12"/>
  <c r="S682" i="12"/>
  <c r="R682" i="12"/>
  <c r="Q682" i="12"/>
  <c r="P682" i="12"/>
  <c r="U681" i="12"/>
  <c r="T681" i="12"/>
  <c r="S681" i="12"/>
  <c r="R681" i="12"/>
  <c r="P681" i="12"/>
  <c r="M681" i="12"/>
  <c r="I681" i="12"/>
  <c r="U680" i="12"/>
  <c r="T680" i="12"/>
  <c r="S680" i="12"/>
  <c r="R680" i="12"/>
  <c r="Q680" i="12"/>
  <c r="P680" i="12"/>
  <c r="U679" i="12"/>
  <c r="T679" i="12"/>
  <c r="S679" i="12"/>
  <c r="R679" i="12"/>
  <c r="Q679" i="12"/>
  <c r="P679" i="12"/>
  <c r="D679" i="12"/>
  <c r="U678" i="12"/>
  <c r="T678" i="12"/>
  <c r="S678" i="12"/>
  <c r="R678" i="12"/>
  <c r="Q678" i="12"/>
  <c r="P678" i="12"/>
  <c r="U677" i="12"/>
  <c r="T677" i="12"/>
  <c r="S677" i="12"/>
  <c r="R677" i="12"/>
  <c r="P677" i="12"/>
  <c r="M677" i="12"/>
  <c r="I677" i="12"/>
  <c r="E677" i="12"/>
  <c r="U676" i="12"/>
  <c r="T676" i="12"/>
  <c r="S676" i="12"/>
  <c r="R676" i="12"/>
  <c r="Q676" i="12"/>
  <c r="P676" i="12"/>
  <c r="U675" i="12"/>
  <c r="T675" i="12"/>
  <c r="S675" i="12"/>
  <c r="R675" i="12"/>
  <c r="Q675" i="12"/>
  <c r="P675" i="12"/>
  <c r="U674" i="12"/>
  <c r="T674" i="12"/>
  <c r="S674" i="12"/>
  <c r="R674" i="12"/>
  <c r="Q674" i="12"/>
  <c r="P674" i="12"/>
  <c r="D674" i="12"/>
  <c r="U673" i="12"/>
  <c r="T673" i="12"/>
  <c r="S673" i="12"/>
  <c r="R673" i="12"/>
  <c r="Q673" i="12"/>
  <c r="P673" i="12"/>
  <c r="U672" i="12"/>
  <c r="T672" i="12"/>
  <c r="S672" i="12"/>
  <c r="R672" i="12"/>
  <c r="P672" i="12"/>
  <c r="M672" i="12"/>
  <c r="I672" i="12"/>
  <c r="E672" i="12"/>
  <c r="U671" i="12"/>
  <c r="T671" i="12"/>
  <c r="S671" i="12"/>
  <c r="R671" i="12"/>
  <c r="Q671" i="12"/>
  <c r="P671" i="12"/>
  <c r="U670" i="12"/>
  <c r="T670" i="12"/>
  <c r="S670" i="12"/>
  <c r="R670" i="12"/>
  <c r="Q670" i="12"/>
  <c r="P670" i="12"/>
  <c r="U669" i="12"/>
  <c r="T669" i="12"/>
  <c r="S669" i="12"/>
  <c r="Q669" i="12"/>
  <c r="P669" i="12"/>
  <c r="M669" i="12"/>
  <c r="J669" i="12"/>
  <c r="U668" i="12"/>
  <c r="T668" i="12"/>
  <c r="R668" i="12"/>
  <c r="Q668" i="12"/>
  <c r="P668" i="12"/>
  <c r="M668" i="12"/>
  <c r="J668" i="12"/>
  <c r="U667" i="12"/>
  <c r="T667" i="12"/>
  <c r="S667" i="12"/>
  <c r="Q667" i="12"/>
  <c r="P667" i="12"/>
  <c r="M667" i="12"/>
  <c r="J667" i="12"/>
  <c r="U666" i="12"/>
  <c r="T666" i="12"/>
  <c r="R666" i="12"/>
  <c r="Q666" i="12"/>
  <c r="P666" i="12"/>
  <c r="M666" i="12"/>
  <c r="J666" i="12"/>
  <c r="U665" i="12"/>
  <c r="T665" i="12"/>
  <c r="S665" i="12"/>
  <c r="R665" i="12"/>
  <c r="Q665" i="12"/>
  <c r="P665" i="12"/>
  <c r="I661" i="12"/>
  <c r="I656" i="12"/>
  <c r="I652" i="12"/>
  <c r="I647" i="12"/>
  <c r="U664" i="12"/>
  <c r="T664" i="12"/>
  <c r="S664" i="12"/>
  <c r="R664" i="12"/>
  <c r="Q664" i="12"/>
  <c r="P664" i="12"/>
  <c r="D664" i="12"/>
  <c r="J661" i="12" s="1"/>
  <c r="U663" i="12"/>
  <c r="T663" i="12"/>
  <c r="S663" i="12"/>
  <c r="R663" i="12"/>
  <c r="Q663" i="12"/>
  <c r="P663" i="12"/>
  <c r="U662" i="12"/>
  <c r="T662" i="12"/>
  <c r="S662" i="12"/>
  <c r="R662" i="12"/>
  <c r="Q662" i="12"/>
  <c r="P662" i="12"/>
  <c r="U661" i="12"/>
  <c r="T661" i="12"/>
  <c r="S661" i="12"/>
  <c r="R661" i="12"/>
  <c r="M661" i="12"/>
  <c r="U660" i="12"/>
  <c r="T660" i="12"/>
  <c r="S660" i="12"/>
  <c r="R660" i="12"/>
  <c r="Q660" i="12"/>
  <c r="P660" i="12"/>
  <c r="U659" i="12"/>
  <c r="T659" i="12"/>
  <c r="S659" i="12"/>
  <c r="R659" i="12"/>
  <c r="Q659" i="12"/>
  <c r="P659" i="12"/>
  <c r="D659" i="12"/>
  <c r="J656" i="12" s="1"/>
  <c r="U658" i="12"/>
  <c r="T658" i="12"/>
  <c r="S658" i="12"/>
  <c r="R658" i="12"/>
  <c r="Q658" i="12"/>
  <c r="P658" i="12"/>
  <c r="U657" i="12"/>
  <c r="T657" i="12"/>
  <c r="S657" i="12"/>
  <c r="R657" i="12"/>
  <c r="Q657" i="12"/>
  <c r="P657" i="12"/>
  <c r="U656" i="12"/>
  <c r="T656" i="12"/>
  <c r="S656" i="12"/>
  <c r="R656" i="12"/>
  <c r="M656" i="12"/>
  <c r="U655" i="12"/>
  <c r="T655" i="12"/>
  <c r="S655" i="12"/>
  <c r="R655" i="12"/>
  <c r="Q655" i="12"/>
  <c r="P655" i="12"/>
  <c r="U654" i="12"/>
  <c r="T654" i="12"/>
  <c r="S654" i="12"/>
  <c r="R654" i="12"/>
  <c r="Q654" i="12"/>
  <c r="P654" i="12"/>
  <c r="D654" i="12"/>
  <c r="U653" i="12"/>
  <c r="T653" i="12"/>
  <c r="S653" i="12"/>
  <c r="R653" i="12"/>
  <c r="Q653" i="12"/>
  <c r="P653" i="12"/>
  <c r="U652" i="12"/>
  <c r="T652" i="12"/>
  <c r="S652" i="12"/>
  <c r="R652" i="12"/>
  <c r="M652" i="12"/>
  <c r="E652" i="12"/>
  <c r="U651" i="12"/>
  <c r="T651" i="12"/>
  <c r="S651" i="12"/>
  <c r="R651" i="12"/>
  <c r="Q651" i="12"/>
  <c r="P651" i="12"/>
  <c r="U650" i="12"/>
  <c r="T650" i="12"/>
  <c r="S650" i="12"/>
  <c r="R650" i="12"/>
  <c r="Q650" i="12"/>
  <c r="P650" i="12"/>
  <c r="U649" i="12"/>
  <c r="T649" i="12"/>
  <c r="S649" i="12"/>
  <c r="R649" i="12"/>
  <c r="Q649" i="12"/>
  <c r="P649" i="12"/>
  <c r="D649" i="12"/>
  <c r="U648" i="12"/>
  <c r="T648" i="12"/>
  <c r="S648" i="12"/>
  <c r="R648" i="12"/>
  <c r="Q648" i="12"/>
  <c r="P648" i="12"/>
  <c r="U647" i="12"/>
  <c r="T647" i="12"/>
  <c r="S647" i="12"/>
  <c r="R647" i="12"/>
  <c r="M647" i="12"/>
  <c r="E647" i="12"/>
  <c r="U646" i="12"/>
  <c r="T646" i="12"/>
  <c r="S646" i="12"/>
  <c r="R646" i="12"/>
  <c r="Q646" i="12"/>
  <c r="P646" i="12"/>
  <c r="I642" i="12"/>
  <c r="I637" i="12"/>
  <c r="I633" i="12"/>
  <c r="I628" i="12"/>
  <c r="U1684" i="12"/>
  <c r="T1684" i="12"/>
  <c r="S1684" i="12"/>
  <c r="R1684" i="12"/>
  <c r="Q1684" i="12"/>
  <c r="P1684" i="12"/>
  <c r="U1683" i="12"/>
  <c r="T1683" i="12"/>
  <c r="S1683" i="12"/>
  <c r="R1683" i="12"/>
  <c r="Q1683" i="12"/>
  <c r="P1683" i="12"/>
  <c r="U1682" i="12"/>
  <c r="T1682" i="12"/>
  <c r="S1682" i="12"/>
  <c r="R1682" i="12"/>
  <c r="Q1682" i="12"/>
  <c r="P1682" i="12"/>
  <c r="U1661" i="12"/>
  <c r="T1661" i="12"/>
  <c r="S1661" i="12"/>
  <c r="Q1661" i="12"/>
  <c r="P1661" i="12"/>
  <c r="M1661" i="12"/>
  <c r="U1660" i="12"/>
  <c r="T1660" i="12"/>
  <c r="R1660" i="12"/>
  <c r="Q1660" i="12"/>
  <c r="P1660" i="12"/>
  <c r="M1660" i="12"/>
  <c r="U1659" i="12"/>
  <c r="T1659" i="12"/>
  <c r="R1659" i="12"/>
  <c r="Q1659" i="12"/>
  <c r="P1659" i="12"/>
  <c r="M1659" i="12"/>
  <c r="U1658" i="12"/>
  <c r="T1658" i="12"/>
  <c r="R1658" i="12"/>
  <c r="Q1658" i="12"/>
  <c r="P1658" i="12"/>
  <c r="M1658" i="12"/>
  <c r="U1657" i="12"/>
  <c r="T1657" i="12"/>
  <c r="R1657" i="12"/>
  <c r="Q1657" i="12"/>
  <c r="P1657" i="12"/>
  <c r="M1657" i="12"/>
  <c r="U1656" i="12"/>
  <c r="T1656" i="12"/>
  <c r="R1656" i="12"/>
  <c r="Q1656" i="12"/>
  <c r="P1656" i="12"/>
  <c r="M1656" i="12"/>
  <c r="U1655" i="12"/>
  <c r="T1655" i="12"/>
  <c r="R1655" i="12"/>
  <c r="Q1655" i="12"/>
  <c r="P1655" i="12"/>
  <c r="M1655" i="12"/>
  <c r="J1660" i="12"/>
  <c r="U1654" i="12"/>
  <c r="T1654" i="12"/>
  <c r="S1654" i="12"/>
  <c r="R1654" i="12"/>
  <c r="Q1654" i="12"/>
  <c r="P1654" i="12"/>
  <c r="U1653" i="12"/>
  <c r="T1653" i="12"/>
  <c r="S1653" i="12"/>
  <c r="R1653" i="12"/>
  <c r="P1653" i="12"/>
  <c r="U1646" i="12"/>
  <c r="T1646" i="12"/>
  <c r="S1646" i="12"/>
  <c r="R1646" i="12"/>
  <c r="P1646" i="12"/>
  <c r="U1645" i="12"/>
  <c r="T1645" i="12"/>
  <c r="S1645" i="12"/>
  <c r="R1645" i="12"/>
  <c r="Q1645" i="12"/>
  <c r="P1645" i="12"/>
  <c r="U1644" i="12"/>
  <c r="T1644" i="12"/>
  <c r="S1644" i="12"/>
  <c r="R1644" i="12"/>
  <c r="P1644" i="12"/>
  <c r="M1644" i="12"/>
  <c r="J1644" i="12"/>
  <c r="U1643" i="12"/>
  <c r="T1643" i="12"/>
  <c r="S1643" i="12"/>
  <c r="R1643" i="12"/>
  <c r="Q1643" i="12"/>
  <c r="P1643" i="12"/>
  <c r="U1642" i="12"/>
  <c r="T1642" i="12"/>
  <c r="S1642" i="12"/>
  <c r="R1642" i="12"/>
  <c r="Q1642" i="12"/>
  <c r="P1642" i="12"/>
  <c r="U1621" i="12"/>
  <c r="T1621" i="12"/>
  <c r="S1621" i="12"/>
  <c r="R1621" i="12"/>
  <c r="P1621" i="12"/>
  <c r="M1621" i="12"/>
  <c r="U1620" i="12"/>
  <c r="T1620" i="12"/>
  <c r="S1620" i="12"/>
  <c r="Q1620" i="12"/>
  <c r="P1620" i="12"/>
  <c r="M1620" i="12"/>
  <c r="U1619" i="12"/>
  <c r="T1619" i="12"/>
  <c r="S1619" i="12"/>
  <c r="Q1619" i="12"/>
  <c r="P1619" i="12"/>
  <c r="M1619" i="12"/>
  <c r="U1618" i="12"/>
  <c r="T1618" i="12"/>
  <c r="R1618" i="12"/>
  <c r="Q1618" i="12"/>
  <c r="P1618" i="12"/>
  <c r="M1618" i="12"/>
  <c r="D1618" i="12"/>
  <c r="J1621" i="12" s="1"/>
  <c r="U1617" i="12"/>
  <c r="T1617" i="12"/>
  <c r="S1617" i="12"/>
  <c r="R1617" i="12"/>
  <c r="Q1617" i="12"/>
  <c r="P1617" i="12"/>
  <c r="U1616" i="12"/>
  <c r="T1616" i="12"/>
  <c r="S1616" i="12"/>
  <c r="R1616" i="12"/>
  <c r="Q1616" i="12"/>
  <c r="P1616" i="12"/>
  <c r="U1583" i="12"/>
  <c r="T1583" i="12"/>
  <c r="S1583" i="12"/>
  <c r="R1583" i="12"/>
  <c r="Q1583" i="12"/>
  <c r="P1583" i="12"/>
  <c r="U1582" i="12"/>
  <c r="T1582" i="12"/>
  <c r="S1582" i="12"/>
  <c r="R1582" i="12"/>
  <c r="P1582" i="12"/>
  <c r="M1582" i="12"/>
  <c r="U1581" i="12"/>
  <c r="T1581" i="12"/>
  <c r="S1581" i="12"/>
  <c r="Q1581" i="12"/>
  <c r="P1581" i="12"/>
  <c r="M1581" i="12"/>
  <c r="U1580" i="12"/>
  <c r="T1580" i="12"/>
  <c r="R1580" i="12"/>
  <c r="Q1580" i="12"/>
  <c r="P1580" i="12"/>
  <c r="M1580" i="12"/>
  <c r="J1582" i="12"/>
  <c r="U1579" i="12"/>
  <c r="T1579" i="12"/>
  <c r="S1579" i="12"/>
  <c r="R1579" i="12"/>
  <c r="Q1579" i="12"/>
  <c r="P1579" i="12"/>
  <c r="U1578" i="12"/>
  <c r="T1578" i="12"/>
  <c r="S1578" i="12"/>
  <c r="R1578" i="12"/>
  <c r="Q1578" i="12"/>
  <c r="P1578" i="12"/>
  <c r="U1557" i="12"/>
  <c r="T1557" i="12"/>
  <c r="S1557" i="12"/>
  <c r="R1557" i="12"/>
  <c r="P1557" i="12"/>
  <c r="M1557" i="12"/>
  <c r="U1556" i="12"/>
  <c r="T1556" i="12"/>
  <c r="S1556" i="12"/>
  <c r="Q1556" i="12"/>
  <c r="P1556" i="12"/>
  <c r="M1556" i="12"/>
  <c r="U1555" i="12"/>
  <c r="T1555" i="12"/>
  <c r="S1555" i="12"/>
  <c r="Q1555" i="12"/>
  <c r="P1555" i="12"/>
  <c r="M1555" i="12"/>
  <c r="U1554" i="12"/>
  <c r="T1554" i="12"/>
  <c r="S1554" i="12"/>
  <c r="Q1554" i="12"/>
  <c r="P1554" i="12"/>
  <c r="M1554" i="12"/>
  <c r="U1553" i="12"/>
  <c r="T1553" i="12"/>
  <c r="R1553" i="12"/>
  <c r="Q1553" i="12"/>
  <c r="P1553" i="12"/>
  <c r="M1553" i="12"/>
  <c r="U1552" i="12"/>
  <c r="T1552" i="12"/>
  <c r="R1552" i="12"/>
  <c r="Q1552" i="12"/>
  <c r="P1552" i="12"/>
  <c r="M1552" i="12"/>
  <c r="J1555" i="12"/>
  <c r="U1551" i="12"/>
  <c r="T1551" i="12"/>
  <c r="S1551" i="12"/>
  <c r="R1551" i="12"/>
  <c r="Q1551" i="12"/>
  <c r="P1551" i="12"/>
  <c r="U1550" i="12"/>
  <c r="T1550" i="12"/>
  <c r="S1550" i="12"/>
  <c r="R1550" i="12"/>
  <c r="Q1550" i="12"/>
  <c r="P1550" i="12"/>
  <c r="U1545" i="12"/>
  <c r="T1545" i="12"/>
  <c r="S1545" i="12"/>
  <c r="R1545" i="12"/>
  <c r="Q1545" i="12"/>
  <c r="P1545" i="12"/>
  <c r="U1544" i="12"/>
  <c r="T1544" i="12"/>
  <c r="S1544" i="12"/>
  <c r="R1544" i="12"/>
  <c r="M1544" i="12"/>
  <c r="D1544" i="12"/>
  <c r="J1544" i="12" s="1"/>
  <c r="U1543" i="12"/>
  <c r="T1543" i="12"/>
  <c r="S1543" i="12"/>
  <c r="R1543" i="12"/>
  <c r="Q1543" i="12"/>
  <c r="P1543" i="12"/>
  <c r="U1542" i="12"/>
  <c r="T1542" i="12"/>
  <c r="S1542" i="12"/>
  <c r="R1542" i="12"/>
  <c r="Q1542" i="12"/>
  <c r="P1542" i="12"/>
  <c r="U1541" i="12"/>
  <c r="T1541" i="12"/>
  <c r="S1541" i="12"/>
  <c r="R1541" i="12"/>
  <c r="Q1541" i="12"/>
  <c r="P1541" i="12"/>
  <c r="D1541" i="12"/>
  <c r="U1540" i="12"/>
  <c r="T1540" i="12"/>
  <c r="S1540" i="12"/>
  <c r="R1540" i="12"/>
  <c r="Q1540" i="12"/>
  <c r="P1540" i="12"/>
  <c r="U1539" i="12"/>
  <c r="T1539" i="12"/>
  <c r="S1539" i="12"/>
  <c r="R1539" i="12"/>
  <c r="M1539" i="12"/>
  <c r="U1538" i="12"/>
  <c r="T1538" i="12"/>
  <c r="S1538" i="12"/>
  <c r="R1538" i="12"/>
  <c r="Q1538" i="12"/>
  <c r="P1538" i="12"/>
  <c r="U1536" i="12"/>
  <c r="T1536" i="12"/>
  <c r="S1536" i="12"/>
  <c r="R1536" i="12"/>
  <c r="Q1536" i="12"/>
  <c r="P1536" i="12"/>
  <c r="D1536" i="12"/>
  <c r="U1535" i="12"/>
  <c r="T1535" i="12"/>
  <c r="S1535" i="12"/>
  <c r="R1535" i="12"/>
  <c r="Q1535" i="12"/>
  <c r="P1535" i="12"/>
  <c r="U1534" i="12"/>
  <c r="T1534" i="12"/>
  <c r="S1534" i="12"/>
  <c r="R1534" i="12"/>
  <c r="M1534" i="12"/>
  <c r="U1533" i="12"/>
  <c r="T1533" i="12"/>
  <c r="S1533" i="12"/>
  <c r="R1533" i="12"/>
  <c r="Q1533" i="12"/>
  <c r="P1533" i="12"/>
  <c r="U1531" i="12"/>
  <c r="T1531" i="12"/>
  <c r="S1531" i="12"/>
  <c r="R1531" i="12"/>
  <c r="Q1531" i="12"/>
  <c r="P1531" i="12"/>
  <c r="D1531" i="12"/>
  <c r="U1530" i="12"/>
  <c r="T1530" i="12"/>
  <c r="S1530" i="12"/>
  <c r="R1530" i="12"/>
  <c r="Q1530" i="12"/>
  <c r="P1530" i="12"/>
  <c r="U1529" i="12"/>
  <c r="T1529" i="12"/>
  <c r="S1529" i="12"/>
  <c r="R1529" i="12"/>
  <c r="M1529" i="12"/>
  <c r="U1528" i="12"/>
  <c r="T1528" i="12"/>
  <c r="S1528" i="12"/>
  <c r="R1528" i="12"/>
  <c r="Q1528" i="12"/>
  <c r="P1528" i="12"/>
  <c r="U1526" i="12"/>
  <c r="T1526" i="12"/>
  <c r="S1526" i="12"/>
  <c r="Q1526" i="12"/>
  <c r="P1526" i="12"/>
  <c r="M1526" i="12"/>
  <c r="U1525" i="12"/>
  <c r="T1525" i="12"/>
  <c r="S1525" i="12"/>
  <c r="Q1525" i="12"/>
  <c r="P1525" i="12"/>
  <c r="M1525" i="12"/>
  <c r="U1524" i="12"/>
  <c r="T1524" i="12"/>
  <c r="S1524" i="12"/>
  <c r="Q1524" i="12"/>
  <c r="P1524" i="12"/>
  <c r="M1524" i="12"/>
  <c r="U1523" i="12"/>
  <c r="T1523" i="12"/>
  <c r="R1523" i="12"/>
  <c r="Q1523" i="12"/>
  <c r="P1523" i="12"/>
  <c r="M1523" i="12"/>
  <c r="U1522" i="12"/>
  <c r="T1522" i="12"/>
  <c r="R1522" i="12"/>
  <c r="Q1522" i="12"/>
  <c r="P1522" i="12"/>
  <c r="M1522" i="12"/>
  <c r="J1525" i="12"/>
  <c r="U1521" i="12"/>
  <c r="T1521" i="12"/>
  <c r="S1521" i="12"/>
  <c r="R1521" i="12"/>
  <c r="Q1521" i="12"/>
  <c r="P1521" i="12"/>
  <c r="U1520" i="12"/>
  <c r="T1520" i="12"/>
  <c r="S1520" i="12"/>
  <c r="R1520" i="12"/>
  <c r="Q1520" i="12"/>
  <c r="P1520" i="12"/>
  <c r="U1519" i="12"/>
  <c r="T1519" i="12"/>
  <c r="S1519" i="12"/>
  <c r="R1519" i="12"/>
  <c r="Q1519" i="12"/>
  <c r="P1519" i="12"/>
  <c r="U1486" i="12"/>
  <c r="T1486" i="12"/>
  <c r="S1486" i="12"/>
  <c r="R1486" i="12"/>
  <c r="Q1486" i="12"/>
  <c r="P1486" i="12"/>
  <c r="U1485" i="12"/>
  <c r="T1485" i="12"/>
  <c r="S1485" i="12"/>
  <c r="Q1485" i="12"/>
  <c r="P1485" i="12"/>
  <c r="M1485" i="12"/>
  <c r="U1484" i="12"/>
  <c r="T1484" i="12"/>
  <c r="R1484" i="12"/>
  <c r="Q1484" i="12"/>
  <c r="P1484" i="12"/>
  <c r="M1484" i="12"/>
  <c r="U1483" i="12"/>
  <c r="T1483" i="12"/>
  <c r="R1483" i="12"/>
  <c r="Q1483" i="12"/>
  <c r="P1483" i="12"/>
  <c r="M1483" i="12"/>
  <c r="J1485" i="12"/>
  <c r="U1482" i="12"/>
  <c r="T1482" i="12"/>
  <c r="S1482" i="12"/>
  <c r="R1482" i="12"/>
  <c r="Q1482" i="12"/>
  <c r="P1482" i="12"/>
  <c r="U1481" i="12"/>
  <c r="T1481" i="12"/>
  <c r="S1481" i="12"/>
  <c r="R1481" i="12"/>
  <c r="Q1481" i="12"/>
  <c r="P1481" i="12"/>
  <c r="U1480" i="12"/>
  <c r="T1480" i="12"/>
  <c r="S1480" i="12"/>
  <c r="R1480" i="12"/>
  <c r="Q1480" i="12"/>
  <c r="P1480" i="12"/>
  <c r="D1480" i="12"/>
  <c r="U1479" i="12"/>
  <c r="T1479" i="12"/>
  <c r="S1479" i="12"/>
  <c r="R1479" i="12"/>
  <c r="Q1479" i="12"/>
  <c r="P1479" i="12"/>
  <c r="U1478" i="12"/>
  <c r="T1478" i="12"/>
  <c r="S1478" i="12"/>
  <c r="R1478" i="12"/>
  <c r="P1478" i="12"/>
  <c r="M1478" i="12"/>
  <c r="E1478" i="12"/>
  <c r="U1477" i="12"/>
  <c r="T1477" i="12"/>
  <c r="S1477" i="12"/>
  <c r="R1477" i="12"/>
  <c r="Q1477" i="12"/>
  <c r="P1477" i="12"/>
  <c r="U1476" i="12"/>
  <c r="T1476" i="12"/>
  <c r="S1476" i="12"/>
  <c r="R1476" i="12"/>
  <c r="Q1476" i="12"/>
  <c r="P1476" i="12"/>
  <c r="U1475" i="12"/>
  <c r="T1475" i="12"/>
  <c r="S1475" i="12"/>
  <c r="R1475" i="12"/>
  <c r="Q1475" i="12"/>
  <c r="P1475" i="12"/>
  <c r="D1475" i="12"/>
  <c r="U1474" i="12"/>
  <c r="T1474" i="12"/>
  <c r="S1474" i="12"/>
  <c r="R1474" i="12"/>
  <c r="Q1474" i="12"/>
  <c r="P1474" i="12"/>
  <c r="U1473" i="12"/>
  <c r="T1473" i="12"/>
  <c r="S1473" i="12"/>
  <c r="R1473" i="12"/>
  <c r="P1473" i="12"/>
  <c r="M1473" i="12"/>
  <c r="E1473" i="12"/>
  <c r="U1472" i="12"/>
  <c r="T1472" i="12"/>
  <c r="S1472" i="12"/>
  <c r="R1472" i="12"/>
  <c r="Q1472" i="12"/>
  <c r="P1472" i="12"/>
  <c r="U1470" i="12"/>
  <c r="T1470" i="12"/>
  <c r="R1470" i="12"/>
  <c r="Q1470" i="12"/>
  <c r="P1470" i="12"/>
  <c r="M1470" i="12"/>
  <c r="U1469" i="12"/>
  <c r="T1469" i="12"/>
  <c r="R1469" i="12"/>
  <c r="Q1469" i="12"/>
  <c r="P1469" i="12"/>
  <c r="M1469" i="12"/>
  <c r="U1468" i="12"/>
  <c r="T1468" i="12"/>
  <c r="R1468" i="12"/>
  <c r="Q1468" i="12"/>
  <c r="P1468" i="12"/>
  <c r="M1468" i="12"/>
  <c r="U1467" i="12"/>
  <c r="T1467" i="12"/>
  <c r="R1467" i="12"/>
  <c r="Q1467" i="12"/>
  <c r="P1467" i="12"/>
  <c r="M1467" i="12"/>
  <c r="U1466" i="12"/>
  <c r="T1466" i="12"/>
  <c r="R1466" i="12"/>
  <c r="Q1466" i="12"/>
  <c r="P1466" i="12"/>
  <c r="M1466" i="12"/>
  <c r="U1465" i="12"/>
  <c r="T1465" i="12"/>
  <c r="R1465" i="12"/>
  <c r="Q1465" i="12"/>
  <c r="P1465" i="12"/>
  <c r="M1465" i="12"/>
  <c r="U1464" i="12"/>
  <c r="T1464" i="12"/>
  <c r="R1464" i="12"/>
  <c r="Q1464" i="12"/>
  <c r="P1464" i="12"/>
  <c r="M1464" i="12"/>
  <c r="U1463" i="12"/>
  <c r="T1463" i="12"/>
  <c r="R1463" i="12"/>
  <c r="Q1463" i="12"/>
  <c r="P1463" i="12"/>
  <c r="M1463" i="12"/>
  <c r="J1466" i="12"/>
  <c r="U1462" i="12"/>
  <c r="T1462" i="12"/>
  <c r="S1462" i="12"/>
  <c r="R1462" i="12"/>
  <c r="Q1462" i="12"/>
  <c r="P1462" i="12"/>
  <c r="U1461" i="12"/>
  <c r="T1461" i="12"/>
  <c r="S1461" i="12"/>
  <c r="R1461" i="12"/>
  <c r="Q1461" i="12"/>
  <c r="P1461" i="12"/>
  <c r="U1442" i="12"/>
  <c r="T1442" i="12"/>
  <c r="S1442" i="12"/>
  <c r="R1442" i="12"/>
  <c r="Q1442" i="12"/>
  <c r="P1442" i="12"/>
  <c r="D1442" i="12"/>
  <c r="U1441" i="12"/>
  <c r="T1441" i="12"/>
  <c r="S1441" i="12"/>
  <c r="R1441" i="12"/>
  <c r="Q1441" i="12"/>
  <c r="P1441" i="12"/>
  <c r="U1440" i="12"/>
  <c r="T1440" i="12"/>
  <c r="S1440" i="12"/>
  <c r="R1440" i="12"/>
  <c r="P1440" i="12"/>
  <c r="M1440" i="12"/>
  <c r="E1440" i="12"/>
  <c r="U1439" i="12"/>
  <c r="T1439" i="12"/>
  <c r="S1439" i="12"/>
  <c r="R1439" i="12"/>
  <c r="Q1439" i="12"/>
  <c r="P1439" i="12"/>
  <c r="U1438" i="12"/>
  <c r="T1438" i="12"/>
  <c r="S1438" i="12"/>
  <c r="R1438" i="12"/>
  <c r="Q1438" i="12"/>
  <c r="P1438" i="12"/>
  <c r="U1437" i="12"/>
  <c r="T1437" i="12"/>
  <c r="S1437" i="12"/>
  <c r="R1437" i="12"/>
  <c r="Q1437" i="12"/>
  <c r="P1437" i="12"/>
  <c r="D1437" i="12"/>
  <c r="U1436" i="12"/>
  <c r="T1436" i="12"/>
  <c r="S1436" i="12"/>
  <c r="R1436" i="12"/>
  <c r="Q1436" i="12"/>
  <c r="P1436" i="12"/>
  <c r="U1435" i="12"/>
  <c r="T1435" i="12"/>
  <c r="S1435" i="12"/>
  <c r="R1435" i="12"/>
  <c r="P1435" i="12"/>
  <c r="M1435" i="12"/>
  <c r="E1435" i="12"/>
  <c r="U1434" i="12"/>
  <c r="T1434" i="12"/>
  <c r="S1434" i="12"/>
  <c r="R1434" i="12"/>
  <c r="Q1434" i="12"/>
  <c r="P1434" i="12"/>
  <c r="U1432" i="12"/>
  <c r="T1432" i="12"/>
  <c r="S1432" i="12"/>
  <c r="Q1432" i="12"/>
  <c r="P1432" i="12"/>
  <c r="M1432" i="12"/>
  <c r="U1431" i="12"/>
  <c r="T1431" i="12"/>
  <c r="S1431" i="12"/>
  <c r="Q1431" i="12"/>
  <c r="P1431" i="12"/>
  <c r="M1431" i="12"/>
  <c r="U1430" i="12"/>
  <c r="T1430" i="12"/>
  <c r="S1430" i="12"/>
  <c r="Q1430" i="12"/>
  <c r="P1430" i="12"/>
  <c r="M1430" i="12"/>
  <c r="U1429" i="12"/>
  <c r="T1429" i="12"/>
  <c r="R1429" i="12"/>
  <c r="Q1429" i="12"/>
  <c r="P1429" i="12"/>
  <c r="M1429" i="12"/>
  <c r="U1428" i="12"/>
  <c r="T1428" i="12"/>
  <c r="R1428" i="12"/>
  <c r="Q1428" i="12"/>
  <c r="P1428" i="12"/>
  <c r="M1428" i="12"/>
  <c r="U1427" i="12"/>
  <c r="T1427" i="12"/>
  <c r="R1427" i="12"/>
  <c r="Q1427" i="12"/>
  <c r="P1427" i="12"/>
  <c r="M1427" i="12"/>
  <c r="J1431" i="12"/>
  <c r="U1426" i="12"/>
  <c r="T1426" i="12"/>
  <c r="S1426" i="12"/>
  <c r="R1426" i="12"/>
  <c r="Q1426" i="12"/>
  <c r="P1426" i="12"/>
  <c r="U1425" i="12"/>
  <c r="T1425" i="12"/>
  <c r="S1425" i="12"/>
  <c r="R1425" i="12"/>
  <c r="Q1425" i="12"/>
  <c r="P1425" i="12"/>
  <c r="U1424" i="12"/>
  <c r="T1424" i="12"/>
  <c r="S1424" i="12"/>
  <c r="R1424" i="12"/>
  <c r="Q1424" i="12"/>
  <c r="P1424" i="12"/>
  <c r="U1423" i="12"/>
  <c r="T1423" i="12"/>
  <c r="S1423" i="12"/>
  <c r="R1423" i="12"/>
  <c r="P1423" i="12"/>
  <c r="M1423" i="12"/>
  <c r="D1423" i="12"/>
  <c r="J1423" i="12" s="1"/>
  <c r="U1422" i="12"/>
  <c r="T1422" i="12"/>
  <c r="S1422" i="12"/>
  <c r="R1422" i="12"/>
  <c r="Q1422" i="12"/>
  <c r="P1422" i="12"/>
  <c r="U1421" i="12"/>
  <c r="T1421" i="12"/>
  <c r="S1421" i="12"/>
  <c r="R1421" i="12"/>
  <c r="Q1421" i="12"/>
  <c r="P1421" i="12"/>
  <c r="U1420" i="12"/>
  <c r="T1420" i="12"/>
  <c r="S1420" i="12"/>
  <c r="R1420" i="12"/>
  <c r="Q1420" i="12"/>
  <c r="P1420" i="12"/>
  <c r="D1420" i="12"/>
  <c r="U1419" i="12"/>
  <c r="T1419" i="12"/>
  <c r="S1419" i="12"/>
  <c r="R1419" i="12"/>
  <c r="Q1419" i="12"/>
  <c r="P1419" i="12"/>
  <c r="U1418" i="12"/>
  <c r="T1418" i="12"/>
  <c r="S1418" i="12"/>
  <c r="R1418" i="12"/>
  <c r="P1418" i="12"/>
  <c r="M1418" i="12"/>
  <c r="E1418" i="12"/>
  <c r="U1417" i="12"/>
  <c r="T1417" i="12"/>
  <c r="S1417" i="12"/>
  <c r="R1417" i="12"/>
  <c r="Q1417" i="12"/>
  <c r="P1417" i="12"/>
  <c r="U1416" i="12"/>
  <c r="T1416" i="12"/>
  <c r="S1416" i="12"/>
  <c r="R1416" i="12"/>
  <c r="Q1416" i="12"/>
  <c r="P1416" i="12"/>
  <c r="U1415" i="12"/>
  <c r="T1415" i="12"/>
  <c r="S1415" i="12"/>
  <c r="R1415" i="12"/>
  <c r="Q1415" i="12"/>
  <c r="P1415" i="12"/>
  <c r="D1415" i="12"/>
  <c r="U1414" i="12"/>
  <c r="T1414" i="12"/>
  <c r="S1414" i="12"/>
  <c r="R1414" i="12"/>
  <c r="Q1414" i="12"/>
  <c r="P1414" i="12"/>
  <c r="U1413" i="12"/>
  <c r="T1413" i="12"/>
  <c r="S1413" i="12"/>
  <c r="R1413" i="12"/>
  <c r="P1413" i="12"/>
  <c r="M1413" i="12"/>
  <c r="E1413" i="12"/>
  <c r="U1412" i="12"/>
  <c r="T1412" i="12"/>
  <c r="S1412" i="12"/>
  <c r="R1412" i="12"/>
  <c r="Q1412" i="12"/>
  <c r="P1412" i="12"/>
  <c r="U1411" i="12"/>
  <c r="T1411" i="12"/>
  <c r="S1411" i="12"/>
  <c r="R1411" i="12"/>
  <c r="Q1411" i="12"/>
  <c r="P1411" i="12"/>
  <c r="U1410" i="12"/>
  <c r="T1410" i="12"/>
  <c r="S1410" i="12"/>
  <c r="R1410" i="12"/>
  <c r="Q1410" i="12"/>
  <c r="P1410" i="12"/>
  <c r="D1410" i="12"/>
  <c r="U1409" i="12"/>
  <c r="T1409" i="12"/>
  <c r="S1409" i="12"/>
  <c r="R1409" i="12"/>
  <c r="Q1409" i="12"/>
  <c r="P1409" i="12"/>
  <c r="U1408" i="12"/>
  <c r="T1408" i="12"/>
  <c r="S1408" i="12"/>
  <c r="R1408" i="12"/>
  <c r="P1408" i="12"/>
  <c r="M1408" i="12"/>
  <c r="E1408" i="12"/>
  <c r="U1407" i="12"/>
  <c r="T1407" i="12"/>
  <c r="S1407" i="12"/>
  <c r="R1407" i="12"/>
  <c r="Q1407" i="12"/>
  <c r="P1407" i="12"/>
  <c r="U1405" i="12"/>
  <c r="T1405" i="12"/>
  <c r="R1405" i="12"/>
  <c r="Q1405" i="12"/>
  <c r="P1405" i="12"/>
  <c r="M1405" i="12"/>
  <c r="U1404" i="12"/>
  <c r="T1404" i="12"/>
  <c r="R1404" i="12"/>
  <c r="Q1404" i="12"/>
  <c r="P1404" i="12"/>
  <c r="M1404" i="12"/>
  <c r="U1403" i="12"/>
  <c r="T1403" i="12"/>
  <c r="R1403" i="12"/>
  <c r="Q1403" i="12"/>
  <c r="P1403" i="12"/>
  <c r="M1403" i="12"/>
  <c r="U1402" i="12"/>
  <c r="T1402" i="12"/>
  <c r="R1402" i="12"/>
  <c r="Q1402" i="12"/>
  <c r="P1402" i="12"/>
  <c r="M1402" i="12"/>
  <c r="U1401" i="12"/>
  <c r="S1401" i="12"/>
  <c r="R1401" i="12"/>
  <c r="Q1401" i="12"/>
  <c r="P1401" i="12"/>
  <c r="M1401" i="12"/>
  <c r="U1400" i="12"/>
  <c r="S1400" i="12"/>
  <c r="R1400" i="12"/>
  <c r="Q1400" i="12"/>
  <c r="P1400" i="12"/>
  <c r="M1400" i="12"/>
  <c r="U1399" i="12"/>
  <c r="S1399" i="12"/>
  <c r="R1399" i="12"/>
  <c r="Q1399" i="12"/>
  <c r="P1399" i="12"/>
  <c r="M1399" i="12"/>
  <c r="J1404" i="12"/>
  <c r="U1398" i="12"/>
  <c r="T1398" i="12"/>
  <c r="S1398" i="12"/>
  <c r="R1398" i="12"/>
  <c r="Q1398" i="12"/>
  <c r="P1398" i="12"/>
  <c r="U1397" i="12"/>
  <c r="T1397" i="12"/>
  <c r="S1397" i="12"/>
  <c r="R1397" i="12"/>
  <c r="Q1397" i="12"/>
  <c r="P1397" i="12"/>
  <c r="U1396" i="12"/>
  <c r="T1396" i="12"/>
  <c r="S1396" i="12"/>
  <c r="R1396" i="12"/>
  <c r="Q1396" i="12"/>
  <c r="P1396" i="12"/>
  <c r="U1395" i="12"/>
  <c r="T1395" i="12"/>
  <c r="S1395" i="12"/>
  <c r="R1395" i="12"/>
  <c r="P1395" i="12"/>
  <c r="M1395" i="12"/>
  <c r="D1395" i="12"/>
  <c r="J1395" i="12" s="1"/>
  <c r="U1394" i="12"/>
  <c r="T1394" i="12"/>
  <c r="S1394" i="12"/>
  <c r="R1394" i="12"/>
  <c r="Q1394" i="12"/>
  <c r="P1394" i="12"/>
  <c r="U1393" i="12"/>
  <c r="T1393" i="12"/>
  <c r="S1393" i="12"/>
  <c r="R1393" i="12"/>
  <c r="Q1393" i="12"/>
  <c r="P1393" i="12"/>
  <c r="U1392" i="12"/>
  <c r="T1392" i="12"/>
  <c r="S1392" i="12"/>
  <c r="R1392" i="12"/>
  <c r="Q1392" i="12"/>
  <c r="P1392" i="12"/>
  <c r="D1392" i="12"/>
  <c r="U1391" i="12"/>
  <c r="T1391" i="12"/>
  <c r="S1391" i="12"/>
  <c r="R1391" i="12"/>
  <c r="Q1391" i="12"/>
  <c r="P1391" i="12"/>
  <c r="U1390" i="12"/>
  <c r="T1390" i="12"/>
  <c r="S1390" i="12"/>
  <c r="R1390" i="12"/>
  <c r="P1390" i="12"/>
  <c r="M1390" i="12"/>
  <c r="E1390" i="12"/>
  <c r="U1389" i="12"/>
  <c r="T1389" i="12"/>
  <c r="S1389" i="12"/>
  <c r="R1389" i="12"/>
  <c r="Q1389" i="12"/>
  <c r="P1389" i="12"/>
  <c r="U1388" i="12"/>
  <c r="T1388" i="12"/>
  <c r="S1388" i="12"/>
  <c r="R1388" i="12"/>
  <c r="Q1388" i="12"/>
  <c r="P1388" i="12"/>
  <c r="U1387" i="12"/>
  <c r="T1387" i="12"/>
  <c r="S1387" i="12"/>
  <c r="R1387" i="12"/>
  <c r="Q1387" i="12"/>
  <c r="P1387" i="12"/>
  <c r="D1387" i="12"/>
  <c r="U1386" i="12"/>
  <c r="T1386" i="12"/>
  <c r="S1386" i="12"/>
  <c r="R1386" i="12"/>
  <c r="Q1386" i="12"/>
  <c r="P1386" i="12"/>
  <c r="U1385" i="12"/>
  <c r="T1385" i="12"/>
  <c r="S1385" i="12"/>
  <c r="R1385" i="12"/>
  <c r="P1385" i="12"/>
  <c r="M1385" i="12"/>
  <c r="E1385" i="12"/>
  <c r="U1384" i="12"/>
  <c r="T1384" i="12"/>
  <c r="S1384" i="12"/>
  <c r="R1384" i="12"/>
  <c r="Q1384" i="12"/>
  <c r="P1384" i="12"/>
  <c r="U1382" i="12"/>
  <c r="T1382" i="12"/>
  <c r="S1382" i="12"/>
  <c r="Q1382" i="12"/>
  <c r="P1382" i="12"/>
  <c r="M1382" i="12"/>
  <c r="U1381" i="12"/>
  <c r="T1381" i="12"/>
  <c r="S1381" i="12"/>
  <c r="Q1381" i="12"/>
  <c r="P1381" i="12"/>
  <c r="M1381" i="12"/>
  <c r="U1380" i="12"/>
  <c r="T1380" i="12"/>
  <c r="S1380" i="12"/>
  <c r="Q1380" i="12"/>
  <c r="P1380" i="12"/>
  <c r="M1380" i="12"/>
  <c r="U1379" i="12"/>
  <c r="T1379" i="12"/>
  <c r="S1379" i="12"/>
  <c r="Q1379" i="12"/>
  <c r="P1379" i="12"/>
  <c r="M1379" i="12"/>
  <c r="U1378" i="12"/>
  <c r="T1378" i="12"/>
  <c r="S1378" i="12"/>
  <c r="Q1378" i="12"/>
  <c r="P1378" i="12"/>
  <c r="M1378" i="12"/>
  <c r="U1377" i="12"/>
  <c r="T1377" i="12"/>
  <c r="R1377" i="12"/>
  <c r="Q1377" i="12"/>
  <c r="P1377" i="12"/>
  <c r="M1377" i="12"/>
  <c r="U1376" i="12"/>
  <c r="T1376" i="12"/>
  <c r="S1376" i="12"/>
  <c r="R1376" i="12"/>
  <c r="Q1376" i="12"/>
  <c r="P1376" i="12"/>
  <c r="U1375" i="12"/>
  <c r="T1375" i="12"/>
  <c r="S1375" i="12"/>
  <c r="R1375" i="12"/>
  <c r="Q1375" i="12"/>
  <c r="P1375" i="12"/>
  <c r="U1374" i="12"/>
  <c r="T1374" i="12"/>
  <c r="S1374" i="12"/>
  <c r="R1374" i="12"/>
  <c r="Q1374" i="12"/>
  <c r="P1374" i="12"/>
  <c r="D1374" i="12"/>
  <c r="U1373" i="12"/>
  <c r="T1373" i="12"/>
  <c r="S1373" i="12"/>
  <c r="R1373" i="12"/>
  <c r="Q1373" i="12"/>
  <c r="P1373" i="12"/>
  <c r="U1372" i="12"/>
  <c r="T1372" i="12"/>
  <c r="S1372" i="12"/>
  <c r="R1372" i="12"/>
  <c r="P1372" i="12"/>
  <c r="M1372" i="12"/>
  <c r="E1372" i="12"/>
  <c r="U1371" i="12"/>
  <c r="T1371" i="12"/>
  <c r="S1371" i="12"/>
  <c r="R1371" i="12"/>
  <c r="Q1371" i="12"/>
  <c r="P1371" i="12"/>
  <c r="U1370" i="12"/>
  <c r="T1370" i="12"/>
  <c r="S1370" i="12"/>
  <c r="R1370" i="12"/>
  <c r="Q1370" i="12"/>
  <c r="P1370" i="12"/>
  <c r="U1369" i="12"/>
  <c r="T1369" i="12"/>
  <c r="S1369" i="12"/>
  <c r="R1369" i="12"/>
  <c r="Q1369" i="12"/>
  <c r="P1369" i="12"/>
  <c r="D1369" i="12"/>
  <c r="U1368" i="12"/>
  <c r="T1368" i="12"/>
  <c r="S1368" i="12"/>
  <c r="R1368" i="12"/>
  <c r="Q1368" i="12"/>
  <c r="P1368" i="12"/>
  <c r="U1367" i="12"/>
  <c r="T1367" i="12"/>
  <c r="S1367" i="12"/>
  <c r="R1367" i="12"/>
  <c r="P1367" i="12"/>
  <c r="M1367" i="12"/>
  <c r="E1367" i="12"/>
  <c r="U1366" i="12"/>
  <c r="T1366" i="12"/>
  <c r="S1366" i="12"/>
  <c r="R1366" i="12"/>
  <c r="Q1366" i="12"/>
  <c r="P1366" i="12"/>
  <c r="U1365" i="12"/>
  <c r="T1365" i="12"/>
  <c r="S1365" i="12"/>
  <c r="Q1365" i="12"/>
  <c r="P1365" i="12"/>
  <c r="M1365" i="12"/>
  <c r="U1364" i="12"/>
  <c r="T1364" i="12"/>
  <c r="S1364" i="12"/>
  <c r="Q1364" i="12"/>
  <c r="P1364" i="12"/>
  <c r="M1364" i="12"/>
  <c r="U1363" i="12"/>
  <c r="T1363" i="12"/>
  <c r="S1363" i="12"/>
  <c r="Q1363" i="12"/>
  <c r="P1363" i="12"/>
  <c r="M1363" i="12"/>
  <c r="U1362" i="12"/>
  <c r="T1362" i="12"/>
  <c r="S1362" i="12"/>
  <c r="Q1362" i="12"/>
  <c r="P1362" i="12"/>
  <c r="M1362" i="12"/>
  <c r="U1361" i="12"/>
  <c r="T1361" i="12"/>
  <c r="R1361" i="12"/>
  <c r="Q1361" i="12"/>
  <c r="P1361" i="12"/>
  <c r="M1361" i="12"/>
  <c r="J1364" i="12"/>
  <c r="U1360" i="12"/>
  <c r="T1360" i="12"/>
  <c r="S1360" i="12"/>
  <c r="R1360" i="12"/>
  <c r="Q1360" i="12"/>
  <c r="P1360" i="12"/>
  <c r="U1359" i="12"/>
  <c r="T1359" i="12"/>
  <c r="S1359" i="12"/>
  <c r="R1359" i="12"/>
  <c r="Q1359" i="12"/>
  <c r="P1359" i="12"/>
  <c r="U1326" i="12"/>
  <c r="T1326" i="12"/>
  <c r="S1326" i="12"/>
  <c r="R1326" i="12"/>
  <c r="Q1326" i="12"/>
  <c r="P1326" i="12"/>
  <c r="U1325" i="12"/>
  <c r="T1325" i="12"/>
  <c r="S1325" i="12"/>
  <c r="R1325" i="12"/>
  <c r="P1325" i="12"/>
  <c r="M1325" i="12"/>
  <c r="U1324" i="12"/>
  <c r="T1324" i="12"/>
  <c r="S1324" i="12"/>
  <c r="Q1324" i="12"/>
  <c r="P1324" i="12"/>
  <c r="M1324" i="12"/>
  <c r="U1323" i="12"/>
  <c r="T1323" i="12"/>
  <c r="R1323" i="12"/>
  <c r="Q1323" i="12"/>
  <c r="P1323" i="12"/>
  <c r="M1323" i="12"/>
  <c r="J1324" i="12"/>
  <c r="U1322" i="12"/>
  <c r="T1322" i="12"/>
  <c r="S1322" i="12"/>
  <c r="R1322" i="12"/>
  <c r="Q1322" i="12"/>
  <c r="P1322" i="12"/>
  <c r="U1321" i="12"/>
  <c r="T1321" i="12"/>
  <c r="S1321" i="12"/>
  <c r="R1321" i="12"/>
  <c r="Q1321" i="12"/>
  <c r="P1321" i="12"/>
  <c r="U1320" i="12"/>
  <c r="T1320" i="12"/>
  <c r="S1320" i="12"/>
  <c r="R1320" i="12"/>
  <c r="Q1320" i="12"/>
  <c r="P1320" i="12"/>
  <c r="U1319" i="12"/>
  <c r="T1319" i="12"/>
  <c r="S1319" i="12"/>
  <c r="R1319" i="12"/>
  <c r="M1319" i="12"/>
  <c r="D1319" i="12"/>
  <c r="J1319" i="12" s="1"/>
  <c r="U1318" i="12"/>
  <c r="T1318" i="12"/>
  <c r="S1318" i="12"/>
  <c r="R1318" i="12"/>
  <c r="Q1318" i="12"/>
  <c r="P1318" i="12"/>
  <c r="U1317" i="12"/>
  <c r="T1317" i="12"/>
  <c r="S1317" i="12"/>
  <c r="R1317" i="12"/>
  <c r="Q1317" i="12"/>
  <c r="P1317" i="12"/>
  <c r="U1298" i="12"/>
  <c r="T1298" i="12"/>
  <c r="S1298" i="12"/>
  <c r="R1298" i="12"/>
  <c r="Q1298" i="12"/>
  <c r="P1298" i="12"/>
  <c r="D1298" i="12"/>
  <c r="U1297" i="12"/>
  <c r="T1297" i="12"/>
  <c r="S1297" i="12"/>
  <c r="R1297" i="12"/>
  <c r="Q1297" i="12"/>
  <c r="P1297" i="12"/>
  <c r="U1296" i="12"/>
  <c r="T1296" i="12"/>
  <c r="S1296" i="12"/>
  <c r="R1296" i="12"/>
  <c r="M1296" i="12"/>
  <c r="U1295" i="12"/>
  <c r="T1295" i="12"/>
  <c r="S1295" i="12"/>
  <c r="R1295" i="12"/>
  <c r="Q1295" i="12"/>
  <c r="P1295" i="12"/>
  <c r="U1294" i="12"/>
  <c r="T1294" i="12"/>
  <c r="S1294" i="12"/>
  <c r="R1294" i="12"/>
  <c r="Q1294" i="12"/>
  <c r="P1294" i="12"/>
  <c r="U1316" i="12"/>
  <c r="T1316" i="12"/>
  <c r="S1316" i="12"/>
  <c r="R1316" i="12"/>
  <c r="Q1316" i="12"/>
  <c r="P1316" i="12"/>
  <c r="D1316" i="12"/>
  <c r="U1315" i="12"/>
  <c r="T1315" i="12"/>
  <c r="S1315" i="12"/>
  <c r="R1315" i="12"/>
  <c r="Q1315" i="12"/>
  <c r="P1315" i="12"/>
  <c r="U1314" i="12"/>
  <c r="T1314" i="12"/>
  <c r="S1314" i="12"/>
  <c r="R1314" i="12"/>
  <c r="M1314" i="12"/>
  <c r="U1313" i="12"/>
  <c r="T1313" i="12"/>
  <c r="S1313" i="12"/>
  <c r="R1313" i="12"/>
  <c r="Q1313" i="12"/>
  <c r="P1313" i="12"/>
  <c r="U1312" i="12"/>
  <c r="T1312" i="12"/>
  <c r="S1312" i="12"/>
  <c r="R1312" i="12"/>
  <c r="Q1312" i="12"/>
  <c r="P1312" i="12"/>
  <c r="U1307" i="12"/>
  <c r="T1307" i="12"/>
  <c r="S1307" i="12"/>
  <c r="R1307" i="12"/>
  <c r="Q1307" i="12"/>
  <c r="P1307" i="12"/>
  <c r="D1307" i="12"/>
  <c r="U1306" i="12"/>
  <c r="T1306" i="12"/>
  <c r="S1306" i="12"/>
  <c r="R1306" i="12"/>
  <c r="Q1306" i="12"/>
  <c r="P1306" i="12"/>
  <c r="U1305" i="12"/>
  <c r="T1305" i="12"/>
  <c r="S1305" i="12"/>
  <c r="R1305" i="12"/>
  <c r="M1305" i="12"/>
  <c r="U1304" i="12"/>
  <c r="T1304" i="12"/>
  <c r="S1304" i="12"/>
  <c r="R1304" i="12"/>
  <c r="Q1304" i="12"/>
  <c r="P1304" i="12"/>
  <c r="U1303" i="12"/>
  <c r="T1303" i="12"/>
  <c r="S1303" i="12"/>
  <c r="R1303" i="12"/>
  <c r="Q1303" i="12"/>
  <c r="P1303" i="12"/>
  <c r="U1293" i="12"/>
  <c r="T1293" i="12"/>
  <c r="S1293" i="12"/>
  <c r="R1293" i="12"/>
  <c r="Q1293" i="12"/>
  <c r="P1293" i="12"/>
  <c r="D1293" i="12"/>
  <c r="U1292" i="12"/>
  <c r="T1292" i="12"/>
  <c r="S1292" i="12"/>
  <c r="R1292" i="12"/>
  <c r="Q1292" i="12"/>
  <c r="P1292" i="12"/>
  <c r="U1291" i="12"/>
  <c r="T1291" i="12"/>
  <c r="S1291" i="12"/>
  <c r="R1291" i="12"/>
  <c r="M1291" i="12"/>
  <c r="E1291" i="12"/>
  <c r="U1290" i="12"/>
  <c r="T1290" i="12"/>
  <c r="S1290" i="12"/>
  <c r="R1290" i="12"/>
  <c r="Q1290" i="12"/>
  <c r="P1290" i="12"/>
  <c r="U1289" i="12"/>
  <c r="T1289" i="12"/>
  <c r="S1289" i="12"/>
  <c r="R1289" i="12"/>
  <c r="Q1289" i="12"/>
  <c r="P1289" i="12"/>
  <c r="U1288" i="12"/>
  <c r="T1288" i="12"/>
  <c r="S1288" i="12"/>
  <c r="R1288" i="12"/>
  <c r="Q1288" i="12"/>
  <c r="P1288" i="12"/>
  <c r="U1287" i="12"/>
  <c r="T1287" i="12"/>
  <c r="S1287" i="12"/>
  <c r="R1287" i="12"/>
  <c r="P1287" i="12"/>
  <c r="M1287" i="12"/>
  <c r="U1286" i="12"/>
  <c r="T1286" i="12"/>
  <c r="S1286" i="12"/>
  <c r="Q1286" i="12"/>
  <c r="P1286" i="12"/>
  <c r="M1286" i="12"/>
  <c r="U1285" i="12"/>
  <c r="T1285" i="12"/>
  <c r="R1285" i="12"/>
  <c r="Q1285" i="12"/>
  <c r="P1285" i="12"/>
  <c r="M1285" i="12"/>
  <c r="J1286" i="12"/>
  <c r="U1284" i="12"/>
  <c r="T1284" i="12"/>
  <c r="S1284" i="12"/>
  <c r="R1284" i="12"/>
  <c r="Q1284" i="12"/>
  <c r="P1284" i="12"/>
  <c r="U1283" i="12"/>
  <c r="T1283" i="12"/>
  <c r="S1283" i="12"/>
  <c r="R1283" i="12"/>
  <c r="Q1283" i="12"/>
  <c r="P1283" i="12"/>
  <c r="U1262" i="12"/>
  <c r="T1262" i="12"/>
  <c r="S1262" i="12"/>
  <c r="R1262" i="12"/>
  <c r="Q1262" i="12"/>
  <c r="P1262" i="12"/>
  <c r="D1262" i="12"/>
  <c r="J1259" i="12" s="1"/>
  <c r="U1261" i="12"/>
  <c r="T1261" i="12"/>
  <c r="S1261" i="12"/>
  <c r="R1261" i="12"/>
  <c r="Q1261" i="12"/>
  <c r="P1261" i="12"/>
  <c r="U1260" i="12"/>
  <c r="T1260" i="12"/>
  <c r="S1260" i="12"/>
  <c r="R1260" i="12"/>
  <c r="Q1260" i="12"/>
  <c r="P1260" i="12"/>
  <c r="U1259" i="12"/>
  <c r="T1259" i="12"/>
  <c r="S1259" i="12"/>
  <c r="R1259" i="12"/>
  <c r="P1259" i="12"/>
  <c r="M1259" i="12"/>
  <c r="U1258" i="12"/>
  <c r="T1258" i="12"/>
  <c r="S1258" i="12"/>
  <c r="R1258" i="12"/>
  <c r="Q1258" i="12"/>
  <c r="P1258" i="12"/>
  <c r="U1257" i="12"/>
  <c r="T1257" i="12"/>
  <c r="S1257" i="12"/>
  <c r="R1257" i="12"/>
  <c r="Q1257" i="12"/>
  <c r="P1257" i="12"/>
  <c r="D1257" i="12"/>
  <c r="J1254" i="12" s="1"/>
  <c r="U1256" i="12"/>
  <c r="T1256" i="12"/>
  <c r="S1256" i="12"/>
  <c r="R1256" i="12"/>
  <c r="Q1256" i="12"/>
  <c r="P1256" i="12"/>
  <c r="U1255" i="12"/>
  <c r="T1255" i="12"/>
  <c r="S1255" i="12"/>
  <c r="R1255" i="12"/>
  <c r="Q1255" i="12"/>
  <c r="P1255" i="12"/>
  <c r="U1254" i="12"/>
  <c r="T1254" i="12"/>
  <c r="S1254" i="12"/>
  <c r="R1254" i="12"/>
  <c r="P1254" i="12"/>
  <c r="M1254" i="12"/>
  <c r="U1253" i="12"/>
  <c r="T1253" i="12"/>
  <c r="S1253" i="12"/>
  <c r="R1253" i="12"/>
  <c r="Q1253" i="12"/>
  <c r="P1253" i="12"/>
  <c r="U1252" i="12"/>
  <c r="T1252" i="12"/>
  <c r="S1252" i="12"/>
  <c r="R1252" i="12"/>
  <c r="Q1252" i="12"/>
  <c r="P1252" i="12"/>
  <c r="D1252" i="12"/>
  <c r="U1251" i="12"/>
  <c r="T1251" i="12"/>
  <c r="S1251" i="12"/>
  <c r="R1251" i="12"/>
  <c r="Q1251" i="12"/>
  <c r="P1251" i="12"/>
  <c r="U1250" i="12"/>
  <c r="T1250" i="12"/>
  <c r="S1250" i="12"/>
  <c r="R1250" i="12"/>
  <c r="P1250" i="12"/>
  <c r="M1250" i="12"/>
  <c r="E1250" i="12"/>
  <c r="U1249" i="12"/>
  <c r="T1249" i="12"/>
  <c r="S1249" i="12"/>
  <c r="R1249" i="12"/>
  <c r="Q1249" i="12"/>
  <c r="P1249" i="12"/>
  <c r="U1248" i="12"/>
  <c r="T1248" i="12"/>
  <c r="S1248" i="12"/>
  <c r="R1248" i="12"/>
  <c r="Q1248" i="12"/>
  <c r="P1248" i="12"/>
  <c r="U1247" i="12"/>
  <c r="T1247" i="12"/>
  <c r="S1247" i="12"/>
  <c r="R1247" i="12"/>
  <c r="Q1247" i="12"/>
  <c r="P1247" i="12"/>
  <c r="D1247" i="12"/>
  <c r="U1246" i="12"/>
  <c r="T1246" i="12"/>
  <c r="S1246" i="12"/>
  <c r="R1246" i="12"/>
  <c r="Q1246" i="12"/>
  <c r="P1246" i="12"/>
  <c r="U1245" i="12"/>
  <c r="T1245" i="12"/>
  <c r="S1245" i="12"/>
  <c r="R1245" i="12"/>
  <c r="P1245" i="12"/>
  <c r="M1245" i="12"/>
  <c r="E1245" i="12"/>
  <c r="U1244" i="12"/>
  <c r="T1244" i="12"/>
  <c r="S1244" i="12"/>
  <c r="R1244" i="12"/>
  <c r="Q1244" i="12"/>
  <c r="P1244" i="12"/>
  <c r="U1243" i="12"/>
  <c r="T1243" i="12"/>
  <c r="S1243" i="12"/>
  <c r="R1243" i="12"/>
  <c r="Q1243" i="12"/>
  <c r="P1243" i="12"/>
  <c r="U1242" i="12"/>
  <c r="S1242" i="12"/>
  <c r="R1242" i="12"/>
  <c r="Q1242" i="12"/>
  <c r="P1242" i="12"/>
  <c r="M1242" i="12"/>
  <c r="U1241" i="12"/>
  <c r="S1241" i="12"/>
  <c r="R1241" i="12"/>
  <c r="Q1241" i="12"/>
  <c r="P1241" i="12"/>
  <c r="M1241" i="12"/>
  <c r="U1240" i="12"/>
  <c r="S1240" i="12"/>
  <c r="R1240" i="12"/>
  <c r="Q1240" i="12"/>
  <c r="P1240" i="12"/>
  <c r="M1240" i="12"/>
  <c r="U1239" i="12"/>
  <c r="S1239" i="12"/>
  <c r="R1239" i="12"/>
  <c r="Q1239" i="12"/>
  <c r="P1239" i="12"/>
  <c r="M1239" i="12"/>
  <c r="J1241" i="12"/>
  <c r="U1238" i="12"/>
  <c r="T1238" i="12"/>
  <c r="S1238" i="12"/>
  <c r="R1238" i="12"/>
  <c r="Q1238" i="12"/>
  <c r="P1238" i="12"/>
  <c r="U1237" i="12"/>
  <c r="T1237" i="12"/>
  <c r="S1237" i="12"/>
  <c r="R1237" i="12"/>
  <c r="Q1237" i="12"/>
  <c r="P1237" i="12"/>
  <c r="U1154" i="12"/>
  <c r="T1154" i="12"/>
  <c r="S1154" i="12"/>
  <c r="R1154" i="12"/>
  <c r="Q1154" i="12"/>
  <c r="P1154" i="12"/>
  <c r="D1154" i="12"/>
  <c r="J1151" i="12" s="1"/>
  <c r="U1153" i="12"/>
  <c r="T1153" i="12"/>
  <c r="S1153" i="12"/>
  <c r="R1153" i="12"/>
  <c r="Q1153" i="12"/>
  <c r="P1153" i="12"/>
  <c r="U1152" i="12"/>
  <c r="T1152" i="12"/>
  <c r="S1152" i="12"/>
  <c r="R1152" i="12"/>
  <c r="Q1152" i="12"/>
  <c r="P1152" i="12"/>
  <c r="U1151" i="12"/>
  <c r="T1151" i="12"/>
  <c r="S1151" i="12"/>
  <c r="R1151" i="12"/>
  <c r="P1151" i="12"/>
  <c r="M1151" i="12"/>
  <c r="U1150" i="12"/>
  <c r="T1150" i="12"/>
  <c r="S1150" i="12"/>
  <c r="R1150" i="12"/>
  <c r="Q1150" i="12"/>
  <c r="P1150" i="12"/>
  <c r="U1149" i="12"/>
  <c r="T1149" i="12"/>
  <c r="S1149" i="12"/>
  <c r="R1149" i="12"/>
  <c r="Q1149" i="12"/>
  <c r="P1149" i="12"/>
  <c r="D1149" i="12"/>
  <c r="J1146" i="12" s="1"/>
  <c r="U1148" i="12"/>
  <c r="T1148" i="12"/>
  <c r="S1148" i="12"/>
  <c r="R1148" i="12"/>
  <c r="Q1148" i="12"/>
  <c r="P1148" i="12"/>
  <c r="U1147" i="12"/>
  <c r="T1147" i="12"/>
  <c r="S1147" i="12"/>
  <c r="R1147" i="12"/>
  <c r="Q1147" i="12"/>
  <c r="P1147" i="12"/>
  <c r="U1146" i="12"/>
  <c r="T1146" i="12"/>
  <c r="S1146" i="12"/>
  <c r="R1146" i="12"/>
  <c r="P1146" i="12"/>
  <c r="M1146" i="12"/>
  <c r="U1145" i="12"/>
  <c r="T1145" i="12"/>
  <c r="S1145" i="12"/>
  <c r="R1145" i="12"/>
  <c r="Q1145" i="12"/>
  <c r="P1145" i="12"/>
  <c r="U1144" i="12"/>
  <c r="T1144" i="12"/>
  <c r="S1144" i="12"/>
  <c r="R1144" i="12"/>
  <c r="Q1144" i="12"/>
  <c r="P1144" i="12"/>
  <c r="D1144" i="12"/>
  <c r="U1143" i="12"/>
  <c r="T1143" i="12"/>
  <c r="S1143" i="12"/>
  <c r="R1143" i="12"/>
  <c r="Q1143" i="12"/>
  <c r="P1143" i="12"/>
  <c r="U1142" i="12"/>
  <c r="T1142" i="12"/>
  <c r="S1142" i="12"/>
  <c r="R1142" i="12"/>
  <c r="P1142" i="12"/>
  <c r="M1142" i="12"/>
  <c r="E1142" i="12"/>
  <c r="U1141" i="12"/>
  <c r="T1141" i="12"/>
  <c r="S1141" i="12"/>
  <c r="R1141" i="12"/>
  <c r="Q1141" i="12"/>
  <c r="P1141" i="12"/>
  <c r="U1140" i="12"/>
  <c r="T1140" i="12"/>
  <c r="S1140" i="12"/>
  <c r="R1140" i="12"/>
  <c r="Q1140" i="12"/>
  <c r="P1140" i="12"/>
  <c r="U1139" i="12"/>
  <c r="T1139" i="12"/>
  <c r="S1139" i="12"/>
  <c r="R1139" i="12"/>
  <c r="Q1139" i="12"/>
  <c r="P1139" i="12"/>
  <c r="D1139" i="12"/>
  <c r="U1138" i="12"/>
  <c r="T1138" i="12"/>
  <c r="S1138" i="12"/>
  <c r="R1138" i="12"/>
  <c r="Q1138" i="12"/>
  <c r="P1138" i="12"/>
  <c r="U1137" i="12"/>
  <c r="T1137" i="12"/>
  <c r="S1137" i="12"/>
  <c r="R1137" i="12"/>
  <c r="P1137" i="12"/>
  <c r="M1137" i="12"/>
  <c r="E1137" i="12"/>
  <c r="U1136" i="12"/>
  <c r="T1136" i="12"/>
  <c r="S1136" i="12"/>
  <c r="R1136" i="12"/>
  <c r="Q1136" i="12"/>
  <c r="P1136" i="12"/>
  <c r="U1135" i="12"/>
  <c r="T1135" i="12"/>
  <c r="S1135" i="12"/>
  <c r="R1135" i="12"/>
  <c r="Q1135" i="12"/>
  <c r="P1135" i="12"/>
  <c r="U1134" i="12"/>
  <c r="T1134" i="12"/>
  <c r="S1134" i="12"/>
  <c r="R1134" i="12"/>
  <c r="Q1134" i="12"/>
  <c r="P1134" i="12"/>
  <c r="D1134" i="12"/>
  <c r="U1133" i="12"/>
  <c r="T1133" i="12"/>
  <c r="S1133" i="12"/>
  <c r="R1133" i="12"/>
  <c r="Q1133" i="12"/>
  <c r="P1133" i="12"/>
  <c r="U1132" i="12"/>
  <c r="T1132" i="12"/>
  <c r="S1132" i="12"/>
  <c r="R1132" i="12"/>
  <c r="P1132" i="12"/>
  <c r="M1132" i="12"/>
  <c r="E1132" i="12"/>
  <c r="U1131" i="12"/>
  <c r="T1131" i="12"/>
  <c r="S1131" i="12"/>
  <c r="R1131" i="12"/>
  <c r="Q1131" i="12"/>
  <c r="P1131" i="12"/>
  <c r="U1130" i="12"/>
  <c r="T1130" i="12"/>
  <c r="S1130" i="12"/>
  <c r="R1130" i="12"/>
  <c r="Q1130" i="12"/>
  <c r="P1130" i="12"/>
  <c r="U1129" i="12"/>
  <c r="T1129" i="12"/>
  <c r="S1129" i="12"/>
  <c r="Q1129" i="12"/>
  <c r="P1129" i="12"/>
  <c r="M1129" i="12"/>
  <c r="U1128" i="12"/>
  <c r="T1128" i="12"/>
  <c r="S1128" i="12"/>
  <c r="Q1128" i="12"/>
  <c r="P1128" i="12"/>
  <c r="M1128" i="12"/>
  <c r="U1127" i="12"/>
  <c r="T1127" i="12"/>
  <c r="S1127" i="12"/>
  <c r="Q1127" i="12"/>
  <c r="P1127" i="12"/>
  <c r="M1127" i="12"/>
  <c r="U1126" i="12"/>
  <c r="T1126" i="12"/>
  <c r="S1126" i="12"/>
  <c r="Q1126" i="12"/>
  <c r="P1126" i="12"/>
  <c r="M1126" i="12"/>
  <c r="U1125" i="12"/>
  <c r="T1125" i="12"/>
  <c r="R1125" i="12"/>
  <c r="Q1125" i="12"/>
  <c r="P1125" i="12"/>
  <c r="M1125" i="12"/>
  <c r="J1129" i="12"/>
  <c r="U1124" i="12"/>
  <c r="T1124" i="12"/>
  <c r="S1124" i="12"/>
  <c r="R1124" i="12"/>
  <c r="Q1124" i="12"/>
  <c r="P1124" i="12"/>
  <c r="U1123" i="12"/>
  <c r="T1123" i="12"/>
  <c r="S1123" i="12"/>
  <c r="R1123" i="12"/>
  <c r="Q1123" i="12"/>
  <c r="P1123" i="12"/>
  <c r="U1098" i="12"/>
  <c r="T1098" i="12"/>
  <c r="S1098" i="12"/>
  <c r="R1098" i="12"/>
  <c r="Q1098" i="12"/>
  <c r="P1098" i="12"/>
  <c r="U1097" i="12"/>
  <c r="T1097" i="12"/>
  <c r="S1097" i="12"/>
  <c r="R1097" i="12"/>
  <c r="P1097" i="12"/>
  <c r="M1097" i="12"/>
  <c r="D1097" i="12"/>
  <c r="J1097" i="12" s="1"/>
  <c r="U1096" i="12"/>
  <c r="T1096" i="12"/>
  <c r="S1096" i="12"/>
  <c r="R1096" i="12"/>
  <c r="Q1096" i="12"/>
  <c r="P1096" i="12"/>
  <c r="U1095" i="12"/>
  <c r="T1095" i="12"/>
  <c r="S1095" i="12"/>
  <c r="R1095" i="12"/>
  <c r="Q1095" i="12"/>
  <c r="P1095" i="12"/>
  <c r="U1094" i="12"/>
  <c r="T1094" i="12"/>
  <c r="S1094" i="12"/>
  <c r="R1094" i="12"/>
  <c r="Q1094" i="12"/>
  <c r="P1094" i="12"/>
  <c r="D1094" i="12"/>
  <c r="J1091" i="12" s="1"/>
  <c r="U1093" i="12"/>
  <c r="T1093" i="12"/>
  <c r="S1093" i="12"/>
  <c r="R1093" i="12"/>
  <c r="Q1093" i="12"/>
  <c r="P1093" i="12"/>
  <c r="U1092" i="12"/>
  <c r="T1092" i="12"/>
  <c r="S1092" i="12"/>
  <c r="R1092" i="12"/>
  <c r="Q1092" i="12"/>
  <c r="P1092" i="12"/>
  <c r="U1091" i="12"/>
  <c r="T1091" i="12"/>
  <c r="S1091" i="12"/>
  <c r="R1091" i="12"/>
  <c r="P1091" i="12"/>
  <c r="M1091" i="12"/>
  <c r="U1090" i="12"/>
  <c r="T1090" i="12"/>
  <c r="S1090" i="12"/>
  <c r="R1090" i="12"/>
  <c r="Q1090" i="12"/>
  <c r="P1090" i="12"/>
  <c r="U1089" i="12"/>
  <c r="T1089" i="12"/>
  <c r="S1089" i="12"/>
  <c r="R1089" i="12"/>
  <c r="Q1089" i="12"/>
  <c r="P1089" i="12"/>
  <c r="D1089" i="12"/>
  <c r="J1086" i="12" s="1"/>
  <c r="U1088" i="12"/>
  <c r="T1088" i="12"/>
  <c r="S1088" i="12"/>
  <c r="R1088" i="12"/>
  <c r="Q1088" i="12"/>
  <c r="P1088" i="12"/>
  <c r="U1087" i="12"/>
  <c r="T1087" i="12"/>
  <c r="S1087" i="12"/>
  <c r="R1087" i="12"/>
  <c r="Q1087" i="12"/>
  <c r="P1087" i="12"/>
  <c r="U1086" i="12"/>
  <c r="T1086" i="12"/>
  <c r="S1086" i="12"/>
  <c r="R1086" i="12"/>
  <c r="P1086" i="12"/>
  <c r="M1086" i="12"/>
  <c r="U1085" i="12"/>
  <c r="T1085" i="12"/>
  <c r="S1085" i="12"/>
  <c r="R1085" i="12"/>
  <c r="Q1085" i="12"/>
  <c r="P1085" i="12"/>
  <c r="U1084" i="12"/>
  <c r="T1084" i="12"/>
  <c r="S1084" i="12"/>
  <c r="R1084" i="12"/>
  <c r="Q1084" i="12"/>
  <c r="P1084" i="12"/>
  <c r="D1084" i="12"/>
  <c r="U1083" i="12"/>
  <c r="T1083" i="12"/>
  <c r="S1083" i="12"/>
  <c r="R1083" i="12"/>
  <c r="Q1083" i="12"/>
  <c r="P1083" i="12"/>
  <c r="U1082" i="12"/>
  <c r="T1082" i="12"/>
  <c r="S1082" i="12"/>
  <c r="R1082" i="12"/>
  <c r="P1082" i="12"/>
  <c r="M1082" i="12"/>
  <c r="E1082" i="12"/>
  <c r="U1081" i="12"/>
  <c r="T1081" i="12"/>
  <c r="S1081" i="12"/>
  <c r="R1081" i="12"/>
  <c r="Q1081" i="12"/>
  <c r="P1081" i="12"/>
  <c r="U1080" i="12"/>
  <c r="T1080" i="12"/>
  <c r="S1080" i="12"/>
  <c r="R1080" i="12"/>
  <c r="Q1080" i="12"/>
  <c r="P1080" i="12"/>
  <c r="U1079" i="12"/>
  <c r="T1079" i="12"/>
  <c r="S1079" i="12"/>
  <c r="R1079" i="12"/>
  <c r="Q1079" i="12"/>
  <c r="P1079" i="12"/>
  <c r="D1079" i="12"/>
  <c r="U1078" i="12"/>
  <c r="T1078" i="12"/>
  <c r="S1078" i="12"/>
  <c r="R1078" i="12"/>
  <c r="Q1078" i="12"/>
  <c r="P1078" i="12"/>
  <c r="U1077" i="12"/>
  <c r="T1077" i="12"/>
  <c r="S1077" i="12"/>
  <c r="R1077" i="12"/>
  <c r="P1077" i="12"/>
  <c r="M1077" i="12"/>
  <c r="E1077" i="12"/>
  <c r="U1076" i="12"/>
  <c r="T1076" i="12"/>
  <c r="S1076" i="12"/>
  <c r="R1076" i="12"/>
  <c r="Q1076" i="12"/>
  <c r="P1076" i="12"/>
  <c r="U1075" i="12"/>
  <c r="T1075" i="12"/>
  <c r="S1075" i="12"/>
  <c r="R1075" i="12"/>
  <c r="Q1075" i="12"/>
  <c r="P1075" i="12"/>
  <c r="U1074" i="12"/>
  <c r="T1074" i="12"/>
  <c r="S1074" i="12"/>
  <c r="Q1074" i="12"/>
  <c r="P1074" i="12"/>
  <c r="M1074" i="12"/>
  <c r="U1073" i="12"/>
  <c r="T1073" i="12"/>
  <c r="S1073" i="12"/>
  <c r="Q1073" i="12"/>
  <c r="P1073" i="12"/>
  <c r="M1073" i="12"/>
  <c r="U1072" i="12"/>
  <c r="T1072" i="12"/>
  <c r="S1072" i="12"/>
  <c r="Q1072" i="12"/>
  <c r="P1072" i="12"/>
  <c r="M1072" i="12"/>
  <c r="U1071" i="12"/>
  <c r="T1071" i="12"/>
  <c r="S1071" i="12"/>
  <c r="Q1071" i="12"/>
  <c r="P1071" i="12"/>
  <c r="M1071" i="12"/>
  <c r="U1070" i="12"/>
  <c r="T1070" i="12"/>
  <c r="R1070" i="12"/>
  <c r="Q1070" i="12"/>
  <c r="P1070" i="12"/>
  <c r="M1070" i="12"/>
  <c r="J1071" i="12"/>
  <c r="U1069" i="12"/>
  <c r="T1069" i="12"/>
  <c r="S1069" i="12"/>
  <c r="R1069" i="12"/>
  <c r="Q1069" i="12"/>
  <c r="P1069" i="12"/>
  <c r="U988" i="12"/>
  <c r="T988" i="12"/>
  <c r="S988" i="12"/>
  <c r="R988" i="12"/>
  <c r="Q988" i="12"/>
  <c r="P988" i="12"/>
  <c r="U987" i="12"/>
  <c r="T987" i="12"/>
  <c r="S987" i="12"/>
  <c r="R987" i="12"/>
  <c r="P987" i="12"/>
  <c r="M987" i="12"/>
  <c r="D987" i="12"/>
  <c r="J987" i="12" s="1"/>
  <c r="U986" i="12"/>
  <c r="T986" i="12"/>
  <c r="S986" i="12"/>
  <c r="R986" i="12"/>
  <c r="Q986" i="12"/>
  <c r="P986" i="12"/>
  <c r="U985" i="12"/>
  <c r="T985" i="12"/>
  <c r="S985" i="12"/>
  <c r="R985" i="12"/>
  <c r="Q985" i="12"/>
  <c r="P985" i="12"/>
  <c r="U984" i="12"/>
  <c r="T984" i="12"/>
  <c r="S984" i="12"/>
  <c r="R984" i="12"/>
  <c r="Q984" i="12"/>
  <c r="P984" i="12"/>
  <c r="D984" i="12"/>
  <c r="J981" i="12" s="1"/>
  <c r="U983" i="12"/>
  <c r="T983" i="12"/>
  <c r="S983" i="12"/>
  <c r="R983" i="12"/>
  <c r="Q983" i="12"/>
  <c r="P983" i="12"/>
  <c r="U982" i="12"/>
  <c r="T982" i="12"/>
  <c r="S982" i="12"/>
  <c r="R982" i="12"/>
  <c r="Q982" i="12"/>
  <c r="P982" i="12"/>
  <c r="U981" i="12"/>
  <c r="T981" i="12"/>
  <c r="S981" i="12"/>
  <c r="R981" i="12"/>
  <c r="P981" i="12"/>
  <c r="M981" i="12"/>
  <c r="U980" i="12"/>
  <c r="T980" i="12"/>
  <c r="S980" i="12"/>
  <c r="R980" i="12"/>
  <c r="Q980" i="12"/>
  <c r="P980" i="12"/>
  <c r="U979" i="12"/>
  <c r="T979" i="12"/>
  <c r="S979" i="12"/>
  <c r="R979" i="12"/>
  <c r="Q979" i="12"/>
  <c r="P979" i="12"/>
  <c r="D979" i="12"/>
  <c r="J976" i="12" s="1"/>
  <c r="U978" i="12"/>
  <c r="T978" i="12"/>
  <c r="S978" i="12"/>
  <c r="R978" i="12"/>
  <c r="Q978" i="12"/>
  <c r="P978" i="12"/>
  <c r="U977" i="12"/>
  <c r="T977" i="12"/>
  <c r="S977" i="12"/>
  <c r="R977" i="12"/>
  <c r="Q977" i="12"/>
  <c r="P977" i="12"/>
  <c r="U976" i="12"/>
  <c r="T976" i="12"/>
  <c r="S976" i="12"/>
  <c r="R976" i="12"/>
  <c r="P976" i="12"/>
  <c r="M976" i="12"/>
  <c r="U975" i="12"/>
  <c r="T975" i="12"/>
  <c r="S975" i="12"/>
  <c r="R975" i="12"/>
  <c r="Q975" i="12"/>
  <c r="P975" i="12"/>
  <c r="U974" i="12"/>
  <c r="T974" i="12"/>
  <c r="S974" i="12"/>
  <c r="R974" i="12"/>
  <c r="Q974" i="12"/>
  <c r="P974" i="12"/>
  <c r="D974" i="12"/>
  <c r="U973" i="12"/>
  <c r="T973" i="12"/>
  <c r="S973" i="12"/>
  <c r="R973" i="12"/>
  <c r="Q973" i="12"/>
  <c r="P973" i="12"/>
  <c r="U972" i="12"/>
  <c r="T972" i="12"/>
  <c r="S972" i="12"/>
  <c r="R972" i="12"/>
  <c r="P972" i="12"/>
  <c r="M972" i="12"/>
  <c r="E972" i="12"/>
  <c r="U971" i="12"/>
  <c r="T971" i="12"/>
  <c r="S971" i="12"/>
  <c r="R971" i="12"/>
  <c r="Q971" i="12"/>
  <c r="P971" i="12"/>
  <c r="U970" i="12"/>
  <c r="T970" i="12"/>
  <c r="S970" i="12"/>
  <c r="R970" i="12"/>
  <c r="Q970" i="12"/>
  <c r="P970" i="12"/>
  <c r="U969" i="12"/>
  <c r="T969" i="12"/>
  <c r="S969" i="12"/>
  <c r="R969" i="12"/>
  <c r="Q969" i="12"/>
  <c r="P969" i="12"/>
  <c r="D969" i="12"/>
  <c r="U968" i="12"/>
  <c r="T968" i="12"/>
  <c r="S968" i="12"/>
  <c r="R968" i="12"/>
  <c r="Q968" i="12"/>
  <c r="P968" i="12"/>
  <c r="U967" i="12"/>
  <c r="T967" i="12"/>
  <c r="S967" i="12"/>
  <c r="R967" i="12"/>
  <c r="P967" i="12"/>
  <c r="M967" i="12"/>
  <c r="E967" i="12"/>
  <c r="U966" i="12"/>
  <c r="T966" i="12"/>
  <c r="S966" i="12"/>
  <c r="R966" i="12"/>
  <c r="Q966" i="12"/>
  <c r="P966" i="12"/>
  <c r="U965" i="12"/>
  <c r="T965" i="12"/>
  <c r="S965" i="12"/>
  <c r="R965" i="12"/>
  <c r="Q965" i="12"/>
  <c r="P965" i="12"/>
  <c r="U964" i="12"/>
  <c r="T964" i="12"/>
  <c r="R964" i="12"/>
  <c r="Q964" i="12"/>
  <c r="P964" i="12"/>
  <c r="M964" i="12"/>
  <c r="U963" i="12"/>
  <c r="T963" i="12"/>
  <c r="R963" i="12"/>
  <c r="Q963" i="12"/>
  <c r="P963" i="12"/>
  <c r="M963" i="12"/>
  <c r="U962" i="12"/>
  <c r="T962" i="12"/>
  <c r="R962" i="12"/>
  <c r="Q962" i="12"/>
  <c r="P962" i="12"/>
  <c r="M962" i="12"/>
  <c r="U961" i="12"/>
  <c r="T961" i="12"/>
  <c r="R961" i="12"/>
  <c r="Q961" i="12"/>
  <c r="P961" i="12"/>
  <c r="M961" i="12"/>
  <c r="U960" i="12"/>
  <c r="S960" i="12"/>
  <c r="R960" i="12"/>
  <c r="Q960" i="12"/>
  <c r="P960" i="12"/>
  <c r="M960" i="12"/>
  <c r="J962" i="12"/>
  <c r="U959" i="12"/>
  <c r="T959" i="12"/>
  <c r="S959" i="12"/>
  <c r="R959" i="12"/>
  <c r="Q959" i="12"/>
  <c r="P959" i="12"/>
  <c r="U958" i="12"/>
  <c r="T958" i="12"/>
  <c r="S958" i="12"/>
  <c r="R958" i="12"/>
  <c r="Q958" i="12"/>
  <c r="P958" i="12"/>
  <c r="U957" i="12"/>
  <c r="T957" i="12"/>
  <c r="S957" i="12"/>
  <c r="R957" i="12"/>
  <c r="Q957" i="12"/>
  <c r="P957" i="12"/>
  <c r="U877" i="12"/>
  <c r="T877" i="12"/>
  <c r="S877" i="12"/>
  <c r="R877" i="12"/>
  <c r="Q877" i="12"/>
  <c r="P877" i="12"/>
  <c r="U876" i="12"/>
  <c r="T876" i="12"/>
  <c r="S876" i="12"/>
  <c r="R876" i="12"/>
  <c r="P876" i="12"/>
  <c r="M876" i="12"/>
  <c r="D876" i="12"/>
  <c r="J876" i="12" s="1"/>
  <c r="U875" i="12"/>
  <c r="T875" i="12"/>
  <c r="S875" i="12"/>
  <c r="R875" i="12"/>
  <c r="Q875" i="12"/>
  <c r="P875" i="12"/>
  <c r="U874" i="12"/>
  <c r="T874" i="12"/>
  <c r="S874" i="12"/>
  <c r="R874" i="12"/>
  <c r="Q874" i="12"/>
  <c r="P874" i="12"/>
  <c r="U873" i="12"/>
  <c r="T873" i="12"/>
  <c r="S873" i="12"/>
  <c r="R873" i="12"/>
  <c r="Q873" i="12"/>
  <c r="P873" i="12"/>
  <c r="D873" i="12"/>
  <c r="J870" i="12" s="1"/>
  <c r="U872" i="12"/>
  <c r="T872" i="12"/>
  <c r="S872" i="12"/>
  <c r="R872" i="12"/>
  <c r="Q872" i="12"/>
  <c r="P872" i="12"/>
  <c r="U871" i="12"/>
  <c r="T871" i="12"/>
  <c r="S871" i="12"/>
  <c r="R871" i="12"/>
  <c r="Q871" i="12"/>
  <c r="P871" i="12"/>
  <c r="U870" i="12"/>
  <c r="T870" i="12"/>
  <c r="S870" i="12"/>
  <c r="R870" i="12"/>
  <c r="P870" i="12"/>
  <c r="M870" i="12"/>
  <c r="U869" i="12"/>
  <c r="T869" i="12"/>
  <c r="S869" i="12"/>
  <c r="R869" i="12"/>
  <c r="Q869" i="12"/>
  <c r="P869" i="12"/>
  <c r="U868" i="12"/>
  <c r="T868" i="12"/>
  <c r="S868" i="12"/>
  <c r="R868" i="12"/>
  <c r="Q868" i="12"/>
  <c r="P868" i="12"/>
  <c r="D868" i="12"/>
  <c r="J865" i="12" s="1"/>
  <c r="U867" i="12"/>
  <c r="T867" i="12"/>
  <c r="S867" i="12"/>
  <c r="R867" i="12"/>
  <c r="Q867" i="12"/>
  <c r="P867" i="12"/>
  <c r="U866" i="12"/>
  <c r="T866" i="12"/>
  <c r="S866" i="12"/>
  <c r="R866" i="12"/>
  <c r="Q866" i="12"/>
  <c r="P866" i="12"/>
  <c r="U865" i="12"/>
  <c r="T865" i="12"/>
  <c r="S865" i="12"/>
  <c r="R865" i="12"/>
  <c r="P865" i="12"/>
  <c r="M865" i="12"/>
  <c r="U864" i="12"/>
  <c r="T864" i="12"/>
  <c r="S864" i="12"/>
  <c r="R864" i="12"/>
  <c r="Q864" i="12"/>
  <c r="P864" i="12"/>
  <c r="U863" i="12"/>
  <c r="T863" i="12"/>
  <c r="S863" i="12"/>
  <c r="R863" i="12"/>
  <c r="Q863" i="12"/>
  <c r="P863" i="12"/>
  <c r="D863" i="12"/>
  <c r="U862" i="12"/>
  <c r="T862" i="12"/>
  <c r="S862" i="12"/>
  <c r="R862" i="12"/>
  <c r="Q862" i="12"/>
  <c r="P862" i="12"/>
  <c r="U861" i="12"/>
  <c r="T861" i="12"/>
  <c r="S861" i="12"/>
  <c r="R861" i="12"/>
  <c r="P861" i="12"/>
  <c r="M861" i="12"/>
  <c r="E861" i="12"/>
  <c r="U860" i="12"/>
  <c r="T860" i="12"/>
  <c r="S860" i="12"/>
  <c r="R860" i="12"/>
  <c r="Q860" i="12"/>
  <c r="P860" i="12"/>
  <c r="U859" i="12"/>
  <c r="T859" i="12"/>
  <c r="S859" i="12"/>
  <c r="R859" i="12"/>
  <c r="Q859" i="12"/>
  <c r="P859" i="12"/>
  <c r="U858" i="12"/>
  <c r="T858" i="12"/>
  <c r="S858" i="12"/>
  <c r="R858" i="12"/>
  <c r="Q858" i="12"/>
  <c r="P858" i="12"/>
  <c r="D858" i="12"/>
  <c r="U857" i="12"/>
  <c r="T857" i="12"/>
  <c r="S857" i="12"/>
  <c r="R857" i="12"/>
  <c r="Q857" i="12"/>
  <c r="P857" i="12"/>
  <c r="U856" i="12"/>
  <c r="T856" i="12"/>
  <c r="S856" i="12"/>
  <c r="R856" i="12"/>
  <c r="P856" i="12"/>
  <c r="M856" i="12"/>
  <c r="E856" i="12"/>
  <c r="U855" i="12"/>
  <c r="T855" i="12"/>
  <c r="S855" i="12"/>
  <c r="R855" i="12"/>
  <c r="Q855" i="12"/>
  <c r="P855" i="12"/>
  <c r="U854" i="12"/>
  <c r="T854" i="12"/>
  <c r="S854" i="12"/>
  <c r="R854" i="12"/>
  <c r="Q854" i="12"/>
  <c r="P854" i="12"/>
  <c r="U853" i="12"/>
  <c r="S853" i="12"/>
  <c r="R853" i="12"/>
  <c r="Q853" i="12"/>
  <c r="P853" i="12"/>
  <c r="M853" i="12"/>
  <c r="U852" i="12"/>
  <c r="S852" i="12"/>
  <c r="R852" i="12"/>
  <c r="Q852" i="12"/>
  <c r="P852" i="12"/>
  <c r="M852" i="12"/>
  <c r="U851" i="12"/>
  <c r="S851" i="12"/>
  <c r="R851" i="12"/>
  <c r="Q851" i="12"/>
  <c r="P851" i="12"/>
  <c r="M851" i="12"/>
  <c r="U850" i="12"/>
  <c r="S850" i="12"/>
  <c r="R850" i="12"/>
  <c r="Q850" i="12"/>
  <c r="P850" i="12"/>
  <c r="M850" i="12"/>
  <c r="U849" i="12"/>
  <c r="S849" i="12"/>
  <c r="R849" i="12"/>
  <c r="Q849" i="12"/>
  <c r="P849" i="12"/>
  <c r="M849" i="12"/>
  <c r="J850" i="12"/>
  <c r="U848" i="12"/>
  <c r="T848" i="12"/>
  <c r="S848" i="12"/>
  <c r="R848" i="12"/>
  <c r="Q848" i="12"/>
  <c r="P848" i="12"/>
  <c r="U847" i="12"/>
  <c r="T847" i="12"/>
  <c r="S847" i="12"/>
  <c r="R847" i="12"/>
  <c r="Q847" i="12"/>
  <c r="P847" i="12"/>
  <c r="U826" i="12"/>
  <c r="T826" i="12"/>
  <c r="S826" i="12"/>
  <c r="R826" i="12"/>
  <c r="Q826" i="12"/>
  <c r="P826" i="12"/>
  <c r="D826" i="12"/>
  <c r="J823" i="12" s="1"/>
  <c r="U825" i="12"/>
  <c r="T825" i="12"/>
  <c r="S825" i="12"/>
  <c r="R825" i="12"/>
  <c r="Q825" i="12"/>
  <c r="P825" i="12"/>
  <c r="U824" i="12"/>
  <c r="T824" i="12"/>
  <c r="S824" i="12"/>
  <c r="R824" i="12"/>
  <c r="Q824" i="12"/>
  <c r="P824" i="12"/>
  <c r="U823" i="12"/>
  <c r="T823" i="12"/>
  <c r="S823" i="12"/>
  <c r="R823" i="12"/>
  <c r="P823" i="12"/>
  <c r="M823" i="12"/>
  <c r="U822" i="12"/>
  <c r="T822" i="12"/>
  <c r="S822" i="12"/>
  <c r="R822" i="12"/>
  <c r="Q822" i="12"/>
  <c r="P822" i="12"/>
  <c r="U821" i="12"/>
  <c r="T821" i="12"/>
  <c r="S821" i="12"/>
  <c r="R821" i="12"/>
  <c r="Q821" i="12"/>
  <c r="P821" i="12"/>
  <c r="D821" i="12"/>
  <c r="J818" i="12" s="1"/>
  <c r="U820" i="12"/>
  <c r="T820" i="12"/>
  <c r="S820" i="12"/>
  <c r="R820" i="12"/>
  <c r="Q820" i="12"/>
  <c r="P820" i="12"/>
  <c r="U819" i="12"/>
  <c r="T819" i="12"/>
  <c r="S819" i="12"/>
  <c r="R819" i="12"/>
  <c r="Q819" i="12"/>
  <c r="P819" i="12"/>
  <c r="U818" i="12"/>
  <c r="T818" i="12"/>
  <c r="S818" i="12"/>
  <c r="R818" i="12"/>
  <c r="P818" i="12"/>
  <c r="M818" i="12"/>
  <c r="U817" i="12"/>
  <c r="T817" i="12"/>
  <c r="S817" i="12"/>
  <c r="R817" i="12"/>
  <c r="Q817" i="12"/>
  <c r="P817" i="12"/>
  <c r="U816" i="12"/>
  <c r="T816" i="12"/>
  <c r="S816" i="12"/>
  <c r="R816" i="12"/>
  <c r="Q816" i="12"/>
  <c r="P816" i="12"/>
  <c r="D816" i="12"/>
  <c r="U815" i="12"/>
  <c r="T815" i="12"/>
  <c r="S815" i="12"/>
  <c r="R815" i="12"/>
  <c r="Q815" i="12"/>
  <c r="P815" i="12"/>
  <c r="U814" i="12"/>
  <c r="T814" i="12"/>
  <c r="S814" i="12"/>
  <c r="R814" i="12"/>
  <c r="P814" i="12"/>
  <c r="M814" i="12"/>
  <c r="E814" i="12"/>
  <c r="U813" i="12"/>
  <c r="T813" i="12"/>
  <c r="S813" i="12"/>
  <c r="R813" i="12"/>
  <c r="Q813" i="12"/>
  <c r="P813" i="12"/>
  <c r="U812" i="12"/>
  <c r="T812" i="12"/>
  <c r="S812" i="12"/>
  <c r="R812" i="12"/>
  <c r="Q812" i="12"/>
  <c r="P812" i="12"/>
  <c r="U811" i="12"/>
  <c r="T811" i="12"/>
  <c r="S811" i="12"/>
  <c r="R811" i="12"/>
  <c r="Q811" i="12"/>
  <c r="P811" i="12"/>
  <c r="D811" i="12"/>
  <c r="U810" i="12"/>
  <c r="T810" i="12"/>
  <c r="S810" i="12"/>
  <c r="R810" i="12"/>
  <c r="Q810" i="12"/>
  <c r="P810" i="12"/>
  <c r="U809" i="12"/>
  <c r="T809" i="12"/>
  <c r="S809" i="12"/>
  <c r="R809" i="12"/>
  <c r="P809" i="12"/>
  <c r="M809" i="12"/>
  <c r="E809" i="12"/>
  <c r="U808" i="12"/>
  <c r="T808" i="12"/>
  <c r="S808" i="12"/>
  <c r="R808" i="12"/>
  <c r="Q808" i="12"/>
  <c r="P808" i="12"/>
  <c r="U807" i="12"/>
  <c r="T807" i="12"/>
  <c r="S807" i="12"/>
  <c r="R807" i="12"/>
  <c r="Q807" i="12"/>
  <c r="P807" i="12"/>
  <c r="U806" i="12"/>
  <c r="S806" i="12"/>
  <c r="R806" i="12"/>
  <c r="Q806" i="12"/>
  <c r="P806" i="12"/>
  <c r="M806" i="12"/>
  <c r="T805" i="12"/>
  <c r="S805" i="12"/>
  <c r="R805" i="12"/>
  <c r="Q805" i="12"/>
  <c r="P805" i="12"/>
  <c r="M805" i="12"/>
  <c r="T804" i="12"/>
  <c r="S804" i="12"/>
  <c r="R804" i="12"/>
  <c r="Q804" i="12"/>
  <c r="P804" i="12"/>
  <c r="M804" i="12"/>
  <c r="T803" i="12"/>
  <c r="S803" i="12"/>
  <c r="R803" i="12"/>
  <c r="Q803" i="12"/>
  <c r="P803" i="12"/>
  <c r="M803" i="12"/>
  <c r="J805" i="12"/>
  <c r="U802" i="12"/>
  <c r="T802" i="12"/>
  <c r="S802" i="12"/>
  <c r="R802" i="12"/>
  <c r="Q802" i="12"/>
  <c r="P802" i="12"/>
  <c r="U801" i="12"/>
  <c r="T801" i="12"/>
  <c r="S801" i="12"/>
  <c r="R801" i="12"/>
  <c r="Q801" i="12"/>
  <c r="P801" i="12"/>
  <c r="U734" i="12"/>
  <c r="T734" i="12"/>
  <c r="S734" i="12"/>
  <c r="R734" i="12"/>
  <c r="Q734" i="12"/>
  <c r="P734" i="12"/>
  <c r="D734" i="12"/>
  <c r="J731" i="12" s="1"/>
  <c r="U733" i="12"/>
  <c r="T733" i="12"/>
  <c r="S733" i="12"/>
  <c r="R733" i="12"/>
  <c r="Q733" i="12"/>
  <c r="P733" i="12"/>
  <c r="U732" i="12"/>
  <c r="T732" i="12"/>
  <c r="S732" i="12"/>
  <c r="R732" i="12"/>
  <c r="Q732" i="12"/>
  <c r="P732" i="12"/>
  <c r="U731" i="12"/>
  <c r="T731" i="12"/>
  <c r="S731" i="12"/>
  <c r="R731" i="12"/>
  <c r="P731" i="12"/>
  <c r="M731" i="12"/>
  <c r="U730" i="12"/>
  <c r="T730" i="12"/>
  <c r="S730" i="12"/>
  <c r="R730" i="12"/>
  <c r="Q730" i="12"/>
  <c r="P730" i="12"/>
  <c r="U729" i="12"/>
  <c r="T729" i="12"/>
  <c r="S729" i="12"/>
  <c r="R729" i="12"/>
  <c r="Q729" i="12"/>
  <c r="P729" i="12"/>
  <c r="D729" i="12"/>
  <c r="J726" i="12" s="1"/>
  <c r="U728" i="12"/>
  <c r="T728" i="12"/>
  <c r="S728" i="12"/>
  <c r="R728" i="12"/>
  <c r="Q728" i="12"/>
  <c r="P728" i="12"/>
  <c r="U727" i="12"/>
  <c r="T727" i="12"/>
  <c r="S727" i="12"/>
  <c r="R727" i="12"/>
  <c r="Q727" i="12"/>
  <c r="P727" i="12"/>
  <c r="U726" i="12"/>
  <c r="T726" i="12"/>
  <c r="S726" i="12"/>
  <c r="R726" i="12"/>
  <c r="P726" i="12"/>
  <c r="M726" i="12"/>
  <c r="U725" i="12"/>
  <c r="T725" i="12"/>
  <c r="S725" i="12"/>
  <c r="R725" i="12"/>
  <c r="Q725" i="12"/>
  <c r="P725" i="12"/>
  <c r="U724" i="12"/>
  <c r="T724" i="12"/>
  <c r="S724" i="12"/>
  <c r="R724" i="12"/>
  <c r="Q724" i="12"/>
  <c r="P724" i="12"/>
  <c r="D724" i="12"/>
  <c r="U723" i="12"/>
  <c r="T723" i="12"/>
  <c r="S723" i="12"/>
  <c r="R723" i="12"/>
  <c r="Q723" i="12"/>
  <c r="P723" i="12"/>
  <c r="U722" i="12"/>
  <c r="T722" i="12"/>
  <c r="S722" i="12"/>
  <c r="R722" i="12"/>
  <c r="P722" i="12"/>
  <c r="M722" i="12"/>
  <c r="E722" i="12"/>
  <c r="U721" i="12"/>
  <c r="T721" i="12"/>
  <c r="S721" i="12"/>
  <c r="R721" i="12"/>
  <c r="Q721" i="12"/>
  <c r="P721" i="12"/>
  <c r="U720" i="12"/>
  <c r="T720" i="12"/>
  <c r="S720" i="12"/>
  <c r="R720" i="12"/>
  <c r="Q720" i="12"/>
  <c r="P720" i="12"/>
  <c r="U719" i="12"/>
  <c r="T719" i="12"/>
  <c r="S719" i="12"/>
  <c r="R719" i="12"/>
  <c r="Q719" i="12"/>
  <c r="P719" i="12"/>
  <c r="D719" i="12"/>
  <c r="U718" i="12"/>
  <c r="T718" i="12"/>
  <c r="S718" i="12"/>
  <c r="R718" i="12"/>
  <c r="Q718" i="12"/>
  <c r="P718" i="12"/>
  <c r="U717" i="12"/>
  <c r="T717" i="12"/>
  <c r="S717" i="12"/>
  <c r="R717" i="12"/>
  <c r="P717" i="12"/>
  <c r="M717" i="12"/>
  <c r="E717" i="12"/>
  <c r="U716" i="12"/>
  <c r="T716" i="12"/>
  <c r="S716" i="12"/>
  <c r="R716" i="12"/>
  <c r="Q716" i="12"/>
  <c r="P716" i="12"/>
  <c r="U715" i="12"/>
  <c r="T715" i="12"/>
  <c r="S715" i="12"/>
  <c r="R715" i="12"/>
  <c r="Q715" i="12"/>
  <c r="P715" i="12"/>
  <c r="U714" i="12"/>
  <c r="T714" i="12"/>
  <c r="R714" i="12"/>
  <c r="Q714" i="12"/>
  <c r="P714" i="12"/>
  <c r="M714" i="12"/>
  <c r="U713" i="12"/>
  <c r="T713" i="12"/>
  <c r="R713" i="12"/>
  <c r="Q713" i="12"/>
  <c r="P713" i="12"/>
  <c r="M713" i="12"/>
  <c r="U712" i="12"/>
  <c r="S712" i="12"/>
  <c r="R712" i="12"/>
  <c r="Q712" i="12"/>
  <c r="P712" i="12"/>
  <c r="M712" i="12"/>
  <c r="U711" i="12"/>
  <c r="S711" i="12"/>
  <c r="R711" i="12"/>
  <c r="Q711" i="12"/>
  <c r="P711" i="12"/>
  <c r="M711" i="12"/>
  <c r="J712" i="12"/>
  <c r="U710" i="12"/>
  <c r="T710" i="12"/>
  <c r="S710" i="12"/>
  <c r="R710" i="12"/>
  <c r="Q710" i="12"/>
  <c r="P710" i="12"/>
  <c r="U709" i="12"/>
  <c r="T709" i="12"/>
  <c r="S709" i="12"/>
  <c r="R709" i="12"/>
  <c r="Q709" i="12"/>
  <c r="P709" i="12"/>
  <c r="U645" i="12"/>
  <c r="T645" i="12"/>
  <c r="S645" i="12"/>
  <c r="R645" i="12"/>
  <c r="Q645" i="12"/>
  <c r="P645" i="12"/>
  <c r="D645" i="12"/>
  <c r="J642" i="12" s="1"/>
  <c r="U644" i="12"/>
  <c r="T644" i="12"/>
  <c r="S644" i="12"/>
  <c r="R644" i="12"/>
  <c r="Q644" i="12"/>
  <c r="P644" i="12"/>
  <c r="U643" i="12"/>
  <c r="T643" i="12"/>
  <c r="S643" i="12"/>
  <c r="R643" i="12"/>
  <c r="Q643" i="12"/>
  <c r="P643" i="12"/>
  <c r="U642" i="12"/>
  <c r="T642" i="12"/>
  <c r="S642" i="12"/>
  <c r="R642" i="12"/>
  <c r="P642" i="12"/>
  <c r="M642" i="12"/>
  <c r="U641" i="12"/>
  <c r="T641" i="12"/>
  <c r="S641" i="12"/>
  <c r="R641" i="12"/>
  <c r="Q641" i="12"/>
  <c r="P641" i="12"/>
  <c r="U640" i="12"/>
  <c r="T640" i="12"/>
  <c r="S640" i="12"/>
  <c r="R640" i="12"/>
  <c r="Q640" i="12"/>
  <c r="P640" i="12"/>
  <c r="D640" i="12"/>
  <c r="J637" i="12" s="1"/>
  <c r="U639" i="12"/>
  <c r="T639" i="12"/>
  <c r="S639" i="12"/>
  <c r="R639" i="12"/>
  <c r="Q639" i="12"/>
  <c r="P639" i="12"/>
  <c r="U638" i="12"/>
  <c r="T638" i="12"/>
  <c r="S638" i="12"/>
  <c r="R638" i="12"/>
  <c r="Q638" i="12"/>
  <c r="P638" i="12"/>
  <c r="U637" i="12"/>
  <c r="T637" i="12"/>
  <c r="S637" i="12"/>
  <c r="R637" i="12"/>
  <c r="P637" i="12"/>
  <c r="M637" i="12"/>
  <c r="U636" i="12"/>
  <c r="T636" i="12"/>
  <c r="S636" i="12"/>
  <c r="R636" i="12"/>
  <c r="Q636" i="12"/>
  <c r="P636" i="12"/>
  <c r="U635" i="12"/>
  <c r="T635" i="12"/>
  <c r="S635" i="12"/>
  <c r="R635" i="12"/>
  <c r="Q635" i="12"/>
  <c r="P635" i="12"/>
  <c r="D635" i="12"/>
  <c r="U634" i="12"/>
  <c r="T634" i="12"/>
  <c r="S634" i="12"/>
  <c r="R634" i="12"/>
  <c r="Q634" i="12"/>
  <c r="P634" i="12"/>
  <c r="U633" i="12"/>
  <c r="T633" i="12"/>
  <c r="S633" i="12"/>
  <c r="R633" i="12"/>
  <c r="P633" i="12"/>
  <c r="M633" i="12"/>
  <c r="E633" i="12"/>
  <c r="U632" i="12"/>
  <c r="T632" i="12"/>
  <c r="S632" i="12"/>
  <c r="R632" i="12"/>
  <c r="Q632" i="12"/>
  <c r="P632" i="12"/>
  <c r="U631" i="12"/>
  <c r="T631" i="12"/>
  <c r="S631" i="12"/>
  <c r="R631" i="12"/>
  <c r="Q631" i="12"/>
  <c r="P631" i="12"/>
  <c r="U630" i="12"/>
  <c r="T630" i="12"/>
  <c r="S630" i="12"/>
  <c r="R630" i="12"/>
  <c r="Q630" i="12"/>
  <c r="P630" i="12"/>
  <c r="D630" i="12"/>
  <c r="U629" i="12"/>
  <c r="T629" i="12"/>
  <c r="S629" i="12"/>
  <c r="R629" i="12"/>
  <c r="Q629" i="12"/>
  <c r="P629" i="12"/>
  <c r="U628" i="12"/>
  <c r="T628" i="12"/>
  <c r="S628" i="12"/>
  <c r="R628" i="12"/>
  <c r="P628" i="12"/>
  <c r="M628" i="12"/>
  <c r="E628" i="12"/>
  <c r="U627" i="12"/>
  <c r="T627" i="12"/>
  <c r="S627" i="12"/>
  <c r="R627" i="12"/>
  <c r="Q627" i="12"/>
  <c r="P627" i="12"/>
  <c r="U626" i="12"/>
  <c r="T626" i="12"/>
  <c r="S626" i="12"/>
  <c r="R626" i="12"/>
  <c r="Q626" i="12"/>
  <c r="P626" i="12"/>
  <c r="U625" i="12"/>
  <c r="T625" i="12"/>
  <c r="S625" i="12"/>
  <c r="Q625" i="12"/>
  <c r="P625" i="12"/>
  <c r="M625" i="12"/>
  <c r="J625" i="12"/>
  <c r="U624" i="12"/>
  <c r="T624" i="12"/>
  <c r="R624" i="12"/>
  <c r="Q624" i="12"/>
  <c r="P624" i="12"/>
  <c r="M624" i="12"/>
  <c r="U623" i="12"/>
  <c r="T623" i="12"/>
  <c r="S623" i="12"/>
  <c r="Q623" i="12"/>
  <c r="P623" i="12"/>
  <c r="M623" i="12"/>
  <c r="U622" i="12"/>
  <c r="T622" i="12"/>
  <c r="R622" i="12"/>
  <c r="Q622" i="12"/>
  <c r="P622" i="12"/>
  <c r="M622" i="12"/>
  <c r="J622" i="12"/>
  <c r="U621" i="12"/>
  <c r="T621" i="12"/>
  <c r="S621" i="12"/>
  <c r="R621" i="12"/>
  <c r="Q621" i="12"/>
  <c r="P621" i="12"/>
  <c r="U620" i="12"/>
  <c r="T620" i="12"/>
  <c r="S620" i="12"/>
  <c r="R620" i="12"/>
  <c r="Q620" i="12"/>
  <c r="P620" i="12"/>
  <c r="J737" i="12" l="1"/>
  <c r="J652" i="12"/>
  <c r="J647" i="12"/>
  <c r="N1621" i="12"/>
  <c r="K1621" i="12" s="1"/>
  <c r="J742" i="12"/>
  <c r="N742" i="12" s="1"/>
  <c r="O742" i="12" s="1"/>
  <c r="N1431" i="12"/>
  <c r="O1431" i="12" s="1"/>
  <c r="R1431" i="12" s="1"/>
  <c r="N1466" i="12"/>
  <c r="K1466" i="12" s="1"/>
  <c r="J1082" i="12"/>
  <c r="N1082" i="12" s="1"/>
  <c r="O1082" i="12" s="1"/>
  <c r="Q1082" i="12" s="1"/>
  <c r="N1364" i="12"/>
  <c r="K1364" i="12" s="1"/>
  <c r="N1404" i="12"/>
  <c r="O1404" i="12" s="1"/>
  <c r="S1404" i="12" s="1"/>
  <c r="K904" i="12"/>
  <c r="J696" i="12"/>
  <c r="N696" i="12" s="1"/>
  <c r="O696" i="12" s="1"/>
  <c r="P696" i="12" s="1"/>
  <c r="N1071" i="12"/>
  <c r="K1071" i="12" s="1"/>
  <c r="N1129" i="12"/>
  <c r="O1129" i="12" s="1"/>
  <c r="R1129" i="12" s="1"/>
  <c r="J1478" i="12"/>
  <c r="N1478" i="12" s="1"/>
  <c r="O1478" i="12" s="1"/>
  <c r="Q1478" i="12" s="1"/>
  <c r="N661" i="12"/>
  <c r="O661" i="12" s="1"/>
  <c r="N686" i="12"/>
  <c r="O686" i="12" s="1"/>
  <c r="Q686" i="12" s="1"/>
  <c r="N751" i="12"/>
  <c r="O751" i="12" s="1"/>
  <c r="J768" i="12"/>
  <c r="N768" i="12" s="1"/>
  <c r="O768" i="12" s="1"/>
  <c r="Q768" i="12" s="1"/>
  <c r="N777" i="12"/>
  <c r="O777" i="12" s="1"/>
  <c r="Q777" i="12" s="1"/>
  <c r="K908" i="12"/>
  <c r="O906" i="12"/>
  <c r="T906" i="12" s="1"/>
  <c r="N962" i="12"/>
  <c r="K962" i="12" s="1"/>
  <c r="J672" i="12"/>
  <c r="N672" i="12" s="1"/>
  <c r="O672" i="12" s="1"/>
  <c r="Q672" i="12" s="1"/>
  <c r="J763" i="12"/>
  <c r="N763" i="12" s="1"/>
  <c r="O763" i="12" s="1"/>
  <c r="Q763" i="12" s="1"/>
  <c r="J1077" i="12"/>
  <c r="N1077" i="12" s="1"/>
  <c r="O1077" i="12" s="1"/>
  <c r="Q1077" i="12" s="1"/>
  <c r="N1259" i="12"/>
  <c r="O1259" i="12" s="1"/>
  <c r="Q1259" i="12" s="1"/>
  <c r="J1390" i="12"/>
  <c r="N1390" i="12" s="1"/>
  <c r="O1390" i="12" s="1"/>
  <c r="Q1390" i="12" s="1"/>
  <c r="N797" i="12"/>
  <c r="O797" i="12" s="1"/>
  <c r="P797" i="12" s="1"/>
  <c r="N700" i="12"/>
  <c r="O700" i="12" s="1"/>
  <c r="P700" i="12" s="1"/>
  <c r="J788" i="12"/>
  <c r="N788" i="12" s="1"/>
  <c r="O788" i="12" s="1"/>
  <c r="P788" i="12" s="1"/>
  <c r="N792" i="12"/>
  <c r="O792" i="12" s="1"/>
  <c r="P792" i="12" s="1"/>
  <c r="J1522" i="12"/>
  <c r="N1522" i="12" s="1"/>
  <c r="J1552" i="12"/>
  <c r="N1552" i="12" s="1"/>
  <c r="O1552" i="12" s="1"/>
  <c r="S1552" i="12" s="1"/>
  <c r="N1286" i="12"/>
  <c r="K1286" i="12" s="1"/>
  <c r="J1401" i="12"/>
  <c r="N1401" i="12" s="1"/>
  <c r="J1473" i="12"/>
  <c r="N1473" i="12" s="1"/>
  <c r="O1473" i="12" s="1"/>
  <c r="Q1473" i="12" s="1"/>
  <c r="J1529" i="12"/>
  <c r="N1529" i="12" s="1"/>
  <c r="O1529" i="12" s="1"/>
  <c r="J1554" i="12"/>
  <c r="N1554" i="12" s="1"/>
  <c r="K1554" i="12" s="1"/>
  <c r="O905" i="12"/>
  <c r="T905" i="12" s="1"/>
  <c r="J628" i="12"/>
  <c r="N628" i="12" s="1"/>
  <c r="O628" i="12" s="1"/>
  <c r="Q628" i="12" s="1"/>
  <c r="J633" i="12"/>
  <c r="N633" i="12" s="1"/>
  <c r="O633" i="12" s="1"/>
  <c r="Q633" i="12" s="1"/>
  <c r="N772" i="12"/>
  <c r="O772" i="12" s="1"/>
  <c r="Q772" i="12" s="1"/>
  <c r="J677" i="12"/>
  <c r="N677" i="12" s="1"/>
  <c r="O677" i="12" s="1"/>
  <c r="Q677" i="12" s="1"/>
  <c r="N681" i="12"/>
  <c r="O681" i="12" s="1"/>
  <c r="Q681" i="12" s="1"/>
  <c r="N642" i="12"/>
  <c r="O642" i="12" s="1"/>
  <c r="Q642" i="12" s="1"/>
  <c r="N726" i="12"/>
  <c r="O726" i="12" s="1"/>
  <c r="Q726" i="12" s="1"/>
  <c r="J809" i="12"/>
  <c r="N809" i="12" s="1"/>
  <c r="O809" i="12" s="1"/>
  <c r="Q809" i="12" s="1"/>
  <c r="J814" i="12"/>
  <c r="N814" i="12" s="1"/>
  <c r="O814" i="12" s="1"/>
  <c r="Q814" i="12" s="1"/>
  <c r="J856" i="12"/>
  <c r="N856" i="12" s="1"/>
  <c r="O856" i="12" s="1"/>
  <c r="Q856" i="12" s="1"/>
  <c r="J861" i="12"/>
  <c r="N861" i="12" s="1"/>
  <c r="O861" i="12" s="1"/>
  <c r="Q861" i="12" s="1"/>
  <c r="J1296" i="12"/>
  <c r="N1296" i="12" s="1"/>
  <c r="O1296" i="12" s="1"/>
  <c r="J1657" i="12"/>
  <c r="N1657" i="12" s="1"/>
  <c r="K1657" i="12" s="1"/>
  <c r="N656" i="12"/>
  <c r="O656" i="12" s="1"/>
  <c r="N746" i="12"/>
  <c r="O746" i="12" s="1"/>
  <c r="N757" i="12"/>
  <c r="K757" i="12" s="1"/>
  <c r="J783" i="12"/>
  <c r="N783" i="12" s="1"/>
  <c r="O783" i="12" s="1"/>
  <c r="P783" i="12" s="1"/>
  <c r="N760" i="12"/>
  <c r="O760" i="12" s="1"/>
  <c r="S760" i="12" s="1"/>
  <c r="O907" i="12"/>
  <c r="T907" i="12" s="1"/>
  <c r="Q900" i="12"/>
  <c r="P900" i="12"/>
  <c r="Q894" i="12"/>
  <c r="P894" i="12"/>
  <c r="Q889" i="12"/>
  <c r="P889" i="12"/>
  <c r="Q885" i="12"/>
  <c r="P885" i="12"/>
  <c r="Q880" i="12"/>
  <c r="P880" i="12"/>
  <c r="N850" i="12"/>
  <c r="K850" i="12" s="1"/>
  <c r="N805" i="12"/>
  <c r="O805" i="12" s="1"/>
  <c r="U805" i="12" s="1"/>
  <c r="Q843" i="12"/>
  <c r="P843" i="12"/>
  <c r="Q838" i="12"/>
  <c r="P838" i="12"/>
  <c r="Q834" i="12"/>
  <c r="P834" i="12"/>
  <c r="Q829" i="12"/>
  <c r="P829" i="12"/>
  <c r="N759" i="12"/>
  <c r="O759" i="12" s="1"/>
  <c r="S759" i="12" s="1"/>
  <c r="N758" i="12"/>
  <c r="K758" i="12" s="1"/>
  <c r="N737" i="12"/>
  <c r="O737" i="12" s="1"/>
  <c r="N712" i="12"/>
  <c r="O712" i="12" s="1"/>
  <c r="T712" i="12" s="1"/>
  <c r="N625" i="12"/>
  <c r="O625" i="12" s="1"/>
  <c r="R625" i="12" s="1"/>
  <c r="J851" i="12"/>
  <c r="N1097" i="12"/>
  <c r="O1097" i="12" s="1"/>
  <c r="Q1097" i="12" s="1"/>
  <c r="J1128" i="12"/>
  <c r="J1291" i="12"/>
  <c r="N1291" i="12" s="1"/>
  <c r="O1291" i="12" s="1"/>
  <c r="J1305" i="12"/>
  <c r="N1305" i="12" s="1"/>
  <c r="O1305" i="12" s="1"/>
  <c r="J1314" i="12"/>
  <c r="N1314" i="12" s="1"/>
  <c r="O1314" i="12" s="1"/>
  <c r="N1319" i="12"/>
  <c r="O1319" i="12" s="1"/>
  <c r="J1363" i="12"/>
  <c r="J1539" i="12"/>
  <c r="N1539" i="12" s="1"/>
  <c r="O1539" i="12" s="1"/>
  <c r="N1544" i="12"/>
  <c r="O1544" i="12" s="1"/>
  <c r="J1556" i="12"/>
  <c r="N1556" i="12" s="1"/>
  <c r="K1556" i="12" s="1"/>
  <c r="O1621" i="12"/>
  <c r="Q1621" i="12" s="1"/>
  <c r="N669" i="12"/>
  <c r="O669" i="12" s="1"/>
  <c r="R669" i="12" s="1"/>
  <c r="N731" i="12"/>
  <c r="O731" i="12" s="1"/>
  <c r="Q731" i="12" s="1"/>
  <c r="N876" i="12"/>
  <c r="O876" i="12" s="1"/>
  <c r="Q876" i="12" s="1"/>
  <c r="N1091" i="12"/>
  <c r="O1091" i="12" s="1"/>
  <c r="Q1091" i="12" s="1"/>
  <c r="J1365" i="12"/>
  <c r="N1365" i="12" s="1"/>
  <c r="N668" i="12"/>
  <c r="O668" i="12" s="1"/>
  <c r="S668" i="12" s="1"/>
  <c r="J691" i="12"/>
  <c r="N691" i="12" s="1"/>
  <c r="O691" i="12" s="1"/>
  <c r="P691" i="12" s="1"/>
  <c r="N705" i="12"/>
  <c r="O705" i="12" s="1"/>
  <c r="P705" i="12" s="1"/>
  <c r="J1408" i="12"/>
  <c r="N1408" i="12" s="1"/>
  <c r="O1408" i="12" s="1"/>
  <c r="Q1408" i="12" s="1"/>
  <c r="N637" i="12"/>
  <c r="O637" i="12" s="1"/>
  <c r="Q637" i="12" s="1"/>
  <c r="N981" i="12"/>
  <c r="O981" i="12" s="1"/>
  <c r="Q981" i="12" s="1"/>
  <c r="N1086" i="12"/>
  <c r="O1086" i="12" s="1"/>
  <c r="Q1086" i="12" s="1"/>
  <c r="J1287" i="12"/>
  <c r="N1287" i="12" s="1"/>
  <c r="J1655" i="12"/>
  <c r="N1655" i="12" s="1"/>
  <c r="N666" i="12"/>
  <c r="K666" i="12" s="1"/>
  <c r="N622" i="12"/>
  <c r="K622" i="12" s="1"/>
  <c r="N818" i="12"/>
  <c r="O818" i="12" s="1"/>
  <c r="Q818" i="12" s="1"/>
  <c r="J853" i="12"/>
  <c r="N853" i="12" s="1"/>
  <c r="O853" i="12" s="1"/>
  <c r="T853" i="12" s="1"/>
  <c r="J967" i="12"/>
  <c r="N967" i="12" s="1"/>
  <c r="O967" i="12" s="1"/>
  <c r="Q967" i="12" s="1"/>
  <c r="J972" i="12"/>
  <c r="N972" i="12" s="1"/>
  <c r="O972" i="12" s="1"/>
  <c r="Q972" i="12" s="1"/>
  <c r="N976" i="12"/>
  <c r="O976" i="12" s="1"/>
  <c r="Q976" i="12" s="1"/>
  <c r="N1151" i="12"/>
  <c r="O1151" i="12" s="1"/>
  <c r="Q1151" i="12" s="1"/>
  <c r="J1245" i="12"/>
  <c r="N1245" i="12" s="1"/>
  <c r="O1245" i="12" s="1"/>
  <c r="Q1245" i="12" s="1"/>
  <c r="J1250" i="12"/>
  <c r="N1250" i="12" s="1"/>
  <c r="O1250" i="12" s="1"/>
  <c r="Q1250" i="12" s="1"/>
  <c r="J1367" i="12"/>
  <c r="N1367" i="12" s="1"/>
  <c r="O1367" i="12" s="1"/>
  <c r="Q1367" i="12" s="1"/>
  <c r="J1385" i="12"/>
  <c r="N1385" i="12" s="1"/>
  <c r="O1385" i="12" s="1"/>
  <c r="Q1385" i="12" s="1"/>
  <c r="N1555" i="12"/>
  <c r="K1555" i="12" s="1"/>
  <c r="J1418" i="12"/>
  <c r="N1418" i="12" s="1"/>
  <c r="O1418" i="12" s="1"/>
  <c r="Q1418" i="12" s="1"/>
  <c r="J717" i="12"/>
  <c r="N717" i="12" s="1"/>
  <c r="O717" i="12" s="1"/>
  <c r="Q717" i="12" s="1"/>
  <c r="J1239" i="12"/>
  <c r="N1239" i="12" s="1"/>
  <c r="J1285" i="12"/>
  <c r="N1285" i="12" s="1"/>
  <c r="N1324" i="12"/>
  <c r="K1324" i="12" s="1"/>
  <c r="N1423" i="12"/>
  <c r="O1423" i="12" s="1"/>
  <c r="Q1423" i="12" s="1"/>
  <c r="J1430" i="12"/>
  <c r="N667" i="12"/>
  <c r="O667" i="12" s="1"/>
  <c r="R667" i="12" s="1"/>
  <c r="N652" i="12"/>
  <c r="O652" i="12" s="1"/>
  <c r="N647" i="12"/>
  <c r="O647" i="12" s="1"/>
  <c r="J713" i="12"/>
  <c r="N713" i="12" s="1"/>
  <c r="K713" i="12" s="1"/>
  <c r="J722" i="12"/>
  <c r="N722" i="12" s="1"/>
  <c r="O722" i="12" s="1"/>
  <c r="Q722" i="12" s="1"/>
  <c r="N865" i="12"/>
  <c r="O865" i="12" s="1"/>
  <c r="Q865" i="12" s="1"/>
  <c r="J1072" i="12"/>
  <c r="J1132" i="12"/>
  <c r="N1132" i="12" s="1"/>
  <c r="O1132" i="12" s="1"/>
  <c r="Q1132" i="12" s="1"/>
  <c r="N1241" i="12"/>
  <c r="O1241" i="12" s="1"/>
  <c r="T1241" i="12" s="1"/>
  <c r="J1242" i="12"/>
  <c r="N1242" i="12" s="1"/>
  <c r="K1242" i="12" s="1"/>
  <c r="J1405" i="12"/>
  <c r="J1440" i="12"/>
  <c r="N1440" i="12" s="1"/>
  <c r="O1440" i="12" s="1"/>
  <c r="Q1440" i="12" s="1"/>
  <c r="J1526" i="12"/>
  <c r="N1526" i="12" s="1"/>
  <c r="K1526" i="12" s="1"/>
  <c r="J1534" i="12"/>
  <c r="N1534" i="12" s="1"/>
  <c r="O1534" i="12" s="1"/>
  <c r="N1582" i="12"/>
  <c r="K1582" i="12" s="1"/>
  <c r="J1620" i="12"/>
  <c r="N1644" i="12"/>
  <c r="O1644" i="12" s="1"/>
  <c r="Q1644" i="12" s="1"/>
  <c r="N1660" i="12"/>
  <c r="K1660" i="12" s="1"/>
  <c r="J1661" i="12"/>
  <c r="N1661" i="12" s="1"/>
  <c r="K1661" i="12" s="1"/>
  <c r="J711" i="12"/>
  <c r="N711" i="12" s="1"/>
  <c r="O711" i="12" s="1"/>
  <c r="T711" i="12" s="1"/>
  <c r="N823" i="12"/>
  <c r="O823" i="12" s="1"/>
  <c r="Q823" i="12" s="1"/>
  <c r="J849" i="12"/>
  <c r="N870" i="12"/>
  <c r="O870" i="12" s="1"/>
  <c r="Q870" i="12" s="1"/>
  <c r="N987" i="12"/>
  <c r="O987" i="12" s="1"/>
  <c r="Q987" i="12" s="1"/>
  <c r="J1074" i="12"/>
  <c r="J1137" i="12"/>
  <c r="N1137" i="12" s="1"/>
  <c r="O1137" i="12" s="1"/>
  <c r="Q1137" i="12" s="1"/>
  <c r="J1142" i="12"/>
  <c r="N1142" i="12" s="1"/>
  <c r="O1142" i="12" s="1"/>
  <c r="Q1142" i="12" s="1"/>
  <c r="N1146" i="12"/>
  <c r="O1146" i="12" s="1"/>
  <c r="Q1146" i="12" s="1"/>
  <c r="J1361" i="12"/>
  <c r="N1361" i="12" s="1"/>
  <c r="J1372" i="12"/>
  <c r="N1372" i="12" s="1"/>
  <c r="O1372" i="12" s="1"/>
  <c r="Q1372" i="12" s="1"/>
  <c r="J1399" i="12"/>
  <c r="N1399" i="12" s="1"/>
  <c r="J1413" i="12"/>
  <c r="N1413" i="12" s="1"/>
  <c r="O1413" i="12" s="1"/>
  <c r="Q1413" i="12" s="1"/>
  <c r="J1435" i="12"/>
  <c r="N1435" i="12" s="1"/>
  <c r="O1435" i="12" s="1"/>
  <c r="Q1435" i="12" s="1"/>
  <c r="N1525" i="12"/>
  <c r="O1525" i="12" s="1"/>
  <c r="R1525" i="12" s="1"/>
  <c r="J714" i="12"/>
  <c r="N714" i="12" s="1"/>
  <c r="J1070" i="12"/>
  <c r="J1403" i="12"/>
  <c r="N1485" i="12"/>
  <c r="O1485" i="12" s="1"/>
  <c r="R1485" i="12" s="1"/>
  <c r="J1524" i="12"/>
  <c r="N1524" i="12" s="1"/>
  <c r="O1524" i="12" s="1"/>
  <c r="R1524" i="12" s="1"/>
  <c r="J1618" i="12"/>
  <c r="N1618" i="12" s="1"/>
  <c r="K1618" i="12" s="1"/>
  <c r="J1659" i="12"/>
  <c r="N1659" i="12" s="1"/>
  <c r="O1659" i="12" s="1"/>
  <c r="S1659" i="12" s="1"/>
  <c r="K625" i="12"/>
  <c r="J804" i="12"/>
  <c r="N804" i="12" s="1"/>
  <c r="J961" i="12"/>
  <c r="N961" i="12" s="1"/>
  <c r="J1379" i="12"/>
  <c r="N1379" i="12" s="1"/>
  <c r="J1381" i="12"/>
  <c r="N1381" i="12" s="1"/>
  <c r="J1377" i="12"/>
  <c r="N1377" i="12" s="1"/>
  <c r="J624" i="12"/>
  <c r="N624" i="12" s="1"/>
  <c r="J803" i="12"/>
  <c r="N803" i="12" s="1"/>
  <c r="J852" i="12"/>
  <c r="N852" i="12" s="1"/>
  <c r="J960" i="12"/>
  <c r="N960" i="12" s="1"/>
  <c r="J964" i="12"/>
  <c r="N964" i="12" s="1"/>
  <c r="J1073" i="12"/>
  <c r="N1073" i="12" s="1"/>
  <c r="J1127" i="12"/>
  <c r="N1127" i="12" s="1"/>
  <c r="N1254" i="12"/>
  <c r="O1254" i="12" s="1"/>
  <c r="Q1254" i="12" s="1"/>
  <c r="J1378" i="12"/>
  <c r="N1378" i="12" s="1"/>
  <c r="J806" i="12"/>
  <c r="N806" i="12" s="1"/>
  <c r="J963" i="12"/>
  <c r="N963" i="12" s="1"/>
  <c r="J1126" i="12"/>
  <c r="N1126" i="12" s="1"/>
  <c r="J1380" i="12"/>
  <c r="N1380" i="12" s="1"/>
  <c r="J623" i="12"/>
  <c r="N623" i="12" s="1"/>
  <c r="J1125" i="12"/>
  <c r="N1125" i="12" s="1"/>
  <c r="J1240" i="12"/>
  <c r="N1240" i="12" s="1"/>
  <c r="J1325" i="12"/>
  <c r="N1325" i="12" s="1"/>
  <c r="J1323" i="12"/>
  <c r="N1323" i="12" s="1"/>
  <c r="J1382" i="12"/>
  <c r="N1382" i="12" s="1"/>
  <c r="N1395" i="12"/>
  <c r="O1395" i="12" s="1"/>
  <c r="Q1395" i="12" s="1"/>
  <c r="J1362" i="12"/>
  <c r="N1362" i="12" s="1"/>
  <c r="J1402" i="12"/>
  <c r="N1402" i="12" s="1"/>
  <c r="J1429" i="12"/>
  <c r="N1429" i="12" s="1"/>
  <c r="J1428" i="12"/>
  <c r="N1428" i="12" s="1"/>
  <c r="J1432" i="12"/>
  <c r="N1432" i="12" s="1"/>
  <c r="J1469" i="12"/>
  <c r="N1469" i="12" s="1"/>
  <c r="J1465" i="12"/>
  <c r="N1465" i="12" s="1"/>
  <c r="J1470" i="12"/>
  <c r="N1470" i="12" s="1"/>
  <c r="J1467" i="12"/>
  <c r="N1467" i="12" s="1"/>
  <c r="J1463" i="12"/>
  <c r="N1463" i="12" s="1"/>
  <c r="J1468" i="12"/>
  <c r="N1468" i="12" s="1"/>
  <c r="J1400" i="12"/>
  <c r="N1400" i="12" s="1"/>
  <c r="J1427" i="12"/>
  <c r="N1427" i="12" s="1"/>
  <c r="J1464" i="12"/>
  <c r="N1464" i="12" s="1"/>
  <c r="J1484" i="12"/>
  <c r="N1484" i="12" s="1"/>
  <c r="J1581" i="12"/>
  <c r="N1581" i="12" s="1"/>
  <c r="J1483" i="12"/>
  <c r="N1483" i="12" s="1"/>
  <c r="J1523" i="12"/>
  <c r="N1523" i="12" s="1"/>
  <c r="J1553" i="12"/>
  <c r="N1553" i="12" s="1"/>
  <c r="J1557" i="12"/>
  <c r="N1557" i="12" s="1"/>
  <c r="J1580" i="12"/>
  <c r="N1580" i="12" s="1"/>
  <c r="J1619" i="12"/>
  <c r="N1619" i="12" s="1"/>
  <c r="J1658" i="12"/>
  <c r="N1658" i="12" s="1"/>
  <c r="J1656" i="12"/>
  <c r="N1656" i="12" s="1"/>
  <c r="K669" i="12" l="1"/>
  <c r="O757" i="12"/>
  <c r="T757" i="12" s="1"/>
  <c r="O622" i="12"/>
  <c r="S622" i="12" s="1"/>
  <c r="N1620" i="12"/>
  <c r="K1620" i="12" s="1"/>
  <c r="K1552" i="12"/>
  <c r="O1555" i="12"/>
  <c r="R1555" i="12" s="1"/>
  <c r="Q1544" i="12"/>
  <c r="P1544" i="12"/>
  <c r="Q1539" i="12"/>
  <c r="P1539" i="12"/>
  <c r="Q1534" i="12"/>
  <c r="P1534" i="12"/>
  <c r="Q1529" i="12"/>
  <c r="P1529" i="12"/>
  <c r="O1526" i="12"/>
  <c r="R1526" i="12" s="1"/>
  <c r="O1554" i="12"/>
  <c r="R1554" i="12" s="1"/>
  <c r="K1644" i="12"/>
  <c r="N1430" i="12"/>
  <c r="K1430" i="12" s="1"/>
  <c r="N1363" i="12"/>
  <c r="K1363" i="12" s="1"/>
  <c r="K1485" i="12"/>
  <c r="O1556" i="12"/>
  <c r="R1556" i="12" s="1"/>
  <c r="K1524" i="12"/>
  <c r="O1657" i="12"/>
  <c r="S1657" i="12" s="1"/>
  <c r="K1431" i="12"/>
  <c r="N1405" i="12"/>
  <c r="O1405" i="12" s="1"/>
  <c r="S1405" i="12" s="1"/>
  <c r="N1403" i="12"/>
  <c r="K1403" i="12" s="1"/>
  <c r="K1659" i="12"/>
  <c r="O1324" i="12"/>
  <c r="R1324" i="12" s="1"/>
  <c r="O1071" i="12"/>
  <c r="R1071" i="12" s="1"/>
  <c r="O1618" i="12"/>
  <c r="S1618" i="12" s="1"/>
  <c r="O1660" i="12"/>
  <c r="S1660" i="12" s="1"/>
  <c r="K711" i="12"/>
  <c r="K1655" i="12"/>
  <c r="O1655" i="12"/>
  <c r="S1655" i="12" s="1"/>
  <c r="K1365" i="12"/>
  <c r="O1365" i="12"/>
  <c r="R1365" i="12" s="1"/>
  <c r="O1661" i="12"/>
  <c r="R1661" i="12" s="1"/>
  <c r="N1128" i="12"/>
  <c r="K1128" i="12" s="1"/>
  <c r="O1582" i="12"/>
  <c r="Q1582" i="12" s="1"/>
  <c r="N1070" i="12"/>
  <c r="K1070" i="12" s="1"/>
  <c r="N1074" i="12"/>
  <c r="K1074" i="12" s="1"/>
  <c r="N1072" i="12"/>
  <c r="K1072" i="12" s="1"/>
  <c r="O1286" i="12"/>
  <c r="R1286" i="12" s="1"/>
  <c r="Q1319" i="12"/>
  <c r="P1319" i="12"/>
  <c r="Q1296" i="12"/>
  <c r="P1296" i="12"/>
  <c r="Q1314" i="12"/>
  <c r="P1314" i="12"/>
  <c r="Q1305" i="12"/>
  <c r="P1305" i="12"/>
  <c r="Q1291" i="12"/>
  <c r="P1291" i="12"/>
  <c r="K712" i="12"/>
  <c r="O1242" i="12"/>
  <c r="T1242" i="12" s="1"/>
  <c r="K1241" i="12"/>
  <c r="O1466" i="12"/>
  <c r="S1466" i="12" s="1"/>
  <c r="O1403" i="12"/>
  <c r="S1403" i="12" s="1"/>
  <c r="K760" i="12"/>
  <c r="O1364" i="12"/>
  <c r="R1364" i="12" s="1"/>
  <c r="O850" i="12"/>
  <c r="T850" i="12" s="1"/>
  <c r="K853" i="12"/>
  <c r="O1522" i="12"/>
  <c r="S1522" i="12" s="1"/>
  <c r="K1522" i="12"/>
  <c r="O666" i="12"/>
  <c r="S666" i="12" s="1"/>
  <c r="O758" i="12"/>
  <c r="T758" i="12" s="1"/>
  <c r="K759" i="12"/>
  <c r="K805" i="12"/>
  <c r="N849" i="12"/>
  <c r="O849" i="12" s="1"/>
  <c r="T849" i="12" s="1"/>
  <c r="N851" i="12"/>
  <c r="O851" i="12" s="1"/>
  <c r="T851" i="12" s="1"/>
  <c r="Q751" i="12"/>
  <c r="P751" i="12"/>
  <c r="Q746" i="12"/>
  <c r="P746" i="12"/>
  <c r="Q742" i="12"/>
  <c r="P742" i="12"/>
  <c r="Q737" i="12"/>
  <c r="P737" i="12"/>
  <c r="O713" i="12"/>
  <c r="S713" i="12" s="1"/>
  <c r="K667" i="12"/>
  <c r="O1239" i="12"/>
  <c r="T1239" i="12" s="1"/>
  <c r="K1239" i="12"/>
  <c r="K668" i="12"/>
  <c r="K1525" i="12"/>
  <c r="O962" i="12"/>
  <c r="S962" i="12" s="1"/>
  <c r="K1404" i="12"/>
  <c r="Q661" i="12"/>
  <c r="P661" i="12"/>
  <c r="Q656" i="12"/>
  <c r="P656" i="12"/>
  <c r="Q652" i="12"/>
  <c r="P652" i="12"/>
  <c r="Q647" i="12"/>
  <c r="P647" i="12"/>
  <c r="K1129" i="12"/>
  <c r="O714" i="12"/>
  <c r="S714" i="12" s="1"/>
  <c r="K714" i="12"/>
  <c r="K1581" i="12"/>
  <c r="O1581" i="12"/>
  <c r="R1581" i="12" s="1"/>
  <c r="K1432" i="12"/>
  <c r="O1432" i="12"/>
  <c r="R1432" i="12" s="1"/>
  <c r="K623" i="12"/>
  <c r="O623" i="12"/>
  <c r="R623" i="12" s="1"/>
  <c r="O1379" i="12"/>
  <c r="R1379" i="12" s="1"/>
  <c r="K1379" i="12"/>
  <c r="K1658" i="12"/>
  <c r="O1658" i="12"/>
  <c r="S1658" i="12" s="1"/>
  <c r="K1428" i="12"/>
  <c r="O1428" i="12"/>
  <c r="S1428" i="12" s="1"/>
  <c r="K1126" i="12"/>
  <c r="O1126" i="12"/>
  <c r="R1126" i="12" s="1"/>
  <c r="K960" i="12"/>
  <c r="O960" i="12"/>
  <c r="T960" i="12" s="1"/>
  <c r="K961" i="12"/>
  <c r="O961" i="12"/>
  <c r="S961" i="12" s="1"/>
  <c r="O1656" i="12"/>
  <c r="S1656" i="12" s="1"/>
  <c r="K1656" i="12"/>
  <c r="O1467" i="12"/>
  <c r="S1467" i="12" s="1"/>
  <c r="K1467" i="12"/>
  <c r="K1429" i="12"/>
  <c r="O1429" i="12"/>
  <c r="S1429" i="12" s="1"/>
  <c r="O1240" i="12"/>
  <c r="T1240" i="12" s="1"/>
  <c r="K1240" i="12"/>
  <c r="K624" i="12"/>
  <c r="O624" i="12"/>
  <c r="S624" i="12" s="1"/>
  <c r="K1484" i="12"/>
  <c r="O1484" i="12"/>
  <c r="S1484" i="12" s="1"/>
  <c r="K1464" i="12"/>
  <c r="O1464" i="12"/>
  <c r="S1464" i="12" s="1"/>
  <c r="K1470" i="12"/>
  <c r="O1470" i="12"/>
  <c r="S1470" i="12" s="1"/>
  <c r="K1402" i="12"/>
  <c r="O1402" i="12"/>
  <c r="S1402" i="12" s="1"/>
  <c r="K1401" i="12"/>
  <c r="O1401" i="12"/>
  <c r="T1401" i="12" s="1"/>
  <c r="O1323" i="12"/>
  <c r="S1323" i="12" s="1"/>
  <c r="K1323" i="12"/>
  <c r="O1125" i="12"/>
  <c r="S1125" i="12" s="1"/>
  <c r="K1125" i="12"/>
  <c r="K1619" i="12"/>
  <c r="O1619" i="12"/>
  <c r="R1619" i="12" s="1"/>
  <c r="K1523" i="12"/>
  <c r="O1523" i="12"/>
  <c r="S1523" i="12" s="1"/>
  <c r="O1427" i="12"/>
  <c r="S1427" i="12" s="1"/>
  <c r="K1427" i="12"/>
  <c r="K1468" i="12"/>
  <c r="O1468" i="12"/>
  <c r="S1468" i="12" s="1"/>
  <c r="O1465" i="12"/>
  <c r="S1465" i="12" s="1"/>
  <c r="K1465" i="12"/>
  <c r="O1362" i="12"/>
  <c r="R1362" i="12" s="1"/>
  <c r="K1362" i="12"/>
  <c r="K1399" i="12"/>
  <c r="O1399" i="12"/>
  <c r="T1399" i="12" s="1"/>
  <c r="O1325" i="12"/>
  <c r="Q1325" i="12" s="1"/>
  <c r="K1325" i="12"/>
  <c r="K1361" i="12"/>
  <c r="O1361" i="12"/>
  <c r="S1361" i="12" s="1"/>
  <c r="K963" i="12"/>
  <c r="O963" i="12"/>
  <c r="S963" i="12" s="1"/>
  <c r="K1287" i="12"/>
  <c r="O1287" i="12"/>
  <c r="Q1287" i="12" s="1"/>
  <c r="K1127" i="12"/>
  <c r="O1127" i="12"/>
  <c r="R1127" i="12" s="1"/>
  <c r="K852" i="12"/>
  <c r="O852" i="12"/>
  <c r="T852" i="12" s="1"/>
  <c r="O1377" i="12"/>
  <c r="S1377" i="12" s="1"/>
  <c r="K1377" i="12"/>
  <c r="K804" i="12"/>
  <c r="O804" i="12"/>
  <c r="U804" i="12" s="1"/>
  <c r="K1557" i="12"/>
  <c r="O1557" i="12"/>
  <c r="Q1557" i="12" s="1"/>
  <c r="K1382" i="12"/>
  <c r="O1382" i="12"/>
  <c r="R1382" i="12" s="1"/>
  <c r="K1380" i="12"/>
  <c r="O1380" i="12"/>
  <c r="R1380" i="12" s="1"/>
  <c r="K1378" i="12"/>
  <c r="O1378" i="12"/>
  <c r="R1378" i="12" s="1"/>
  <c r="K964" i="12"/>
  <c r="O964" i="12"/>
  <c r="S964" i="12" s="1"/>
  <c r="K1553" i="12"/>
  <c r="O1553" i="12"/>
  <c r="S1553" i="12" s="1"/>
  <c r="K1580" i="12"/>
  <c r="O1580" i="12"/>
  <c r="S1580" i="12" s="1"/>
  <c r="K1483" i="12"/>
  <c r="O1483" i="12"/>
  <c r="S1483" i="12" s="1"/>
  <c r="O1400" i="12"/>
  <c r="T1400" i="12" s="1"/>
  <c r="K1400" i="12"/>
  <c r="O1463" i="12"/>
  <c r="S1463" i="12" s="1"/>
  <c r="K1463" i="12"/>
  <c r="O1469" i="12"/>
  <c r="S1469" i="12" s="1"/>
  <c r="K1469" i="12"/>
  <c r="K1285" i="12"/>
  <c r="O1285" i="12"/>
  <c r="S1285" i="12" s="1"/>
  <c r="K806" i="12"/>
  <c r="O806" i="12"/>
  <c r="T806" i="12" s="1"/>
  <c r="K1073" i="12"/>
  <c r="O1073" i="12"/>
  <c r="R1073" i="12" s="1"/>
  <c r="K803" i="12"/>
  <c r="O803" i="12"/>
  <c r="U803" i="12" s="1"/>
  <c r="O1381" i="12"/>
  <c r="R1381" i="12" s="1"/>
  <c r="K1381" i="12"/>
  <c r="I75" i="10"/>
  <c r="I76" i="10"/>
  <c r="I77" i="10"/>
  <c r="I78" i="10"/>
  <c r="I79" i="10"/>
  <c r="I80" i="10"/>
  <c r="I81" i="10"/>
  <c r="I82" i="10"/>
  <c r="I83" i="10"/>
  <c r="I84" i="10"/>
  <c r="I86" i="10"/>
  <c r="I87" i="10"/>
  <c r="I88" i="10"/>
  <c r="I89" i="10"/>
  <c r="I90" i="10"/>
  <c r="I91" i="10"/>
  <c r="I92" i="10"/>
  <c r="I93" i="10"/>
  <c r="I94" i="10"/>
  <c r="I95" i="10"/>
  <c r="I96" i="10"/>
  <c r="I97" i="10"/>
  <c r="I98" i="10"/>
  <c r="I99" i="10"/>
  <c r="I100" i="10"/>
  <c r="I101" i="10"/>
  <c r="I102" i="10"/>
  <c r="I103" i="10"/>
  <c r="I74" i="10"/>
  <c r="D62" i="9"/>
  <c r="I66" i="9"/>
  <c r="D71" i="9"/>
  <c r="I71" i="9" s="1"/>
  <c r="O1430" i="12" l="1"/>
  <c r="R1430" i="12" s="1"/>
  <c r="O1620" i="12"/>
  <c r="R1620" i="12" s="1"/>
  <c r="O1074" i="12"/>
  <c r="R1074" i="12" s="1"/>
  <c r="O1363" i="12"/>
  <c r="R1363" i="12" s="1"/>
  <c r="O1070" i="12"/>
  <c r="S1070" i="12" s="1"/>
  <c r="S1685" i="12" s="1"/>
  <c r="S1687" i="12" s="1"/>
  <c r="J10" i="14" s="1"/>
  <c r="K1405" i="12"/>
  <c r="O1072" i="12"/>
  <c r="R1072" i="12" s="1"/>
  <c r="O1128" i="12"/>
  <c r="R1128" i="12" s="1"/>
  <c r="K849" i="12"/>
  <c r="K851" i="12"/>
  <c r="P1685" i="12"/>
  <c r="P1687" i="12" s="1"/>
  <c r="G10" i="14" s="1"/>
  <c r="U1685" i="12"/>
  <c r="T1685" i="12"/>
  <c r="T1687" i="12" s="1"/>
  <c r="K10" i="14" s="1"/>
  <c r="Q1685" i="12"/>
  <c r="Q1687" i="12" s="1"/>
  <c r="H10" i="14" s="1"/>
  <c r="D67" i="9"/>
  <c r="U1687" i="12" l="1"/>
  <c r="L10" i="14" s="1"/>
  <c r="R1685" i="12"/>
  <c r="R1687" i="12" s="1"/>
  <c r="I72" i="10"/>
  <c r="I106" i="10" s="1"/>
  <c r="I81" i="9"/>
  <c r="I79" i="9"/>
  <c r="I72" i="9"/>
  <c r="I65" i="9"/>
  <c r="I64" i="9"/>
  <c r="I63" i="9"/>
  <c r="I69" i="9"/>
  <c r="I68" i="9"/>
  <c r="I91" i="9"/>
  <c r="G89" i="9"/>
  <c r="I89" i="9" s="1"/>
  <c r="G85" i="9"/>
  <c r="G76" i="9"/>
  <c r="G74" i="9"/>
  <c r="I80" i="9"/>
  <c r="D84" i="9"/>
  <c r="I84" i="9" s="1"/>
  <c r="D90" i="9"/>
  <c r="I90" i="9" s="1"/>
  <c r="D88" i="9"/>
  <c r="I88" i="9" s="1"/>
  <c r="D87" i="9"/>
  <c r="I87" i="9" s="1"/>
  <c r="D86" i="9"/>
  <c r="I86" i="9" s="1"/>
  <c r="D82" i="9"/>
  <c r="I82" i="9" s="1"/>
  <c r="D78" i="9"/>
  <c r="I78" i="9" s="1"/>
  <c r="D77" i="9"/>
  <c r="I77" i="9" s="1"/>
  <c r="D75" i="9"/>
  <c r="I75" i="9" s="1"/>
  <c r="D73" i="9"/>
  <c r="I73" i="9" s="1"/>
  <c r="D70" i="9"/>
  <c r="I70" i="9" s="1"/>
  <c r="I67" i="9"/>
  <c r="I62" i="9"/>
  <c r="I83" i="9"/>
  <c r="V1687" i="12" l="1"/>
  <c r="I10" i="14"/>
  <c r="M10" i="14" s="1"/>
  <c r="I85" i="9"/>
  <c r="I74" i="9"/>
  <c r="I76" i="9"/>
  <c r="I93" i="9" l="1"/>
  <c r="F11" i="17" s="1"/>
  <c r="H84" i="8" s="1"/>
  <c r="I84" i="8" s="1"/>
  <c r="I58" i="9"/>
  <c r="I60" i="9" l="1"/>
  <c r="F10" i="17" s="1"/>
  <c r="I95" i="9" l="1"/>
  <c r="D940" i="11"/>
  <c r="D938" i="11"/>
  <c r="D910" i="11"/>
  <c r="D907" i="11"/>
  <c r="D846" i="11" l="1"/>
  <c r="D843" i="11"/>
  <c r="L125" i="22" l="1"/>
  <c r="N125" i="22" s="1"/>
  <c r="L126" i="22"/>
  <c r="N126" i="22" s="1"/>
  <c r="L127" i="22"/>
  <c r="N127" i="22" s="1"/>
  <c r="L128" i="22"/>
  <c r="N128" i="22" s="1"/>
  <c r="L129" i="22"/>
  <c r="N129" i="22" s="1"/>
  <c r="L130" i="22"/>
  <c r="N130" i="22" s="1"/>
  <c r="L131" i="22"/>
  <c r="N131" i="22" s="1"/>
  <c r="L132" i="22"/>
  <c r="N132" i="22" s="1"/>
  <c r="L133" i="22"/>
  <c r="N133" i="22" s="1"/>
  <c r="L134" i="22"/>
  <c r="N134" i="22" s="1"/>
  <c r="L135" i="22"/>
  <c r="N135" i="22" s="1"/>
  <c r="L136" i="22"/>
  <c r="N136" i="22" s="1"/>
  <c r="L137" i="22"/>
  <c r="N137" i="22" s="1"/>
  <c r="L138" i="22"/>
  <c r="N138" i="22" s="1"/>
  <c r="L139" i="22"/>
  <c r="N139" i="22" s="1"/>
  <c r="L140" i="22"/>
  <c r="N140" i="22" s="1"/>
  <c r="L141" i="22"/>
  <c r="N141" i="22" s="1"/>
  <c r="L142" i="22"/>
  <c r="N142" i="22" s="1"/>
  <c r="L143" i="22"/>
  <c r="N143" i="22" s="1"/>
  <c r="L144" i="22"/>
  <c r="N144" i="22" s="1"/>
  <c r="L145" i="22"/>
  <c r="N145" i="22" s="1"/>
  <c r="L146" i="22"/>
  <c r="N146" i="22" s="1"/>
  <c r="L147" i="22"/>
  <c r="N147" i="22" s="1"/>
  <c r="L216" i="22"/>
  <c r="N216" i="22" s="1"/>
  <c r="L217" i="22"/>
  <c r="N217" i="22" s="1"/>
  <c r="L218" i="22"/>
  <c r="N218" i="22" s="1"/>
  <c r="L219" i="22"/>
  <c r="N219" i="22" s="1"/>
  <c r="L220" i="22"/>
  <c r="N220" i="22" s="1"/>
  <c r="L221" i="22"/>
  <c r="N221" i="22" s="1"/>
  <c r="L222" i="22"/>
  <c r="N222" i="22" s="1"/>
  <c r="L223" i="22"/>
  <c r="N223" i="22" s="1"/>
  <c r="L224" i="22"/>
  <c r="N224" i="22" s="1"/>
  <c r="L225" i="22"/>
  <c r="N225" i="22" s="1"/>
  <c r="L226" i="22"/>
  <c r="N226" i="22" s="1"/>
  <c r="L227" i="22"/>
  <c r="N227" i="22" s="1"/>
  <c r="L232" i="22"/>
  <c r="N232" i="22" s="1"/>
  <c r="L233" i="22"/>
  <c r="N233" i="22" s="1"/>
  <c r="L234" i="22"/>
  <c r="N234" i="22" s="1"/>
  <c r="L235" i="22"/>
  <c r="N235" i="22" s="1"/>
  <c r="L236" i="22"/>
  <c r="N236" i="22" s="1"/>
  <c r="L237" i="22"/>
  <c r="N237" i="22" s="1"/>
  <c r="L238" i="22"/>
  <c r="N238" i="22" s="1"/>
  <c r="L124" i="22"/>
  <c r="N124" i="22" s="1"/>
  <c r="L123" i="22"/>
  <c r="N123" i="22" s="1"/>
  <c r="L156" i="22"/>
  <c r="N156" i="22" s="1"/>
  <c r="L157" i="22"/>
  <c r="N157" i="22" s="1"/>
  <c r="L158" i="22"/>
  <c r="N158" i="22" s="1"/>
  <c r="L159" i="22"/>
  <c r="N159" i="22" s="1"/>
  <c r="L160" i="22"/>
  <c r="N160" i="22" s="1"/>
  <c r="L161" i="22"/>
  <c r="N161" i="22" s="1"/>
  <c r="L162" i="22"/>
  <c r="N162" i="22" s="1"/>
  <c r="L163" i="22"/>
  <c r="N163" i="22" s="1"/>
  <c r="L164" i="22"/>
  <c r="N164" i="22" s="1"/>
  <c r="L165" i="22"/>
  <c r="N165" i="22" s="1"/>
  <c r="L166" i="22"/>
  <c r="N166" i="22" s="1"/>
  <c r="L185" i="22"/>
  <c r="N185" i="22" s="1"/>
  <c r="L186" i="22"/>
  <c r="N186" i="22" s="1"/>
  <c r="L187" i="22"/>
  <c r="N187" i="22" s="1"/>
  <c r="L188" i="22"/>
  <c r="N188" i="22" s="1"/>
  <c r="L189" i="22"/>
  <c r="N189" i="22" s="1"/>
  <c r="L190" i="22"/>
  <c r="N190" i="22" s="1"/>
  <c r="L191" i="22"/>
  <c r="N191" i="22" s="1"/>
  <c r="L192" i="22"/>
  <c r="N192" i="22" s="1"/>
  <c r="L193" i="22"/>
  <c r="N193" i="22" s="1"/>
  <c r="L194" i="22"/>
  <c r="N194" i="22" s="1"/>
  <c r="L195" i="22"/>
  <c r="N195" i="22" s="1"/>
  <c r="L196" i="22"/>
  <c r="N196" i="22" s="1"/>
  <c r="L197" i="22"/>
  <c r="N197" i="22" s="1"/>
  <c r="L198" i="22"/>
  <c r="N198" i="22" s="1"/>
  <c r="L199" i="22"/>
  <c r="N199" i="22" s="1"/>
  <c r="L200" i="22"/>
  <c r="N200" i="22" s="1"/>
  <c r="L201" i="22"/>
  <c r="N201" i="22" s="1"/>
  <c r="L202" i="22"/>
  <c r="N202" i="22" s="1"/>
  <c r="L203" i="22"/>
  <c r="N203" i="22" s="1"/>
  <c r="L204" i="22"/>
  <c r="N204" i="22" s="1"/>
  <c r="L205" i="22"/>
  <c r="N205" i="22" s="1"/>
  <c r="L206" i="22"/>
  <c r="N206" i="22" s="1"/>
  <c r="L207" i="22"/>
  <c r="N207" i="22" s="1"/>
  <c r="L208" i="22"/>
  <c r="N208" i="22" s="1"/>
  <c r="L209" i="22"/>
  <c r="N209" i="22" s="1"/>
  <c r="L210" i="22"/>
  <c r="N210" i="22" s="1"/>
  <c r="L211" i="22"/>
  <c r="N211" i="22" s="1"/>
  <c r="L212" i="22"/>
  <c r="N212" i="22" s="1"/>
  <c r="L213" i="22"/>
  <c r="N213" i="22" s="1"/>
  <c r="L214" i="22"/>
  <c r="N214" i="22" s="1"/>
  <c r="L215" i="22"/>
  <c r="N215" i="22" s="1"/>
  <c r="L228" i="22"/>
  <c r="N228" i="22" s="1"/>
  <c r="L229" i="22"/>
  <c r="N229" i="22" s="1"/>
  <c r="L230" i="22"/>
  <c r="N230" i="22" s="1"/>
  <c r="L231" i="22"/>
  <c r="N231" i="22" s="1"/>
  <c r="L155" i="22"/>
  <c r="N155" i="22" s="1"/>
  <c r="L154" i="22"/>
  <c r="N154" i="22" s="1"/>
  <c r="L153" i="22"/>
  <c r="N153" i="22" s="1"/>
  <c r="L152" i="22"/>
  <c r="N152" i="22" s="1"/>
  <c r="L151" i="22"/>
  <c r="N151" i="22" s="1"/>
  <c r="L150" i="22"/>
  <c r="N150" i="22" s="1"/>
  <c r="L149" i="22"/>
  <c r="N149" i="22" s="1"/>
  <c r="L148" i="22"/>
  <c r="N148" i="22" s="1"/>
  <c r="L184" i="22"/>
  <c r="N184" i="22" s="1"/>
  <c r="L183" i="22"/>
  <c r="N183" i="22" s="1"/>
  <c r="L178" i="22"/>
  <c r="N178" i="22" s="1"/>
  <c r="L182" i="22" l="1"/>
  <c r="N182" i="22" s="1"/>
  <c r="L181" i="22"/>
  <c r="N181" i="22" s="1"/>
  <c r="L180" i="22"/>
  <c r="N180" i="22" s="1"/>
  <c r="L179" i="22"/>
  <c r="N179" i="22" s="1"/>
  <c r="L177" i="22"/>
  <c r="N177" i="22" s="1"/>
  <c r="L176" i="22"/>
  <c r="N176" i="22" s="1"/>
  <c r="L175" i="22"/>
  <c r="N175" i="22" s="1"/>
  <c r="L174" i="22"/>
  <c r="N174" i="22" s="1"/>
  <c r="L173" i="22"/>
  <c r="N173" i="22" s="1"/>
  <c r="L172" i="22"/>
  <c r="N172" i="22" s="1"/>
  <c r="L171" i="22"/>
  <c r="N171" i="22" s="1"/>
  <c r="L170" i="22" l="1"/>
  <c r="N170" i="22" s="1"/>
  <c r="L169" i="22"/>
  <c r="N169" i="22" s="1"/>
  <c r="L168" i="22"/>
  <c r="N168" i="22" s="1"/>
  <c r="L167" i="22"/>
  <c r="N167" i="22" s="1"/>
  <c r="V1569" i="11" l="1"/>
  <c r="U1569" i="11"/>
  <c r="T1569" i="11"/>
  <c r="S1569" i="11"/>
  <c r="R1569" i="11"/>
  <c r="Q1569" i="11"/>
  <c r="N1564" i="11"/>
  <c r="O1564" i="11" s="1"/>
  <c r="L1564" i="11" s="1"/>
  <c r="K1564" i="11"/>
  <c r="J1564" i="11"/>
  <c r="N1561" i="11"/>
  <c r="O1561" i="11" s="1"/>
  <c r="L1561" i="11" s="1"/>
  <c r="K1561" i="11"/>
  <c r="J1561" i="11"/>
  <c r="N1558" i="11"/>
  <c r="O1558" i="11" s="1"/>
  <c r="L1558" i="11" s="1"/>
  <c r="K1558" i="11"/>
  <c r="J1558" i="11"/>
  <c r="N1555" i="11"/>
  <c r="O1555" i="11" s="1"/>
  <c r="L1555" i="11" s="1"/>
  <c r="K1555" i="11"/>
  <c r="J1555" i="11"/>
  <c r="N1552" i="11"/>
  <c r="O1552" i="11" s="1"/>
  <c r="L1552" i="11" s="1"/>
  <c r="K1552" i="11"/>
  <c r="J1552" i="11"/>
  <c r="N1549" i="11"/>
  <c r="O1549" i="11" s="1"/>
  <c r="L1549" i="11" s="1"/>
  <c r="K1549" i="11"/>
  <c r="J1549" i="11"/>
  <c r="N1546" i="11"/>
  <c r="O1546" i="11" s="1"/>
  <c r="L1546" i="11" s="1"/>
  <c r="K1546" i="11"/>
  <c r="J1546" i="11"/>
  <c r="N1543" i="11"/>
  <c r="O1543" i="11" s="1"/>
  <c r="L1543" i="11" s="1"/>
  <c r="K1543" i="11"/>
  <c r="J1543" i="11"/>
  <c r="N1540" i="11"/>
  <c r="O1540" i="11" s="1"/>
  <c r="L1540" i="11" s="1"/>
  <c r="K1540" i="11"/>
  <c r="J1540" i="11"/>
  <c r="N1537" i="11"/>
  <c r="O1537" i="11" s="1"/>
  <c r="L1537" i="11" s="1"/>
  <c r="K1537" i="11"/>
  <c r="J1537" i="11"/>
  <c r="N1534" i="11"/>
  <c r="O1534" i="11" s="1"/>
  <c r="L1534" i="11" s="1"/>
  <c r="K1534" i="11"/>
  <c r="J1534" i="11"/>
  <c r="N1531" i="11"/>
  <c r="O1531" i="11" s="1"/>
  <c r="L1531" i="11" s="1"/>
  <c r="K1531" i="11"/>
  <c r="J1531" i="11"/>
  <c r="N1528" i="11"/>
  <c r="O1528" i="11" s="1"/>
  <c r="L1528" i="11" s="1"/>
  <c r="K1528" i="11"/>
  <c r="J1528" i="11"/>
  <c r="N1525" i="11"/>
  <c r="O1525" i="11" s="1"/>
  <c r="L1525" i="11" s="1"/>
  <c r="K1525" i="11"/>
  <c r="J1525" i="11"/>
  <c r="N1522" i="11"/>
  <c r="O1522" i="11" s="1"/>
  <c r="K1522" i="11"/>
  <c r="J1522" i="11"/>
  <c r="N1519" i="11"/>
  <c r="O1519" i="11" s="1"/>
  <c r="L1519" i="11" s="1"/>
  <c r="K1519" i="11"/>
  <c r="J1519" i="11"/>
  <c r="N1516" i="11"/>
  <c r="O1516" i="11" s="1"/>
  <c r="L1516" i="11" s="1"/>
  <c r="K1516" i="11"/>
  <c r="J1516" i="11"/>
  <c r="N1513" i="11"/>
  <c r="O1513" i="11" s="1"/>
  <c r="L1513" i="11" s="1"/>
  <c r="K1513" i="11"/>
  <c r="J1513" i="11"/>
  <c r="N1510" i="11"/>
  <c r="O1510" i="11" s="1"/>
  <c r="K1510" i="11"/>
  <c r="J1510" i="11"/>
  <c r="N1507" i="11"/>
  <c r="O1507" i="11" s="1"/>
  <c r="L1507" i="11" s="1"/>
  <c r="K1507" i="11"/>
  <c r="J1507" i="11"/>
  <c r="N1504" i="11"/>
  <c r="O1504" i="11" s="1"/>
  <c r="L1504" i="11" s="1"/>
  <c r="K1504" i="11"/>
  <c r="J1504" i="11"/>
  <c r="N1501" i="11"/>
  <c r="O1501" i="11" s="1"/>
  <c r="L1501" i="11" s="1"/>
  <c r="K1501" i="11"/>
  <c r="J1501" i="11"/>
  <c r="N1498" i="11"/>
  <c r="O1498" i="11" s="1"/>
  <c r="L1498" i="11" s="1"/>
  <c r="K1498" i="11"/>
  <c r="J1498" i="11"/>
  <c r="N1495" i="11"/>
  <c r="O1495" i="11" s="1"/>
  <c r="L1495" i="11" s="1"/>
  <c r="K1495" i="11"/>
  <c r="J1495" i="11"/>
  <c r="N1492" i="11"/>
  <c r="O1492" i="11" s="1"/>
  <c r="L1492" i="11" s="1"/>
  <c r="K1492" i="11"/>
  <c r="J1492" i="11"/>
  <c r="N1489" i="11"/>
  <c r="O1489" i="11" s="1"/>
  <c r="L1489" i="11" s="1"/>
  <c r="K1489" i="11"/>
  <c r="J1489" i="11"/>
  <c r="N1486" i="11"/>
  <c r="O1486" i="11" s="1"/>
  <c r="L1486" i="11" s="1"/>
  <c r="K1486" i="11"/>
  <c r="J1486" i="11"/>
  <c r="N1483" i="11"/>
  <c r="O1483" i="11" s="1"/>
  <c r="L1483" i="11" s="1"/>
  <c r="K1483" i="11"/>
  <c r="J1483" i="11"/>
  <c r="N1480" i="11"/>
  <c r="O1480" i="11" s="1"/>
  <c r="L1480" i="11" s="1"/>
  <c r="K1480" i="11"/>
  <c r="J1480" i="11"/>
  <c r="N1477" i="11"/>
  <c r="O1477" i="11" s="1"/>
  <c r="L1477" i="11" s="1"/>
  <c r="K1477" i="11"/>
  <c r="J1477" i="11"/>
  <c r="N1474" i="11"/>
  <c r="O1474" i="11" s="1"/>
  <c r="L1474" i="11" s="1"/>
  <c r="K1474" i="11"/>
  <c r="J1474" i="11"/>
  <c r="N1471" i="11"/>
  <c r="O1471" i="11" s="1"/>
  <c r="L1471" i="11" s="1"/>
  <c r="K1471" i="11"/>
  <c r="J1471" i="11"/>
  <c r="N1468" i="11"/>
  <c r="O1468" i="11" s="1"/>
  <c r="L1468" i="11" s="1"/>
  <c r="K1468" i="11"/>
  <c r="J1468" i="11"/>
  <c r="N1465" i="11"/>
  <c r="O1465" i="11" s="1"/>
  <c r="L1465" i="11" s="1"/>
  <c r="K1465" i="11"/>
  <c r="J1465" i="11"/>
  <c r="N1462" i="11"/>
  <c r="O1462" i="11" s="1"/>
  <c r="L1462" i="11" s="1"/>
  <c r="K1462" i="11"/>
  <c r="J1462" i="11"/>
  <c r="N1459" i="11"/>
  <c r="O1459" i="11" s="1"/>
  <c r="L1459" i="11" s="1"/>
  <c r="K1459" i="11"/>
  <c r="J1459" i="11"/>
  <c r="N1456" i="11"/>
  <c r="O1456" i="11" s="1"/>
  <c r="L1456" i="11" s="1"/>
  <c r="K1456" i="11"/>
  <c r="J1456" i="11"/>
  <c r="N1453" i="11"/>
  <c r="O1453" i="11" s="1"/>
  <c r="L1453" i="11" s="1"/>
  <c r="K1453" i="11"/>
  <c r="J1453" i="11"/>
  <c r="N1450" i="11"/>
  <c r="O1450" i="11" s="1"/>
  <c r="L1450" i="11" s="1"/>
  <c r="K1450" i="11"/>
  <c r="J1450" i="11"/>
  <c r="N1447" i="11"/>
  <c r="O1447" i="11" s="1"/>
  <c r="L1447" i="11" s="1"/>
  <c r="K1447" i="11"/>
  <c r="J1447" i="11"/>
  <c r="N1444" i="11"/>
  <c r="O1444" i="11" s="1"/>
  <c r="L1444" i="11" s="1"/>
  <c r="K1444" i="11"/>
  <c r="J1444" i="11"/>
  <c r="N1441" i="11"/>
  <c r="O1441" i="11" s="1"/>
  <c r="L1441" i="11" s="1"/>
  <c r="K1441" i="11"/>
  <c r="J1441" i="11"/>
  <c r="N1438" i="11"/>
  <c r="O1438" i="11" s="1"/>
  <c r="L1438" i="11" s="1"/>
  <c r="K1438" i="11"/>
  <c r="J1438" i="11"/>
  <c r="N1435" i="11"/>
  <c r="O1435" i="11" s="1"/>
  <c r="L1435" i="11" s="1"/>
  <c r="K1435" i="11"/>
  <c r="J1435" i="11"/>
  <c r="N1432" i="11"/>
  <c r="O1432" i="11" s="1"/>
  <c r="L1432" i="11" s="1"/>
  <c r="K1432" i="11"/>
  <c r="J1432" i="11"/>
  <c r="N1429" i="11"/>
  <c r="O1429" i="11" s="1"/>
  <c r="L1429" i="11" s="1"/>
  <c r="K1429" i="11"/>
  <c r="J1429" i="11"/>
  <c r="N1426" i="11"/>
  <c r="O1426" i="11" s="1"/>
  <c r="L1426" i="11" s="1"/>
  <c r="K1426" i="11"/>
  <c r="J1426" i="11"/>
  <c r="N1423" i="11"/>
  <c r="O1423" i="11" s="1"/>
  <c r="L1423" i="11" s="1"/>
  <c r="K1423" i="11"/>
  <c r="J1423" i="11"/>
  <c r="N1420" i="11"/>
  <c r="O1420" i="11" s="1"/>
  <c r="L1420" i="11" s="1"/>
  <c r="K1420" i="11"/>
  <c r="J1420" i="11"/>
  <c r="N1417" i="11"/>
  <c r="O1417" i="11" s="1"/>
  <c r="L1417" i="11" s="1"/>
  <c r="K1417" i="11"/>
  <c r="J1417" i="11"/>
  <c r="N1414" i="11"/>
  <c r="O1414" i="11" s="1"/>
  <c r="L1414" i="11" s="1"/>
  <c r="K1414" i="11"/>
  <c r="J1414" i="11"/>
  <c r="N1411" i="11"/>
  <c r="O1411" i="11" s="1"/>
  <c r="L1411" i="11" s="1"/>
  <c r="K1411" i="11"/>
  <c r="J1411" i="11"/>
  <c r="N1408" i="11"/>
  <c r="O1408" i="11" s="1"/>
  <c r="L1408" i="11" s="1"/>
  <c r="K1408" i="11"/>
  <c r="J1408" i="11"/>
  <c r="N1405" i="11"/>
  <c r="O1405" i="11" s="1"/>
  <c r="L1405" i="11" s="1"/>
  <c r="K1405" i="11"/>
  <c r="J1405" i="11"/>
  <c r="N1402" i="11"/>
  <c r="O1402" i="11" s="1"/>
  <c r="L1402" i="11" s="1"/>
  <c r="K1402" i="11"/>
  <c r="J1402" i="11"/>
  <c r="N1398" i="11"/>
  <c r="O1398" i="11" s="1"/>
  <c r="K1398" i="11"/>
  <c r="N1395" i="11"/>
  <c r="O1395" i="11" s="1"/>
  <c r="K1395" i="11"/>
  <c r="N1392" i="11"/>
  <c r="O1392" i="11" s="1"/>
  <c r="L1392" i="11" s="1"/>
  <c r="K1392" i="11"/>
  <c r="N1389" i="11"/>
  <c r="O1389" i="11" s="1"/>
  <c r="K1389" i="11"/>
  <c r="N1386" i="11"/>
  <c r="O1386" i="11" s="1"/>
  <c r="K1386" i="11"/>
  <c r="N1383" i="11"/>
  <c r="O1383" i="11" s="1"/>
  <c r="L1383" i="11" s="1"/>
  <c r="K1383" i="11"/>
  <c r="N1380" i="11"/>
  <c r="O1380" i="11" s="1"/>
  <c r="L1380" i="11" s="1"/>
  <c r="K1380" i="11"/>
  <c r="N1377" i="11"/>
  <c r="O1377" i="11" s="1"/>
  <c r="K1377" i="11"/>
  <c r="N1374" i="11"/>
  <c r="O1374" i="11" s="1"/>
  <c r="K1374" i="11"/>
  <c r="N1371" i="11"/>
  <c r="O1371" i="11" s="1"/>
  <c r="L1371" i="11" s="1"/>
  <c r="K1371" i="11"/>
  <c r="N1368" i="11"/>
  <c r="O1368" i="11" s="1"/>
  <c r="L1368" i="11" s="1"/>
  <c r="K1368" i="11"/>
  <c r="N1365" i="11"/>
  <c r="O1365" i="11" s="1"/>
  <c r="L1365" i="11" s="1"/>
  <c r="K1365" i="11"/>
  <c r="J1365" i="11"/>
  <c r="N1362" i="11"/>
  <c r="J1362" i="11"/>
  <c r="D1362" i="11"/>
  <c r="K1362" i="11" s="1"/>
  <c r="N1359" i="11"/>
  <c r="J1359" i="11"/>
  <c r="D1359" i="11"/>
  <c r="N1356" i="11"/>
  <c r="J1356" i="11"/>
  <c r="D1356" i="11"/>
  <c r="K1356" i="11" s="1"/>
  <c r="N1353" i="11"/>
  <c r="J1353" i="11"/>
  <c r="D1353" i="11"/>
  <c r="N1350" i="11"/>
  <c r="J1350" i="11"/>
  <c r="D1350" i="11"/>
  <c r="K1350" i="11" s="1"/>
  <c r="N1347" i="11"/>
  <c r="J1347" i="11"/>
  <c r="D1347" i="11"/>
  <c r="N1344" i="11"/>
  <c r="J1344" i="11"/>
  <c r="D1344" i="11"/>
  <c r="K1344" i="11" s="1"/>
  <c r="N1341" i="11"/>
  <c r="J1341" i="11"/>
  <c r="D1341" i="11"/>
  <c r="N1338" i="11"/>
  <c r="J1338" i="11"/>
  <c r="D1338" i="11"/>
  <c r="K1338" i="11" s="1"/>
  <c r="N1335" i="11"/>
  <c r="J1335" i="11"/>
  <c r="D1335" i="11"/>
  <c r="K1335" i="11" s="1"/>
  <c r="N1332" i="11"/>
  <c r="J1332" i="11"/>
  <c r="D1332" i="11"/>
  <c r="N1329" i="11"/>
  <c r="J1329" i="11"/>
  <c r="D1329" i="11"/>
  <c r="K1329" i="11" s="1"/>
  <c r="N1326" i="11"/>
  <c r="J1326" i="11"/>
  <c r="D1326" i="11"/>
  <c r="K1326" i="11" s="1"/>
  <c r="N1323" i="11"/>
  <c r="J1323" i="11"/>
  <c r="D1323" i="11"/>
  <c r="K1323" i="11" s="1"/>
  <c r="N1320" i="11"/>
  <c r="J1320" i="11"/>
  <c r="D1320" i="11"/>
  <c r="N1317" i="11"/>
  <c r="J1317" i="11"/>
  <c r="D1317" i="11"/>
  <c r="K1317" i="11" s="1"/>
  <c r="N1314" i="11"/>
  <c r="J1314" i="11"/>
  <c r="D1314" i="11"/>
  <c r="N1311" i="11"/>
  <c r="J1311" i="11"/>
  <c r="D1311" i="11"/>
  <c r="K1311" i="11" s="1"/>
  <c r="N1308" i="11"/>
  <c r="J1308" i="11"/>
  <c r="D1308" i="11"/>
  <c r="N1305" i="11"/>
  <c r="J1305" i="11"/>
  <c r="D1305" i="11"/>
  <c r="K1305" i="11" s="1"/>
  <c r="N1302" i="11"/>
  <c r="J1302" i="11"/>
  <c r="D1302" i="11"/>
  <c r="K1302" i="11" s="1"/>
  <c r="N1299" i="11"/>
  <c r="J1299" i="11"/>
  <c r="D1299" i="11"/>
  <c r="K1299" i="11" s="1"/>
  <c r="N1296" i="11"/>
  <c r="J1296" i="11"/>
  <c r="D1296" i="11"/>
  <c r="N1293" i="11"/>
  <c r="J1293" i="11"/>
  <c r="D1293" i="11"/>
  <c r="N1290" i="11"/>
  <c r="J1290" i="11"/>
  <c r="D1290" i="11"/>
  <c r="K1290" i="11" s="1"/>
  <c r="N1287" i="11"/>
  <c r="J1287" i="11"/>
  <c r="D1287" i="11"/>
  <c r="K1287" i="11" s="1"/>
  <c r="N1284" i="11"/>
  <c r="J1284" i="11"/>
  <c r="D1284" i="11"/>
  <c r="N1281" i="11"/>
  <c r="D1281" i="11"/>
  <c r="N1278" i="11"/>
  <c r="D1278" i="11"/>
  <c r="J1281" i="11" s="1"/>
  <c r="N1275" i="11"/>
  <c r="D1275" i="11"/>
  <c r="K1275" i="11" s="1"/>
  <c r="N1272" i="11"/>
  <c r="D1272" i="11"/>
  <c r="N1269" i="11"/>
  <c r="D1269" i="11"/>
  <c r="K1269" i="11" s="1"/>
  <c r="N1266" i="11"/>
  <c r="D1266" i="11"/>
  <c r="K1266" i="11" s="1"/>
  <c r="N1263" i="11"/>
  <c r="D1263" i="11"/>
  <c r="J1269" i="11" s="1"/>
  <c r="N1260" i="11"/>
  <c r="D1260" i="11"/>
  <c r="N1257" i="11"/>
  <c r="D1257" i="11"/>
  <c r="N1254" i="11"/>
  <c r="O1254" i="11" s="1"/>
  <c r="L1254" i="11" s="1"/>
  <c r="K1254" i="11"/>
  <c r="J1254" i="11"/>
  <c r="N1251" i="11"/>
  <c r="O1251" i="11" s="1"/>
  <c r="L1251" i="11" s="1"/>
  <c r="K1251" i="11"/>
  <c r="N1248" i="11"/>
  <c r="J1248" i="11"/>
  <c r="D1248" i="11"/>
  <c r="K1248" i="11" s="1"/>
  <c r="N1245" i="11"/>
  <c r="D1245" i="11"/>
  <c r="K1245" i="11" s="1"/>
  <c r="N1242" i="11"/>
  <c r="D1242" i="11"/>
  <c r="N1239" i="11"/>
  <c r="D1239" i="11"/>
  <c r="K1239" i="11" s="1"/>
  <c r="N1236" i="11"/>
  <c r="D1236" i="11"/>
  <c r="K1236" i="11" s="1"/>
  <c r="N1233" i="11"/>
  <c r="D1233" i="11"/>
  <c r="J1236" i="11" s="1"/>
  <c r="N1230" i="11"/>
  <c r="D1230" i="11"/>
  <c r="J1227" i="11" s="1"/>
  <c r="N1227" i="11"/>
  <c r="D1227" i="11"/>
  <c r="J1230" i="11" s="1"/>
  <c r="N1224" i="11"/>
  <c r="D1224" i="11"/>
  <c r="K1224" i="11" s="1"/>
  <c r="N1221" i="11"/>
  <c r="D1221" i="11"/>
  <c r="J1224" i="11" s="1"/>
  <c r="N1218" i="11"/>
  <c r="D1218" i="11"/>
  <c r="K1218" i="11" s="1"/>
  <c r="N1215" i="11"/>
  <c r="D1215" i="11"/>
  <c r="J1218" i="11" s="1"/>
  <c r="N1212" i="11"/>
  <c r="D1212" i="11"/>
  <c r="N1209" i="11"/>
  <c r="D1209" i="11"/>
  <c r="K1209" i="11" s="1"/>
  <c r="N1206" i="11"/>
  <c r="D1206" i="11"/>
  <c r="K1206" i="11" s="1"/>
  <c r="N1203" i="11"/>
  <c r="D1203" i="11"/>
  <c r="K1203" i="11" s="1"/>
  <c r="N1200" i="11"/>
  <c r="O1200" i="11" s="1"/>
  <c r="L1200" i="11" s="1"/>
  <c r="K1200" i="11"/>
  <c r="J1200" i="11"/>
  <c r="N1197" i="11"/>
  <c r="O1197" i="11" s="1"/>
  <c r="L1197" i="11" s="1"/>
  <c r="K1197" i="11"/>
  <c r="J1197" i="11"/>
  <c r="N1194" i="11"/>
  <c r="J1194" i="11"/>
  <c r="D1194" i="11"/>
  <c r="K1194" i="11" s="1"/>
  <c r="N1191" i="11"/>
  <c r="J1191" i="11"/>
  <c r="D1191" i="11"/>
  <c r="N1188" i="11"/>
  <c r="J1188" i="11"/>
  <c r="D1188" i="11"/>
  <c r="K1188" i="11" s="1"/>
  <c r="N1185" i="11"/>
  <c r="J1185" i="11"/>
  <c r="D1185" i="11"/>
  <c r="K1185" i="11" s="1"/>
  <c r="N1182" i="11"/>
  <c r="J1182" i="11"/>
  <c r="D1182" i="11"/>
  <c r="N1179" i="11"/>
  <c r="J1179" i="11"/>
  <c r="D1179" i="11"/>
  <c r="N1176" i="11"/>
  <c r="J1176" i="11"/>
  <c r="D1176" i="11"/>
  <c r="N1173" i="11"/>
  <c r="J1173" i="11"/>
  <c r="D1173" i="11"/>
  <c r="K1173" i="11" s="1"/>
  <c r="N1170" i="11"/>
  <c r="J1170" i="11"/>
  <c r="D1170" i="11"/>
  <c r="N1167" i="11"/>
  <c r="J1167" i="11"/>
  <c r="D1167" i="11"/>
  <c r="K1167" i="11" s="1"/>
  <c r="N1164" i="11"/>
  <c r="D1164" i="11"/>
  <c r="N1161" i="11"/>
  <c r="J1161" i="11"/>
  <c r="D1161" i="11"/>
  <c r="J1164" i="11" s="1"/>
  <c r="N1158" i="11"/>
  <c r="D1158" i="11"/>
  <c r="K1158" i="11" s="1"/>
  <c r="N1155" i="11"/>
  <c r="D1155" i="11"/>
  <c r="N1152" i="11"/>
  <c r="D1152" i="11"/>
  <c r="N1149" i="11"/>
  <c r="D1149" i="11"/>
  <c r="J1152" i="11" s="1"/>
  <c r="N1146" i="11"/>
  <c r="J1146" i="11"/>
  <c r="D1146" i="11"/>
  <c r="K1146" i="11" s="1"/>
  <c r="N1143" i="11"/>
  <c r="J1143" i="11"/>
  <c r="D1143" i="11"/>
  <c r="K1143" i="11" s="1"/>
  <c r="N1140" i="11"/>
  <c r="J1140" i="11"/>
  <c r="D1140" i="11"/>
  <c r="N1137" i="11"/>
  <c r="J1137" i="11"/>
  <c r="D1137" i="11"/>
  <c r="K1137" i="11" s="1"/>
  <c r="N1134" i="11"/>
  <c r="J1134" i="11"/>
  <c r="D1134" i="11"/>
  <c r="N1131" i="11"/>
  <c r="J1131" i="11"/>
  <c r="D1131" i="11"/>
  <c r="K1131" i="11" s="1"/>
  <c r="N1128" i="11"/>
  <c r="J1128" i="11"/>
  <c r="D1128" i="11"/>
  <c r="N1125" i="11"/>
  <c r="J1125" i="11"/>
  <c r="D1125" i="11"/>
  <c r="K1125" i="11" s="1"/>
  <c r="N1122" i="11"/>
  <c r="J1122" i="11"/>
  <c r="D1122" i="11"/>
  <c r="N1119" i="11"/>
  <c r="O1119" i="11" s="1"/>
  <c r="K1119" i="11"/>
  <c r="J1119" i="11"/>
  <c r="N1116" i="11"/>
  <c r="J1116" i="11"/>
  <c r="D1116" i="11"/>
  <c r="K1116" i="11" s="1"/>
  <c r="N1113" i="11"/>
  <c r="J1113" i="11"/>
  <c r="D1113" i="11"/>
  <c r="N1110" i="11"/>
  <c r="J1110" i="11"/>
  <c r="D1110" i="11"/>
  <c r="K1110" i="11" s="1"/>
  <c r="N1107" i="11"/>
  <c r="J1107" i="11"/>
  <c r="D1107" i="11"/>
  <c r="K1107" i="11" s="1"/>
  <c r="N1104" i="11"/>
  <c r="J1104" i="11"/>
  <c r="D1104" i="11"/>
  <c r="K1104" i="11" s="1"/>
  <c r="N1101" i="11"/>
  <c r="J1101" i="11"/>
  <c r="D1101" i="11"/>
  <c r="N1098" i="11"/>
  <c r="J1098" i="11"/>
  <c r="D1098" i="11"/>
  <c r="K1098" i="11" s="1"/>
  <c r="N1095" i="11"/>
  <c r="J1095" i="11"/>
  <c r="D1095" i="11"/>
  <c r="K1095" i="11" s="1"/>
  <c r="N1092" i="11"/>
  <c r="J1092" i="11"/>
  <c r="D1092" i="11"/>
  <c r="K1092" i="11" s="1"/>
  <c r="N1089" i="11"/>
  <c r="J1089" i="11"/>
  <c r="D1089" i="11"/>
  <c r="N1086" i="11"/>
  <c r="J1086" i="11"/>
  <c r="D1086" i="11"/>
  <c r="K1086" i="11" s="1"/>
  <c r="N1083" i="11"/>
  <c r="J1083" i="11"/>
  <c r="D1083" i="11"/>
  <c r="N1080" i="11"/>
  <c r="J1080" i="11"/>
  <c r="D1080" i="11"/>
  <c r="K1080" i="11" s="1"/>
  <c r="N1077" i="11"/>
  <c r="J1077" i="11"/>
  <c r="D1077" i="11"/>
  <c r="N1074" i="11"/>
  <c r="J1074" i="11"/>
  <c r="D1074" i="11"/>
  <c r="K1074" i="11" s="1"/>
  <c r="N1071" i="11"/>
  <c r="J1071" i="11"/>
  <c r="D1071" i="11"/>
  <c r="K1071" i="11" s="1"/>
  <c r="N1068" i="11"/>
  <c r="J1068" i="11"/>
  <c r="D1068" i="11"/>
  <c r="K1068" i="11" s="1"/>
  <c r="N1065" i="11"/>
  <c r="J1065" i="11"/>
  <c r="D1065" i="11"/>
  <c r="N1062" i="11"/>
  <c r="J1062" i="11"/>
  <c r="D1062" i="11"/>
  <c r="K1062" i="11" s="1"/>
  <c r="N1059" i="11"/>
  <c r="J1059" i="11"/>
  <c r="D1059" i="11"/>
  <c r="K1059" i="11" s="1"/>
  <c r="N1056" i="11"/>
  <c r="J1056" i="11"/>
  <c r="D1056" i="11"/>
  <c r="K1056" i="11" s="1"/>
  <c r="N1053" i="11"/>
  <c r="J1053" i="11"/>
  <c r="D1053" i="11"/>
  <c r="N1050" i="11"/>
  <c r="J1050" i="11"/>
  <c r="D1050" i="11"/>
  <c r="N1047" i="11"/>
  <c r="J1047" i="11"/>
  <c r="D1047" i="11"/>
  <c r="K1047" i="11" s="1"/>
  <c r="N1044" i="11"/>
  <c r="J1044" i="11"/>
  <c r="D1044" i="11"/>
  <c r="K1044" i="11" s="1"/>
  <c r="N1041" i="11"/>
  <c r="J1041" i="11"/>
  <c r="D1041" i="11"/>
  <c r="N1038" i="11"/>
  <c r="J1038" i="11"/>
  <c r="D1038" i="11"/>
  <c r="N1035" i="11"/>
  <c r="O1035" i="11" s="1"/>
  <c r="L1035" i="11" s="1"/>
  <c r="K1035" i="11"/>
  <c r="J1035" i="11"/>
  <c r="N1032" i="11"/>
  <c r="J1032" i="11"/>
  <c r="D1032" i="11"/>
  <c r="N1029" i="11"/>
  <c r="J1029" i="11"/>
  <c r="D1029" i="11"/>
  <c r="N1026" i="11"/>
  <c r="J1026" i="11"/>
  <c r="D1026" i="11"/>
  <c r="N1023" i="11"/>
  <c r="J1023" i="11"/>
  <c r="D1023" i="11"/>
  <c r="K1023" i="11" s="1"/>
  <c r="N1020" i="11"/>
  <c r="J1020" i="11"/>
  <c r="D1020" i="11"/>
  <c r="N1017" i="11"/>
  <c r="J1017" i="11"/>
  <c r="D1017" i="11"/>
  <c r="N1014" i="11"/>
  <c r="J1014" i="11"/>
  <c r="D1014" i="11"/>
  <c r="N1011" i="11"/>
  <c r="J1011" i="11"/>
  <c r="D1011" i="11"/>
  <c r="K1011" i="11" s="1"/>
  <c r="N1008" i="11"/>
  <c r="J1008" i="11"/>
  <c r="D1008" i="11"/>
  <c r="N1005" i="11"/>
  <c r="J1005" i="11"/>
  <c r="D1005" i="11"/>
  <c r="N1002" i="11"/>
  <c r="J1002" i="11"/>
  <c r="D1002" i="11"/>
  <c r="N999" i="11"/>
  <c r="J999" i="11"/>
  <c r="D999" i="11"/>
  <c r="K999" i="11" s="1"/>
  <c r="N996" i="11"/>
  <c r="J996" i="11"/>
  <c r="D996" i="11"/>
  <c r="N993" i="11"/>
  <c r="J993" i="11"/>
  <c r="D993" i="11"/>
  <c r="N990" i="11"/>
  <c r="J990" i="11"/>
  <c r="D990" i="11"/>
  <c r="N987" i="11"/>
  <c r="J987" i="11"/>
  <c r="D987" i="11"/>
  <c r="K987" i="11" s="1"/>
  <c r="N984" i="11"/>
  <c r="J984" i="11"/>
  <c r="D984" i="11"/>
  <c r="N981" i="11"/>
  <c r="J981" i="11"/>
  <c r="D981" i="11"/>
  <c r="N978" i="11"/>
  <c r="J978" i="11"/>
  <c r="D978" i="11"/>
  <c r="N975" i="11"/>
  <c r="J975" i="11"/>
  <c r="D975" i="11"/>
  <c r="K975" i="11" s="1"/>
  <c r="N972" i="11"/>
  <c r="J972" i="11"/>
  <c r="D972" i="11"/>
  <c r="N969" i="11"/>
  <c r="J969" i="11"/>
  <c r="D969" i="11"/>
  <c r="N966" i="11"/>
  <c r="J966" i="11"/>
  <c r="D966" i="11"/>
  <c r="N963" i="11"/>
  <c r="J963" i="11"/>
  <c r="D963" i="11"/>
  <c r="K963" i="11" s="1"/>
  <c r="N960" i="11"/>
  <c r="J960" i="11"/>
  <c r="D960" i="11"/>
  <c r="N957" i="11"/>
  <c r="J957" i="11"/>
  <c r="D957" i="11"/>
  <c r="N954" i="11"/>
  <c r="J954" i="11"/>
  <c r="D954" i="11"/>
  <c r="N948" i="11"/>
  <c r="K948" i="11"/>
  <c r="N944" i="11"/>
  <c r="D944" i="11"/>
  <c r="N942" i="11"/>
  <c r="D942" i="11"/>
  <c r="K942" i="11" s="1"/>
  <c r="N940" i="11"/>
  <c r="O940" i="11" s="1"/>
  <c r="K940" i="11"/>
  <c r="N938" i="11"/>
  <c r="K938" i="11"/>
  <c r="N936" i="11"/>
  <c r="O936" i="11" s="1"/>
  <c r="K936" i="11"/>
  <c r="N934" i="11"/>
  <c r="O934" i="11" s="1"/>
  <c r="K934" i="11"/>
  <c r="N932" i="11"/>
  <c r="O932" i="11" s="1"/>
  <c r="K932" i="11"/>
  <c r="N930" i="11"/>
  <c r="O930" i="11" s="1"/>
  <c r="L930" i="11" s="1"/>
  <c r="P930" i="11" s="1"/>
  <c r="S930" i="11" s="1"/>
  <c r="K930" i="11"/>
  <c r="N928" i="11"/>
  <c r="O928" i="11" s="1"/>
  <c r="K928" i="11"/>
  <c r="N926" i="11"/>
  <c r="D926" i="11"/>
  <c r="N924" i="11"/>
  <c r="D924" i="11"/>
  <c r="K924" i="11" s="1"/>
  <c r="N922" i="11"/>
  <c r="D922" i="11"/>
  <c r="N920" i="11"/>
  <c r="D920" i="11"/>
  <c r="N916" i="11"/>
  <c r="J916" i="11"/>
  <c r="D916" i="11"/>
  <c r="N913" i="11"/>
  <c r="J913" i="11"/>
  <c r="D913" i="11"/>
  <c r="K913" i="11" s="1"/>
  <c r="N910" i="11"/>
  <c r="O910" i="11" s="1"/>
  <c r="L910" i="11" s="1"/>
  <c r="K910" i="11"/>
  <c r="J910" i="11"/>
  <c r="N907" i="11"/>
  <c r="O907" i="11" s="1"/>
  <c r="K907" i="11"/>
  <c r="J907" i="11"/>
  <c r="N904" i="11"/>
  <c r="J904" i="11"/>
  <c r="D904" i="11"/>
  <c r="N901" i="11"/>
  <c r="J901" i="11"/>
  <c r="D901" i="11"/>
  <c r="K901" i="11" s="1"/>
  <c r="N898" i="11"/>
  <c r="J898" i="11"/>
  <c r="D898" i="11"/>
  <c r="K898" i="11" s="1"/>
  <c r="N893" i="11"/>
  <c r="J893" i="11"/>
  <c r="D893" i="11"/>
  <c r="K893" i="11" s="1"/>
  <c r="N890" i="11"/>
  <c r="J890" i="11"/>
  <c r="D890" i="11"/>
  <c r="N887" i="11"/>
  <c r="J887" i="11"/>
  <c r="D887" i="11"/>
  <c r="K887" i="11" s="1"/>
  <c r="N884" i="11"/>
  <c r="J884" i="11"/>
  <c r="D884" i="11"/>
  <c r="N881" i="11"/>
  <c r="J881" i="11"/>
  <c r="D881" i="11"/>
  <c r="K881" i="11" s="1"/>
  <c r="N878" i="11"/>
  <c r="J878" i="11"/>
  <c r="D878" i="11"/>
  <c r="K878" i="11" s="1"/>
  <c r="N875" i="11"/>
  <c r="J875" i="11"/>
  <c r="D875" i="11"/>
  <c r="K875" i="11" s="1"/>
  <c r="N872" i="11"/>
  <c r="J872" i="11"/>
  <c r="D872" i="11"/>
  <c r="N869" i="11"/>
  <c r="J869" i="11"/>
  <c r="D869" i="11"/>
  <c r="K869" i="11" s="1"/>
  <c r="N866" i="11"/>
  <c r="J866" i="11"/>
  <c r="D866" i="11"/>
  <c r="N863" i="11"/>
  <c r="J863" i="11"/>
  <c r="D863" i="11"/>
  <c r="K863" i="11" s="1"/>
  <c r="N860" i="11"/>
  <c r="J860" i="11"/>
  <c r="D860" i="11"/>
  <c r="N857" i="11"/>
  <c r="J857" i="11"/>
  <c r="D857" i="11"/>
  <c r="K857" i="11" s="1"/>
  <c r="N852" i="11"/>
  <c r="J852" i="11"/>
  <c r="D852" i="11"/>
  <c r="K852" i="11" s="1"/>
  <c r="N849" i="11"/>
  <c r="J849" i="11"/>
  <c r="D849" i="11"/>
  <c r="K849" i="11" s="1"/>
  <c r="N846" i="11"/>
  <c r="O846" i="11" s="1"/>
  <c r="L846" i="11" s="1"/>
  <c r="J846" i="11"/>
  <c r="N843" i="11"/>
  <c r="O843" i="11" s="1"/>
  <c r="L843" i="11" s="1"/>
  <c r="J843" i="11"/>
  <c r="K843" i="11"/>
  <c r="N840" i="11"/>
  <c r="J840" i="11"/>
  <c r="D840" i="11"/>
  <c r="K840" i="11" s="1"/>
  <c r="N837" i="11"/>
  <c r="J837" i="11"/>
  <c r="D837" i="11"/>
  <c r="N834" i="11"/>
  <c r="J834" i="11"/>
  <c r="D834" i="11"/>
  <c r="N829" i="11"/>
  <c r="J829" i="11"/>
  <c r="D829" i="11"/>
  <c r="N826" i="11"/>
  <c r="J826" i="11"/>
  <c r="D826" i="11"/>
  <c r="N823" i="11"/>
  <c r="J823" i="11"/>
  <c r="D823" i="11"/>
  <c r="N820" i="11"/>
  <c r="J820" i="11"/>
  <c r="D820" i="11"/>
  <c r="N817" i="11"/>
  <c r="J817" i="11"/>
  <c r="D817" i="11"/>
  <c r="K817" i="11" s="1"/>
  <c r="N814" i="11"/>
  <c r="J814" i="11"/>
  <c r="D814" i="11"/>
  <c r="K814" i="11" s="1"/>
  <c r="N811" i="11"/>
  <c r="J811" i="11"/>
  <c r="D811" i="11"/>
  <c r="N808" i="11"/>
  <c r="J808" i="11"/>
  <c r="D808" i="11"/>
  <c r="N805" i="11"/>
  <c r="J805" i="11"/>
  <c r="D805" i="11"/>
  <c r="K805" i="11" s="1"/>
  <c r="N802" i="11"/>
  <c r="J802" i="11"/>
  <c r="D802" i="11"/>
  <c r="K802" i="11" s="1"/>
  <c r="N799" i="11"/>
  <c r="J799" i="11"/>
  <c r="D799" i="11"/>
  <c r="N796" i="11"/>
  <c r="J796" i="11"/>
  <c r="D796" i="11"/>
  <c r="V793" i="11"/>
  <c r="U793" i="11"/>
  <c r="S793" i="11"/>
  <c r="R793" i="11"/>
  <c r="Q793" i="11"/>
  <c r="N793" i="11"/>
  <c r="J793" i="11"/>
  <c r="D793" i="11"/>
  <c r="K793" i="11" s="1"/>
  <c r="V792" i="11"/>
  <c r="U792" i="11"/>
  <c r="T792" i="11"/>
  <c r="S792" i="11"/>
  <c r="R792" i="11"/>
  <c r="Q792" i="11"/>
  <c r="V791" i="11"/>
  <c r="U791" i="11"/>
  <c r="T791" i="11"/>
  <c r="S791" i="11"/>
  <c r="R791" i="11"/>
  <c r="Q791" i="11"/>
  <c r="P1558" i="11" l="1"/>
  <c r="R1558" i="11" s="1"/>
  <c r="O866" i="11"/>
  <c r="L866" i="11" s="1"/>
  <c r="O1155" i="11"/>
  <c r="O1284" i="11"/>
  <c r="L1284" i="11" s="1"/>
  <c r="O1314" i="11"/>
  <c r="O1293" i="11"/>
  <c r="L1293" i="11" s="1"/>
  <c r="O1257" i="11"/>
  <c r="L1257" i="11" s="1"/>
  <c r="O1281" i="11"/>
  <c r="L1281" i="11" s="1"/>
  <c r="O1359" i="11"/>
  <c r="L1359" i="11" s="1"/>
  <c r="O1077" i="11"/>
  <c r="L1077" i="11" s="1"/>
  <c r="O1083" i="11"/>
  <c r="L1083" i="11" s="1"/>
  <c r="O1089" i="11"/>
  <c r="L1089" i="11" s="1"/>
  <c r="P1435" i="11"/>
  <c r="U1435" i="11" s="1"/>
  <c r="P1444" i="11"/>
  <c r="S1444" i="11" s="1"/>
  <c r="P1462" i="11"/>
  <c r="T1462" i="11" s="1"/>
  <c r="P1465" i="11"/>
  <c r="T1465" i="11" s="1"/>
  <c r="P1495" i="11"/>
  <c r="S1495" i="11" s="1"/>
  <c r="P1525" i="11"/>
  <c r="U1525" i="11" s="1"/>
  <c r="P1531" i="11"/>
  <c r="S1531" i="11" s="1"/>
  <c r="P1537" i="11"/>
  <c r="T1537" i="11" s="1"/>
  <c r="P1540" i="11"/>
  <c r="R1540" i="11" s="1"/>
  <c r="O1212" i="11"/>
  <c r="L1212" i="11" s="1"/>
  <c r="O1071" i="11"/>
  <c r="L1071" i="11" s="1"/>
  <c r="O1260" i="11"/>
  <c r="L1260" i="11" s="1"/>
  <c r="O954" i="11"/>
  <c r="L954" i="11" s="1"/>
  <c r="O960" i="11"/>
  <c r="L960" i="11" s="1"/>
  <c r="P960" i="11" s="1"/>
  <c r="V960" i="11" s="1"/>
  <c r="O966" i="11"/>
  <c r="L966" i="11" s="1"/>
  <c r="O972" i="11"/>
  <c r="L972" i="11" s="1"/>
  <c r="P972" i="11" s="1"/>
  <c r="U972" i="11" s="1"/>
  <c r="O978" i="11"/>
  <c r="L978" i="11" s="1"/>
  <c r="O984" i="11"/>
  <c r="L984" i="11" s="1"/>
  <c r="P984" i="11" s="1"/>
  <c r="V984" i="11" s="1"/>
  <c r="O990" i="11"/>
  <c r="L990" i="11" s="1"/>
  <c r="O996" i="11"/>
  <c r="L996" i="11" s="1"/>
  <c r="P996" i="11" s="1"/>
  <c r="V996" i="11" s="1"/>
  <c r="O1002" i="11"/>
  <c r="L1002" i="11" s="1"/>
  <c r="O1008" i="11"/>
  <c r="L1008" i="11" s="1"/>
  <c r="P1008" i="11" s="1"/>
  <c r="U1008" i="11" s="1"/>
  <c r="O1014" i="11"/>
  <c r="L1014" i="11" s="1"/>
  <c r="O1020" i="11"/>
  <c r="L1020" i="11" s="1"/>
  <c r="P1020" i="11" s="1"/>
  <c r="U1020" i="11" s="1"/>
  <c r="O1026" i="11"/>
  <c r="L1026" i="11" s="1"/>
  <c r="O1032" i="11"/>
  <c r="L1032" i="11" s="1"/>
  <c r="P1032" i="11" s="1"/>
  <c r="U1032" i="11" s="1"/>
  <c r="O1041" i="11"/>
  <c r="L1041" i="11" s="1"/>
  <c r="O1113" i="11"/>
  <c r="L1113" i="11" s="1"/>
  <c r="O1122" i="11"/>
  <c r="L1122" i="11" s="1"/>
  <c r="O1128" i="11"/>
  <c r="L1128" i="11" s="1"/>
  <c r="O1134" i="11"/>
  <c r="L1134" i="11" s="1"/>
  <c r="P1134" i="11" s="1"/>
  <c r="V1134" i="11" s="1"/>
  <c r="J1155" i="11"/>
  <c r="P1254" i="11"/>
  <c r="U1254" i="11" s="1"/>
  <c r="O1269" i="11"/>
  <c r="L1269" i="11" s="1"/>
  <c r="O1290" i="11"/>
  <c r="L1290" i="11" s="1"/>
  <c r="K1314" i="11"/>
  <c r="O796" i="11"/>
  <c r="L796" i="11" s="1"/>
  <c r="P796" i="11" s="1"/>
  <c r="T796" i="11" s="1"/>
  <c r="O799" i="11"/>
  <c r="O893" i="11"/>
  <c r="L893" i="11" s="1"/>
  <c r="O926" i="11"/>
  <c r="L926" i="11" s="1"/>
  <c r="P926" i="11" s="1"/>
  <c r="S926" i="11" s="1"/>
  <c r="O1170" i="11"/>
  <c r="L1170" i="11" s="1"/>
  <c r="O1179" i="11"/>
  <c r="L1179" i="11" s="1"/>
  <c r="P1179" i="11" s="1"/>
  <c r="V1179" i="11" s="1"/>
  <c r="O1182" i="11"/>
  <c r="L1182" i="11" s="1"/>
  <c r="O1191" i="11"/>
  <c r="L1191" i="11" s="1"/>
  <c r="P1191" i="11" s="1"/>
  <c r="V1191" i="11" s="1"/>
  <c r="P1549" i="11"/>
  <c r="S1549" i="11" s="1"/>
  <c r="O920" i="11"/>
  <c r="L920" i="11" s="1"/>
  <c r="P1083" i="11"/>
  <c r="V1083" i="11" s="1"/>
  <c r="K1278" i="11"/>
  <c r="K1281" i="11"/>
  <c r="P1284" i="11"/>
  <c r="V1284" i="11" s="1"/>
  <c r="J1272" i="11"/>
  <c r="L1314" i="11"/>
  <c r="P1314" i="11" s="1"/>
  <c r="U1314" i="11" s="1"/>
  <c r="O820" i="11"/>
  <c r="L820" i="11" s="1"/>
  <c r="O826" i="11"/>
  <c r="L826" i="11" s="1"/>
  <c r="P826" i="11" s="1"/>
  <c r="T826" i="11" s="1"/>
  <c r="O881" i="11"/>
  <c r="L881" i="11" s="1"/>
  <c r="O963" i="11"/>
  <c r="L963" i="11" s="1"/>
  <c r="O975" i="11"/>
  <c r="L975" i="11" s="1"/>
  <c r="O987" i="11"/>
  <c r="L987" i="11" s="1"/>
  <c r="O999" i="11"/>
  <c r="L999" i="11" s="1"/>
  <c r="O1011" i="11"/>
  <c r="L1011" i="11" s="1"/>
  <c r="O1023" i="11"/>
  <c r="L1023" i="11" s="1"/>
  <c r="P1035" i="11"/>
  <c r="U1035" i="11" s="1"/>
  <c r="O1065" i="11"/>
  <c r="L1065" i="11" s="1"/>
  <c r="O1341" i="11"/>
  <c r="L1341" i="11" s="1"/>
  <c r="O1356" i="11"/>
  <c r="L1356" i="11" s="1"/>
  <c r="P1380" i="11"/>
  <c r="U1380" i="11" s="1"/>
  <c r="P1408" i="11"/>
  <c r="R1408" i="11" s="1"/>
  <c r="P1492" i="11"/>
  <c r="T1492" i="11" s="1"/>
  <c r="P1534" i="11"/>
  <c r="U1534" i="11" s="1"/>
  <c r="P1552" i="11"/>
  <c r="S1552" i="11" s="1"/>
  <c r="P1564" i="11"/>
  <c r="T1564" i="11" s="1"/>
  <c r="O1047" i="11"/>
  <c r="L1047" i="11" s="1"/>
  <c r="P1047" i="11" s="1"/>
  <c r="V1047" i="11" s="1"/>
  <c r="O1095" i="11"/>
  <c r="L1095" i="11" s="1"/>
  <c r="P1095" i="11" s="1"/>
  <c r="U1095" i="11" s="1"/>
  <c r="K1122" i="11"/>
  <c r="O1140" i="11"/>
  <c r="L1140" i="11" s="1"/>
  <c r="O1146" i="11"/>
  <c r="L1146" i="11" s="1"/>
  <c r="O1152" i="11"/>
  <c r="L1152" i="11" s="1"/>
  <c r="O1176" i="11"/>
  <c r="L1176" i="11" s="1"/>
  <c r="J1209" i="11"/>
  <c r="K1212" i="11"/>
  <c r="K1257" i="11"/>
  <c r="J1260" i="11"/>
  <c r="O1278" i="11"/>
  <c r="L1278" i="11" s="1"/>
  <c r="O1296" i="11"/>
  <c r="L1296" i="11" s="1"/>
  <c r="O1317" i="11"/>
  <c r="L1317" i="11" s="1"/>
  <c r="O802" i="11"/>
  <c r="L802" i="11" s="1"/>
  <c r="O808" i="11"/>
  <c r="L808" i="11" s="1"/>
  <c r="O811" i="11"/>
  <c r="L811" i="11" s="1"/>
  <c r="P811" i="11" s="1"/>
  <c r="T811" i="11" s="1"/>
  <c r="O814" i="11"/>
  <c r="L814" i="11" s="1"/>
  <c r="P814" i="11" s="1"/>
  <c r="T814" i="11" s="1"/>
  <c r="K866" i="11"/>
  <c r="O898" i="11"/>
  <c r="L898" i="11" s="1"/>
  <c r="O1053" i="11"/>
  <c r="L1053" i="11" s="1"/>
  <c r="O1059" i="11"/>
  <c r="L1059" i="11" s="1"/>
  <c r="P1059" i="11" s="1"/>
  <c r="V1059" i="11" s="1"/>
  <c r="K1083" i="11"/>
  <c r="O1101" i="11"/>
  <c r="L1101" i="11" s="1"/>
  <c r="O1107" i="11"/>
  <c r="L1107" i="11" s="1"/>
  <c r="P1107" i="11" s="1"/>
  <c r="V1107" i="11" s="1"/>
  <c r="K1134" i="11"/>
  <c r="K1155" i="11"/>
  <c r="J1158" i="11"/>
  <c r="K1170" i="11"/>
  <c r="J1239" i="11"/>
  <c r="O1272" i="11"/>
  <c r="L1272" i="11" s="1"/>
  <c r="J1278" i="11"/>
  <c r="K1293" i="11"/>
  <c r="O1320" i="11"/>
  <c r="L1320" i="11" s="1"/>
  <c r="O1338" i="11"/>
  <c r="L1338" i="11" s="1"/>
  <c r="P1417" i="11"/>
  <c r="R1417" i="11" s="1"/>
  <c r="P1474" i="11"/>
  <c r="S1474" i="11" s="1"/>
  <c r="P1498" i="11"/>
  <c r="U1498" i="11" s="1"/>
  <c r="P1546" i="11"/>
  <c r="T1546" i="11" s="1"/>
  <c r="O823" i="11"/>
  <c r="K823" i="11"/>
  <c r="K796" i="11"/>
  <c r="K799" i="11"/>
  <c r="O805" i="11"/>
  <c r="L805" i="11" s="1"/>
  <c r="K811" i="11"/>
  <c r="O817" i="11"/>
  <c r="L817" i="11" s="1"/>
  <c r="K826" i="11"/>
  <c r="K829" i="11"/>
  <c r="O829" i="11"/>
  <c r="L829" i="11" s="1"/>
  <c r="O837" i="11"/>
  <c r="L837" i="11" s="1"/>
  <c r="P837" i="11" s="1"/>
  <c r="T837" i="11" s="1"/>
  <c r="K837" i="11"/>
  <c r="O840" i="11"/>
  <c r="L840" i="11" s="1"/>
  <c r="L1510" i="11"/>
  <c r="P1510" i="11" s="1"/>
  <c r="U1510" i="11" s="1"/>
  <c r="P1507" i="11"/>
  <c r="U1507" i="11" s="1"/>
  <c r="L1522" i="11"/>
  <c r="P1522" i="11" s="1"/>
  <c r="T1522" i="11" s="1"/>
  <c r="P1543" i="11"/>
  <c r="V1543" i="11" s="1"/>
  <c r="O957" i="11"/>
  <c r="L957" i="11" s="1"/>
  <c r="P957" i="11" s="1"/>
  <c r="S957" i="11" s="1"/>
  <c r="K957" i="11"/>
  <c r="O969" i="11"/>
  <c r="L969" i="11" s="1"/>
  <c r="P969" i="11" s="1"/>
  <c r="U969" i="11" s="1"/>
  <c r="K969" i="11"/>
  <c r="O981" i="11"/>
  <c r="L981" i="11" s="1"/>
  <c r="P981" i="11" s="1"/>
  <c r="V981" i="11" s="1"/>
  <c r="K981" i="11"/>
  <c r="O993" i="11"/>
  <c r="K993" i="11"/>
  <c r="O1005" i="11"/>
  <c r="L1005" i="11" s="1"/>
  <c r="P1005" i="11" s="1"/>
  <c r="S1005" i="11" s="1"/>
  <c r="K1005" i="11"/>
  <c r="O1017" i="11"/>
  <c r="L1017" i="11" s="1"/>
  <c r="P1017" i="11" s="1"/>
  <c r="V1017" i="11" s="1"/>
  <c r="K1017" i="11"/>
  <c r="O1029" i="11"/>
  <c r="L1029" i="11" s="1"/>
  <c r="P1029" i="11" s="1"/>
  <c r="U1029" i="11" s="1"/>
  <c r="K1029" i="11"/>
  <c r="K1038" i="11"/>
  <c r="O1038" i="11"/>
  <c r="L1038" i="11" s="1"/>
  <c r="P1513" i="11"/>
  <c r="U1513" i="11" s="1"/>
  <c r="P1516" i="11"/>
  <c r="T1516" i="11" s="1"/>
  <c r="P1519" i="11"/>
  <c r="U1519" i="11" s="1"/>
  <c r="P1561" i="11"/>
  <c r="U1561" i="11" s="1"/>
  <c r="K1050" i="11"/>
  <c r="O1050" i="11"/>
  <c r="L1050" i="11" s="1"/>
  <c r="P1477" i="11"/>
  <c r="R1477" i="11" s="1"/>
  <c r="P1480" i="11"/>
  <c r="R1480" i="11" s="1"/>
  <c r="P1528" i="11"/>
  <c r="S1528" i="11" s="1"/>
  <c r="O852" i="11"/>
  <c r="L852" i="11" s="1"/>
  <c r="P852" i="11" s="1"/>
  <c r="T852" i="11" s="1"/>
  <c r="O857" i="11"/>
  <c r="L857" i="11" s="1"/>
  <c r="O878" i="11"/>
  <c r="L878" i="11" s="1"/>
  <c r="O948" i="11"/>
  <c r="L948" i="11" s="1"/>
  <c r="P948" i="11" s="1"/>
  <c r="U948" i="11" s="1"/>
  <c r="K960" i="11"/>
  <c r="K972" i="11"/>
  <c r="K984" i="11"/>
  <c r="K996" i="11"/>
  <c r="K1008" i="11"/>
  <c r="K1020" i="11"/>
  <c r="K1032" i="11"/>
  <c r="O1062" i="11"/>
  <c r="L1062" i="11" s="1"/>
  <c r="P1062" i="11" s="1"/>
  <c r="V1062" i="11" s="1"/>
  <c r="O1074" i="11"/>
  <c r="L1074" i="11" s="1"/>
  <c r="O1086" i="11"/>
  <c r="L1086" i="11" s="1"/>
  <c r="O1098" i="11"/>
  <c r="L1098" i="11" s="1"/>
  <c r="O1110" i="11"/>
  <c r="L1110" i="11" s="1"/>
  <c r="O1125" i="11"/>
  <c r="L1125" i="11" s="1"/>
  <c r="O1137" i="11"/>
  <c r="L1137" i="11" s="1"/>
  <c r="K1182" i="11"/>
  <c r="O1194" i="11"/>
  <c r="L1194" i="11" s="1"/>
  <c r="O1215" i="11"/>
  <c r="L1215" i="11" s="1"/>
  <c r="O1227" i="11"/>
  <c r="L1227" i="11" s="1"/>
  <c r="O1239" i="11"/>
  <c r="L1239" i="11" s="1"/>
  <c r="J1257" i="11"/>
  <c r="P1356" i="11"/>
  <c r="V1356" i="11" s="1"/>
  <c r="O1158" i="11"/>
  <c r="L1158" i="11" s="1"/>
  <c r="J1251" i="11"/>
  <c r="P1251" i="11" s="1"/>
  <c r="U1251" i="11" s="1"/>
  <c r="O1266" i="11"/>
  <c r="L1266" i="11" s="1"/>
  <c r="O1305" i="11"/>
  <c r="L1305" i="11" s="1"/>
  <c r="O1329" i="11"/>
  <c r="L1329" i="11" s="1"/>
  <c r="O1344" i="11"/>
  <c r="L1344" i="11" s="1"/>
  <c r="O1362" i="11"/>
  <c r="L1362" i="11" s="1"/>
  <c r="O863" i="11"/>
  <c r="L863" i="11" s="1"/>
  <c r="P863" i="11" s="1"/>
  <c r="T863" i="11" s="1"/>
  <c r="P1002" i="11"/>
  <c r="U1002" i="11" s="1"/>
  <c r="O1044" i="11"/>
  <c r="L1044" i="11" s="1"/>
  <c r="P1044" i="11" s="1"/>
  <c r="U1044" i="11" s="1"/>
  <c r="O1056" i="11"/>
  <c r="L1056" i="11" s="1"/>
  <c r="P1056" i="11" s="1"/>
  <c r="V1056" i="11" s="1"/>
  <c r="O1068" i="11"/>
  <c r="L1068" i="11" s="1"/>
  <c r="P1068" i="11" s="1"/>
  <c r="U1068" i="11" s="1"/>
  <c r="O1080" i="11"/>
  <c r="L1080" i="11" s="1"/>
  <c r="P1080" i="11" s="1"/>
  <c r="U1080" i="11" s="1"/>
  <c r="O1092" i="11"/>
  <c r="L1092" i="11" s="1"/>
  <c r="P1092" i="11" s="1"/>
  <c r="U1092" i="11" s="1"/>
  <c r="O1104" i="11"/>
  <c r="L1104" i="11" s="1"/>
  <c r="P1104" i="11" s="1"/>
  <c r="V1104" i="11" s="1"/>
  <c r="O1116" i="11"/>
  <c r="L1116" i="11" s="1"/>
  <c r="P1116" i="11" s="1"/>
  <c r="U1116" i="11" s="1"/>
  <c r="O1131" i="11"/>
  <c r="O1143" i="11"/>
  <c r="L1143" i="11" s="1"/>
  <c r="P1143" i="11" s="1"/>
  <c r="V1143" i="11" s="1"/>
  <c r="J1149" i="11"/>
  <c r="O1167" i="11"/>
  <c r="L1167" i="11" s="1"/>
  <c r="P1167" i="11" s="1"/>
  <c r="V1167" i="11" s="1"/>
  <c r="P1197" i="11"/>
  <c r="U1197" i="11" s="1"/>
  <c r="K1215" i="11"/>
  <c r="O1224" i="11"/>
  <c r="L1224" i="11" s="1"/>
  <c r="K1227" i="11"/>
  <c r="O1230" i="11"/>
  <c r="L1230" i="11" s="1"/>
  <c r="O1236" i="11"/>
  <c r="L1236" i="11" s="1"/>
  <c r="O1242" i="11"/>
  <c r="L1242" i="11" s="1"/>
  <c r="O1248" i="11"/>
  <c r="L1248" i="11" s="1"/>
  <c r="J1263" i="11"/>
  <c r="O1302" i="11"/>
  <c r="L1302" i="11" s="1"/>
  <c r="O1326" i="11"/>
  <c r="L1326" i="11" s="1"/>
  <c r="P1423" i="11"/>
  <c r="S1423" i="11" s="1"/>
  <c r="P1450" i="11"/>
  <c r="S1450" i="11" s="1"/>
  <c r="P1468" i="11"/>
  <c r="T1468" i="11" s="1"/>
  <c r="P1501" i="11"/>
  <c r="T1501" i="11" s="1"/>
  <c r="O869" i="11"/>
  <c r="L869" i="11" s="1"/>
  <c r="P910" i="11"/>
  <c r="T910" i="11" s="1"/>
  <c r="K920" i="11"/>
  <c r="O1164" i="11"/>
  <c r="L1164" i="11" s="1"/>
  <c r="K1179" i="11"/>
  <c r="J1221" i="11"/>
  <c r="J1233" i="11"/>
  <c r="J1242" i="11"/>
  <c r="P1242" i="11" s="1"/>
  <c r="V1242" i="11" s="1"/>
  <c r="O1308" i="11"/>
  <c r="L1308" i="11" s="1"/>
  <c r="O1332" i="11"/>
  <c r="L1332" i="11" s="1"/>
  <c r="O1347" i="11"/>
  <c r="L1347" i="11" s="1"/>
  <c r="O1353" i="11"/>
  <c r="L1353" i="11" s="1"/>
  <c r="L1395" i="11"/>
  <c r="P1395" i="11" s="1"/>
  <c r="U1395" i="11" s="1"/>
  <c r="P1405" i="11"/>
  <c r="T1405" i="11" s="1"/>
  <c r="P1429" i="11"/>
  <c r="R1429" i="11" s="1"/>
  <c r="P1456" i="11"/>
  <c r="U1456" i="11" s="1"/>
  <c r="P1471" i="11"/>
  <c r="T1471" i="11" s="1"/>
  <c r="P1486" i="11"/>
  <c r="R1486" i="11" s="1"/>
  <c r="P1504" i="11"/>
  <c r="T1504" i="11" s="1"/>
  <c r="O944" i="11"/>
  <c r="L944" i="11" s="1"/>
  <c r="P944" i="11" s="1"/>
  <c r="S944" i="11" s="1"/>
  <c r="O924" i="11"/>
  <c r="L924" i="11" s="1"/>
  <c r="O942" i="11"/>
  <c r="L942" i="11" s="1"/>
  <c r="P942" i="11" s="1"/>
  <c r="S942" i="11" s="1"/>
  <c r="P866" i="11"/>
  <c r="T866" i="11" s="1"/>
  <c r="O860" i="11"/>
  <c r="L860" i="11" s="1"/>
  <c r="O872" i="11"/>
  <c r="L872" i="11" s="1"/>
  <c r="L907" i="11"/>
  <c r="P907" i="11" s="1"/>
  <c r="T907" i="11" s="1"/>
  <c r="O884" i="11"/>
  <c r="L884" i="11" s="1"/>
  <c r="O849" i="11"/>
  <c r="L849" i="11" s="1"/>
  <c r="P849" i="11" s="1"/>
  <c r="T849" i="11" s="1"/>
  <c r="O834" i="11"/>
  <c r="L834" i="11" s="1"/>
  <c r="P834" i="11" s="1"/>
  <c r="T834" i="11" s="1"/>
  <c r="Q1570" i="11"/>
  <c r="Q1572" i="11" s="1"/>
  <c r="G9" i="14" s="1"/>
  <c r="P846" i="11"/>
  <c r="T846" i="11" s="1"/>
  <c r="P843" i="11"/>
  <c r="T843" i="11" s="1"/>
  <c r="L799" i="11"/>
  <c r="P799" i="11" s="1"/>
  <c r="T799" i="11" s="1"/>
  <c r="L823" i="11"/>
  <c r="P823" i="11" s="1"/>
  <c r="T823" i="11" s="1"/>
  <c r="K808" i="11"/>
  <c r="K820" i="11"/>
  <c r="K834" i="11"/>
  <c r="K846" i="11"/>
  <c r="K860" i="11"/>
  <c r="K872" i="11"/>
  <c r="O875" i="11"/>
  <c r="K884" i="11"/>
  <c r="O890" i="11"/>
  <c r="K890" i="11"/>
  <c r="O913" i="11"/>
  <c r="L913" i="11" s="1"/>
  <c r="P920" i="11"/>
  <c r="S920" i="11" s="1"/>
  <c r="O922" i="11"/>
  <c r="L1155" i="11"/>
  <c r="O901" i="11"/>
  <c r="L901" i="11" s="1"/>
  <c r="L928" i="11"/>
  <c r="P928" i="11" s="1"/>
  <c r="S928" i="11" s="1"/>
  <c r="L940" i="11"/>
  <c r="P940" i="11" s="1"/>
  <c r="S940" i="11" s="1"/>
  <c r="L993" i="11"/>
  <c r="P993" i="11" s="1"/>
  <c r="U993" i="11" s="1"/>
  <c r="L1119" i="11"/>
  <c r="P1119" i="11" s="1"/>
  <c r="V1119" i="11" s="1"/>
  <c r="O793" i="11"/>
  <c r="L793" i="11" s="1"/>
  <c r="O887" i="11"/>
  <c r="L887" i="11" s="1"/>
  <c r="O916" i="11"/>
  <c r="K916" i="11"/>
  <c r="L934" i="11"/>
  <c r="P934" i="11" s="1"/>
  <c r="S934" i="11" s="1"/>
  <c r="L1131" i="11"/>
  <c r="P1131" i="11" s="1"/>
  <c r="U1131" i="11" s="1"/>
  <c r="O904" i="11"/>
  <c r="K904" i="11"/>
  <c r="L936" i="11"/>
  <c r="P936" i="11" s="1"/>
  <c r="S936" i="11" s="1"/>
  <c r="P1077" i="11"/>
  <c r="U1077" i="11" s="1"/>
  <c r="P1128" i="11"/>
  <c r="U1128" i="11" s="1"/>
  <c r="P1200" i="11"/>
  <c r="U1200" i="11" s="1"/>
  <c r="K922" i="11"/>
  <c r="K926" i="11"/>
  <c r="L932" i="11"/>
  <c r="P932" i="11" s="1"/>
  <c r="S932" i="11" s="1"/>
  <c r="K944" i="11"/>
  <c r="K954" i="11"/>
  <c r="K966" i="11"/>
  <c r="K978" i="11"/>
  <c r="K990" i="11"/>
  <c r="K1002" i="11"/>
  <c r="K1014" i="11"/>
  <c r="K1026" i="11"/>
  <c r="K1041" i="11"/>
  <c r="K1053" i="11"/>
  <c r="K1065" i="11"/>
  <c r="K1077" i="11"/>
  <c r="K1089" i="11"/>
  <c r="K1101" i="11"/>
  <c r="K1113" i="11"/>
  <c r="K1128" i="11"/>
  <c r="K1140" i="11"/>
  <c r="K1152" i="11"/>
  <c r="K1164" i="11"/>
  <c r="K1176" i="11"/>
  <c r="J1212" i="11"/>
  <c r="O1209" i="11"/>
  <c r="O1218" i="11"/>
  <c r="L1218" i="11" s="1"/>
  <c r="O1203" i="11"/>
  <c r="L1203" i="11" s="1"/>
  <c r="O1206" i="11"/>
  <c r="L1206" i="11" s="1"/>
  <c r="O938" i="11"/>
  <c r="O1149" i="11"/>
  <c r="L1149" i="11" s="1"/>
  <c r="O1161" i="11"/>
  <c r="L1161" i="11" s="1"/>
  <c r="O1173" i="11"/>
  <c r="L1173" i="11" s="1"/>
  <c r="O1185" i="11"/>
  <c r="L1185" i="11" s="1"/>
  <c r="O1188" i="11"/>
  <c r="L1188" i="11" s="1"/>
  <c r="J1203" i="11"/>
  <c r="P1203" i="11" s="1"/>
  <c r="S1203" i="11" s="1"/>
  <c r="J1206" i="11"/>
  <c r="P1206" i="11" s="1"/>
  <c r="S1206" i="11" s="1"/>
  <c r="K1149" i="11"/>
  <c r="K1161" i="11"/>
  <c r="K1191" i="11"/>
  <c r="J1215" i="11"/>
  <c r="O1221" i="11"/>
  <c r="K1230" i="11"/>
  <c r="O1233" i="11"/>
  <c r="K1242" i="11"/>
  <c r="J1245" i="11"/>
  <c r="O1245" i="11"/>
  <c r="L1245" i="11" s="1"/>
  <c r="K1260" i="11"/>
  <c r="O1263" i="11"/>
  <c r="K1272" i="11"/>
  <c r="J1275" i="11"/>
  <c r="O1275" i="11"/>
  <c r="L1275" i="11" s="1"/>
  <c r="K1284" i="11"/>
  <c r="O1287" i="11"/>
  <c r="K1296" i="11"/>
  <c r="O1299" i="11"/>
  <c r="K1308" i="11"/>
  <c r="O1311" i="11"/>
  <c r="K1320" i="11"/>
  <c r="O1323" i="11"/>
  <c r="K1332" i="11"/>
  <c r="O1335" i="11"/>
  <c r="K1347" i="11"/>
  <c r="P1383" i="11"/>
  <c r="U1383" i="11" s="1"/>
  <c r="L1386" i="11"/>
  <c r="P1386" i="11" s="1"/>
  <c r="U1386" i="11" s="1"/>
  <c r="L1389" i="11"/>
  <c r="P1389" i="11" s="1"/>
  <c r="U1389" i="11" s="1"/>
  <c r="P1392" i="11"/>
  <c r="U1392" i="11" s="1"/>
  <c r="P1402" i="11"/>
  <c r="U1402" i="11" s="1"/>
  <c r="P1411" i="11"/>
  <c r="T1411" i="11" s="1"/>
  <c r="P1420" i="11"/>
  <c r="S1420" i="11" s="1"/>
  <c r="P1432" i="11"/>
  <c r="R1432" i="11" s="1"/>
  <c r="P1441" i="11"/>
  <c r="S1441" i="11" s="1"/>
  <c r="P1453" i="11"/>
  <c r="U1453" i="11" s="1"/>
  <c r="P1489" i="11"/>
  <c r="R1489" i="11" s="1"/>
  <c r="K1221" i="11"/>
  <c r="K1233" i="11"/>
  <c r="K1263" i="11"/>
  <c r="J1266" i="11"/>
  <c r="P1266" i="11" s="1"/>
  <c r="U1266" i="11" s="1"/>
  <c r="L1398" i="11"/>
  <c r="P1398" i="11" s="1"/>
  <c r="U1398" i="11" s="1"/>
  <c r="O1350" i="11"/>
  <c r="L1350" i="11" s="1"/>
  <c r="P1365" i="11"/>
  <c r="U1365" i="11" s="1"/>
  <c r="P1368" i="11"/>
  <c r="U1368" i="11" s="1"/>
  <c r="P1414" i="11"/>
  <c r="S1414" i="11" s="1"/>
  <c r="P1426" i="11"/>
  <c r="S1426" i="11" s="1"/>
  <c r="P1438" i="11"/>
  <c r="T1438" i="11" s="1"/>
  <c r="P1447" i="11"/>
  <c r="S1447" i="11" s="1"/>
  <c r="P1459" i="11"/>
  <c r="U1459" i="11" s="1"/>
  <c r="P1483" i="11"/>
  <c r="R1483" i="11" s="1"/>
  <c r="K1341" i="11"/>
  <c r="K1353" i="11"/>
  <c r="K1359" i="11"/>
  <c r="P1371" i="11"/>
  <c r="U1371" i="11" s="1"/>
  <c r="L1374" i="11"/>
  <c r="P1374" i="11" s="1"/>
  <c r="U1374" i="11" s="1"/>
  <c r="L1377" i="11"/>
  <c r="P1377" i="11" s="1"/>
  <c r="U1377" i="11" s="1"/>
  <c r="P1555" i="11"/>
  <c r="S1555" i="11" s="1"/>
  <c r="M590" i="12"/>
  <c r="P590" i="12"/>
  <c r="Q590" i="12"/>
  <c r="S590" i="12"/>
  <c r="T590" i="12"/>
  <c r="U590" i="12"/>
  <c r="M589" i="12"/>
  <c r="P589" i="12"/>
  <c r="Q589" i="12"/>
  <c r="T589" i="12"/>
  <c r="U589" i="12"/>
  <c r="U609" i="12"/>
  <c r="T609" i="12"/>
  <c r="S609" i="12"/>
  <c r="R609" i="12"/>
  <c r="Q609" i="12"/>
  <c r="P609" i="12"/>
  <c r="U608" i="12"/>
  <c r="T608" i="12"/>
  <c r="S608" i="12"/>
  <c r="R608" i="12"/>
  <c r="P608" i="12"/>
  <c r="M608" i="12"/>
  <c r="D608" i="12"/>
  <c r="J608" i="12" s="1"/>
  <c r="U607" i="12"/>
  <c r="T607" i="12"/>
  <c r="S607" i="12"/>
  <c r="R607" i="12"/>
  <c r="Q607" i="12"/>
  <c r="P607" i="12"/>
  <c r="U606" i="12"/>
  <c r="T606" i="12"/>
  <c r="S606" i="12"/>
  <c r="R606" i="12"/>
  <c r="Q606" i="12"/>
  <c r="P606" i="12"/>
  <c r="U605" i="12"/>
  <c r="T605" i="12"/>
  <c r="S605" i="12"/>
  <c r="R605" i="12"/>
  <c r="Q605" i="12"/>
  <c r="P605" i="12"/>
  <c r="D605" i="12"/>
  <c r="U604" i="12"/>
  <c r="T604" i="12"/>
  <c r="S604" i="12"/>
  <c r="R604" i="12"/>
  <c r="Q604" i="12"/>
  <c r="P604" i="12"/>
  <c r="U603" i="12"/>
  <c r="T603" i="12"/>
  <c r="S603" i="12"/>
  <c r="R603" i="12"/>
  <c r="P603" i="12"/>
  <c r="M603" i="12"/>
  <c r="E603" i="12"/>
  <c r="U602" i="12"/>
  <c r="T602" i="12"/>
  <c r="S602" i="12"/>
  <c r="R602" i="12"/>
  <c r="Q602" i="12"/>
  <c r="P602" i="12"/>
  <c r="U600" i="12"/>
  <c r="T600" i="12"/>
  <c r="S600" i="12"/>
  <c r="R600" i="12"/>
  <c r="Q600" i="12"/>
  <c r="P600" i="12"/>
  <c r="D600" i="12"/>
  <c r="U599" i="12"/>
  <c r="T599" i="12"/>
  <c r="S599" i="12"/>
  <c r="R599" i="12"/>
  <c r="Q599" i="12"/>
  <c r="P599" i="12"/>
  <c r="U598" i="12"/>
  <c r="T598" i="12"/>
  <c r="S598" i="12"/>
  <c r="R598" i="12"/>
  <c r="P598" i="12"/>
  <c r="M598" i="12"/>
  <c r="E598" i="12"/>
  <c r="U597" i="12"/>
  <c r="T597" i="12"/>
  <c r="S597" i="12"/>
  <c r="R597" i="12"/>
  <c r="Q597" i="12"/>
  <c r="P597" i="12"/>
  <c r="U595" i="12"/>
  <c r="T595" i="12"/>
  <c r="S595" i="12"/>
  <c r="R595" i="12"/>
  <c r="Q595" i="12"/>
  <c r="P595" i="12"/>
  <c r="D595" i="12"/>
  <c r="U594" i="12"/>
  <c r="T594" i="12"/>
  <c r="S594" i="12"/>
  <c r="R594" i="12"/>
  <c r="Q594" i="12"/>
  <c r="P594" i="12"/>
  <c r="U593" i="12"/>
  <c r="T593" i="12"/>
  <c r="S593" i="12"/>
  <c r="R593" i="12"/>
  <c r="P593" i="12"/>
  <c r="M593" i="12"/>
  <c r="I593" i="12"/>
  <c r="E593" i="12"/>
  <c r="U592" i="12"/>
  <c r="T592" i="12"/>
  <c r="S592" i="12"/>
  <c r="R592" i="12"/>
  <c r="Q592" i="12"/>
  <c r="P592" i="12"/>
  <c r="U588" i="12"/>
  <c r="T588" i="12"/>
  <c r="Q588" i="12"/>
  <c r="P588" i="12"/>
  <c r="M588" i="12"/>
  <c r="U587" i="12"/>
  <c r="T587" i="12"/>
  <c r="Q587" i="12"/>
  <c r="P587" i="12"/>
  <c r="M587" i="12"/>
  <c r="U586" i="12"/>
  <c r="T586" i="12"/>
  <c r="Q586" i="12"/>
  <c r="P586" i="12"/>
  <c r="M586" i="12"/>
  <c r="U585" i="12"/>
  <c r="T585" i="12"/>
  <c r="R585" i="12"/>
  <c r="Q585" i="12"/>
  <c r="P585" i="12"/>
  <c r="M585" i="12"/>
  <c r="U584" i="12"/>
  <c r="T584" i="12"/>
  <c r="R584" i="12"/>
  <c r="Q584" i="12"/>
  <c r="P584" i="12"/>
  <c r="M584" i="12"/>
  <c r="D584" i="12"/>
  <c r="J584" i="12" s="1"/>
  <c r="U583" i="12"/>
  <c r="T583" i="12"/>
  <c r="S583" i="12"/>
  <c r="R583" i="12"/>
  <c r="Q583" i="12"/>
  <c r="P583" i="12"/>
  <c r="U582" i="12"/>
  <c r="T582" i="12"/>
  <c r="S582" i="12"/>
  <c r="R582" i="12"/>
  <c r="Q582" i="12"/>
  <c r="P582" i="12"/>
  <c r="P1227" i="11" l="1"/>
  <c r="V1227" i="11" s="1"/>
  <c r="P1230" i="11"/>
  <c r="V1230" i="11" s="1"/>
  <c r="P954" i="11"/>
  <c r="U954" i="11" s="1"/>
  <c r="P1317" i="11"/>
  <c r="U1317" i="11" s="1"/>
  <c r="P878" i="11"/>
  <c r="T878" i="11" s="1"/>
  <c r="P1239" i="11"/>
  <c r="U1239" i="11" s="1"/>
  <c r="P1359" i="11"/>
  <c r="U1359" i="11" s="1"/>
  <c r="P1023" i="11"/>
  <c r="V1023" i="11" s="1"/>
  <c r="P1260" i="11"/>
  <c r="U1260" i="11" s="1"/>
  <c r="P1212" i="11"/>
  <c r="S1212" i="11" s="1"/>
  <c r="P857" i="11"/>
  <c r="T857" i="11" s="1"/>
  <c r="P1341" i="11"/>
  <c r="V1341" i="11" s="1"/>
  <c r="P1155" i="11"/>
  <c r="U1155" i="11" s="1"/>
  <c r="P1026" i="11"/>
  <c r="U1026" i="11" s="1"/>
  <c r="P1329" i="11"/>
  <c r="V1329" i="11" s="1"/>
  <c r="P1011" i="11"/>
  <c r="U1011" i="11" s="1"/>
  <c r="P893" i="11"/>
  <c r="T893" i="11" s="1"/>
  <c r="P1110" i="11"/>
  <c r="V1110" i="11" s="1"/>
  <c r="P1014" i="11"/>
  <c r="U1014" i="11" s="1"/>
  <c r="P1305" i="11"/>
  <c r="U1305" i="11" s="1"/>
  <c r="P1065" i="11"/>
  <c r="V1065" i="11" s="1"/>
  <c r="P1362" i="11"/>
  <c r="U1362" i="11" s="1"/>
  <c r="P1053" i="11"/>
  <c r="U1053" i="11" s="1"/>
  <c r="P999" i="11"/>
  <c r="V999" i="11" s="1"/>
  <c r="P1158" i="11"/>
  <c r="V1158" i="11" s="1"/>
  <c r="P1182" i="11"/>
  <c r="V1182" i="11" s="1"/>
  <c r="P1041" i="11"/>
  <c r="U1041" i="11" s="1"/>
  <c r="P1098" i="11"/>
  <c r="U1098" i="11" s="1"/>
  <c r="P1281" i="11"/>
  <c r="U1281" i="11" s="1"/>
  <c r="P990" i="11"/>
  <c r="V990" i="11" s="1"/>
  <c r="P1290" i="11"/>
  <c r="U1290" i="11" s="1"/>
  <c r="P1170" i="11"/>
  <c r="V1170" i="11" s="1"/>
  <c r="P1113" i="11"/>
  <c r="V1113" i="11" s="1"/>
  <c r="P966" i="11"/>
  <c r="U966" i="11" s="1"/>
  <c r="P1269" i="11"/>
  <c r="U1269" i="11" s="1"/>
  <c r="P1293" i="11"/>
  <c r="U1293" i="11" s="1"/>
  <c r="P1146" i="11"/>
  <c r="U1146" i="11" s="1"/>
  <c r="P808" i="11"/>
  <c r="T808" i="11" s="1"/>
  <c r="P1215" i="11"/>
  <c r="V1215" i="11" s="1"/>
  <c r="P1296" i="11"/>
  <c r="U1296" i="11" s="1"/>
  <c r="P1140" i="11"/>
  <c r="U1140" i="11" s="1"/>
  <c r="P1338" i="11"/>
  <c r="U1338" i="11" s="1"/>
  <c r="P840" i="11"/>
  <c r="T840" i="11" s="1"/>
  <c r="P978" i="11"/>
  <c r="V978" i="11" s="1"/>
  <c r="P1344" i="11"/>
  <c r="U1344" i="11" s="1"/>
  <c r="P1089" i="11"/>
  <c r="V1089" i="11" s="1"/>
  <c r="P881" i="11"/>
  <c r="T881" i="11" s="1"/>
  <c r="P1125" i="11"/>
  <c r="V1125" i="11" s="1"/>
  <c r="P1257" i="11"/>
  <c r="V1257" i="11" s="1"/>
  <c r="P1071" i="11"/>
  <c r="U1071" i="11" s="1"/>
  <c r="P869" i="11"/>
  <c r="T869" i="11" s="1"/>
  <c r="P963" i="11"/>
  <c r="U963" i="11" s="1"/>
  <c r="P1050" i="11"/>
  <c r="V1050" i="11" s="1"/>
  <c r="P829" i="11"/>
  <c r="T829" i="11" s="1"/>
  <c r="P1122" i="11"/>
  <c r="U1122" i="11" s="1"/>
  <c r="P901" i="11"/>
  <c r="T901" i="11" s="1"/>
  <c r="P987" i="11"/>
  <c r="U987" i="11" s="1"/>
  <c r="P1074" i="11"/>
  <c r="V1074" i="11" s="1"/>
  <c r="P805" i="11"/>
  <c r="T805" i="11" s="1"/>
  <c r="P1152" i="11"/>
  <c r="U1152" i="11" s="1"/>
  <c r="P887" i="11"/>
  <c r="T887" i="11" s="1"/>
  <c r="P1353" i="11"/>
  <c r="U1353" i="11" s="1"/>
  <c r="P913" i="11"/>
  <c r="T913" i="11" s="1"/>
  <c r="P898" i="11"/>
  <c r="T898" i="11" s="1"/>
  <c r="P1188" i="11"/>
  <c r="U1188" i="11" s="1"/>
  <c r="P1101" i="11"/>
  <c r="U1101" i="11" s="1"/>
  <c r="P802" i="11"/>
  <c r="T802" i="11" s="1"/>
  <c r="P820" i="11"/>
  <c r="T820" i="11" s="1"/>
  <c r="P1278" i="11"/>
  <c r="S1278" i="11" s="1"/>
  <c r="P1272" i="11"/>
  <c r="U1272" i="11" s="1"/>
  <c r="P1320" i="11"/>
  <c r="V1320" i="11" s="1"/>
  <c r="P1176" i="11"/>
  <c r="U1176" i="11" s="1"/>
  <c r="P1137" i="11"/>
  <c r="U1137" i="11" s="1"/>
  <c r="P1086" i="11"/>
  <c r="V1086" i="11" s="1"/>
  <c r="P1038" i="11"/>
  <c r="T1038" i="11" s="1"/>
  <c r="P817" i="11"/>
  <c r="T817" i="11" s="1"/>
  <c r="P975" i="11"/>
  <c r="V975" i="11" s="1"/>
  <c r="P1236" i="11"/>
  <c r="U1236" i="11" s="1"/>
  <c r="P1224" i="11"/>
  <c r="T1224" i="11" s="1"/>
  <c r="J593" i="12"/>
  <c r="N593" i="12" s="1"/>
  <c r="O593" i="12" s="1"/>
  <c r="Q593" i="12" s="1"/>
  <c r="J603" i="12"/>
  <c r="N603" i="12" s="1"/>
  <c r="O603" i="12" s="1"/>
  <c r="Q603" i="12" s="1"/>
  <c r="J598" i="12"/>
  <c r="N598" i="12" s="1"/>
  <c r="O598" i="12" s="1"/>
  <c r="Q598" i="12" s="1"/>
  <c r="P924" i="11"/>
  <c r="S924" i="11" s="1"/>
  <c r="P1332" i="11"/>
  <c r="U1332" i="11" s="1"/>
  <c r="P1302" i="11"/>
  <c r="V1302" i="11" s="1"/>
  <c r="P1248" i="11"/>
  <c r="U1248" i="11" s="1"/>
  <c r="P1326" i="11"/>
  <c r="U1326" i="11" s="1"/>
  <c r="N608" i="12"/>
  <c r="O608" i="12" s="1"/>
  <c r="Q608" i="12" s="1"/>
  <c r="P1350" i="11"/>
  <c r="V1350" i="11" s="1"/>
  <c r="P1275" i="11"/>
  <c r="U1275" i="11" s="1"/>
  <c r="P1218" i="11"/>
  <c r="T1218" i="11" s="1"/>
  <c r="P884" i="11"/>
  <c r="T884" i="11" s="1"/>
  <c r="P860" i="11"/>
  <c r="T860" i="11" s="1"/>
  <c r="P1164" i="11"/>
  <c r="V1164" i="11" s="1"/>
  <c r="P1347" i="11"/>
  <c r="V1347" i="11" s="1"/>
  <c r="P1308" i="11"/>
  <c r="U1308" i="11" s="1"/>
  <c r="N584" i="12"/>
  <c r="K584" i="12" s="1"/>
  <c r="R1570" i="11"/>
  <c r="P1185" i="11"/>
  <c r="V1185" i="11" s="1"/>
  <c r="P1194" i="11"/>
  <c r="V1194" i="11" s="1"/>
  <c r="P872" i="11"/>
  <c r="T872" i="11" s="1"/>
  <c r="L1263" i="11"/>
  <c r="P1263" i="11" s="1"/>
  <c r="U1263" i="11" s="1"/>
  <c r="L1323" i="11"/>
  <c r="P1323" i="11" s="1"/>
  <c r="V1323" i="11" s="1"/>
  <c r="L1299" i="11"/>
  <c r="P1299" i="11" s="1"/>
  <c r="U1299" i="11" s="1"/>
  <c r="L1233" i="11"/>
  <c r="P1233" i="11" s="1"/>
  <c r="V1233" i="11" s="1"/>
  <c r="L875" i="11"/>
  <c r="P875" i="11" s="1"/>
  <c r="T875" i="11" s="1"/>
  <c r="P793" i="11"/>
  <c r="T793" i="11" s="1"/>
  <c r="L938" i="11"/>
  <c r="P938" i="11" s="1"/>
  <c r="S938" i="11" s="1"/>
  <c r="L1209" i="11"/>
  <c r="P1209" i="11" s="1"/>
  <c r="S1209" i="11" s="1"/>
  <c r="L904" i="11"/>
  <c r="P904" i="11" s="1"/>
  <c r="T904" i="11" s="1"/>
  <c r="P1149" i="11"/>
  <c r="T1149" i="11" s="1"/>
  <c r="P1161" i="11"/>
  <c r="U1161" i="11" s="1"/>
  <c r="L1335" i="11"/>
  <c r="P1335" i="11" s="1"/>
  <c r="V1335" i="11" s="1"/>
  <c r="L1311" i="11"/>
  <c r="P1311" i="11" s="1"/>
  <c r="U1311" i="11" s="1"/>
  <c r="L1287" i="11"/>
  <c r="P1287" i="11" s="1"/>
  <c r="V1287" i="11" s="1"/>
  <c r="P1245" i="11"/>
  <c r="V1245" i="11" s="1"/>
  <c r="L1221" i="11"/>
  <c r="P1221" i="11" s="1"/>
  <c r="V1221" i="11" s="1"/>
  <c r="P1173" i="11"/>
  <c r="U1173" i="11" s="1"/>
  <c r="L922" i="11"/>
  <c r="P922" i="11" s="1"/>
  <c r="S922" i="11" s="1"/>
  <c r="L890" i="11"/>
  <c r="P890" i="11" s="1"/>
  <c r="T890" i="11" s="1"/>
  <c r="L916" i="11"/>
  <c r="P916" i="11" s="1"/>
  <c r="T916" i="11" s="1"/>
  <c r="J586" i="12"/>
  <c r="N586" i="12" s="1"/>
  <c r="K586" i="12" s="1"/>
  <c r="J587" i="12"/>
  <c r="N587" i="12" s="1"/>
  <c r="J585" i="12"/>
  <c r="N585" i="12" s="1"/>
  <c r="J588" i="12"/>
  <c r="N588" i="12" s="1"/>
  <c r="J589" i="12"/>
  <c r="N589" i="12" s="1"/>
  <c r="K589" i="12" s="1"/>
  <c r="J590" i="12"/>
  <c r="N590" i="12" s="1"/>
  <c r="K590" i="12" s="1"/>
  <c r="F67" i="10"/>
  <c r="F37" i="13"/>
  <c r="I37" i="13" s="1"/>
  <c r="F25" i="13"/>
  <c r="I25" i="13" s="1"/>
  <c r="I28" i="13"/>
  <c r="I36" i="13"/>
  <c r="I35" i="13"/>
  <c r="I34" i="13"/>
  <c r="I33" i="13"/>
  <c r="I32" i="13"/>
  <c r="I31" i="13"/>
  <c r="I30" i="13"/>
  <c r="I29" i="13"/>
  <c r="F27" i="13"/>
  <c r="I27" i="13" s="1"/>
  <c r="I26" i="13"/>
  <c r="A26" i="13"/>
  <c r="A27" i="13" s="1"/>
  <c r="A28" i="13" s="1"/>
  <c r="A29" i="13" s="1"/>
  <c r="A30" i="13" s="1"/>
  <c r="A31" i="13" s="1"/>
  <c r="A32" i="13" s="1"/>
  <c r="A33" i="13" s="1"/>
  <c r="A34" i="13" s="1"/>
  <c r="A35" i="13" s="1"/>
  <c r="A36" i="13" s="1"/>
  <c r="A37" i="13" s="1"/>
  <c r="A57" i="10"/>
  <c r="A58" i="10" s="1"/>
  <c r="A59" i="10" s="1"/>
  <c r="A60" i="10" s="1"/>
  <c r="A61" i="10" s="1"/>
  <c r="A62" i="10" s="1"/>
  <c r="A63" i="10" s="1"/>
  <c r="A64" i="10" s="1"/>
  <c r="A65" i="10" s="1"/>
  <c r="A66" i="10" s="1"/>
  <c r="A67" i="10" s="1"/>
  <c r="A68" i="10" s="1"/>
  <c r="H35" i="10"/>
  <c r="H68" i="10"/>
  <c r="F56" i="10"/>
  <c r="F53" i="10"/>
  <c r="I53" i="10" s="1"/>
  <c r="I52" i="10"/>
  <c r="I54" i="10"/>
  <c r="F51" i="10"/>
  <c r="I51" i="10" s="1"/>
  <c r="I48" i="10"/>
  <c r="I49" i="10"/>
  <c r="I50" i="10"/>
  <c r="F68" i="10"/>
  <c r="H67" i="10"/>
  <c r="H66" i="10"/>
  <c r="I66" i="10" s="1"/>
  <c r="H65" i="10"/>
  <c r="I65" i="10" s="1"/>
  <c r="H64" i="10"/>
  <c r="I64" i="10" s="1"/>
  <c r="H63" i="10"/>
  <c r="I63" i="10" s="1"/>
  <c r="H62" i="10"/>
  <c r="I62" i="10" s="1"/>
  <c r="H61" i="10"/>
  <c r="I61" i="10" s="1"/>
  <c r="H60" i="10"/>
  <c r="I60" i="10" s="1"/>
  <c r="H59" i="10"/>
  <c r="I59" i="10" s="1"/>
  <c r="H58" i="10"/>
  <c r="F58" i="10"/>
  <c r="H57" i="10"/>
  <c r="I57" i="10" s="1"/>
  <c r="H56" i="10"/>
  <c r="I47" i="10"/>
  <c r="I46" i="10"/>
  <c r="I45" i="10"/>
  <c r="I44" i="10"/>
  <c r="I43" i="10"/>
  <c r="I42" i="10"/>
  <c r="I41" i="10"/>
  <c r="I40" i="10"/>
  <c r="I39" i="10"/>
  <c r="R1572" i="11" l="1"/>
  <c r="H9" i="14" s="1"/>
  <c r="I56" i="10"/>
  <c r="I67" i="10"/>
  <c r="O584" i="12"/>
  <c r="S584" i="12" s="1"/>
  <c r="O586" i="12"/>
  <c r="S586" i="12" s="1"/>
  <c r="I39" i="13"/>
  <c r="E9" i="20" s="1"/>
  <c r="S1570" i="11"/>
  <c r="I68" i="10"/>
  <c r="V1570" i="11"/>
  <c r="U1570" i="11"/>
  <c r="T1570" i="11"/>
  <c r="O590" i="12"/>
  <c r="R590" i="12" s="1"/>
  <c r="O589" i="12"/>
  <c r="R586" i="12"/>
  <c r="O585" i="12"/>
  <c r="S585" i="12" s="1"/>
  <c r="K585" i="12"/>
  <c r="O588" i="12"/>
  <c r="K588" i="12"/>
  <c r="K587" i="12"/>
  <c r="O587" i="12"/>
  <c r="I58" i="10"/>
  <c r="T1572" i="11" l="1"/>
  <c r="J9" i="14" s="1"/>
  <c r="U1572" i="11"/>
  <c r="S1572" i="11"/>
  <c r="I9" i="14" s="1"/>
  <c r="V1572" i="11"/>
  <c r="L9" i="14" s="1"/>
  <c r="I70" i="10"/>
  <c r="R588" i="12"/>
  <c r="S588" i="12"/>
  <c r="R589" i="12"/>
  <c r="S589" i="12"/>
  <c r="R587" i="12"/>
  <c r="S587" i="12"/>
  <c r="W1572" i="11" l="1"/>
  <c r="K9" i="14"/>
  <c r="M9" i="14" s="1"/>
  <c r="M9" i="17"/>
  <c r="K9" i="17"/>
  <c r="I9" i="17"/>
  <c r="E9" i="17"/>
  <c r="E10" i="17" s="1"/>
  <c r="M8" i="17"/>
  <c r="K8" i="17"/>
  <c r="J8" i="17"/>
  <c r="I54" i="9"/>
  <c r="I53" i="9"/>
  <c r="I52" i="9"/>
  <c r="I51" i="9"/>
  <c r="I50" i="9"/>
  <c r="F49" i="9"/>
  <c r="I49" i="9" s="1"/>
  <c r="F48" i="9"/>
  <c r="I48" i="9" s="1"/>
  <c r="I32" i="9"/>
  <c r="I31" i="9"/>
  <c r="I30" i="9"/>
  <c r="I29" i="9"/>
  <c r="I28" i="9"/>
  <c r="I27" i="9"/>
  <c r="I26" i="9"/>
  <c r="I25" i="9"/>
  <c r="I24" i="9"/>
  <c r="I23" i="9"/>
  <c r="E11" i="17" l="1"/>
  <c r="G10" i="17"/>
  <c r="J10" i="17" s="1"/>
  <c r="I56" i="9"/>
  <c r="F9" i="17" s="1"/>
  <c r="G9" i="17" s="1"/>
  <c r="J9" i="17" s="1"/>
  <c r="I34" i="9"/>
  <c r="F8" i="17" s="1"/>
  <c r="G8" i="17" s="1"/>
  <c r="I8" i="17" s="1"/>
  <c r="G24" i="8"/>
  <c r="I24" i="8" s="1"/>
  <c r="F21" i="8"/>
  <c r="F19" i="8"/>
  <c r="I19" i="8" s="1"/>
  <c r="G17" i="8"/>
  <c r="I23" i="8"/>
  <c r="G22" i="8"/>
  <c r="I22" i="8" s="1"/>
  <c r="G21" i="8"/>
  <c r="I20" i="8"/>
  <c r="F18" i="8"/>
  <c r="I18" i="8" s="1"/>
  <c r="F17" i="8"/>
  <c r="G11" i="17" l="1"/>
  <c r="L11" i="17" s="1"/>
  <c r="E12" i="17"/>
  <c r="J11" i="17"/>
  <c r="M11" i="17"/>
  <c r="I17" i="8"/>
  <c r="I21" i="8"/>
  <c r="G11" i="7"/>
  <c r="E13" i="17" l="1"/>
  <c r="E14" i="17" s="1"/>
  <c r="G12" i="17"/>
  <c r="J12" i="17" s="1"/>
  <c r="D567" i="11"/>
  <c r="D534" i="11"/>
  <c r="D516" i="11"/>
  <c r="D372" i="11"/>
  <c r="D336" i="11"/>
  <c r="J333" i="11"/>
  <c r="J336" i="11"/>
  <c r="J330" i="11"/>
  <c r="D330" i="11"/>
  <c r="J285" i="11"/>
  <c r="D288" i="11"/>
  <c r="J195" i="11"/>
  <c r="J192" i="11"/>
  <c r="E560" i="12"/>
  <c r="M575" i="12"/>
  <c r="M570" i="12"/>
  <c r="M565" i="12"/>
  <c r="M560" i="12"/>
  <c r="M550" i="12"/>
  <c r="M545" i="12"/>
  <c r="M540" i="12"/>
  <c r="M535" i="12"/>
  <c r="M530" i="12"/>
  <c r="M525" i="12"/>
  <c r="M520" i="12"/>
  <c r="M510" i="12"/>
  <c r="M505" i="12"/>
  <c r="M500" i="12"/>
  <c r="M495" i="12"/>
  <c r="M483" i="12"/>
  <c r="M478" i="12"/>
  <c r="M473" i="12"/>
  <c r="M468" i="12"/>
  <c r="M457" i="12"/>
  <c r="M452" i="12"/>
  <c r="M175" i="12"/>
  <c r="M186" i="12"/>
  <c r="M191" i="12"/>
  <c r="M196" i="12"/>
  <c r="M200" i="12"/>
  <c r="M205" i="12"/>
  <c r="M217" i="12"/>
  <c r="M222" i="12"/>
  <c r="M226" i="12"/>
  <c r="M231" i="12"/>
  <c r="M243" i="12"/>
  <c r="M248" i="12"/>
  <c r="M253" i="12"/>
  <c r="M258" i="12"/>
  <c r="M263" i="12"/>
  <c r="M268" i="12"/>
  <c r="M273" i="12"/>
  <c r="M283" i="12"/>
  <c r="M288" i="12"/>
  <c r="M293" i="12"/>
  <c r="M298" i="12"/>
  <c r="M303" i="12"/>
  <c r="M308" i="12"/>
  <c r="M313" i="12"/>
  <c r="M323" i="12"/>
  <c r="M328" i="12"/>
  <c r="M341" i="12"/>
  <c r="M346" i="12"/>
  <c r="M351" i="12"/>
  <c r="M364" i="12"/>
  <c r="M369" i="12"/>
  <c r="M374" i="12"/>
  <c r="M379" i="12"/>
  <c r="M391" i="12"/>
  <c r="M396" i="12"/>
  <c r="M411" i="12"/>
  <c r="M416" i="12"/>
  <c r="M427" i="12"/>
  <c r="M432" i="12"/>
  <c r="M437" i="12"/>
  <c r="M442" i="12"/>
  <c r="M447" i="12"/>
  <c r="M169" i="12"/>
  <c r="M164" i="12"/>
  <c r="M160" i="12"/>
  <c r="M155" i="12"/>
  <c r="M144" i="12"/>
  <c r="M138" i="12"/>
  <c r="M133" i="12"/>
  <c r="M129" i="12"/>
  <c r="M124" i="12"/>
  <c r="M112" i="12"/>
  <c r="M106" i="12"/>
  <c r="M101" i="12"/>
  <c r="M97" i="12"/>
  <c r="M92" i="12"/>
  <c r="M79" i="12"/>
  <c r="M74" i="12"/>
  <c r="M70" i="12"/>
  <c r="M65" i="12"/>
  <c r="M53" i="12"/>
  <c r="M48" i="12"/>
  <c r="M44" i="12"/>
  <c r="M39" i="12"/>
  <c r="M27" i="12"/>
  <c r="M22" i="12"/>
  <c r="M18" i="12"/>
  <c r="M10" i="12"/>
  <c r="M13" i="12"/>
  <c r="G14" i="17" l="1"/>
  <c r="M14" i="17" s="1"/>
  <c r="E16" i="17"/>
  <c r="E15" i="17"/>
  <c r="E17" i="17" s="1"/>
  <c r="E20" i="17" s="1"/>
  <c r="G20" i="17" s="1"/>
  <c r="G13" i="17"/>
  <c r="L13" i="17" s="1"/>
  <c r="L23" i="17" s="1"/>
  <c r="L33" i="17" s="1"/>
  <c r="J104" i="11"/>
  <c r="J101" i="11"/>
  <c r="J98" i="11"/>
  <c r="J95" i="11"/>
  <c r="J92" i="11"/>
  <c r="J89" i="11"/>
  <c r="J86" i="11"/>
  <c r="J83" i="11"/>
  <c r="J80" i="11"/>
  <c r="J77" i="11"/>
  <c r="J74" i="11"/>
  <c r="J71" i="11"/>
  <c r="J40" i="11"/>
  <c r="J37" i="11"/>
  <c r="J34" i="11"/>
  <c r="J31" i="11"/>
  <c r="J25" i="11"/>
  <c r="J28" i="11"/>
  <c r="J19" i="11"/>
  <c r="J22" i="11"/>
  <c r="J13" i="11"/>
  <c r="J16" i="11"/>
  <c r="J10" i="11"/>
  <c r="J7" i="11"/>
  <c r="I10" i="13"/>
  <c r="A10" i="13"/>
  <c r="A11" i="13" s="1"/>
  <c r="A12" i="13" s="1"/>
  <c r="A13" i="13" s="1"/>
  <c r="A14" i="13" s="1"/>
  <c r="A15" i="13" s="1"/>
  <c r="A16" i="13" s="1"/>
  <c r="A17" i="13" s="1"/>
  <c r="A18" i="13" s="1"/>
  <c r="A19" i="13" s="1"/>
  <c r="A20" i="13" s="1"/>
  <c r="A21" i="13" s="1"/>
  <c r="A23" i="10"/>
  <c r="A24" i="10" s="1"/>
  <c r="A25" i="10" s="1"/>
  <c r="A26" i="10" s="1"/>
  <c r="A27" i="10" s="1"/>
  <c r="A28" i="10" s="1"/>
  <c r="A29" i="10" s="1"/>
  <c r="A30" i="10" s="1"/>
  <c r="A31" i="10" s="1"/>
  <c r="A32" i="10" s="1"/>
  <c r="A33" i="10" s="1"/>
  <c r="A34" i="10" s="1"/>
  <c r="A35" i="10" s="1"/>
  <c r="H23" i="10"/>
  <c r="I23" i="10" s="1"/>
  <c r="F35" i="10"/>
  <c r="I9" i="10"/>
  <c r="F20" i="10"/>
  <c r="G16" i="9"/>
  <c r="I16" i="9" s="1"/>
  <c r="F10" i="9"/>
  <c r="G9" i="9"/>
  <c r="F9" i="9"/>
  <c r="G16" i="8"/>
  <c r="I16" i="8" s="1"/>
  <c r="F10" i="8"/>
  <c r="F9" i="8"/>
  <c r="G9" i="8"/>
  <c r="J20" i="17" l="1"/>
  <c r="M20" i="17"/>
  <c r="G17" i="17"/>
  <c r="M17" i="17" s="1"/>
  <c r="E21" i="17"/>
  <c r="G21" i="17" s="1"/>
  <c r="J21" i="17" s="1"/>
  <c r="G16" i="17"/>
  <c r="M16" i="17" s="1"/>
  <c r="E19" i="17"/>
  <c r="G19" i="17" s="1"/>
  <c r="J19" i="17" s="1"/>
  <c r="G15" i="17"/>
  <c r="M15" i="17" s="1"/>
  <c r="E18" i="17"/>
  <c r="G18" i="17" s="1"/>
  <c r="E12" i="18"/>
  <c r="E96" i="18" s="1"/>
  <c r="L122" i="22"/>
  <c r="N122" i="22" s="1"/>
  <c r="M18" i="17" l="1"/>
  <c r="J18" i="17"/>
  <c r="T96" i="18"/>
  <c r="T98" i="18" s="1"/>
  <c r="E98" i="18"/>
  <c r="D99" i="18" s="1"/>
  <c r="L121" i="22"/>
  <c r="N121" i="22" s="1"/>
  <c r="L120" i="22"/>
  <c r="N120" i="22" s="1"/>
  <c r="L119" i="22"/>
  <c r="N119" i="22" s="1"/>
  <c r="I31" i="17"/>
  <c r="G365" i="22"/>
  <c r="L3" i="22"/>
  <c r="N3" i="22" s="1"/>
  <c r="L4" i="22"/>
  <c r="N4" i="22" s="1"/>
  <c r="L5" i="22"/>
  <c r="N5" i="22" s="1"/>
  <c r="L6" i="22"/>
  <c r="N6" i="22" s="1"/>
  <c r="L7" i="22"/>
  <c r="N7" i="22" s="1"/>
  <c r="L8" i="22"/>
  <c r="N8" i="22" s="1"/>
  <c r="L9" i="22"/>
  <c r="N9" i="22" s="1"/>
  <c r="L10" i="22"/>
  <c r="N10" i="22" s="1"/>
  <c r="L11" i="22"/>
  <c r="N11" i="22" s="1"/>
  <c r="L12" i="22"/>
  <c r="N12" i="22" s="1"/>
  <c r="D100" i="18" l="1"/>
  <c r="T99" i="18"/>
  <c r="G366" i="22"/>
  <c r="L97" i="22"/>
  <c r="N97" i="22" s="1"/>
  <c r="L98" i="22"/>
  <c r="N98" i="22" s="1"/>
  <c r="L99" i="22"/>
  <c r="N99" i="22" s="1"/>
  <c r="L100" i="22"/>
  <c r="N100" i="22" s="1"/>
  <c r="L101" i="22"/>
  <c r="N101" i="22" s="1"/>
  <c r="L102" i="22"/>
  <c r="N102" i="22" s="1"/>
  <c r="L103" i="22"/>
  <c r="N103" i="22" s="1"/>
  <c r="L104" i="22"/>
  <c r="N104" i="22" s="1"/>
  <c r="L105" i="22"/>
  <c r="N105" i="22" s="1"/>
  <c r="L106" i="22"/>
  <c r="N106" i="22" s="1"/>
  <c r="L107" i="22"/>
  <c r="N107" i="22" s="1"/>
  <c r="L108" i="22"/>
  <c r="N108" i="22" s="1"/>
  <c r="L109" i="22"/>
  <c r="N109" i="22" s="1"/>
  <c r="L110" i="22"/>
  <c r="N110" i="22" s="1"/>
  <c r="L111" i="22"/>
  <c r="N111" i="22" s="1"/>
  <c r="L112" i="22"/>
  <c r="N112" i="22" s="1"/>
  <c r="L113" i="22"/>
  <c r="N113" i="22" s="1"/>
  <c r="L114" i="22"/>
  <c r="N114" i="22" s="1"/>
  <c r="L115" i="22"/>
  <c r="N115" i="22" s="1"/>
  <c r="L116" i="22"/>
  <c r="N116" i="22" s="1"/>
  <c r="L117" i="22"/>
  <c r="N117" i="22" s="1"/>
  <c r="L118" i="22"/>
  <c r="N118" i="22" s="1"/>
  <c r="L63" i="22" l="1"/>
  <c r="N63" i="22" s="1"/>
  <c r="L64" i="22"/>
  <c r="N64" i="22" s="1"/>
  <c r="L65" i="22"/>
  <c r="N65" i="22" s="1"/>
  <c r="L66" i="22"/>
  <c r="N66" i="22" s="1"/>
  <c r="L67" i="22"/>
  <c r="N67" i="22" s="1"/>
  <c r="L68" i="22"/>
  <c r="N68" i="22" s="1"/>
  <c r="L69" i="22"/>
  <c r="N69" i="22" s="1"/>
  <c r="L70" i="22"/>
  <c r="N70" i="22" s="1"/>
  <c r="L23" i="22"/>
  <c r="N23" i="22" s="1"/>
  <c r="L22" i="22"/>
  <c r="N22" i="22" s="1"/>
  <c r="L21" i="22"/>
  <c r="N21" i="22" s="1"/>
  <c r="L20" i="22"/>
  <c r="N20" i="22" s="1"/>
  <c r="L19" i="22"/>
  <c r="N19" i="22" s="1"/>
  <c r="L62" i="22" l="1"/>
  <c r="N62" i="22" s="1"/>
  <c r="L71" i="22"/>
  <c r="N71" i="22" s="1"/>
  <c r="L72" i="22"/>
  <c r="N72" i="22" s="1"/>
  <c r="L73" i="22"/>
  <c r="L74" i="22"/>
  <c r="N74" i="22" s="1"/>
  <c r="L75" i="22"/>
  <c r="N75" i="22" s="1"/>
  <c r="L76" i="22"/>
  <c r="N76" i="22" s="1"/>
  <c r="L77" i="22"/>
  <c r="N77" i="22" s="1"/>
  <c r="L78" i="22"/>
  <c r="N78" i="22" s="1"/>
  <c r="L79" i="22"/>
  <c r="N79" i="22" s="1"/>
  <c r="L80" i="22"/>
  <c r="N80" i="22" s="1"/>
  <c r="L81" i="22"/>
  <c r="N81" i="22" s="1"/>
  <c r="L82" i="22"/>
  <c r="N82" i="22" s="1"/>
  <c r="L83" i="22"/>
  <c r="N83" i="22" s="1"/>
  <c r="L84" i="22"/>
  <c r="N84" i="22" s="1"/>
  <c r="L85" i="22"/>
  <c r="N85" i="22" s="1"/>
  <c r="L86" i="22"/>
  <c r="N86" i="22" s="1"/>
  <c r="L87" i="22"/>
  <c r="N87" i="22" s="1"/>
  <c r="L88" i="22"/>
  <c r="N88" i="22" s="1"/>
  <c r="L89" i="22"/>
  <c r="N89" i="22" s="1"/>
  <c r="L90" i="22"/>
  <c r="N90" i="22" s="1"/>
  <c r="L91" i="22"/>
  <c r="N91" i="22" s="1"/>
  <c r="L92" i="22"/>
  <c r="N92" i="22" s="1"/>
  <c r="L93" i="22"/>
  <c r="N93" i="22" s="1"/>
  <c r="L94" i="22"/>
  <c r="N94" i="22" s="1"/>
  <c r="L95" i="22"/>
  <c r="N95" i="22" s="1"/>
  <c r="L96" i="22"/>
  <c r="N96" i="22" s="1"/>
  <c r="N73" i="22"/>
  <c r="L61" i="22"/>
  <c r="N61" i="22" s="1"/>
  <c r="L52" i="22"/>
  <c r="N52" i="22" s="1"/>
  <c r="L53" i="22"/>
  <c r="N53" i="22" s="1"/>
  <c r="L54" i="22"/>
  <c r="N54" i="22" s="1"/>
  <c r="L55" i="22"/>
  <c r="N55" i="22" s="1"/>
  <c r="L56" i="22"/>
  <c r="N56" i="22" s="1"/>
  <c r="L57" i="22"/>
  <c r="N57" i="22" s="1"/>
  <c r="L58" i="22"/>
  <c r="N58" i="22" s="1"/>
  <c r="L59" i="22"/>
  <c r="N59" i="22" s="1"/>
  <c r="L60" i="22"/>
  <c r="N60" i="22" s="1"/>
  <c r="L51" i="22"/>
  <c r="N51" i="22" s="1"/>
  <c r="L50" i="22"/>
  <c r="N50" i="22" s="1"/>
  <c r="L49" i="22"/>
  <c r="N49" i="22" s="1"/>
  <c r="L48" i="22"/>
  <c r="N48" i="22" s="1"/>
  <c r="L47" i="22"/>
  <c r="N47" i="22" s="1"/>
  <c r="L46" i="22"/>
  <c r="N46" i="22" s="1"/>
  <c r="L45" i="22"/>
  <c r="N45" i="22" s="1"/>
  <c r="L14" i="22" l="1"/>
  <c r="N14" i="22" s="1"/>
  <c r="L15" i="22"/>
  <c r="N15" i="22" s="1"/>
  <c r="L16" i="22"/>
  <c r="N16" i="22" s="1"/>
  <c r="L17" i="22"/>
  <c r="N17" i="22" s="1"/>
  <c r="L18" i="22"/>
  <c r="N18" i="22" s="1"/>
  <c r="L24" i="22"/>
  <c r="N24" i="22" s="1"/>
  <c r="L25" i="22"/>
  <c r="N25" i="22" s="1"/>
  <c r="L26" i="22"/>
  <c r="N26" i="22" s="1"/>
  <c r="L27" i="22"/>
  <c r="N27" i="22" s="1"/>
  <c r="L28" i="22"/>
  <c r="N28" i="22" s="1"/>
  <c r="L29" i="22"/>
  <c r="N29" i="22" s="1"/>
  <c r="L30" i="22"/>
  <c r="N30" i="22" s="1"/>
  <c r="L31" i="22"/>
  <c r="N31" i="22" s="1"/>
  <c r="L32" i="22"/>
  <c r="N32" i="22" s="1"/>
  <c r="L33" i="22"/>
  <c r="N33" i="22" s="1"/>
  <c r="L34" i="22"/>
  <c r="N34" i="22" s="1"/>
  <c r="L35" i="22"/>
  <c r="N35" i="22" s="1"/>
  <c r="L36" i="22"/>
  <c r="N36" i="22" s="1"/>
  <c r="L37" i="22"/>
  <c r="N37" i="22" s="1"/>
  <c r="L38" i="22"/>
  <c r="N38" i="22" s="1"/>
  <c r="L39" i="22"/>
  <c r="N39" i="22" s="1"/>
  <c r="L40" i="22"/>
  <c r="N40" i="22" s="1"/>
  <c r="L41" i="22"/>
  <c r="N41" i="22" s="1"/>
  <c r="L42" i="22"/>
  <c r="N42" i="22" s="1"/>
  <c r="L43" i="22"/>
  <c r="N43" i="22" s="1"/>
  <c r="L44" i="22"/>
  <c r="N44" i="22" s="1"/>
  <c r="L13" i="22"/>
  <c r="N13" i="22" s="1"/>
  <c r="M365" i="22"/>
  <c r="M366" i="22" s="1"/>
  <c r="N365" i="22" l="1"/>
  <c r="L365" i="22"/>
  <c r="L366" i="22" s="1"/>
  <c r="G14" i="8" l="1"/>
  <c r="G13" i="8"/>
  <c r="K24" i="17" l="1"/>
  <c r="L34" i="17"/>
  <c r="L35" i="17" s="1"/>
  <c r="L36" i="17" s="1"/>
  <c r="L25" i="17"/>
  <c r="L26" i="17" s="1"/>
  <c r="I24" i="17"/>
  <c r="I34" i="17" s="1"/>
  <c r="M24" i="17"/>
  <c r="J24" i="17" l="1"/>
  <c r="G24" i="17"/>
  <c r="G34" i="17" s="1"/>
  <c r="M7" i="21"/>
  <c r="J18" i="7" s="1"/>
  <c r="M8" i="21"/>
  <c r="J19" i="7" s="1"/>
  <c r="M14" i="21"/>
  <c r="J25" i="7" s="1"/>
  <c r="M15" i="21"/>
  <c r="J26" i="7" s="1"/>
  <c r="M16" i="21"/>
  <c r="J27" i="7" s="1"/>
  <c r="M19" i="21"/>
  <c r="J30" i="7" s="1"/>
  <c r="M30" i="7" s="1"/>
  <c r="L30" i="7" s="1"/>
  <c r="M20" i="21"/>
  <c r="J31" i="7" s="1"/>
  <c r="M21" i="21"/>
  <c r="J32" i="7" s="1"/>
  <c r="M22" i="21"/>
  <c r="J33" i="7" s="1"/>
  <c r="J7" i="20"/>
  <c r="J64" i="7" s="1"/>
  <c r="J12" i="20"/>
  <c r="J69" i="7" s="1"/>
  <c r="J13" i="20"/>
  <c r="J70" i="7" s="1"/>
  <c r="J16" i="20"/>
  <c r="J73" i="7" s="1"/>
  <c r="J17" i="20"/>
  <c r="J74" i="7" s="1"/>
  <c r="J19" i="20"/>
  <c r="J76" i="7" s="1"/>
  <c r="M16" i="19" l="1"/>
  <c r="J50" i="7" s="1"/>
  <c r="M13" i="19"/>
  <c r="J47" i="7" s="1"/>
  <c r="M14" i="19"/>
  <c r="J48" i="7" s="1"/>
  <c r="M12" i="19"/>
  <c r="J46" i="7" s="1"/>
  <c r="M8" i="19"/>
  <c r="J42" i="7" s="1"/>
  <c r="M9" i="19"/>
  <c r="J43" i="7" s="1"/>
  <c r="M7" i="19"/>
  <c r="J41" i="7" s="1"/>
  <c r="E7" i="17"/>
  <c r="I7" i="17"/>
  <c r="M34" i="17"/>
  <c r="M31" i="17"/>
  <c r="K30" i="17"/>
  <c r="K31" i="17" s="1"/>
  <c r="J30" i="17"/>
  <c r="J31" i="17" s="1"/>
  <c r="G30" i="17"/>
  <c r="G31" i="17" s="1"/>
  <c r="K34" i="17"/>
  <c r="J34" i="17"/>
  <c r="M7" i="17"/>
  <c r="K7" i="17"/>
  <c r="K6" i="17"/>
  <c r="D579" i="12"/>
  <c r="J579" i="12" s="1"/>
  <c r="U581" i="12"/>
  <c r="T581" i="12"/>
  <c r="S581" i="12"/>
  <c r="Q581" i="12"/>
  <c r="P581" i="12"/>
  <c r="U580" i="12"/>
  <c r="T580" i="12"/>
  <c r="S580" i="12"/>
  <c r="Q580" i="12"/>
  <c r="P580" i="12"/>
  <c r="U579" i="12"/>
  <c r="T579" i="12"/>
  <c r="R579" i="12"/>
  <c r="P579" i="12"/>
  <c r="M579" i="12"/>
  <c r="U578" i="12"/>
  <c r="T578" i="12"/>
  <c r="S578" i="12"/>
  <c r="R578" i="12"/>
  <c r="Q578" i="12"/>
  <c r="P578" i="12"/>
  <c r="M24" i="14"/>
  <c r="M25" i="14"/>
  <c r="M18" i="14"/>
  <c r="F22" i="14"/>
  <c r="D10" i="15" s="1"/>
  <c r="F15" i="14"/>
  <c r="D9" i="15" s="1"/>
  <c r="M46" i="7" l="1"/>
  <c r="N579" i="12"/>
  <c r="M6" i="17"/>
  <c r="M23" i="17" s="1"/>
  <c r="K23" i="17"/>
  <c r="K25" i="17" s="1"/>
  <c r="R580" i="12"/>
  <c r="D13" i="15"/>
  <c r="M33" i="17" l="1"/>
  <c r="M25" i="17"/>
  <c r="M26" i="17" s="1"/>
  <c r="K33" i="17"/>
  <c r="K35" i="17" s="1"/>
  <c r="K36" i="17" s="1"/>
  <c r="K26" i="17"/>
  <c r="K579" i="12"/>
  <c r="O579" i="12"/>
  <c r="R581" i="12"/>
  <c r="M35" i="17" l="1"/>
  <c r="M36" i="17" s="1"/>
  <c r="S579" i="12"/>
  <c r="Q579" i="12"/>
  <c r="K16" i="15" l="1"/>
  <c r="H27" i="14"/>
  <c r="F11" i="15" s="1"/>
  <c r="I27" i="14"/>
  <c r="G11" i="15" s="1"/>
  <c r="J27" i="14"/>
  <c r="H11" i="15" s="1"/>
  <c r="K27" i="14"/>
  <c r="I11" i="15" s="1"/>
  <c r="L27" i="14"/>
  <c r="J11" i="15" s="1"/>
  <c r="M27" i="14"/>
  <c r="M58" i="7" s="1"/>
  <c r="G27" i="14"/>
  <c r="E11" i="15" s="1"/>
  <c r="M22" i="14"/>
  <c r="H22" i="14"/>
  <c r="I22" i="14"/>
  <c r="J22" i="14"/>
  <c r="K22" i="14"/>
  <c r="L22" i="14"/>
  <c r="G22" i="14"/>
  <c r="K11" i="15" l="1"/>
  <c r="J57" i="7"/>
  <c r="K10" i="15"/>
  <c r="D14" i="15"/>
  <c r="D23" i="15" s="1"/>
  <c r="K6" i="15"/>
  <c r="I21" i="13" l="1"/>
  <c r="I20" i="13"/>
  <c r="I19" i="13"/>
  <c r="I18" i="13"/>
  <c r="I17" i="13"/>
  <c r="I16" i="13"/>
  <c r="I15" i="13"/>
  <c r="I14" i="13"/>
  <c r="I13" i="13"/>
  <c r="I12" i="13"/>
  <c r="F11" i="13"/>
  <c r="I11" i="13" s="1"/>
  <c r="I9" i="13"/>
  <c r="I23" i="13" l="1"/>
  <c r="D9" i="20" s="1"/>
  <c r="J9" i="20" s="1"/>
  <c r="U612" i="12"/>
  <c r="T612" i="12"/>
  <c r="S612" i="12"/>
  <c r="R612" i="12"/>
  <c r="Q612" i="12"/>
  <c r="P612" i="12"/>
  <c r="U611" i="12"/>
  <c r="T611" i="12"/>
  <c r="S611" i="12"/>
  <c r="R611" i="12"/>
  <c r="Q611" i="12"/>
  <c r="P611" i="12"/>
  <c r="U610" i="12"/>
  <c r="T610" i="12"/>
  <c r="S610" i="12"/>
  <c r="R610" i="12"/>
  <c r="Q610" i="12"/>
  <c r="P610" i="12"/>
  <c r="U577" i="12"/>
  <c r="T577" i="12"/>
  <c r="S577" i="12"/>
  <c r="R577" i="12"/>
  <c r="Q577" i="12"/>
  <c r="P577" i="12"/>
  <c r="U576" i="12"/>
  <c r="T576" i="12"/>
  <c r="S576" i="12"/>
  <c r="R576" i="12"/>
  <c r="Q576" i="12"/>
  <c r="P576" i="12"/>
  <c r="U575" i="12"/>
  <c r="T575" i="12"/>
  <c r="S575" i="12"/>
  <c r="R575" i="12"/>
  <c r="P575" i="12"/>
  <c r="D575" i="12"/>
  <c r="J575" i="12" s="1"/>
  <c r="N575" i="12" s="1"/>
  <c r="O575" i="12" s="1"/>
  <c r="Q575" i="12" s="1"/>
  <c r="U574" i="12"/>
  <c r="T574" i="12"/>
  <c r="S574" i="12"/>
  <c r="R574" i="12"/>
  <c r="Q574" i="12"/>
  <c r="P574" i="12"/>
  <c r="U573" i="12"/>
  <c r="T573" i="12"/>
  <c r="S573" i="12"/>
  <c r="R573" i="12"/>
  <c r="Q573" i="12"/>
  <c r="P573" i="12"/>
  <c r="U572" i="12"/>
  <c r="T572" i="12"/>
  <c r="S572" i="12"/>
  <c r="R572" i="12"/>
  <c r="Q572" i="12"/>
  <c r="P572" i="12"/>
  <c r="D572" i="12"/>
  <c r="U571" i="12"/>
  <c r="T571" i="12"/>
  <c r="S571" i="12"/>
  <c r="R571" i="12"/>
  <c r="Q571" i="12"/>
  <c r="P571" i="12"/>
  <c r="U570" i="12"/>
  <c r="T570" i="12"/>
  <c r="S570" i="12"/>
  <c r="R570" i="12"/>
  <c r="P570" i="12"/>
  <c r="E570" i="12"/>
  <c r="U569" i="12"/>
  <c r="T569" i="12"/>
  <c r="S569" i="12"/>
  <c r="R569" i="12"/>
  <c r="Q569" i="12"/>
  <c r="P569" i="12"/>
  <c r="U567" i="12"/>
  <c r="T567" i="12"/>
  <c r="S567" i="12"/>
  <c r="R567" i="12"/>
  <c r="Q567" i="12"/>
  <c r="P567" i="12"/>
  <c r="D567" i="12"/>
  <c r="U566" i="12"/>
  <c r="T566" i="12"/>
  <c r="S566" i="12"/>
  <c r="R566" i="12"/>
  <c r="Q566" i="12"/>
  <c r="P566" i="12"/>
  <c r="U565" i="12"/>
  <c r="T565" i="12"/>
  <c r="S565" i="12"/>
  <c r="R565" i="12"/>
  <c r="P565" i="12"/>
  <c r="E565" i="12"/>
  <c r="U564" i="12"/>
  <c r="T564" i="12"/>
  <c r="S564" i="12"/>
  <c r="R564" i="12"/>
  <c r="Q564" i="12"/>
  <c r="P564" i="12"/>
  <c r="U562" i="12"/>
  <c r="T562" i="12"/>
  <c r="S562" i="12"/>
  <c r="R562" i="12"/>
  <c r="Q562" i="12"/>
  <c r="P562" i="12"/>
  <c r="D562" i="12"/>
  <c r="J560" i="12" s="1"/>
  <c r="N560" i="12" s="1"/>
  <c r="U561" i="12"/>
  <c r="T561" i="12"/>
  <c r="S561" i="12"/>
  <c r="R561" i="12"/>
  <c r="Q561" i="12"/>
  <c r="P561" i="12"/>
  <c r="U560" i="12"/>
  <c r="T560" i="12"/>
  <c r="S560" i="12"/>
  <c r="R560" i="12"/>
  <c r="P560" i="12"/>
  <c r="I560" i="12"/>
  <c r="U559" i="12"/>
  <c r="T559" i="12"/>
  <c r="S559" i="12"/>
  <c r="R559" i="12"/>
  <c r="Q559" i="12"/>
  <c r="P559" i="12"/>
  <c r="U557" i="12"/>
  <c r="T557" i="12"/>
  <c r="S557" i="12"/>
  <c r="R557" i="12"/>
  <c r="P557" i="12"/>
  <c r="M557" i="12"/>
  <c r="U556" i="12"/>
  <c r="T556" i="12"/>
  <c r="S556" i="12"/>
  <c r="Q556" i="12"/>
  <c r="P556" i="12"/>
  <c r="M556" i="12"/>
  <c r="U555" i="12"/>
  <c r="T555" i="12"/>
  <c r="S555" i="12"/>
  <c r="Q555" i="12"/>
  <c r="P555" i="12"/>
  <c r="M555" i="12"/>
  <c r="U554" i="12"/>
  <c r="T554" i="12"/>
  <c r="R554" i="12"/>
  <c r="Q554" i="12"/>
  <c r="P554" i="12"/>
  <c r="M554" i="12"/>
  <c r="D554" i="12"/>
  <c r="J555" i="12" s="1"/>
  <c r="U553" i="12"/>
  <c r="T553" i="12"/>
  <c r="S553" i="12"/>
  <c r="R553" i="12"/>
  <c r="Q553" i="12"/>
  <c r="P553" i="12"/>
  <c r="U552" i="12"/>
  <c r="T552" i="12"/>
  <c r="S552" i="12"/>
  <c r="R552" i="12"/>
  <c r="Q552" i="12"/>
  <c r="P552" i="12"/>
  <c r="U551" i="12"/>
  <c r="T551" i="12"/>
  <c r="S551" i="12"/>
  <c r="R551" i="12"/>
  <c r="Q551" i="12"/>
  <c r="P551" i="12"/>
  <c r="U550" i="12"/>
  <c r="T550" i="12"/>
  <c r="S550" i="12"/>
  <c r="R550" i="12"/>
  <c r="P550" i="12"/>
  <c r="D550" i="12"/>
  <c r="J550" i="12" s="1"/>
  <c r="N550" i="12" s="1"/>
  <c r="O550" i="12" s="1"/>
  <c r="Q550" i="12" s="1"/>
  <c r="U549" i="12"/>
  <c r="T549" i="12"/>
  <c r="S549" i="12"/>
  <c r="R549" i="12"/>
  <c r="Q549" i="12"/>
  <c r="P549" i="12"/>
  <c r="U548" i="12"/>
  <c r="T548" i="12"/>
  <c r="S548" i="12"/>
  <c r="R548" i="12"/>
  <c r="Q548" i="12"/>
  <c r="P548" i="12"/>
  <c r="U547" i="12"/>
  <c r="T547" i="12"/>
  <c r="S547" i="12"/>
  <c r="R547" i="12"/>
  <c r="Q547" i="12"/>
  <c r="P547" i="12"/>
  <c r="D547" i="12"/>
  <c r="U546" i="12"/>
  <c r="T546" i="12"/>
  <c r="S546" i="12"/>
  <c r="R546" i="12"/>
  <c r="Q546" i="12"/>
  <c r="P546" i="12"/>
  <c r="U545" i="12"/>
  <c r="T545" i="12"/>
  <c r="S545" i="12"/>
  <c r="R545" i="12"/>
  <c r="P545" i="12"/>
  <c r="E545" i="12"/>
  <c r="U544" i="12"/>
  <c r="T544" i="12"/>
  <c r="S544" i="12"/>
  <c r="R544" i="12"/>
  <c r="Q544" i="12"/>
  <c r="P544" i="12"/>
  <c r="U543" i="12"/>
  <c r="T543" i="12"/>
  <c r="S543" i="12"/>
  <c r="R543" i="12"/>
  <c r="Q543" i="12"/>
  <c r="P543" i="12"/>
  <c r="U542" i="12"/>
  <c r="T542" i="12"/>
  <c r="S542" i="12"/>
  <c r="R542" i="12"/>
  <c r="Q542" i="12"/>
  <c r="P542" i="12"/>
  <c r="D542" i="12"/>
  <c r="U541" i="12"/>
  <c r="T541" i="12"/>
  <c r="S541" i="12"/>
  <c r="R541" i="12"/>
  <c r="Q541" i="12"/>
  <c r="P541" i="12"/>
  <c r="U540" i="12"/>
  <c r="T540" i="12"/>
  <c r="S540" i="12"/>
  <c r="R540" i="12"/>
  <c r="P540" i="12"/>
  <c r="E540" i="12"/>
  <c r="U539" i="12"/>
  <c r="T539" i="12"/>
  <c r="S539" i="12"/>
  <c r="R539" i="12"/>
  <c r="Q539" i="12"/>
  <c r="P539" i="12"/>
  <c r="U538" i="12"/>
  <c r="T538" i="12"/>
  <c r="S538" i="12"/>
  <c r="R538" i="12"/>
  <c r="Q538" i="12"/>
  <c r="P538" i="12"/>
  <c r="U537" i="12"/>
  <c r="T537" i="12"/>
  <c r="S537" i="12"/>
  <c r="R537" i="12"/>
  <c r="Q537" i="12"/>
  <c r="P537" i="12"/>
  <c r="D537" i="12"/>
  <c r="U536" i="12"/>
  <c r="T536" i="12"/>
  <c r="S536" i="12"/>
  <c r="R536" i="12"/>
  <c r="Q536" i="12"/>
  <c r="P536" i="12"/>
  <c r="U535" i="12"/>
  <c r="T535" i="12"/>
  <c r="S535" i="12"/>
  <c r="R535" i="12"/>
  <c r="P535" i="12"/>
  <c r="E535" i="12"/>
  <c r="U534" i="12"/>
  <c r="T534" i="12"/>
  <c r="S534" i="12"/>
  <c r="R534" i="12"/>
  <c r="Q534" i="12"/>
  <c r="P534" i="12"/>
  <c r="U533" i="12"/>
  <c r="T533" i="12"/>
  <c r="S533" i="12"/>
  <c r="R533" i="12"/>
  <c r="Q533" i="12"/>
  <c r="P533" i="12"/>
  <c r="U532" i="12"/>
  <c r="T532" i="12"/>
  <c r="S532" i="12"/>
  <c r="R532" i="12"/>
  <c r="Q532" i="12"/>
  <c r="P532" i="12"/>
  <c r="D532" i="12"/>
  <c r="U531" i="12"/>
  <c r="T531" i="12"/>
  <c r="S531" i="12"/>
  <c r="R531" i="12"/>
  <c r="Q531" i="12"/>
  <c r="P531" i="12"/>
  <c r="U530" i="12"/>
  <c r="T530" i="12"/>
  <c r="S530" i="12"/>
  <c r="R530" i="12"/>
  <c r="P530" i="12"/>
  <c r="E530" i="12"/>
  <c r="U529" i="12"/>
  <c r="T529" i="12"/>
  <c r="S529" i="12"/>
  <c r="R529" i="12"/>
  <c r="Q529" i="12"/>
  <c r="P529" i="12"/>
  <c r="U528" i="12"/>
  <c r="T528" i="12"/>
  <c r="S528" i="12"/>
  <c r="R528" i="12"/>
  <c r="Q528" i="12"/>
  <c r="P528" i="12"/>
  <c r="U527" i="12"/>
  <c r="T527" i="12"/>
  <c r="S527" i="12"/>
  <c r="R527" i="12"/>
  <c r="Q527" i="12"/>
  <c r="P527" i="12"/>
  <c r="D527" i="12"/>
  <c r="U526" i="12"/>
  <c r="T526" i="12"/>
  <c r="S526" i="12"/>
  <c r="R526" i="12"/>
  <c r="Q526" i="12"/>
  <c r="P526" i="12"/>
  <c r="U525" i="12"/>
  <c r="T525" i="12"/>
  <c r="S525" i="12"/>
  <c r="R525" i="12"/>
  <c r="P525" i="12"/>
  <c r="E525" i="12"/>
  <c r="U524" i="12"/>
  <c r="T524" i="12"/>
  <c r="S524" i="12"/>
  <c r="R524" i="12"/>
  <c r="Q524" i="12"/>
  <c r="P524" i="12"/>
  <c r="U523" i="12"/>
  <c r="T523" i="12"/>
  <c r="S523" i="12"/>
  <c r="R523" i="12"/>
  <c r="Q523" i="12"/>
  <c r="P523" i="12"/>
  <c r="U522" i="12"/>
  <c r="T522" i="12"/>
  <c r="S522" i="12"/>
  <c r="R522" i="12"/>
  <c r="Q522" i="12"/>
  <c r="P522" i="12"/>
  <c r="D522" i="12"/>
  <c r="U521" i="12"/>
  <c r="T521" i="12"/>
  <c r="S521" i="12"/>
  <c r="R521" i="12"/>
  <c r="Q521" i="12"/>
  <c r="P521" i="12"/>
  <c r="U520" i="12"/>
  <c r="T520" i="12"/>
  <c r="S520" i="12"/>
  <c r="R520" i="12"/>
  <c r="P520" i="12"/>
  <c r="E520" i="12"/>
  <c r="U519" i="12"/>
  <c r="T519" i="12"/>
  <c r="S519" i="12"/>
  <c r="R519" i="12"/>
  <c r="Q519" i="12"/>
  <c r="P519" i="12"/>
  <c r="U518" i="12"/>
  <c r="T518" i="12"/>
  <c r="S518" i="12"/>
  <c r="R518" i="12"/>
  <c r="Q518" i="12"/>
  <c r="P518" i="12"/>
  <c r="U517" i="12"/>
  <c r="T517" i="12"/>
  <c r="S517" i="12"/>
  <c r="R517" i="12"/>
  <c r="Q517" i="12"/>
  <c r="P517" i="12"/>
  <c r="U516" i="12"/>
  <c r="T516" i="12"/>
  <c r="S516" i="12"/>
  <c r="R516" i="12"/>
  <c r="P516" i="12"/>
  <c r="M516" i="12"/>
  <c r="U515" i="12"/>
  <c r="T515" i="12"/>
  <c r="S515" i="12"/>
  <c r="Q515" i="12"/>
  <c r="P515" i="12"/>
  <c r="M515" i="12"/>
  <c r="U514" i="12"/>
  <c r="T514" i="12"/>
  <c r="R514" i="12"/>
  <c r="Q514" i="12"/>
  <c r="P514" i="12"/>
  <c r="M514" i="12"/>
  <c r="D514" i="12"/>
  <c r="J515" i="12" s="1"/>
  <c r="U513" i="12"/>
  <c r="T513" i="12"/>
  <c r="S513" i="12"/>
  <c r="R513" i="12"/>
  <c r="Q513" i="12"/>
  <c r="P513" i="12"/>
  <c r="U512" i="12"/>
  <c r="T512" i="12"/>
  <c r="S512" i="12"/>
  <c r="R512" i="12"/>
  <c r="Q512" i="12"/>
  <c r="P512" i="12"/>
  <c r="U511" i="12"/>
  <c r="T511" i="12"/>
  <c r="S511" i="12"/>
  <c r="R511" i="12"/>
  <c r="Q511" i="12"/>
  <c r="P511" i="12"/>
  <c r="U510" i="12"/>
  <c r="T510" i="12"/>
  <c r="S510" i="12"/>
  <c r="R510" i="12"/>
  <c r="P510" i="12"/>
  <c r="D510" i="12"/>
  <c r="J510" i="12" s="1"/>
  <c r="U509" i="12"/>
  <c r="T509" i="12"/>
  <c r="S509" i="12"/>
  <c r="R509" i="12"/>
  <c r="Q509" i="12"/>
  <c r="P509" i="12"/>
  <c r="U508" i="12"/>
  <c r="T508" i="12"/>
  <c r="S508" i="12"/>
  <c r="R508" i="12"/>
  <c r="Q508" i="12"/>
  <c r="P508" i="12"/>
  <c r="U507" i="12"/>
  <c r="T507" i="12"/>
  <c r="S507" i="12"/>
  <c r="R507" i="12"/>
  <c r="Q507" i="12"/>
  <c r="P507" i="12"/>
  <c r="D507" i="12"/>
  <c r="U506" i="12"/>
  <c r="T506" i="12"/>
  <c r="S506" i="12"/>
  <c r="R506" i="12"/>
  <c r="Q506" i="12"/>
  <c r="P506" i="12"/>
  <c r="U505" i="12"/>
  <c r="T505" i="12"/>
  <c r="S505" i="12"/>
  <c r="R505" i="12"/>
  <c r="P505" i="12"/>
  <c r="E505" i="12"/>
  <c r="U504" i="12"/>
  <c r="T504" i="12"/>
  <c r="S504" i="12"/>
  <c r="R504" i="12"/>
  <c r="Q504" i="12"/>
  <c r="P504" i="12"/>
  <c r="U502" i="12"/>
  <c r="T502" i="12"/>
  <c r="S502" i="12"/>
  <c r="R502" i="12"/>
  <c r="Q502" i="12"/>
  <c r="P502" i="12"/>
  <c r="D502" i="12"/>
  <c r="U501" i="12"/>
  <c r="T501" i="12"/>
  <c r="S501" i="12"/>
  <c r="R501" i="12"/>
  <c r="Q501" i="12"/>
  <c r="P501" i="12"/>
  <c r="U500" i="12"/>
  <c r="T500" i="12"/>
  <c r="S500" i="12"/>
  <c r="R500" i="12"/>
  <c r="P500" i="12"/>
  <c r="E500" i="12"/>
  <c r="U499" i="12"/>
  <c r="T499" i="12"/>
  <c r="S499" i="12"/>
  <c r="R499" i="12"/>
  <c r="Q499" i="12"/>
  <c r="P499" i="12"/>
  <c r="U497" i="12"/>
  <c r="T497" i="12"/>
  <c r="S497" i="12"/>
  <c r="R497" i="12"/>
  <c r="Q497" i="12"/>
  <c r="P497" i="12"/>
  <c r="D497" i="12"/>
  <c r="U496" i="12"/>
  <c r="T496" i="12"/>
  <c r="S496" i="12"/>
  <c r="R496" i="12"/>
  <c r="Q496" i="12"/>
  <c r="P496" i="12"/>
  <c r="U495" i="12"/>
  <c r="T495" i="12"/>
  <c r="S495" i="12"/>
  <c r="R495" i="12"/>
  <c r="P495" i="12"/>
  <c r="I495" i="12"/>
  <c r="E495" i="12"/>
  <c r="U494" i="12"/>
  <c r="T494" i="12"/>
  <c r="S494" i="12"/>
  <c r="R494" i="12"/>
  <c r="Q494" i="12"/>
  <c r="P494" i="12"/>
  <c r="U492" i="12"/>
  <c r="T492" i="12"/>
  <c r="S492" i="12"/>
  <c r="R492" i="12"/>
  <c r="P492" i="12"/>
  <c r="M492" i="12"/>
  <c r="U491" i="12"/>
  <c r="T491" i="12"/>
  <c r="S491" i="12"/>
  <c r="Q491" i="12"/>
  <c r="P491" i="12"/>
  <c r="M491" i="12"/>
  <c r="U490" i="12"/>
  <c r="T490" i="12"/>
  <c r="S490" i="12"/>
  <c r="Q490" i="12"/>
  <c r="P490" i="12"/>
  <c r="M490" i="12"/>
  <c r="U489" i="12"/>
  <c r="T489" i="12"/>
  <c r="S489" i="12"/>
  <c r="Q489" i="12"/>
  <c r="P489" i="12"/>
  <c r="M489" i="12"/>
  <c r="U488" i="12"/>
  <c r="T488" i="12"/>
  <c r="R488" i="12"/>
  <c r="Q488" i="12"/>
  <c r="P488" i="12"/>
  <c r="M488" i="12"/>
  <c r="U487" i="12"/>
  <c r="T487" i="12"/>
  <c r="R487" i="12"/>
  <c r="Q487" i="12"/>
  <c r="P487" i="12"/>
  <c r="M487" i="12"/>
  <c r="D487" i="12"/>
  <c r="J492" i="12" s="1"/>
  <c r="U486" i="12"/>
  <c r="T486" i="12"/>
  <c r="S486" i="12"/>
  <c r="R486" i="12"/>
  <c r="Q486" i="12"/>
  <c r="P486" i="12"/>
  <c r="U485" i="12"/>
  <c r="T485" i="12"/>
  <c r="S485" i="12"/>
  <c r="R485" i="12"/>
  <c r="Q485" i="12"/>
  <c r="P485" i="12"/>
  <c r="U484" i="12"/>
  <c r="T484" i="12"/>
  <c r="S484" i="12"/>
  <c r="R484" i="12"/>
  <c r="Q484" i="12"/>
  <c r="P484" i="12"/>
  <c r="U483" i="12"/>
  <c r="T483" i="12"/>
  <c r="S483" i="12"/>
  <c r="R483" i="12"/>
  <c r="P483" i="12"/>
  <c r="D483" i="12"/>
  <c r="J483" i="12" s="1"/>
  <c r="N483" i="12" s="1"/>
  <c r="O483" i="12" s="1"/>
  <c r="Q483" i="12" s="1"/>
  <c r="U482" i="12"/>
  <c r="T482" i="12"/>
  <c r="S482" i="12"/>
  <c r="R482" i="12"/>
  <c r="Q482" i="12"/>
  <c r="P482" i="12"/>
  <c r="U481" i="12"/>
  <c r="T481" i="12"/>
  <c r="S481" i="12"/>
  <c r="R481" i="12"/>
  <c r="Q481" i="12"/>
  <c r="P481" i="12"/>
  <c r="U480" i="12"/>
  <c r="T480" i="12"/>
  <c r="S480" i="12"/>
  <c r="R480" i="12"/>
  <c r="Q480" i="12"/>
  <c r="P480" i="12"/>
  <c r="D480" i="12"/>
  <c r="U479" i="12"/>
  <c r="T479" i="12"/>
  <c r="S479" i="12"/>
  <c r="R479" i="12"/>
  <c r="Q479" i="12"/>
  <c r="P479" i="12"/>
  <c r="U478" i="12"/>
  <c r="T478" i="12"/>
  <c r="S478" i="12"/>
  <c r="R478" i="12"/>
  <c r="P478" i="12"/>
  <c r="E478" i="12"/>
  <c r="U477" i="12"/>
  <c r="T477" i="12"/>
  <c r="S477" i="12"/>
  <c r="R477" i="12"/>
  <c r="Q477" i="12"/>
  <c r="P477" i="12"/>
  <c r="U475" i="12"/>
  <c r="T475" i="12"/>
  <c r="S475" i="12"/>
  <c r="R475" i="12"/>
  <c r="Q475" i="12"/>
  <c r="P475" i="12"/>
  <c r="D475" i="12"/>
  <c r="U474" i="12"/>
  <c r="T474" i="12"/>
  <c r="S474" i="12"/>
  <c r="R474" i="12"/>
  <c r="Q474" i="12"/>
  <c r="P474" i="12"/>
  <c r="U473" i="12"/>
  <c r="T473" i="12"/>
  <c r="S473" i="12"/>
  <c r="R473" i="12"/>
  <c r="P473" i="12"/>
  <c r="E473" i="12"/>
  <c r="U472" i="12"/>
  <c r="T472" i="12"/>
  <c r="S472" i="12"/>
  <c r="R472" i="12"/>
  <c r="Q472" i="12"/>
  <c r="P472" i="12"/>
  <c r="U470" i="12"/>
  <c r="T470" i="12"/>
  <c r="S470" i="12"/>
  <c r="R470" i="12"/>
  <c r="Q470" i="12"/>
  <c r="P470" i="12"/>
  <c r="D470" i="12"/>
  <c r="U469" i="12"/>
  <c r="T469" i="12"/>
  <c r="S469" i="12"/>
  <c r="R469" i="12"/>
  <c r="Q469" i="12"/>
  <c r="P469" i="12"/>
  <c r="U468" i="12"/>
  <c r="T468" i="12"/>
  <c r="S468" i="12"/>
  <c r="R468" i="12"/>
  <c r="P468" i="12"/>
  <c r="I468" i="12"/>
  <c r="E468" i="12"/>
  <c r="U467" i="12"/>
  <c r="T467" i="12"/>
  <c r="S467" i="12"/>
  <c r="R467" i="12"/>
  <c r="Q467" i="12"/>
  <c r="P467" i="12"/>
  <c r="U465" i="12"/>
  <c r="T465" i="12"/>
  <c r="S465" i="12"/>
  <c r="Q465" i="12"/>
  <c r="P465" i="12"/>
  <c r="M465" i="12"/>
  <c r="U464" i="12"/>
  <c r="T464" i="12"/>
  <c r="S464" i="12"/>
  <c r="Q464" i="12"/>
  <c r="P464" i="12"/>
  <c r="M464" i="12"/>
  <c r="U463" i="12"/>
  <c r="T463" i="12"/>
  <c r="S463" i="12"/>
  <c r="Q463" i="12"/>
  <c r="P463" i="12"/>
  <c r="M463" i="12"/>
  <c r="U462" i="12"/>
  <c r="T462" i="12"/>
  <c r="R462" i="12"/>
  <c r="Q462" i="12"/>
  <c r="P462" i="12"/>
  <c r="M462" i="12"/>
  <c r="U461" i="12"/>
  <c r="T461" i="12"/>
  <c r="R461" i="12"/>
  <c r="Q461" i="12"/>
  <c r="P461" i="12"/>
  <c r="M461" i="12"/>
  <c r="D461" i="12"/>
  <c r="J462" i="12" s="1"/>
  <c r="U460" i="12"/>
  <c r="T460" i="12"/>
  <c r="S460" i="12"/>
  <c r="R460" i="12"/>
  <c r="Q460" i="12"/>
  <c r="P460" i="12"/>
  <c r="U459" i="12"/>
  <c r="T459" i="12"/>
  <c r="S459" i="12"/>
  <c r="R459" i="12"/>
  <c r="Q459" i="12"/>
  <c r="P459" i="12"/>
  <c r="U458" i="12"/>
  <c r="T458" i="12"/>
  <c r="S458" i="12"/>
  <c r="R458" i="12"/>
  <c r="Q458" i="12"/>
  <c r="P458" i="12"/>
  <c r="U457" i="12"/>
  <c r="T457" i="12"/>
  <c r="S457" i="12"/>
  <c r="R457" i="12"/>
  <c r="P457" i="12"/>
  <c r="D457" i="12"/>
  <c r="J457" i="12" s="1"/>
  <c r="N457" i="12" s="1"/>
  <c r="O457" i="12" s="1"/>
  <c r="Q457" i="12" s="1"/>
  <c r="U456" i="12"/>
  <c r="T456" i="12"/>
  <c r="S456" i="12"/>
  <c r="R456" i="12"/>
  <c r="Q456" i="12"/>
  <c r="P456" i="12"/>
  <c r="U455" i="12"/>
  <c r="T455" i="12"/>
  <c r="S455" i="12"/>
  <c r="R455" i="12"/>
  <c r="Q455" i="12"/>
  <c r="P455" i="12"/>
  <c r="U454" i="12"/>
  <c r="T454" i="12"/>
  <c r="S454" i="12"/>
  <c r="R454" i="12"/>
  <c r="Q454" i="12"/>
  <c r="P454" i="12"/>
  <c r="D454" i="12"/>
  <c r="U453" i="12"/>
  <c r="T453" i="12"/>
  <c r="S453" i="12"/>
  <c r="R453" i="12"/>
  <c r="Q453" i="12"/>
  <c r="P453" i="12"/>
  <c r="U452" i="12"/>
  <c r="T452" i="12"/>
  <c r="S452" i="12"/>
  <c r="R452" i="12"/>
  <c r="P452" i="12"/>
  <c r="E452" i="12"/>
  <c r="U451" i="12"/>
  <c r="T451" i="12"/>
  <c r="S451" i="12"/>
  <c r="R451" i="12"/>
  <c r="Q451" i="12"/>
  <c r="P451" i="12"/>
  <c r="U450" i="12"/>
  <c r="T450" i="12"/>
  <c r="S450" i="12"/>
  <c r="R450" i="12"/>
  <c r="Q450" i="12"/>
  <c r="P450" i="12"/>
  <c r="U449" i="12"/>
  <c r="T449" i="12"/>
  <c r="S449" i="12"/>
  <c r="R449" i="12"/>
  <c r="Q449" i="12"/>
  <c r="P449" i="12"/>
  <c r="D449" i="12"/>
  <c r="U448" i="12"/>
  <c r="T448" i="12"/>
  <c r="S448" i="12"/>
  <c r="R448" i="12"/>
  <c r="Q448" i="12"/>
  <c r="P448" i="12"/>
  <c r="U447" i="12"/>
  <c r="T447" i="12"/>
  <c r="S447" i="12"/>
  <c r="R447" i="12"/>
  <c r="P447" i="12"/>
  <c r="E447" i="12"/>
  <c r="U446" i="12"/>
  <c r="T446" i="12"/>
  <c r="S446" i="12"/>
  <c r="R446" i="12"/>
  <c r="Q446" i="12"/>
  <c r="P446" i="12"/>
  <c r="U445" i="12"/>
  <c r="T445" i="12"/>
  <c r="S445" i="12"/>
  <c r="R445" i="12"/>
  <c r="Q445" i="12"/>
  <c r="P445" i="12"/>
  <c r="U444" i="12"/>
  <c r="T444" i="12"/>
  <c r="S444" i="12"/>
  <c r="R444" i="12"/>
  <c r="Q444" i="12"/>
  <c r="P444" i="12"/>
  <c r="D444" i="12"/>
  <c r="U443" i="12"/>
  <c r="T443" i="12"/>
  <c r="S443" i="12"/>
  <c r="R443" i="12"/>
  <c r="Q443" i="12"/>
  <c r="P443" i="12"/>
  <c r="U442" i="12"/>
  <c r="T442" i="12"/>
  <c r="S442" i="12"/>
  <c r="R442" i="12"/>
  <c r="P442" i="12"/>
  <c r="E442" i="12"/>
  <c r="U441" i="12"/>
  <c r="T441" i="12"/>
  <c r="S441" i="12"/>
  <c r="R441" i="12"/>
  <c r="Q441" i="12"/>
  <c r="P441" i="12"/>
  <c r="U440" i="12"/>
  <c r="T440" i="12"/>
  <c r="S440" i="12"/>
  <c r="R440" i="12"/>
  <c r="Q440" i="12"/>
  <c r="P440" i="12"/>
  <c r="U439" i="12"/>
  <c r="T439" i="12"/>
  <c r="S439" i="12"/>
  <c r="R439" i="12"/>
  <c r="Q439" i="12"/>
  <c r="P439" i="12"/>
  <c r="D439" i="12"/>
  <c r="U438" i="12"/>
  <c r="T438" i="12"/>
  <c r="S438" i="12"/>
  <c r="R438" i="12"/>
  <c r="Q438" i="12"/>
  <c r="P438" i="12"/>
  <c r="U437" i="12"/>
  <c r="T437" i="12"/>
  <c r="S437" i="12"/>
  <c r="R437" i="12"/>
  <c r="P437" i="12"/>
  <c r="E437" i="12"/>
  <c r="U436" i="12"/>
  <c r="T436" i="12"/>
  <c r="S436" i="12"/>
  <c r="R436" i="12"/>
  <c r="Q436" i="12"/>
  <c r="P436" i="12"/>
  <c r="U435" i="12"/>
  <c r="T435" i="12"/>
  <c r="S435" i="12"/>
  <c r="R435" i="12"/>
  <c r="Q435" i="12"/>
  <c r="P435" i="12"/>
  <c r="U434" i="12"/>
  <c r="T434" i="12"/>
  <c r="S434" i="12"/>
  <c r="R434" i="12"/>
  <c r="Q434" i="12"/>
  <c r="P434" i="12"/>
  <c r="D434" i="12"/>
  <c r="U433" i="12"/>
  <c r="T433" i="12"/>
  <c r="S433" i="12"/>
  <c r="R433" i="12"/>
  <c r="Q433" i="12"/>
  <c r="P433" i="12"/>
  <c r="U432" i="12"/>
  <c r="T432" i="12"/>
  <c r="S432" i="12"/>
  <c r="R432" i="12"/>
  <c r="P432" i="12"/>
  <c r="E432" i="12"/>
  <c r="U431" i="12"/>
  <c r="T431" i="12"/>
  <c r="S431" i="12"/>
  <c r="R431" i="12"/>
  <c r="Q431" i="12"/>
  <c r="P431" i="12"/>
  <c r="U430" i="12"/>
  <c r="T430" i="12"/>
  <c r="S430" i="12"/>
  <c r="R430" i="12"/>
  <c r="Q430" i="12"/>
  <c r="P430" i="12"/>
  <c r="U429" i="12"/>
  <c r="T429" i="12"/>
  <c r="S429" i="12"/>
  <c r="R429" i="12"/>
  <c r="Q429" i="12"/>
  <c r="P429" i="12"/>
  <c r="D429" i="12"/>
  <c r="U428" i="12"/>
  <c r="T428" i="12"/>
  <c r="S428" i="12"/>
  <c r="R428" i="12"/>
  <c r="Q428" i="12"/>
  <c r="P428" i="12"/>
  <c r="U427" i="12"/>
  <c r="T427" i="12"/>
  <c r="S427" i="12"/>
  <c r="R427" i="12"/>
  <c r="P427" i="12"/>
  <c r="E427" i="12"/>
  <c r="U426" i="12"/>
  <c r="T426" i="12"/>
  <c r="S426" i="12"/>
  <c r="R426" i="12"/>
  <c r="Q426" i="12"/>
  <c r="P426" i="12"/>
  <c r="U425" i="12"/>
  <c r="T425" i="12"/>
  <c r="S425" i="12"/>
  <c r="R425" i="12"/>
  <c r="Q425" i="12"/>
  <c r="P425" i="12"/>
  <c r="U424" i="12"/>
  <c r="T424" i="12"/>
  <c r="S424" i="12"/>
  <c r="R424" i="12"/>
  <c r="Q424" i="12"/>
  <c r="P424" i="12"/>
  <c r="U423" i="12"/>
  <c r="T423" i="12"/>
  <c r="S423" i="12"/>
  <c r="Q423" i="12"/>
  <c r="P423" i="12"/>
  <c r="M423" i="12"/>
  <c r="U422" i="12"/>
  <c r="T422" i="12"/>
  <c r="R422" i="12"/>
  <c r="Q422" i="12"/>
  <c r="P422" i="12"/>
  <c r="M422" i="12"/>
  <c r="U421" i="12"/>
  <c r="T421" i="12"/>
  <c r="R421" i="12"/>
  <c r="Q421" i="12"/>
  <c r="P421" i="12"/>
  <c r="M421" i="12"/>
  <c r="D421" i="12"/>
  <c r="J422" i="12" s="1"/>
  <c r="U420" i="12"/>
  <c r="T420" i="12"/>
  <c r="S420" i="12"/>
  <c r="R420" i="12"/>
  <c r="Q420" i="12"/>
  <c r="P420" i="12"/>
  <c r="U419" i="12"/>
  <c r="T419" i="12"/>
  <c r="S419" i="12"/>
  <c r="R419" i="12"/>
  <c r="Q419" i="12"/>
  <c r="P419" i="12"/>
  <c r="U418" i="12"/>
  <c r="T418" i="12"/>
  <c r="S418" i="12"/>
  <c r="R418" i="12"/>
  <c r="Q418" i="12"/>
  <c r="P418" i="12"/>
  <c r="D418" i="12"/>
  <c r="U417" i="12"/>
  <c r="T417" i="12"/>
  <c r="S417" i="12"/>
  <c r="R417" i="12"/>
  <c r="Q417" i="12"/>
  <c r="P417" i="12"/>
  <c r="U416" i="12"/>
  <c r="T416" i="12"/>
  <c r="S416" i="12"/>
  <c r="R416" i="12"/>
  <c r="P416" i="12"/>
  <c r="I416" i="12"/>
  <c r="E416" i="12"/>
  <c r="U415" i="12"/>
  <c r="T415" i="12"/>
  <c r="S415" i="12"/>
  <c r="R415" i="12"/>
  <c r="Q415" i="12"/>
  <c r="P415" i="12"/>
  <c r="U414" i="12"/>
  <c r="T414" i="12"/>
  <c r="S414" i="12"/>
  <c r="R414" i="12"/>
  <c r="Q414" i="12"/>
  <c r="P414" i="12"/>
  <c r="U413" i="12"/>
  <c r="T413" i="12"/>
  <c r="S413" i="12"/>
  <c r="R413" i="12"/>
  <c r="Q413" i="12"/>
  <c r="P413" i="12"/>
  <c r="D413" i="12"/>
  <c r="U412" i="12"/>
  <c r="T412" i="12"/>
  <c r="S412" i="12"/>
  <c r="R412" i="12"/>
  <c r="Q412" i="12"/>
  <c r="P412" i="12"/>
  <c r="U411" i="12"/>
  <c r="T411" i="12"/>
  <c r="S411" i="12"/>
  <c r="R411" i="12"/>
  <c r="P411" i="12"/>
  <c r="E411" i="12"/>
  <c r="U410" i="12"/>
  <c r="T410" i="12"/>
  <c r="S410" i="12"/>
  <c r="R410" i="12"/>
  <c r="Q410" i="12"/>
  <c r="P410" i="12"/>
  <c r="U408" i="12"/>
  <c r="T408" i="12"/>
  <c r="R408" i="12"/>
  <c r="Q408" i="12"/>
  <c r="P408" i="12"/>
  <c r="M408" i="12"/>
  <c r="U407" i="12"/>
  <c r="T407" i="12"/>
  <c r="R407" i="12"/>
  <c r="Q407" i="12"/>
  <c r="P407" i="12"/>
  <c r="M407" i="12"/>
  <c r="U406" i="12"/>
  <c r="T406" i="12"/>
  <c r="R406" i="12"/>
  <c r="Q406" i="12"/>
  <c r="P406" i="12"/>
  <c r="M406" i="12"/>
  <c r="U405" i="12"/>
  <c r="T405" i="12"/>
  <c r="R405" i="12"/>
  <c r="Q405" i="12"/>
  <c r="P405" i="12"/>
  <c r="M405" i="12"/>
  <c r="U404" i="12"/>
  <c r="T404" i="12"/>
  <c r="R404" i="12"/>
  <c r="Q404" i="12"/>
  <c r="P404" i="12"/>
  <c r="M404" i="12"/>
  <c r="U403" i="12"/>
  <c r="T403" i="12"/>
  <c r="R403" i="12"/>
  <c r="Q403" i="12"/>
  <c r="P403" i="12"/>
  <c r="M403" i="12"/>
  <c r="U402" i="12"/>
  <c r="T402" i="12"/>
  <c r="R402" i="12"/>
  <c r="Q402" i="12"/>
  <c r="P402" i="12"/>
  <c r="M402" i="12"/>
  <c r="U401" i="12"/>
  <c r="T401" i="12"/>
  <c r="R401" i="12"/>
  <c r="Q401" i="12"/>
  <c r="P401" i="12"/>
  <c r="M401" i="12"/>
  <c r="D401" i="12"/>
  <c r="J407" i="12" s="1"/>
  <c r="U400" i="12"/>
  <c r="T400" i="12"/>
  <c r="S400" i="12"/>
  <c r="R400" i="12"/>
  <c r="Q400" i="12"/>
  <c r="P400" i="12"/>
  <c r="U399" i="12"/>
  <c r="T399" i="12"/>
  <c r="S399" i="12"/>
  <c r="R399" i="12"/>
  <c r="Q399" i="12"/>
  <c r="P399" i="12"/>
  <c r="U398" i="12"/>
  <c r="T398" i="12"/>
  <c r="S398" i="12"/>
  <c r="R398" i="12"/>
  <c r="Q398" i="12"/>
  <c r="P398" i="12"/>
  <c r="D398" i="12"/>
  <c r="U397" i="12"/>
  <c r="T397" i="12"/>
  <c r="S397" i="12"/>
  <c r="R397" i="12"/>
  <c r="Q397" i="12"/>
  <c r="P397" i="12"/>
  <c r="U396" i="12"/>
  <c r="T396" i="12"/>
  <c r="S396" i="12"/>
  <c r="R396" i="12"/>
  <c r="P396" i="12"/>
  <c r="I396" i="12"/>
  <c r="E396" i="12"/>
  <c r="U395" i="12"/>
  <c r="T395" i="12"/>
  <c r="S395" i="12"/>
  <c r="R395" i="12"/>
  <c r="Q395" i="12"/>
  <c r="P395" i="12"/>
  <c r="U394" i="12"/>
  <c r="T394" i="12"/>
  <c r="S394" i="12"/>
  <c r="R394" i="12"/>
  <c r="Q394" i="12"/>
  <c r="P394" i="12"/>
  <c r="U393" i="12"/>
  <c r="T393" i="12"/>
  <c r="S393" i="12"/>
  <c r="R393" i="12"/>
  <c r="Q393" i="12"/>
  <c r="P393" i="12"/>
  <c r="D393" i="12"/>
  <c r="U392" i="12"/>
  <c r="T392" i="12"/>
  <c r="S392" i="12"/>
  <c r="R392" i="12"/>
  <c r="Q392" i="12"/>
  <c r="P392" i="12"/>
  <c r="U391" i="12"/>
  <c r="T391" i="12"/>
  <c r="S391" i="12"/>
  <c r="R391" i="12"/>
  <c r="P391" i="12"/>
  <c r="E391" i="12"/>
  <c r="U390" i="12"/>
  <c r="T390" i="12"/>
  <c r="S390" i="12"/>
  <c r="R390" i="12"/>
  <c r="Q390" i="12"/>
  <c r="P390" i="12"/>
  <c r="U388" i="12"/>
  <c r="T388" i="12"/>
  <c r="S388" i="12"/>
  <c r="Q388" i="12"/>
  <c r="P388" i="12"/>
  <c r="M388" i="12"/>
  <c r="U387" i="12"/>
  <c r="T387" i="12"/>
  <c r="S387" i="12"/>
  <c r="Q387" i="12"/>
  <c r="P387" i="12"/>
  <c r="M387" i="12"/>
  <c r="U386" i="12"/>
  <c r="T386" i="12"/>
  <c r="S386" i="12"/>
  <c r="Q386" i="12"/>
  <c r="P386" i="12"/>
  <c r="M386" i="12"/>
  <c r="U385" i="12"/>
  <c r="T385" i="12"/>
  <c r="R385" i="12"/>
  <c r="Q385" i="12"/>
  <c r="P385" i="12"/>
  <c r="M385" i="12"/>
  <c r="U384" i="12"/>
  <c r="T384" i="12"/>
  <c r="R384" i="12"/>
  <c r="Q384" i="12"/>
  <c r="P384" i="12"/>
  <c r="M384" i="12"/>
  <c r="U383" i="12"/>
  <c r="T383" i="12"/>
  <c r="R383" i="12"/>
  <c r="Q383" i="12"/>
  <c r="P383" i="12"/>
  <c r="M383" i="12"/>
  <c r="D383" i="12"/>
  <c r="J385" i="12" s="1"/>
  <c r="U382" i="12"/>
  <c r="T382" i="12"/>
  <c r="S382" i="12"/>
  <c r="R382" i="12"/>
  <c r="Q382" i="12"/>
  <c r="P382" i="12"/>
  <c r="U381" i="12"/>
  <c r="T381" i="12"/>
  <c r="S381" i="12"/>
  <c r="R381" i="12"/>
  <c r="Q381" i="12"/>
  <c r="P381" i="12"/>
  <c r="U380" i="12"/>
  <c r="T380" i="12"/>
  <c r="S380" i="12"/>
  <c r="R380" i="12"/>
  <c r="Q380" i="12"/>
  <c r="P380" i="12"/>
  <c r="U379" i="12"/>
  <c r="T379" i="12"/>
  <c r="S379" i="12"/>
  <c r="R379" i="12"/>
  <c r="P379" i="12"/>
  <c r="D379" i="12"/>
  <c r="J379" i="12" s="1"/>
  <c r="N379" i="12" s="1"/>
  <c r="O379" i="12" s="1"/>
  <c r="Q379" i="12" s="1"/>
  <c r="U378" i="12"/>
  <c r="T378" i="12"/>
  <c r="S378" i="12"/>
  <c r="R378" i="12"/>
  <c r="Q378" i="12"/>
  <c r="P378" i="12"/>
  <c r="U377" i="12"/>
  <c r="T377" i="12"/>
  <c r="S377" i="12"/>
  <c r="R377" i="12"/>
  <c r="Q377" i="12"/>
  <c r="P377" i="12"/>
  <c r="U376" i="12"/>
  <c r="T376" i="12"/>
  <c r="S376" i="12"/>
  <c r="R376" i="12"/>
  <c r="Q376" i="12"/>
  <c r="P376" i="12"/>
  <c r="D376" i="12"/>
  <c r="U375" i="12"/>
  <c r="T375" i="12"/>
  <c r="S375" i="12"/>
  <c r="R375" i="12"/>
  <c r="Q375" i="12"/>
  <c r="P375" i="12"/>
  <c r="U374" i="12"/>
  <c r="T374" i="12"/>
  <c r="S374" i="12"/>
  <c r="R374" i="12"/>
  <c r="P374" i="12"/>
  <c r="I374" i="12"/>
  <c r="E374" i="12"/>
  <c r="U373" i="12"/>
  <c r="T373" i="12"/>
  <c r="S373" i="12"/>
  <c r="R373" i="12"/>
  <c r="Q373" i="12"/>
  <c r="P373" i="12"/>
  <c r="U372" i="12"/>
  <c r="T372" i="12"/>
  <c r="S372" i="12"/>
  <c r="R372" i="12"/>
  <c r="Q372" i="12"/>
  <c r="P372" i="12"/>
  <c r="U371" i="12"/>
  <c r="T371" i="12"/>
  <c r="S371" i="12"/>
  <c r="R371" i="12"/>
  <c r="Q371" i="12"/>
  <c r="P371" i="12"/>
  <c r="D371" i="12"/>
  <c r="U370" i="12"/>
  <c r="T370" i="12"/>
  <c r="S370" i="12"/>
  <c r="R370" i="12"/>
  <c r="Q370" i="12"/>
  <c r="P370" i="12"/>
  <c r="U369" i="12"/>
  <c r="T369" i="12"/>
  <c r="S369" i="12"/>
  <c r="R369" i="12"/>
  <c r="P369" i="12"/>
  <c r="I369" i="12"/>
  <c r="E369" i="12"/>
  <c r="U368" i="12"/>
  <c r="T368" i="12"/>
  <c r="S368" i="12"/>
  <c r="R368" i="12"/>
  <c r="Q368" i="12"/>
  <c r="P368" i="12"/>
  <c r="U367" i="12"/>
  <c r="T367" i="12"/>
  <c r="S367" i="12"/>
  <c r="R367" i="12"/>
  <c r="Q367" i="12"/>
  <c r="P367" i="12"/>
  <c r="U366" i="12"/>
  <c r="T366" i="12"/>
  <c r="S366" i="12"/>
  <c r="R366" i="12"/>
  <c r="Q366" i="12"/>
  <c r="P366" i="12"/>
  <c r="D366" i="12"/>
  <c r="U365" i="12"/>
  <c r="T365" i="12"/>
  <c r="S365" i="12"/>
  <c r="R365" i="12"/>
  <c r="Q365" i="12"/>
  <c r="P365" i="12"/>
  <c r="U364" i="12"/>
  <c r="T364" i="12"/>
  <c r="S364" i="12"/>
  <c r="R364" i="12"/>
  <c r="P364" i="12"/>
  <c r="E364" i="12"/>
  <c r="U363" i="12"/>
  <c r="T363" i="12"/>
  <c r="S363" i="12"/>
  <c r="R363" i="12"/>
  <c r="Q363" i="12"/>
  <c r="P363" i="12"/>
  <c r="U361" i="12"/>
  <c r="T361" i="12"/>
  <c r="R361" i="12"/>
  <c r="Q361" i="12"/>
  <c r="P361" i="12"/>
  <c r="M361" i="12"/>
  <c r="U360" i="12"/>
  <c r="T360" i="12"/>
  <c r="R360" i="12"/>
  <c r="Q360" i="12"/>
  <c r="P360" i="12"/>
  <c r="M360" i="12"/>
  <c r="U359" i="12"/>
  <c r="T359" i="12"/>
  <c r="R359" i="12"/>
  <c r="Q359" i="12"/>
  <c r="P359" i="12"/>
  <c r="M359" i="12"/>
  <c r="U358" i="12"/>
  <c r="T358" i="12"/>
  <c r="R358" i="12"/>
  <c r="Q358" i="12"/>
  <c r="P358" i="12"/>
  <c r="M358" i="12"/>
  <c r="U357" i="12"/>
  <c r="S357" i="12"/>
  <c r="R357" i="12"/>
  <c r="Q357" i="12"/>
  <c r="P357" i="12"/>
  <c r="M357" i="12"/>
  <c r="U356" i="12"/>
  <c r="S356" i="12"/>
  <c r="R356" i="12"/>
  <c r="Q356" i="12"/>
  <c r="P356" i="12"/>
  <c r="M356" i="12"/>
  <c r="U355" i="12"/>
  <c r="S355" i="12"/>
  <c r="R355" i="12"/>
  <c r="Q355" i="12"/>
  <c r="P355" i="12"/>
  <c r="M355" i="12"/>
  <c r="D355" i="12"/>
  <c r="J359" i="12" s="1"/>
  <c r="U354" i="12"/>
  <c r="T354" i="12"/>
  <c r="S354" i="12"/>
  <c r="R354" i="12"/>
  <c r="Q354" i="12"/>
  <c r="P354" i="12"/>
  <c r="U353" i="12"/>
  <c r="T353" i="12"/>
  <c r="S353" i="12"/>
  <c r="R353" i="12"/>
  <c r="Q353" i="12"/>
  <c r="P353" i="12"/>
  <c r="U352" i="12"/>
  <c r="T352" i="12"/>
  <c r="S352" i="12"/>
  <c r="R352" i="12"/>
  <c r="Q352" i="12"/>
  <c r="P352" i="12"/>
  <c r="U351" i="12"/>
  <c r="T351" i="12"/>
  <c r="S351" i="12"/>
  <c r="R351" i="12"/>
  <c r="P351" i="12"/>
  <c r="D351" i="12"/>
  <c r="J351" i="12" s="1"/>
  <c r="N351" i="12" s="1"/>
  <c r="O351" i="12" s="1"/>
  <c r="Q351" i="12" s="1"/>
  <c r="U350" i="12"/>
  <c r="T350" i="12"/>
  <c r="S350" i="12"/>
  <c r="R350" i="12"/>
  <c r="Q350" i="12"/>
  <c r="P350" i="12"/>
  <c r="U349" i="12"/>
  <c r="T349" i="12"/>
  <c r="S349" i="12"/>
  <c r="R349" i="12"/>
  <c r="Q349" i="12"/>
  <c r="P349" i="12"/>
  <c r="U348" i="12"/>
  <c r="T348" i="12"/>
  <c r="S348" i="12"/>
  <c r="R348" i="12"/>
  <c r="Q348" i="12"/>
  <c r="P348" i="12"/>
  <c r="D348" i="12"/>
  <c r="U347" i="12"/>
  <c r="T347" i="12"/>
  <c r="S347" i="12"/>
  <c r="R347" i="12"/>
  <c r="Q347" i="12"/>
  <c r="P347" i="12"/>
  <c r="U346" i="12"/>
  <c r="T346" i="12"/>
  <c r="S346" i="12"/>
  <c r="R346" i="12"/>
  <c r="P346" i="12"/>
  <c r="I346" i="12"/>
  <c r="E346" i="12"/>
  <c r="U345" i="12"/>
  <c r="T345" i="12"/>
  <c r="S345" i="12"/>
  <c r="R345" i="12"/>
  <c r="Q345" i="12"/>
  <c r="P345" i="12"/>
  <c r="U344" i="12"/>
  <c r="T344" i="12"/>
  <c r="S344" i="12"/>
  <c r="R344" i="12"/>
  <c r="Q344" i="12"/>
  <c r="P344" i="12"/>
  <c r="U343" i="12"/>
  <c r="T343" i="12"/>
  <c r="S343" i="12"/>
  <c r="R343" i="12"/>
  <c r="Q343" i="12"/>
  <c r="P343" i="12"/>
  <c r="D343" i="12"/>
  <c r="U342" i="12"/>
  <c r="T342" i="12"/>
  <c r="S342" i="12"/>
  <c r="R342" i="12"/>
  <c r="Q342" i="12"/>
  <c r="P342" i="12"/>
  <c r="U341" i="12"/>
  <c r="T341" i="12"/>
  <c r="S341" i="12"/>
  <c r="R341" i="12"/>
  <c r="P341" i="12"/>
  <c r="E341" i="12"/>
  <c r="U340" i="12"/>
  <c r="T340" i="12"/>
  <c r="S340" i="12"/>
  <c r="R340" i="12"/>
  <c r="Q340" i="12"/>
  <c r="P340" i="12"/>
  <c r="U338" i="12"/>
  <c r="T338" i="12"/>
  <c r="S338" i="12"/>
  <c r="Q338" i="12"/>
  <c r="P338" i="12"/>
  <c r="M338" i="12"/>
  <c r="U337" i="12"/>
  <c r="T337" i="12"/>
  <c r="S337" i="12"/>
  <c r="Q337" i="12"/>
  <c r="P337" i="12"/>
  <c r="M337" i="12"/>
  <c r="U336" i="12"/>
  <c r="T336" i="12"/>
  <c r="S336" i="12"/>
  <c r="Q336" i="12"/>
  <c r="P336" i="12"/>
  <c r="M336" i="12"/>
  <c r="U335" i="12"/>
  <c r="T335" i="12"/>
  <c r="S335" i="12"/>
  <c r="Q335" i="12"/>
  <c r="P335" i="12"/>
  <c r="M335" i="12"/>
  <c r="U334" i="12"/>
  <c r="T334" i="12"/>
  <c r="S334" i="12"/>
  <c r="Q334" i="12"/>
  <c r="P334" i="12"/>
  <c r="M334" i="12"/>
  <c r="U333" i="12"/>
  <c r="T333" i="12"/>
  <c r="R333" i="12"/>
  <c r="Q333" i="12"/>
  <c r="P333" i="12"/>
  <c r="M333" i="12"/>
  <c r="D333" i="12"/>
  <c r="J337" i="12" s="1"/>
  <c r="U332" i="12"/>
  <c r="T332" i="12"/>
  <c r="S332" i="12"/>
  <c r="R332" i="12"/>
  <c r="Q332" i="12"/>
  <c r="P332" i="12"/>
  <c r="U331" i="12"/>
  <c r="T331" i="12"/>
  <c r="S331" i="12"/>
  <c r="R331" i="12"/>
  <c r="Q331" i="12"/>
  <c r="P331" i="12"/>
  <c r="U330" i="12"/>
  <c r="T330" i="12"/>
  <c r="S330" i="12"/>
  <c r="R330" i="12"/>
  <c r="Q330" i="12"/>
  <c r="P330" i="12"/>
  <c r="D330" i="12"/>
  <c r="U329" i="12"/>
  <c r="T329" i="12"/>
  <c r="S329" i="12"/>
  <c r="R329" i="12"/>
  <c r="Q329" i="12"/>
  <c r="P329" i="12"/>
  <c r="U328" i="12"/>
  <c r="T328" i="12"/>
  <c r="S328" i="12"/>
  <c r="R328" i="12"/>
  <c r="P328" i="12"/>
  <c r="I328" i="12"/>
  <c r="E328" i="12"/>
  <c r="U327" i="12"/>
  <c r="T327" i="12"/>
  <c r="S327" i="12"/>
  <c r="R327" i="12"/>
  <c r="Q327" i="12"/>
  <c r="P327" i="12"/>
  <c r="U326" i="12"/>
  <c r="T326" i="12"/>
  <c r="S326" i="12"/>
  <c r="R326" i="12"/>
  <c r="Q326" i="12"/>
  <c r="P326" i="12"/>
  <c r="U325" i="12"/>
  <c r="T325" i="12"/>
  <c r="S325" i="12"/>
  <c r="R325" i="12"/>
  <c r="Q325" i="12"/>
  <c r="P325" i="12"/>
  <c r="D325" i="12"/>
  <c r="U324" i="12"/>
  <c r="T324" i="12"/>
  <c r="S324" i="12"/>
  <c r="R324" i="12"/>
  <c r="Q324" i="12"/>
  <c r="P324" i="12"/>
  <c r="U323" i="12"/>
  <c r="T323" i="12"/>
  <c r="S323" i="12"/>
  <c r="R323" i="12"/>
  <c r="P323" i="12"/>
  <c r="E323" i="12"/>
  <c r="U322" i="12"/>
  <c r="T322" i="12"/>
  <c r="S322" i="12"/>
  <c r="R322" i="12"/>
  <c r="Q322" i="12"/>
  <c r="P322" i="12"/>
  <c r="U321" i="12"/>
  <c r="T321" i="12"/>
  <c r="S321" i="12"/>
  <c r="Q321" i="12"/>
  <c r="P321" i="12"/>
  <c r="M321" i="12"/>
  <c r="U320" i="12"/>
  <c r="T320" i="12"/>
  <c r="S320" i="12"/>
  <c r="Q320" i="12"/>
  <c r="P320" i="12"/>
  <c r="M320" i="12"/>
  <c r="U319" i="12"/>
  <c r="T319" i="12"/>
  <c r="S319" i="12"/>
  <c r="Q319" i="12"/>
  <c r="P319" i="12"/>
  <c r="M319" i="12"/>
  <c r="U318" i="12"/>
  <c r="T318" i="12"/>
  <c r="S318" i="12"/>
  <c r="Q318" i="12"/>
  <c r="P318" i="12"/>
  <c r="M318" i="12"/>
  <c r="U317" i="12"/>
  <c r="T317" i="12"/>
  <c r="R317" i="12"/>
  <c r="Q317" i="12"/>
  <c r="P317" i="12"/>
  <c r="M317" i="12"/>
  <c r="D317" i="12"/>
  <c r="J318" i="12" s="1"/>
  <c r="U316" i="12"/>
  <c r="T316" i="12"/>
  <c r="S316" i="12"/>
  <c r="R316" i="12"/>
  <c r="Q316" i="12"/>
  <c r="P316" i="12"/>
  <c r="U315" i="12"/>
  <c r="T315" i="12"/>
  <c r="S315" i="12"/>
  <c r="R315" i="12"/>
  <c r="Q315" i="12"/>
  <c r="P315" i="12"/>
  <c r="U314" i="12"/>
  <c r="T314" i="12"/>
  <c r="S314" i="12"/>
  <c r="R314" i="12"/>
  <c r="Q314" i="12"/>
  <c r="P314" i="12"/>
  <c r="U313" i="12"/>
  <c r="T313" i="12"/>
  <c r="S313" i="12"/>
  <c r="R313" i="12"/>
  <c r="P313" i="12"/>
  <c r="D313" i="12"/>
  <c r="J313" i="12" s="1"/>
  <c r="U312" i="12"/>
  <c r="T312" i="12"/>
  <c r="S312" i="12"/>
  <c r="R312" i="12"/>
  <c r="Q312" i="12"/>
  <c r="P312" i="12"/>
  <c r="U311" i="12"/>
  <c r="T311" i="12"/>
  <c r="S311" i="12"/>
  <c r="R311" i="12"/>
  <c r="Q311" i="12"/>
  <c r="P311" i="12"/>
  <c r="U310" i="12"/>
  <c r="T310" i="12"/>
  <c r="S310" i="12"/>
  <c r="R310" i="12"/>
  <c r="Q310" i="12"/>
  <c r="P310" i="12"/>
  <c r="D310" i="12"/>
  <c r="U309" i="12"/>
  <c r="T309" i="12"/>
  <c r="S309" i="12"/>
  <c r="R309" i="12"/>
  <c r="Q309" i="12"/>
  <c r="P309" i="12"/>
  <c r="U308" i="12"/>
  <c r="T308" i="12"/>
  <c r="S308" i="12"/>
  <c r="R308" i="12"/>
  <c r="P308" i="12"/>
  <c r="E308" i="12"/>
  <c r="U307" i="12"/>
  <c r="T307" i="12"/>
  <c r="S307" i="12"/>
  <c r="R307" i="12"/>
  <c r="Q307" i="12"/>
  <c r="P307" i="12"/>
  <c r="U306" i="12"/>
  <c r="T306" i="12"/>
  <c r="S306" i="12"/>
  <c r="R306" i="12"/>
  <c r="Q306" i="12"/>
  <c r="P306" i="12"/>
  <c r="U305" i="12"/>
  <c r="T305" i="12"/>
  <c r="S305" i="12"/>
  <c r="R305" i="12"/>
  <c r="Q305" i="12"/>
  <c r="P305" i="12"/>
  <c r="D305" i="12"/>
  <c r="U304" i="12"/>
  <c r="T304" i="12"/>
  <c r="S304" i="12"/>
  <c r="R304" i="12"/>
  <c r="Q304" i="12"/>
  <c r="P304" i="12"/>
  <c r="U303" i="12"/>
  <c r="T303" i="12"/>
  <c r="S303" i="12"/>
  <c r="R303" i="12"/>
  <c r="P303" i="12"/>
  <c r="E303" i="12"/>
  <c r="U302" i="12"/>
  <c r="T302" i="12"/>
  <c r="S302" i="12"/>
  <c r="R302" i="12"/>
  <c r="Q302" i="12"/>
  <c r="P302" i="12"/>
  <c r="U301" i="12"/>
  <c r="T301" i="12"/>
  <c r="S301" i="12"/>
  <c r="R301" i="12"/>
  <c r="Q301" i="12"/>
  <c r="P301" i="12"/>
  <c r="U300" i="12"/>
  <c r="T300" i="12"/>
  <c r="S300" i="12"/>
  <c r="R300" i="12"/>
  <c r="Q300" i="12"/>
  <c r="P300" i="12"/>
  <c r="D300" i="12"/>
  <c r="U299" i="12"/>
  <c r="T299" i="12"/>
  <c r="S299" i="12"/>
  <c r="R299" i="12"/>
  <c r="Q299" i="12"/>
  <c r="P299" i="12"/>
  <c r="U298" i="12"/>
  <c r="T298" i="12"/>
  <c r="S298" i="12"/>
  <c r="R298" i="12"/>
  <c r="P298" i="12"/>
  <c r="E298" i="12"/>
  <c r="U297" i="12"/>
  <c r="T297" i="12"/>
  <c r="S297" i="12"/>
  <c r="R297" i="12"/>
  <c r="Q297" i="12"/>
  <c r="P297" i="12"/>
  <c r="U296" i="12"/>
  <c r="T296" i="12"/>
  <c r="S296" i="12"/>
  <c r="R296" i="12"/>
  <c r="Q296" i="12"/>
  <c r="P296" i="12"/>
  <c r="U295" i="12"/>
  <c r="T295" i="12"/>
  <c r="S295" i="12"/>
  <c r="R295" i="12"/>
  <c r="Q295" i="12"/>
  <c r="P295" i="12"/>
  <c r="D295" i="12"/>
  <c r="U294" i="12"/>
  <c r="T294" i="12"/>
  <c r="S294" i="12"/>
  <c r="R294" i="12"/>
  <c r="Q294" i="12"/>
  <c r="P294" i="12"/>
  <c r="U293" i="12"/>
  <c r="T293" i="12"/>
  <c r="S293" i="12"/>
  <c r="R293" i="12"/>
  <c r="P293" i="12"/>
  <c r="E293" i="12"/>
  <c r="U292" i="12"/>
  <c r="T292" i="12"/>
  <c r="S292" i="12"/>
  <c r="R292" i="12"/>
  <c r="Q292" i="12"/>
  <c r="P292" i="12"/>
  <c r="U291" i="12"/>
  <c r="T291" i="12"/>
  <c r="S291" i="12"/>
  <c r="R291" i="12"/>
  <c r="Q291" i="12"/>
  <c r="P291" i="12"/>
  <c r="U290" i="12"/>
  <c r="T290" i="12"/>
  <c r="S290" i="12"/>
  <c r="R290" i="12"/>
  <c r="Q290" i="12"/>
  <c r="P290" i="12"/>
  <c r="D290" i="12"/>
  <c r="U289" i="12"/>
  <c r="T289" i="12"/>
  <c r="S289" i="12"/>
  <c r="R289" i="12"/>
  <c r="Q289" i="12"/>
  <c r="P289" i="12"/>
  <c r="U288" i="12"/>
  <c r="T288" i="12"/>
  <c r="S288" i="12"/>
  <c r="R288" i="12"/>
  <c r="P288" i="12"/>
  <c r="E288" i="12"/>
  <c r="U287" i="12"/>
  <c r="T287" i="12"/>
  <c r="S287" i="12"/>
  <c r="R287" i="12"/>
  <c r="Q287" i="12"/>
  <c r="P287" i="12"/>
  <c r="U286" i="12"/>
  <c r="T286" i="12"/>
  <c r="S286" i="12"/>
  <c r="R286" i="12"/>
  <c r="Q286" i="12"/>
  <c r="P286" i="12"/>
  <c r="U285" i="12"/>
  <c r="T285" i="12"/>
  <c r="S285" i="12"/>
  <c r="R285" i="12"/>
  <c r="Q285" i="12"/>
  <c r="P285" i="12"/>
  <c r="D285" i="12"/>
  <c r="U284" i="12"/>
  <c r="T284" i="12"/>
  <c r="S284" i="12"/>
  <c r="R284" i="12"/>
  <c r="Q284" i="12"/>
  <c r="P284" i="12"/>
  <c r="U283" i="12"/>
  <c r="T283" i="12"/>
  <c r="S283" i="12"/>
  <c r="R283" i="12"/>
  <c r="P283" i="12"/>
  <c r="E283" i="12"/>
  <c r="U282" i="12"/>
  <c r="T282" i="12"/>
  <c r="S282" i="12"/>
  <c r="R282" i="12"/>
  <c r="Q282" i="12"/>
  <c r="P282" i="12"/>
  <c r="U281" i="12"/>
  <c r="T281" i="12"/>
  <c r="S281" i="12"/>
  <c r="R281" i="12"/>
  <c r="Q281" i="12"/>
  <c r="P281" i="12"/>
  <c r="U280" i="12"/>
  <c r="T280" i="12"/>
  <c r="S280" i="12"/>
  <c r="R280" i="12"/>
  <c r="Q280" i="12"/>
  <c r="P280" i="12"/>
  <c r="U279" i="12"/>
  <c r="T279" i="12"/>
  <c r="S279" i="12"/>
  <c r="R279" i="12"/>
  <c r="P279" i="12"/>
  <c r="M279" i="12"/>
  <c r="U278" i="12"/>
  <c r="T278" i="12"/>
  <c r="S278" i="12"/>
  <c r="Q278" i="12"/>
  <c r="P278" i="12"/>
  <c r="M278" i="12"/>
  <c r="U277" i="12"/>
  <c r="T277" i="12"/>
  <c r="R277" i="12"/>
  <c r="Q277" i="12"/>
  <c r="P277" i="12"/>
  <c r="M277" i="12"/>
  <c r="D277" i="12"/>
  <c r="J277" i="12" s="1"/>
  <c r="U276" i="12"/>
  <c r="T276" i="12"/>
  <c r="S276" i="12"/>
  <c r="R276" i="12"/>
  <c r="Q276" i="12"/>
  <c r="P276" i="12"/>
  <c r="U275" i="12"/>
  <c r="T275" i="12"/>
  <c r="S275" i="12"/>
  <c r="R275" i="12"/>
  <c r="Q275" i="12"/>
  <c r="P275" i="12"/>
  <c r="U274" i="12"/>
  <c r="T274" i="12"/>
  <c r="S274" i="12"/>
  <c r="R274" i="12"/>
  <c r="Q274" i="12"/>
  <c r="P274" i="12"/>
  <c r="U273" i="12"/>
  <c r="T273" i="12"/>
  <c r="S273" i="12"/>
  <c r="R273" i="12"/>
  <c r="P273" i="12"/>
  <c r="D273" i="12"/>
  <c r="J273" i="12" s="1"/>
  <c r="U272" i="12"/>
  <c r="T272" i="12"/>
  <c r="S272" i="12"/>
  <c r="R272" i="12"/>
  <c r="Q272" i="12"/>
  <c r="P272" i="12"/>
  <c r="U271" i="12"/>
  <c r="T271" i="12"/>
  <c r="S271" i="12"/>
  <c r="R271" i="12"/>
  <c r="Q271" i="12"/>
  <c r="P271" i="12"/>
  <c r="U270" i="12"/>
  <c r="T270" i="12"/>
  <c r="S270" i="12"/>
  <c r="R270" i="12"/>
  <c r="Q270" i="12"/>
  <c r="P270" i="12"/>
  <c r="D270" i="12"/>
  <c r="U269" i="12"/>
  <c r="T269" i="12"/>
  <c r="S269" i="12"/>
  <c r="R269" i="12"/>
  <c r="Q269" i="12"/>
  <c r="P269" i="12"/>
  <c r="U268" i="12"/>
  <c r="T268" i="12"/>
  <c r="S268" i="12"/>
  <c r="R268" i="12"/>
  <c r="P268" i="12"/>
  <c r="E268" i="12"/>
  <c r="U267" i="12"/>
  <c r="T267" i="12"/>
  <c r="S267" i="12"/>
  <c r="R267" i="12"/>
  <c r="Q267" i="12"/>
  <c r="P267" i="12"/>
  <c r="U266" i="12"/>
  <c r="T266" i="12"/>
  <c r="S266" i="12"/>
  <c r="R266" i="12"/>
  <c r="Q266" i="12"/>
  <c r="P266" i="12"/>
  <c r="U265" i="12"/>
  <c r="T265" i="12"/>
  <c r="S265" i="12"/>
  <c r="R265" i="12"/>
  <c r="Q265" i="12"/>
  <c r="P265" i="12"/>
  <c r="D265" i="12"/>
  <c r="U264" i="12"/>
  <c r="T264" i="12"/>
  <c r="S264" i="12"/>
  <c r="R264" i="12"/>
  <c r="Q264" i="12"/>
  <c r="P264" i="12"/>
  <c r="U263" i="12"/>
  <c r="T263" i="12"/>
  <c r="S263" i="12"/>
  <c r="R263" i="12"/>
  <c r="P263" i="12"/>
  <c r="E263" i="12"/>
  <c r="U262" i="12"/>
  <c r="T262" i="12"/>
  <c r="S262" i="12"/>
  <c r="R262" i="12"/>
  <c r="Q262" i="12"/>
  <c r="P262" i="12"/>
  <c r="U261" i="12"/>
  <c r="T261" i="12"/>
  <c r="S261" i="12"/>
  <c r="R261" i="12"/>
  <c r="Q261" i="12"/>
  <c r="P261" i="12"/>
  <c r="U260" i="12"/>
  <c r="T260" i="12"/>
  <c r="S260" i="12"/>
  <c r="R260" i="12"/>
  <c r="Q260" i="12"/>
  <c r="P260" i="12"/>
  <c r="D260" i="12"/>
  <c r="U259" i="12"/>
  <c r="T259" i="12"/>
  <c r="S259" i="12"/>
  <c r="R259" i="12"/>
  <c r="Q259" i="12"/>
  <c r="P259" i="12"/>
  <c r="U258" i="12"/>
  <c r="T258" i="12"/>
  <c r="S258" i="12"/>
  <c r="R258" i="12"/>
  <c r="P258" i="12"/>
  <c r="E258" i="12"/>
  <c r="U257" i="12"/>
  <c r="T257" i="12"/>
  <c r="S257" i="12"/>
  <c r="R257" i="12"/>
  <c r="Q257" i="12"/>
  <c r="P257" i="12"/>
  <c r="U256" i="12"/>
  <c r="T256" i="12"/>
  <c r="S256" i="12"/>
  <c r="R256" i="12"/>
  <c r="Q256" i="12"/>
  <c r="P256" i="12"/>
  <c r="U255" i="12"/>
  <c r="T255" i="12"/>
  <c r="S255" i="12"/>
  <c r="R255" i="12"/>
  <c r="Q255" i="12"/>
  <c r="P255" i="12"/>
  <c r="D255" i="12"/>
  <c r="U254" i="12"/>
  <c r="T254" i="12"/>
  <c r="S254" i="12"/>
  <c r="R254" i="12"/>
  <c r="Q254" i="12"/>
  <c r="P254" i="12"/>
  <c r="U253" i="12"/>
  <c r="T253" i="12"/>
  <c r="S253" i="12"/>
  <c r="R253" i="12"/>
  <c r="P253" i="12"/>
  <c r="E253" i="12"/>
  <c r="U252" i="12"/>
  <c r="T252" i="12"/>
  <c r="S252" i="12"/>
  <c r="R252" i="12"/>
  <c r="Q252" i="12"/>
  <c r="P252" i="12"/>
  <c r="U251" i="12"/>
  <c r="T251" i="12"/>
  <c r="S251" i="12"/>
  <c r="R251" i="12"/>
  <c r="Q251" i="12"/>
  <c r="P251" i="12"/>
  <c r="U250" i="12"/>
  <c r="T250" i="12"/>
  <c r="S250" i="12"/>
  <c r="R250" i="12"/>
  <c r="Q250" i="12"/>
  <c r="P250" i="12"/>
  <c r="D250" i="12"/>
  <c r="U249" i="12"/>
  <c r="T249" i="12"/>
  <c r="S249" i="12"/>
  <c r="R249" i="12"/>
  <c r="Q249" i="12"/>
  <c r="P249" i="12"/>
  <c r="U248" i="12"/>
  <c r="T248" i="12"/>
  <c r="S248" i="12"/>
  <c r="R248" i="12"/>
  <c r="P248" i="12"/>
  <c r="E248" i="12"/>
  <c r="U247" i="12"/>
  <c r="T247" i="12"/>
  <c r="S247" i="12"/>
  <c r="R247" i="12"/>
  <c r="Q247" i="12"/>
  <c r="P247" i="12"/>
  <c r="U246" i="12"/>
  <c r="T246" i="12"/>
  <c r="S246" i="12"/>
  <c r="R246" i="12"/>
  <c r="Q246" i="12"/>
  <c r="P246" i="12"/>
  <c r="U245" i="12"/>
  <c r="T245" i="12"/>
  <c r="S245" i="12"/>
  <c r="R245" i="12"/>
  <c r="Q245" i="12"/>
  <c r="P245" i="12"/>
  <c r="D245" i="12"/>
  <c r="U244" i="12"/>
  <c r="T244" i="12"/>
  <c r="S244" i="12"/>
  <c r="R244" i="12"/>
  <c r="Q244" i="12"/>
  <c r="P244" i="12"/>
  <c r="U243" i="12"/>
  <c r="T243" i="12"/>
  <c r="S243" i="12"/>
  <c r="R243" i="12"/>
  <c r="P243" i="12"/>
  <c r="E243" i="12"/>
  <c r="U242" i="12"/>
  <c r="T242" i="12"/>
  <c r="S242" i="12"/>
  <c r="R242" i="12"/>
  <c r="Q242" i="12"/>
  <c r="P242" i="12"/>
  <c r="U241" i="12"/>
  <c r="T241" i="12"/>
  <c r="S241" i="12"/>
  <c r="R241" i="12"/>
  <c r="Q241" i="12"/>
  <c r="P241" i="12"/>
  <c r="U240" i="12"/>
  <c r="T240" i="12"/>
  <c r="S240" i="12"/>
  <c r="R240" i="12"/>
  <c r="Q240" i="12"/>
  <c r="P240" i="12"/>
  <c r="U239" i="12"/>
  <c r="T239" i="12"/>
  <c r="S239" i="12"/>
  <c r="R239" i="12"/>
  <c r="P239" i="12"/>
  <c r="M239" i="12"/>
  <c r="U238" i="12"/>
  <c r="T238" i="12"/>
  <c r="S238" i="12"/>
  <c r="Q238" i="12"/>
  <c r="P238" i="12"/>
  <c r="M238" i="12"/>
  <c r="U237" i="12"/>
  <c r="T237" i="12"/>
  <c r="R237" i="12"/>
  <c r="Q237" i="12"/>
  <c r="P237" i="12"/>
  <c r="M237" i="12"/>
  <c r="D237" i="12"/>
  <c r="J238" i="12" s="1"/>
  <c r="U236" i="12"/>
  <c r="T236" i="12"/>
  <c r="S236" i="12"/>
  <c r="R236" i="12"/>
  <c r="Q236" i="12"/>
  <c r="P236" i="12"/>
  <c r="U235" i="12"/>
  <c r="T235" i="12"/>
  <c r="S235" i="12"/>
  <c r="R235" i="12"/>
  <c r="Q235" i="12"/>
  <c r="P235" i="12"/>
  <c r="U234" i="12"/>
  <c r="T234" i="12"/>
  <c r="S234" i="12"/>
  <c r="R234" i="12"/>
  <c r="Q234" i="12"/>
  <c r="P234" i="12"/>
  <c r="D234" i="12"/>
  <c r="J231" i="12" s="1"/>
  <c r="U233" i="12"/>
  <c r="T233" i="12"/>
  <c r="S233" i="12"/>
  <c r="R233" i="12"/>
  <c r="Q233" i="12"/>
  <c r="P233" i="12"/>
  <c r="U232" i="12"/>
  <c r="T232" i="12"/>
  <c r="S232" i="12"/>
  <c r="R232" i="12"/>
  <c r="Q232" i="12"/>
  <c r="P232" i="12"/>
  <c r="U231" i="12"/>
  <c r="T231" i="12"/>
  <c r="S231" i="12"/>
  <c r="R231" i="12"/>
  <c r="P231" i="12"/>
  <c r="U230" i="12"/>
  <c r="T230" i="12"/>
  <c r="S230" i="12"/>
  <c r="R230" i="12"/>
  <c r="Q230" i="12"/>
  <c r="P230" i="12"/>
  <c r="U229" i="12"/>
  <c r="T229" i="12"/>
  <c r="S229" i="12"/>
  <c r="R229" i="12"/>
  <c r="Q229" i="12"/>
  <c r="P229" i="12"/>
  <c r="D229" i="12"/>
  <c r="J226" i="12" s="1"/>
  <c r="U228" i="12"/>
  <c r="T228" i="12"/>
  <c r="S228" i="12"/>
  <c r="R228" i="12"/>
  <c r="Q228" i="12"/>
  <c r="P228" i="12"/>
  <c r="U227" i="12"/>
  <c r="T227" i="12"/>
  <c r="S227" i="12"/>
  <c r="R227" i="12"/>
  <c r="Q227" i="12"/>
  <c r="P227" i="12"/>
  <c r="U226" i="12"/>
  <c r="T226" i="12"/>
  <c r="S226" i="12"/>
  <c r="R226" i="12"/>
  <c r="P226" i="12"/>
  <c r="U225" i="12"/>
  <c r="T225" i="12"/>
  <c r="S225" i="12"/>
  <c r="R225" i="12"/>
  <c r="Q225" i="12"/>
  <c r="P225" i="12"/>
  <c r="U224" i="12"/>
  <c r="T224" i="12"/>
  <c r="S224" i="12"/>
  <c r="R224" i="12"/>
  <c r="Q224" i="12"/>
  <c r="P224" i="12"/>
  <c r="D224" i="12"/>
  <c r="U223" i="12"/>
  <c r="T223" i="12"/>
  <c r="S223" i="12"/>
  <c r="R223" i="12"/>
  <c r="Q223" i="12"/>
  <c r="P223" i="12"/>
  <c r="U222" i="12"/>
  <c r="T222" i="12"/>
  <c r="S222" i="12"/>
  <c r="R222" i="12"/>
  <c r="P222" i="12"/>
  <c r="E222" i="12"/>
  <c r="U221" i="12"/>
  <c r="T221" i="12"/>
  <c r="S221" i="12"/>
  <c r="R221" i="12"/>
  <c r="Q221" i="12"/>
  <c r="P221" i="12"/>
  <c r="U220" i="12"/>
  <c r="T220" i="12"/>
  <c r="S220" i="12"/>
  <c r="R220" i="12"/>
  <c r="Q220" i="12"/>
  <c r="P220" i="12"/>
  <c r="U219" i="12"/>
  <c r="T219" i="12"/>
  <c r="S219" i="12"/>
  <c r="R219" i="12"/>
  <c r="Q219" i="12"/>
  <c r="P219" i="12"/>
  <c r="D219" i="12"/>
  <c r="U218" i="12"/>
  <c r="T218" i="12"/>
  <c r="S218" i="12"/>
  <c r="R218" i="12"/>
  <c r="Q218" i="12"/>
  <c r="P218" i="12"/>
  <c r="U217" i="12"/>
  <c r="T217" i="12"/>
  <c r="S217" i="12"/>
  <c r="R217" i="12"/>
  <c r="P217" i="12"/>
  <c r="E217" i="12"/>
  <c r="U216" i="12"/>
  <c r="T216" i="12"/>
  <c r="S216" i="12"/>
  <c r="R216" i="12"/>
  <c r="Q216" i="12"/>
  <c r="P216" i="12"/>
  <c r="U215" i="12"/>
  <c r="T215" i="12"/>
  <c r="S215" i="12"/>
  <c r="R215" i="12"/>
  <c r="Q215" i="12"/>
  <c r="P215" i="12"/>
  <c r="U214" i="12"/>
  <c r="S214" i="12"/>
  <c r="R214" i="12"/>
  <c r="Q214" i="12"/>
  <c r="P214" i="12"/>
  <c r="M214" i="12"/>
  <c r="U213" i="12"/>
  <c r="S213" i="12"/>
  <c r="R213" i="12"/>
  <c r="Q213" i="12"/>
  <c r="P213" i="12"/>
  <c r="M213" i="12"/>
  <c r="U212" i="12"/>
  <c r="S212" i="12"/>
  <c r="R212" i="12"/>
  <c r="Q212" i="12"/>
  <c r="P212" i="12"/>
  <c r="M212" i="12"/>
  <c r="U211" i="12"/>
  <c r="S211" i="12"/>
  <c r="R211" i="12"/>
  <c r="Q211" i="12"/>
  <c r="P211" i="12"/>
  <c r="M211" i="12"/>
  <c r="D211" i="12"/>
  <c r="J211" i="12" s="1"/>
  <c r="U210" i="12"/>
  <c r="T210" i="12"/>
  <c r="S210" i="12"/>
  <c r="R210" i="12"/>
  <c r="Q210" i="12"/>
  <c r="P210" i="12"/>
  <c r="U209" i="12"/>
  <c r="T209" i="12"/>
  <c r="S209" i="12"/>
  <c r="R209" i="12"/>
  <c r="Q209" i="12"/>
  <c r="P209" i="12"/>
  <c r="U208" i="12"/>
  <c r="T208" i="12"/>
  <c r="S208" i="12"/>
  <c r="R208" i="12"/>
  <c r="Q208" i="12"/>
  <c r="P208" i="12"/>
  <c r="D208" i="12"/>
  <c r="J205" i="12" s="1"/>
  <c r="U207" i="12"/>
  <c r="T207" i="12"/>
  <c r="S207" i="12"/>
  <c r="R207" i="12"/>
  <c r="Q207" i="12"/>
  <c r="P207" i="12"/>
  <c r="U206" i="12"/>
  <c r="T206" i="12"/>
  <c r="S206" i="12"/>
  <c r="R206" i="12"/>
  <c r="Q206" i="12"/>
  <c r="P206" i="12"/>
  <c r="U205" i="12"/>
  <c r="T205" i="12"/>
  <c r="S205" i="12"/>
  <c r="R205" i="12"/>
  <c r="P205" i="12"/>
  <c r="U204" i="12"/>
  <c r="T204" i="12"/>
  <c r="S204" i="12"/>
  <c r="R204" i="12"/>
  <c r="Q204" i="12"/>
  <c r="P204" i="12"/>
  <c r="U203" i="12"/>
  <c r="T203" i="12"/>
  <c r="S203" i="12"/>
  <c r="R203" i="12"/>
  <c r="Q203" i="12"/>
  <c r="P203" i="12"/>
  <c r="D203" i="12"/>
  <c r="J200" i="12" s="1"/>
  <c r="U202" i="12"/>
  <c r="T202" i="12"/>
  <c r="S202" i="12"/>
  <c r="R202" i="12"/>
  <c r="Q202" i="12"/>
  <c r="P202" i="12"/>
  <c r="U201" i="12"/>
  <c r="T201" i="12"/>
  <c r="S201" i="12"/>
  <c r="R201" i="12"/>
  <c r="Q201" i="12"/>
  <c r="P201" i="12"/>
  <c r="U200" i="12"/>
  <c r="T200" i="12"/>
  <c r="S200" i="12"/>
  <c r="R200" i="12"/>
  <c r="P200" i="12"/>
  <c r="U199" i="12"/>
  <c r="T199" i="12"/>
  <c r="S199" i="12"/>
  <c r="R199" i="12"/>
  <c r="Q199" i="12"/>
  <c r="P199" i="12"/>
  <c r="U198" i="12"/>
  <c r="T198" i="12"/>
  <c r="S198" i="12"/>
  <c r="R198" i="12"/>
  <c r="Q198" i="12"/>
  <c r="P198" i="12"/>
  <c r="D198" i="12"/>
  <c r="U197" i="12"/>
  <c r="T197" i="12"/>
  <c r="S197" i="12"/>
  <c r="R197" i="12"/>
  <c r="Q197" i="12"/>
  <c r="P197" i="12"/>
  <c r="U196" i="12"/>
  <c r="T196" i="12"/>
  <c r="S196" i="12"/>
  <c r="R196" i="12"/>
  <c r="P196" i="12"/>
  <c r="E196" i="12"/>
  <c r="U195" i="12"/>
  <c r="T195" i="12"/>
  <c r="S195" i="12"/>
  <c r="R195" i="12"/>
  <c r="Q195" i="12"/>
  <c r="P195" i="12"/>
  <c r="U194" i="12"/>
  <c r="T194" i="12"/>
  <c r="S194" i="12"/>
  <c r="R194" i="12"/>
  <c r="Q194" i="12"/>
  <c r="P194" i="12"/>
  <c r="U193" i="12"/>
  <c r="T193" i="12"/>
  <c r="S193" i="12"/>
  <c r="R193" i="12"/>
  <c r="Q193" i="12"/>
  <c r="P193" i="12"/>
  <c r="D193" i="12"/>
  <c r="U192" i="12"/>
  <c r="T192" i="12"/>
  <c r="S192" i="12"/>
  <c r="R192" i="12"/>
  <c r="Q192" i="12"/>
  <c r="P192" i="12"/>
  <c r="U191" i="12"/>
  <c r="T191" i="12"/>
  <c r="S191" i="12"/>
  <c r="R191" i="12"/>
  <c r="P191" i="12"/>
  <c r="E191" i="12"/>
  <c r="U190" i="12"/>
  <c r="T190" i="12"/>
  <c r="S190" i="12"/>
  <c r="R190" i="12"/>
  <c r="Q190" i="12"/>
  <c r="P190" i="12"/>
  <c r="U189" i="12"/>
  <c r="T189" i="12"/>
  <c r="S189" i="12"/>
  <c r="R189" i="12"/>
  <c r="Q189" i="12"/>
  <c r="P189" i="12"/>
  <c r="U188" i="12"/>
  <c r="T188" i="12"/>
  <c r="S188" i="12"/>
  <c r="R188" i="12"/>
  <c r="Q188" i="12"/>
  <c r="P188" i="12"/>
  <c r="D188" i="12"/>
  <c r="U187" i="12"/>
  <c r="T187" i="12"/>
  <c r="S187" i="12"/>
  <c r="R187" i="12"/>
  <c r="Q187" i="12"/>
  <c r="P187" i="12"/>
  <c r="U186" i="12"/>
  <c r="T186" i="12"/>
  <c r="S186" i="12"/>
  <c r="R186" i="12"/>
  <c r="P186" i="12"/>
  <c r="E186" i="12"/>
  <c r="U185" i="12"/>
  <c r="T185" i="12"/>
  <c r="S185" i="12"/>
  <c r="R185" i="12"/>
  <c r="Q185" i="12"/>
  <c r="P185" i="12"/>
  <c r="U184" i="12"/>
  <c r="T184" i="12"/>
  <c r="S184" i="12"/>
  <c r="R184" i="12"/>
  <c r="Q184" i="12"/>
  <c r="P184" i="12"/>
  <c r="U183" i="12"/>
  <c r="T183" i="12"/>
  <c r="S183" i="12"/>
  <c r="Q183" i="12"/>
  <c r="P183" i="12"/>
  <c r="M183" i="12"/>
  <c r="U182" i="12"/>
  <c r="T182" i="12"/>
  <c r="S182" i="12"/>
  <c r="Q182" i="12"/>
  <c r="P182" i="12"/>
  <c r="M182" i="12"/>
  <c r="U181" i="12"/>
  <c r="T181" i="12"/>
  <c r="S181" i="12"/>
  <c r="Q181" i="12"/>
  <c r="P181" i="12"/>
  <c r="M181" i="12"/>
  <c r="U180" i="12"/>
  <c r="T180" i="12"/>
  <c r="S180" i="12"/>
  <c r="Q180" i="12"/>
  <c r="P180" i="12"/>
  <c r="M180" i="12"/>
  <c r="U179" i="12"/>
  <c r="T179" i="12"/>
  <c r="R179" i="12"/>
  <c r="Q179" i="12"/>
  <c r="P179" i="12"/>
  <c r="M179" i="12"/>
  <c r="D179" i="12"/>
  <c r="J180" i="12" s="1"/>
  <c r="U178" i="12"/>
  <c r="T178" i="12"/>
  <c r="S178" i="12"/>
  <c r="R178" i="12"/>
  <c r="Q178" i="12"/>
  <c r="P178" i="12"/>
  <c r="U177" i="12"/>
  <c r="T177" i="12"/>
  <c r="S177" i="12"/>
  <c r="R177" i="12"/>
  <c r="Q177" i="12"/>
  <c r="P177" i="12"/>
  <c r="U176" i="12"/>
  <c r="T176" i="12"/>
  <c r="S176" i="12"/>
  <c r="R176" i="12"/>
  <c r="Q176" i="12"/>
  <c r="P176" i="12"/>
  <c r="U175" i="12"/>
  <c r="T175" i="12"/>
  <c r="S175" i="12"/>
  <c r="R175" i="12"/>
  <c r="P175" i="12"/>
  <c r="D175" i="12"/>
  <c r="J175" i="12" s="1"/>
  <c r="U174" i="12"/>
  <c r="T174" i="12"/>
  <c r="S174" i="12"/>
  <c r="R174" i="12"/>
  <c r="Q174" i="12"/>
  <c r="P174" i="12"/>
  <c r="U173" i="12"/>
  <c r="T173" i="12"/>
  <c r="S173" i="12"/>
  <c r="R173" i="12"/>
  <c r="Q173" i="12"/>
  <c r="P173" i="12"/>
  <c r="U172" i="12"/>
  <c r="T172" i="12"/>
  <c r="S172" i="12"/>
  <c r="R172" i="12"/>
  <c r="Q172" i="12"/>
  <c r="P172" i="12"/>
  <c r="D172" i="12"/>
  <c r="U171" i="12"/>
  <c r="T171" i="12"/>
  <c r="S171" i="12"/>
  <c r="R171" i="12"/>
  <c r="Q171" i="12"/>
  <c r="P171" i="12"/>
  <c r="U170" i="12"/>
  <c r="T170" i="12"/>
  <c r="S170" i="12"/>
  <c r="R170" i="12"/>
  <c r="Q170" i="12"/>
  <c r="P170" i="12"/>
  <c r="U169" i="12"/>
  <c r="T169" i="12"/>
  <c r="S169" i="12"/>
  <c r="R169" i="12"/>
  <c r="P169" i="12"/>
  <c r="U168" i="12"/>
  <c r="T168" i="12"/>
  <c r="S168" i="12"/>
  <c r="R168" i="12"/>
  <c r="Q168" i="12"/>
  <c r="P168" i="12"/>
  <c r="U167" i="12"/>
  <c r="T167" i="12"/>
  <c r="S167" i="12"/>
  <c r="R167" i="12"/>
  <c r="Q167" i="12"/>
  <c r="P167" i="12"/>
  <c r="D167" i="12"/>
  <c r="U166" i="12"/>
  <c r="T166" i="12"/>
  <c r="S166" i="12"/>
  <c r="R166" i="12"/>
  <c r="Q166" i="12"/>
  <c r="P166" i="12"/>
  <c r="U165" i="12"/>
  <c r="T165" i="12"/>
  <c r="S165" i="12"/>
  <c r="R165" i="12"/>
  <c r="Q165" i="12"/>
  <c r="P165" i="12"/>
  <c r="U164" i="12"/>
  <c r="T164" i="12"/>
  <c r="S164" i="12"/>
  <c r="R164" i="12"/>
  <c r="P164" i="12"/>
  <c r="U163" i="12"/>
  <c r="T163" i="12"/>
  <c r="S163" i="12"/>
  <c r="R163" i="12"/>
  <c r="Q163" i="12"/>
  <c r="P163" i="12"/>
  <c r="U162" i="12"/>
  <c r="T162" i="12"/>
  <c r="S162" i="12"/>
  <c r="R162" i="12"/>
  <c r="Q162" i="12"/>
  <c r="P162" i="12"/>
  <c r="D162" i="12"/>
  <c r="U161" i="12"/>
  <c r="T161" i="12"/>
  <c r="S161" i="12"/>
  <c r="R161" i="12"/>
  <c r="Q161" i="12"/>
  <c r="P161" i="12"/>
  <c r="U160" i="12"/>
  <c r="T160" i="12"/>
  <c r="S160" i="12"/>
  <c r="R160" i="12"/>
  <c r="P160" i="12"/>
  <c r="E160" i="12"/>
  <c r="U159" i="12"/>
  <c r="T159" i="12"/>
  <c r="S159" i="12"/>
  <c r="R159" i="12"/>
  <c r="Q159" i="12"/>
  <c r="P159" i="12"/>
  <c r="U158" i="12"/>
  <c r="T158" i="12"/>
  <c r="S158" i="12"/>
  <c r="R158" i="12"/>
  <c r="Q158" i="12"/>
  <c r="P158" i="12"/>
  <c r="U157" i="12"/>
  <c r="T157" i="12"/>
  <c r="S157" i="12"/>
  <c r="R157" i="12"/>
  <c r="Q157" i="12"/>
  <c r="P157" i="12"/>
  <c r="D157" i="12"/>
  <c r="U156" i="12"/>
  <c r="T156" i="12"/>
  <c r="S156" i="12"/>
  <c r="R156" i="12"/>
  <c r="Q156" i="12"/>
  <c r="P156" i="12"/>
  <c r="U155" i="12"/>
  <c r="T155" i="12"/>
  <c r="S155" i="12"/>
  <c r="R155" i="12"/>
  <c r="P155" i="12"/>
  <c r="E155" i="12"/>
  <c r="U154" i="12"/>
  <c r="T154" i="12"/>
  <c r="S154" i="12"/>
  <c r="R154" i="12"/>
  <c r="Q154" i="12"/>
  <c r="P154" i="12"/>
  <c r="U153" i="12"/>
  <c r="T153" i="12"/>
  <c r="S153" i="12"/>
  <c r="R153" i="12"/>
  <c r="Q153" i="12"/>
  <c r="P153" i="12"/>
  <c r="U152" i="12"/>
  <c r="T152" i="12"/>
  <c r="S152" i="12"/>
  <c r="Q152" i="12"/>
  <c r="P152" i="12"/>
  <c r="M152" i="12"/>
  <c r="U151" i="12"/>
  <c r="T151" i="12"/>
  <c r="S151" i="12"/>
  <c r="Q151" i="12"/>
  <c r="P151" i="12"/>
  <c r="M151" i="12"/>
  <c r="U150" i="12"/>
  <c r="T150" i="12"/>
  <c r="S150" i="12"/>
  <c r="Q150" i="12"/>
  <c r="P150" i="12"/>
  <c r="M150" i="12"/>
  <c r="U149" i="12"/>
  <c r="T149" i="12"/>
  <c r="S149" i="12"/>
  <c r="Q149" i="12"/>
  <c r="P149" i="12"/>
  <c r="M149" i="12"/>
  <c r="U148" i="12"/>
  <c r="T148" i="12"/>
  <c r="R148" i="12"/>
  <c r="Q148" i="12"/>
  <c r="P148" i="12"/>
  <c r="M148" i="12"/>
  <c r="D148" i="12"/>
  <c r="J152" i="12" s="1"/>
  <c r="U147" i="12"/>
  <c r="T147" i="12"/>
  <c r="S147" i="12"/>
  <c r="R147" i="12"/>
  <c r="Q147" i="12"/>
  <c r="P147" i="12"/>
  <c r="U146" i="12"/>
  <c r="T146" i="12"/>
  <c r="S146" i="12"/>
  <c r="R146" i="12"/>
  <c r="Q146" i="12"/>
  <c r="P146" i="12"/>
  <c r="U145" i="12"/>
  <c r="T145" i="12"/>
  <c r="S145" i="12"/>
  <c r="R145" i="12"/>
  <c r="Q145" i="12"/>
  <c r="P145" i="12"/>
  <c r="U144" i="12"/>
  <c r="T144" i="12"/>
  <c r="S144" i="12"/>
  <c r="R144" i="12"/>
  <c r="P144" i="12"/>
  <c r="D144" i="12"/>
  <c r="J144" i="12" s="1"/>
  <c r="U143" i="12"/>
  <c r="T143" i="12"/>
  <c r="S143" i="12"/>
  <c r="R143" i="12"/>
  <c r="Q143" i="12"/>
  <c r="P143" i="12"/>
  <c r="U142" i="12"/>
  <c r="T142" i="12"/>
  <c r="S142" i="12"/>
  <c r="R142" i="12"/>
  <c r="Q142" i="12"/>
  <c r="P142" i="12"/>
  <c r="U141" i="12"/>
  <c r="T141" i="12"/>
  <c r="S141" i="12"/>
  <c r="R141" i="12"/>
  <c r="Q141" i="12"/>
  <c r="P141" i="12"/>
  <c r="D141" i="12"/>
  <c r="J138" i="12" s="1"/>
  <c r="U140" i="12"/>
  <c r="T140" i="12"/>
  <c r="S140" i="12"/>
  <c r="R140" i="12"/>
  <c r="Q140" i="12"/>
  <c r="P140" i="12"/>
  <c r="U139" i="12"/>
  <c r="T139" i="12"/>
  <c r="S139" i="12"/>
  <c r="R139" i="12"/>
  <c r="Q139" i="12"/>
  <c r="P139" i="12"/>
  <c r="U138" i="12"/>
  <c r="T138" i="12"/>
  <c r="S138" i="12"/>
  <c r="R138" i="12"/>
  <c r="P138" i="12"/>
  <c r="U137" i="12"/>
  <c r="T137" i="12"/>
  <c r="S137" i="12"/>
  <c r="R137" i="12"/>
  <c r="Q137" i="12"/>
  <c r="P137" i="12"/>
  <c r="U136" i="12"/>
  <c r="T136" i="12"/>
  <c r="S136" i="12"/>
  <c r="R136" i="12"/>
  <c r="Q136" i="12"/>
  <c r="P136" i="12"/>
  <c r="D136" i="12"/>
  <c r="J133" i="12" s="1"/>
  <c r="N133" i="12" s="1"/>
  <c r="O133" i="12" s="1"/>
  <c r="Q133" i="12" s="1"/>
  <c r="U135" i="12"/>
  <c r="T135" i="12"/>
  <c r="S135" i="12"/>
  <c r="R135" i="12"/>
  <c r="Q135" i="12"/>
  <c r="P135" i="12"/>
  <c r="U134" i="12"/>
  <c r="T134" i="12"/>
  <c r="S134" i="12"/>
  <c r="R134" i="12"/>
  <c r="Q134" i="12"/>
  <c r="P134" i="12"/>
  <c r="U133" i="12"/>
  <c r="T133" i="12"/>
  <c r="S133" i="12"/>
  <c r="R133" i="12"/>
  <c r="P133" i="12"/>
  <c r="U132" i="12"/>
  <c r="T132" i="12"/>
  <c r="S132" i="12"/>
  <c r="R132" i="12"/>
  <c r="Q132" i="12"/>
  <c r="P132" i="12"/>
  <c r="U131" i="12"/>
  <c r="T131" i="12"/>
  <c r="S131" i="12"/>
  <c r="R131" i="12"/>
  <c r="Q131" i="12"/>
  <c r="P131" i="12"/>
  <c r="D131" i="12"/>
  <c r="U130" i="12"/>
  <c r="T130" i="12"/>
  <c r="S130" i="12"/>
  <c r="R130" i="12"/>
  <c r="Q130" i="12"/>
  <c r="P130" i="12"/>
  <c r="U129" i="12"/>
  <c r="T129" i="12"/>
  <c r="S129" i="12"/>
  <c r="R129" i="12"/>
  <c r="P129" i="12"/>
  <c r="E129" i="12"/>
  <c r="U128" i="12"/>
  <c r="T128" i="12"/>
  <c r="S128" i="12"/>
  <c r="R128" i="12"/>
  <c r="Q128" i="12"/>
  <c r="P128" i="12"/>
  <c r="U127" i="12"/>
  <c r="T127" i="12"/>
  <c r="S127" i="12"/>
  <c r="R127" i="12"/>
  <c r="Q127" i="12"/>
  <c r="P127" i="12"/>
  <c r="U126" i="12"/>
  <c r="T126" i="12"/>
  <c r="S126" i="12"/>
  <c r="R126" i="12"/>
  <c r="Q126" i="12"/>
  <c r="P126" i="12"/>
  <c r="D126" i="12"/>
  <c r="U125" i="12"/>
  <c r="T125" i="12"/>
  <c r="S125" i="12"/>
  <c r="R125" i="12"/>
  <c r="Q125" i="12"/>
  <c r="P125" i="12"/>
  <c r="U124" i="12"/>
  <c r="T124" i="12"/>
  <c r="S124" i="12"/>
  <c r="R124" i="12"/>
  <c r="P124" i="12"/>
  <c r="E124" i="12"/>
  <c r="U123" i="12"/>
  <c r="T123" i="12"/>
  <c r="S123" i="12"/>
  <c r="R123" i="12"/>
  <c r="Q123" i="12"/>
  <c r="P123" i="12"/>
  <c r="U122" i="12"/>
  <c r="T122" i="12"/>
  <c r="S122" i="12"/>
  <c r="R122" i="12"/>
  <c r="Q122" i="12"/>
  <c r="P122" i="12"/>
  <c r="U121" i="12"/>
  <c r="T121" i="12"/>
  <c r="R121" i="12"/>
  <c r="Q121" i="12"/>
  <c r="P121" i="12"/>
  <c r="M121" i="12"/>
  <c r="U120" i="12"/>
  <c r="T120" i="12"/>
  <c r="R120" i="12"/>
  <c r="Q120" i="12"/>
  <c r="P120" i="12"/>
  <c r="M120" i="12"/>
  <c r="U119" i="12"/>
  <c r="T119" i="12"/>
  <c r="R119" i="12"/>
  <c r="Q119" i="12"/>
  <c r="P119" i="12"/>
  <c r="M119" i="12"/>
  <c r="U118" i="12"/>
  <c r="T118" i="12"/>
  <c r="R118" i="12"/>
  <c r="Q118" i="12"/>
  <c r="P118" i="12"/>
  <c r="M118" i="12"/>
  <c r="U117" i="12"/>
  <c r="S117" i="12"/>
  <c r="R117" i="12"/>
  <c r="Q117" i="12"/>
  <c r="P117" i="12"/>
  <c r="M117" i="12"/>
  <c r="D117" i="12"/>
  <c r="J121" i="12" s="1"/>
  <c r="U116" i="12"/>
  <c r="T116" i="12"/>
  <c r="S116" i="12"/>
  <c r="R116" i="12"/>
  <c r="Q116" i="12"/>
  <c r="P116" i="12"/>
  <c r="U115" i="12"/>
  <c r="T115" i="12"/>
  <c r="S115" i="12"/>
  <c r="R115" i="12"/>
  <c r="Q115" i="12"/>
  <c r="P115" i="12"/>
  <c r="U114" i="12"/>
  <c r="T114" i="12"/>
  <c r="S114" i="12"/>
  <c r="R114" i="12"/>
  <c r="Q114" i="12"/>
  <c r="P114" i="12"/>
  <c r="U113" i="12"/>
  <c r="T113" i="12"/>
  <c r="S113" i="12"/>
  <c r="R113" i="12"/>
  <c r="Q113" i="12"/>
  <c r="P113" i="12"/>
  <c r="U112" i="12"/>
  <c r="T112" i="12"/>
  <c r="S112" i="12"/>
  <c r="R112" i="12"/>
  <c r="P112" i="12"/>
  <c r="D112" i="12"/>
  <c r="J112" i="12" s="1"/>
  <c r="U111" i="12"/>
  <c r="T111" i="12"/>
  <c r="S111" i="12"/>
  <c r="R111" i="12"/>
  <c r="Q111" i="12"/>
  <c r="P111" i="12"/>
  <c r="U110" i="12"/>
  <c r="T110" i="12"/>
  <c r="S110" i="12"/>
  <c r="R110" i="12"/>
  <c r="Q110" i="12"/>
  <c r="P110" i="12"/>
  <c r="U109" i="12"/>
  <c r="T109" i="12"/>
  <c r="S109" i="12"/>
  <c r="R109" i="12"/>
  <c r="Q109" i="12"/>
  <c r="P109" i="12"/>
  <c r="D109" i="12"/>
  <c r="U108" i="12"/>
  <c r="T108" i="12"/>
  <c r="S108" i="12"/>
  <c r="R108" i="12"/>
  <c r="Q108" i="12"/>
  <c r="P108" i="12"/>
  <c r="U107" i="12"/>
  <c r="T107" i="12"/>
  <c r="S107" i="12"/>
  <c r="R107" i="12"/>
  <c r="Q107" i="12"/>
  <c r="P107" i="12"/>
  <c r="U106" i="12"/>
  <c r="T106" i="12"/>
  <c r="S106" i="12"/>
  <c r="R106" i="12"/>
  <c r="P106" i="12"/>
  <c r="U105" i="12"/>
  <c r="T105" i="12"/>
  <c r="S105" i="12"/>
  <c r="R105" i="12"/>
  <c r="Q105" i="12"/>
  <c r="P105" i="12"/>
  <c r="U104" i="12"/>
  <c r="T104" i="12"/>
  <c r="S104" i="12"/>
  <c r="R104" i="12"/>
  <c r="Q104" i="12"/>
  <c r="P104" i="12"/>
  <c r="D104" i="12"/>
  <c r="J101" i="12" s="1"/>
  <c r="U103" i="12"/>
  <c r="T103" i="12"/>
  <c r="S103" i="12"/>
  <c r="R103" i="12"/>
  <c r="Q103" i="12"/>
  <c r="P103" i="12"/>
  <c r="U102" i="12"/>
  <c r="T102" i="12"/>
  <c r="S102" i="12"/>
  <c r="R102" i="12"/>
  <c r="Q102" i="12"/>
  <c r="P102" i="12"/>
  <c r="U101" i="12"/>
  <c r="T101" i="12"/>
  <c r="S101" i="12"/>
  <c r="R101" i="12"/>
  <c r="P101" i="12"/>
  <c r="U100" i="12"/>
  <c r="T100" i="12"/>
  <c r="S100" i="12"/>
  <c r="R100" i="12"/>
  <c r="Q100" i="12"/>
  <c r="P100" i="12"/>
  <c r="U99" i="12"/>
  <c r="T99" i="12"/>
  <c r="S99" i="12"/>
  <c r="R99" i="12"/>
  <c r="Q99" i="12"/>
  <c r="P99" i="12"/>
  <c r="D99" i="12"/>
  <c r="U98" i="12"/>
  <c r="T98" i="12"/>
  <c r="S98" i="12"/>
  <c r="R98" i="12"/>
  <c r="Q98" i="12"/>
  <c r="P98" i="12"/>
  <c r="U97" i="12"/>
  <c r="T97" i="12"/>
  <c r="S97" i="12"/>
  <c r="R97" i="12"/>
  <c r="P97" i="12"/>
  <c r="E97" i="12"/>
  <c r="U96" i="12"/>
  <c r="T96" i="12"/>
  <c r="S96" i="12"/>
  <c r="R96" i="12"/>
  <c r="Q96" i="12"/>
  <c r="P96" i="12"/>
  <c r="U95" i="12"/>
  <c r="T95" i="12"/>
  <c r="S95" i="12"/>
  <c r="R95" i="12"/>
  <c r="Q95" i="12"/>
  <c r="P95" i="12"/>
  <c r="U94" i="12"/>
  <c r="T94" i="12"/>
  <c r="S94" i="12"/>
  <c r="R94" i="12"/>
  <c r="Q94" i="12"/>
  <c r="P94" i="12"/>
  <c r="D94" i="12"/>
  <c r="U93" i="12"/>
  <c r="T93" i="12"/>
  <c r="S93" i="12"/>
  <c r="R93" i="12"/>
  <c r="Q93" i="12"/>
  <c r="P93" i="12"/>
  <c r="U92" i="12"/>
  <c r="T92" i="12"/>
  <c r="S92" i="12"/>
  <c r="R92" i="12"/>
  <c r="P92" i="12"/>
  <c r="E92" i="12"/>
  <c r="U91" i="12"/>
  <c r="T91" i="12"/>
  <c r="S91" i="12"/>
  <c r="R91" i="12"/>
  <c r="Q91" i="12"/>
  <c r="P91" i="12"/>
  <c r="U90" i="12"/>
  <c r="T90" i="12"/>
  <c r="S90" i="12"/>
  <c r="R90" i="12"/>
  <c r="Q90" i="12"/>
  <c r="P90" i="12"/>
  <c r="U89" i="12"/>
  <c r="S89" i="12"/>
  <c r="R89" i="12"/>
  <c r="Q89" i="12"/>
  <c r="P89" i="12"/>
  <c r="M89" i="12"/>
  <c r="U88" i="12"/>
  <c r="S88" i="12"/>
  <c r="R88" i="12"/>
  <c r="Q88" i="12"/>
  <c r="P88" i="12"/>
  <c r="M88" i="12"/>
  <c r="U87" i="12"/>
  <c r="S87" i="12"/>
  <c r="R87" i="12"/>
  <c r="Q87" i="12"/>
  <c r="P87" i="12"/>
  <c r="M87" i="12"/>
  <c r="U86" i="12"/>
  <c r="S86" i="12"/>
  <c r="R86" i="12"/>
  <c r="Q86" i="12"/>
  <c r="P86" i="12"/>
  <c r="M86" i="12"/>
  <c r="U85" i="12"/>
  <c r="S85" i="12"/>
  <c r="R85" i="12"/>
  <c r="Q85" i="12"/>
  <c r="P85" i="12"/>
  <c r="M85" i="12"/>
  <c r="D85" i="12"/>
  <c r="J86" i="12" s="1"/>
  <c r="U84" i="12"/>
  <c r="T84" i="12"/>
  <c r="S84" i="12"/>
  <c r="R84" i="12"/>
  <c r="Q84" i="12"/>
  <c r="P84" i="12"/>
  <c r="U83" i="12"/>
  <c r="T83" i="12"/>
  <c r="S83" i="12"/>
  <c r="R83" i="12"/>
  <c r="Q83" i="12"/>
  <c r="P83" i="12"/>
  <c r="U82" i="12"/>
  <c r="T82" i="12"/>
  <c r="S82" i="12"/>
  <c r="R82" i="12"/>
  <c r="Q82" i="12"/>
  <c r="P82" i="12"/>
  <c r="D82" i="12"/>
  <c r="J79" i="12" s="1"/>
  <c r="U81" i="12"/>
  <c r="T81" i="12"/>
  <c r="S81" i="12"/>
  <c r="R81" i="12"/>
  <c r="Q81" i="12"/>
  <c r="P81" i="12"/>
  <c r="U80" i="12"/>
  <c r="T80" i="12"/>
  <c r="S80" i="12"/>
  <c r="R80" i="12"/>
  <c r="Q80" i="12"/>
  <c r="P80" i="12"/>
  <c r="U79" i="12"/>
  <c r="T79" i="12"/>
  <c r="S79" i="12"/>
  <c r="R79" i="12"/>
  <c r="P79" i="12"/>
  <c r="U78" i="12"/>
  <c r="T78" i="12"/>
  <c r="S78" i="12"/>
  <c r="R78" i="12"/>
  <c r="Q78" i="12"/>
  <c r="P78" i="12"/>
  <c r="U77" i="12"/>
  <c r="T77" i="12"/>
  <c r="S77" i="12"/>
  <c r="R77" i="12"/>
  <c r="Q77" i="12"/>
  <c r="P77" i="12"/>
  <c r="D77" i="12"/>
  <c r="J74" i="12" s="1"/>
  <c r="U76" i="12"/>
  <c r="T76" i="12"/>
  <c r="S76" i="12"/>
  <c r="R76" i="12"/>
  <c r="Q76" i="12"/>
  <c r="P76" i="12"/>
  <c r="U75" i="12"/>
  <c r="T75" i="12"/>
  <c r="S75" i="12"/>
  <c r="R75" i="12"/>
  <c r="Q75" i="12"/>
  <c r="P75" i="12"/>
  <c r="U74" i="12"/>
  <c r="T74" i="12"/>
  <c r="S74" i="12"/>
  <c r="R74" i="12"/>
  <c r="P74" i="12"/>
  <c r="U73" i="12"/>
  <c r="T73" i="12"/>
  <c r="S73" i="12"/>
  <c r="R73" i="12"/>
  <c r="Q73" i="12"/>
  <c r="P73" i="12"/>
  <c r="U72" i="12"/>
  <c r="T72" i="12"/>
  <c r="S72" i="12"/>
  <c r="R72" i="12"/>
  <c r="Q72" i="12"/>
  <c r="P72" i="12"/>
  <c r="D72" i="12"/>
  <c r="U71" i="12"/>
  <c r="T71" i="12"/>
  <c r="S71" i="12"/>
  <c r="R71" i="12"/>
  <c r="Q71" i="12"/>
  <c r="P71" i="12"/>
  <c r="U70" i="12"/>
  <c r="T70" i="12"/>
  <c r="S70" i="12"/>
  <c r="R70" i="12"/>
  <c r="P70" i="12"/>
  <c r="E70" i="12"/>
  <c r="U69" i="12"/>
  <c r="T69" i="12"/>
  <c r="S69" i="12"/>
  <c r="R69" i="12"/>
  <c r="Q69" i="12"/>
  <c r="P69" i="12"/>
  <c r="U68" i="12"/>
  <c r="T68" i="12"/>
  <c r="S68" i="12"/>
  <c r="R68" i="12"/>
  <c r="Q68" i="12"/>
  <c r="P68" i="12"/>
  <c r="U67" i="12"/>
  <c r="T67" i="12"/>
  <c r="S67" i="12"/>
  <c r="R67" i="12"/>
  <c r="Q67" i="12"/>
  <c r="P67" i="12"/>
  <c r="D67" i="12"/>
  <c r="U66" i="12"/>
  <c r="T66" i="12"/>
  <c r="S66" i="12"/>
  <c r="R66" i="12"/>
  <c r="Q66" i="12"/>
  <c r="P66" i="12"/>
  <c r="U65" i="12"/>
  <c r="T65" i="12"/>
  <c r="S65" i="12"/>
  <c r="R65" i="12"/>
  <c r="P65" i="12"/>
  <c r="E65" i="12"/>
  <c r="U64" i="12"/>
  <c r="T64" i="12"/>
  <c r="S64" i="12"/>
  <c r="R64" i="12"/>
  <c r="Q64" i="12"/>
  <c r="P64" i="12"/>
  <c r="U63" i="12"/>
  <c r="T63" i="12"/>
  <c r="S63" i="12"/>
  <c r="R63" i="12"/>
  <c r="Q63" i="12"/>
  <c r="P63" i="12"/>
  <c r="U62" i="12"/>
  <c r="S62" i="12"/>
  <c r="R62" i="12"/>
  <c r="Q62" i="12"/>
  <c r="P62" i="12"/>
  <c r="M62" i="12"/>
  <c r="T61" i="12"/>
  <c r="S61" i="12"/>
  <c r="R61" i="12"/>
  <c r="Q61" i="12"/>
  <c r="P61" i="12"/>
  <c r="M61" i="12"/>
  <c r="T60" i="12"/>
  <c r="S60" i="12"/>
  <c r="R60" i="12"/>
  <c r="Q60" i="12"/>
  <c r="P60" i="12"/>
  <c r="M60" i="12"/>
  <c r="T59" i="12"/>
  <c r="S59" i="12"/>
  <c r="R59" i="12"/>
  <c r="Q59" i="12"/>
  <c r="P59" i="12"/>
  <c r="M59" i="12"/>
  <c r="D59" i="12"/>
  <c r="J59" i="12" s="1"/>
  <c r="U58" i="12"/>
  <c r="T58" i="12"/>
  <c r="S58" i="12"/>
  <c r="R58" i="12"/>
  <c r="Q58" i="12"/>
  <c r="P58" i="12"/>
  <c r="U57" i="12"/>
  <c r="T57" i="12"/>
  <c r="S57" i="12"/>
  <c r="R57" i="12"/>
  <c r="Q57" i="12"/>
  <c r="P57" i="12"/>
  <c r="U56" i="12"/>
  <c r="T56" i="12"/>
  <c r="S56" i="12"/>
  <c r="R56" i="12"/>
  <c r="Q56" i="12"/>
  <c r="P56" i="12"/>
  <c r="D56" i="12"/>
  <c r="J53" i="12" s="1"/>
  <c r="U55" i="12"/>
  <c r="T55" i="12"/>
  <c r="S55" i="12"/>
  <c r="R55" i="12"/>
  <c r="Q55" i="12"/>
  <c r="P55" i="12"/>
  <c r="U54" i="12"/>
  <c r="T54" i="12"/>
  <c r="S54" i="12"/>
  <c r="R54" i="12"/>
  <c r="Q54" i="12"/>
  <c r="P54" i="12"/>
  <c r="U53" i="12"/>
  <c r="T53" i="12"/>
  <c r="S53" i="12"/>
  <c r="R53" i="12"/>
  <c r="P53" i="12"/>
  <c r="U52" i="12"/>
  <c r="T52" i="12"/>
  <c r="S52" i="12"/>
  <c r="R52" i="12"/>
  <c r="Q52" i="12"/>
  <c r="P52" i="12"/>
  <c r="U51" i="12"/>
  <c r="T51" i="12"/>
  <c r="S51" i="12"/>
  <c r="R51" i="12"/>
  <c r="Q51" i="12"/>
  <c r="P51" i="12"/>
  <c r="D51" i="12"/>
  <c r="U50" i="12"/>
  <c r="T50" i="12"/>
  <c r="S50" i="12"/>
  <c r="R50" i="12"/>
  <c r="Q50" i="12"/>
  <c r="P50" i="12"/>
  <c r="U49" i="12"/>
  <c r="T49" i="12"/>
  <c r="S49" i="12"/>
  <c r="R49" i="12"/>
  <c r="Q49" i="12"/>
  <c r="P49" i="12"/>
  <c r="U48" i="12"/>
  <c r="T48" i="12"/>
  <c r="S48" i="12"/>
  <c r="R48" i="12"/>
  <c r="P48" i="12"/>
  <c r="U47" i="12"/>
  <c r="T47" i="12"/>
  <c r="S47" i="12"/>
  <c r="R47" i="12"/>
  <c r="Q47" i="12"/>
  <c r="P47" i="12"/>
  <c r="U46" i="12"/>
  <c r="T46" i="12"/>
  <c r="S46" i="12"/>
  <c r="R46" i="12"/>
  <c r="Q46" i="12"/>
  <c r="P46" i="12"/>
  <c r="D46" i="12"/>
  <c r="U45" i="12"/>
  <c r="T45" i="12"/>
  <c r="S45" i="12"/>
  <c r="R45" i="12"/>
  <c r="Q45" i="12"/>
  <c r="P45" i="12"/>
  <c r="U44" i="12"/>
  <c r="T44" i="12"/>
  <c r="S44" i="12"/>
  <c r="R44" i="12"/>
  <c r="P44" i="12"/>
  <c r="E44" i="12"/>
  <c r="U43" i="12"/>
  <c r="T43" i="12"/>
  <c r="S43" i="12"/>
  <c r="R43" i="12"/>
  <c r="Q43" i="12"/>
  <c r="P43" i="12"/>
  <c r="U42" i="12"/>
  <c r="T42" i="12"/>
  <c r="S42" i="12"/>
  <c r="R42" i="12"/>
  <c r="Q42" i="12"/>
  <c r="P42" i="12"/>
  <c r="U41" i="12"/>
  <c r="T41" i="12"/>
  <c r="S41" i="12"/>
  <c r="R41" i="12"/>
  <c r="Q41" i="12"/>
  <c r="P41" i="12"/>
  <c r="D41" i="12"/>
  <c r="U40" i="12"/>
  <c r="T40" i="12"/>
  <c r="S40" i="12"/>
  <c r="R40" i="12"/>
  <c r="Q40" i="12"/>
  <c r="P40" i="12"/>
  <c r="U39" i="12"/>
  <c r="T39" i="12"/>
  <c r="S39" i="12"/>
  <c r="R39" i="12"/>
  <c r="P39" i="12"/>
  <c r="E39" i="12"/>
  <c r="U38" i="12"/>
  <c r="T38" i="12"/>
  <c r="S38" i="12"/>
  <c r="R38" i="12"/>
  <c r="Q38" i="12"/>
  <c r="P38" i="12"/>
  <c r="U37" i="12"/>
  <c r="T37" i="12"/>
  <c r="S37" i="12"/>
  <c r="R37" i="12"/>
  <c r="Q37" i="12"/>
  <c r="P37" i="12"/>
  <c r="U36" i="12"/>
  <c r="T36" i="12"/>
  <c r="R36" i="12"/>
  <c r="Q36" i="12"/>
  <c r="P36" i="12"/>
  <c r="M36" i="12"/>
  <c r="U35" i="12"/>
  <c r="T35" i="12"/>
  <c r="R35" i="12"/>
  <c r="Q35" i="12"/>
  <c r="P35" i="12"/>
  <c r="M35" i="12"/>
  <c r="U34" i="12"/>
  <c r="S34" i="12"/>
  <c r="R34" i="12"/>
  <c r="Q34" i="12"/>
  <c r="P34" i="12"/>
  <c r="M34" i="12"/>
  <c r="U33" i="12"/>
  <c r="S33" i="12"/>
  <c r="R33" i="12"/>
  <c r="Q33" i="12"/>
  <c r="P33" i="12"/>
  <c r="M33" i="12"/>
  <c r="D33" i="12"/>
  <c r="J34" i="12" s="1"/>
  <c r="U32" i="12"/>
  <c r="T32" i="12"/>
  <c r="S32" i="12"/>
  <c r="R32" i="12"/>
  <c r="Q32" i="12"/>
  <c r="P32" i="12"/>
  <c r="U31" i="12"/>
  <c r="T31" i="12"/>
  <c r="S31" i="12"/>
  <c r="R31" i="12"/>
  <c r="Q31" i="12"/>
  <c r="P31" i="12"/>
  <c r="U30" i="12"/>
  <c r="T30" i="12"/>
  <c r="S30" i="12"/>
  <c r="R30" i="12"/>
  <c r="Q30" i="12"/>
  <c r="P30" i="12"/>
  <c r="D30" i="12"/>
  <c r="J27" i="12" s="1"/>
  <c r="U29" i="12"/>
  <c r="T29" i="12"/>
  <c r="S29" i="12"/>
  <c r="R29" i="12"/>
  <c r="Q29" i="12"/>
  <c r="P29" i="12"/>
  <c r="U28" i="12"/>
  <c r="T28" i="12"/>
  <c r="S28" i="12"/>
  <c r="R28" i="12"/>
  <c r="Q28" i="12"/>
  <c r="P28" i="12"/>
  <c r="U27" i="12"/>
  <c r="T27" i="12"/>
  <c r="S27" i="12"/>
  <c r="R27" i="12"/>
  <c r="P27" i="12"/>
  <c r="U26" i="12"/>
  <c r="T26" i="12"/>
  <c r="S26" i="12"/>
  <c r="R26" i="12"/>
  <c r="Q26" i="12"/>
  <c r="P26" i="12"/>
  <c r="U25" i="12"/>
  <c r="T25" i="12"/>
  <c r="S25" i="12"/>
  <c r="R25" i="12"/>
  <c r="Q25" i="12"/>
  <c r="P25" i="12"/>
  <c r="D25" i="12"/>
  <c r="J22" i="12" s="1"/>
  <c r="U24" i="12"/>
  <c r="T24" i="12"/>
  <c r="S24" i="12"/>
  <c r="R24" i="12"/>
  <c r="Q24" i="12"/>
  <c r="P24" i="12"/>
  <c r="U23" i="12"/>
  <c r="T23" i="12"/>
  <c r="S23" i="12"/>
  <c r="R23" i="12"/>
  <c r="Q23" i="12"/>
  <c r="P23" i="12"/>
  <c r="U22" i="12"/>
  <c r="T22" i="12"/>
  <c r="S22" i="12"/>
  <c r="R22" i="12"/>
  <c r="P22" i="12"/>
  <c r="U21" i="12"/>
  <c r="T21" i="12"/>
  <c r="S21" i="12"/>
  <c r="R21" i="12"/>
  <c r="Q21" i="12"/>
  <c r="P21" i="12"/>
  <c r="U20" i="12"/>
  <c r="T20" i="12"/>
  <c r="S20" i="12"/>
  <c r="R20" i="12"/>
  <c r="Q20" i="12"/>
  <c r="P20" i="12"/>
  <c r="D20" i="12"/>
  <c r="U19" i="12"/>
  <c r="T19" i="12"/>
  <c r="S19" i="12"/>
  <c r="R19" i="12"/>
  <c r="Q19" i="12"/>
  <c r="P19" i="12"/>
  <c r="U18" i="12"/>
  <c r="T18" i="12"/>
  <c r="S18" i="12"/>
  <c r="R18" i="12"/>
  <c r="P18" i="12"/>
  <c r="E18" i="12"/>
  <c r="U17" i="12"/>
  <c r="T17" i="12"/>
  <c r="S17" i="12"/>
  <c r="R17" i="12"/>
  <c r="Q17" i="12"/>
  <c r="P17" i="12"/>
  <c r="U16" i="12"/>
  <c r="T16" i="12"/>
  <c r="S16" i="12"/>
  <c r="R16" i="12"/>
  <c r="Q16" i="12"/>
  <c r="P16" i="12"/>
  <c r="U15" i="12"/>
  <c r="T15" i="12"/>
  <c r="S15" i="12"/>
  <c r="R15" i="12"/>
  <c r="Q15" i="12"/>
  <c r="P15" i="12"/>
  <c r="D15" i="12"/>
  <c r="U14" i="12"/>
  <c r="T14" i="12"/>
  <c r="S14" i="12"/>
  <c r="R14" i="12"/>
  <c r="Q14" i="12"/>
  <c r="P14" i="12"/>
  <c r="U13" i="12"/>
  <c r="T13" i="12"/>
  <c r="S13" i="12"/>
  <c r="R13" i="12"/>
  <c r="P13" i="12"/>
  <c r="E13" i="12"/>
  <c r="U12" i="12"/>
  <c r="T12" i="12"/>
  <c r="S12" i="12"/>
  <c r="R12" i="12"/>
  <c r="Q12" i="12"/>
  <c r="P12" i="12"/>
  <c r="U11" i="12"/>
  <c r="T11" i="12"/>
  <c r="S11" i="12"/>
  <c r="R11" i="12"/>
  <c r="Q11" i="12"/>
  <c r="P11" i="12"/>
  <c r="U10" i="12"/>
  <c r="T10" i="12"/>
  <c r="S10" i="12"/>
  <c r="Q10" i="12"/>
  <c r="P10" i="12"/>
  <c r="U9" i="12"/>
  <c r="T9" i="12"/>
  <c r="R9" i="12"/>
  <c r="Q9" i="12"/>
  <c r="P9" i="12"/>
  <c r="M9" i="12"/>
  <c r="U8" i="12"/>
  <c r="T8" i="12"/>
  <c r="S8" i="12"/>
  <c r="Q8" i="12"/>
  <c r="P8" i="12"/>
  <c r="M8" i="12"/>
  <c r="U7" i="12"/>
  <c r="T7" i="12"/>
  <c r="R7" i="12"/>
  <c r="Q7" i="12"/>
  <c r="P7" i="12"/>
  <c r="M7" i="12"/>
  <c r="D7" i="12"/>
  <c r="J8" i="12" s="1"/>
  <c r="U6" i="12"/>
  <c r="T6" i="12"/>
  <c r="S6" i="12"/>
  <c r="R6" i="12"/>
  <c r="Q6" i="12"/>
  <c r="P6" i="12"/>
  <c r="U5" i="12"/>
  <c r="T5" i="12"/>
  <c r="S5" i="12"/>
  <c r="R5" i="12"/>
  <c r="Q5" i="12"/>
  <c r="P5" i="12"/>
  <c r="N555" i="12" l="1"/>
  <c r="K555" i="12" s="1"/>
  <c r="J328" i="12"/>
  <c r="N328" i="12" s="1"/>
  <c r="O328" i="12" s="1"/>
  <c r="Q328" i="12" s="1"/>
  <c r="J396" i="12"/>
  <c r="N180" i="12"/>
  <c r="N121" i="12"/>
  <c r="O121" i="12" s="1"/>
  <c r="S121" i="12" s="1"/>
  <c r="J298" i="12"/>
  <c r="N298" i="12" s="1"/>
  <c r="O298" i="12" s="1"/>
  <c r="Q298" i="12" s="1"/>
  <c r="J346" i="12"/>
  <c r="J369" i="12"/>
  <c r="N369" i="12" s="1"/>
  <c r="O369" i="12" s="1"/>
  <c r="Q369" i="12" s="1"/>
  <c r="J374" i="12"/>
  <c r="N374" i="12" s="1"/>
  <c r="O374" i="12" s="1"/>
  <c r="Q374" i="12" s="1"/>
  <c r="J416" i="12"/>
  <c r="J468" i="12"/>
  <c r="J44" i="12"/>
  <c r="N44" i="12" s="1"/>
  <c r="O44" i="12" s="1"/>
  <c r="Q44" i="12" s="1"/>
  <c r="J18" i="12"/>
  <c r="N18" i="12" s="1"/>
  <c r="O18" i="12" s="1"/>
  <c r="Q18" i="12" s="1"/>
  <c r="J39" i="12"/>
  <c r="N39" i="12" s="1"/>
  <c r="O39" i="12" s="1"/>
  <c r="Q39" i="12" s="1"/>
  <c r="J92" i="12"/>
  <c r="N92" i="12" s="1"/>
  <c r="O92" i="12" s="1"/>
  <c r="Q92" i="12" s="1"/>
  <c r="J160" i="12"/>
  <c r="N160" i="12" s="1"/>
  <c r="O160" i="12" s="1"/>
  <c r="Q160" i="12" s="1"/>
  <c r="J169" i="12"/>
  <c r="N169" i="12" s="1"/>
  <c r="O169" i="12" s="1"/>
  <c r="Q169" i="12" s="1"/>
  <c r="J183" i="12"/>
  <c r="N183" i="12" s="1"/>
  <c r="K183" i="12" s="1"/>
  <c r="J222" i="12"/>
  <c r="N222" i="12" s="1"/>
  <c r="O222" i="12" s="1"/>
  <c r="Q222" i="12" s="1"/>
  <c r="J243" i="12"/>
  <c r="N243" i="12" s="1"/>
  <c r="O243" i="12" s="1"/>
  <c r="Q243" i="12" s="1"/>
  <c r="J263" i="12"/>
  <c r="N263" i="12" s="1"/>
  <c r="O263" i="12" s="1"/>
  <c r="Q263" i="12" s="1"/>
  <c r="J303" i="12"/>
  <c r="N303" i="12" s="1"/>
  <c r="O303" i="12" s="1"/>
  <c r="Q303" i="12" s="1"/>
  <c r="N346" i="12"/>
  <c r="O346" i="12" s="1"/>
  <c r="Q346" i="12" s="1"/>
  <c r="N359" i="12"/>
  <c r="O359" i="12" s="1"/>
  <c r="S359" i="12" s="1"/>
  <c r="N385" i="12"/>
  <c r="K385" i="12" s="1"/>
  <c r="N416" i="12"/>
  <c r="O416" i="12" s="1"/>
  <c r="Q416" i="12" s="1"/>
  <c r="J432" i="12"/>
  <c r="N432" i="12" s="1"/>
  <c r="O432" i="12" s="1"/>
  <c r="Q432" i="12" s="1"/>
  <c r="J452" i="12"/>
  <c r="N452" i="12" s="1"/>
  <c r="O452" i="12" s="1"/>
  <c r="Q452" i="12" s="1"/>
  <c r="J500" i="12"/>
  <c r="N500" i="12" s="1"/>
  <c r="O500" i="12" s="1"/>
  <c r="Q500" i="12" s="1"/>
  <c r="N515" i="12"/>
  <c r="O515" i="12" s="1"/>
  <c r="R515" i="12" s="1"/>
  <c r="J525" i="12"/>
  <c r="N525" i="12" s="1"/>
  <c r="O525" i="12" s="1"/>
  <c r="Q525" i="12" s="1"/>
  <c r="J545" i="12"/>
  <c r="N545" i="12" s="1"/>
  <c r="O545" i="12" s="1"/>
  <c r="Q545" i="12" s="1"/>
  <c r="J570" i="12"/>
  <c r="N570" i="12" s="1"/>
  <c r="O570" i="12" s="1"/>
  <c r="Q570" i="12" s="1"/>
  <c r="J13" i="12"/>
  <c r="N13" i="12" s="1"/>
  <c r="O13" i="12" s="1"/>
  <c r="Q13" i="12" s="1"/>
  <c r="J48" i="12"/>
  <c r="N48" i="12" s="1"/>
  <c r="O48" i="12" s="1"/>
  <c r="Q48" i="12" s="1"/>
  <c r="N86" i="12"/>
  <c r="O86" i="12" s="1"/>
  <c r="T86" i="12" s="1"/>
  <c r="J155" i="12"/>
  <c r="N155" i="12" s="1"/>
  <c r="O155" i="12" s="1"/>
  <c r="Q155" i="12" s="1"/>
  <c r="J196" i="12"/>
  <c r="N196" i="12" s="1"/>
  <c r="O196" i="12" s="1"/>
  <c r="Q196" i="12" s="1"/>
  <c r="J217" i="12"/>
  <c r="N217" i="12" s="1"/>
  <c r="O217" i="12" s="1"/>
  <c r="Q217" i="12" s="1"/>
  <c r="J258" i="12"/>
  <c r="N258" i="12" s="1"/>
  <c r="O258" i="12" s="1"/>
  <c r="Q258" i="12" s="1"/>
  <c r="J293" i="12"/>
  <c r="N293" i="12" s="1"/>
  <c r="O293" i="12" s="1"/>
  <c r="Q293" i="12" s="1"/>
  <c r="J341" i="12"/>
  <c r="N341" i="12" s="1"/>
  <c r="O341" i="12" s="1"/>
  <c r="Q341" i="12" s="1"/>
  <c r="J364" i="12"/>
  <c r="J411" i="12"/>
  <c r="N411" i="12" s="1"/>
  <c r="O411" i="12" s="1"/>
  <c r="Q411" i="12" s="1"/>
  <c r="J427" i="12"/>
  <c r="N427" i="12" s="1"/>
  <c r="O427" i="12" s="1"/>
  <c r="Q427" i="12" s="1"/>
  <c r="J447" i="12"/>
  <c r="N447" i="12" s="1"/>
  <c r="O447" i="12" s="1"/>
  <c r="Q447" i="12" s="1"/>
  <c r="J505" i="12"/>
  <c r="N505" i="12" s="1"/>
  <c r="O505" i="12" s="1"/>
  <c r="Q505" i="12" s="1"/>
  <c r="J520" i="12"/>
  <c r="N520" i="12" s="1"/>
  <c r="O520" i="12" s="1"/>
  <c r="Q520" i="12" s="1"/>
  <c r="J540" i="12"/>
  <c r="N540" i="12" s="1"/>
  <c r="O540" i="12" s="1"/>
  <c r="Q540" i="12" s="1"/>
  <c r="N59" i="12"/>
  <c r="O59" i="12" s="1"/>
  <c r="U59" i="12" s="1"/>
  <c r="J70" i="12"/>
  <c r="N70" i="12" s="1"/>
  <c r="O70" i="12" s="1"/>
  <c r="Q70" i="12" s="1"/>
  <c r="J129" i="12"/>
  <c r="N129" i="12" s="1"/>
  <c r="O129" i="12" s="1"/>
  <c r="Q129" i="12" s="1"/>
  <c r="N152" i="12"/>
  <c r="J164" i="12"/>
  <c r="N164" i="12" s="1"/>
  <c r="O164" i="12" s="1"/>
  <c r="Q164" i="12" s="1"/>
  <c r="J191" i="12"/>
  <c r="N191" i="12" s="1"/>
  <c r="O191" i="12" s="1"/>
  <c r="Q191" i="12" s="1"/>
  <c r="J253" i="12"/>
  <c r="N253" i="12" s="1"/>
  <c r="O253" i="12" s="1"/>
  <c r="Q253" i="12" s="1"/>
  <c r="N277" i="12"/>
  <c r="O277" i="12" s="1"/>
  <c r="S277" i="12" s="1"/>
  <c r="J288" i="12"/>
  <c r="N288" i="12" s="1"/>
  <c r="O288" i="12" s="1"/>
  <c r="Q288" i="12" s="1"/>
  <c r="N318" i="12"/>
  <c r="O318" i="12" s="1"/>
  <c r="R318" i="12" s="1"/>
  <c r="N337" i="12"/>
  <c r="K337" i="12" s="1"/>
  <c r="N407" i="12"/>
  <c r="O407" i="12" s="1"/>
  <c r="S407" i="12" s="1"/>
  <c r="J442" i="12"/>
  <c r="N442" i="12" s="1"/>
  <c r="O442" i="12" s="1"/>
  <c r="Q442" i="12" s="1"/>
  <c r="J473" i="12"/>
  <c r="N473" i="12" s="1"/>
  <c r="O473" i="12" s="1"/>
  <c r="Q473" i="12" s="1"/>
  <c r="N492" i="12"/>
  <c r="O492" i="12" s="1"/>
  <c r="Q492" i="12" s="1"/>
  <c r="J495" i="12"/>
  <c r="N495" i="12" s="1"/>
  <c r="O495" i="12" s="1"/>
  <c r="Q495" i="12" s="1"/>
  <c r="J535" i="12"/>
  <c r="N535" i="12" s="1"/>
  <c r="O535" i="12" s="1"/>
  <c r="Q535" i="12" s="1"/>
  <c r="J65" i="12"/>
  <c r="N65" i="12" s="1"/>
  <c r="O65" i="12" s="1"/>
  <c r="Q65" i="12" s="1"/>
  <c r="J97" i="12"/>
  <c r="N97" i="12" s="1"/>
  <c r="O97" i="12" s="1"/>
  <c r="Q97" i="12" s="1"/>
  <c r="J106" i="12"/>
  <c r="N106" i="12" s="1"/>
  <c r="O106" i="12" s="1"/>
  <c r="Q106" i="12" s="1"/>
  <c r="J124" i="12"/>
  <c r="N124" i="12" s="1"/>
  <c r="O124" i="12" s="1"/>
  <c r="Q124" i="12" s="1"/>
  <c r="J186" i="12"/>
  <c r="N186" i="12" s="1"/>
  <c r="O186" i="12" s="1"/>
  <c r="Q186" i="12" s="1"/>
  <c r="J248" i="12"/>
  <c r="N248" i="12" s="1"/>
  <c r="O248" i="12" s="1"/>
  <c r="Q248" i="12" s="1"/>
  <c r="J268" i="12"/>
  <c r="N268" i="12" s="1"/>
  <c r="O268" i="12" s="1"/>
  <c r="Q268" i="12" s="1"/>
  <c r="J283" i="12"/>
  <c r="J308" i="12"/>
  <c r="N308" i="12" s="1"/>
  <c r="O308" i="12" s="1"/>
  <c r="Q308" i="12" s="1"/>
  <c r="J323" i="12"/>
  <c r="N323" i="12" s="1"/>
  <c r="O323" i="12" s="1"/>
  <c r="Q323" i="12" s="1"/>
  <c r="J391" i="12"/>
  <c r="N391" i="12" s="1"/>
  <c r="O391" i="12" s="1"/>
  <c r="Q391" i="12" s="1"/>
  <c r="J437" i="12"/>
  <c r="N437" i="12" s="1"/>
  <c r="O437" i="12" s="1"/>
  <c r="Q437" i="12" s="1"/>
  <c r="J478" i="12"/>
  <c r="N478" i="12" s="1"/>
  <c r="O478" i="12" s="1"/>
  <c r="Q478" i="12" s="1"/>
  <c r="J530" i="12"/>
  <c r="N530" i="12" s="1"/>
  <c r="O530" i="12" s="1"/>
  <c r="Q530" i="12" s="1"/>
  <c r="J565" i="12"/>
  <c r="N565" i="12" s="1"/>
  <c r="O565" i="12" s="1"/>
  <c r="Q565" i="12" s="1"/>
  <c r="N238" i="12"/>
  <c r="K238" i="12" s="1"/>
  <c r="N34" i="12"/>
  <c r="O34" i="12" s="1"/>
  <c r="T34" i="12" s="1"/>
  <c r="N27" i="12"/>
  <c r="O27" i="12" s="1"/>
  <c r="Q27" i="12" s="1"/>
  <c r="N144" i="12"/>
  <c r="O144" i="12" s="1"/>
  <c r="Q144" i="12" s="1"/>
  <c r="N422" i="12"/>
  <c r="O422" i="12" s="1"/>
  <c r="S422" i="12" s="1"/>
  <c r="J150" i="12"/>
  <c r="N150" i="12" s="1"/>
  <c r="N175" i="12"/>
  <c r="O175" i="12" s="1"/>
  <c r="Q175" i="12" s="1"/>
  <c r="N211" i="12"/>
  <c r="K211" i="12" s="1"/>
  <c r="J279" i="12"/>
  <c r="N279" i="12" s="1"/>
  <c r="O279" i="12" s="1"/>
  <c r="Q279" i="12" s="1"/>
  <c r="N313" i="12"/>
  <c r="O313" i="12" s="1"/>
  <c r="Q313" i="12" s="1"/>
  <c r="J556" i="12"/>
  <c r="N556" i="12" s="1"/>
  <c r="K556" i="12" s="1"/>
  <c r="O560" i="12"/>
  <c r="Q560" i="12" s="1"/>
  <c r="J182" i="12"/>
  <c r="N182" i="12" s="1"/>
  <c r="K182" i="12" s="1"/>
  <c r="J237" i="12"/>
  <c r="N237" i="12" s="1"/>
  <c r="N101" i="12"/>
  <c r="O101" i="12" s="1"/>
  <c r="Q101" i="12" s="1"/>
  <c r="J179" i="12"/>
  <c r="N226" i="12"/>
  <c r="O226" i="12" s="1"/>
  <c r="Q226" i="12" s="1"/>
  <c r="N396" i="12"/>
  <c r="O396" i="12" s="1"/>
  <c r="Q396" i="12" s="1"/>
  <c r="J487" i="12"/>
  <c r="N487" i="12" s="1"/>
  <c r="O487" i="12" s="1"/>
  <c r="S487" i="12" s="1"/>
  <c r="J554" i="12"/>
  <c r="J557" i="12"/>
  <c r="N557" i="12" s="1"/>
  <c r="J66" i="7"/>
  <c r="M66" i="7" s="1"/>
  <c r="J21" i="20"/>
  <c r="N8" i="12"/>
  <c r="K8" i="12" s="1"/>
  <c r="N462" i="12"/>
  <c r="K462" i="12" s="1"/>
  <c r="J7" i="12"/>
  <c r="J465" i="12"/>
  <c r="J514" i="12"/>
  <c r="J36" i="12"/>
  <c r="N510" i="12"/>
  <c r="O510" i="12" s="1"/>
  <c r="Q510" i="12" s="1"/>
  <c r="J33" i="12"/>
  <c r="N33" i="12" s="1"/>
  <c r="O33" i="12" s="1"/>
  <c r="T33" i="12" s="1"/>
  <c r="J9" i="12"/>
  <c r="J10" i="12"/>
  <c r="N22" i="12"/>
  <c r="O22" i="12" s="1"/>
  <c r="Q22" i="12" s="1"/>
  <c r="J87" i="12"/>
  <c r="N200" i="12"/>
  <c r="O200" i="12" s="1"/>
  <c r="Q200" i="12" s="1"/>
  <c r="J213" i="12"/>
  <c r="N213" i="12" s="1"/>
  <c r="O213" i="12" s="1"/>
  <c r="T213" i="12" s="1"/>
  <c r="J214" i="12"/>
  <c r="N273" i="12"/>
  <c r="O273" i="12" s="1"/>
  <c r="Q273" i="12" s="1"/>
  <c r="N283" i="12"/>
  <c r="O283" i="12" s="1"/>
  <c r="Q283" i="12" s="1"/>
  <c r="J335" i="12"/>
  <c r="J336" i="12"/>
  <c r="J355" i="12"/>
  <c r="J360" i="12"/>
  <c r="J421" i="12"/>
  <c r="N421" i="12" s="1"/>
  <c r="K421" i="12" s="1"/>
  <c r="J461" i="12"/>
  <c r="J464" i="12"/>
  <c r="J491" i="12"/>
  <c r="N53" i="12"/>
  <c r="O53" i="12" s="1"/>
  <c r="Q53" i="12" s="1"/>
  <c r="N74" i="12"/>
  <c r="O74" i="12" s="1"/>
  <c r="Q74" i="12" s="1"/>
  <c r="N79" i="12"/>
  <c r="O79" i="12" s="1"/>
  <c r="Q79" i="12" s="1"/>
  <c r="N112" i="12"/>
  <c r="O112" i="12" s="1"/>
  <c r="Q112" i="12" s="1"/>
  <c r="J151" i="12"/>
  <c r="N151" i="12" s="1"/>
  <c r="N205" i="12"/>
  <c r="O205" i="12" s="1"/>
  <c r="Q205" i="12" s="1"/>
  <c r="N231" i="12"/>
  <c r="O231" i="12" s="1"/>
  <c r="Q231" i="12" s="1"/>
  <c r="J319" i="12"/>
  <c r="J357" i="12"/>
  <c r="J463" i="12"/>
  <c r="N468" i="12"/>
  <c r="O468" i="12" s="1"/>
  <c r="Q468" i="12" s="1"/>
  <c r="J490" i="12"/>
  <c r="N490" i="12" s="1"/>
  <c r="O490" i="12" s="1"/>
  <c r="R490" i="12" s="1"/>
  <c r="P613" i="12"/>
  <c r="P615" i="12" s="1"/>
  <c r="J35" i="12"/>
  <c r="N35" i="12" s="1"/>
  <c r="J62" i="12"/>
  <c r="N62" i="12" s="1"/>
  <c r="J85" i="12"/>
  <c r="N85" i="12" s="1"/>
  <c r="J89" i="12"/>
  <c r="N89" i="12" s="1"/>
  <c r="J120" i="12"/>
  <c r="N120" i="12" s="1"/>
  <c r="J61" i="12"/>
  <c r="N61" i="12" s="1"/>
  <c r="J88" i="12"/>
  <c r="N88" i="12" s="1"/>
  <c r="J119" i="12"/>
  <c r="N119" i="12" s="1"/>
  <c r="N138" i="12"/>
  <c r="O138" i="12" s="1"/>
  <c r="Q138" i="12" s="1"/>
  <c r="J60" i="12"/>
  <c r="N60" i="12" s="1"/>
  <c r="J118" i="12"/>
  <c r="N118" i="12" s="1"/>
  <c r="J117" i="12"/>
  <c r="N117" i="12" s="1"/>
  <c r="J149" i="12"/>
  <c r="N149" i="12" s="1"/>
  <c r="J181" i="12"/>
  <c r="N181" i="12" s="1"/>
  <c r="J212" i="12"/>
  <c r="N212" i="12" s="1"/>
  <c r="J239" i="12"/>
  <c r="N239" i="12" s="1"/>
  <c r="J278" i="12"/>
  <c r="N278" i="12" s="1"/>
  <c r="J317" i="12"/>
  <c r="N317" i="12" s="1"/>
  <c r="J321" i="12"/>
  <c r="N321" i="12" s="1"/>
  <c r="J334" i="12"/>
  <c r="N334" i="12" s="1"/>
  <c r="J338" i="12"/>
  <c r="N338" i="12" s="1"/>
  <c r="N364" i="12"/>
  <c r="O364" i="12" s="1"/>
  <c r="Q364" i="12" s="1"/>
  <c r="J386" i="12"/>
  <c r="N386" i="12" s="1"/>
  <c r="J387" i="12"/>
  <c r="N387" i="12" s="1"/>
  <c r="J383" i="12"/>
  <c r="N383" i="12" s="1"/>
  <c r="J388" i="12"/>
  <c r="N388" i="12" s="1"/>
  <c r="J384" i="12"/>
  <c r="N384" i="12" s="1"/>
  <c r="J148" i="12"/>
  <c r="N148" i="12" s="1"/>
  <c r="J320" i="12"/>
  <c r="N320" i="12" s="1"/>
  <c r="J333" i="12"/>
  <c r="N333" i="12" s="1"/>
  <c r="J356" i="12"/>
  <c r="N356" i="12" s="1"/>
  <c r="J358" i="12"/>
  <c r="N358" i="12" s="1"/>
  <c r="J361" i="12"/>
  <c r="N361" i="12" s="1"/>
  <c r="J402" i="12"/>
  <c r="N402" i="12" s="1"/>
  <c r="J406" i="12"/>
  <c r="N406" i="12" s="1"/>
  <c r="J401" i="12"/>
  <c r="N401" i="12" s="1"/>
  <c r="J405" i="12"/>
  <c r="N405" i="12" s="1"/>
  <c r="J423" i="12"/>
  <c r="N423" i="12" s="1"/>
  <c r="J489" i="12"/>
  <c r="N489" i="12" s="1"/>
  <c r="J516" i="12"/>
  <c r="N516" i="12" s="1"/>
  <c r="J404" i="12"/>
  <c r="N404" i="12" s="1"/>
  <c r="J408" i="12"/>
  <c r="N408" i="12" s="1"/>
  <c r="J488" i="12"/>
  <c r="N488" i="12" s="1"/>
  <c r="J403" i="12"/>
  <c r="N403" i="12" s="1"/>
  <c r="K277" i="12" l="1"/>
  <c r="K487" i="12"/>
  <c r="K422" i="12"/>
  <c r="K407" i="12"/>
  <c r="K33" i="12"/>
  <c r="O421" i="12"/>
  <c r="S421" i="12" s="1"/>
  <c r="O555" i="12"/>
  <c r="R555" i="12" s="1"/>
  <c r="O337" i="12"/>
  <c r="R337" i="12" s="1"/>
  <c r="K490" i="12"/>
  <c r="K515" i="12"/>
  <c r="O238" i="12"/>
  <c r="R238" i="12" s="1"/>
  <c r="O183" i="12"/>
  <c r="R183" i="12" s="1"/>
  <c r="O8" i="12"/>
  <c r="R8" i="12" s="1"/>
  <c r="N463" i="12"/>
  <c r="O463" i="12" s="1"/>
  <c r="R463" i="12" s="1"/>
  <c r="N491" i="12"/>
  <c r="O491" i="12" s="1"/>
  <c r="R491" i="12" s="1"/>
  <c r="N336" i="12"/>
  <c r="K336" i="12" s="1"/>
  <c r="N36" i="12"/>
  <c r="O36" i="12" s="1"/>
  <c r="S36" i="12" s="1"/>
  <c r="N7" i="12"/>
  <c r="O7" i="12" s="1"/>
  <c r="S7" i="12" s="1"/>
  <c r="N357" i="12"/>
  <c r="O357" i="12" s="1"/>
  <c r="T357" i="12" s="1"/>
  <c r="N464" i="12"/>
  <c r="O464" i="12" s="1"/>
  <c r="R464" i="12" s="1"/>
  <c r="N335" i="12"/>
  <c r="O335" i="12" s="1"/>
  <c r="R335" i="12" s="1"/>
  <c r="N10" i="12"/>
  <c r="K10" i="12" s="1"/>
  <c r="N514" i="12"/>
  <c r="O514" i="12" s="1"/>
  <c r="S514" i="12" s="1"/>
  <c r="N554" i="12"/>
  <c r="O554" i="12" s="1"/>
  <c r="S554" i="12" s="1"/>
  <c r="N179" i="12"/>
  <c r="K179" i="12" s="1"/>
  <c r="N319" i="12"/>
  <c r="K319" i="12" s="1"/>
  <c r="N461" i="12"/>
  <c r="K461" i="12" s="1"/>
  <c r="N360" i="12"/>
  <c r="K360" i="12" s="1"/>
  <c r="N214" i="12"/>
  <c r="K214" i="12" s="1"/>
  <c r="N87" i="12"/>
  <c r="K87" i="12" s="1"/>
  <c r="N9" i="12"/>
  <c r="O9" i="12" s="1"/>
  <c r="S9" i="12" s="1"/>
  <c r="N465" i="12"/>
  <c r="O465" i="12" s="1"/>
  <c r="R465" i="12" s="1"/>
  <c r="N355" i="12"/>
  <c r="O355" i="12" s="1"/>
  <c r="T355" i="12" s="1"/>
  <c r="G6" i="14"/>
  <c r="G8" i="14"/>
  <c r="O462" i="12"/>
  <c r="S462" i="12" s="1"/>
  <c r="K34" i="12"/>
  <c r="K279" i="12"/>
  <c r="O182" i="12"/>
  <c r="R182" i="12" s="1"/>
  <c r="K121" i="12"/>
  <c r="K557" i="12"/>
  <c r="O557" i="12"/>
  <c r="Q557" i="12" s="1"/>
  <c r="O237" i="12"/>
  <c r="S237" i="12" s="1"/>
  <c r="K237" i="12"/>
  <c r="K150" i="12"/>
  <c r="O150" i="12"/>
  <c r="R150" i="12" s="1"/>
  <c r="O556" i="12"/>
  <c r="R556" i="12" s="1"/>
  <c r="K318" i="12"/>
  <c r="K59" i="12"/>
  <c r="O385" i="12"/>
  <c r="S385" i="12" s="1"/>
  <c r="K213" i="12"/>
  <c r="K492" i="12"/>
  <c r="K359" i="12"/>
  <c r="O211" i="12"/>
  <c r="T211" i="12" s="1"/>
  <c r="K86" i="12"/>
  <c r="O152" i="12"/>
  <c r="R152" i="12" s="1"/>
  <c r="K152" i="12"/>
  <c r="O180" i="12"/>
  <c r="R180" i="12" s="1"/>
  <c r="K180" i="12"/>
  <c r="O151" i="12"/>
  <c r="R151" i="12" s="1"/>
  <c r="K151" i="12"/>
  <c r="K404" i="12"/>
  <c r="O404" i="12"/>
  <c r="S404" i="12" s="1"/>
  <c r="K405" i="12"/>
  <c r="O405" i="12"/>
  <c r="S405" i="12" s="1"/>
  <c r="K402" i="12"/>
  <c r="O402" i="12"/>
  <c r="S402" i="12" s="1"/>
  <c r="K333" i="12"/>
  <c r="O333" i="12"/>
  <c r="S333" i="12" s="1"/>
  <c r="K388" i="12"/>
  <c r="O388" i="12"/>
  <c r="R388" i="12" s="1"/>
  <c r="K321" i="12"/>
  <c r="O321" i="12"/>
  <c r="R321" i="12" s="1"/>
  <c r="K239" i="12"/>
  <c r="O239" i="12"/>
  <c r="Q239" i="12" s="1"/>
  <c r="K149" i="12"/>
  <c r="O149" i="12"/>
  <c r="R149" i="12" s="1"/>
  <c r="K118" i="12"/>
  <c r="O118" i="12"/>
  <c r="S118" i="12" s="1"/>
  <c r="K119" i="12"/>
  <c r="O119" i="12"/>
  <c r="S119" i="12" s="1"/>
  <c r="K85" i="12"/>
  <c r="O85" i="12"/>
  <c r="T85" i="12" s="1"/>
  <c r="O403" i="12"/>
  <c r="S403" i="12" s="1"/>
  <c r="K403" i="12"/>
  <c r="K516" i="12"/>
  <c r="O516" i="12"/>
  <c r="Q516" i="12" s="1"/>
  <c r="K401" i="12"/>
  <c r="O401" i="12"/>
  <c r="S401" i="12" s="1"/>
  <c r="K361" i="12"/>
  <c r="O361" i="12"/>
  <c r="S361" i="12" s="1"/>
  <c r="K320" i="12"/>
  <c r="O320" i="12"/>
  <c r="R320" i="12" s="1"/>
  <c r="K383" i="12"/>
  <c r="O383" i="12"/>
  <c r="S383" i="12" s="1"/>
  <c r="K338" i="12"/>
  <c r="O338" i="12"/>
  <c r="R338" i="12" s="1"/>
  <c r="K317" i="12"/>
  <c r="O317" i="12"/>
  <c r="S317" i="12" s="1"/>
  <c r="K60" i="12"/>
  <c r="O60" i="12"/>
  <c r="U60" i="12" s="1"/>
  <c r="K88" i="12"/>
  <c r="O88" i="12"/>
  <c r="T88" i="12" s="1"/>
  <c r="K62" i="12"/>
  <c r="O62" i="12"/>
  <c r="T62" i="12" s="1"/>
  <c r="K488" i="12"/>
  <c r="O488" i="12"/>
  <c r="S488" i="12" s="1"/>
  <c r="K489" i="12"/>
  <c r="O489" i="12"/>
  <c r="R489" i="12" s="1"/>
  <c r="K358" i="12"/>
  <c r="O358" i="12"/>
  <c r="S358" i="12" s="1"/>
  <c r="O148" i="12"/>
  <c r="S148" i="12" s="1"/>
  <c r="K148" i="12"/>
  <c r="K387" i="12"/>
  <c r="O387" i="12"/>
  <c r="R387" i="12" s="1"/>
  <c r="K212" i="12"/>
  <c r="O212" i="12"/>
  <c r="T212" i="12" s="1"/>
  <c r="O117" i="12"/>
  <c r="T117" i="12" s="1"/>
  <c r="K117" i="12"/>
  <c r="K61" i="12"/>
  <c r="O61" i="12"/>
  <c r="U61" i="12" s="1"/>
  <c r="K120" i="12"/>
  <c r="O120" i="12"/>
  <c r="S120" i="12" s="1"/>
  <c r="K35" i="12"/>
  <c r="O35" i="12"/>
  <c r="S35" i="12" s="1"/>
  <c r="K408" i="12"/>
  <c r="O408" i="12"/>
  <c r="S408" i="12" s="1"/>
  <c r="K423" i="12"/>
  <c r="O423" i="12"/>
  <c r="R423" i="12" s="1"/>
  <c r="K406" i="12"/>
  <c r="O406" i="12"/>
  <c r="S406" i="12" s="1"/>
  <c r="K356" i="12"/>
  <c r="O356" i="12"/>
  <c r="T356" i="12" s="1"/>
  <c r="K384" i="12"/>
  <c r="O384" i="12"/>
  <c r="S384" i="12" s="1"/>
  <c r="K386" i="12"/>
  <c r="O386" i="12"/>
  <c r="R386" i="12" s="1"/>
  <c r="K334" i="12"/>
  <c r="O334" i="12"/>
  <c r="R334" i="12" s="1"/>
  <c r="K278" i="12"/>
  <c r="O278" i="12"/>
  <c r="R278" i="12" s="1"/>
  <c r="K181" i="12"/>
  <c r="O181" i="12"/>
  <c r="R181" i="12" s="1"/>
  <c r="K89" i="12"/>
  <c r="O89" i="12"/>
  <c r="T89" i="12" s="1"/>
  <c r="O10" i="12" l="1"/>
  <c r="R10" i="12" s="1"/>
  <c r="K357" i="12"/>
  <c r="K9" i="12"/>
  <c r="O179" i="12"/>
  <c r="S179" i="12" s="1"/>
  <c r="O461" i="12"/>
  <c r="S461" i="12" s="1"/>
  <c r="O87" i="12"/>
  <c r="T87" i="12" s="1"/>
  <c r="O214" i="12"/>
  <c r="T214" i="12" s="1"/>
  <c r="K335" i="12"/>
  <c r="K464" i="12"/>
  <c r="K355" i="12"/>
  <c r="K514" i="12"/>
  <c r="K36" i="12"/>
  <c r="K491" i="12"/>
  <c r="O319" i="12"/>
  <c r="R319" i="12" s="1"/>
  <c r="K465" i="12"/>
  <c r="O360" i="12"/>
  <c r="S360" i="12" s="1"/>
  <c r="S613" i="12" s="1"/>
  <c r="S615" i="12" s="1"/>
  <c r="K554" i="12"/>
  <c r="K7" i="12"/>
  <c r="O336" i="12"/>
  <c r="R336" i="12" s="1"/>
  <c r="K463" i="12"/>
  <c r="Q613" i="12"/>
  <c r="Q615" i="12" s="1"/>
  <c r="U613" i="12"/>
  <c r="U615" i="12" s="1"/>
  <c r="T613" i="12" l="1"/>
  <c r="T615" i="12" s="1"/>
  <c r="K6" i="14" s="1"/>
  <c r="R613" i="12"/>
  <c r="R615" i="12" s="1"/>
  <c r="I8" i="14" s="1"/>
  <c r="J6" i="14"/>
  <c r="J8" i="14"/>
  <c r="H6" i="14"/>
  <c r="H8" i="14"/>
  <c r="L6" i="14"/>
  <c r="L8" i="14"/>
  <c r="V783" i="11"/>
  <c r="U783" i="11"/>
  <c r="T783" i="11"/>
  <c r="S783" i="11"/>
  <c r="R783" i="11"/>
  <c r="Q783" i="11"/>
  <c r="N778" i="11"/>
  <c r="O778" i="11" s="1"/>
  <c r="K778" i="11"/>
  <c r="J778" i="11"/>
  <c r="N775" i="11"/>
  <c r="O775" i="11" s="1"/>
  <c r="L775" i="11" s="1"/>
  <c r="K775" i="11"/>
  <c r="J775" i="11"/>
  <c r="N772" i="11"/>
  <c r="O772" i="11" s="1"/>
  <c r="K772" i="11"/>
  <c r="J772" i="11"/>
  <c r="N769" i="11"/>
  <c r="O769" i="11" s="1"/>
  <c r="L769" i="11" s="1"/>
  <c r="K769" i="11"/>
  <c r="J769" i="11"/>
  <c r="N766" i="11"/>
  <c r="O766" i="11" s="1"/>
  <c r="L766" i="11" s="1"/>
  <c r="K766" i="11"/>
  <c r="J766" i="11"/>
  <c r="N763" i="11"/>
  <c r="O763" i="11" s="1"/>
  <c r="L763" i="11" s="1"/>
  <c r="K763" i="11"/>
  <c r="J763" i="11"/>
  <c r="N760" i="11"/>
  <c r="O760" i="11" s="1"/>
  <c r="L760" i="11" s="1"/>
  <c r="K760" i="11"/>
  <c r="J760" i="11"/>
  <c r="N757" i="11"/>
  <c r="O757" i="11" s="1"/>
  <c r="L757" i="11" s="1"/>
  <c r="K757" i="11"/>
  <c r="J757" i="11"/>
  <c r="N754" i="11"/>
  <c r="O754" i="11" s="1"/>
  <c r="L754" i="11" s="1"/>
  <c r="K754" i="11"/>
  <c r="J754" i="11"/>
  <c r="N751" i="11"/>
  <c r="O751" i="11" s="1"/>
  <c r="L751" i="11" s="1"/>
  <c r="K751" i="11"/>
  <c r="J751" i="11"/>
  <c r="N748" i="11"/>
  <c r="O748" i="11" s="1"/>
  <c r="L748" i="11" s="1"/>
  <c r="K748" i="11"/>
  <c r="J748" i="11"/>
  <c r="N745" i="11"/>
  <c r="O745" i="11" s="1"/>
  <c r="L745" i="11" s="1"/>
  <c r="K745" i="11"/>
  <c r="J745" i="11"/>
  <c r="N742" i="11"/>
  <c r="O742" i="11" s="1"/>
  <c r="L742" i="11" s="1"/>
  <c r="K742" i="11"/>
  <c r="J742" i="11"/>
  <c r="N739" i="11"/>
  <c r="O739" i="11" s="1"/>
  <c r="L739" i="11" s="1"/>
  <c r="K739" i="11"/>
  <c r="J739" i="11"/>
  <c r="N736" i="11"/>
  <c r="O736" i="11" s="1"/>
  <c r="L736" i="11" s="1"/>
  <c r="K736" i="11"/>
  <c r="J736" i="11"/>
  <c r="N733" i="11"/>
  <c r="O733" i="11" s="1"/>
  <c r="L733" i="11" s="1"/>
  <c r="K733" i="11"/>
  <c r="J733" i="11"/>
  <c r="N730" i="11"/>
  <c r="O730" i="11" s="1"/>
  <c r="L730" i="11" s="1"/>
  <c r="K730" i="11"/>
  <c r="J730" i="11"/>
  <c r="N727" i="11"/>
  <c r="O727" i="11" s="1"/>
  <c r="L727" i="11" s="1"/>
  <c r="K727" i="11"/>
  <c r="J727" i="11"/>
  <c r="N724" i="11"/>
  <c r="O724" i="11" s="1"/>
  <c r="L724" i="11" s="1"/>
  <c r="K724" i="11"/>
  <c r="J724" i="11"/>
  <c r="N721" i="11"/>
  <c r="O721" i="11" s="1"/>
  <c r="L721" i="11" s="1"/>
  <c r="K721" i="11"/>
  <c r="J721" i="11"/>
  <c r="N718" i="11"/>
  <c r="O718" i="11" s="1"/>
  <c r="L718" i="11" s="1"/>
  <c r="K718" i="11"/>
  <c r="J718" i="11"/>
  <c r="N715" i="11"/>
  <c r="O715" i="11" s="1"/>
  <c r="L715" i="11" s="1"/>
  <c r="K715" i="11"/>
  <c r="J715" i="11"/>
  <c r="N712" i="11"/>
  <c r="O712" i="11" s="1"/>
  <c r="L712" i="11" s="1"/>
  <c r="K712" i="11"/>
  <c r="J712" i="11"/>
  <c r="N709" i="11"/>
  <c r="O709" i="11" s="1"/>
  <c r="L709" i="11" s="1"/>
  <c r="K709" i="11"/>
  <c r="J709" i="11"/>
  <c r="N706" i="11"/>
  <c r="O706" i="11" s="1"/>
  <c r="L706" i="11" s="1"/>
  <c r="K706" i="11"/>
  <c r="J706" i="11"/>
  <c r="N703" i="11"/>
  <c r="O703" i="11" s="1"/>
  <c r="L703" i="11" s="1"/>
  <c r="K703" i="11"/>
  <c r="J703" i="11"/>
  <c r="N700" i="11"/>
  <c r="O700" i="11" s="1"/>
  <c r="L700" i="11" s="1"/>
  <c r="K700" i="11"/>
  <c r="J700" i="11"/>
  <c r="N697" i="11"/>
  <c r="O697" i="11" s="1"/>
  <c r="L697" i="11" s="1"/>
  <c r="K697" i="11"/>
  <c r="J697" i="11"/>
  <c r="N694" i="11"/>
  <c r="O694" i="11" s="1"/>
  <c r="L694" i="11" s="1"/>
  <c r="K694" i="11"/>
  <c r="J694" i="11"/>
  <c r="N691" i="11"/>
  <c r="O691" i="11" s="1"/>
  <c r="L691" i="11" s="1"/>
  <c r="K691" i="11"/>
  <c r="J691" i="11"/>
  <c r="N688" i="11"/>
  <c r="O688" i="11" s="1"/>
  <c r="L688" i="11" s="1"/>
  <c r="K688" i="11"/>
  <c r="J688" i="11"/>
  <c r="N685" i="11"/>
  <c r="O685" i="11" s="1"/>
  <c r="L685" i="11" s="1"/>
  <c r="K685" i="11"/>
  <c r="J685" i="11"/>
  <c r="N682" i="11"/>
  <c r="O682" i="11" s="1"/>
  <c r="L682" i="11" s="1"/>
  <c r="K682" i="11"/>
  <c r="J682" i="11"/>
  <c r="N679" i="11"/>
  <c r="O679" i="11" s="1"/>
  <c r="L679" i="11" s="1"/>
  <c r="K679" i="11"/>
  <c r="J679" i="11"/>
  <c r="N676" i="11"/>
  <c r="O676" i="11" s="1"/>
  <c r="L676" i="11" s="1"/>
  <c r="K676" i="11"/>
  <c r="J676" i="11"/>
  <c r="N673" i="11"/>
  <c r="O673" i="11" s="1"/>
  <c r="L673" i="11" s="1"/>
  <c r="K673" i="11"/>
  <c r="J673" i="11"/>
  <c r="N670" i="11"/>
  <c r="O670" i="11" s="1"/>
  <c r="L670" i="11" s="1"/>
  <c r="K670" i="11"/>
  <c r="J670" i="11"/>
  <c r="N667" i="11"/>
  <c r="O667" i="11" s="1"/>
  <c r="L667" i="11" s="1"/>
  <c r="K667" i="11"/>
  <c r="J667" i="11"/>
  <c r="N664" i="11"/>
  <c r="O664" i="11" s="1"/>
  <c r="L664" i="11" s="1"/>
  <c r="K664" i="11"/>
  <c r="J664" i="11"/>
  <c r="N661" i="11"/>
  <c r="O661" i="11" s="1"/>
  <c r="L661" i="11" s="1"/>
  <c r="K661" i="11"/>
  <c r="J661" i="11"/>
  <c r="N658" i="11"/>
  <c r="O658" i="11" s="1"/>
  <c r="L658" i="11" s="1"/>
  <c r="K658" i="11"/>
  <c r="J658" i="11"/>
  <c r="N655" i="11"/>
  <c r="O655" i="11" s="1"/>
  <c r="L655" i="11" s="1"/>
  <c r="K655" i="11"/>
  <c r="J655" i="11"/>
  <c r="N652" i="11"/>
  <c r="O652" i="11" s="1"/>
  <c r="L652" i="11" s="1"/>
  <c r="K652" i="11"/>
  <c r="J652" i="11"/>
  <c r="N649" i="11"/>
  <c r="O649" i="11" s="1"/>
  <c r="L649" i="11" s="1"/>
  <c r="K649" i="11"/>
  <c r="J649" i="11"/>
  <c r="N646" i="11"/>
  <c r="O646" i="11" s="1"/>
  <c r="L646" i="11" s="1"/>
  <c r="K646" i="11"/>
  <c r="J646" i="11"/>
  <c r="N643" i="11"/>
  <c r="O643" i="11" s="1"/>
  <c r="L643" i="11" s="1"/>
  <c r="K643" i="11"/>
  <c r="J643" i="11"/>
  <c r="N640" i="11"/>
  <c r="O640" i="11" s="1"/>
  <c r="L640" i="11" s="1"/>
  <c r="K640" i="11"/>
  <c r="J640" i="11"/>
  <c r="N637" i="11"/>
  <c r="O637" i="11" s="1"/>
  <c r="L637" i="11" s="1"/>
  <c r="K637" i="11"/>
  <c r="J637" i="11"/>
  <c r="N634" i="11"/>
  <c r="O634" i="11" s="1"/>
  <c r="L634" i="11" s="1"/>
  <c r="K634" i="11"/>
  <c r="J634" i="11"/>
  <c r="N631" i="11"/>
  <c r="O631" i="11" s="1"/>
  <c r="L631" i="11" s="1"/>
  <c r="K631" i="11"/>
  <c r="J631" i="11"/>
  <c r="N628" i="11"/>
  <c r="O628" i="11" s="1"/>
  <c r="L628" i="11" s="1"/>
  <c r="K628" i="11"/>
  <c r="J628" i="11"/>
  <c r="N625" i="11"/>
  <c r="O625" i="11" s="1"/>
  <c r="L625" i="11" s="1"/>
  <c r="K625" i="11"/>
  <c r="J625" i="11"/>
  <c r="N622" i="11"/>
  <c r="O622" i="11" s="1"/>
  <c r="L622" i="11" s="1"/>
  <c r="K622" i="11"/>
  <c r="J622" i="11"/>
  <c r="N619" i="11"/>
  <c r="O619" i="11" s="1"/>
  <c r="L619" i="11" s="1"/>
  <c r="K619" i="11"/>
  <c r="J619" i="11"/>
  <c r="N616" i="11"/>
  <c r="O616" i="11" s="1"/>
  <c r="L616" i="11" s="1"/>
  <c r="K616" i="11"/>
  <c r="J616" i="11"/>
  <c r="N612" i="11"/>
  <c r="O612" i="11" s="1"/>
  <c r="K612" i="11"/>
  <c r="N609" i="11"/>
  <c r="O609" i="11" s="1"/>
  <c r="K609" i="11"/>
  <c r="N606" i="11"/>
  <c r="O606" i="11" s="1"/>
  <c r="K606" i="11"/>
  <c r="N603" i="11"/>
  <c r="O603" i="11" s="1"/>
  <c r="L603" i="11" s="1"/>
  <c r="K603" i="11"/>
  <c r="N600" i="11"/>
  <c r="O600" i="11" s="1"/>
  <c r="L600" i="11" s="1"/>
  <c r="K600" i="11"/>
  <c r="N597" i="11"/>
  <c r="O597" i="11" s="1"/>
  <c r="L597" i="11" s="1"/>
  <c r="K597" i="11"/>
  <c r="N594" i="11"/>
  <c r="O594" i="11" s="1"/>
  <c r="K594" i="11"/>
  <c r="N591" i="11"/>
  <c r="O591" i="11" s="1"/>
  <c r="L591" i="11" s="1"/>
  <c r="P591" i="11" s="1"/>
  <c r="U591" i="11" s="1"/>
  <c r="K591" i="11"/>
  <c r="N588" i="11"/>
  <c r="O588" i="11" s="1"/>
  <c r="L588" i="11" s="1"/>
  <c r="K588" i="11"/>
  <c r="N585" i="11"/>
  <c r="O585" i="11" s="1"/>
  <c r="L585" i="11" s="1"/>
  <c r="K585" i="11"/>
  <c r="N582" i="11"/>
  <c r="O582" i="11" s="1"/>
  <c r="L582" i="11" s="1"/>
  <c r="K582" i="11"/>
  <c r="N579" i="11"/>
  <c r="O579" i="11" s="1"/>
  <c r="L579" i="11" s="1"/>
  <c r="K579" i="11"/>
  <c r="J579" i="11"/>
  <c r="N576" i="11"/>
  <c r="J576" i="11"/>
  <c r="D576" i="11"/>
  <c r="N573" i="11"/>
  <c r="J573" i="11"/>
  <c r="D573" i="11"/>
  <c r="K573" i="11" s="1"/>
  <c r="N570" i="11"/>
  <c r="J570" i="11"/>
  <c r="D570" i="11"/>
  <c r="K570" i="11" s="1"/>
  <c r="N567" i="11"/>
  <c r="J567" i="11"/>
  <c r="N564" i="11"/>
  <c r="J564" i="11"/>
  <c r="D564" i="11"/>
  <c r="K564" i="11" s="1"/>
  <c r="N561" i="11"/>
  <c r="J561" i="11"/>
  <c r="D561" i="11"/>
  <c r="N558" i="11"/>
  <c r="J558" i="11"/>
  <c r="D558" i="11"/>
  <c r="K558" i="11" s="1"/>
  <c r="N555" i="11"/>
  <c r="J555" i="11"/>
  <c r="D555" i="11"/>
  <c r="K555" i="11" s="1"/>
  <c r="N552" i="11"/>
  <c r="J552" i="11"/>
  <c r="D552" i="11"/>
  <c r="K552" i="11" s="1"/>
  <c r="N549" i="11"/>
  <c r="J549" i="11"/>
  <c r="D549" i="11"/>
  <c r="N546" i="11"/>
  <c r="J546" i="11"/>
  <c r="D546" i="11"/>
  <c r="K546" i="11" s="1"/>
  <c r="N543" i="11"/>
  <c r="J543" i="11"/>
  <c r="D543" i="11"/>
  <c r="N540" i="11"/>
  <c r="J540" i="11"/>
  <c r="D540" i="11"/>
  <c r="K540" i="11" s="1"/>
  <c r="N537" i="11"/>
  <c r="J537" i="11"/>
  <c r="D537" i="11"/>
  <c r="N534" i="11"/>
  <c r="J534" i="11"/>
  <c r="K534" i="11"/>
  <c r="N531" i="11"/>
  <c r="J531" i="11"/>
  <c r="D531" i="11"/>
  <c r="K531" i="11" s="1"/>
  <c r="N528" i="11"/>
  <c r="J528" i="11"/>
  <c r="D528" i="11"/>
  <c r="N525" i="11"/>
  <c r="J525" i="11"/>
  <c r="D525" i="11"/>
  <c r="N522" i="11"/>
  <c r="J522" i="11"/>
  <c r="D522" i="11"/>
  <c r="K522" i="11" s="1"/>
  <c r="N519" i="11"/>
  <c r="J519" i="11"/>
  <c r="D519" i="11"/>
  <c r="N516" i="11"/>
  <c r="J516" i="11"/>
  <c r="K516" i="11"/>
  <c r="N513" i="11"/>
  <c r="J513" i="11"/>
  <c r="D513" i="11"/>
  <c r="N510" i="11"/>
  <c r="J510" i="11"/>
  <c r="D510" i="11"/>
  <c r="K510" i="11" s="1"/>
  <c r="N507" i="11"/>
  <c r="J507" i="11"/>
  <c r="D507" i="11"/>
  <c r="N504" i="11"/>
  <c r="J504" i="11"/>
  <c r="D504" i="11"/>
  <c r="K504" i="11" s="1"/>
  <c r="N501" i="11"/>
  <c r="J501" i="11"/>
  <c r="D501" i="11"/>
  <c r="N498" i="11"/>
  <c r="J498" i="11"/>
  <c r="D498" i="11"/>
  <c r="K498" i="11" s="1"/>
  <c r="N495" i="11"/>
  <c r="D495" i="11"/>
  <c r="J492" i="11" s="1"/>
  <c r="N492" i="11"/>
  <c r="D492" i="11"/>
  <c r="N489" i="11"/>
  <c r="D489" i="11"/>
  <c r="K489" i="11" s="1"/>
  <c r="N486" i="11"/>
  <c r="D486" i="11"/>
  <c r="J489" i="11" s="1"/>
  <c r="N483" i="11"/>
  <c r="D483" i="11"/>
  <c r="N480" i="11"/>
  <c r="D480" i="11"/>
  <c r="K480" i="11" s="1"/>
  <c r="N477" i="11"/>
  <c r="D477" i="11"/>
  <c r="J483" i="11" s="1"/>
  <c r="N474" i="11"/>
  <c r="D474" i="11"/>
  <c r="K474" i="11" s="1"/>
  <c r="N471" i="11"/>
  <c r="D471" i="11"/>
  <c r="N468" i="11"/>
  <c r="O468" i="11" s="1"/>
  <c r="L468" i="11" s="1"/>
  <c r="K468" i="11"/>
  <c r="J468" i="11"/>
  <c r="N465" i="11"/>
  <c r="O465" i="11" s="1"/>
  <c r="L465" i="11" s="1"/>
  <c r="K465" i="11"/>
  <c r="N462" i="11"/>
  <c r="J462" i="11"/>
  <c r="D462" i="11"/>
  <c r="J465" i="11" s="1"/>
  <c r="N459" i="11"/>
  <c r="D459" i="11"/>
  <c r="J456" i="11" s="1"/>
  <c r="N456" i="11"/>
  <c r="D456" i="11"/>
  <c r="J459" i="11" s="1"/>
  <c r="N453" i="11"/>
  <c r="D453" i="11"/>
  <c r="N450" i="11"/>
  <c r="D450" i="11"/>
  <c r="J447" i="11" s="1"/>
  <c r="N447" i="11"/>
  <c r="D447" i="11"/>
  <c r="J450" i="11" s="1"/>
  <c r="N444" i="11"/>
  <c r="D444" i="11"/>
  <c r="K444" i="11" s="1"/>
  <c r="N441" i="11"/>
  <c r="D441" i="11"/>
  <c r="N438" i="11"/>
  <c r="D438" i="11"/>
  <c r="J435" i="11" s="1"/>
  <c r="N435" i="11"/>
  <c r="D435" i="11"/>
  <c r="J438" i="11" s="1"/>
  <c r="N432" i="11"/>
  <c r="D432" i="11"/>
  <c r="K432" i="11" s="1"/>
  <c r="N429" i="11"/>
  <c r="D429" i="11"/>
  <c r="N426" i="11"/>
  <c r="D426" i="11"/>
  <c r="K426" i="11" s="1"/>
  <c r="N423" i="11"/>
  <c r="D423" i="11"/>
  <c r="J426" i="11" s="1"/>
  <c r="N420" i="11"/>
  <c r="D420" i="11"/>
  <c r="K420" i="11" s="1"/>
  <c r="N417" i="11"/>
  <c r="D417" i="11"/>
  <c r="N414" i="11"/>
  <c r="J414" i="11"/>
  <c r="K414" i="11"/>
  <c r="N411" i="11"/>
  <c r="J411" i="11"/>
  <c r="N408" i="11"/>
  <c r="J408" i="11"/>
  <c r="D408" i="11"/>
  <c r="K408" i="11" s="1"/>
  <c r="N405" i="11"/>
  <c r="J405" i="11"/>
  <c r="D405" i="11"/>
  <c r="N402" i="11"/>
  <c r="J402" i="11"/>
  <c r="D402" i="11"/>
  <c r="N399" i="11"/>
  <c r="J399" i="11"/>
  <c r="D399" i="11"/>
  <c r="N396" i="11"/>
  <c r="J396" i="11"/>
  <c r="D396" i="11"/>
  <c r="K396" i="11" s="1"/>
  <c r="N393" i="11"/>
  <c r="J393" i="11"/>
  <c r="D393" i="11"/>
  <c r="N390" i="11"/>
  <c r="J390" i="11"/>
  <c r="D390" i="11"/>
  <c r="N387" i="11"/>
  <c r="J387" i="11"/>
  <c r="D387" i="11"/>
  <c r="K387" i="11" s="1"/>
  <c r="N384" i="11"/>
  <c r="J384" i="11"/>
  <c r="D384" i="11"/>
  <c r="K384" i="11" s="1"/>
  <c r="N381" i="11"/>
  <c r="J381" i="11"/>
  <c r="D381" i="11"/>
  <c r="N378" i="11"/>
  <c r="D378" i="11"/>
  <c r="J375" i="11" s="1"/>
  <c r="N375" i="11"/>
  <c r="D375" i="11"/>
  <c r="K375" i="11" s="1"/>
  <c r="N372" i="11"/>
  <c r="K372" i="11"/>
  <c r="N369" i="11"/>
  <c r="D369" i="11"/>
  <c r="N366" i="11"/>
  <c r="D366" i="11"/>
  <c r="K366" i="11" s="1"/>
  <c r="N363" i="11"/>
  <c r="D363" i="11"/>
  <c r="K363" i="11" s="1"/>
  <c r="N360" i="11"/>
  <c r="J360" i="11"/>
  <c r="D360" i="11"/>
  <c r="K360" i="11" s="1"/>
  <c r="N357" i="11"/>
  <c r="J357" i="11"/>
  <c r="D357" i="11"/>
  <c r="N354" i="11"/>
  <c r="J354" i="11"/>
  <c r="D354" i="11"/>
  <c r="N351" i="11"/>
  <c r="J351" i="11"/>
  <c r="D351" i="11"/>
  <c r="K351" i="11" s="1"/>
  <c r="N348" i="11"/>
  <c r="J348" i="11"/>
  <c r="D348" i="11"/>
  <c r="K348" i="11" s="1"/>
  <c r="N345" i="11"/>
  <c r="J345" i="11"/>
  <c r="D345" i="11"/>
  <c r="N342" i="11"/>
  <c r="J342" i="11"/>
  <c r="D342" i="11"/>
  <c r="K342" i="11" s="1"/>
  <c r="N339" i="11"/>
  <c r="J339" i="11"/>
  <c r="D339" i="11"/>
  <c r="K339" i="11" s="1"/>
  <c r="N336" i="11"/>
  <c r="K336" i="11"/>
  <c r="N333" i="11"/>
  <c r="N330" i="11"/>
  <c r="O330" i="11" s="1"/>
  <c r="L330" i="11" s="1"/>
  <c r="N327" i="11"/>
  <c r="J327" i="11"/>
  <c r="D327" i="11"/>
  <c r="K327" i="11" s="1"/>
  <c r="N324" i="11"/>
  <c r="J324" i="11"/>
  <c r="D324" i="11"/>
  <c r="N321" i="11"/>
  <c r="J321" i="11"/>
  <c r="D321" i="11"/>
  <c r="K321" i="11" s="1"/>
  <c r="N318" i="11"/>
  <c r="J318" i="11"/>
  <c r="D318" i="11"/>
  <c r="N315" i="11"/>
  <c r="J315" i="11"/>
  <c r="D315" i="11"/>
  <c r="K315" i="11" s="1"/>
  <c r="N312" i="11"/>
  <c r="J312" i="11"/>
  <c r="D312" i="11"/>
  <c r="K312" i="11" s="1"/>
  <c r="N309" i="11"/>
  <c r="J309" i="11"/>
  <c r="D309" i="11"/>
  <c r="K309" i="11" s="1"/>
  <c r="N306" i="11"/>
  <c r="J306" i="11"/>
  <c r="D306" i="11"/>
  <c r="N303" i="11"/>
  <c r="J303" i="11"/>
  <c r="D303" i="11"/>
  <c r="N300" i="11"/>
  <c r="J300" i="11"/>
  <c r="D300" i="11"/>
  <c r="N297" i="11"/>
  <c r="J297" i="11"/>
  <c r="D297" i="11"/>
  <c r="K297" i="11" s="1"/>
  <c r="N294" i="11"/>
  <c r="J294" i="11"/>
  <c r="D294" i="11"/>
  <c r="N291" i="11"/>
  <c r="J291" i="11"/>
  <c r="D291" i="11"/>
  <c r="N288" i="11"/>
  <c r="J288" i="11"/>
  <c r="K288" i="11"/>
  <c r="N285" i="11"/>
  <c r="D285" i="11"/>
  <c r="K285" i="11" s="1"/>
  <c r="N282" i="11"/>
  <c r="J282" i="11"/>
  <c r="D282" i="11"/>
  <c r="N279" i="11"/>
  <c r="J279" i="11"/>
  <c r="D279" i="11"/>
  <c r="K279" i="11" s="1"/>
  <c r="N276" i="11"/>
  <c r="J276" i="11"/>
  <c r="D276" i="11"/>
  <c r="K276" i="11" s="1"/>
  <c r="N273" i="11"/>
  <c r="J273" i="11"/>
  <c r="D273" i="11"/>
  <c r="K273" i="11" s="1"/>
  <c r="N270" i="11"/>
  <c r="J270" i="11"/>
  <c r="D270" i="11"/>
  <c r="N267" i="11"/>
  <c r="J267" i="11"/>
  <c r="D267" i="11"/>
  <c r="N264" i="11"/>
  <c r="J264" i="11"/>
  <c r="D264" i="11"/>
  <c r="K264" i="11" s="1"/>
  <c r="N261" i="11"/>
  <c r="J261" i="11"/>
  <c r="D261" i="11"/>
  <c r="K261" i="11" s="1"/>
  <c r="N258" i="11"/>
  <c r="J258" i="11"/>
  <c r="D258" i="11"/>
  <c r="N255" i="11"/>
  <c r="J255" i="11"/>
  <c r="D255" i="11"/>
  <c r="N252" i="11"/>
  <c r="J252" i="11"/>
  <c r="D252" i="11"/>
  <c r="K252" i="11" s="1"/>
  <c r="N249" i="11"/>
  <c r="J249" i="11"/>
  <c r="K249" i="11"/>
  <c r="N246" i="11"/>
  <c r="J246" i="11"/>
  <c r="D246" i="11"/>
  <c r="N243" i="11"/>
  <c r="J243" i="11"/>
  <c r="D243" i="11"/>
  <c r="N240" i="11"/>
  <c r="J240" i="11"/>
  <c r="D240" i="11"/>
  <c r="K240" i="11" s="1"/>
  <c r="N237" i="11"/>
  <c r="J237" i="11"/>
  <c r="D237" i="11"/>
  <c r="K237" i="11" s="1"/>
  <c r="N234" i="11"/>
  <c r="J234" i="11"/>
  <c r="D234" i="11"/>
  <c r="N231" i="11"/>
  <c r="J231" i="11"/>
  <c r="D231" i="11"/>
  <c r="K231" i="11" s="1"/>
  <c r="N228" i="11"/>
  <c r="J228" i="11"/>
  <c r="D228" i="11"/>
  <c r="K228" i="11" s="1"/>
  <c r="N225" i="11"/>
  <c r="J225" i="11"/>
  <c r="D225" i="11"/>
  <c r="K225" i="11" s="1"/>
  <c r="N222" i="11"/>
  <c r="J222" i="11"/>
  <c r="D222" i="11"/>
  <c r="N219" i="11"/>
  <c r="J219" i="11"/>
  <c r="D219" i="11"/>
  <c r="K219" i="11" s="1"/>
  <c r="N216" i="11"/>
  <c r="J216" i="11"/>
  <c r="D216" i="11"/>
  <c r="K216" i="11" s="1"/>
  <c r="N213" i="11"/>
  <c r="J213" i="11"/>
  <c r="D213" i="11"/>
  <c r="K213" i="11" s="1"/>
  <c r="N210" i="11"/>
  <c r="J210" i="11"/>
  <c r="D210" i="11"/>
  <c r="N207" i="11"/>
  <c r="J207" i="11"/>
  <c r="D207" i="11"/>
  <c r="K207" i="11" s="1"/>
  <c r="N204" i="11"/>
  <c r="J204" i="11"/>
  <c r="D204" i="11"/>
  <c r="K204" i="11" s="1"/>
  <c r="N201" i="11"/>
  <c r="J201" i="11"/>
  <c r="D201" i="11"/>
  <c r="K201" i="11" s="1"/>
  <c r="N198" i="11"/>
  <c r="J198" i="11"/>
  <c r="D198" i="11"/>
  <c r="N195" i="11"/>
  <c r="D195" i="11"/>
  <c r="N192" i="11"/>
  <c r="D192" i="11"/>
  <c r="K192" i="11" s="1"/>
  <c r="N189" i="11"/>
  <c r="J189" i="11"/>
  <c r="D189" i="11"/>
  <c r="K189" i="11" s="1"/>
  <c r="N186" i="11"/>
  <c r="J186" i="11"/>
  <c r="D186" i="11"/>
  <c r="N183" i="11"/>
  <c r="J183" i="11"/>
  <c r="D183" i="11"/>
  <c r="N180" i="11"/>
  <c r="J180" i="11"/>
  <c r="D180" i="11"/>
  <c r="N177" i="11"/>
  <c r="J177" i="11"/>
  <c r="D177" i="11"/>
  <c r="K177" i="11" s="1"/>
  <c r="N174" i="11"/>
  <c r="J174" i="11"/>
  <c r="D174" i="11"/>
  <c r="N171" i="11"/>
  <c r="J171" i="11"/>
  <c r="D171" i="11"/>
  <c r="N168" i="11"/>
  <c r="J168" i="11"/>
  <c r="D168" i="11"/>
  <c r="K168" i="11" s="1"/>
  <c r="N162" i="11"/>
  <c r="K162" i="11"/>
  <c r="N158" i="11"/>
  <c r="D158" i="11"/>
  <c r="K158" i="11" s="1"/>
  <c r="N156" i="11"/>
  <c r="D156" i="11"/>
  <c r="N154" i="11"/>
  <c r="O154" i="11" s="1"/>
  <c r="L154" i="11" s="1"/>
  <c r="K154" i="11"/>
  <c r="N152" i="11"/>
  <c r="D152" i="11"/>
  <c r="K152" i="11" s="1"/>
  <c r="N150" i="11"/>
  <c r="O150" i="11" s="1"/>
  <c r="K150" i="11"/>
  <c r="N148" i="11"/>
  <c r="O148" i="11" s="1"/>
  <c r="L148" i="11" s="1"/>
  <c r="K148" i="11"/>
  <c r="N146" i="11"/>
  <c r="O146" i="11" s="1"/>
  <c r="K146" i="11"/>
  <c r="N144" i="11"/>
  <c r="O144" i="11" s="1"/>
  <c r="K144" i="11"/>
  <c r="N142" i="11"/>
  <c r="O142" i="11" s="1"/>
  <c r="K142" i="11"/>
  <c r="N140" i="11"/>
  <c r="D140" i="11"/>
  <c r="K140" i="11" s="1"/>
  <c r="N138" i="11"/>
  <c r="D138" i="11"/>
  <c r="N136" i="11"/>
  <c r="D136" i="11"/>
  <c r="K136" i="11" s="1"/>
  <c r="N134" i="11"/>
  <c r="D134" i="11"/>
  <c r="N130" i="11"/>
  <c r="J130" i="11"/>
  <c r="D130" i="11"/>
  <c r="N127" i="11"/>
  <c r="J127" i="11"/>
  <c r="D127" i="11"/>
  <c r="K127" i="11" s="1"/>
  <c r="N124" i="11"/>
  <c r="J124" i="11"/>
  <c r="D124" i="11"/>
  <c r="N121" i="11"/>
  <c r="J121" i="11"/>
  <c r="D121" i="11"/>
  <c r="K121" i="11" s="1"/>
  <c r="N118" i="11"/>
  <c r="J118" i="11"/>
  <c r="D118" i="11"/>
  <c r="K118" i="11" s="1"/>
  <c r="N115" i="11"/>
  <c r="J115" i="11"/>
  <c r="D115" i="11"/>
  <c r="K115" i="11" s="1"/>
  <c r="N112" i="11"/>
  <c r="J112" i="11"/>
  <c r="D112" i="11"/>
  <c r="N107" i="11"/>
  <c r="J107" i="11"/>
  <c r="D107" i="11"/>
  <c r="K107" i="11" s="1"/>
  <c r="N104" i="11"/>
  <c r="D104" i="11"/>
  <c r="N101" i="11"/>
  <c r="D101" i="11"/>
  <c r="K101" i="11" s="1"/>
  <c r="N98" i="11"/>
  <c r="D98" i="11"/>
  <c r="N95" i="11"/>
  <c r="D95" i="11"/>
  <c r="N92" i="11"/>
  <c r="D92" i="11"/>
  <c r="N89" i="11"/>
  <c r="D89" i="11"/>
  <c r="K89" i="11" s="1"/>
  <c r="N86" i="11"/>
  <c r="D86" i="11"/>
  <c r="N83" i="11"/>
  <c r="D83" i="11"/>
  <c r="N80" i="11"/>
  <c r="D80" i="11"/>
  <c r="K80" i="11" s="1"/>
  <c r="N77" i="11"/>
  <c r="D77" i="11"/>
  <c r="K77" i="11" s="1"/>
  <c r="N74" i="11"/>
  <c r="D74" i="11"/>
  <c r="N71" i="11"/>
  <c r="D71" i="11"/>
  <c r="N66" i="11"/>
  <c r="J66" i="11"/>
  <c r="D66" i="11"/>
  <c r="K66" i="11" s="1"/>
  <c r="N63" i="11"/>
  <c r="J63" i="11"/>
  <c r="D63" i="11"/>
  <c r="K63" i="11" s="1"/>
  <c r="N60" i="11"/>
  <c r="J60" i="11"/>
  <c r="D60" i="11"/>
  <c r="N57" i="11"/>
  <c r="J57" i="11"/>
  <c r="D57" i="11"/>
  <c r="N54" i="11"/>
  <c r="J54" i="11"/>
  <c r="D54" i="11"/>
  <c r="K54" i="11" s="1"/>
  <c r="N51" i="11"/>
  <c r="J51" i="11"/>
  <c r="D51" i="11"/>
  <c r="K51" i="11" s="1"/>
  <c r="N48" i="11"/>
  <c r="J48" i="11"/>
  <c r="D48" i="11"/>
  <c r="N43" i="11"/>
  <c r="J43" i="11"/>
  <c r="D43" i="11"/>
  <c r="N40" i="11"/>
  <c r="D40" i="11"/>
  <c r="N37" i="11"/>
  <c r="D37" i="11"/>
  <c r="K37" i="11" s="1"/>
  <c r="N34" i="11"/>
  <c r="D34" i="11"/>
  <c r="N31" i="11"/>
  <c r="D31" i="11"/>
  <c r="K31" i="11" s="1"/>
  <c r="N28" i="11"/>
  <c r="D28" i="11"/>
  <c r="K28" i="11" s="1"/>
  <c r="N25" i="11"/>
  <c r="D25" i="11"/>
  <c r="N22" i="11"/>
  <c r="D22" i="11"/>
  <c r="K22" i="11" s="1"/>
  <c r="N19" i="11"/>
  <c r="D19" i="11"/>
  <c r="N16" i="11"/>
  <c r="D16" i="11"/>
  <c r="K16" i="11" s="1"/>
  <c r="N13" i="11"/>
  <c r="D13" i="11"/>
  <c r="N10" i="11"/>
  <c r="D10" i="11"/>
  <c r="K10" i="11" s="1"/>
  <c r="V7" i="11"/>
  <c r="U7" i="11"/>
  <c r="S7" i="11"/>
  <c r="R7" i="11"/>
  <c r="Q7" i="11"/>
  <c r="N7" i="11"/>
  <c r="D7" i="11"/>
  <c r="K7" i="11" s="1"/>
  <c r="V6" i="11"/>
  <c r="U6" i="11"/>
  <c r="T6" i="11"/>
  <c r="S6" i="11"/>
  <c r="R6" i="11"/>
  <c r="Q6" i="11"/>
  <c r="V5" i="11"/>
  <c r="U5" i="11"/>
  <c r="T5" i="11"/>
  <c r="S5" i="11"/>
  <c r="R5" i="11"/>
  <c r="Q5" i="11"/>
  <c r="O492" i="11" l="1"/>
  <c r="L492" i="11" s="1"/>
  <c r="J423" i="11"/>
  <c r="O40" i="11"/>
  <c r="L40" i="11" s="1"/>
  <c r="O43" i="11"/>
  <c r="L43" i="11" s="1"/>
  <c r="P775" i="11"/>
  <c r="U775" i="11" s="1"/>
  <c r="O124" i="11"/>
  <c r="L124" i="11" s="1"/>
  <c r="O183" i="11"/>
  <c r="L183" i="11" s="1"/>
  <c r="O243" i="11"/>
  <c r="L243" i="11" s="1"/>
  <c r="O354" i="11"/>
  <c r="L354" i="11" s="1"/>
  <c r="J378" i="11"/>
  <c r="K8" i="14"/>
  <c r="M8" i="14" s="1"/>
  <c r="V615" i="12"/>
  <c r="I6" i="14"/>
  <c r="M6" i="14" s="1"/>
  <c r="O54" i="11"/>
  <c r="L54" i="11" s="1"/>
  <c r="O252" i="11"/>
  <c r="L252" i="11" s="1"/>
  <c r="O438" i="11"/>
  <c r="L438" i="11" s="1"/>
  <c r="O57" i="11"/>
  <c r="L57" i="11" s="1"/>
  <c r="O291" i="11"/>
  <c r="L291" i="11" s="1"/>
  <c r="O300" i="11"/>
  <c r="L300" i="11" s="1"/>
  <c r="O306" i="11"/>
  <c r="L306" i="11" s="1"/>
  <c r="O495" i="11"/>
  <c r="O513" i="11"/>
  <c r="O528" i="11"/>
  <c r="L528" i="11" s="1"/>
  <c r="O537" i="11"/>
  <c r="L537" i="11" s="1"/>
  <c r="O195" i="11"/>
  <c r="L195" i="11" s="1"/>
  <c r="O240" i="11"/>
  <c r="L240" i="11" s="1"/>
  <c r="K492" i="11"/>
  <c r="J495" i="11"/>
  <c r="K40" i="11"/>
  <c r="O95" i="11"/>
  <c r="L95" i="11" s="1"/>
  <c r="K243" i="11"/>
  <c r="O255" i="11"/>
  <c r="L255" i="11" s="1"/>
  <c r="O267" i="11"/>
  <c r="L267" i="11" s="1"/>
  <c r="O318" i="11"/>
  <c r="L318" i="11" s="1"/>
  <c r="K354" i="11"/>
  <c r="O393" i="11"/>
  <c r="L393" i="11" s="1"/>
  <c r="O399" i="11"/>
  <c r="L399" i="11" s="1"/>
  <c r="O405" i="11"/>
  <c r="L405" i="11" s="1"/>
  <c r="K423" i="11"/>
  <c r="K438" i="11"/>
  <c r="O83" i="11"/>
  <c r="L83" i="11" s="1"/>
  <c r="O104" i="11"/>
  <c r="L104" i="11" s="1"/>
  <c r="O66" i="11"/>
  <c r="L66" i="11" s="1"/>
  <c r="O121" i="11"/>
  <c r="L121" i="11" s="1"/>
  <c r="P154" i="11"/>
  <c r="S154" i="11" s="1"/>
  <c r="O156" i="11"/>
  <c r="L156" i="11" s="1"/>
  <c r="P156" i="11" s="1"/>
  <c r="S156" i="11" s="1"/>
  <c r="O162" i="11"/>
  <c r="L162" i="11" s="1"/>
  <c r="P162" i="11" s="1"/>
  <c r="U162" i="11" s="1"/>
  <c r="O180" i="11"/>
  <c r="L180" i="11" s="1"/>
  <c r="O303" i="11"/>
  <c r="L303" i="11" s="1"/>
  <c r="O312" i="11"/>
  <c r="L312" i="11" s="1"/>
  <c r="O453" i="11"/>
  <c r="J477" i="11"/>
  <c r="O80" i="11"/>
  <c r="L80" i="11" s="1"/>
  <c r="K180" i="11"/>
  <c r="O216" i="11"/>
  <c r="L216" i="11" s="1"/>
  <c r="O246" i="11"/>
  <c r="L246" i="11" s="1"/>
  <c r="K303" i="11"/>
  <c r="O315" i="11"/>
  <c r="L315" i="11" s="1"/>
  <c r="O327" i="11"/>
  <c r="L327" i="11" s="1"/>
  <c r="O387" i="11"/>
  <c r="L387" i="11" s="1"/>
  <c r="O426" i="11"/>
  <c r="L426" i="11" s="1"/>
  <c r="K435" i="11"/>
  <c r="K447" i="11"/>
  <c r="O561" i="11"/>
  <c r="L561" i="11" s="1"/>
  <c r="P561" i="11" s="1"/>
  <c r="V561" i="11" s="1"/>
  <c r="O28" i="11"/>
  <c r="L28" i="11" s="1"/>
  <c r="P240" i="11"/>
  <c r="U240" i="11" s="1"/>
  <c r="K57" i="11"/>
  <c r="K104" i="11"/>
  <c r="K183" i="11"/>
  <c r="O450" i="11"/>
  <c r="L450" i="11" s="1"/>
  <c r="K528" i="11"/>
  <c r="O576" i="11"/>
  <c r="L576" i="11" s="1"/>
  <c r="O168" i="11"/>
  <c r="L168" i="11" s="1"/>
  <c r="K43" i="11"/>
  <c r="O71" i="11"/>
  <c r="L71" i="11" s="1"/>
  <c r="O210" i="11"/>
  <c r="L210" i="11" s="1"/>
  <c r="O222" i="11"/>
  <c r="L222" i="11" s="1"/>
  <c r="K255" i="11"/>
  <c r="O282" i="11"/>
  <c r="L282" i="11" s="1"/>
  <c r="O288" i="11"/>
  <c r="L288" i="11" s="1"/>
  <c r="K300" i="11"/>
  <c r="K330" i="11"/>
  <c r="K399" i="11"/>
  <c r="O19" i="11"/>
  <c r="L19" i="11" s="1"/>
  <c r="O92" i="11"/>
  <c r="L92" i="11" s="1"/>
  <c r="O204" i="11"/>
  <c r="L204" i="11" s="1"/>
  <c r="P216" i="11"/>
  <c r="U216" i="11" s="1"/>
  <c r="O276" i="11"/>
  <c r="L276" i="11" s="1"/>
  <c r="O375" i="11"/>
  <c r="L375" i="11" s="1"/>
  <c r="O390" i="11"/>
  <c r="L390" i="11" s="1"/>
  <c r="O402" i="11"/>
  <c r="L402" i="11" s="1"/>
  <c r="O429" i="11"/>
  <c r="L429" i="11" s="1"/>
  <c r="O441" i="11"/>
  <c r="K450" i="11"/>
  <c r="O462" i="11"/>
  <c r="L462" i="11" s="1"/>
  <c r="O483" i="11"/>
  <c r="L483" i="11" s="1"/>
  <c r="J486" i="11"/>
  <c r="O525" i="11"/>
  <c r="L525" i="11" s="1"/>
  <c r="O540" i="11"/>
  <c r="L540" i="11" s="1"/>
  <c r="P540" i="11" s="1"/>
  <c r="U540" i="11" s="1"/>
  <c r="O564" i="11"/>
  <c r="L564" i="11" s="1"/>
  <c r="O16" i="11"/>
  <c r="L16" i="11" s="1"/>
  <c r="P16" i="11" s="1"/>
  <c r="T16" i="11" s="1"/>
  <c r="K19" i="11"/>
  <c r="O60" i="11"/>
  <c r="L60" i="11" s="1"/>
  <c r="K92" i="11"/>
  <c r="O118" i="11"/>
  <c r="L118" i="11" s="1"/>
  <c r="O134" i="11"/>
  <c r="L134" i="11" s="1"/>
  <c r="P134" i="11" s="1"/>
  <c r="S134" i="11" s="1"/>
  <c r="O158" i="11"/>
  <c r="O186" i="11"/>
  <c r="L186" i="11" s="1"/>
  <c r="O192" i="11"/>
  <c r="L192" i="11" s="1"/>
  <c r="O207" i="11"/>
  <c r="L207" i="11" s="1"/>
  <c r="O219" i="11"/>
  <c r="L219" i="11" s="1"/>
  <c r="O228" i="11"/>
  <c r="L228" i="11" s="1"/>
  <c r="O258" i="11"/>
  <c r="L258" i="11" s="1"/>
  <c r="O264" i="11"/>
  <c r="L264" i="11" s="1"/>
  <c r="O279" i="11"/>
  <c r="L279" i="11" s="1"/>
  <c r="O351" i="11"/>
  <c r="L351" i="11" s="1"/>
  <c r="P351" i="11" s="1"/>
  <c r="U351" i="11" s="1"/>
  <c r="O378" i="11"/>
  <c r="L378" i="11" s="1"/>
  <c r="K390" i="11"/>
  <c r="K402" i="11"/>
  <c r="K462" i="11"/>
  <c r="K477" i="11"/>
  <c r="K525" i="11"/>
  <c r="O543" i="11"/>
  <c r="L543" i="11" s="1"/>
  <c r="O552" i="11"/>
  <c r="L552" i="11" s="1"/>
  <c r="O573" i="11"/>
  <c r="L573" i="11" s="1"/>
  <c r="P40" i="11"/>
  <c r="T40" i="11" s="1"/>
  <c r="P66" i="11"/>
  <c r="T66" i="11" s="1"/>
  <c r="O7" i="11"/>
  <c r="L7" i="11" s="1"/>
  <c r="O10" i="11"/>
  <c r="L10" i="11" s="1"/>
  <c r="O31" i="11"/>
  <c r="L31" i="11" s="1"/>
  <c r="O48" i="11"/>
  <c r="L48" i="11" s="1"/>
  <c r="K71" i="11"/>
  <c r="O74" i="11"/>
  <c r="L74" i="11" s="1"/>
  <c r="P148" i="11"/>
  <c r="S148" i="11" s="1"/>
  <c r="K83" i="11"/>
  <c r="O86" i="11"/>
  <c r="L86" i="11" s="1"/>
  <c r="K95" i="11"/>
  <c r="O98" i="11"/>
  <c r="L98" i="11" s="1"/>
  <c r="O22" i="11"/>
  <c r="L22" i="11" s="1"/>
  <c r="O107" i="11"/>
  <c r="L107" i="11" s="1"/>
  <c r="P300" i="11"/>
  <c r="V300" i="11" s="1"/>
  <c r="P43" i="11"/>
  <c r="T43" i="11" s="1"/>
  <c r="P71" i="11"/>
  <c r="T71" i="11" s="1"/>
  <c r="K130" i="11"/>
  <c r="O130" i="11"/>
  <c r="O171" i="11"/>
  <c r="L171" i="11" s="1"/>
  <c r="L612" i="11"/>
  <c r="P612" i="11" s="1"/>
  <c r="U612" i="11" s="1"/>
  <c r="P121" i="11"/>
  <c r="T121" i="11" s="1"/>
  <c r="O136" i="11"/>
  <c r="L136" i="11" s="1"/>
  <c r="P136" i="11" s="1"/>
  <c r="S136" i="11" s="1"/>
  <c r="K171" i="11"/>
  <c r="O174" i="11"/>
  <c r="L174" i="11" s="1"/>
  <c r="K195" i="11"/>
  <c r="O198" i="11"/>
  <c r="L198" i="11" s="1"/>
  <c r="O231" i="11"/>
  <c r="L231" i="11" s="1"/>
  <c r="P231" i="11" s="1"/>
  <c r="V231" i="11" s="1"/>
  <c r="K267" i="11"/>
  <c r="O270" i="11"/>
  <c r="L270" i="11" s="1"/>
  <c r="K291" i="11"/>
  <c r="O294" i="11"/>
  <c r="L294" i="11" s="1"/>
  <c r="P330" i="11"/>
  <c r="U330" i="11" s="1"/>
  <c r="J369" i="11"/>
  <c r="K378" i="11"/>
  <c r="O411" i="11"/>
  <c r="L411" i="11" s="1"/>
  <c r="P411" i="11" s="1"/>
  <c r="U411" i="11" s="1"/>
  <c r="J417" i="11"/>
  <c r="O432" i="11"/>
  <c r="L432" i="11" s="1"/>
  <c r="O444" i="11"/>
  <c r="L444" i="11" s="1"/>
  <c r="K459" i="11"/>
  <c r="J471" i="11"/>
  <c r="O489" i="11"/>
  <c r="L489" i="11" s="1"/>
  <c r="O501" i="11"/>
  <c r="L501" i="11" s="1"/>
  <c r="P501" i="11" s="1"/>
  <c r="V501" i="11" s="1"/>
  <c r="O507" i="11"/>
  <c r="L507" i="11" s="1"/>
  <c r="O531" i="11"/>
  <c r="L531" i="11" s="1"/>
  <c r="K576" i="11"/>
  <c r="P579" i="11"/>
  <c r="U579" i="11" s="1"/>
  <c r="P585" i="11"/>
  <c r="U585" i="11" s="1"/>
  <c r="O342" i="11"/>
  <c r="L342" i="11" s="1"/>
  <c r="O366" i="11"/>
  <c r="L366" i="11" s="1"/>
  <c r="P390" i="11"/>
  <c r="U390" i="11" s="1"/>
  <c r="O414" i="11"/>
  <c r="L414" i="11" s="1"/>
  <c r="O456" i="11"/>
  <c r="L456" i="11" s="1"/>
  <c r="P465" i="11"/>
  <c r="U465" i="11" s="1"/>
  <c r="O480" i="11"/>
  <c r="L480" i="11" s="1"/>
  <c r="P492" i="11"/>
  <c r="S492" i="11" s="1"/>
  <c r="O516" i="11"/>
  <c r="L516" i="11" s="1"/>
  <c r="P516" i="11" s="1"/>
  <c r="V516" i="11" s="1"/>
  <c r="P564" i="11"/>
  <c r="V564" i="11" s="1"/>
  <c r="O138" i="11"/>
  <c r="L138" i="11" s="1"/>
  <c r="P138" i="11" s="1"/>
  <c r="S138" i="11" s="1"/>
  <c r="O234" i="11"/>
  <c r="L234" i="11" s="1"/>
  <c r="O339" i="11"/>
  <c r="J363" i="11"/>
  <c r="O363" i="11"/>
  <c r="L363" i="11" s="1"/>
  <c r="J366" i="11"/>
  <c r="K411" i="11"/>
  <c r="O423" i="11"/>
  <c r="L423" i="11" s="1"/>
  <c r="J429" i="11"/>
  <c r="P429" i="11" s="1"/>
  <c r="V429" i="11" s="1"/>
  <c r="O435" i="11"/>
  <c r="L435" i="11" s="1"/>
  <c r="P435" i="11" s="1"/>
  <c r="V435" i="11" s="1"/>
  <c r="J441" i="11"/>
  <c r="O447" i="11"/>
  <c r="L447" i="11" s="1"/>
  <c r="P447" i="11" s="1"/>
  <c r="V447" i="11" s="1"/>
  <c r="J453" i="11"/>
  <c r="O474" i="11"/>
  <c r="L474" i="11" s="1"/>
  <c r="J480" i="11"/>
  <c r="O486" i="11"/>
  <c r="L486" i="11" s="1"/>
  <c r="O498" i="11"/>
  <c r="L498" i="11" s="1"/>
  <c r="O504" i="11"/>
  <c r="L504" i="11" s="1"/>
  <c r="K507" i="11"/>
  <c r="O549" i="11"/>
  <c r="L549" i="11" s="1"/>
  <c r="P549" i="11" s="1"/>
  <c r="V549" i="11" s="1"/>
  <c r="O555" i="11"/>
  <c r="L555" i="11" s="1"/>
  <c r="P600" i="11"/>
  <c r="U600" i="11" s="1"/>
  <c r="O112" i="11"/>
  <c r="L112" i="11" s="1"/>
  <c r="O140" i="11"/>
  <c r="L140" i="11" s="1"/>
  <c r="P140" i="11" s="1"/>
  <c r="S140" i="11" s="1"/>
  <c r="O152" i="11"/>
  <c r="L152" i="11" s="1"/>
  <c r="P152" i="11" s="1"/>
  <c r="S152" i="11" s="1"/>
  <c r="O417" i="11"/>
  <c r="L417" i="11" s="1"/>
  <c r="O459" i="11"/>
  <c r="L459" i="11" s="1"/>
  <c r="O471" i="11"/>
  <c r="L471" i="11" s="1"/>
  <c r="O519" i="11"/>
  <c r="L519" i="11" s="1"/>
  <c r="K543" i="11"/>
  <c r="O567" i="11"/>
  <c r="L567" i="11" s="1"/>
  <c r="P616" i="11"/>
  <c r="U616" i="11" s="1"/>
  <c r="P619" i="11"/>
  <c r="T619" i="11" s="1"/>
  <c r="P622" i="11"/>
  <c r="R622" i="11" s="1"/>
  <c r="L158" i="11"/>
  <c r="P158" i="11" s="1"/>
  <c r="S158" i="11" s="1"/>
  <c r="Q784" i="11"/>
  <c r="Q786" i="11" s="1"/>
  <c r="G7" i="14" s="1"/>
  <c r="K25" i="11"/>
  <c r="O25" i="11"/>
  <c r="P306" i="11"/>
  <c r="U306" i="11" s="1"/>
  <c r="K13" i="11"/>
  <c r="O13" i="11"/>
  <c r="L144" i="11"/>
  <c r="P144" i="11" s="1"/>
  <c r="S144" i="11" s="1"/>
  <c r="L146" i="11"/>
  <c r="P146" i="11" s="1"/>
  <c r="S146" i="11" s="1"/>
  <c r="O34" i="11"/>
  <c r="L34" i="11" s="1"/>
  <c r="K34" i="11"/>
  <c r="O37" i="11"/>
  <c r="K48" i="11"/>
  <c r="O51" i="11"/>
  <c r="K60" i="11"/>
  <c r="O63" i="11"/>
  <c r="K74" i="11"/>
  <c r="O77" i="11"/>
  <c r="K86" i="11"/>
  <c r="O89" i="11"/>
  <c r="K98" i="11"/>
  <c r="O101" i="11"/>
  <c r="K112" i="11"/>
  <c r="O115" i="11"/>
  <c r="K124" i="11"/>
  <c r="O127" i="11"/>
  <c r="K134" i="11"/>
  <c r="K138" i="11"/>
  <c r="L142" i="11"/>
  <c r="P142" i="11" s="1"/>
  <c r="S142" i="11" s="1"/>
  <c r="L150" i="11"/>
  <c r="P150" i="11" s="1"/>
  <c r="S150" i="11" s="1"/>
  <c r="K156" i="11"/>
  <c r="K174" i="11"/>
  <c r="O177" i="11"/>
  <c r="K186" i="11"/>
  <c r="O189" i="11"/>
  <c r="K198" i="11"/>
  <c r="O201" i="11"/>
  <c r="K210" i="11"/>
  <c r="O213" i="11"/>
  <c r="K222" i="11"/>
  <c r="O225" i="11"/>
  <c r="K234" i="11"/>
  <c r="O237" i="11"/>
  <c r="K246" i="11"/>
  <c r="O249" i="11"/>
  <c r="K258" i="11"/>
  <c r="O261" i="11"/>
  <c r="K270" i="11"/>
  <c r="O273" i="11"/>
  <c r="K282" i="11"/>
  <c r="O285" i="11"/>
  <c r="K294" i="11"/>
  <c r="O297" i="11"/>
  <c r="K306" i="11"/>
  <c r="O309" i="11"/>
  <c r="K318" i="11"/>
  <c r="K324" i="11"/>
  <c r="O324" i="11"/>
  <c r="P393" i="11"/>
  <c r="V393" i="11" s="1"/>
  <c r="O321" i="11"/>
  <c r="L321" i="11" s="1"/>
  <c r="O333" i="11"/>
  <c r="L333" i="11" s="1"/>
  <c r="K333" i="11"/>
  <c r="O357" i="11"/>
  <c r="L357" i="11" s="1"/>
  <c r="K357" i="11"/>
  <c r="O381" i="11"/>
  <c r="L381" i="11" s="1"/>
  <c r="P381" i="11" s="1"/>
  <c r="V381" i="11" s="1"/>
  <c r="K381" i="11"/>
  <c r="L594" i="11"/>
  <c r="P594" i="11" s="1"/>
  <c r="U594" i="11" s="1"/>
  <c r="O345" i="11"/>
  <c r="L345" i="11" s="1"/>
  <c r="K345" i="11"/>
  <c r="L441" i="11"/>
  <c r="L453" i="11"/>
  <c r="O369" i="11"/>
  <c r="L369" i="11" s="1"/>
  <c r="J372" i="11"/>
  <c r="K369" i="11"/>
  <c r="P468" i="11"/>
  <c r="U468" i="11" s="1"/>
  <c r="L495" i="11"/>
  <c r="P495" i="11" s="1"/>
  <c r="U495" i="11" s="1"/>
  <c r="P543" i="11"/>
  <c r="V543" i="11" s="1"/>
  <c r="O336" i="11"/>
  <c r="O348" i="11"/>
  <c r="O360" i="11"/>
  <c r="O372" i="11"/>
  <c r="L372" i="11" s="1"/>
  <c r="O384" i="11"/>
  <c r="K393" i="11"/>
  <c r="O396" i="11"/>
  <c r="K405" i="11"/>
  <c r="O408" i="11"/>
  <c r="L408" i="11" s="1"/>
  <c r="K417" i="11"/>
  <c r="J420" i="11"/>
  <c r="O420" i="11"/>
  <c r="L420" i="11" s="1"/>
  <c r="K429" i="11"/>
  <c r="J432" i="11"/>
  <c r="P432" i="11" s="1"/>
  <c r="T432" i="11" s="1"/>
  <c r="K441" i="11"/>
  <c r="J444" i="11"/>
  <c r="K453" i="11"/>
  <c r="K471" i="11"/>
  <c r="J474" i="11"/>
  <c r="K483" i="11"/>
  <c r="K495" i="11"/>
  <c r="K513" i="11"/>
  <c r="K519" i="11"/>
  <c r="O534" i="11"/>
  <c r="L534" i="11" s="1"/>
  <c r="P534" i="11" s="1"/>
  <c r="V534" i="11" s="1"/>
  <c r="O546" i="11"/>
  <c r="L546" i="11" s="1"/>
  <c r="O558" i="11"/>
  <c r="L558" i="11" s="1"/>
  <c r="P558" i="11" s="1"/>
  <c r="U558" i="11" s="1"/>
  <c r="P582" i="11"/>
  <c r="U582" i="11" s="1"/>
  <c r="P597" i="11"/>
  <c r="U597" i="11" s="1"/>
  <c r="K456" i="11"/>
  <c r="O477" i="11"/>
  <c r="K486" i="11"/>
  <c r="K501" i="11"/>
  <c r="L513" i="11"/>
  <c r="P513" i="11" s="1"/>
  <c r="U513" i="11" s="1"/>
  <c r="O522" i="11"/>
  <c r="L522" i="11" s="1"/>
  <c r="K537" i="11"/>
  <c r="K549" i="11"/>
  <c r="K561" i="11"/>
  <c r="K567" i="11"/>
  <c r="P588" i="11"/>
  <c r="U588" i="11" s="1"/>
  <c r="O570" i="11"/>
  <c r="L570" i="11" s="1"/>
  <c r="L772" i="11"/>
  <c r="P772" i="11" s="1"/>
  <c r="R772" i="11" s="1"/>
  <c r="O510" i="11"/>
  <c r="L510" i="11" s="1"/>
  <c r="P625" i="11"/>
  <c r="T625" i="11" s="1"/>
  <c r="P628" i="11"/>
  <c r="S628" i="11" s="1"/>
  <c r="P631" i="11"/>
  <c r="R631" i="11" s="1"/>
  <c r="P634" i="11"/>
  <c r="S634" i="11" s="1"/>
  <c r="P637" i="11"/>
  <c r="S637" i="11" s="1"/>
  <c r="P640" i="11"/>
  <c r="S640" i="11" s="1"/>
  <c r="P643" i="11"/>
  <c r="R643" i="11" s="1"/>
  <c r="P646" i="11"/>
  <c r="R646" i="11" s="1"/>
  <c r="P649" i="11"/>
  <c r="U649" i="11" s="1"/>
  <c r="P652" i="11"/>
  <c r="T652" i="11" s="1"/>
  <c r="P655" i="11"/>
  <c r="S655" i="11" s="1"/>
  <c r="P658" i="11"/>
  <c r="S658" i="11" s="1"/>
  <c r="P661" i="11"/>
  <c r="S661" i="11" s="1"/>
  <c r="P664" i="11"/>
  <c r="S664" i="11" s="1"/>
  <c r="P667" i="11"/>
  <c r="U667" i="11" s="1"/>
  <c r="P670" i="11"/>
  <c r="U670" i="11" s="1"/>
  <c r="P673" i="11"/>
  <c r="U673" i="11" s="1"/>
  <c r="P676" i="11"/>
  <c r="T676" i="11" s="1"/>
  <c r="P679" i="11"/>
  <c r="T679" i="11" s="1"/>
  <c r="P682" i="11"/>
  <c r="T682" i="11" s="1"/>
  <c r="P685" i="11"/>
  <c r="T685" i="11" s="1"/>
  <c r="P688" i="11"/>
  <c r="S688" i="11" s="1"/>
  <c r="P691" i="11"/>
  <c r="R691" i="11" s="1"/>
  <c r="P694" i="11"/>
  <c r="R694" i="11" s="1"/>
  <c r="P697" i="11"/>
  <c r="R697" i="11" s="1"/>
  <c r="P700" i="11"/>
  <c r="R700" i="11" s="1"/>
  <c r="P703" i="11"/>
  <c r="R703" i="11" s="1"/>
  <c r="P706" i="11"/>
  <c r="T706" i="11" s="1"/>
  <c r="P709" i="11"/>
  <c r="S709" i="11" s="1"/>
  <c r="P712" i="11"/>
  <c r="U712" i="11" s="1"/>
  <c r="P715" i="11"/>
  <c r="T715" i="11" s="1"/>
  <c r="P718" i="11"/>
  <c r="T718" i="11" s="1"/>
  <c r="P721" i="11"/>
  <c r="U721" i="11" s="1"/>
  <c r="P724" i="11"/>
  <c r="U724" i="11" s="1"/>
  <c r="P727" i="11"/>
  <c r="U727" i="11" s="1"/>
  <c r="P730" i="11"/>
  <c r="T730" i="11" s="1"/>
  <c r="P733" i="11"/>
  <c r="U733" i="11" s="1"/>
  <c r="P736" i="11"/>
  <c r="T736" i="11" s="1"/>
  <c r="P739" i="11"/>
  <c r="U739" i="11" s="1"/>
  <c r="P742" i="11"/>
  <c r="S742" i="11" s="1"/>
  <c r="P745" i="11"/>
  <c r="S745" i="11" s="1"/>
  <c r="P748" i="11"/>
  <c r="U748" i="11" s="1"/>
  <c r="P751" i="11"/>
  <c r="T751" i="11" s="1"/>
  <c r="P754" i="11"/>
  <c r="R754" i="11" s="1"/>
  <c r="P757" i="11"/>
  <c r="V757" i="11" s="1"/>
  <c r="P760" i="11"/>
  <c r="T760" i="11" s="1"/>
  <c r="P763" i="11"/>
  <c r="S763" i="11" s="1"/>
  <c r="P766" i="11"/>
  <c r="S766" i="11" s="1"/>
  <c r="P769" i="11"/>
  <c r="S769" i="11" s="1"/>
  <c r="L778" i="11"/>
  <c r="P778" i="11" s="1"/>
  <c r="T778" i="11" s="1"/>
  <c r="P603" i="11"/>
  <c r="U603" i="11" s="1"/>
  <c r="L606" i="11"/>
  <c r="P606" i="11" s="1"/>
  <c r="U606" i="11" s="1"/>
  <c r="L609" i="11"/>
  <c r="P609" i="11" s="1"/>
  <c r="U609" i="11" s="1"/>
  <c r="P423" i="11" l="1"/>
  <c r="S423" i="11" s="1"/>
  <c r="P104" i="11"/>
  <c r="T104" i="11" s="1"/>
  <c r="P22" i="11"/>
  <c r="T22" i="11" s="1"/>
  <c r="P270" i="11"/>
  <c r="V270" i="11" s="1"/>
  <c r="P7" i="11"/>
  <c r="T7" i="11" s="1"/>
  <c r="P294" i="11"/>
  <c r="U294" i="11" s="1"/>
  <c r="P183" i="11"/>
  <c r="U183" i="11" s="1"/>
  <c r="P483" i="11"/>
  <c r="U483" i="11" s="1"/>
  <c r="P282" i="11"/>
  <c r="U282" i="11" s="1"/>
  <c r="P204" i="11"/>
  <c r="V204" i="11" s="1"/>
  <c r="P219" i="11"/>
  <c r="S219" i="11" s="1"/>
  <c r="P124" i="11"/>
  <c r="T124" i="11" s="1"/>
  <c r="P279" i="11"/>
  <c r="V279" i="11" s="1"/>
  <c r="P438" i="11"/>
  <c r="T438" i="11" s="1"/>
  <c r="P28" i="11"/>
  <c r="T28" i="11" s="1"/>
  <c r="P354" i="11"/>
  <c r="U354" i="11" s="1"/>
  <c r="P186" i="11"/>
  <c r="U186" i="11" s="1"/>
  <c r="P83" i="11"/>
  <c r="T83" i="11" s="1"/>
  <c r="P528" i="11"/>
  <c r="U528" i="11" s="1"/>
  <c r="P171" i="11"/>
  <c r="S171" i="11" s="1"/>
  <c r="P57" i="11"/>
  <c r="T57" i="11" s="1"/>
  <c r="P255" i="11"/>
  <c r="U255" i="11" s="1"/>
  <c r="P95" i="11"/>
  <c r="T95" i="11" s="1"/>
  <c r="P450" i="11"/>
  <c r="U450" i="11" s="1"/>
  <c r="P378" i="11"/>
  <c r="V378" i="11" s="1"/>
  <c r="P444" i="11"/>
  <c r="V444" i="11" s="1"/>
  <c r="P453" i="11"/>
  <c r="U453" i="11" s="1"/>
  <c r="P291" i="11"/>
  <c r="U291" i="11" s="1"/>
  <c r="P243" i="11"/>
  <c r="U243" i="11" s="1"/>
  <c r="P234" i="11"/>
  <c r="U234" i="11" s="1"/>
  <c r="P531" i="11"/>
  <c r="U531" i="11" s="1"/>
  <c r="P168" i="11"/>
  <c r="U168" i="11" s="1"/>
  <c r="P10" i="11"/>
  <c r="T10" i="11" s="1"/>
  <c r="P195" i="11"/>
  <c r="V195" i="11" s="1"/>
  <c r="P180" i="11"/>
  <c r="U180" i="11" s="1"/>
  <c r="P537" i="11"/>
  <c r="V537" i="11" s="1"/>
  <c r="P315" i="11"/>
  <c r="U315" i="11" s="1"/>
  <c r="P80" i="11"/>
  <c r="T80" i="11" s="1"/>
  <c r="P54" i="11"/>
  <c r="T54" i="11" s="1"/>
  <c r="P471" i="11"/>
  <c r="V471" i="11" s="1"/>
  <c r="P19" i="11"/>
  <c r="T19" i="11" s="1"/>
  <c r="P252" i="11"/>
  <c r="T252" i="11" s="1"/>
  <c r="P570" i="11"/>
  <c r="V570" i="11" s="1"/>
  <c r="P366" i="11"/>
  <c r="U366" i="11" s="1"/>
  <c r="P426" i="11"/>
  <c r="S426" i="11" s="1"/>
  <c r="P342" i="11"/>
  <c r="U342" i="11" s="1"/>
  <c r="P414" i="11"/>
  <c r="U414" i="11" s="1"/>
  <c r="P333" i="11"/>
  <c r="V333" i="11" s="1"/>
  <c r="P246" i="11"/>
  <c r="U246" i="11" s="1"/>
  <c r="P525" i="11"/>
  <c r="U525" i="11" s="1"/>
  <c r="P207" i="11"/>
  <c r="U207" i="11" s="1"/>
  <c r="P86" i="11"/>
  <c r="T86" i="11" s="1"/>
  <c r="P405" i="11"/>
  <c r="V405" i="11" s="1"/>
  <c r="P387" i="11"/>
  <c r="U387" i="11" s="1"/>
  <c r="P441" i="11"/>
  <c r="V441" i="11" s="1"/>
  <c r="P107" i="11"/>
  <c r="T107" i="11" s="1"/>
  <c r="P48" i="11"/>
  <c r="T48" i="11" s="1"/>
  <c r="P31" i="11"/>
  <c r="T31" i="11" s="1"/>
  <c r="P312" i="11"/>
  <c r="U312" i="11" s="1"/>
  <c r="P576" i="11"/>
  <c r="U576" i="11" s="1"/>
  <c r="P267" i="11"/>
  <c r="U267" i="11" s="1"/>
  <c r="P98" i="11"/>
  <c r="T98" i="11" s="1"/>
  <c r="P489" i="11"/>
  <c r="U489" i="11" s="1"/>
  <c r="P303" i="11"/>
  <c r="V303" i="11" s="1"/>
  <c r="P92" i="11"/>
  <c r="T92" i="11" s="1"/>
  <c r="P399" i="11"/>
  <c r="V399" i="11" s="1"/>
  <c r="P375" i="11"/>
  <c r="U375" i="11" s="1"/>
  <c r="P228" i="11"/>
  <c r="U228" i="11" s="1"/>
  <c r="P327" i="11"/>
  <c r="V327" i="11" s="1"/>
  <c r="P60" i="11"/>
  <c r="T60" i="11" s="1"/>
  <c r="P318" i="11"/>
  <c r="V318" i="11" s="1"/>
  <c r="P498" i="11"/>
  <c r="V498" i="11" s="1"/>
  <c r="P480" i="11"/>
  <c r="U480" i="11" s="1"/>
  <c r="P402" i="11"/>
  <c r="U402" i="11" s="1"/>
  <c r="P258" i="11"/>
  <c r="U258" i="11" s="1"/>
  <c r="P210" i="11"/>
  <c r="V210" i="11" s="1"/>
  <c r="P74" i="11"/>
  <c r="T74" i="11" s="1"/>
  <c r="P552" i="11"/>
  <c r="U552" i="11" s="1"/>
  <c r="P118" i="11"/>
  <c r="T118" i="11" s="1"/>
  <c r="P288" i="11"/>
  <c r="V288" i="11" s="1"/>
  <c r="G15" i="14"/>
  <c r="E9" i="15" s="1"/>
  <c r="P276" i="11"/>
  <c r="V276" i="11" s="1"/>
  <c r="P555" i="11"/>
  <c r="V555" i="11" s="1"/>
  <c r="P474" i="11"/>
  <c r="U474" i="11" s="1"/>
  <c r="P507" i="11"/>
  <c r="U507" i="11" s="1"/>
  <c r="P198" i="11"/>
  <c r="V198" i="11" s="1"/>
  <c r="P462" i="11"/>
  <c r="U462" i="11" s="1"/>
  <c r="P222" i="11"/>
  <c r="U222" i="11" s="1"/>
  <c r="P264" i="11"/>
  <c r="V264" i="11" s="1"/>
  <c r="P192" i="11"/>
  <c r="V192" i="11" s="1"/>
  <c r="P573" i="11"/>
  <c r="U573" i="11" s="1"/>
  <c r="P486" i="11"/>
  <c r="U486" i="11" s="1"/>
  <c r="P504" i="11"/>
  <c r="U504" i="11" s="1"/>
  <c r="P459" i="11"/>
  <c r="V459" i="11" s="1"/>
  <c r="P519" i="11"/>
  <c r="U519" i="11" s="1"/>
  <c r="P174" i="11"/>
  <c r="V174" i="11" s="1"/>
  <c r="R784" i="11"/>
  <c r="R786" i="11" s="1"/>
  <c r="H7" i="14" s="1"/>
  <c r="H15" i="14" s="1"/>
  <c r="F9" i="15" s="1"/>
  <c r="F13" i="15" s="1"/>
  <c r="F14" i="15" s="1"/>
  <c r="F23" i="15" s="1"/>
  <c r="P546" i="11"/>
  <c r="U546" i="11" s="1"/>
  <c r="L339" i="11"/>
  <c r="P339" i="11" s="1"/>
  <c r="V339" i="11" s="1"/>
  <c r="P567" i="11"/>
  <c r="U567" i="11" s="1"/>
  <c r="L130" i="11"/>
  <c r="P130" i="11" s="1"/>
  <c r="T130" i="11" s="1"/>
  <c r="P456" i="11"/>
  <c r="V456" i="11" s="1"/>
  <c r="P363" i="11"/>
  <c r="T363" i="11" s="1"/>
  <c r="P417" i="11"/>
  <c r="S417" i="11" s="1"/>
  <c r="P112" i="11"/>
  <c r="T112" i="11" s="1"/>
  <c r="P510" i="11"/>
  <c r="U510" i="11" s="1"/>
  <c r="P420" i="11"/>
  <c r="S420" i="11" s="1"/>
  <c r="L396" i="11"/>
  <c r="P396" i="11" s="1"/>
  <c r="V396" i="11" s="1"/>
  <c r="L360" i="11"/>
  <c r="P360" i="11" s="1"/>
  <c r="U360" i="11" s="1"/>
  <c r="P321" i="11"/>
  <c r="V321" i="11" s="1"/>
  <c r="P357" i="11"/>
  <c r="V357" i="11" s="1"/>
  <c r="L309" i="11"/>
  <c r="P309" i="11" s="1"/>
  <c r="U309" i="11" s="1"/>
  <c r="L285" i="11"/>
  <c r="P285" i="11" s="1"/>
  <c r="U285" i="11" s="1"/>
  <c r="L261" i="11"/>
  <c r="P261" i="11" s="1"/>
  <c r="V261" i="11" s="1"/>
  <c r="L237" i="11"/>
  <c r="P237" i="11" s="1"/>
  <c r="V237" i="11" s="1"/>
  <c r="L213" i="11"/>
  <c r="P213" i="11" s="1"/>
  <c r="V213" i="11" s="1"/>
  <c r="L189" i="11"/>
  <c r="P189" i="11" s="1"/>
  <c r="V189" i="11" s="1"/>
  <c r="L115" i="11"/>
  <c r="P115" i="11" s="1"/>
  <c r="T115" i="11" s="1"/>
  <c r="L89" i="11"/>
  <c r="P89" i="11" s="1"/>
  <c r="T89" i="11" s="1"/>
  <c r="L63" i="11"/>
  <c r="P63" i="11" s="1"/>
  <c r="T63" i="11" s="1"/>
  <c r="L37" i="11"/>
  <c r="P37" i="11" s="1"/>
  <c r="T37" i="11" s="1"/>
  <c r="L25" i="11"/>
  <c r="P25" i="11" s="1"/>
  <c r="T25" i="11" s="1"/>
  <c r="P522" i="11"/>
  <c r="U522" i="11" s="1"/>
  <c r="L348" i="11"/>
  <c r="P348" i="11" s="1"/>
  <c r="V348" i="11" s="1"/>
  <c r="P372" i="11"/>
  <c r="V372" i="11" s="1"/>
  <c r="L324" i="11"/>
  <c r="P324" i="11" s="1"/>
  <c r="V324" i="11" s="1"/>
  <c r="L384" i="11"/>
  <c r="P384" i="11" s="1"/>
  <c r="V384" i="11" s="1"/>
  <c r="L336" i="11"/>
  <c r="P336" i="11" s="1"/>
  <c r="U336" i="11" s="1"/>
  <c r="P408" i="11"/>
  <c r="V408" i="11" s="1"/>
  <c r="L297" i="11"/>
  <c r="P297" i="11" s="1"/>
  <c r="V297" i="11" s="1"/>
  <c r="L273" i="11"/>
  <c r="P273" i="11" s="1"/>
  <c r="V273" i="11" s="1"/>
  <c r="L249" i="11"/>
  <c r="P249" i="11" s="1"/>
  <c r="U249" i="11" s="1"/>
  <c r="L225" i="11"/>
  <c r="P225" i="11" s="1"/>
  <c r="U225" i="11" s="1"/>
  <c r="L201" i="11"/>
  <c r="P201" i="11" s="1"/>
  <c r="U201" i="11" s="1"/>
  <c r="L177" i="11"/>
  <c r="P177" i="11" s="1"/>
  <c r="U177" i="11" s="1"/>
  <c r="L127" i="11"/>
  <c r="P127" i="11" s="1"/>
  <c r="T127" i="11" s="1"/>
  <c r="L101" i="11"/>
  <c r="P101" i="11" s="1"/>
  <c r="T101" i="11" s="1"/>
  <c r="L77" i="11"/>
  <c r="P77" i="11" s="1"/>
  <c r="T77" i="11" s="1"/>
  <c r="L51" i="11"/>
  <c r="P51" i="11" s="1"/>
  <c r="T51" i="11" s="1"/>
  <c r="L13" i="11"/>
  <c r="P13" i="11" s="1"/>
  <c r="T13" i="11" s="1"/>
  <c r="L477" i="11"/>
  <c r="P477" i="11" s="1"/>
  <c r="U477" i="11" s="1"/>
  <c r="P345" i="11"/>
  <c r="U345" i="11" s="1"/>
  <c r="P369" i="11"/>
  <c r="U369" i="11" s="1"/>
  <c r="P34" i="11"/>
  <c r="T34" i="11" s="1"/>
  <c r="U784" i="11" l="1"/>
  <c r="U786" i="11" s="1"/>
  <c r="K7" i="14" s="1"/>
  <c r="K15" i="14" s="1"/>
  <c r="I9" i="15" s="1"/>
  <c r="I13" i="15" s="1"/>
  <c r="I14" i="15" s="1"/>
  <c r="I23" i="15" s="1"/>
  <c r="S784" i="11"/>
  <c r="S786" i="11" s="1"/>
  <c r="I7" i="14" s="1"/>
  <c r="I15" i="14" s="1"/>
  <c r="G9" i="15" s="1"/>
  <c r="G13" i="15" s="1"/>
  <c r="G14" i="15" s="1"/>
  <c r="G23" i="15" s="1"/>
  <c r="E13" i="15"/>
  <c r="E14" i="15" s="1"/>
  <c r="E23" i="15" s="1"/>
  <c r="V784" i="11"/>
  <c r="V786" i="11" s="1"/>
  <c r="L7" i="14" s="1"/>
  <c r="L15" i="14" s="1"/>
  <c r="J9" i="15" s="1"/>
  <c r="J13" i="15" s="1"/>
  <c r="J14" i="15" s="1"/>
  <c r="J23" i="15" s="1"/>
  <c r="T784" i="11"/>
  <c r="T786" i="11" s="1"/>
  <c r="W786" i="11" l="1"/>
  <c r="J7" i="14"/>
  <c r="J15" i="14" s="1"/>
  <c r="H9" i="15" s="1"/>
  <c r="H13" i="15" s="1"/>
  <c r="H14" i="15" s="1"/>
  <c r="H23" i="15" s="1"/>
  <c r="I35" i="10"/>
  <c r="H34" i="10"/>
  <c r="I34" i="10" s="1"/>
  <c r="H33" i="10"/>
  <c r="I33" i="10" s="1"/>
  <c r="H32" i="10"/>
  <c r="I32" i="10" s="1"/>
  <c r="H31" i="10"/>
  <c r="I31" i="10" s="1"/>
  <c r="H30" i="10"/>
  <c r="I30" i="10" s="1"/>
  <c r="H29" i="10"/>
  <c r="I29" i="10" s="1"/>
  <c r="H28" i="10"/>
  <c r="I28" i="10" s="1"/>
  <c r="H27" i="10"/>
  <c r="I27" i="10" s="1"/>
  <c r="H26" i="10"/>
  <c r="I26" i="10" s="1"/>
  <c r="H25" i="10"/>
  <c r="I25" i="10" s="1"/>
  <c r="H24" i="10"/>
  <c r="F24" i="10"/>
  <c r="H22" i="10"/>
  <c r="I22" i="10" s="1"/>
  <c r="I20" i="10"/>
  <c r="I19" i="10"/>
  <c r="I18" i="10"/>
  <c r="I17" i="10"/>
  <c r="I16" i="10"/>
  <c r="I15" i="10"/>
  <c r="I14" i="10"/>
  <c r="I13" i="10"/>
  <c r="I12" i="10"/>
  <c r="I11" i="10"/>
  <c r="F10" i="10"/>
  <c r="I10" i="10" s="1"/>
  <c r="K23" i="15" l="1"/>
  <c r="K9" i="15"/>
  <c r="K14" i="15"/>
  <c r="I24" i="10"/>
  <c r="I37" i="10" s="1"/>
  <c r="M5" i="19" s="1"/>
  <c r="M18" i="19" s="1"/>
  <c r="M7" i="14"/>
  <c r="M15" i="14" s="1"/>
  <c r="M29" i="14" s="1"/>
  <c r="K13" i="15" l="1"/>
  <c r="K25" i="15" s="1"/>
  <c r="J39" i="7"/>
  <c r="M39" i="7" s="1"/>
  <c r="I45" i="9"/>
  <c r="I44" i="9"/>
  <c r="I43" i="9"/>
  <c r="I42" i="9"/>
  <c r="I41" i="9"/>
  <c r="F40" i="9"/>
  <c r="I40" i="9" s="1"/>
  <c r="G39" i="9"/>
  <c r="F39" i="9"/>
  <c r="L23" i="15" l="1"/>
  <c r="J56" i="7"/>
  <c r="M56" i="7" s="1"/>
  <c r="I39" i="9"/>
  <c r="I47" i="9" s="1"/>
  <c r="F20" i="9"/>
  <c r="I20" i="9" s="1"/>
  <c r="I19" i="9"/>
  <c r="I18" i="9"/>
  <c r="G17" i="9"/>
  <c r="I17" i="9" s="1"/>
  <c r="I15" i="9"/>
  <c r="I14" i="9"/>
  <c r="I13" i="9"/>
  <c r="I12" i="9"/>
  <c r="I11" i="9"/>
  <c r="I10" i="9"/>
  <c r="M12" i="21" l="1"/>
  <c r="J23" i="7" s="1"/>
  <c r="M23" i="7" s="1"/>
  <c r="F7" i="17"/>
  <c r="I9" i="9"/>
  <c r="I22" i="9" s="1"/>
  <c r="G7" i="17" l="1"/>
  <c r="J7" i="17" s="1"/>
  <c r="H83" i="8"/>
  <c r="I83" i="8" s="1"/>
  <c r="I86" i="8" s="1"/>
  <c r="J12" i="7" s="1"/>
  <c r="F6" i="17"/>
  <c r="G6" i="17" s="1"/>
  <c r="I15" i="8"/>
  <c r="I14" i="8"/>
  <c r="I13" i="8"/>
  <c r="I12" i="8"/>
  <c r="I11" i="8"/>
  <c r="I10" i="8"/>
  <c r="I9" i="8"/>
  <c r="M12" i="7" l="1"/>
  <c r="L12" i="7" s="1"/>
  <c r="I78" i="8"/>
  <c r="J11" i="7" s="1"/>
  <c r="M11" i="7" s="1"/>
  <c r="M6" i="21"/>
  <c r="J17" i="7" s="1"/>
  <c r="M17" i="7" s="1"/>
  <c r="J6" i="17"/>
  <c r="J23" i="17" s="1"/>
  <c r="G23" i="17"/>
  <c r="I6" i="17"/>
  <c r="I23" i="17" s="1"/>
  <c r="M10" i="7"/>
  <c r="L10" i="7" s="1"/>
  <c r="M18" i="7"/>
  <c r="L18" i="7" s="1"/>
  <c r="M19" i="7"/>
  <c r="L19" i="7" s="1"/>
  <c r="L23" i="7"/>
  <c r="M25" i="7"/>
  <c r="L25" i="7" s="1"/>
  <c r="M26" i="7"/>
  <c r="L26" i="7" s="1"/>
  <c r="M27" i="7"/>
  <c r="L27" i="7" s="1"/>
  <c r="M31" i="7"/>
  <c r="L31" i="7" s="1"/>
  <c r="M32" i="7"/>
  <c r="L32" i="7" s="1"/>
  <c r="L39" i="7"/>
  <c r="M41" i="7"/>
  <c r="L41" i="7" s="1"/>
  <c r="M42" i="7"/>
  <c r="L42" i="7" s="1"/>
  <c r="M43" i="7"/>
  <c r="L43" i="7" s="1"/>
  <c r="M44" i="7"/>
  <c r="L44" i="7" s="1"/>
  <c r="L46" i="7"/>
  <c r="M47" i="7"/>
  <c r="L47" i="7" s="1"/>
  <c r="M48" i="7"/>
  <c r="L48" i="7" s="1"/>
  <c r="M50" i="7"/>
  <c r="L50" i="7" s="1"/>
  <c r="L56" i="7"/>
  <c r="M57" i="7"/>
  <c r="L58" i="7"/>
  <c r="M64" i="7"/>
  <c r="L64" i="7" s="1"/>
  <c r="L66" i="7"/>
  <c r="M68" i="7"/>
  <c r="L68" i="7" s="1"/>
  <c r="M69" i="7"/>
  <c r="L69" i="7" s="1"/>
  <c r="M70" i="7"/>
  <c r="L70" i="7" s="1"/>
  <c r="M73" i="7"/>
  <c r="L73" i="7" s="1"/>
  <c r="M74" i="7"/>
  <c r="L74" i="7" s="1"/>
  <c r="M76" i="7"/>
  <c r="L76" i="7" s="1"/>
  <c r="M84" i="7"/>
  <c r="L84" i="7" s="1"/>
  <c r="M85" i="7"/>
  <c r="L85" i="7" s="1"/>
  <c r="M88" i="7"/>
  <c r="L88" i="7" s="1"/>
  <c r="M89" i="7"/>
  <c r="L89" i="7" s="1"/>
  <c r="M91" i="7"/>
  <c r="L91" i="7" s="1"/>
  <c r="M95" i="7"/>
  <c r="L95" i="7" s="1"/>
  <c r="M99" i="7"/>
  <c r="L99" i="7" s="1"/>
  <c r="M104" i="7"/>
  <c r="L104" i="7" s="1"/>
  <c r="M9" i="7"/>
  <c r="L9" i="7" s="1"/>
  <c r="N12" i="7"/>
  <c r="N18" i="7"/>
  <c r="N19" i="7"/>
  <c r="N23" i="7"/>
  <c r="N25" i="7"/>
  <c r="N26" i="7"/>
  <c r="N27" i="7"/>
  <c r="N30" i="7"/>
  <c r="N31" i="7"/>
  <c r="N32" i="7"/>
  <c r="N39" i="7"/>
  <c r="N41" i="7"/>
  <c r="N42" i="7"/>
  <c r="N43" i="7"/>
  <c r="N46" i="7"/>
  <c r="N47" i="7"/>
  <c r="N48" i="7"/>
  <c r="N50" i="7"/>
  <c r="N56" i="7"/>
  <c r="N57" i="7"/>
  <c r="N58" i="7"/>
  <c r="N64" i="7"/>
  <c r="N66" i="7"/>
  <c r="N69" i="7"/>
  <c r="N70" i="7"/>
  <c r="N73" i="7"/>
  <c r="N74" i="7"/>
  <c r="N76" i="7"/>
  <c r="N84" i="7"/>
  <c r="N85" i="7"/>
  <c r="N88" i="7"/>
  <c r="N89" i="7"/>
  <c r="N90" i="7"/>
  <c r="N91" i="7"/>
  <c r="N95" i="7"/>
  <c r="N99" i="7"/>
  <c r="N104" i="7"/>
  <c r="N9" i="7"/>
  <c r="J109" i="7" l="1"/>
  <c r="L57" i="7"/>
  <c r="I17" i="7"/>
  <c r="M109" i="7"/>
  <c r="M24" i="21"/>
  <c r="I33" i="17"/>
  <c r="I35" i="17" s="1"/>
  <c r="I36" i="17" s="1"/>
  <c r="I25" i="17"/>
  <c r="I26" i="17" s="1"/>
  <c r="J33" i="17"/>
  <c r="J35" i="17" s="1"/>
  <c r="J36" i="17" s="1"/>
  <c r="J25" i="17"/>
  <c r="J26" i="17" s="1"/>
  <c r="G25" i="17"/>
  <c r="G26" i="17" s="1"/>
  <c r="G33" i="17"/>
  <c r="G35" i="17" s="1"/>
  <c r="G36" i="17" s="1"/>
  <c r="H109" i="7"/>
  <c r="J4" i="7"/>
  <c r="B4" i="7"/>
  <c r="J3" i="7"/>
  <c r="B3" i="7"/>
  <c r="J2" i="7"/>
  <c r="B2" i="7"/>
  <c r="L17" i="7" l="1"/>
  <c r="N17" i="7"/>
  <c r="L11" i="7"/>
  <c r="N11" i="7"/>
  <c r="I11" i="7"/>
  <c r="I12" i="7"/>
  <c r="I18" i="7"/>
  <c r="I19" i="7"/>
  <c r="I23" i="7"/>
  <c r="I25" i="7"/>
  <c r="I26" i="7"/>
  <c r="I27" i="7"/>
  <c r="I30" i="7"/>
  <c r="I31" i="7"/>
  <c r="I32" i="7"/>
  <c r="I39" i="7"/>
  <c r="I41" i="7"/>
  <c r="I42" i="7"/>
  <c r="I43" i="7"/>
  <c r="I46" i="7"/>
  <c r="I47" i="7"/>
  <c r="I48" i="7"/>
  <c r="I50" i="7"/>
  <c r="I56" i="7"/>
  <c r="I57" i="7"/>
  <c r="I58" i="7"/>
  <c r="I64" i="7"/>
  <c r="I66" i="7"/>
  <c r="I69" i="7"/>
  <c r="I70" i="7"/>
  <c r="I73" i="7"/>
  <c r="I74" i="7"/>
  <c r="I76" i="7"/>
  <c r="I84" i="7"/>
  <c r="I85" i="7"/>
  <c r="I88" i="7"/>
  <c r="I89" i="7"/>
  <c r="I90" i="7"/>
  <c r="I91" i="7"/>
  <c r="I95" i="7"/>
  <c r="I99" i="7"/>
  <c r="I104" i="7"/>
  <c r="I9" i="7"/>
  <c r="F104" i="7"/>
  <c r="F106" i="7" s="1"/>
  <c r="F99" i="7"/>
  <c r="F100" i="7" s="1"/>
  <c r="F95" i="7"/>
  <c r="F96" i="7" s="1"/>
  <c r="F91" i="7"/>
  <c r="F90" i="7"/>
  <c r="F89" i="7"/>
  <c r="F88" i="7"/>
  <c r="F85" i="7"/>
  <c r="F84" i="7"/>
  <c r="F76" i="7"/>
  <c r="F74" i="7"/>
  <c r="F73" i="7"/>
  <c r="F70" i="7"/>
  <c r="F69" i="7"/>
  <c r="F66" i="7"/>
  <c r="F64" i="7"/>
  <c r="F58" i="7"/>
  <c r="F57" i="7"/>
  <c r="F56" i="7"/>
  <c r="F50" i="7"/>
  <c r="F48" i="7"/>
  <c r="F47" i="7"/>
  <c r="F46" i="7"/>
  <c r="F43" i="7"/>
  <c r="F42" i="7"/>
  <c r="F41" i="7"/>
  <c r="F39" i="7"/>
  <c r="F33" i="7"/>
  <c r="F32" i="7"/>
  <c r="F31" i="7"/>
  <c r="F30" i="7"/>
  <c r="F27" i="7"/>
  <c r="F26" i="7"/>
  <c r="F25" i="7"/>
  <c r="F23" i="7"/>
  <c r="F19" i="7"/>
  <c r="F18" i="7"/>
  <c r="F17" i="7"/>
  <c r="F12" i="7"/>
  <c r="F11" i="7"/>
  <c r="F9" i="7"/>
  <c r="L109" i="7" l="1"/>
  <c r="I109" i="7"/>
  <c r="F77" i="7"/>
  <c r="F92" i="7"/>
  <c r="F13" i="7"/>
  <c r="F51" i="7"/>
  <c r="F59" i="7"/>
  <c r="F35" i="7"/>
  <c r="D11" i="3" l="1"/>
  <c r="F11" i="3" s="1"/>
  <c r="M113" i="7"/>
  <c r="M114" i="7" s="1"/>
  <c r="F109" i="7"/>
  <c r="G2" i="3" s="1"/>
  <c r="D21" i="3" l="1"/>
  <c r="E15" i="3" l="1"/>
  <c r="E25" i="3" l="1"/>
  <c r="E27" i="3" s="1"/>
  <c r="E26" i="3"/>
  <c r="E16" i="3"/>
  <c r="E17" i="3" l="1"/>
  <c r="E23" i="3" l="1"/>
  <c r="E28" i="3" s="1"/>
  <c r="F15" i="3"/>
  <c r="F25" i="3" s="1"/>
  <c r="D15" i="3"/>
  <c r="G3" i="3"/>
  <c r="D22" i="3" l="1"/>
  <c r="F22" i="3" s="1"/>
  <c r="D25" i="3"/>
  <c r="F16" i="3"/>
  <c r="F17" i="3" s="1"/>
  <c r="D16" i="3"/>
  <c r="D17" i="3" s="1"/>
  <c r="D26" i="3" l="1"/>
  <c r="F26" i="3" s="1"/>
  <c r="F27" i="3" s="1"/>
  <c r="D23" i="3"/>
  <c r="F23" i="3"/>
  <c r="D27" i="3" l="1"/>
  <c r="D28" i="3" s="1"/>
  <c r="F28" i="3"/>
  <c r="F29" i="3" s="1"/>
</calcChain>
</file>

<file path=xl/sharedStrings.xml><?xml version="1.0" encoding="utf-8"?>
<sst xmlns="http://schemas.openxmlformats.org/spreadsheetml/2006/main" count="11126" uniqueCount="1316">
  <si>
    <t>ABSTRACT OF COST</t>
  </si>
  <si>
    <t>S.NO.</t>
  </si>
  <si>
    <t>DESCRIPTION OF ITEM</t>
  </si>
  <si>
    <t>UNIT</t>
  </si>
  <si>
    <t>Qty</t>
  </si>
  <si>
    <t>Amount</t>
  </si>
  <si>
    <t>Executed %</t>
  </si>
  <si>
    <t>Prev. Bill</t>
  </si>
  <si>
    <t>This Bill</t>
  </si>
  <si>
    <t>SQM</t>
  </si>
  <si>
    <t>Tracker NO</t>
  </si>
  <si>
    <t>Office NO</t>
  </si>
  <si>
    <t xml:space="preserve">CONTRACT VALUE  ; </t>
  </si>
  <si>
    <t>PROGRESS OF WORK:</t>
  </si>
  <si>
    <t>DATE OF BILL RECEIVED AT H.O. :-</t>
  </si>
  <si>
    <t>DATE OF BILL CHECKING AT H.O.  :-</t>
  </si>
  <si>
    <t>PARTICULARS</t>
  </si>
  <si>
    <t>CLAIMED BY CONTRACTOR</t>
  </si>
  <si>
    <t>GROSS AMT</t>
  </si>
  <si>
    <t>PREVIOUS AMT.</t>
  </si>
  <si>
    <t>THIS BILL AMT</t>
  </si>
  <si>
    <t>REMARKS</t>
  </si>
  <si>
    <t>WORK DONE(CIVIL)</t>
  </si>
  <si>
    <t>WORK DONE(ELECT/ PLUMBING)</t>
  </si>
  <si>
    <t>DIFF. OF CEMENT</t>
  </si>
  <si>
    <t>RATE DIFF OF TILES</t>
  </si>
  <si>
    <t>TOTAL (A)</t>
  </si>
  <si>
    <t>Add GST 18% On (A)</t>
  </si>
  <si>
    <t>TOTAL (B)</t>
  </si>
  <si>
    <t>ADVANCES</t>
  </si>
  <si>
    <t>Add Mobilization Advance</t>
  </si>
  <si>
    <t>TOTAL (C)</t>
  </si>
  <si>
    <t>DEDUCTIONS</t>
  </si>
  <si>
    <t>SECURITY @ 5 % (ON TOTAL A)</t>
  </si>
  <si>
    <t>TDS @ 1% (ON TOTAL  A)</t>
  </si>
  <si>
    <t>TOTAL DEDUCTION (C)</t>
  </si>
  <si>
    <t>NET PAYABLE AMOUNT (D)</t>
  </si>
  <si>
    <t>NOW PAYABLE</t>
  </si>
  <si>
    <t>PREPARED BY</t>
  </si>
  <si>
    <t>ACCOUNT (SITE)</t>
  </si>
  <si>
    <t>PREVIOUS RA BILL NO:-</t>
  </si>
  <si>
    <t>ANUP SINGH</t>
  </si>
  <si>
    <t>PREVIOUS RA GROSS AMOUNT:-</t>
  </si>
  <si>
    <t>DY. MANAGER</t>
  </si>
  <si>
    <t>PROJECT INCHARGE {CPC/PC/ASST V.P./SR GM /GM}</t>
  </si>
  <si>
    <t>S K PANDEY</t>
  </si>
  <si>
    <t>G.M. - PROJECT</t>
  </si>
  <si>
    <t>HO BILL MONITORING</t>
  </si>
  <si>
    <t>PRIYANK BARANWAL</t>
  </si>
  <si>
    <t>MANAGER (BILLING)</t>
  </si>
  <si>
    <t>S.No.</t>
  </si>
  <si>
    <t>Description</t>
  </si>
  <si>
    <t>QTY</t>
  </si>
  <si>
    <t>OMAXE LTD.</t>
  </si>
  <si>
    <t>Recover Mobilization Advance</t>
  </si>
  <si>
    <t xml:space="preserve">DATE OF BILL REC. AT SITE :- </t>
  </si>
  <si>
    <t>Rate</t>
  </si>
  <si>
    <t>TOTAL</t>
  </si>
  <si>
    <t>Total</t>
  </si>
  <si>
    <t>KG</t>
  </si>
  <si>
    <t>Unit</t>
  </si>
  <si>
    <t>L</t>
  </si>
  <si>
    <t>B</t>
  </si>
  <si>
    <t>H</t>
  </si>
  <si>
    <t>NOS</t>
  </si>
  <si>
    <t>UPENDER SINGH</t>
  </si>
  <si>
    <t>G.M.-HO BILLING</t>
  </si>
  <si>
    <t>CHIEF MANAGER</t>
  </si>
  <si>
    <t xml:space="preserve">Earth work in excavation in  foundation trenches, column pits, plinth beam, under grade/ raft slab etc. by mechanical and/or manual means up to a depth of 1.5 mtr in soil from existing excavated soil level, stacking/spreading the  excavated material within site premises (within a stretch of 1500 M) as per direction of Project Manager including dressing of bottom, sides strutting, timbering, shoring, trimming of sides, all leads and lifts, bailing or pumping out the water from the excavated areas collected from any source including subsoil water and keeping the excavated surface dry for subsequent works incidentals, etc. complete with ramming of bottom, surface preparation as per specifications to receive the  PCC.    
                                                </t>
  </si>
  <si>
    <t>EARTH WORK</t>
  </si>
  <si>
    <t>1.1.</t>
  </si>
  <si>
    <t>CUM</t>
  </si>
  <si>
    <t>1.2.</t>
  </si>
  <si>
    <t>1.3.</t>
  </si>
  <si>
    <t>Total of Earthwork</t>
  </si>
  <si>
    <t>CONCRETE WORK</t>
  </si>
  <si>
    <t>2.2.</t>
  </si>
  <si>
    <t>2.3.</t>
  </si>
  <si>
    <t>2.4.</t>
  </si>
  <si>
    <t>RCC WORK</t>
  </si>
  <si>
    <t>2.4.1.</t>
  </si>
  <si>
    <t>Foundation, column footings, raft slab, raft beams, plinth beam, lift pits, sump pits, pedestals / bases of column, column upto plinth, swimming pool, Retaining wall foundations, grade slab etc.</t>
  </si>
  <si>
    <t>2.4.2.</t>
  </si>
  <si>
    <t>Suspended floors, roofs, balconies, shelves/ counters, stair waist slabs, folded plate stairs and landings, swimming pool slab, lintel and floor beams, landing beams, girders (deep beams), RCC bands, swimming pool beam, cantilever projections, coping, cills, slab of tank etc at all levels.</t>
  </si>
  <si>
    <t>2.4.2.1.</t>
  </si>
  <si>
    <t xml:space="preserve">Stilt Floor level to 7th Floor level </t>
  </si>
  <si>
    <t>2.4.2.2.</t>
  </si>
  <si>
    <t>7th Floor level to to Terrace Including OHT, Mumty, Machine Room, Parapet</t>
  </si>
  <si>
    <t>2.4.2.3.</t>
  </si>
  <si>
    <t xml:space="preserve">All type of Moulding, Bands, Elevation/Architectural Features as per drawing and as directed by EIC. at all level </t>
  </si>
  <si>
    <t>2.5.</t>
  </si>
  <si>
    <t>Columns, Wall, pillars, piers, abutments, posts and struts, offset and projection of columns, water tank walls, lift walls, Retaining Wall, swimming pool, Parapets, planters, vertical projection of  pergolas, wall and ramp walls  etc. at all levels.</t>
  </si>
  <si>
    <t>2.5.1.</t>
  </si>
  <si>
    <t>2.5.2.</t>
  </si>
  <si>
    <t>2.5.3.</t>
  </si>
  <si>
    <t>2.5.4.</t>
  </si>
  <si>
    <t>Total of RCC Work</t>
  </si>
  <si>
    <t>CENTRING AND SHUTTERING</t>
  </si>
  <si>
    <t>3.1.1.</t>
  </si>
  <si>
    <t>Foundation, column footings, raft slab, raft beams, plinth beam, lift pits, sump pits, pedestals / bases of column, column up to plinth, swimming pool, Retaining wall foundations, grade slab etc.</t>
  </si>
  <si>
    <t>3.1.2.</t>
  </si>
  <si>
    <t>3.1.2.1.</t>
  </si>
  <si>
    <t>3.1.2.2.</t>
  </si>
  <si>
    <t>3.1.2..3</t>
  </si>
  <si>
    <t>3.2.</t>
  </si>
  <si>
    <t>3.2.1.</t>
  </si>
  <si>
    <t>3.2.2.</t>
  </si>
  <si>
    <t>3.2.3.</t>
  </si>
  <si>
    <t>3.3.</t>
  </si>
  <si>
    <t>Total of Shuttering</t>
  </si>
  <si>
    <t>REINFORCEMENT</t>
  </si>
  <si>
    <t>4.1.</t>
  </si>
  <si>
    <t>Thermomechanically Treated Reinforcement (TMT) or  High yield strength Deformed (Tor steel) bars of all size &amp; grades.</t>
  </si>
  <si>
    <t>4.1.1.</t>
  </si>
  <si>
    <t xml:space="preserve">Up to Stilt Floor Level </t>
  </si>
  <si>
    <t>MT</t>
  </si>
  <si>
    <t>4.1.2.</t>
  </si>
  <si>
    <t>Stilt Floor level to to Terrace Including OHT, Mumty, Machine Room, Parapet)</t>
  </si>
  <si>
    <t>4.1.3.</t>
  </si>
  <si>
    <t>Total of Reinforcement</t>
  </si>
  <si>
    <t>MASONARY WORK</t>
  </si>
  <si>
    <t>(Quoted Rates are for all heights, all depths, all levels, including basement to roof (mumty) &amp; all leads and lifts, including curved or circular including elevation masonary work) (Basic Rate of Brick @ Rs. 7/No. FOR at site without GST)</t>
  </si>
  <si>
    <t>5.1.</t>
  </si>
  <si>
    <t xml:space="preserve">Brick work in Sub Structure (Up to Stilt Floor level): </t>
  </si>
  <si>
    <t>Providing and laying 230mm thick brick masonry using 1st quality burnt clay FPS bricks in Sub-Structure laid in cement mortar 1:6 (1 cement : 6 coarse sand) mix, joints finished, flush/ raked to 6mm  depth  including scaffolding, curing complete as per specification and drawing or as directed by Project Manager.</t>
  </si>
  <si>
    <t>5.2.</t>
  </si>
  <si>
    <t>5.3.</t>
  </si>
  <si>
    <t>Brick work in Super Structure (Above Stilt FLoor level)</t>
  </si>
  <si>
    <t>5.3.1</t>
  </si>
  <si>
    <t xml:space="preserve">Providing and laying 230mm thick brick masonry using 1st quality burnt clay FPS bricks in Super-Structure laid in cement mortar 1:6 (1 cement : 6 coarse sand) mix, joints finished, flush/ raked to 6mm  depth  including scaffolding, curing complete as per specification and drawing or as directed by Project Manager. </t>
  </si>
  <si>
    <t>(a)</t>
  </si>
  <si>
    <t>(b)</t>
  </si>
  <si>
    <t>5.4.</t>
  </si>
  <si>
    <t>5.4.1</t>
  </si>
  <si>
    <t>5.8.</t>
  </si>
  <si>
    <t xml:space="preserve">Providing and laying and constructing brickwork in staircase steps using 1st quality burnt clay FPS bricks in cement mortar 1:3 (1 cement : 3 coarse sand) at all heights and levels including cutting, chamfering  scaffolding, curing, complete as per specification. </t>
  </si>
  <si>
    <t>Total of Masonary Work</t>
  </si>
  <si>
    <t>FINISHING WORKS (PLASTER)</t>
  </si>
  <si>
    <t xml:space="preserve">(Quoted Rate shall be for all heights, depths, levels, leads and lifts and to include providing and fixing chicken wire mesh in junction RCC and brick / AAC Block walls and at all chased for electrical conduits &amp; plumbing pipes etc. for internal and external plaster works including minor chipping of RCC, brickwork surface). </t>
  </si>
  <si>
    <t>6.1.</t>
  </si>
  <si>
    <t xml:space="preserve">Internal Plaster Super-Structure: </t>
  </si>
  <si>
    <t>6.2.</t>
  </si>
  <si>
    <t>Total of Finishing Work (Plaster)</t>
  </si>
  <si>
    <t>STRUCTURE STEEL</t>
  </si>
  <si>
    <t>7.1.</t>
  </si>
  <si>
    <t>Total of Strutural Steel Work</t>
  </si>
  <si>
    <t>WOOD WORK</t>
  </si>
  <si>
    <t>Total of Wood Work</t>
  </si>
  <si>
    <t>WATERPROOFING</t>
  </si>
  <si>
    <t xml:space="preserve">TERRACE WATERPROOFING: </t>
  </si>
  <si>
    <t>Providing and laying 120 mm average thickness of brick bat Coba and 65 mm at Khurra on Terrace through an approved agency, approved by the Architect as per steps given.
(a) Surface Preparation, Cleaning the mother slab, reapir of joints, Providing and applying URP with cement slurry as primer to fill all the pores etc on mother slab over primer Providing and applying two coats of Fast Flex @ 2kg/Sqm including sandwiching the layer with fiber mesh of 45 GSM between two layers. (It shall also be execute up to 300 mm height of wall)
(b) laying cement concrete using broken bricks/ brick bats of size 25 mm to 100 mm size with 50 % of cement mortar 1:5 ( 1 cement : 5 coarse sand)  admixed with proprietary water proofing compound conforming to IS:2645 over 20 mm thick layer of cement mortar of mix 1:5 ( 1 cement : 5 coarse sand) admixed with admixed with proprietary water proofing compound conforming to IS:2645 to required slope and treating similarly the adjoining wall upto 300 mm height including rounding of junctions of wall and slabs.
(c) After two days of proper curing applying a second coat of cement slurry admixed with proprietary water proofing compound conforming to IS:2645 (d) Finishing the surface with 20 mm thick jointless cement mortar of mix 1:4 (1 cement : 4 coarse sand) admixed with proprietary water proofing compound conforming to IS:2645 and finally finishing the surface with trowel with neat cement slurry and making 300X300 mm square. (e) The whole terrace so finished sshall be looded with water for a minimum period of two weeks for curing and for final test. All above operations to be done in order and as directed and specified by the engineer in charge. With average thickness of 100 mm thickness and minimum thickness at khurra as 65 mm.</t>
  </si>
  <si>
    <t>Total of Waterproofing Work</t>
  </si>
  <si>
    <t>Grand Total (Excluding GST)</t>
  </si>
  <si>
    <t>AS PER W.O. (R0)</t>
  </si>
  <si>
    <r>
      <t xml:space="preserve">Excavation shall be payable only for vertical cut up to the outer edge of foundation lean concrete as indicated in drawings for all depths. Cost of extra excavation required for working space, supporting side shuttering of foundations and retaining walls, planking, dewatering, strutting etc. and that required for making slopes for stability of excavation shall be deemed to be included in the rate quoted. </t>
    </r>
    <r>
      <rPr>
        <b/>
        <sz val="10"/>
        <color rgb="FF000000"/>
        <rFont val="Calibri"/>
        <family val="2"/>
        <scheme val="minor"/>
      </rPr>
      <t>This item is not for Mass Excavation.</t>
    </r>
  </si>
  <si>
    <r>
      <t xml:space="preserve">Prepare the surface for PCC by manual excavation upto 30 cm depth including dressing the surface, ramming the bottom, disposal and spreading of the surplus earth at the specified location within premises  including  proper levelling, watering and consolidation complete  as directed by E I C. (The item shall be measured as per plan area of PCC, Working space shall not be taken into measurement, deemed to be included into rates) 
</t>
    </r>
    <r>
      <rPr>
        <b/>
        <sz val="10"/>
        <color rgb="FF000000"/>
        <rFont val="Calibri"/>
        <family val="2"/>
        <scheme val="minor"/>
      </rPr>
      <t>(This item is only applicable if excavation item is not being executed by contractor and excavation already done by client for the location)</t>
    </r>
  </si>
  <si>
    <r>
      <t xml:space="preserve">Filling available excavated earth in trenches, plinth, sides of foundations etc. in layers not exceeding 20cm in depth: consolidating each deposited layer by ramming and watering, lead within the premises and upto any depth. </t>
    </r>
    <r>
      <rPr>
        <b/>
        <sz val="10"/>
        <color rgb="FF000000"/>
        <rFont val="Calibri"/>
        <family val="2"/>
        <scheme val="minor"/>
      </rPr>
      <t>(Compacted Volume shall be payable as per drawing) - Actual volume shall be paid incase excavation is done by Client.</t>
    </r>
  </si>
  <si>
    <r>
      <t xml:space="preserve">Rates for all cement concrete items plain and reinforced  described below shall include work from Basement Level to top of last roof including roof of machine room, mumty, over head water tanks and  parapets above at all floors and for all heights. The contractor should provide full time sufficient pipes with accessories and pumps based on the site requirement for pumping and laying of concrete as directed by the EIC. The rate inclusive of standard rigid pipe line and its supports, lifting, laying charges, etc., at all heights and levels. No additional payment shall be payable to the contractor on account of using or change in any size of coarse aggregate in PCC/ RCC work at any stage during currency of works. </t>
    </r>
    <r>
      <rPr>
        <b/>
        <sz val="10"/>
        <color rgb="FF000000"/>
        <rFont val="Calibri"/>
        <family val="2"/>
        <scheme val="minor"/>
      </rPr>
      <t xml:space="preserve">(This section covers cast in situ structural and architectural as well.) </t>
    </r>
  </si>
  <si>
    <r>
      <rPr>
        <b/>
        <sz val="10"/>
        <color rgb="FF000000"/>
        <rFont val="Calibri"/>
        <family val="2"/>
        <scheme val="minor"/>
      </rPr>
      <t>Plain Cement Concrete:</t>
    </r>
    <r>
      <rPr>
        <sz val="10"/>
        <color rgb="FF000000"/>
        <rFont val="Calibri"/>
        <family val="2"/>
        <scheme val="minor"/>
      </rPr>
      <t xml:space="preserve">
Providing and laying plain cement concrete of specified grade as bed concrete under foundation, bases for rafts, underground water tank, building machine equipments, column footing, under floor landings, below road and pathways, cill, coping, screeding at roof to required slope and other locations as called for laid, consolidated and cured etc. complete including finishing the top surface to receive the next course / layer as per specification and drawing. </t>
    </r>
    <r>
      <rPr>
        <b/>
        <sz val="10"/>
        <color rgb="FF000000"/>
        <rFont val="Calibri"/>
        <family val="2"/>
        <scheme val="minor"/>
      </rPr>
      <t>(Shuttering shall be paid in Item No.3.1.1)
M10 Grade (Basic Rate of PCC - Rs. 4200/cum) without pump</t>
    </r>
  </si>
  <si>
    <r>
      <t xml:space="preserve">Providing and laying cement concrete 1:2:4 (1 cement : 2 coarse sand : 4 graded stone aggregate 20mm nominal size) for ledge wall below balcony railings, band, mullion, lintel etc. </t>
    </r>
    <r>
      <rPr>
        <b/>
        <sz val="10"/>
        <color rgb="FF000000"/>
        <rFont val="Calibri"/>
        <family val="2"/>
        <scheme val="minor"/>
      </rPr>
      <t>(Shuttering shall be paid separately in respective item)</t>
    </r>
    <r>
      <rPr>
        <sz val="10"/>
        <color rgb="FF000000"/>
        <rFont val="Calibri"/>
        <family val="2"/>
        <scheme val="minor"/>
      </rPr>
      <t xml:space="preserve"> as per drawing and as directed by the Project Manager.</t>
    </r>
  </si>
  <si>
    <r>
      <t xml:space="preserve">Providing and laying </t>
    </r>
    <r>
      <rPr>
        <b/>
        <sz val="10"/>
        <color rgb="FF000000"/>
        <rFont val="Calibri"/>
        <family val="2"/>
        <scheme val="minor"/>
      </rPr>
      <t xml:space="preserve">damp proof course 40mm thick </t>
    </r>
    <r>
      <rPr>
        <sz val="10"/>
        <color rgb="FF000000"/>
        <rFont val="Calibri"/>
        <family val="2"/>
        <scheme val="minor"/>
      </rPr>
      <t>including shttering</t>
    </r>
    <r>
      <rPr>
        <b/>
        <sz val="10"/>
        <color rgb="FF000000"/>
        <rFont val="Calibri"/>
        <family val="2"/>
        <scheme val="minor"/>
      </rPr>
      <t xml:space="preserve"> </t>
    </r>
    <r>
      <rPr>
        <sz val="10"/>
        <color rgb="FF000000"/>
        <rFont val="Calibri"/>
        <family val="2"/>
        <scheme val="minor"/>
      </rPr>
      <t>with cement concrete 1:2:4 (1 cement : 2 coarse sand : 4 graded stone aggregate 20mm nominal size) including mixing of water proofing compound @ 2% of cement content and  applying two layers of bitumen @ 1.70 Kg/Sqm of grade 85/25 and as directed by the Project Manager.</t>
    </r>
  </si>
  <si>
    <r>
      <t xml:space="preserve">Providing &amp; Laying </t>
    </r>
    <r>
      <rPr>
        <b/>
        <sz val="10"/>
        <color rgb="FF000000"/>
        <rFont val="Calibri"/>
        <family val="2"/>
        <scheme val="minor"/>
      </rPr>
      <t>RMC M-25</t>
    </r>
    <r>
      <rPr>
        <sz val="10"/>
        <color rgb="FF000000"/>
        <rFont val="Calibri"/>
        <family val="2"/>
        <scheme val="minor"/>
      </rPr>
      <t xml:space="preserve"> Grade as per approved design mix concrete (strictly controlled conditions) with flyash (as per approved design mix) with automatic batching plant machine mixed and machine  vibrated RCC with melamine based plasticisers etc., upto any level, including finishing the exposed surface, fixing/ removal of pockets, fixing of sleeves and inserts (sleeves provided by client), curing etc complete, as per drawing (including all size and shape like circular, semi-circular, oval etc.) and as directed for all lead and lift, excluding cost of centering, shuttering and steel reinforcement but including cost of making shear keys and provision of construction / contraction / control joints in various locations. Checking from Client should not be considered as final and any defects arising during or after casting should be borne &amp; bear by contractor at his own cost. This is inclusive of leaving shuttering &amp; centring for pour strip, slab in slope, RCC members in curved, etc., nothing is payable extra on this account.
</t>
    </r>
    <r>
      <rPr>
        <b/>
        <sz val="10"/>
        <color rgb="FF000000"/>
        <rFont val="Calibri"/>
        <family val="2"/>
        <scheme val="minor"/>
      </rPr>
      <t>RMC (M-25) Basic Rate - Rs. 5200/cum without pump excluding GST</t>
    </r>
  </si>
  <si>
    <r>
      <t xml:space="preserve">Finishing </t>
    </r>
    <r>
      <rPr>
        <b/>
        <sz val="10"/>
        <color rgb="FF000000"/>
        <rFont val="Calibri"/>
        <family val="2"/>
        <scheme val="minor"/>
      </rPr>
      <t>vaccum dewatering continuous concrete flooring 100-150 mm thick</t>
    </r>
    <r>
      <rPr>
        <sz val="10"/>
        <color rgb="FF000000"/>
        <rFont val="Calibri"/>
        <family val="2"/>
        <scheme val="minor"/>
      </rPr>
      <t xml:space="preserve"> with specified grade concrete including necessary formwork in required level, vibrating concrete both by poker vibrators /  leveling vaccum processing of the concrete and planning the surface by skin powered floater trowels with broom/plain finish including groove cutting &amp; filling etc. complete. </t>
    </r>
    <r>
      <rPr>
        <b/>
        <sz val="10"/>
        <color rgb="FF000000"/>
        <rFont val="Calibri"/>
        <family val="2"/>
        <scheme val="minor"/>
      </rPr>
      <t xml:space="preserve">(Concrete shall be paid in the respective items above). </t>
    </r>
  </si>
  <si>
    <r>
      <t xml:space="preserve">Providing and fixing plywood or steel plate shuttering and centring for structural concrete work  in locations called for including strutting, propping, bracing, bolting, wedging, casing, striking, removal etc.  complete for any size, section, thickness. Props shall consist of well designed steel pipes adequately braced (wooden ballies as props shall not be permitted). The item to include centering and shuttering at all heights and levels. Allow for forming grooves, drip course, chamfers, cut-outs, openings etc. where called for and for dressing with approved shuttering oil to prevent adhesion. Unexposed concrete surfaces subsequently left untreated (in the condition obtained on removal of form work) shall not constitute exposed concrete work and shall be measured under this item only Irregular shapes with sides (like circular, semi-circular, oval etc.) which may not be perpendicular to each other for shapes not conforming to rectangle  or square, and circular shuttering shall not be paid separately. Joints of soffits of the slab shall be made clean after concreting and de-shuttering. </t>
    </r>
    <r>
      <rPr>
        <b/>
        <sz val="10"/>
        <color rgb="FF000000"/>
        <rFont val="Calibri"/>
        <family val="2"/>
        <scheme val="minor"/>
      </rPr>
      <t>(quoted rate to include all staging upto 3.50 mtr height). 
Note:- Contractor shall take necessary precautions such as watertight shuttering. This is inclusive of RCC members, leaving shuttering &amp; centring for pour strip, slab in slope, RCC members in curved (in plan), etc., nothing is payable extra on this account.</t>
    </r>
  </si>
  <si>
    <r>
      <t xml:space="preserve">Extra for additional height in centring, shuttering where ever required with adequate bracing, propping etc. including cost of de-shuttering and decentring at all levels, over and above height of 3.50 mtr </t>
    </r>
    <r>
      <rPr>
        <b/>
        <sz val="10"/>
        <color rgb="FF000000"/>
        <rFont val="Calibri"/>
        <family val="2"/>
        <scheme val="minor"/>
      </rPr>
      <t>(Plan area to be measured and shall be paid proportionately on actual height) – for every 1.0 mtr. height</t>
    </r>
  </si>
  <si>
    <r>
      <t xml:space="preserve">Receiving, laying and fixing in position steel reinforcement in all reinforced concrete work, including straightening, cutting, removal of loose rust by wire brush and coating with cement slurry, bending,  hoisting, laying in position to the shape and profile required at all levels and heights as per drawing and design and/ or as directed, binding with double folded steel wire as approved by EIC etc. complete.  
(Contractor shall prepare BBS and submit to EIC for approval prior to cutting, bending &amp; laying of steel bars and payments shall be released as per approved BBS complete in all respect as per direction and approval of EIC Rate shall include cost of 18 gauge GI binding wire, cover blocks as per Indian Standards, unloading the steel &amp; moving to the steel yard, moving site to site within project etc) </t>
    </r>
    <r>
      <rPr>
        <b/>
        <sz val="10"/>
        <color rgb="FF000000"/>
        <rFont val="Calibri"/>
        <family val="2"/>
        <scheme val="minor"/>
      </rPr>
      <t>(Only Steel reinforcement shall be provided by the owner free of cost at one point)</t>
    </r>
  </si>
  <si>
    <r>
      <t xml:space="preserve">Providing and laying of 115 mm thick brick work with 1st quality burnt clay FPS bricks in sub-superstructure laid in cement mortar 1:4 (1 cement : 4 coarse sand) mix, joints finished, including placing hoop iron as per specification at every third course, scaffolding, curing complete in all respect as per direction of EIC. </t>
    </r>
    <r>
      <rPr>
        <b/>
        <sz val="10"/>
        <color rgb="FF000000"/>
        <rFont val="Calibri"/>
        <family val="2"/>
        <scheme val="minor"/>
      </rPr>
      <t xml:space="preserve">(Hoop iron shall be provided by client free of cost) (Items of RCC bands like shuttering, concrete and reinforcement to be paid in respective items). </t>
    </r>
  </si>
  <si>
    <r>
      <t xml:space="preserve">Providing and laying of 115 mm thick brick work with 1st quality burnt clay FPS bricks in Super-Superstructure laid in cement mortar 1:4 (1 cement : 4 coarse sand) mix, joints finished, including placing  hoop iron as per specification at every third course, scaffolding, curing complete in all respect as per direction of EIC. </t>
    </r>
    <r>
      <rPr>
        <b/>
        <sz val="10"/>
        <color rgb="FF000000"/>
        <rFont val="Calibri"/>
        <family val="2"/>
        <scheme val="minor"/>
      </rPr>
      <t>(Hoop iron shall be provided by client free of cost)</t>
    </r>
    <r>
      <rPr>
        <sz val="10"/>
        <color rgb="FF000000"/>
        <rFont val="Calibri"/>
        <family val="2"/>
        <scheme val="minor"/>
      </rPr>
      <t xml:space="preserve"> </t>
    </r>
    <r>
      <rPr>
        <b/>
        <sz val="10"/>
        <color rgb="FF000000"/>
        <rFont val="Calibri"/>
        <family val="2"/>
        <scheme val="minor"/>
      </rPr>
      <t>(Items of RCC bands like shuttering, concrete and reinforcement to be paid in respective items).</t>
    </r>
  </si>
  <si>
    <r>
      <t>Brick work in staircase steps:</t>
    </r>
    <r>
      <rPr>
        <sz val="10"/>
        <color rgb="FF000000"/>
        <rFont val="Calibri"/>
        <family val="2"/>
        <scheme val="minor"/>
      </rPr>
      <t xml:space="preserve"> </t>
    </r>
  </si>
  <si>
    <r>
      <rPr>
        <b/>
        <sz val="10"/>
        <color rgb="FF000000"/>
        <rFont val="Calibri"/>
        <family val="2"/>
        <scheme val="minor"/>
      </rPr>
      <t>Wall Plaster:</t>
    </r>
    <r>
      <rPr>
        <sz val="10"/>
        <color rgb="FF000000"/>
        <rFont val="Calibri"/>
        <family val="2"/>
        <scheme val="minor"/>
      </rPr>
      <t xml:space="preserve">
Providing and applying 12 to 15mm thick plaster to masonry and RCC walls, columns etc. in cement mortar 1:5 (1 cement : 5 screened coarse sand) finished smooth including hacking the surfaces, steel  scaffolding, curing, making grooves at desired location etc. complete for all levels as per approved drawing. </t>
    </r>
  </si>
  <si>
    <r>
      <rPr>
        <b/>
        <sz val="10"/>
        <color rgb="FF000000"/>
        <rFont val="Calibri"/>
        <family val="2"/>
        <scheme val="minor"/>
      </rPr>
      <t xml:space="preserve">Ceiling Plaster:
</t>
    </r>
    <r>
      <rPr>
        <sz val="10"/>
        <color rgb="FF000000"/>
        <rFont val="Calibri"/>
        <family val="2"/>
        <scheme val="minor"/>
      </rPr>
      <t xml:space="preserve">Providing and applying 6-10mm thick plaster to  RCC slab, beam in cement mortar 1:4 (1 cement : 4 screened coarse sand) finished smooth including hacking the surfaces, steel scaffolding, curing, making grooves at  desired location etc. complete for all levels as per approved drawing. </t>
    </r>
  </si>
  <si>
    <r>
      <rPr>
        <b/>
        <sz val="10"/>
        <color rgb="FF000000"/>
        <rFont val="Calibri"/>
        <family val="2"/>
        <scheme val="minor"/>
      </rPr>
      <t>Double Layer External Plaster:</t>
    </r>
    <r>
      <rPr>
        <sz val="10"/>
        <color rgb="FF000000"/>
        <rFont val="Calibri"/>
        <family val="2"/>
        <scheme val="minor"/>
      </rPr>
      <t xml:space="preserve">
Providing and applying 20 mm thick external cement plaster in two coats under layer 12 mm thick cement plaster 1:5 (1 cement : 5 screened coarse sand) finished with a  top layer 8mm thick cement plaster   1:4 (1 cement : 4 screened coarse sand) including making of grooves, bands, drip coarse, design etc. as shown in drawing, steel scaffolding, curing, providing &amp; mixing water proofing compound (CICO) in both layers as per manufacturer specification etc. complete as per approved drawing. </t>
    </r>
  </si>
  <si>
    <r>
      <rPr>
        <b/>
        <sz val="10"/>
        <color rgb="FF000000"/>
        <rFont val="Calibri"/>
        <family val="2"/>
        <scheme val="minor"/>
      </rPr>
      <t>Single Layer (Shaft Plaster):</t>
    </r>
    <r>
      <rPr>
        <sz val="10"/>
        <color rgb="FF000000"/>
        <rFont val="Calibri"/>
        <family val="2"/>
        <scheme val="minor"/>
      </rPr>
      <t xml:space="preserve"> 
Providing and applying 12-15 mm thick external cement plaster in single coat finished with cement plaster 1:4 (1 cement : 4 screened coarse sand) including making of grooves, bands, drip coarse as  shown in drawing, steel scaffolding, curing, providing &amp; mixing water proofing compound (CICO) as per manufacturer specification etc. complete as per approved drawing. </t>
    </r>
  </si>
  <si>
    <r>
      <rPr>
        <b/>
        <sz val="10"/>
        <color rgb="FF000000"/>
        <rFont val="Calibri"/>
        <family val="2"/>
        <scheme val="minor"/>
      </rPr>
      <t>Structural steel work with solid/hollow sections:</t>
    </r>
    <r>
      <rPr>
        <sz val="10"/>
        <color rgb="FF000000"/>
        <rFont val="Calibri"/>
        <family val="2"/>
        <scheme val="minor"/>
      </rPr>
      <t xml:space="preserve">
Providing and fixing M.S. work in built-up section such as staircase railing, balcony railing, grating, MS drain cover, MS mumty door including hold fast/fastener etc. with square/round MS Pipes, MS  flats, MS Hollow section etc., as per design electrically welded and fixing in RCC/brick masonry or/and treads of steps with cement concrete 1:2:4 (1 cement : 2 corse sand : 4 grades stone aggregate 20 mm nominal sie), complete in all respect as per drawing &amp; direction of EIC, including a coat of red oxide steel primer. </t>
    </r>
    <r>
      <rPr>
        <b/>
        <sz val="10"/>
        <color rgb="FF000000"/>
        <rFont val="Calibri"/>
        <family val="2"/>
        <scheme val="minor"/>
      </rPr>
      <t>(Basic Rate of Str. Steel - Rs. 60/- Per Kg. F.O.R excluding GST)</t>
    </r>
    <r>
      <rPr>
        <sz val="10"/>
        <color rgb="FF000000"/>
        <rFont val="Calibri"/>
        <family val="2"/>
        <scheme val="minor"/>
      </rPr>
      <t xml:space="preserve"> </t>
    </r>
  </si>
  <si>
    <r>
      <t xml:space="preserve">Providing and Fixing seasoned Red Meranti door frame including painting the portion in contact with masonary / R.C.C. with 2 or more coats of  Antitermite treatment paint and fixng the frames with suitable 3 Nos. M.S. holdfasts each side made out of 40 x 5 mm flat iron 230 mm long with bolts and nuts/ dash fasteners for RCC surfaces, duly embedded in C.C. Blocks of required size in (1:2:4 ) 1 cement : 2 coarse sand : 4 stone aggregate 20 mm nominal size) including tarring the hold fast etc.all complete as per direction of EIC. </t>
    </r>
    <r>
      <rPr>
        <b/>
        <sz val="10"/>
        <color rgb="FF000000"/>
        <rFont val="Calibri"/>
        <family val="2"/>
        <scheme val="minor"/>
      </rPr>
      <t xml:space="preserve">(Finished size to be confirmed by client before procurement) (Sample of wood shall be get approved by client before procurement) </t>
    </r>
  </si>
  <si>
    <r>
      <t xml:space="preserve">Providing gola in 1: 2: 4 cement concrete with 12 mm nominal size stone ballast, finished with cement plaster 1:2 (1 cement: 2 medium sand) laid, cured complete as per design. (Approx. Size 100mm x 100mm)
Making khurras 450 x 450 mm with average min. thk. Of 50 mm over PVCsheet of 1m x 1m x 400 micron with cement concrete 1:2:4 (1 cement: 2 coarse sand: 4 graded stone aggregate of 12 mm nominal size) finished with 12 mm cement plaster 1:3 (1 cement: 3 coarse sand) and a coat of neat cement, rounding the edges, making and finishing complete.
</t>
    </r>
    <r>
      <rPr>
        <b/>
        <sz val="10"/>
        <color rgb="FF000000"/>
        <rFont val="Calibri"/>
        <family val="2"/>
        <scheme val="minor"/>
      </rPr>
      <t>(Only plan area shall be paid).</t>
    </r>
  </si>
  <si>
    <t>UpTo Date</t>
  </si>
  <si>
    <t xml:space="preserve">NATURE OF WORK : CIVIL STRUCTURE WORK </t>
  </si>
  <si>
    <t>NAME  OF THE CONTRACTOR :- M/s MARCO-ENTERPRISES</t>
  </si>
  <si>
    <t>WORK ORDER NO. &amp; DATE : OPRL/ATE/11094106758 (14 FEB, 2025)</t>
  </si>
  <si>
    <t>COMPLETION PERIOD :  Upto 31-Aug-2026 (18 Months)</t>
  </si>
  <si>
    <t>GST No. : 09BLDPK5228HIZ2</t>
  </si>
  <si>
    <t>PAN NO. : BLDPK5228H</t>
  </si>
  <si>
    <t>NAME OF PROJECT : OMAXE ANANDA TOWER-E (Location: Tower-E STILT + 14 FLOORS)</t>
  </si>
  <si>
    <t xml:space="preserve">VENDOR CODE: </t>
  </si>
  <si>
    <t>DATE OF START:  01.MAY.2025</t>
  </si>
  <si>
    <t>COMPANY- OMAXE PANCHAM REALCON PVT LTD</t>
  </si>
  <si>
    <t>PROJECT- TOWER-E</t>
  </si>
  <si>
    <t>LOCATION- NAINI, PRAYAGRAJ</t>
  </si>
  <si>
    <t>MB SHEET-  SOIL SURFACE DRESSING BELOW PLINTH BEAM</t>
  </si>
  <si>
    <t>DESCRIPTION</t>
  </si>
  <si>
    <t>MEASUREMENT</t>
  </si>
  <si>
    <t>QTY.</t>
  </si>
  <si>
    <t>H/T</t>
  </si>
  <si>
    <t>SOIL DRESSING FOR RAFT PCC</t>
  </si>
  <si>
    <t>GRID (22'-43'/A-Q')</t>
  </si>
  <si>
    <t>GRID (22'-26'/M'-Q')</t>
  </si>
  <si>
    <t>GRID (38'-43'/A-E')</t>
  </si>
  <si>
    <t>GRID (22'-30'/A-B')</t>
  </si>
  <si>
    <t>EXISTING RAFT (DETAILS IN JMR)</t>
  </si>
  <si>
    <t>MB SHEET- CONCRETE WORK</t>
  </si>
  <si>
    <t>PCC SHUTTERING</t>
  </si>
  <si>
    <t>GRID (22'-26'/M')</t>
  </si>
  <si>
    <t>GRID (26'-43'/Q')</t>
  </si>
  <si>
    <t>GRID (43'/E'-Q')</t>
  </si>
  <si>
    <t>GRID (38'-43'/E')</t>
  </si>
  <si>
    <t>GRID (38'/A-E')</t>
  </si>
  <si>
    <t>GRID (30-38'/A)</t>
  </si>
  <si>
    <t>GRID (30/A-A')</t>
  </si>
  <si>
    <t>GRID (27'-30/A')</t>
  </si>
  <si>
    <t>GRID (27'/A'-B)</t>
  </si>
  <si>
    <t>GRID (26'-27'/B)</t>
  </si>
  <si>
    <t>GRID (26'/B-B')</t>
  </si>
  <si>
    <t>GRID (22'-26'/B')</t>
  </si>
  <si>
    <t>RAFT SHUTTERING</t>
  </si>
  <si>
    <t>TOWER-E RAFT BBS</t>
  </si>
  <si>
    <t>Shape of Bar in mm</t>
  </si>
  <si>
    <t>Spacing c/c</t>
  </si>
  <si>
    <t>Dia of Bar</t>
  </si>
  <si>
    <t>No's of Set</t>
  </si>
  <si>
    <t>No's of Bar</t>
  </si>
  <si>
    <t>Actual Length</t>
  </si>
  <si>
    <t>Lap</t>
  </si>
  <si>
    <t>No. Of Bend</t>
  </si>
  <si>
    <t>Deduction In mm</t>
  </si>
  <si>
    <t>Cut Length</t>
  </si>
  <si>
    <t>Total Length</t>
  </si>
  <si>
    <t>TMT BAR Fe-500D or EQR</t>
  </si>
  <si>
    <t>Remarks</t>
  </si>
  <si>
    <t>A</t>
  </si>
  <si>
    <t>RAFT</t>
  </si>
  <si>
    <t>8mm</t>
  </si>
  <si>
    <t>10mm</t>
  </si>
  <si>
    <t>12mm</t>
  </si>
  <si>
    <t>16mm</t>
  </si>
  <si>
    <t>20mm</t>
  </si>
  <si>
    <t>25mm</t>
  </si>
  <si>
    <t>BOTTOM MAIN BAR</t>
  </si>
  <si>
    <t>GRID (39'-43/E'-Q')</t>
  </si>
  <si>
    <t>MAIN BAR BOTTOM (ALTH.)</t>
  </si>
  <si>
    <t>GRID (38'-39'/E'-Q')</t>
  </si>
  <si>
    <t>GRID (32'-38'/A-Q')</t>
  </si>
  <si>
    <t>GRID (30'-32'/A-Q')</t>
  </si>
  <si>
    <t>GRID (27'-30/A-Q')</t>
  </si>
  <si>
    <t>GRID (26'-27'/A'-Q')</t>
  </si>
  <si>
    <t>GRID (22'-26'/B-Q')</t>
  </si>
  <si>
    <t>BOTTOM DISTRIBUTION BAR</t>
  </si>
  <si>
    <t>DIST. BAR BOTTOM (ALTH.)</t>
  </si>
  <si>
    <t>GRID (27'-38'/A-B)</t>
  </si>
  <si>
    <t>GRID (26'-38'/B-B')</t>
  </si>
  <si>
    <t>GRID (22'-38'/B'-E')</t>
  </si>
  <si>
    <t>GRID (22'-43'/E'-K)</t>
  </si>
  <si>
    <t>GRID (26'-43'/M-Q)</t>
  </si>
  <si>
    <t>GRID (33-39/Q')</t>
  </si>
  <si>
    <t>TOP MAIN BAR</t>
  </si>
  <si>
    <t>TOP DISTRIBUTION BAR</t>
  </si>
  <si>
    <t>BINDER</t>
  </si>
  <si>
    <t>GRID (38'-43/E')</t>
  </si>
  <si>
    <t>GRID (43/E'-Q')</t>
  </si>
  <si>
    <t>GRID (30/A-B)</t>
  </si>
  <si>
    <t>GRID (27'-30/A-B)</t>
  </si>
  <si>
    <t>GRID (27'/A-B)</t>
  </si>
  <si>
    <t>GRID (26'/B-C)</t>
  </si>
  <si>
    <t>GRID ( 22'-26'/B')</t>
  </si>
  <si>
    <t>GRID ( 22'-26'/M')</t>
  </si>
  <si>
    <t>GRID (26/M'-Q')</t>
  </si>
  <si>
    <t>GRID (26-43'/Q')</t>
  </si>
  <si>
    <t>CHAIR</t>
  </si>
  <si>
    <t>BOTTOM EXTRA BAR</t>
  </si>
  <si>
    <t>SW1 GRID (38/A-B)</t>
  </si>
  <si>
    <t>C1 GRID (34-35/A)</t>
  </si>
  <si>
    <t>C1 GRID (32/A)</t>
  </si>
  <si>
    <t>SW2, C7 GRID (27,28/B-C)</t>
  </si>
  <si>
    <t>C1 GRID (32/C)</t>
  </si>
  <si>
    <t>C2 GRID ( 25/C)</t>
  </si>
  <si>
    <t>C2 GRID (25/C)</t>
  </si>
  <si>
    <t>C3 GRID (23/C)</t>
  </si>
  <si>
    <t>C1 GRID (38/D)</t>
  </si>
  <si>
    <t>C2 GRID (35/D)</t>
  </si>
  <si>
    <t>C1 GRID (28/D)</t>
  </si>
  <si>
    <t>C1 GRID (26/D)</t>
  </si>
  <si>
    <t>C6 GRID (37/E)</t>
  </si>
  <si>
    <t>SW4, SW3 GRID (32,33/E)</t>
  </si>
  <si>
    <t>SW6 GRID (28/E)</t>
  </si>
  <si>
    <t>SW6 GRID ( 28/E)</t>
  </si>
  <si>
    <t>C2 GRID (26/E)</t>
  </si>
  <si>
    <t>C2 GRID (25/D-E)</t>
  </si>
  <si>
    <t>C8 GRID (23/D-E)</t>
  </si>
  <si>
    <t>SW9, C1 GRID (43/F, J)</t>
  </si>
  <si>
    <t>C2 GRID (41/F)</t>
  </si>
  <si>
    <t>C6 GRID (39/F)</t>
  </si>
  <si>
    <t>C5 GRID (37/H)</t>
  </si>
  <si>
    <t>SW5 GRID (34/F)</t>
  </si>
  <si>
    <t>SW5 GRID (29/F)</t>
  </si>
  <si>
    <t>C1, SW7 GRID (24/E,G,H)</t>
  </si>
  <si>
    <t>SW8 GRID (22/G)</t>
  </si>
  <si>
    <t>C4 GRID (41/J)</t>
  </si>
  <si>
    <t>C5 GRID (39/J)</t>
  </si>
  <si>
    <t>C4 GRID (35/J)</t>
  </si>
  <si>
    <t>C4 GRID (29/J)</t>
  </si>
  <si>
    <t>SW6 GRID (28/I)</t>
  </si>
  <si>
    <t>C2 GRID (26/I)</t>
  </si>
  <si>
    <t>C2 GRID (25/J)</t>
  </si>
  <si>
    <t>C8 GRID (23/J)</t>
  </si>
  <si>
    <t>C1 GRID (28/J-K)</t>
  </si>
  <si>
    <t>C1 GRID ( 26/D)</t>
  </si>
  <si>
    <t>C2 GRID (25/L)</t>
  </si>
  <si>
    <t>C3 GRID (23/L)</t>
  </si>
  <si>
    <t>SW12, C7 GRID (27,28/M-N)</t>
  </si>
  <si>
    <t>C6 GRID (43/M)</t>
  </si>
  <si>
    <t>C6 GRID (43/O)</t>
  </si>
  <si>
    <t>C1 GRID (42/M)</t>
  </si>
  <si>
    <t>C1 GRID (42/O)</t>
  </si>
  <si>
    <t>C4 GRID (39/M)</t>
  </si>
  <si>
    <t>C4 GRID (39/O)</t>
  </si>
  <si>
    <t>C2 GRID (38/N)</t>
  </si>
  <si>
    <t>C5 GRID (37/L)</t>
  </si>
  <si>
    <t>C4 GRID (37/O)</t>
  </si>
  <si>
    <t>C5 GRID (32/O)</t>
  </si>
  <si>
    <t>C1 GRID (29/O)</t>
  </si>
  <si>
    <t>C6 GRID (27/O)</t>
  </si>
  <si>
    <t>SW9, C1 GRID (43/P, Q)</t>
  </si>
  <si>
    <t>SW9, C1 GRID (27/P, Q)</t>
  </si>
  <si>
    <t>C2 GRID (41/Q)</t>
  </si>
  <si>
    <t>C6 GRID (39/Q)</t>
  </si>
  <si>
    <t>C6 GRID (34/Q)</t>
  </si>
  <si>
    <t>C2 GRID (30/Q)</t>
  </si>
  <si>
    <t>C5 GRID (37/P-Q)</t>
  </si>
  <si>
    <t>C4 GRID (41/P)</t>
  </si>
  <si>
    <t>C5 GRID (39/P)</t>
  </si>
  <si>
    <t>C4 GRID (30/P)</t>
  </si>
  <si>
    <t>C5 GRID (34/P)</t>
  </si>
  <si>
    <t>SW10, SW11, SW13 GRID (31-36/K-N)</t>
  </si>
  <si>
    <t>SPACER B/W EXTRA BAR</t>
  </si>
  <si>
    <t>C4 GRID (25/J)</t>
  </si>
  <si>
    <t>C4 GRID (40/O)</t>
  </si>
  <si>
    <t>C4 GRID (29/P)</t>
  </si>
  <si>
    <t>TOP EXTRA BAR</t>
  </si>
  <si>
    <t>GRID (35-37/A-D)</t>
  </si>
  <si>
    <t>GRID (32-35/A-D)</t>
  </si>
  <si>
    <t>GRID (28-31/B-E)</t>
  </si>
  <si>
    <t>GRID (26-28/B-E)</t>
  </si>
  <si>
    <t>GRID (25-26/B-E)</t>
  </si>
  <si>
    <t>GRID (24-26/B-E)</t>
  </si>
  <si>
    <t>GRID (21-23 /B-E)</t>
  </si>
  <si>
    <t>GRID (34-36 /D-F)</t>
  </si>
  <si>
    <t>GRID (41-43 /E-I)</t>
  </si>
  <si>
    <t>GRID (40-42 /E-K)</t>
  </si>
  <si>
    <t>GRID (41-42 /E-I)</t>
  </si>
  <si>
    <t>GRID (41-42 /E-L)</t>
  </si>
  <si>
    <t>GRID (40-42 /J-L)</t>
  </si>
  <si>
    <t>GRID (34-38 /H-K)</t>
  </si>
  <si>
    <t>GRID (28-33 /H-K)</t>
  </si>
  <si>
    <t>GRID (25-28 /E-I)</t>
  </si>
  <si>
    <t>GRID (25-28 /I-K)</t>
  </si>
  <si>
    <t>GRID (24-25 /B-M)</t>
  </si>
  <si>
    <t>GRID (24-25 /J-K)</t>
  </si>
  <si>
    <t>GRID (22-24 /J-M)</t>
  </si>
  <si>
    <t>GRID (22-24 /E-J)</t>
  </si>
  <si>
    <t>GRID (21-23 /I-M)</t>
  </si>
  <si>
    <t>GRID (40-43/M-O)</t>
  </si>
  <si>
    <t>GRID (40-43 /M-O)</t>
  </si>
  <si>
    <t>GRID (37-40 /K-N)</t>
  </si>
  <si>
    <t>GRID (40-43 /O-Q)</t>
  </si>
  <si>
    <t>GRID (36-39 /N-P)</t>
  </si>
  <si>
    <t>GRID (31-36 /O-P)</t>
  </si>
  <si>
    <t>GRID (33-38 /O'-P')</t>
  </si>
  <si>
    <t>GRID (33-38 /P'-Q)</t>
  </si>
  <si>
    <t>GRID (29-32 /O-Q)</t>
  </si>
  <si>
    <t>GRID (26-29 /O-Q)</t>
  </si>
  <si>
    <t>TOTAL LENGTH IN METRE</t>
  </si>
  <si>
    <t>UNIT WEIGHT (IN KG)</t>
  </si>
  <si>
    <t>TOTAL WEIGHT (IN KG)</t>
  </si>
  <si>
    <t>TOWER-E COLUMN FOUNDATION BBS (BELOW PLINTH BEAM)</t>
  </si>
  <si>
    <t>Nos of Columns</t>
  </si>
  <si>
    <t>Nos of Bar</t>
  </si>
  <si>
    <t>Deduction</t>
  </si>
  <si>
    <t>Column C1  (300x600)</t>
  </si>
  <si>
    <t>VERTICAL BARS A</t>
  </si>
  <si>
    <t>VERTICAL BARS B</t>
  </si>
  <si>
    <t>VERTICAL BARS C</t>
  </si>
  <si>
    <t>VERTICAL BARS D</t>
  </si>
  <si>
    <t>Stirupps a</t>
  </si>
  <si>
    <t>Stirupps b</t>
  </si>
  <si>
    <t>Stirupps c</t>
  </si>
  <si>
    <t>Stirupps d</t>
  </si>
  <si>
    <t>Column C2  (300x600)</t>
  </si>
  <si>
    <t>Column C3  (300x600)</t>
  </si>
  <si>
    <t>Column C4  (300x750)</t>
  </si>
  <si>
    <t>VERTICAL BARS E</t>
  </si>
  <si>
    <t>Stirupps e</t>
  </si>
  <si>
    <t>Column C5  (300x750)</t>
  </si>
  <si>
    <t>Column C6  (300x715)</t>
  </si>
  <si>
    <t>Column C7  (300x800)</t>
  </si>
  <si>
    <t>Column C8  (300x600)</t>
  </si>
  <si>
    <t>SW1  (230x650/1650)</t>
  </si>
  <si>
    <t>Stirupps f</t>
  </si>
  <si>
    <t>Stirupps g</t>
  </si>
  <si>
    <t>SW2  (230x650/1850)</t>
  </si>
  <si>
    <t>SW3  (230x1000)</t>
  </si>
  <si>
    <t>SW4  (230x1150)</t>
  </si>
  <si>
    <t>VERTICAL BARS F</t>
  </si>
  <si>
    <t>SW5  (230x1700)</t>
  </si>
  <si>
    <t>VERTICAL BARS G</t>
  </si>
  <si>
    <t>SW6  (230x1185)</t>
  </si>
  <si>
    <t>SW7  (230x1855)</t>
  </si>
  <si>
    <t>VERTICAL BARS H</t>
  </si>
  <si>
    <t>SW9  (230x650/1850)</t>
  </si>
  <si>
    <t>SW10  (230x3445)</t>
  </si>
  <si>
    <t>SW11  (230x4065)</t>
  </si>
  <si>
    <t>SW13  (230x3445)</t>
  </si>
  <si>
    <t>RAFT OUTTER 115MM BRICK WORK</t>
  </si>
  <si>
    <t>MB SHEET- BRICK WORK BELOW PLINTH BEAM</t>
  </si>
  <si>
    <t>LOCATION</t>
  </si>
  <si>
    <t>8mm Dia.</t>
  </si>
  <si>
    <t>10mm Dia.</t>
  </si>
  <si>
    <t>12mm Dia.</t>
  </si>
  <si>
    <t>16mm Dia.</t>
  </si>
  <si>
    <t>20mm Dia.</t>
  </si>
  <si>
    <t>25mm Dia.</t>
  </si>
  <si>
    <t xml:space="preserve"> (OMAXE TOWER-E, PRAYAGRAJ )</t>
  </si>
  <si>
    <t>STEEL CONSUMPTION SUMMARY</t>
  </si>
  <si>
    <t>TOWER-E COLUMN GRID (22-23/A-Q)</t>
  </si>
  <si>
    <t>UPTO RAFT</t>
  </si>
  <si>
    <t>TOWER-E RAFT GRID (22-23/A-Q)</t>
  </si>
  <si>
    <t>AS SUB-STRUCTURE</t>
  </si>
  <si>
    <t>MAIN BOTTOM EXTRA BAR</t>
  </si>
  <si>
    <t>DIST. BOTTOM EXTRA BAR</t>
  </si>
  <si>
    <t>MAIN TOP EXTRA BAR</t>
  </si>
  <si>
    <t>DIST. TOP EXTRA BAR</t>
  </si>
  <si>
    <t>MARCO ENTERPRISES</t>
  </si>
  <si>
    <t>Reconcialation of TMT Steel</t>
  </si>
  <si>
    <t>Dia wise</t>
  </si>
  <si>
    <t xml:space="preserve">Total Steel Received upto date </t>
  </si>
  <si>
    <t>Kg</t>
  </si>
  <si>
    <t>Consumption Detail</t>
  </si>
  <si>
    <t>Total consumption</t>
  </si>
  <si>
    <t>Theoretical Balance</t>
  </si>
  <si>
    <t xml:space="preserve">Steel available at yard </t>
  </si>
  <si>
    <t>Total In Progress</t>
  </si>
  <si>
    <t>DATE</t>
  </si>
  <si>
    <t>COMULAT.</t>
  </si>
  <si>
    <t>TOTAL QTY.</t>
  </si>
  <si>
    <t>TMT STEEL BAR ISSUE BY OMAXE</t>
  </si>
  <si>
    <t>Up To Stilt Floor Lvl.</t>
  </si>
  <si>
    <t>6mm</t>
  </si>
  <si>
    <t xml:space="preserve">SCRAP SALE </t>
  </si>
  <si>
    <t>6mm Dia.</t>
  </si>
  <si>
    <t>C</t>
  </si>
  <si>
    <t>D</t>
  </si>
  <si>
    <t>E</t>
  </si>
  <si>
    <t>F</t>
  </si>
  <si>
    <t>G</t>
  </si>
  <si>
    <t>TOWER-E</t>
  </si>
  <si>
    <t>Allowed Wastage 2.5%</t>
  </si>
  <si>
    <t>LIFT WALL</t>
  </si>
  <si>
    <t xml:space="preserve">VERTICAL BARS </t>
  </si>
  <si>
    <t>M/s. MARCO ENTERPRISES</t>
  </si>
  <si>
    <t>Item Discription</t>
  </si>
  <si>
    <t>Grade</t>
  </si>
  <si>
    <t>Floor Name</t>
  </si>
  <si>
    <t>NO</t>
  </si>
  <si>
    <t>Unit Qty.</t>
  </si>
  <si>
    <t>Quantity</t>
  </si>
  <si>
    <t>M30</t>
  </si>
  <si>
    <t>M25</t>
  </si>
  <si>
    <t>M10</t>
  </si>
  <si>
    <t>Cum</t>
  </si>
  <si>
    <t>TOTAL RCC QTY  (THEORITICAL)</t>
  </si>
  <si>
    <t>TOTAL RCC QTY  (CASTING)</t>
  </si>
  <si>
    <t>DIFFERENCE (WASTAGE)</t>
  </si>
  <si>
    <t>WASTAGE %</t>
  </si>
  <si>
    <t>PREV. BILL RCC QTY  (THEORITICAL)</t>
  </si>
  <si>
    <t>PREV.  BILL RCC QTY  (CASTING-ACTUAL)</t>
  </si>
  <si>
    <t>THIS BILL RCC QTY  (THEORITICAL)</t>
  </si>
  <si>
    <t>THIS BILL RCC QTY  (CASTING-ACTUAL)</t>
  </si>
  <si>
    <t>RCC SUMMARY : OMAXE TOWER-E</t>
  </si>
  <si>
    <t>M35</t>
  </si>
  <si>
    <t>MONTH</t>
  </si>
  <si>
    <t>RMC</t>
  </si>
  <si>
    <t>ELSA</t>
  </si>
  <si>
    <t>WORK IN PROGRSS</t>
  </si>
  <si>
    <t>REMARK</t>
  </si>
  <si>
    <t>GRADE</t>
  </si>
  <si>
    <t>GRAND TOTAL</t>
  </si>
  <si>
    <t>RCC BY RMC + ELSA</t>
  </si>
  <si>
    <t>4.1.1</t>
  </si>
  <si>
    <t>4.1.2</t>
  </si>
  <si>
    <t>4.1.3</t>
  </si>
  <si>
    <t>4.1  TMT REINFORCEMENT</t>
  </si>
  <si>
    <t>3rd RA</t>
  </si>
  <si>
    <t>4th RA</t>
  </si>
  <si>
    <t>5th RA</t>
  </si>
  <si>
    <t>6th RA</t>
  </si>
  <si>
    <t>TOWER-E CENTERING &amp; SHUTTERING WORK SUMMARY</t>
  </si>
  <si>
    <t>TOWER-E BRICK WORK SUMMARY</t>
  </si>
  <si>
    <t>TOWER-E CONCRETE WORK SUMMARY</t>
  </si>
  <si>
    <t>TOWER-E RAFT PCC</t>
  </si>
  <si>
    <t>MANUAL</t>
  </si>
  <si>
    <t>SN</t>
  </si>
  <si>
    <t>VEHICLE NO</t>
  </si>
  <si>
    <t>MATERIAL GRADE</t>
  </si>
  <si>
    <t xml:space="preserve">RMC PLANT QTY (M 10)
</t>
  </si>
  <si>
    <t>ACTUAL CEMENT WEIGHT BY DESIGN MIX</t>
  </si>
  <si>
    <t xml:space="preserve"> CEMENT WEIGHT BY RMC PLANT</t>
  </si>
  <si>
    <t>CEMENT DIFF (IN KG)</t>
  </si>
  <si>
    <t>IN TIME</t>
  </si>
  <si>
    <t>OUT TIME</t>
  </si>
  <si>
    <t>TOWER NO</t>
  </si>
  <si>
    <t>TYPE OF WORK</t>
  </si>
  <si>
    <t>RMC SUPPLIER</t>
  </si>
  <si>
    <t>RMC 25</t>
  </si>
  <si>
    <t>SHUBHAM</t>
  </si>
  <si>
    <t>UP32WN8333</t>
  </si>
  <si>
    <t>UP32WN8334</t>
  </si>
  <si>
    <t>Total Qty upto date</t>
  </si>
  <si>
    <t>BAGS</t>
  </si>
  <si>
    <t>M/s. MARCO ENTERPRISES : RMC RECEIVING AT OMAXE ANANDA TOWER-E -PRAYAGRAJ</t>
  </si>
  <si>
    <t xml:space="preserve">RMC PLANT QTY (M 25)
</t>
  </si>
  <si>
    <t xml:space="preserve">RMC PLANT QTY (M 30)
</t>
  </si>
  <si>
    <t xml:space="preserve">RMC PLANT QTY (M 35)
</t>
  </si>
  <si>
    <t>29.05.2025</t>
  </si>
  <si>
    <t>UP32VN6145</t>
  </si>
  <si>
    <t>12:02PM</t>
  </si>
  <si>
    <t>UP32HT5032</t>
  </si>
  <si>
    <t>UP32HT5034</t>
  </si>
  <si>
    <t>30.05.2025</t>
  </si>
  <si>
    <t>UP32WN8332</t>
  </si>
  <si>
    <t>UP32VN6144</t>
  </si>
  <si>
    <t>UP53HT5032</t>
  </si>
  <si>
    <t>UP53HT5034</t>
  </si>
  <si>
    <t>TOWER-E  (23-43)</t>
  </si>
  <si>
    <t>31.05.2025</t>
  </si>
  <si>
    <t>UP32VN6140</t>
  </si>
  <si>
    <t>CHALLAN NO/INVOICE NO.</t>
  </si>
  <si>
    <t>ULTRATECH</t>
  </si>
  <si>
    <t>UP70QT2013</t>
  </si>
  <si>
    <t>UP70QT2341</t>
  </si>
  <si>
    <t>UP70QT2015</t>
  </si>
  <si>
    <t>UP70QT2342</t>
  </si>
  <si>
    <t>UP70QT2014</t>
  </si>
  <si>
    <t>RMC10</t>
  </si>
  <si>
    <t>RAFT PCC</t>
  </si>
  <si>
    <t xml:space="preserve">TOTAL RCC BY RMC/ELSA /MANUAL </t>
  </si>
  <si>
    <t>RAFT PCC GRID (A-Q/23-43)</t>
  </si>
  <si>
    <t>RAFT RCC GRID (A-Q/23-43)</t>
  </si>
  <si>
    <t>OMAXE PANCHAM REALCON PVT. LTD.</t>
  </si>
  <si>
    <t>-9mtr as per JMR</t>
  </si>
  <si>
    <t>GRID (26'/Q')</t>
  </si>
  <si>
    <t>GRID (26/M'-Q)</t>
  </si>
  <si>
    <t>ERP PROJECT CODE : 127018</t>
  </si>
  <si>
    <t>Part Rate</t>
  </si>
  <si>
    <t>GRID (1-22'/A-Q')</t>
  </si>
  <si>
    <t>GRID (17'-22'/M'-Q')</t>
  </si>
  <si>
    <t>GRID (1-5'/A-E')</t>
  </si>
  <si>
    <t>GRID (14'-22'/A-B')</t>
  </si>
  <si>
    <t>RAFT RCC- M25 BELOW PLINTH BEAM</t>
  </si>
  <si>
    <t>RAFT PCC- M10 BELOW PLINTH BEAM</t>
  </si>
  <si>
    <t>GRID (1-18/M'-Q') (DETAILS IN JMR)</t>
  </si>
  <si>
    <t>GRID (5'-20/A-C')     (DETAILS IN JMR)</t>
  </si>
  <si>
    <t>RAFT PCC GRID (A-Q/1-23)</t>
  </si>
  <si>
    <t>RAFT RCC GRID (A-Q/1-43)</t>
  </si>
  <si>
    <t>GRID (17'-22'/M')</t>
  </si>
  <si>
    <t>GRID (17'/M'-Q)</t>
  </si>
  <si>
    <t>GRID (1-17'/Q')</t>
  </si>
  <si>
    <t>GRID (1/E'-Q')</t>
  </si>
  <si>
    <t>GRID (1-5'/E')</t>
  </si>
  <si>
    <t>GRID (5'/A-E')</t>
  </si>
  <si>
    <t>GRID (5'-14'/A)</t>
  </si>
  <si>
    <t>GRID (14'/A-A')</t>
  </si>
  <si>
    <t>GRID (14'-16'/A')</t>
  </si>
  <si>
    <t>GRID (16'/A'-B)</t>
  </si>
  <si>
    <t>GRID (16'-17'/B)</t>
  </si>
  <si>
    <t>GRID (17'/B-B')</t>
  </si>
  <si>
    <t>GRID (17'-22'/B')</t>
  </si>
  <si>
    <t>SW12  (230x650/1535)</t>
  </si>
  <si>
    <t>SW8  (230x3600)</t>
  </si>
  <si>
    <t>UPTO STILT FLOOR LVL</t>
  </si>
  <si>
    <t>TOWER-E COLUMN GRID (1-22/A-Q)</t>
  </si>
  <si>
    <t>TOWER-E RAFT BBS GRID (1-22'/A-Q)</t>
  </si>
  <si>
    <t>TOWER-E RAFT BBS GRID (22'-43/A-Q)</t>
  </si>
  <si>
    <t>GRID (1-4'/E'-Q')</t>
  </si>
  <si>
    <t>GRID (4'-5'/E'-Q')</t>
  </si>
  <si>
    <t>GRID (5'-11'/A-Q')</t>
  </si>
  <si>
    <t>GRID (11'-14'/A-Q')</t>
  </si>
  <si>
    <t>GRID (14-16'/A-Q')</t>
  </si>
  <si>
    <t>13.06.2025</t>
  </si>
  <si>
    <t>UP70NT8335</t>
  </si>
  <si>
    <t>TOWER-E  (1-23)</t>
  </si>
  <si>
    <t>SRIJAN</t>
  </si>
  <si>
    <t>NEW  9655</t>
  </si>
  <si>
    <t>NEW  8917</t>
  </si>
  <si>
    <t>NEW  9048</t>
  </si>
  <si>
    <t>UP70NT8336</t>
  </si>
  <si>
    <t>12.06.2025</t>
  </si>
  <si>
    <t>14.06.2025</t>
  </si>
  <si>
    <t>10.06.2025</t>
  </si>
  <si>
    <t>11.06.2025</t>
  </si>
  <si>
    <t>TOWER-E RAFT RCC (1-23)</t>
  </si>
  <si>
    <t>TOWER-E RAFT RCC (23-43)</t>
  </si>
  <si>
    <t>GRID (16'-17'/A'-Q')</t>
  </si>
  <si>
    <t>GRID (1-22'/B-Q')</t>
  </si>
  <si>
    <t>GRID (5'-14/A)</t>
  </si>
  <si>
    <t>GRID (5'-16'/A-B)</t>
  </si>
  <si>
    <t>GRID (5'-17'/B-B')</t>
  </si>
  <si>
    <t>GRID (5'-22'/B'-E')</t>
  </si>
  <si>
    <t>GRID (1-22'/E'-K)</t>
  </si>
  <si>
    <t>GRID (1-17'/M-Q)</t>
  </si>
  <si>
    <t>GRID (4'-11'/Q')</t>
  </si>
  <si>
    <t>GRID (5'-1/E')</t>
  </si>
  <si>
    <t>GRID (14/A-B)</t>
  </si>
  <si>
    <t>GRID (14-16'/A-B)</t>
  </si>
  <si>
    <t>GRID (16'/A-B)</t>
  </si>
  <si>
    <t>GRID (17'/B-C)</t>
  </si>
  <si>
    <t>GRID ( 17'-22'/B')</t>
  </si>
  <si>
    <t>GRID ( 17'-22'/M')</t>
  </si>
  <si>
    <t>GRID (18/M'-Q')</t>
  </si>
  <si>
    <t>TOWER-E RAFT GRID (1-22/A-Q)</t>
  </si>
  <si>
    <t>3RD RA</t>
  </si>
  <si>
    <t>GRID (22-23/B'-L')</t>
  </si>
  <si>
    <t>C1, C2, C3, C8 (300X600)</t>
  </si>
  <si>
    <t>C4, C5 (300X750)</t>
  </si>
  <si>
    <t>C6 (300X715)</t>
  </si>
  <si>
    <t>C7 (300X800)</t>
  </si>
  <si>
    <t>SW 1 (L-SHAPE)</t>
  </si>
  <si>
    <t>SW 2 (L-SHAPE)</t>
  </si>
  <si>
    <t>SW 3 (230x1000)</t>
  </si>
  <si>
    <t>SW 4 (230x1150)</t>
  </si>
  <si>
    <t>SW 5 (230x1700)</t>
  </si>
  <si>
    <t>SW 6 (230x1185)</t>
  </si>
  <si>
    <t>SW 7 (230x1855)</t>
  </si>
  <si>
    <t>SW 8 (230x3600)</t>
  </si>
  <si>
    <t>SW 9 (L-SHAPE)</t>
  </si>
  <si>
    <t>SW 10 (230x3445)</t>
  </si>
  <si>
    <t>SW 11 (230x4065)</t>
  </si>
  <si>
    <t>SW 12 (L-SHAPE)</t>
  </si>
  <si>
    <t>SW 13 (200x3445)</t>
  </si>
  <si>
    <t>PADESTIAL GRID (1-43/A-Q)</t>
  </si>
  <si>
    <t>C4 (300X750)</t>
  </si>
  <si>
    <t>C5 (300X750)</t>
  </si>
  <si>
    <t>C1 (300X600)</t>
  </si>
  <si>
    <t>C2 (300X600)</t>
  </si>
  <si>
    <t>C3 (300X600)</t>
  </si>
  <si>
    <t>FROM FOUNDATION TOP TO PLINTH BEAM TOP</t>
  </si>
  <si>
    <t>ZONE A</t>
  </si>
  <si>
    <t>ZONE B</t>
  </si>
  <si>
    <t>C8 (300X600)</t>
  </si>
  <si>
    <t>BE MAIN</t>
  </si>
  <si>
    <t>MID MAIN</t>
  </si>
  <si>
    <t>BE OTHERS</t>
  </si>
  <si>
    <t>MID OTHERS</t>
  </si>
  <si>
    <t>TOWER-E PADESTIAL GRID (1-43/A-Q)</t>
  </si>
  <si>
    <t>COMPENSATORY STRIP</t>
  </si>
  <si>
    <t>MAIN BAR TOP (ALTH.)</t>
  </si>
  <si>
    <t>COMPENSATORY STRIP (22-23/B'-L')</t>
  </si>
  <si>
    <t>TOWER-E RAFT COMPENSATORY STRIP (22-23/B'-L')</t>
  </si>
  <si>
    <t>TOWER-E PADESTIAL (1-42/A-Q)</t>
  </si>
  <si>
    <t>RMC 35</t>
  </si>
  <si>
    <t>COMP. STRIP</t>
  </si>
  <si>
    <t>PADESTIAL</t>
  </si>
  <si>
    <t>TOWER-E  (1-43)</t>
  </si>
  <si>
    <t>PADESTIAL &amp; LIFT (1-43/A-Q)</t>
  </si>
  <si>
    <t>COMPENSATORY STRIP GRID (22-23/B'-L')</t>
  </si>
  <si>
    <t>COLUMN CLIT FIXING</t>
  </si>
  <si>
    <t>COLUMN CLIT FIXING (22-23/B'-L')</t>
  </si>
  <si>
    <t>KENDA</t>
  </si>
  <si>
    <t>Wastage (D-E-G)</t>
  </si>
  <si>
    <t>RMC PLANT NAME</t>
  </si>
  <si>
    <t>SHUBHAM RMC</t>
  </si>
  <si>
    <t>BASIC RATE</t>
  </si>
  <si>
    <t>DIFF. AMOUNT</t>
  </si>
  <si>
    <t>GAURAV MAHESHWARI</t>
  </si>
  <si>
    <t>4TH RA</t>
  </si>
  <si>
    <t>PLINTH BEAM (1-43/A-Q)</t>
  </si>
  <si>
    <t>PB1</t>
  </si>
  <si>
    <t>PB2</t>
  </si>
  <si>
    <t>PB3</t>
  </si>
  <si>
    <t>PB4</t>
  </si>
  <si>
    <t>PB5</t>
  </si>
  <si>
    <t>PB6</t>
  </si>
  <si>
    <t>PB7</t>
  </si>
  <si>
    <t>PB8</t>
  </si>
  <si>
    <t>PB9</t>
  </si>
  <si>
    <t>PB10</t>
  </si>
  <si>
    <t>PB11</t>
  </si>
  <si>
    <t>PB12</t>
  </si>
  <si>
    <t>PB13</t>
  </si>
  <si>
    <t>PB14</t>
  </si>
  <si>
    <t>PB15</t>
  </si>
  <si>
    <t>PB16</t>
  </si>
  <si>
    <t>PB17</t>
  </si>
  <si>
    <t>PB18</t>
  </si>
  <si>
    <t>PB19</t>
  </si>
  <si>
    <t>PB20</t>
  </si>
  <si>
    <t>PB21</t>
  </si>
  <si>
    <t>PB22</t>
  </si>
  <si>
    <t>PB23</t>
  </si>
  <si>
    <t>PB24</t>
  </si>
  <si>
    <t>PB25</t>
  </si>
  <si>
    <t>PB26</t>
  </si>
  <si>
    <t>PB27</t>
  </si>
  <si>
    <t>PB28</t>
  </si>
  <si>
    <t>PB29</t>
  </si>
  <si>
    <t>PB30</t>
  </si>
  <si>
    <t>PB31</t>
  </si>
  <si>
    <t>PB32</t>
  </si>
  <si>
    <t>PB33</t>
  </si>
  <si>
    <t>PB34</t>
  </si>
  <si>
    <t>PB35</t>
  </si>
  <si>
    <t>PB36</t>
  </si>
  <si>
    <t>PB37</t>
  </si>
  <si>
    <t>PB38</t>
  </si>
  <si>
    <t>PB39</t>
  </si>
  <si>
    <t>PB40</t>
  </si>
  <si>
    <t>PB41</t>
  </si>
  <si>
    <t>PB42</t>
  </si>
  <si>
    <t>PB43</t>
  </si>
  <si>
    <t>PB44</t>
  </si>
  <si>
    <t>PB45</t>
  </si>
  <si>
    <t>PB46</t>
  </si>
  <si>
    <t>PB47</t>
  </si>
  <si>
    <t>PB48</t>
  </si>
  <si>
    <t>PB49</t>
  </si>
  <si>
    <t>PB50</t>
  </si>
  <si>
    <t>PB51</t>
  </si>
  <si>
    <t>PB52</t>
  </si>
  <si>
    <t>PB53</t>
  </si>
  <si>
    <t>PB54</t>
  </si>
  <si>
    <t>PB55</t>
  </si>
  <si>
    <t>PB56</t>
  </si>
  <si>
    <t>PB57</t>
  </si>
  <si>
    <t>PB58</t>
  </si>
  <si>
    <t>PB59</t>
  </si>
  <si>
    <t>PB60</t>
  </si>
  <si>
    <t>PB61</t>
  </si>
  <si>
    <t>COLUMN JUNCTION           (1-43/A-Q) AT PLINTH BEAM LVL</t>
  </si>
  <si>
    <t>COLUMN JUNCTION AT PLINTH BEAM LVL (1-43/A-Q)</t>
  </si>
  <si>
    <t>COLUMN FROM PLINTH BEAM LVL TO 1ST FLOOR LVL (22-43/A-Q)</t>
  </si>
  <si>
    <t>M40</t>
  </si>
  <si>
    <t>AS SUPER-STRUCTURE</t>
  </si>
  <si>
    <t>BOTTOM</t>
  </si>
  <si>
    <t>FLAT AREA SOIL DRESSING WORK GRID (22-43/A-Q)</t>
  </si>
  <si>
    <t>2'</t>
  </si>
  <si>
    <t>2,3</t>
  </si>
  <si>
    <t>4,10</t>
  </si>
  <si>
    <t>5,9</t>
  </si>
  <si>
    <t>15,16</t>
  </si>
  <si>
    <t>38,41</t>
  </si>
  <si>
    <t>37,42</t>
  </si>
  <si>
    <t>39,40</t>
  </si>
  <si>
    <t>44,45</t>
  </si>
  <si>
    <t>7TH RA</t>
  </si>
  <si>
    <t>7th RA</t>
  </si>
  <si>
    <t>8th RA</t>
  </si>
  <si>
    <t>COLUMN  (22-43/A-Q) FROM PLINTH LVL TO 1ST FLOOR LVL</t>
  </si>
  <si>
    <t>COLUMN (22-43/A-Q) FROM PLINTH LVL TO 1ST FLOOR LVL</t>
  </si>
  <si>
    <t xml:space="preserve">Reinforcement </t>
  </si>
  <si>
    <t>Sr. No.</t>
  </si>
  <si>
    <t xml:space="preserve">       Designation</t>
  </si>
  <si>
    <t xml:space="preserve">Dia </t>
  </si>
  <si>
    <t>C/C (mm)</t>
  </si>
  <si>
    <t>No</t>
  </si>
  <si>
    <t>No of Bars</t>
  </si>
  <si>
    <t>Bar Length (mtr)</t>
  </si>
  <si>
    <t>Lap Length</t>
  </si>
  <si>
    <t>One Bar                     Length (MTR)</t>
  </si>
  <si>
    <t>Dia Wise Weight (Kg)</t>
  </si>
  <si>
    <t>a</t>
  </si>
  <si>
    <t>b</t>
  </si>
  <si>
    <t>c</t>
  </si>
  <si>
    <t>20MM</t>
  </si>
  <si>
    <t>Typical Beam</t>
  </si>
  <si>
    <t>200X450</t>
  </si>
  <si>
    <t>TOP</t>
  </si>
  <si>
    <t>TOP EXTRA</t>
  </si>
  <si>
    <t>STIRRUPS</t>
  </si>
  <si>
    <t>100X450</t>
  </si>
  <si>
    <t>STIRRUPS 200X450</t>
  </si>
  <si>
    <t>BOTTOM EXTRA</t>
  </si>
  <si>
    <t>230X450</t>
  </si>
  <si>
    <t xml:space="preserve">STIRRUPS </t>
  </si>
  <si>
    <t>STIRRUPS 230X450</t>
  </si>
  <si>
    <t>PB 52</t>
  </si>
  <si>
    <t>STIRRUPS  200X450</t>
  </si>
  <si>
    <t>TOTAL UPTO PLINTH</t>
  </si>
  <si>
    <t xml:space="preserve">      Designation</t>
  </si>
  <si>
    <t>C 1  (300X600)</t>
  </si>
  <si>
    <t>Stirrups ZONE A</t>
  </si>
  <si>
    <t>Stirrups ZONE B</t>
  </si>
  <si>
    <t>C 2  (300X600)</t>
  </si>
  <si>
    <t>C 3  (300X600)</t>
  </si>
  <si>
    <t>C 4  (300X750)</t>
  </si>
  <si>
    <t>C 5  (300X750)</t>
  </si>
  <si>
    <t>C 6  (300X715)</t>
  </si>
  <si>
    <t>C 7  (300X800)</t>
  </si>
  <si>
    <t>C 8  (300X600)</t>
  </si>
  <si>
    <t xml:space="preserve">SW 1 </t>
  </si>
  <si>
    <t>Stirrups</t>
  </si>
  <si>
    <t xml:space="preserve">BE OTHER </t>
  </si>
  <si>
    <t xml:space="preserve">MID OTHER </t>
  </si>
  <si>
    <t>SW 2</t>
  </si>
  <si>
    <t>SW 3</t>
  </si>
  <si>
    <t>SW 4</t>
  </si>
  <si>
    <t xml:space="preserve">BE OTHER  </t>
  </si>
  <si>
    <t>SW 6</t>
  </si>
  <si>
    <t>SW 8</t>
  </si>
  <si>
    <t>BE MAIN  (180X1183)</t>
  </si>
  <si>
    <t>BE OTHER  (180X122)</t>
  </si>
  <si>
    <t>MID MAIN (180X1216)</t>
  </si>
  <si>
    <t>SW 9</t>
  </si>
  <si>
    <t>BE MAIN  (180X600)</t>
  </si>
  <si>
    <t>BE OTHER  (180X248)</t>
  </si>
  <si>
    <t>BE MAIN  (180X385)</t>
  </si>
  <si>
    <t>BE OTHER  (180X268)</t>
  </si>
  <si>
    <t>MID MAIN (180X1066)</t>
  </si>
  <si>
    <t>SW 10</t>
  </si>
  <si>
    <t>BE MAIN  (180X683)</t>
  </si>
  <si>
    <t>BE OTHER  (180X128)</t>
  </si>
  <si>
    <t>MID MAIN (180X2061)</t>
  </si>
  <si>
    <t>SW 11</t>
  </si>
  <si>
    <t>BE MAIN  (180X983)</t>
  </si>
  <si>
    <t>BE OTHER  (180X124)</t>
  </si>
  <si>
    <t>MID MAIN (180X2081)</t>
  </si>
  <si>
    <t>SW 12</t>
  </si>
  <si>
    <t>MID MAIN (180X751)</t>
  </si>
  <si>
    <t>SW 13</t>
  </si>
  <si>
    <t>BE MAIN  (140X583)</t>
  </si>
  <si>
    <t>BE OTHER  (140X133)</t>
  </si>
  <si>
    <t>MID MAIN (140X2261)</t>
  </si>
  <si>
    <t>Column From Plinth Level to 1st Floor Lvl (103.25-100.15)</t>
  </si>
  <si>
    <t>Shear wall  from plinth level to 1st floor LVL</t>
  </si>
  <si>
    <t>MID MAIN (180X866)</t>
  </si>
  <si>
    <t>BE MAIN  (180X950)</t>
  </si>
  <si>
    <t>BE OTHER  (180X120)</t>
  </si>
  <si>
    <t>BE MAIN  (180X1100)</t>
  </si>
  <si>
    <t>BE OTHER  (180X125)</t>
  </si>
  <si>
    <t>SW 5A</t>
  </si>
  <si>
    <t>BE MAIN  (180X583)</t>
  </si>
  <si>
    <t>MID MAIN (180X516)</t>
  </si>
  <si>
    <t>BE MAIN  (180X1135)</t>
  </si>
  <si>
    <t>BE OTHER  (180X118)</t>
  </si>
  <si>
    <t>SW 7A</t>
  </si>
  <si>
    <t>MID MAIN (180X671)</t>
  </si>
  <si>
    <t>TOTAL FROM PLINTH TO 1ST FLOOR LVL</t>
  </si>
  <si>
    <t>Column From 1st Floor Lvl TO 2ND FLOOR LVL (103.25-106.2)</t>
  </si>
  <si>
    <t>Shear wall  from 1st floor LVL to 2nd floor lvl</t>
  </si>
  <si>
    <t>SW 8A</t>
  </si>
  <si>
    <t>MID MAIN (180X1616)</t>
  </si>
  <si>
    <t>FROM 1ST TO 2ND FLOOR LVL</t>
  </si>
  <si>
    <t>Column From 2 Floor Lvl TO 3 FLOOR LVL (106.2-109.15))</t>
  </si>
  <si>
    <t>Shear wall  from 2nd floor lvl to 3rd floor lvl</t>
  </si>
  <si>
    <t>SW 5B</t>
  </si>
  <si>
    <t>BE MAIN  (180X383)</t>
  </si>
  <si>
    <t>MID MAIN (180X916)</t>
  </si>
  <si>
    <t>SW 7B</t>
  </si>
  <si>
    <t>MID MAIN (180X1071)</t>
  </si>
  <si>
    <t>SW 10A</t>
  </si>
  <si>
    <t>BE MAIN  (180X483)</t>
  </si>
  <si>
    <t>BE OTHER  (180X250)</t>
  </si>
  <si>
    <t>MID MAIN (180X2461)</t>
  </si>
  <si>
    <t>SW 11A</t>
  </si>
  <si>
    <t>MID MAIN (180X2681)</t>
  </si>
  <si>
    <t>SW 13A</t>
  </si>
  <si>
    <t>BE MAIN  (140X383)</t>
  </si>
  <si>
    <t>MID MAIN (140X2661)</t>
  </si>
  <si>
    <t>FROM 2nd TO 3rd FLOOR LVL</t>
  </si>
  <si>
    <t>Column From 3 Floor Lvl TO 4 FLOOR</t>
  </si>
  <si>
    <t>Shear wall  from 3 floor lvl to 4 floor lvl</t>
  </si>
  <si>
    <t>SW 8B</t>
  </si>
  <si>
    <t>MID MAIN (180X2216)</t>
  </si>
  <si>
    <t>Column From 4 Floor Lvl TO 5 FLOOR</t>
  </si>
  <si>
    <t>PLINTH BEAM GRID (1-43/A-Q)</t>
  </si>
  <si>
    <t>COLUMN PLINTH TO 1ST FLOOR LVL (1-43/A-Q)</t>
  </si>
  <si>
    <t>TRANSFER TO LIG AT 7/8/25</t>
  </si>
  <si>
    <t>TRANSFER FROM LIG AT 5/8/25</t>
  </si>
  <si>
    <t>GIVE TO OMAXE AT 21/9/25</t>
  </si>
  <si>
    <t>GIVE TO OMAXE AT 08/10/25</t>
  </si>
  <si>
    <t>RECEIVED FROM OMAXE AT 19/4/25</t>
  </si>
  <si>
    <t>RECEIVED FROM OMAXE AT 13/5/25</t>
  </si>
  <si>
    <t>RECEIVED FROM OMAXE AT 17/5/25</t>
  </si>
  <si>
    <t>RECEIVED FROM OMAXE AT 03/6/25</t>
  </si>
  <si>
    <t>RECEIVED FROM OMAXE AT 29/6/25</t>
  </si>
  <si>
    <t>RECEIVED FROM OMAXE AT 7/8/25</t>
  </si>
  <si>
    <t>RECEIVED FROM OMAXE AT 22/8/25</t>
  </si>
  <si>
    <t>RECEIVED FROM OMAXE AT 17/10/25</t>
  </si>
  <si>
    <t>RECEIVED FROM OMAXE AT 10/12/25</t>
  </si>
  <si>
    <t>RECEIVED FROM OMAXE AT 13/12/25</t>
  </si>
  <si>
    <t>COLUMN CLIT FIXING WORK (RAFT COL., G.F.)</t>
  </si>
  <si>
    <t>&amp; SOIL BACK FILLING WORK</t>
  </si>
  <si>
    <t>SOIL BACK FILLING GRID (1-43/A-Q)</t>
  </si>
  <si>
    <t>DED. PCC</t>
  </si>
  <si>
    <t>DED. RAFT RCC</t>
  </si>
  <si>
    <t>DED. PADESTIAL RCC</t>
  </si>
  <si>
    <t>BACK FILLING</t>
  </si>
  <si>
    <t>COLUMN JUNCTION AT PLINTH BEAM</t>
  </si>
  <si>
    <t>PLINTH BEAM</t>
  </si>
  <si>
    <t xml:space="preserve">Dowel Steel in column </t>
  </si>
  <si>
    <t>COLUMN PLINTH BEAM TO 1ST FLOOR LVL</t>
  </si>
  <si>
    <t xml:space="preserve">RMC PLANT QTY (M 40)
</t>
  </si>
  <si>
    <t>25.09.2025</t>
  </si>
  <si>
    <t>01.10.2025</t>
  </si>
  <si>
    <t>07.10.2025</t>
  </si>
  <si>
    <t>09.10.2025</t>
  </si>
  <si>
    <t>10.10.2025</t>
  </si>
  <si>
    <t>29.10.2025</t>
  </si>
  <si>
    <t>30.10.2025</t>
  </si>
  <si>
    <t>11.11.2025</t>
  </si>
  <si>
    <t>17.11.2025</t>
  </si>
  <si>
    <t>18.11.2025</t>
  </si>
  <si>
    <t>COL. JUN.</t>
  </si>
  <si>
    <t>G.F. COLUMN</t>
  </si>
  <si>
    <t>19.11.2025</t>
  </si>
  <si>
    <t>20.11.2025</t>
  </si>
  <si>
    <t>28.11.2025</t>
  </si>
  <si>
    <t>29.11.2025</t>
  </si>
  <si>
    <t>30.11.2025</t>
  </si>
  <si>
    <t>02.12.2025</t>
  </si>
  <si>
    <t>03.12.2025</t>
  </si>
  <si>
    <t>05.12.2025</t>
  </si>
  <si>
    <t>06.12.2025</t>
  </si>
  <si>
    <t>08.12.2025</t>
  </si>
  <si>
    <t>09.12.2025</t>
  </si>
  <si>
    <t>C1, C2, C3, C8, C9, C10 (300X600)</t>
  </si>
  <si>
    <t>C6, C11 (300X715)</t>
  </si>
  <si>
    <t>C 9  (300X600)</t>
  </si>
  <si>
    <t>C 10  (300X600)</t>
  </si>
  <si>
    <t>C 11  (300X715)</t>
  </si>
  <si>
    <t>Upto Road LVL. (HT From JK Bill)</t>
  </si>
  <si>
    <t>BE OTHER  (180X256)</t>
  </si>
  <si>
    <t>COLUMN FROM PLINTH BEAM LVL TO 1ST FLOOR LVL (1-22/A-Q)</t>
  </si>
  <si>
    <t>COLUMN  (1-22/A-Q) FROM PLINTH LVL TO 1ST FLOOR LVL</t>
  </si>
  <si>
    <t>8TH RA</t>
  </si>
  <si>
    <t>SLAB AT GROUND FLOOR LVL (22-43/A-Q)</t>
  </si>
  <si>
    <t>Bed room 1</t>
  </si>
  <si>
    <t>Bed Room 2</t>
  </si>
  <si>
    <t>Bed Room 3</t>
  </si>
  <si>
    <t>Service slab</t>
  </si>
  <si>
    <t>TOILET 1</t>
  </si>
  <si>
    <t>TOILET 2</t>
  </si>
  <si>
    <t>PASSAGE</t>
  </si>
  <si>
    <t xml:space="preserve">Living </t>
  </si>
  <si>
    <t>Entry/ Porch</t>
  </si>
  <si>
    <t>Kitchen</t>
  </si>
  <si>
    <t>Balcony 1</t>
  </si>
  <si>
    <t>Balcony 2</t>
  </si>
  <si>
    <t>Kitchen Balcony</t>
  </si>
  <si>
    <t>B. ROOM 1</t>
  </si>
  <si>
    <t>B. ROOM 2</t>
  </si>
  <si>
    <t>B. ROOM 3</t>
  </si>
  <si>
    <t>KITCHEN</t>
  </si>
  <si>
    <t xml:space="preserve">LIVING </t>
  </si>
  <si>
    <t>TOILET 3</t>
  </si>
  <si>
    <t>BALCONY 1</t>
  </si>
  <si>
    <t>BALCONY 2</t>
  </si>
  <si>
    <t>BALCONY 3</t>
  </si>
  <si>
    <t>LIFT LOBBY</t>
  </si>
  <si>
    <t>SLAB RCC</t>
  </si>
  <si>
    <t>FLAT NO 9</t>
  </si>
  <si>
    <t>B1 200X500</t>
  </si>
  <si>
    <t>B2 200X500</t>
  </si>
  <si>
    <t>B5 200X450</t>
  </si>
  <si>
    <t>B7 200X450</t>
  </si>
  <si>
    <t>B8 200X500</t>
  </si>
  <si>
    <t>B8 200X350</t>
  </si>
  <si>
    <t>B9 200X500</t>
  </si>
  <si>
    <t>B10 200X500</t>
  </si>
  <si>
    <t>B11 200X450</t>
  </si>
  <si>
    <t>B12 200X450</t>
  </si>
  <si>
    <t>B13 200X350</t>
  </si>
  <si>
    <t>B13 200X450</t>
  </si>
  <si>
    <t>B14 200X450</t>
  </si>
  <si>
    <t>B15 200X500</t>
  </si>
  <si>
    <t>B16 200X350</t>
  </si>
  <si>
    <t>B16 200X500</t>
  </si>
  <si>
    <t>B17 200X500</t>
  </si>
  <si>
    <t>B18 230X500</t>
  </si>
  <si>
    <t>B19 200X450</t>
  </si>
  <si>
    <t>B20 200X350</t>
  </si>
  <si>
    <t>B22 200x450</t>
  </si>
  <si>
    <t>B23 200X450</t>
  </si>
  <si>
    <t>B24 200X450</t>
  </si>
  <si>
    <t>B25 200X450</t>
  </si>
  <si>
    <t>B25 200X450 BESIDE STAIRS</t>
  </si>
  <si>
    <t>B29 200X450</t>
  </si>
  <si>
    <t>B37 200X450</t>
  </si>
  <si>
    <t>B38 200X450</t>
  </si>
  <si>
    <t>B40 200X450</t>
  </si>
  <si>
    <t>B42 200X450</t>
  </si>
  <si>
    <t>B43 200X450</t>
  </si>
  <si>
    <t>B46 200X500</t>
  </si>
  <si>
    <t>B52 230X500</t>
  </si>
  <si>
    <t>B55 230X450</t>
  </si>
  <si>
    <t>B57 200X450</t>
  </si>
  <si>
    <t>B60 200X450</t>
  </si>
  <si>
    <t>B63 200X450</t>
  </si>
  <si>
    <t>B66 200X450</t>
  </si>
  <si>
    <t>B3 AT GRID E/32-33</t>
  </si>
  <si>
    <t>B3 AT GRID F/43</t>
  </si>
  <si>
    <t>B3 AT GRID M &amp; O/39-40</t>
  </si>
  <si>
    <t>B3 AT GRID B-C/27-28</t>
  </si>
  <si>
    <t>B3 AT GRID L-M/27-28</t>
  </si>
  <si>
    <t>B3 AT GRID F/39-40</t>
  </si>
  <si>
    <t>B3 AT GRID C,K/25</t>
  </si>
  <si>
    <t>B4 200X350</t>
  </si>
  <si>
    <t>B21 230X450</t>
  </si>
  <si>
    <t>B6 230X350</t>
  </si>
  <si>
    <t>B25 200X500</t>
  </si>
  <si>
    <t>B26 200X450</t>
  </si>
  <si>
    <t>B27 200X350</t>
  </si>
  <si>
    <t>B27 200X500</t>
  </si>
  <si>
    <t>B28 200X450</t>
  </si>
  <si>
    <t>B30 200X350</t>
  </si>
  <si>
    <t>B30 200X500</t>
  </si>
  <si>
    <t>B31 200X500</t>
  </si>
  <si>
    <t>B33 200X350</t>
  </si>
  <si>
    <t>B34 230X450</t>
  </si>
  <si>
    <t>B35 200X500</t>
  </si>
  <si>
    <t>B36 200X500</t>
  </si>
  <si>
    <t>B36 230X500</t>
  </si>
  <si>
    <t>B39 200X450</t>
  </si>
  <si>
    <t>B39 230X350</t>
  </si>
  <si>
    <t>B40 200X350</t>
  </si>
  <si>
    <t>B41 200X500</t>
  </si>
  <si>
    <t>B44 200X450</t>
  </si>
  <si>
    <t>B44 200X350</t>
  </si>
  <si>
    <t>B45 200X450</t>
  </si>
  <si>
    <t>B47 200X500</t>
  </si>
  <si>
    <t>B48 200X350</t>
  </si>
  <si>
    <t>B49 200X450</t>
  </si>
  <si>
    <t>B50 200X500</t>
  </si>
  <si>
    <t>B51 200X450</t>
  </si>
  <si>
    <t>B53 200X350</t>
  </si>
  <si>
    <t>B54 230X500</t>
  </si>
  <si>
    <t>B56 200X450</t>
  </si>
  <si>
    <t>B57 230X450</t>
  </si>
  <si>
    <t>B58 230X500</t>
  </si>
  <si>
    <t>B58 230X450</t>
  </si>
  <si>
    <t>B59 200X500</t>
  </si>
  <si>
    <t>B62 200X500</t>
  </si>
  <si>
    <t>B61 200X450</t>
  </si>
  <si>
    <t>B61 230X450</t>
  </si>
  <si>
    <t>B64 200X350</t>
  </si>
  <si>
    <t>B65 200X450</t>
  </si>
  <si>
    <t>B66 200X350</t>
  </si>
  <si>
    <t>B67 200X450</t>
  </si>
  <si>
    <t>B68 200X350</t>
  </si>
  <si>
    <t>B69 200X450</t>
  </si>
  <si>
    <t>FLAT NO 8</t>
  </si>
  <si>
    <t>FLAT NO 10,11,12</t>
  </si>
  <si>
    <t>FLAT 10,11,12 LOBBY</t>
  </si>
  <si>
    <t>FLAT 7,8 &amp; 9 LOBBY</t>
  </si>
  <si>
    <t>Main s/case (2 No)</t>
  </si>
  <si>
    <t>Half landing</t>
  </si>
  <si>
    <t>freight</t>
  </si>
  <si>
    <t>mid freight</t>
  </si>
  <si>
    <t>top landing</t>
  </si>
  <si>
    <t>landing beam 230x450</t>
  </si>
  <si>
    <t>Fire s/case (4 No)</t>
  </si>
  <si>
    <t>mid &amp; full landing</t>
  </si>
  <si>
    <t>FLAT NO 7</t>
  </si>
  <si>
    <t>DRESSING AREA</t>
  </si>
  <si>
    <t>COLUMN (1-22/A-Q) FROM PLINTH LVL TO 1ST FLOOR LVL</t>
  </si>
  <si>
    <t>SLAB SHUTTERING</t>
  </si>
  <si>
    <t>SIDE</t>
  </si>
  <si>
    <t>B30 200X450</t>
  </si>
  <si>
    <t>B32 230X450</t>
  </si>
  <si>
    <t>MB SHEET- SHUTTERING WORK</t>
  </si>
  <si>
    <t>200X500</t>
  </si>
  <si>
    <t>B1</t>
  </si>
  <si>
    <t>B2</t>
  </si>
  <si>
    <t>100X350</t>
  </si>
  <si>
    <t>B3</t>
  </si>
  <si>
    <t>200X350</t>
  </si>
  <si>
    <t>B4</t>
  </si>
  <si>
    <t>B5</t>
  </si>
  <si>
    <t>230X350</t>
  </si>
  <si>
    <t>B6</t>
  </si>
  <si>
    <t>B7</t>
  </si>
  <si>
    <t>B8</t>
  </si>
  <si>
    <t>STIRRUPS 200X500</t>
  </si>
  <si>
    <t>STIRRUPS 200X350</t>
  </si>
  <si>
    <t>B9</t>
  </si>
  <si>
    <t>B10</t>
  </si>
  <si>
    <t>B11, B22</t>
  </si>
  <si>
    <t xml:space="preserve">B12 </t>
  </si>
  <si>
    <t>B13</t>
  </si>
  <si>
    <t>B14</t>
  </si>
  <si>
    <t>B15</t>
  </si>
  <si>
    <t>B16</t>
  </si>
  <si>
    <t>B17</t>
  </si>
  <si>
    <t>230X500</t>
  </si>
  <si>
    <t>B18</t>
  </si>
  <si>
    <t>B19</t>
  </si>
  <si>
    <t>B20</t>
  </si>
  <si>
    <t>B21</t>
  </si>
  <si>
    <t>B23</t>
  </si>
  <si>
    <t>B24</t>
  </si>
  <si>
    <t>B25</t>
  </si>
  <si>
    <t>200x500</t>
  </si>
  <si>
    <t>B26</t>
  </si>
  <si>
    <t>B27</t>
  </si>
  <si>
    <t>B28</t>
  </si>
  <si>
    <t>B29</t>
  </si>
  <si>
    <t>B30</t>
  </si>
  <si>
    <t>B31</t>
  </si>
  <si>
    <t>B32</t>
  </si>
  <si>
    <t>B33</t>
  </si>
  <si>
    <t>B34</t>
  </si>
  <si>
    <t>B35</t>
  </si>
  <si>
    <t>B36</t>
  </si>
  <si>
    <t>STIRRUPS 230X500</t>
  </si>
  <si>
    <t>B37</t>
  </si>
  <si>
    <t>STIRRUPS 100X350</t>
  </si>
  <si>
    <t>B38</t>
  </si>
  <si>
    <t>B39</t>
  </si>
  <si>
    <t>B40</t>
  </si>
  <si>
    <t>B41</t>
  </si>
  <si>
    <t>B42</t>
  </si>
  <si>
    <t>B43</t>
  </si>
  <si>
    <t>B44</t>
  </si>
  <si>
    <t>B45</t>
  </si>
  <si>
    <t>B46</t>
  </si>
  <si>
    <t>B47</t>
  </si>
  <si>
    <t>B48</t>
  </si>
  <si>
    <t>B49</t>
  </si>
  <si>
    <t>B50</t>
  </si>
  <si>
    <t>B51</t>
  </si>
  <si>
    <t>B52</t>
  </si>
  <si>
    <t>B53</t>
  </si>
  <si>
    <t>B54</t>
  </si>
  <si>
    <t>B55</t>
  </si>
  <si>
    <t>B56</t>
  </si>
  <si>
    <t>B57</t>
  </si>
  <si>
    <t>230X500/450</t>
  </si>
  <si>
    <t>B58</t>
  </si>
  <si>
    <t>B59, B62</t>
  </si>
  <si>
    <t>B60</t>
  </si>
  <si>
    <t>200/230X450</t>
  </si>
  <si>
    <t>B61</t>
  </si>
  <si>
    <t>B63</t>
  </si>
  <si>
    <t>B64</t>
  </si>
  <si>
    <t>STIRRUPS  200X350</t>
  </si>
  <si>
    <t>B65</t>
  </si>
  <si>
    <t>B66</t>
  </si>
  <si>
    <t>B67</t>
  </si>
  <si>
    <t>B68</t>
  </si>
  <si>
    <t>B69</t>
  </si>
  <si>
    <t>115X350</t>
  </si>
  <si>
    <t xml:space="preserve">TOTAL </t>
  </si>
  <si>
    <t>UNIT WT.</t>
  </si>
  <si>
    <t>TOTAL WT.</t>
  </si>
  <si>
    <t>SLAB STEEL</t>
  </si>
  <si>
    <t>FLAT NO- 4, 9</t>
  </si>
  <si>
    <t>S 02  Bed room  (3200x3550)</t>
  </si>
  <si>
    <t xml:space="preserve">MAIN BAR e  </t>
  </si>
  <si>
    <t>Dist. Bar e</t>
  </si>
  <si>
    <t>TOP EXTRA e</t>
  </si>
  <si>
    <t>TOP EXTRA a</t>
  </si>
  <si>
    <t>TOP EXTRA d</t>
  </si>
  <si>
    <t>binder</t>
  </si>
  <si>
    <t>S 01  Bed room  (3575x3550)</t>
  </si>
  <si>
    <t>S 03 Passage (1200x2.785)</t>
  </si>
  <si>
    <t>S 03  Toilet  (1570x3575)</t>
  </si>
  <si>
    <t>S 04  Bed room  (3050x3115)</t>
  </si>
  <si>
    <t>S 05 Toilet  (1600x2515)</t>
  </si>
  <si>
    <t>S 06  Drawing Room (4105x6165)</t>
  </si>
  <si>
    <t xml:space="preserve">MAIN BAR a  </t>
  </si>
  <si>
    <t xml:space="preserve">DIST. BAR c </t>
  </si>
  <si>
    <t>TOP EXTRA c</t>
  </si>
  <si>
    <t>S 07 Kitchen (2335x2850)</t>
  </si>
  <si>
    <t>Main Bar e</t>
  </si>
  <si>
    <t>S 08 Foyer  (1035x1500)</t>
  </si>
  <si>
    <t>S 024 Balcony Bedroom (2000x6300)</t>
  </si>
  <si>
    <t>Main bar h</t>
  </si>
  <si>
    <t>TOP EXTRA m</t>
  </si>
  <si>
    <t>binder e</t>
  </si>
  <si>
    <t>S 024 Balcony Drawing Room (2000x4065)</t>
  </si>
  <si>
    <t>S 024 Balcony Kitchen (2000x1845)</t>
  </si>
  <si>
    <t>FLAT NO- 5, 8</t>
  </si>
  <si>
    <t>S 09  Bed room (3205x3560)</t>
  </si>
  <si>
    <t>S 05  Bed room Toilet (1500x2225)</t>
  </si>
  <si>
    <t>S 011  Drawing Room</t>
  </si>
  <si>
    <t>MAIN BAR c</t>
  </si>
  <si>
    <t>Dist. Bar d</t>
  </si>
  <si>
    <t>S 012  Kitchen (2365x3250)</t>
  </si>
  <si>
    <t xml:space="preserve">Main bar e </t>
  </si>
  <si>
    <t>S 013  Bed room (2925x3250)</t>
  </si>
  <si>
    <t>S 14 Passege (1700x2925)</t>
  </si>
  <si>
    <t>S 03 Bedroom Toilet (1425x3385)</t>
  </si>
  <si>
    <t>S 024 Balcony Drg. Room (2000x4665)</t>
  </si>
  <si>
    <t>S 024 Balcony Bedroom &amp; Kitchen (2000x5105)</t>
  </si>
  <si>
    <t>S 15 Bedroom (3050x3580)</t>
  </si>
  <si>
    <t>S 16 Dressing Area (1410x2430)</t>
  </si>
  <si>
    <t>S 05 Toilet (1540x2410)</t>
  </si>
  <si>
    <t>S 024 Balcony Bedroom (2000x3265)</t>
  </si>
  <si>
    <t>FLAT NO- 6, 7</t>
  </si>
  <si>
    <t>FLAT NO- 1,2,3, 10,11,12</t>
  </si>
  <si>
    <t>S 20  Bed room (3250x3860)</t>
  </si>
  <si>
    <t xml:space="preserve">Main Bar e  </t>
  </si>
  <si>
    <t>S 20, 2nd  Bed room (3335X3860)</t>
  </si>
  <si>
    <t>S 01, 3rd  Bed room (3265x3550)</t>
  </si>
  <si>
    <t>S 03 Bedroom Toilet (1425X2275)</t>
  </si>
  <si>
    <t xml:space="preserve">Main Bar e </t>
  </si>
  <si>
    <t>Main Bar a</t>
  </si>
  <si>
    <t>Dist. Bar c</t>
  </si>
  <si>
    <t>TOP EXTRA b</t>
  </si>
  <si>
    <t>S 21 Kitchen  (2345x3435)</t>
  </si>
  <si>
    <t>S 024 Balcony Bedroom (2000x5845)</t>
  </si>
  <si>
    <t>S 024 Balcony Drawing Room (2000x3630)</t>
  </si>
  <si>
    <t>S 024 Balcony Kitchen (2000x1650)</t>
  </si>
  <si>
    <t>Lobby S10</t>
  </si>
  <si>
    <t>Main bar e</t>
  </si>
  <si>
    <t>Lobby S17 (1610x3950)</t>
  </si>
  <si>
    <t>Lobby S18 (2440x5665)</t>
  </si>
  <si>
    <t>Lobby S22 (3190x4790)</t>
  </si>
  <si>
    <t>Chajja S23</t>
  </si>
  <si>
    <t>LB</t>
  </si>
  <si>
    <t>Main Bottom</t>
  </si>
  <si>
    <t>Main Top</t>
  </si>
  <si>
    <t>Mid landing 2nd freight</t>
  </si>
  <si>
    <t>2ND FREIGHT MAIN TOP</t>
  </si>
  <si>
    <t>Chair (in 125mm thk slab)</t>
  </si>
  <si>
    <t>Chair (in 135mm thk slab)</t>
  </si>
  <si>
    <t>Chair (in 150mm thk slab)</t>
  </si>
  <si>
    <t>Chair (in 175mm thk slab)</t>
  </si>
  <si>
    <t>Chair (in 200mm thk slab)</t>
  </si>
  <si>
    <t>A+B</t>
  </si>
  <si>
    <t>1ST FLOOR LVL SLAB (22-43/A-Q)</t>
  </si>
  <si>
    <t>FIRE Stairs case (04)</t>
  </si>
  <si>
    <t>MAIN Stairs case (03)</t>
  </si>
  <si>
    <t xml:space="preserve">Main Bar  </t>
  </si>
  <si>
    <t>stirrups</t>
  </si>
  <si>
    <t>Toilet Beam at Drop (1420x2275)</t>
  </si>
  <si>
    <t>Toilet Beam at Drop (1440x2275)</t>
  </si>
  <si>
    <t>FLAT NO.- 10,11,12</t>
  </si>
  <si>
    <t>FLAT NO.- 7</t>
  </si>
  <si>
    <t>Toilet Beam at Drop (1425x2160)</t>
  </si>
  <si>
    <t>FLAT NO.- 8</t>
  </si>
  <si>
    <t>Toilet Beam at Drop (2410x1910)</t>
  </si>
  <si>
    <t>FLAT NO.- 9</t>
  </si>
  <si>
    <t>Toilet Beam at Drop (1510x2370)</t>
  </si>
  <si>
    <t>L-SHAPE IN LEDGE WALL</t>
  </si>
  <si>
    <t>LB1</t>
  </si>
  <si>
    <t>Main s/case (3 No)</t>
  </si>
  <si>
    <t>18.12.2025</t>
  </si>
  <si>
    <t>19.12.2025</t>
  </si>
  <si>
    <t>20.12.2025</t>
  </si>
  <si>
    <t>21.12.2025</t>
  </si>
  <si>
    <t>23.12.2025</t>
  </si>
  <si>
    <t>25.12.2025</t>
  </si>
  <si>
    <t>26.12.2025</t>
  </si>
  <si>
    <t>29.12.2025</t>
  </si>
  <si>
    <t>31.12.2025</t>
  </si>
  <si>
    <t>01.01.2026</t>
  </si>
  <si>
    <t>03.01.2026</t>
  </si>
  <si>
    <t>04.01.2026</t>
  </si>
  <si>
    <t>TOWER-E PLINTH BEAM</t>
  </si>
  <si>
    <t>COLUMN  (1-43/A-Q) FROM PLINTH LVL TO 1ST FLOOR LVL</t>
  </si>
  <si>
    <t>EXTRA HEIGHT COLUMN FROM PLINTH BEAM LVL TO 1ST FLOOR LVL (1-43/A-Q)</t>
  </si>
  <si>
    <t>05.01.2026</t>
  </si>
  <si>
    <t>06.01.2026</t>
  </si>
  <si>
    <t>21.01.2026</t>
  </si>
  <si>
    <t>22.01.2026</t>
  </si>
  <si>
    <t>TOWER-E 1ST FLOOR LVL</t>
  </si>
  <si>
    <t>SLAB</t>
  </si>
  <si>
    <t>1ST FLOOR LVL SLAB</t>
  </si>
  <si>
    <t>APPROVED RATE</t>
  </si>
  <si>
    <t>DIFF. IN RATE</t>
  </si>
  <si>
    <t>M/s. MARCO ENTERPRISES : RMC BASIC RATE DIFF. AT OMAXE ANANDA TOWER-E -PRAYAGRAJ</t>
  </si>
  <si>
    <t>TOWER-E RMC APPROVED RATE LIST</t>
  </si>
  <si>
    <t>GRADE OF CONCRTE WITH CEMENT</t>
  </si>
  <si>
    <t>GRADE OF CONCRTE WITHOUT CEMENT</t>
  </si>
  <si>
    <t>SRIJAN INFRA</t>
  </si>
  <si>
    <t>30.01.2026</t>
  </si>
  <si>
    <t>31.01.2026</t>
  </si>
  <si>
    <t>RECEIVED FROM OMAXE AT 22/12/25</t>
  </si>
  <si>
    <t>RECEIVED FROM OMAXE AT 30/12/25</t>
  </si>
  <si>
    <t>TRANSFER FROM SHIVA-3 AT 03/01/26</t>
  </si>
  <si>
    <t>TRANSFER FROM MLP AT 03/01/26</t>
  </si>
  <si>
    <t>RECEIVED FROM OMAXE AT 11/01/26</t>
  </si>
  <si>
    <t>RECEIVED FROM OMAXE AT 21/01/26</t>
  </si>
  <si>
    <t>TRANSFER TO EWS T-3</t>
  </si>
  <si>
    <t>TRANSFER TO LIG T-1</t>
  </si>
  <si>
    <t>W.I.P. Steel in slab (1-22)</t>
  </si>
  <si>
    <t>W.I.P. Steel in column</t>
  </si>
  <si>
    <t>PERIOD OF BILL :- FROM 01-02-2026 TO 12-02-2026</t>
  </si>
  <si>
    <t>THIS R/A BILL NO. &amp; DATE : 8TH RA BILL, DATE 12-02-2026</t>
  </si>
  <si>
    <t>9TH FLOOR</t>
  </si>
  <si>
    <t>FLAT NO 4</t>
  </si>
  <si>
    <t>FLAT NO 5</t>
  </si>
  <si>
    <t>FLAT NO 6</t>
  </si>
  <si>
    <t>FLAT NO 1,2,3</t>
  </si>
  <si>
    <t>FLAT 4,5 &amp; 6 LOBBY</t>
  </si>
  <si>
    <t>FLAT 1,2,3 LOBBY</t>
  </si>
  <si>
    <t>Fire s/case (1 No)</t>
  </si>
  <si>
    <t>9th RA</t>
  </si>
  <si>
    <t>SLAB AT GROUND FLOOR LVL (1-22/A-Q)</t>
  </si>
  <si>
    <t>12.02.2026</t>
  </si>
  <si>
    <t>9TH RA</t>
  </si>
  <si>
    <t>FLAT 4,5 &amp;6 LOBBY</t>
  </si>
  <si>
    <t>1ST FLOOR LVL SLAB (1-22/A-Q)</t>
  </si>
  <si>
    <t>S 19 Living Room</t>
  </si>
  <si>
    <t>COLUMN 1ST TO 2ND FLOOR LVL (1-43/A-Q)</t>
  </si>
  <si>
    <t>COLUMN</t>
  </si>
  <si>
    <t>01.02.2026</t>
  </si>
  <si>
    <t xml:space="preserve">TOWER-E 1ST FLOOR </t>
  </si>
  <si>
    <t>02.02.2026</t>
  </si>
  <si>
    <t>09.02.2026</t>
  </si>
  <si>
    <t>UP70AT2013</t>
  </si>
  <si>
    <t>10.02.2026</t>
  </si>
  <si>
    <t>UP70AT2342</t>
  </si>
  <si>
    <t>UP70AT2015</t>
  </si>
  <si>
    <t>05.02.2026</t>
  </si>
  <si>
    <t>06.02.2026</t>
  </si>
  <si>
    <t>07.02.2026</t>
  </si>
  <si>
    <t>UP70AT2014</t>
  </si>
</sst>
</file>

<file path=xl/styles.xml><?xml version="1.0" encoding="utf-8"?>
<styleSheet xmlns="http://schemas.openxmlformats.org/spreadsheetml/2006/main" xmlns:mc="http://schemas.openxmlformats.org/markup-compatibility/2006" xmlns:x14ac="http://schemas.microsoft.com/office/spreadsheetml/2009/9/ac" mc:Ignorable="x14ac">
  <numFmts count="34">
    <numFmt numFmtId="44" formatCode="_ &quot;₹&quot;\ * #,##0.00_ ;_ &quot;₹&quot;\ * \-#,##0.00_ ;_ &quot;₹&quot;\ * &quot;-&quot;??_ ;_ @_ "/>
    <numFmt numFmtId="43" formatCode="_ * #,##0.00_ ;_ * \-#,##0.00_ ;_ * &quot;-&quot;??_ ;_ @_ "/>
    <numFmt numFmtId="164" formatCode="_(* #,##0_);_(* \(#,##0\);_(* &quot;-&quot;_);_(@_)"/>
    <numFmt numFmtId="165" formatCode="_(* #,##0.00_);_(* \(#,##0.00\);_(* &quot;-&quot;??_);_(@_)"/>
    <numFmt numFmtId="166" formatCode="_(* #,##0.00_);_(* \(#,##0.00\);_(* &quot;-&quot;_);_(@_)"/>
    <numFmt numFmtId="167" formatCode="_(* #,##0_);_(* \(#,##0\);_(* &quot;-&quot;??_);_(@_)"/>
    <numFmt numFmtId="168" formatCode="_ * #,##0_ ;_ * \-#,##0_ ;_ * &quot;-&quot;??_ ;_ @_ "/>
    <numFmt numFmtId="169" formatCode="0.000"/>
    <numFmt numFmtId="170" formatCode="_-* #,##0.00_-;\-* #,##0.00_-;_-* &quot;-&quot;??_-;_-@_-"/>
    <numFmt numFmtId="171" formatCode="0.0"/>
    <numFmt numFmtId="172" formatCode="_([$€-2]* #,##0.00_);_([$€-2]* \(#,##0.00\);_([$€-2]* &quot;-&quot;??_)"/>
    <numFmt numFmtId="173" formatCode="[$-409]d\-mmm\-yy;@"/>
    <numFmt numFmtId="174" formatCode="[$-14009]dd\-mm\-yyyy;@"/>
    <numFmt numFmtId="175" formatCode="_(* #,##0_);_(* \(#,##0\);_(* &quot;-&quot;?????_);_(@_)"/>
    <numFmt numFmtId="176" formatCode="&quot;@&quot;&quot;#&quot;\,&quot;#&quot;&quot;#&quot;&quot;#&quot;&quot;&lt;&quot;"/>
    <numFmt numFmtId="177" formatCode="&quot;&lt;&quot;0"/>
    <numFmt numFmtId="178" formatCode="#,##0;\-#,##0;&quot;-&quot;"/>
    <numFmt numFmtId="179" formatCode="_(* #,##0.000_);_(* \(#,##0.000\);_(* &quot;-&quot;??_);_(@_)"/>
    <numFmt numFmtId="180" formatCode="&quot; &quot;#,##0.00&quot; &quot;;&quot; (&quot;#,##0.00&quot;)&quot;;&quot; -&quot;#&quot; &quot;;&quot; &quot;@&quot; &quot;"/>
    <numFmt numFmtId="181" formatCode="0###0"/>
    <numFmt numFmtId="182" formatCode="m\o\n\th\ d\,\ yyyy"/>
    <numFmt numFmtId="183" formatCode="#,##0_);[Red]\(#,##0\);;@"/>
    <numFmt numFmtId="184" formatCode="&quot;@&quot;0.0"/>
    <numFmt numFmtId="185" formatCode="#.00"/>
    <numFmt numFmtId="186" formatCode="General\ ;[Red]\(General\)"/>
    <numFmt numFmtId="187" formatCode="#."/>
    <numFmt numFmtId="188" formatCode="#,##0;[Red]#,##0"/>
    <numFmt numFmtId="189" formatCode="[$$-409]#,##0.00;[Red]&quot;-&quot;[$$-409]#,##0.00"/>
    <numFmt numFmtId="190" formatCode="mm/dd/yy"/>
    <numFmt numFmtId="191" formatCode="#,##0_);[Red]\(#,##0\);0_);@"/>
    <numFmt numFmtId="192" formatCode="0##0"/>
    <numFmt numFmtId="193" formatCode="0.00_)"/>
    <numFmt numFmtId="194" formatCode="[$-14009]dd/mm/yyyy;@"/>
    <numFmt numFmtId="195" formatCode="#,##0.000000000"/>
  </numFmts>
  <fonts count="97">
    <font>
      <sz val="11"/>
      <color theme="1"/>
      <name val="Calibri"/>
      <family val="2"/>
      <scheme val="minor"/>
    </font>
    <font>
      <sz val="11"/>
      <color theme="1"/>
      <name val="Calibri"/>
      <family val="2"/>
      <scheme val="minor"/>
    </font>
    <font>
      <sz val="16"/>
      <color theme="1"/>
      <name val="Calibri"/>
      <family val="2"/>
      <scheme val="minor"/>
    </font>
    <font>
      <b/>
      <sz val="16"/>
      <name val="Arial"/>
      <family val="2"/>
    </font>
    <font>
      <b/>
      <sz val="18"/>
      <name val="Calibri"/>
      <family val="2"/>
      <scheme val="minor"/>
    </font>
    <font>
      <b/>
      <sz val="26"/>
      <name val="Bodoni MT Black"/>
      <family val="1"/>
    </font>
    <font>
      <b/>
      <sz val="11"/>
      <name val="Bodoni MT Black"/>
      <family val="1"/>
    </font>
    <font>
      <sz val="12"/>
      <color theme="1"/>
      <name val="Calibri"/>
      <family val="2"/>
      <scheme val="minor"/>
    </font>
    <font>
      <sz val="10"/>
      <color theme="1"/>
      <name val="Calibri"/>
      <family val="2"/>
      <scheme val="minor"/>
    </font>
    <font>
      <b/>
      <sz val="16"/>
      <name val="Calibri"/>
      <family val="2"/>
      <scheme val="minor"/>
    </font>
    <font>
      <sz val="16"/>
      <name val="Arial"/>
      <family val="2"/>
    </font>
    <font>
      <b/>
      <sz val="16"/>
      <color theme="1"/>
      <name val="Calibri"/>
      <family val="2"/>
      <scheme val="minor"/>
    </font>
    <font>
      <sz val="10"/>
      <name val="Arial"/>
      <family val="2"/>
    </font>
    <font>
      <b/>
      <sz val="14"/>
      <name val="Calibri"/>
      <family val="2"/>
      <scheme val="minor"/>
    </font>
    <font>
      <sz val="11"/>
      <name val="Calibri"/>
      <family val="2"/>
    </font>
    <font>
      <b/>
      <sz val="10"/>
      <color rgb="FF000000"/>
      <name val="Calibri"/>
      <family val="2"/>
      <scheme val="minor"/>
    </font>
    <font>
      <sz val="11"/>
      <color rgb="FF000000"/>
      <name val="Calibri"/>
      <family val="2"/>
      <scheme val="minor"/>
    </font>
    <font>
      <b/>
      <sz val="9"/>
      <name val="Calibri"/>
      <family val="2"/>
      <scheme val="minor"/>
    </font>
    <font>
      <sz val="10"/>
      <color rgb="FF000000"/>
      <name val="Calibri"/>
      <family val="2"/>
      <scheme val="minor"/>
    </font>
    <font>
      <b/>
      <sz val="11"/>
      <color rgb="FF000000"/>
      <name val="Calibri"/>
      <family val="2"/>
      <scheme val="minor"/>
    </font>
    <font>
      <b/>
      <sz val="11"/>
      <color theme="1"/>
      <name val="Arial"/>
      <family val="2"/>
    </font>
    <font>
      <b/>
      <sz val="10"/>
      <color theme="1"/>
      <name val="Arial"/>
      <family val="2"/>
    </font>
    <font>
      <sz val="10"/>
      <color theme="1"/>
      <name val="Arial"/>
      <family val="2"/>
    </font>
    <font>
      <b/>
      <sz val="11"/>
      <color theme="1"/>
      <name val="Calibri"/>
      <family val="2"/>
      <scheme val="minor"/>
    </font>
    <font>
      <b/>
      <sz val="14"/>
      <color theme="1"/>
      <name val="Calibri"/>
      <family val="2"/>
      <scheme val="minor"/>
    </font>
    <font>
      <b/>
      <sz val="12"/>
      <color theme="1"/>
      <name val="Calibri"/>
      <family val="2"/>
      <scheme val="minor"/>
    </font>
    <font>
      <b/>
      <sz val="10"/>
      <color theme="1"/>
      <name val="Calibri"/>
      <family val="2"/>
      <scheme val="minor"/>
    </font>
    <font>
      <sz val="11"/>
      <name val="Arial"/>
      <family val="2"/>
    </font>
    <font>
      <sz val="11"/>
      <color indexed="8"/>
      <name val="Calibri"/>
      <family val="2"/>
    </font>
    <font>
      <sz val="10"/>
      <name val="Book Antiqua"/>
      <family val="1"/>
    </font>
    <font>
      <u/>
      <sz val="11"/>
      <color theme="10"/>
      <name val="Calibri"/>
      <family val="2"/>
    </font>
    <font>
      <u/>
      <sz val="10.8"/>
      <color theme="10"/>
      <name val="Calibri"/>
      <family val="2"/>
    </font>
    <font>
      <sz val="12"/>
      <name val="Arial Narrow"/>
      <family val="2"/>
    </font>
    <font>
      <b/>
      <sz val="12"/>
      <color indexed="8"/>
      <name val="Calibri"/>
      <family val="2"/>
    </font>
    <font>
      <sz val="12"/>
      <color theme="1"/>
      <name val="Calibri Light"/>
      <family val="1"/>
      <scheme val="major"/>
    </font>
    <font>
      <sz val="12"/>
      <color indexed="8"/>
      <name val="Calibri"/>
      <family val="2"/>
    </font>
    <font>
      <sz val="14"/>
      <color theme="1"/>
      <name val="Calibri"/>
      <family val="2"/>
      <scheme val="minor"/>
    </font>
    <font>
      <b/>
      <sz val="10"/>
      <name val="Arial"/>
      <family val="2"/>
    </font>
    <font>
      <b/>
      <sz val="11"/>
      <color indexed="8"/>
      <name val="Calibri"/>
      <family val="2"/>
    </font>
    <font>
      <b/>
      <sz val="12"/>
      <color rgb="FF000000"/>
      <name val="Calibri"/>
      <family val="2"/>
      <scheme val="minor"/>
    </font>
    <font>
      <b/>
      <sz val="18"/>
      <color theme="1"/>
      <name val="Calibri"/>
      <family val="2"/>
      <scheme val="minor"/>
    </font>
    <font>
      <b/>
      <sz val="22"/>
      <color theme="1"/>
      <name val="Calibri"/>
      <family val="2"/>
      <scheme val="minor"/>
    </font>
    <font>
      <sz val="12"/>
      <name val="Calibri"/>
      <family val="2"/>
      <scheme val="minor"/>
    </font>
    <font>
      <b/>
      <sz val="12"/>
      <name val="Calibri"/>
      <family val="2"/>
      <scheme val="minor"/>
    </font>
    <font>
      <sz val="10"/>
      <name val="Helv"/>
      <charset val="204"/>
    </font>
    <font>
      <b/>
      <sz val="14"/>
      <name val="Arial"/>
      <family val="2"/>
    </font>
    <font>
      <sz val="11"/>
      <color indexed="9"/>
      <name val="Calibri"/>
      <family val="2"/>
    </font>
    <font>
      <sz val="11"/>
      <color indexed="20"/>
      <name val="Calibri"/>
      <family val="2"/>
    </font>
    <font>
      <b/>
      <sz val="11"/>
      <color indexed="8"/>
      <name val="Arial"/>
      <family val="2"/>
    </font>
    <font>
      <sz val="12"/>
      <name val="Tms Rmn"/>
    </font>
    <font>
      <sz val="10"/>
      <color indexed="8"/>
      <name val="Arial"/>
      <family val="2"/>
    </font>
    <font>
      <b/>
      <sz val="11"/>
      <color indexed="52"/>
      <name val="Calibri"/>
      <family val="2"/>
    </font>
    <font>
      <sz val="8"/>
      <name val="Helvetica-Narrow"/>
    </font>
    <font>
      <b/>
      <sz val="11"/>
      <color indexed="9"/>
      <name val="Calibri"/>
      <family val="2"/>
    </font>
    <font>
      <sz val="11"/>
      <color theme="1"/>
      <name val="Arial"/>
      <family val="2"/>
    </font>
    <font>
      <sz val="10"/>
      <name val="Times New Roman"/>
      <family val="1"/>
    </font>
    <font>
      <sz val="10"/>
      <name val="MS Serif"/>
      <family val="1"/>
    </font>
    <font>
      <b/>
      <u/>
      <sz val="11"/>
      <name val="Times New Roman"/>
      <family val="1"/>
    </font>
    <font>
      <sz val="1"/>
      <color indexed="8"/>
      <name val="Courier"/>
      <family val="3"/>
    </font>
    <font>
      <sz val="10"/>
      <name val="Century Gothic"/>
      <family val="2"/>
    </font>
    <font>
      <sz val="10"/>
      <color indexed="16"/>
      <name val="MS Serif"/>
      <family val="1"/>
    </font>
    <font>
      <sz val="11"/>
      <color indexed="8"/>
      <name val="Calibri"/>
      <family val="2"/>
      <charset val="1"/>
    </font>
    <font>
      <sz val="11"/>
      <color rgb="FF000000"/>
      <name val="Calibri"/>
      <family val="2"/>
    </font>
    <font>
      <i/>
      <sz val="11"/>
      <color indexed="23"/>
      <name val="Calibri"/>
      <family val="2"/>
    </font>
    <font>
      <sz val="11"/>
      <color indexed="17"/>
      <name val="Calibri"/>
      <family val="2"/>
    </font>
    <font>
      <sz val="8"/>
      <name val="Arial"/>
      <family val="2"/>
    </font>
    <font>
      <b/>
      <sz val="10"/>
      <name val="Century Gothic"/>
      <family val="2"/>
    </font>
    <font>
      <b/>
      <sz val="12"/>
      <name val="Arial"/>
      <family val="2"/>
    </font>
    <font>
      <b/>
      <i/>
      <sz val="16"/>
      <color theme="1"/>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8.8000000000000007"/>
      <color theme="10"/>
      <name val="Calibri"/>
      <family val="2"/>
    </font>
    <font>
      <sz val="11"/>
      <color indexed="62"/>
      <name val="Calibri"/>
      <family val="2"/>
    </font>
    <font>
      <sz val="11"/>
      <color indexed="52"/>
      <name val="Calibri"/>
      <family val="2"/>
    </font>
    <font>
      <b/>
      <sz val="9"/>
      <name val="Arial"/>
      <family val="2"/>
    </font>
    <font>
      <sz val="10"/>
      <name val="Arabic Transparent"/>
    </font>
    <font>
      <sz val="11"/>
      <color indexed="60"/>
      <name val="Calibri"/>
      <family val="2"/>
    </font>
    <font>
      <sz val="12"/>
      <color indexed="8"/>
      <name val="Arial"/>
      <family val="2"/>
    </font>
    <font>
      <sz val="10"/>
      <name val="Courier"/>
      <family val="3"/>
    </font>
    <font>
      <sz val="10"/>
      <name val="Cambria"/>
      <family val="1"/>
    </font>
    <font>
      <b/>
      <sz val="11"/>
      <color indexed="63"/>
      <name val="Calibri"/>
      <family val="2"/>
    </font>
    <font>
      <b/>
      <i/>
      <u/>
      <sz val="11"/>
      <color theme="1"/>
      <name val="Arial"/>
      <family val="2"/>
    </font>
    <font>
      <sz val="8"/>
      <name val="Helv"/>
    </font>
    <font>
      <b/>
      <u/>
      <sz val="10"/>
      <color indexed="18"/>
      <name val="Century Gothic"/>
      <family val="2"/>
    </font>
    <font>
      <sz val="9"/>
      <name val="Arial"/>
      <family val="2"/>
    </font>
    <font>
      <b/>
      <sz val="12"/>
      <color indexed="18"/>
      <name val="Times New Roman"/>
      <family val="1"/>
    </font>
    <font>
      <b/>
      <sz val="12"/>
      <name val="Times New Roman"/>
      <family val="1"/>
    </font>
    <font>
      <b/>
      <sz val="18"/>
      <color indexed="56"/>
      <name val="Cambria"/>
      <family val="2"/>
    </font>
    <font>
      <b/>
      <i/>
      <sz val="12"/>
      <name val="Times New Roman"/>
      <family val="1"/>
    </font>
    <font>
      <sz val="11"/>
      <color indexed="10"/>
      <name val="Calibri"/>
      <family val="2"/>
    </font>
    <font>
      <sz val="10"/>
      <name val="ＭＳ ゴシック"/>
      <family val="3"/>
      <charset val="128"/>
    </font>
    <font>
      <sz val="12"/>
      <name val="Arial"/>
      <family val="2"/>
    </font>
    <font>
      <b/>
      <sz val="16"/>
      <name val="Calibri"/>
      <family val="2"/>
    </font>
    <font>
      <b/>
      <sz val="11"/>
      <name val="Calibri"/>
      <family val="2"/>
    </font>
    <font>
      <b/>
      <sz val="11"/>
      <color rgb="FF000000"/>
      <name val="Calibri"/>
      <family val="2"/>
    </font>
  </fonts>
  <fills count="4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indexed="1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9"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3"/>
        <bgColor indexed="9"/>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mediumGray">
        <fgColor indexed="22"/>
        <bgColor indexed="9"/>
      </patternFill>
    </fill>
    <fill>
      <patternFill patternType="solid">
        <fgColor theme="4" tint="0.39997558519241921"/>
        <bgColor indexed="64"/>
      </patternFill>
    </fill>
    <fill>
      <patternFill patternType="solid">
        <fgColor rgb="FF92D050"/>
        <bgColor indexed="64"/>
      </patternFill>
    </fill>
    <fill>
      <patternFill patternType="solid">
        <fgColor theme="5" tint="0.59999389629810485"/>
        <bgColor indexed="64"/>
      </patternFill>
    </fill>
    <fill>
      <patternFill patternType="solid">
        <fgColor rgb="FFFF99FF"/>
        <bgColor indexed="64"/>
      </patternFill>
    </fill>
  </fills>
  <borders count="49">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bottom style="thin">
        <color indexed="64"/>
      </bottom>
      <diagonal/>
    </border>
    <border diagonalUp="1" diagonalDown="1">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4"/>
      </left>
      <right/>
      <top style="double">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hair">
        <color indexed="64"/>
      </top>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style="thin">
        <color indexed="64"/>
      </left>
      <right style="medium">
        <color indexed="64"/>
      </right>
      <top style="thin">
        <color indexed="64"/>
      </top>
      <bottom/>
      <diagonal/>
    </border>
  </borders>
  <cellStyleXfs count="2880">
    <xf numFmtId="0" fontId="0" fillId="0" borderId="0"/>
    <xf numFmtId="165" fontId="1" fillId="0" borderId="0" applyFont="0" applyFill="0" applyBorder="0" applyAlignment="0" applyProtection="0"/>
    <xf numFmtId="0" fontId="1" fillId="0" borderId="0"/>
    <xf numFmtId="165" fontId="8" fillId="0" borderId="0" applyFont="0" applyFill="0" applyBorder="0" applyAlignment="0" applyProtection="0"/>
    <xf numFmtId="0" fontId="1" fillId="0" borderId="0"/>
    <xf numFmtId="0" fontId="1" fillId="0" borderId="0"/>
    <xf numFmtId="0" fontId="12" fillId="0" borderId="0"/>
    <xf numFmtId="0" fontId="12" fillId="0" borderId="0"/>
    <xf numFmtId="0" fontId="14" fillId="0" borderId="0">
      <alignment vertical="center"/>
    </xf>
    <xf numFmtId="165" fontId="12" fillId="0" borderId="0">
      <alignment vertical="top"/>
      <protection locked="0"/>
    </xf>
    <xf numFmtId="0" fontId="14" fillId="0" borderId="0">
      <protection locked="0"/>
    </xf>
    <xf numFmtId="43" fontId="12" fillId="0" borderId="0" applyFont="0" applyFill="0" applyBorder="0" applyAlignment="0" applyProtection="0"/>
    <xf numFmtId="170" fontId="12" fillId="0" borderId="0" applyFont="0" applyFill="0" applyBorder="0" applyAlignment="0" applyProtection="0"/>
    <xf numFmtId="43" fontId="28"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1"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2" fillId="0" borderId="0" applyFont="0" applyFill="0" applyBorder="0" applyAlignment="0" applyProtection="0"/>
    <xf numFmtId="172" fontId="29" fillId="0" borderId="0" applyFont="0" applyFill="0" applyBorder="0" applyAlignment="0" applyProtection="0"/>
    <xf numFmtId="0" fontId="30"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top"/>
    </xf>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2" fillId="0" borderId="0">
      <alignment vertical="top"/>
    </xf>
    <xf numFmtId="0" fontId="12" fillId="0" borderId="0">
      <alignment vertical="top"/>
    </xf>
    <xf numFmtId="0" fontId="12" fillId="0" borderId="0">
      <alignment vertical="top"/>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center" wrapText="1"/>
    </xf>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alignment horizontal="center" vertical="center" wrapText="1"/>
    </xf>
    <xf numFmtId="0" fontId="12" fillId="0" borderId="0"/>
    <xf numFmtId="0" fontId="12" fillId="0" borderId="0"/>
    <xf numFmtId="0" fontId="12" fillId="0" borderId="0"/>
    <xf numFmtId="0" fontId="3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1" fontId="12" fillId="8" borderId="0">
      <alignment horizontal="center" vertical="center" wrapText="1"/>
    </xf>
    <xf numFmtId="0" fontId="1" fillId="0" borderId="0"/>
    <xf numFmtId="0" fontId="1" fillId="0" borderId="0"/>
    <xf numFmtId="0" fontId="1" fillId="0" borderId="0"/>
    <xf numFmtId="0" fontId="1" fillId="0" borderId="0"/>
    <xf numFmtId="0" fontId="1" fillId="0" borderId="0"/>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0" fontId="12" fillId="0" borderId="0"/>
    <xf numFmtId="0" fontId="12" fillId="0" borderId="0"/>
    <xf numFmtId="0" fontId="12" fillId="0" borderId="0"/>
    <xf numFmtId="0" fontId="12" fillId="0" borderId="0"/>
    <xf numFmtId="1" fontId="12" fillId="8" borderId="0">
      <alignment horizontal="center" vertical="center" wrapText="1"/>
    </xf>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alignment vertical="center"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169" fontId="12" fillId="0" borderId="4" applyNumberFormat="0">
      <alignment vertical="center" wrapText="1"/>
    </xf>
    <xf numFmtId="0" fontId="1" fillId="0" borderId="0"/>
    <xf numFmtId="0" fontId="1" fillId="0" borderId="0"/>
    <xf numFmtId="0" fontId="1" fillId="0" borderId="0"/>
    <xf numFmtId="0" fontId="1" fillId="0" borderId="0"/>
    <xf numFmtId="0" fontId="12" fillId="0" borderId="0"/>
    <xf numFmtId="0" fontId="4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4" fillId="0" borderId="0"/>
    <xf numFmtId="0" fontId="12" fillId="0" borderId="0"/>
    <xf numFmtId="0" fontId="12" fillId="0" borderId="0"/>
    <xf numFmtId="0" fontId="12" fillId="0" borderId="0"/>
    <xf numFmtId="0" fontId="12" fillId="0" borderId="0"/>
    <xf numFmtId="175" fontId="45" fillId="0" borderId="0" applyFont="0" applyBorder="0" applyAlignment="0">
      <alignment horizontal="left" vertical="center"/>
    </xf>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176" fontId="12" fillId="0" borderId="0" applyFont="0" applyFill="0" applyBorder="0" applyProtection="0">
      <alignment vertical="center"/>
    </xf>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177" fontId="12" fillId="0" borderId="0" applyFont="0" applyFill="0" applyBorder="0" applyProtection="0">
      <alignment vertical="center"/>
    </xf>
    <xf numFmtId="2" fontId="48" fillId="0" borderId="0" applyNumberFormat="0" applyFont="0" applyAlignment="0">
      <alignment horizontal="center" vertical="center"/>
    </xf>
    <xf numFmtId="2" fontId="48" fillId="0" borderId="0">
      <alignment horizontal="center" vertical="center"/>
    </xf>
    <xf numFmtId="0" fontId="49" fillId="0" borderId="0" applyNumberFormat="0" applyFill="0" applyBorder="0" applyAlignment="0" applyProtection="0"/>
    <xf numFmtId="0" fontId="12" fillId="0" borderId="35" quotePrefix="1">
      <alignment horizontal="justify" vertical="justify" textRotation="127" wrapText="1" justifyLastLine="1"/>
      <protection hidden="1"/>
    </xf>
    <xf numFmtId="178" fontId="50" fillId="0" borderId="0" applyFill="0" applyBorder="0" applyAlignment="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2" fillId="0" borderId="0">
      <alignment vertical="center"/>
    </xf>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 fillId="0" borderId="0" applyFont="0" applyFill="0" applyBorder="0" applyAlignment="0" applyProtection="0"/>
    <xf numFmtId="43" fontId="22" fillId="0" borderId="0" applyFont="0" applyFill="0" applyBorder="0" applyAlignment="0" applyProtection="0"/>
    <xf numFmtId="165" fontId="1"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9" fontId="54" fillId="0" borderId="0"/>
    <xf numFmtId="170" fontId="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80" fontId="54" fillId="0" borderId="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54" fillId="0" borderId="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80" fontId="12" fillId="0" borderId="0" applyFont="0" applyFill="0" applyBorder="0" applyAlignment="0" applyProtection="0"/>
    <xf numFmtId="169"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80" fontId="54" fillId="0" borderId="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54" fillId="0" borderId="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0" fontId="56" fillId="0" borderId="0" applyNumberFormat="0" applyAlignment="0">
      <alignment horizontal="left"/>
    </xf>
    <xf numFmtId="181" fontId="57" fillId="32" borderId="0" applyFill="0">
      <alignment horizontal="left" vertical="top"/>
      <protection locked="0"/>
    </xf>
    <xf numFmtId="44" fontId="28" fillId="0" borderId="0" applyFont="0" applyFill="0" applyBorder="0" applyAlignment="0" applyProtection="0"/>
    <xf numFmtId="44" fontId="28" fillId="0" borderId="0" applyFont="0" applyFill="0" applyBorder="0" applyAlignment="0" applyProtection="0"/>
    <xf numFmtId="182" fontId="58" fillId="0" borderId="0">
      <protection locked="0"/>
    </xf>
    <xf numFmtId="183" fontId="59" fillId="0" borderId="0" applyFont="0" applyFill="0" applyBorder="0">
      <alignment horizontal="left" vertical="top" wrapText="1"/>
      <protection locked="0"/>
    </xf>
    <xf numFmtId="184" fontId="12" fillId="0" borderId="0" applyFont="0" applyFill="0" applyBorder="0" applyProtection="0">
      <alignment horizontal="left" vertical="center"/>
    </xf>
    <xf numFmtId="0" fontId="60" fillId="0" borderId="0" applyNumberFormat="0" applyAlignment="0">
      <alignment horizontal="left"/>
    </xf>
    <xf numFmtId="172" fontId="29" fillId="0" borderId="0" applyFont="0" applyFill="0" applyBorder="0" applyAlignment="0" applyProtection="0"/>
    <xf numFmtId="172" fontId="29" fillId="0" borderId="0" applyFont="0" applyFill="0" applyBorder="0" applyAlignment="0" applyProtection="0"/>
    <xf numFmtId="172" fontId="29" fillId="0" borderId="0" applyFont="0" applyFill="0" applyBorder="0" applyAlignment="0" applyProtection="0"/>
    <xf numFmtId="172" fontId="29" fillId="0" borderId="0" applyFont="0" applyFill="0" applyBorder="0" applyAlignment="0" applyProtection="0"/>
    <xf numFmtId="179" fontId="54" fillId="0" borderId="0"/>
    <xf numFmtId="179" fontId="54" fillId="0" borderId="0"/>
    <xf numFmtId="0" fontId="61" fillId="0" borderId="0"/>
    <xf numFmtId="0" fontId="62" fillId="0" borderId="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185" fontId="58" fillId="0" borderId="0">
      <protection locked="0"/>
    </xf>
    <xf numFmtId="186" fontId="59" fillId="0" borderId="0" applyFont="0">
      <alignment horizontal="left"/>
      <protection locked="0"/>
    </xf>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38" fontId="65" fillId="33" borderId="0" applyNumberFormat="0" applyBorder="0" applyAlignment="0" applyProtection="0"/>
    <xf numFmtId="181" fontId="66" fillId="0" borderId="0">
      <alignment horizontal="left"/>
    </xf>
    <xf numFmtId="0" fontId="67" fillId="0" borderId="33" applyNumberFormat="0" applyAlignment="0" applyProtection="0">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8" fillId="0" borderId="0">
      <alignment horizontal="center"/>
    </xf>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68" fillId="0" borderId="0">
      <alignment horizontal="center" textRotation="90"/>
    </xf>
    <xf numFmtId="187" fontId="72" fillId="0" borderId="0">
      <protection locked="0"/>
    </xf>
    <xf numFmtId="187" fontId="72" fillId="0" borderId="0">
      <protection locked="0"/>
    </xf>
    <xf numFmtId="0" fontId="73"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10" fontId="65" fillId="34" borderId="4" applyNumberFormat="0" applyBorder="0" applyAlignment="0" applyProtection="0"/>
    <xf numFmtId="10" fontId="65" fillId="34" borderId="4" applyNumberFormat="0" applyBorder="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184" fontId="12" fillId="0" borderId="0" applyFont="0" applyFill="0" applyBorder="0" applyProtection="0">
      <alignment horizontal="left" vertical="center"/>
    </xf>
    <xf numFmtId="181" fontId="59" fillId="0" borderId="0" applyFont="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12" fillId="0" borderId="0" applyFont="0" applyFill="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59" fillId="0" borderId="0" applyFont="0" applyFill="0" applyBorder="0">
      <alignment horizontal="left"/>
    </xf>
    <xf numFmtId="40" fontId="65" fillId="0" borderId="0" applyFont="0">
      <protection locked="0"/>
    </xf>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12" fillId="0" borderId="0" applyFont="0" applyFill="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59" fillId="0" borderId="0" applyFont="0" applyFill="0" applyBorder="0">
      <alignment horizontal="left"/>
    </xf>
    <xf numFmtId="181" fontId="59" fillId="0" borderId="0" applyFont="0" applyFill="0" applyBorder="0">
      <alignment horizontal="left"/>
    </xf>
    <xf numFmtId="183" fontId="76" fillId="0" borderId="0">
      <alignment horizontal="left" vertical="top"/>
      <protection locked="0"/>
    </xf>
    <xf numFmtId="183" fontId="65" fillId="0" borderId="0" applyFont="0"/>
    <xf numFmtId="181" fontId="59" fillId="0" borderId="0" applyFont="0" applyFill="0" applyBorder="0">
      <alignment horizontal="left"/>
    </xf>
    <xf numFmtId="0" fontId="77" fillId="0" borderId="42" applyNumberFormat="0">
      <alignment horizontal="right"/>
    </xf>
    <xf numFmtId="181" fontId="59" fillId="0" borderId="0" applyFont="0">
      <alignment horizontal="left"/>
    </xf>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188" fontId="79"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 fillId="0" borderId="0"/>
    <xf numFmtId="0" fontId="12" fillId="0" borderId="0"/>
    <xf numFmtId="0" fontId="12" fillId="0" borderId="0"/>
    <xf numFmtId="0" fontId="12" fillId="0" borderId="0"/>
    <xf numFmtId="0" fontId="1" fillId="0" borderId="0"/>
    <xf numFmtId="0" fontId="62" fillId="0" borderId="0">
      <protection locked="0"/>
    </xf>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29" fillId="0" borderId="0"/>
    <xf numFmtId="0" fontId="1" fillId="0" borderId="0"/>
    <xf numFmtId="0" fontId="12" fillId="0" borderId="0"/>
    <xf numFmtId="0" fontId="12" fillId="0" borderId="0"/>
    <xf numFmtId="0" fontId="1"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alignment vertical="center"/>
    </xf>
    <xf numFmtId="0" fontId="1" fillId="0" borderId="0"/>
    <xf numFmtId="0" fontId="12"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alignment vertical="top"/>
    </xf>
    <xf numFmtId="0" fontId="28" fillId="0" borderId="0">
      <alignment vertical="center"/>
    </xf>
    <xf numFmtId="0" fontId="28" fillId="0" borderId="0">
      <protection locked="0"/>
    </xf>
    <xf numFmtId="0" fontId="28"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2" fillId="0" borderId="0">
      <alignment vertical="center"/>
    </xf>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0"/>
    <xf numFmtId="0" fontId="28" fillId="0" borderId="0"/>
    <xf numFmtId="0" fontId="28" fillId="0" borderId="0"/>
    <xf numFmtId="0" fontId="80" fillId="0" borderId="0"/>
    <xf numFmtId="0" fontId="55" fillId="0" borderId="0"/>
    <xf numFmtId="0" fontId="81" fillId="0" borderId="0"/>
    <xf numFmtId="0" fontId="12"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 fillId="0" borderId="0"/>
    <xf numFmtId="0" fontId="1" fillId="0" borderId="0"/>
    <xf numFmtId="0" fontId="29"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186" fontId="65" fillId="0" borderId="0" applyFont="0">
      <protection locked="0"/>
    </xf>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12" fillId="0" borderId="0">
      <alignment vertical="top" wrapText="1"/>
    </xf>
    <xf numFmtId="10"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40" fontId="59" fillId="0" borderId="0" applyFont="0">
      <protection locked="0"/>
    </xf>
    <xf numFmtId="40" fontId="66" fillId="0" borderId="0" applyFont="0">
      <protection locked="0"/>
    </xf>
    <xf numFmtId="0" fontId="83" fillId="0" borderId="0"/>
    <xf numFmtId="189" fontId="83" fillId="0" borderId="0"/>
    <xf numFmtId="190" fontId="84" fillId="0" borderId="0" applyNumberFormat="0" applyFill="0" applyBorder="0" applyAlignment="0" applyProtection="0">
      <alignment horizontal="left"/>
    </xf>
    <xf numFmtId="183" fontId="85" fillId="0" borderId="0" applyFont="0">
      <alignment horizontal="left"/>
    </xf>
    <xf numFmtId="0" fontId="50" fillId="0" borderId="0">
      <alignment vertical="top"/>
    </xf>
    <xf numFmtId="0" fontId="50" fillId="0" borderId="0">
      <alignment vertical="top"/>
    </xf>
    <xf numFmtId="183" fontId="86" fillId="0" borderId="0">
      <alignment horizontal="right" vertical="top"/>
      <protection locked="0"/>
    </xf>
    <xf numFmtId="0" fontId="87" fillId="0" borderId="0" applyNumberFormat="0" applyProtection="0">
      <alignment wrapText="1"/>
      <protection locked="0"/>
    </xf>
    <xf numFmtId="191" fontId="88" fillId="0" borderId="45">
      <alignment vertical="center"/>
    </xf>
    <xf numFmtId="183" fontId="59" fillId="0" borderId="0" applyFont="0">
      <protection locked="0"/>
    </xf>
    <xf numFmtId="183" fontId="59" fillId="0" borderId="0" applyFill="0" applyProtection="0">
      <protection locked="0"/>
    </xf>
    <xf numFmtId="181" fontId="86" fillId="37" borderId="0" applyNumberFormat="0" applyAlignment="0">
      <alignment horizontal="left" vertical="top"/>
    </xf>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181" fontId="90" fillId="0" borderId="17" applyNumberFormat="0" applyFill="0" applyProtection="0">
      <alignment horizontal="center"/>
    </xf>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183" fontId="66" fillId="0" borderId="0"/>
    <xf numFmtId="192" fontId="59" fillId="0" borderId="0" applyFill="0">
      <alignment horizontal="center"/>
    </xf>
    <xf numFmtId="183" fontId="59" fillId="0" borderId="0" applyFont="0">
      <alignment horizontal="center"/>
      <protection locked="0"/>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2" fillId="0" borderId="0"/>
  </cellStyleXfs>
  <cellXfs count="827">
    <xf numFmtId="0" fontId="0" fillId="0" borderId="0" xfId="0"/>
    <xf numFmtId="0" fontId="6" fillId="0" borderId="4" xfId="2" applyFont="1" applyBorder="1" applyAlignment="1">
      <alignment vertical="top" wrapText="1"/>
    </xf>
    <xf numFmtId="0" fontId="7" fillId="0" borderId="0" xfId="2" applyFont="1"/>
    <xf numFmtId="0" fontId="4" fillId="0" borderId="5" xfId="2" applyFont="1" applyBorder="1" applyAlignment="1">
      <alignment vertical="center"/>
    </xf>
    <xf numFmtId="0" fontId="4" fillId="0" borderId="6" xfId="2" applyFont="1" applyBorder="1" applyAlignment="1">
      <alignment vertical="center"/>
    </xf>
    <xf numFmtId="167" fontId="4" fillId="0" borderId="4" xfId="3" applyNumberFormat="1" applyFont="1" applyFill="1" applyBorder="1" applyAlignment="1">
      <alignment horizontal="center" vertical="center"/>
    </xf>
    <xf numFmtId="0" fontId="2" fillId="0" borderId="0" xfId="0" applyFont="1"/>
    <xf numFmtId="10" fontId="4" fillId="0" borderId="4" xfId="4" applyNumberFormat="1" applyFont="1" applyFill="1" applyBorder="1" applyAlignment="1">
      <alignment horizontal="right" vertical="center"/>
    </xf>
    <xf numFmtId="0" fontId="9" fillId="0" borderId="4" xfId="0" applyFont="1" applyFill="1" applyBorder="1" applyAlignment="1">
      <alignment horizontal="center" vertical="center"/>
    </xf>
    <xf numFmtId="0" fontId="9" fillId="0" borderId="4" xfId="0" applyFont="1" applyFill="1" applyBorder="1" applyAlignment="1">
      <alignment horizontal="center" vertical="center" wrapText="1"/>
    </xf>
    <xf numFmtId="0" fontId="3" fillId="0" borderId="4" xfId="2" applyFont="1" applyBorder="1" applyAlignment="1">
      <alignment horizontal="center" vertical="center"/>
    </xf>
    <xf numFmtId="0" fontId="3" fillId="0" borderId="4" xfId="2" applyFont="1" applyBorder="1" applyAlignment="1">
      <alignment vertical="center" wrapText="1"/>
    </xf>
    <xf numFmtId="1" fontId="3" fillId="0" borderId="4" xfId="2" applyNumberFormat="1" applyFont="1" applyBorder="1" applyAlignment="1">
      <alignment horizontal="center" vertical="center"/>
    </xf>
    <xf numFmtId="168" fontId="3" fillId="0" borderId="4" xfId="1" applyNumberFormat="1" applyFont="1" applyBorder="1" applyAlignment="1">
      <alignment vertical="center"/>
    </xf>
    <xf numFmtId="168" fontId="3" fillId="0" borderId="4" xfId="2" applyNumberFormat="1" applyFont="1" applyBorder="1" applyAlignment="1">
      <alignment vertical="center"/>
    </xf>
    <xf numFmtId="0" fontId="2" fillId="0" borderId="0" xfId="2" applyFont="1"/>
    <xf numFmtId="168" fontId="2" fillId="0" borderId="0" xfId="2" applyNumberFormat="1" applyFont="1"/>
    <xf numFmtId="0" fontId="3" fillId="0" borderId="4" xfId="2" applyFont="1" applyBorder="1" applyAlignment="1">
      <alignment vertical="center"/>
    </xf>
    <xf numFmtId="165" fontId="2" fillId="0" borderId="0" xfId="2" applyNumberFormat="1" applyFont="1"/>
    <xf numFmtId="0" fontId="3" fillId="0" borderId="4" xfId="2" applyFont="1" applyBorder="1" applyAlignment="1">
      <alignment horizontal="left" vertical="center" wrapText="1"/>
    </xf>
    <xf numFmtId="167" fontId="3" fillId="0" borderId="4" xfId="1" applyNumberFormat="1" applyFont="1" applyBorder="1" applyAlignment="1">
      <alignment vertical="center"/>
    </xf>
    <xf numFmtId="0" fontId="10" fillId="0" borderId="4" xfId="2" applyFont="1" applyBorder="1" applyAlignment="1">
      <alignment vertical="center" wrapText="1"/>
    </xf>
    <xf numFmtId="1" fontId="3" fillId="0" borderId="4" xfId="2" applyNumberFormat="1" applyFont="1" applyBorder="1" applyAlignment="1">
      <alignment vertical="center"/>
    </xf>
    <xf numFmtId="168" fontId="10" fillId="0" borderId="4" xfId="1" applyNumberFormat="1" applyFont="1" applyBorder="1" applyAlignment="1">
      <alignment vertical="center"/>
    </xf>
    <xf numFmtId="0" fontId="11" fillId="0" borderId="12" xfId="0" applyFont="1" applyBorder="1" applyAlignment="1">
      <alignment horizontal="left" vertical="center"/>
    </xf>
    <xf numFmtId="0" fontId="11" fillId="0" borderId="15" xfId="0" applyFont="1" applyBorder="1" applyAlignment="1">
      <alignment horizontal="left" vertical="center"/>
    </xf>
    <xf numFmtId="0" fontId="4" fillId="0" borderId="7" xfId="4" applyFont="1" applyFill="1" applyBorder="1" applyAlignment="1">
      <alignment vertical="center"/>
    </xf>
    <xf numFmtId="0" fontId="0" fillId="0" borderId="0" xfId="0" applyBorder="1"/>
    <xf numFmtId="167" fontId="2" fillId="0" borderId="0" xfId="2" applyNumberFormat="1" applyFont="1"/>
    <xf numFmtId="0" fontId="15" fillId="4" borderId="4" xfId="8" applyFont="1" applyFill="1" applyBorder="1" applyAlignment="1">
      <alignment horizontal="center" vertical="top"/>
    </xf>
    <xf numFmtId="0" fontId="16" fillId="0" borderId="0" xfId="8" applyFont="1" applyAlignment="1">
      <alignment vertical="top"/>
    </xf>
    <xf numFmtId="0" fontId="15" fillId="4" borderId="3" xfId="8" applyFont="1" applyFill="1" applyBorder="1" applyAlignment="1">
      <alignment horizontal="center" vertical="top"/>
    </xf>
    <xf numFmtId="0" fontId="18" fillId="4" borderId="4" xfId="8" applyFont="1" applyFill="1" applyBorder="1" applyAlignment="1">
      <alignment horizontal="center" vertical="top"/>
    </xf>
    <xf numFmtId="0" fontId="15" fillId="4" borderId="4" xfId="8" applyFont="1" applyFill="1" applyBorder="1" applyAlignment="1">
      <alignment horizontal="justify" vertical="top"/>
    </xf>
    <xf numFmtId="0" fontId="18" fillId="4" borderId="3" xfId="8" applyFont="1" applyFill="1" applyBorder="1" applyAlignment="1">
      <alignment horizontal="center" vertical="top"/>
    </xf>
    <xf numFmtId="0" fontId="18" fillId="4" borderId="3" xfId="8" applyFont="1" applyFill="1" applyBorder="1" applyAlignment="1">
      <alignment horizontal="justify" vertical="top" wrapText="1"/>
    </xf>
    <xf numFmtId="0" fontId="18" fillId="4" borderId="2" xfId="8" applyFont="1" applyFill="1" applyBorder="1" applyAlignment="1">
      <alignment horizontal="center" vertical="top"/>
    </xf>
    <xf numFmtId="0" fontId="18" fillId="4" borderId="2" xfId="8" applyFont="1" applyFill="1" applyBorder="1" applyAlignment="1">
      <alignment horizontal="justify" vertical="top"/>
    </xf>
    <xf numFmtId="0" fontId="18" fillId="4" borderId="4" xfId="8" applyFont="1" applyFill="1" applyBorder="1" applyAlignment="1">
      <alignment horizontal="justify" vertical="top" wrapText="1"/>
    </xf>
    <xf numFmtId="0" fontId="18" fillId="4" borderId="4" xfId="8" applyFont="1" applyFill="1" applyBorder="1" applyAlignment="1">
      <alignment horizontal="justify" vertical="top"/>
    </xf>
    <xf numFmtId="0" fontId="16" fillId="0" borderId="4" xfId="8" applyFont="1" applyBorder="1" applyAlignment="1">
      <alignment vertical="top"/>
    </xf>
    <xf numFmtId="0" fontId="18" fillId="4" borderId="2" xfId="8" applyFont="1" applyFill="1" applyBorder="1" applyAlignment="1">
      <alignment horizontal="justify" vertical="top" wrapText="1"/>
    </xf>
    <xf numFmtId="166" fontId="17" fillId="2" borderId="4" xfId="0" applyNumberFormat="1" applyFont="1" applyFill="1" applyBorder="1" applyAlignment="1">
      <alignment horizontal="center" vertical="center"/>
    </xf>
    <xf numFmtId="0" fontId="16" fillId="0" borderId="0" xfId="8" applyFont="1" applyAlignment="1">
      <alignment horizontal="center" vertical="center"/>
    </xf>
    <xf numFmtId="0" fontId="15" fillId="4" borderId="4" xfId="8" applyFont="1" applyFill="1" applyBorder="1" applyAlignment="1">
      <alignment horizontal="center" vertical="center"/>
    </xf>
    <xf numFmtId="0" fontId="18" fillId="4" borderId="2" xfId="8" applyFont="1" applyFill="1" applyBorder="1" applyAlignment="1">
      <alignment horizontal="center" vertical="center"/>
    </xf>
    <xf numFmtId="0" fontId="16" fillId="0" borderId="4" xfId="8" applyFont="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4" fontId="15" fillId="4" borderId="4" xfId="8" applyNumberFormat="1" applyFont="1" applyFill="1" applyBorder="1" applyAlignment="1">
      <alignment horizontal="center" vertical="center"/>
    </xf>
    <xf numFmtId="0" fontId="15" fillId="4" borderId="3" xfId="8" applyFont="1" applyFill="1" applyBorder="1" applyAlignment="1">
      <alignment horizontal="center" vertical="center"/>
    </xf>
    <xf numFmtId="1" fontId="15" fillId="4" borderId="3" xfId="8" applyNumberFormat="1" applyFont="1" applyFill="1" applyBorder="1" applyAlignment="1">
      <alignment horizontal="center" vertical="center"/>
    </xf>
    <xf numFmtId="3" fontId="15" fillId="4" borderId="3" xfId="8" applyNumberFormat="1" applyFont="1" applyFill="1" applyBorder="1" applyAlignment="1">
      <alignment horizontal="center" vertical="center"/>
    </xf>
    <xf numFmtId="0" fontId="19" fillId="0" borderId="4" xfId="8" applyFont="1" applyBorder="1" applyAlignment="1">
      <alignment horizontal="center" vertical="center"/>
    </xf>
    <xf numFmtId="1" fontId="19" fillId="0" borderId="4" xfId="8" applyNumberFormat="1" applyFont="1" applyBorder="1" applyAlignment="1">
      <alignment horizontal="center" vertical="center"/>
    </xf>
    <xf numFmtId="3" fontId="19" fillId="0" borderId="4" xfId="8" applyNumberFormat="1" applyFont="1" applyBorder="1" applyAlignment="1">
      <alignment horizontal="center" vertical="center"/>
    </xf>
    <xf numFmtId="3" fontId="16" fillId="0" borderId="0" xfId="8" applyNumberFormat="1" applyFont="1" applyAlignment="1">
      <alignment horizontal="center" vertical="center"/>
    </xf>
    <xf numFmtId="0" fontId="13" fillId="0" borderId="4" xfId="4" applyFont="1" applyFill="1" applyBorder="1" applyAlignment="1">
      <alignment vertical="center" wrapText="1"/>
    </xf>
    <xf numFmtId="0" fontId="22" fillId="0" borderId="0" xfId="0" applyFont="1" applyBorder="1"/>
    <xf numFmtId="0" fontId="22" fillId="0" borderId="0" xfId="0" applyFont="1" applyBorder="1" applyAlignment="1">
      <alignment vertical="center"/>
    </xf>
    <xf numFmtId="164" fontId="22" fillId="0" borderId="0" xfId="0" applyNumberFormat="1" applyFont="1" applyBorder="1" applyAlignment="1">
      <alignment vertical="center"/>
    </xf>
    <xf numFmtId="0" fontId="22" fillId="0" borderId="0" xfId="0" applyFont="1" applyBorder="1" applyAlignment="1">
      <alignment horizontal="center" vertical="center"/>
    </xf>
    <xf numFmtId="0" fontId="21" fillId="0" borderId="0" xfId="0" applyFont="1" applyBorder="1" applyAlignment="1">
      <alignment horizontal="left" vertical="center"/>
    </xf>
    <xf numFmtId="165" fontId="22" fillId="0" borderId="0" xfId="0" applyNumberFormat="1" applyFont="1" applyBorder="1" applyAlignment="1">
      <alignment horizontal="center" vertical="center"/>
    </xf>
    <xf numFmtId="10" fontId="16" fillId="0" borderId="4" xfId="8" applyNumberFormat="1" applyFont="1" applyBorder="1" applyAlignment="1">
      <alignment horizontal="center" vertical="center"/>
    </xf>
    <xf numFmtId="10" fontId="16" fillId="0" borderId="0" xfId="8" applyNumberFormat="1" applyFont="1" applyAlignment="1">
      <alignment horizontal="center" vertical="center"/>
    </xf>
    <xf numFmtId="0" fontId="23" fillId="0" borderId="16" xfId="0" applyFont="1" applyBorder="1"/>
    <xf numFmtId="0" fontId="0" fillId="0" borderId="17" xfId="0" applyBorder="1"/>
    <xf numFmtId="0" fontId="0" fillId="0" borderId="18" xfId="0" applyBorder="1"/>
    <xf numFmtId="0" fontId="23" fillId="0" borderId="19" xfId="0" applyFont="1" applyBorder="1"/>
    <xf numFmtId="0" fontId="0" fillId="0" borderId="20" xfId="0" applyBorder="1"/>
    <xf numFmtId="0" fontId="0" fillId="0" borderId="19" xfId="0" applyBorder="1" applyAlignment="1">
      <alignment horizontal="center" vertical="center"/>
    </xf>
    <xf numFmtId="0" fontId="0" fillId="0" borderId="0" xfId="0" applyBorder="1" applyAlignment="1">
      <alignment horizontal="center" vertical="center"/>
    </xf>
    <xf numFmtId="0" fontId="0" fillId="0" borderId="20" xfId="0" applyBorder="1" applyAlignment="1">
      <alignment horizontal="center" vertical="center"/>
    </xf>
    <xf numFmtId="0" fontId="23" fillId="0" borderId="4" xfId="0" applyFont="1" applyBorder="1" applyAlignment="1">
      <alignment horizontal="center" vertical="center" wrapText="1"/>
    </xf>
    <xf numFmtId="0" fontId="0" fillId="0" borderId="21" xfId="0" applyBorder="1" applyAlignment="1">
      <alignment horizontal="center" vertical="center" wrapText="1"/>
    </xf>
    <xf numFmtId="0" fontId="23" fillId="5" borderId="4" xfId="0" applyFont="1" applyFill="1" applyBorder="1" applyAlignment="1">
      <alignment horizontal="center" vertical="center" wrapText="1"/>
    </xf>
    <xf numFmtId="0" fontId="0" fillId="0" borderId="4" xfId="0" applyBorder="1" applyAlignment="1">
      <alignment horizontal="center" vertical="center" wrapText="1"/>
    </xf>
    <xf numFmtId="0" fontId="0" fillId="0" borderId="22" xfId="0" applyBorder="1" applyAlignment="1">
      <alignment horizontal="center" vertical="center" wrapText="1"/>
    </xf>
    <xf numFmtId="169" fontId="0" fillId="0" borderId="4" xfId="0" applyNumberFormat="1" applyBorder="1" applyAlignment="1">
      <alignment horizontal="center" vertical="center" wrapText="1"/>
    </xf>
    <xf numFmtId="2" fontId="0" fillId="0" borderId="4" xfId="0" applyNumberFormat="1" applyBorder="1" applyAlignment="1">
      <alignment horizontal="center" vertical="center" wrapText="1"/>
    </xf>
    <xf numFmtId="0" fontId="23" fillId="3" borderId="4" xfId="0" applyFont="1" applyFill="1" applyBorder="1" applyAlignment="1">
      <alignment horizontal="center" vertical="center" wrapText="1"/>
    </xf>
    <xf numFmtId="2" fontId="23" fillId="3" borderId="4" xfId="0" applyNumberFormat="1" applyFont="1" applyFill="1"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0" xfId="0" applyAlignment="1">
      <alignment horizontal="center" vertical="center"/>
    </xf>
    <xf numFmtId="0" fontId="24" fillId="0" borderId="0" xfId="0" applyFont="1" applyAlignment="1">
      <alignment vertical="center"/>
    </xf>
    <xf numFmtId="0" fontId="23" fillId="0" borderId="0" xfId="0" applyFont="1" applyAlignment="1">
      <alignment vertical="center"/>
    </xf>
    <xf numFmtId="0" fontId="25" fillId="0" borderId="0" xfId="0" applyFont="1" applyAlignment="1">
      <alignment horizontal="center" vertical="center"/>
    </xf>
    <xf numFmtId="0" fontId="23" fillId="6" borderId="3" xfId="0" applyFont="1" applyFill="1" applyBorder="1" applyAlignment="1">
      <alignment horizontal="center" vertical="center"/>
    </xf>
    <xf numFmtId="0" fontId="23" fillId="6" borderId="3" xfId="0" applyFont="1" applyFill="1" applyBorder="1" applyAlignment="1">
      <alignment horizontal="center" vertical="center" wrapText="1"/>
    </xf>
    <xf numFmtId="0" fontId="23" fillId="0" borderId="1" xfId="0" applyFont="1" applyBorder="1" applyAlignment="1">
      <alignment horizontal="center" vertical="center"/>
    </xf>
    <xf numFmtId="0" fontId="23" fillId="7" borderId="1" xfId="0" applyFont="1" applyFill="1" applyBorder="1"/>
    <xf numFmtId="0" fontId="0" fillId="0" borderId="11" xfId="0" applyBorder="1"/>
    <xf numFmtId="0" fontId="8" fillId="0" borderId="0" xfId="0" applyFont="1" applyBorder="1" applyAlignment="1">
      <alignment horizontal="center"/>
    </xf>
    <xf numFmtId="0" fontId="8" fillId="0" borderId="0" xfId="0" applyFont="1" applyBorder="1" applyAlignment="1">
      <alignment horizontal="left"/>
    </xf>
    <xf numFmtId="0" fontId="26" fillId="0" borderId="1" xfId="0" applyFont="1" applyBorder="1" applyAlignment="1">
      <alignment horizontal="center"/>
    </xf>
    <xf numFmtId="0" fontId="23" fillId="0" borderId="1" xfId="0" applyFont="1" applyBorder="1" applyAlignment="1">
      <alignment horizontal="center"/>
    </xf>
    <xf numFmtId="0" fontId="0" fillId="0" borderId="1" xfId="0" applyBorder="1" applyAlignment="1">
      <alignment horizontal="center"/>
    </xf>
    <xf numFmtId="0" fontId="0" fillId="0" borderId="1" xfId="0" applyFont="1" applyBorder="1" applyAlignment="1">
      <alignment horizontal="center"/>
    </xf>
    <xf numFmtId="2" fontId="0" fillId="0" borderId="1" xfId="0" applyNumberFormat="1" applyBorder="1" applyAlignment="1">
      <alignment horizontal="center"/>
    </xf>
    <xf numFmtId="0" fontId="23" fillId="2" borderId="1" xfId="0" applyFont="1" applyFill="1" applyBorder="1" applyAlignment="1">
      <alignment horizontal="center" vertical="center"/>
    </xf>
    <xf numFmtId="0" fontId="23" fillId="3" borderId="1" xfId="0" applyFont="1" applyFill="1" applyBorder="1"/>
    <xf numFmtId="169" fontId="27" fillId="2" borderId="26" xfId="0" applyNumberFormat="1" applyFont="1" applyFill="1" applyBorder="1" applyAlignment="1">
      <alignment vertical="center" wrapText="1"/>
    </xf>
    <xf numFmtId="0" fontId="0" fillId="0" borderId="1" xfId="0" applyBorder="1"/>
    <xf numFmtId="0" fontId="23" fillId="0" borderId="1" xfId="0" applyFont="1" applyBorder="1"/>
    <xf numFmtId="169" fontId="0" fillId="0" borderId="11" xfId="0" applyNumberFormat="1" applyBorder="1"/>
    <xf numFmtId="169" fontId="26" fillId="0" borderId="1" xfId="0" applyNumberFormat="1" applyFont="1" applyBorder="1" applyAlignment="1">
      <alignment horizontal="center"/>
    </xf>
    <xf numFmtId="169" fontId="0" fillId="0" borderId="0" xfId="0" applyNumberFormat="1" applyFont="1" applyBorder="1" applyAlignment="1">
      <alignment horizontal="center"/>
    </xf>
    <xf numFmtId="169" fontId="0" fillId="0" borderId="1" xfId="0" applyNumberFormat="1" applyBorder="1" applyAlignment="1">
      <alignment horizontal="center" wrapText="1"/>
    </xf>
    <xf numFmtId="1" fontId="0" fillId="0" borderId="1" xfId="0" applyNumberFormat="1" applyBorder="1" applyAlignment="1">
      <alignment horizontal="center"/>
    </xf>
    <xf numFmtId="169" fontId="0" fillId="0" borderId="1" xfId="0" applyNumberFormat="1" applyBorder="1" applyAlignment="1">
      <alignment horizontal="center"/>
    </xf>
    <xf numFmtId="0" fontId="0" fillId="0" borderId="1" xfId="0" applyFont="1" applyBorder="1"/>
    <xf numFmtId="1" fontId="8" fillId="0" borderId="0" xfId="0" applyNumberFormat="1" applyFont="1" applyBorder="1" applyAlignment="1">
      <alignment horizontal="center"/>
    </xf>
    <xf numFmtId="0" fontId="23" fillId="0" borderId="1" xfId="0" applyFont="1" applyFill="1" applyBorder="1"/>
    <xf numFmtId="0" fontId="0" fillId="0" borderId="0" xfId="0" applyFill="1"/>
    <xf numFmtId="169" fontId="8" fillId="0" borderId="0" xfId="0" applyNumberFormat="1" applyFont="1" applyBorder="1" applyAlignment="1">
      <alignment horizontal="center" vertical="center"/>
    </xf>
    <xf numFmtId="169" fontId="0" fillId="0" borderId="0" xfId="0" applyNumberFormat="1" applyBorder="1"/>
    <xf numFmtId="169" fontId="8" fillId="0" borderId="0" xfId="0" applyNumberFormat="1" applyFont="1" applyBorder="1" applyAlignment="1">
      <alignment horizontal="center"/>
    </xf>
    <xf numFmtId="169" fontId="8" fillId="0" borderId="0" xfId="0" applyNumberFormat="1" applyFont="1" applyBorder="1"/>
    <xf numFmtId="0" fontId="23" fillId="0" borderId="0" xfId="0" applyFont="1"/>
    <xf numFmtId="169" fontId="0" fillId="0" borderId="11" xfId="0" applyNumberFormat="1" applyFont="1" applyBorder="1"/>
    <xf numFmtId="0" fontId="23" fillId="0" borderId="0" xfId="0" applyFont="1" applyBorder="1"/>
    <xf numFmtId="0" fontId="23" fillId="0" borderId="0" xfId="0" applyFont="1" applyAlignment="1"/>
    <xf numFmtId="0" fontId="23" fillId="6" borderId="4" xfId="0" applyFont="1" applyFill="1" applyBorder="1" applyAlignment="1">
      <alignment horizontal="center" vertical="center"/>
    </xf>
    <xf numFmtId="0" fontId="0" fillId="6" borderId="4" xfId="0" applyFill="1" applyBorder="1"/>
    <xf numFmtId="0" fontId="23" fillId="6" borderId="4" xfId="0" applyFont="1" applyFill="1" applyBorder="1" applyAlignment="1">
      <alignment horizontal="center"/>
    </xf>
    <xf numFmtId="0" fontId="0" fillId="6" borderId="4" xfId="0" applyFill="1" applyBorder="1" applyAlignment="1">
      <alignment horizontal="center"/>
    </xf>
    <xf numFmtId="0" fontId="0" fillId="6" borderId="4" xfId="0" applyFont="1" applyFill="1" applyBorder="1" applyAlignment="1">
      <alignment horizontal="center"/>
    </xf>
    <xf numFmtId="2" fontId="0" fillId="6" borderId="4" xfId="0" applyNumberFormat="1" applyFill="1" applyBorder="1" applyAlignment="1">
      <alignment horizontal="center"/>
    </xf>
    <xf numFmtId="2" fontId="23" fillId="6" borderId="4" xfId="0" applyNumberFormat="1" applyFont="1" applyFill="1" applyBorder="1" applyAlignment="1">
      <alignment horizontal="right"/>
    </xf>
    <xf numFmtId="169" fontId="0" fillId="6" borderId="4" xfId="0" applyNumberFormat="1" applyFill="1" applyBorder="1" applyAlignment="1">
      <alignment horizontal="center"/>
    </xf>
    <xf numFmtId="0" fontId="0" fillId="0" borderId="0" xfId="0" applyFont="1"/>
    <xf numFmtId="0" fontId="0" fillId="0" borderId="0" xfId="0" applyAlignment="1">
      <alignment horizontal="center"/>
    </xf>
    <xf numFmtId="0" fontId="23" fillId="0" borderId="0" xfId="0" applyFont="1" applyAlignment="1">
      <alignment horizontal="center" vertical="center"/>
    </xf>
    <xf numFmtId="0" fontId="0" fillId="0" borderId="11" xfId="0" applyFont="1" applyBorder="1" applyAlignment="1">
      <alignment horizontal="center"/>
    </xf>
    <xf numFmtId="0" fontId="0" fillId="0" borderId="0" xfId="0" applyFont="1" applyBorder="1" applyAlignment="1">
      <alignment horizontal="center"/>
    </xf>
    <xf numFmtId="0" fontId="0" fillId="0" borderId="12" xfId="0" applyFont="1" applyBorder="1" applyAlignment="1">
      <alignment horizontal="center"/>
    </xf>
    <xf numFmtId="0" fontId="23" fillId="0" borderId="12" xfId="0" applyFont="1" applyBorder="1" applyAlignment="1">
      <alignment horizontal="center"/>
    </xf>
    <xf numFmtId="169" fontId="27" fillId="2" borderId="26" xfId="0" applyNumberFormat="1" applyFont="1" applyFill="1" applyBorder="1" applyAlignment="1">
      <alignment horizontal="center" vertical="center" wrapText="1"/>
    </xf>
    <xf numFmtId="0" fontId="0" fillId="0" borderId="1" xfId="0" applyBorder="1" applyAlignment="1">
      <alignment horizontal="center" vertical="center"/>
    </xf>
    <xf numFmtId="169" fontId="0" fillId="0" borderId="0" xfId="0" applyNumberFormat="1" applyFont="1" applyBorder="1" applyAlignment="1">
      <alignment horizontal="left"/>
    </xf>
    <xf numFmtId="169" fontId="0" fillId="0" borderId="11" xfId="0" applyNumberFormat="1" applyFont="1" applyBorder="1" applyAlignment="1">
      <alignment horizontal="center"/>
    </xf>
    <xf numFmtId="169" fontId="0" fillId="0" borderId="12" xfId="0" applyNumberFormat="1" applyFont="1" applyBorder="1" applyAlignment="1">
      <alignment horizontal="left"/>
    </xf>
    <xf numFmtId="169" fontId="0" fillId="0" borderId="11" xfId="0" applyNumberFormat="1" applyFont="1" applyBorder="1" applyAlignment="1">
      <alignment horizontal="right"/>
    </xf>
    <xf numFmtId="0" fontId="0" fillId="0" borderId="1" xfId="0" applyFont="1" applyBorder="1" applyAlignment="1">
      <alignment horizontal="center" vertical="center"/>
    </xf>
    <xf numFmtId="1" fontId="0" fillId="0" borderId="11" xfId="0" applyNumberFormat="1" applyFont="1" applyBorder="1" applyAlignment="1">
      <alignment horizontal="center"/>
    </xf>
    <xf numFmtId="169" fontId="0" fillId="0" borderId="12" xfId="0" applyNumberFormat="1" applyFont="1" applyBorder="1" applyAlignment="1">
      <alignment horizontal="center"/>
    </xf>
    <xf numFmtId="169" fontId="0" fillId="0" borderId="1" xfId="0" applyNumberFormat="1" applyFont="1" applyBorder="1" applyAlignment="1">
      <alignment horizontal="center"/>
    </xf>
    <xf numFmtId="1" fontId="0" fillId="0" borderId="12" xfId="0" applyNumberFormat="1" applyFont="1" applyBorder="1" applyAlignment="1">
      <alignment horizontal="center"/>
    </xf>
    <xf numFmtId="0" fontId="0" fillId="0" borderId="11" xfId="0" applyFont="1" applyBorder="1" applyAlignment="1">
      <alignment horizontal="right"/>
    </xf>
    <xf numFmtId="1" fontId="0" fillId="0" borderId="0" xfId="0" applyNumberFormat="1" applyFont="1" applyBorder="1" applyAlignment="1">
      <alignment horizontal="center"/>
    </xf>
    <xf numFmtId="0" fontId="0" fillId="0" borderId="2" xfId="0" applyBorder="1" applyAlignment="1">
      <alignment horizontal="center" vertical="center"/>
    </xf>
    <xf numFmtId="0" fontId="0" fillId="0" borderId="13" xfId="0" applyFont="1" applyBorder="1" applyAlignment="1">
      <alignment horizontal="center"/>
    </xf>
    <xf numFmtId="0" fontId="0" fillId="0" borderId="14" xfId="0" applyFont="1" applyBorder="1" applyAlignment="1">
      <alignment horizontal="center"/>
    </xf>
    <xf numFmtId="0" fontId="0" fillId="0" borderId="15" xfId="0" applyFont="1" applyBorder="1" applyAlignment="1">
      <alignment horizontal="center"/>
    </xf>
    <xf numFmtId="0" fontId="0" fillId="6" borderId="4" xfId="0" applyFill="1" applyBorder="1" applyAlignment="1">
      <alignment horizontal="center" vertical="center"/>
    </xf>
    <xf numFmtId="2" fontId="23" fillId="6" borderId="4" xfId="0" applyNumberFormat="1" applyFont="1" applyFill="1" applyBorder="1" applyAlignment="1">
      <alignment horizontal="center"/>
    </xf>
    <xf numFmtId="0" fontId="0" fillId="0" borderId="0" xfId="0" applyFont="1" applyAlignment="1">
      <alignment horizontal="center"/>
    </xf>
    <xf numFmtId="0" fontId="23" fillId="0" borderId="0" xfId="0" applyFont="1" applyAlignment="1">
      <alignment horizontal="center"/>
    </xf>
    <xf numFmtId="0" fontId="23" fillId="0" borderId="19" xfId="0" applyFont="1" applyBorder="1" applyAlignment="1">
      <alignment horizontal="left" vertical="center"/>
    </xf>
    <xf numFmtId="0" fontId="15" fillId="4" borderId="4" xfId="8" applyFont="1" applyFill="1" applyBorder="1" applyAlignment="1">
      <alignment horizontal="center" vertical="center"/>
    </xf>
    <xf numFmtId="0" fontId="15" fillId="4" borderId="4" xfId="8" applyFont="1" applyFill="1" applyBorder="1" applyAlignment="1">
      <alignment horizontal="center" vertical="center"/>
    </xf>
    <xf numFmtId="0" fontId="23" fillId="0" borderId="1" xfId="85" applyFont="1" applyFill="1" applyBorder="1" applyAlignment="1">
      <alignment horizontal="center" vertical="center" wrapText="1"/>
    </xf>
    <xf numFmtId="0" fontId="23" fillId="0" borderId="1" xfId="85" applyFont="1" applyBorder="1" applyAlignment="1">
      <alignment horizontal="center" vertical="center"/>
    </xf>
    <xf numFmtId="0" fontId="23" fillId="0" borderId="1" xfId="85" applyFont="1" applyBorder="1" applyAlignment="1">
      <alignment horizontal="center" vertical="center" wrapText="1"/>
    </xf>
    <xf numFmtId="0" fontId="0" fillId="0" borderId="4" xfId="0" applyBorder="1"/>
    <xf numFmtId="0" fontId="0" fillId="0" borderId="4" xfId="0" applyBorder="1" applyAlignment="1">
      <alignment horizontal="center" vertical="center"/>
    </xf>
    <xf numFmtId="0" fontId="0" fillId="0" borderId="4" xfId="0" applyBorder="1" applyAlignment="1">
      <alignment horizontal="left" vertical="center"/>
    </xf>
    <xf numFmtId="0" fontId="23" fillId="3" borderId="4" xfId="0" applyFont="1" applyFill="1" applyBorder="1" applyAlignment="1">
      <alignment horizontal="center" vertical="center"/>
    </xf>
    <xf numFmtId="0" fontId="0" fillId="0" borderId="7" xfId="0" applyBorder="1"/>
    <xf numFmtId="0" fontId="23" fillId="5" borderId="7" xfId="0" applyFont="1" applyFill="1" applyBorder="1"/>
    <xf numFmtId="0" fontId="23" fillId="5" borderId="7" xfId="0" applyFont="1" applyFill="1" applyBorder="1" applyAlignment="1">
      <alignment wrapText="1"/>
    </xf>
    <xf numFmtId="0" fontId="15" fillId="5" borderId="4" xfId="8" applyFont="1" applyFill="1" applyBorder="1" applyAlignment="1">
      <alignment horizontal="justify" vertical="top"/>
    </xf>
    <xf numFmtId="0" fontId="23" fillId="0" borderId="29" xfId="0" applyFont="1" applyBorder="1" applyAlignment="1">
      <alignment horizontal="center" vertical="center"/>
    </xf>
    <xf numFmtId="0" fontId="23" fillId="0" borderId="31" xfId="85" applyFont="1" applyBorder="1" applyAlignment="1">
      <alignment horizontal="center"/>
    </xf>
    <xf numFmtId="0" fontId="0" fillId="0" borderId="21" xfId="0" applyBorder="1" applyAlignment="1">
      <alignment horizontal="center" vertical="center"/>
    </xf>
    <xf numFmtId="0" fontId="23" fillId="3" borderId="22" xfId="0" applyFont="1" applyFill="1" applyBorder="1" applyAlignment="1">
      <alignment horizontal="center" vertical="center"/>
    </xf>
    <xf numFmtId="0" fontId="25" fillId="3" borderId="22" xfId="0" applyFont="1" applyFill="1" applyBorder="1" applyAlignment="1">
      <alignment horizontal="center" vertical="center"/>
    </xf>
    <xf numFmtId="0" fontId="0" fillId="0" borderId="23" xfId="0" applyBorder="1" applyAlignment="1">
      <alignment horizontal="center" vertical="center"/>
    </xf>
    <xf numFmtId="0" fontId="0" fillId="0" borderId="32" xfId="0" applyBorder="1"/>
    <xf numFmtId="0" fontId="0" fillId="0" borderId="24" xfId="0" applyBorder="1" applyAlignment="1">
      <alignment horizontal="left" vertical="center"/>
    </xf>
    <xf numFmtId="0" fontId="0" fillId="0" borderId="24" xfId="0" applyBorder="1" applyAlignment="1">
      <alignment horizontal="center" vertical="center"/>
    </xf>
    <xf numFmtId="0" fontId="0" fillId="0" borderId="25" xfId="0" applyBorder="1" applyAlignment="1">
      <alignment horizontal="center" vertical="center"/>
    </xf>
    <xf numFmtId="0" fontId="23" fillId="0" borderId="7" xfId="0" applyFont="1" applyFill="1" applyBorder="1" applyAlignment="1">
      <alignment wrapText="1"/>
    </xf>
    <xf numFmtId="0" fontId="15" fillId="0" borderId="7" xfId="8" applyFont="1" applyFill="1" applyBorder="1" applyAlignment="1">
      <alignment horizontal="justify" vertical="top"/>
    </xf>
    <xf numFmtId="0" fontId="25" fillId="0" borderId="4" xfId="0" applyFont="1" applyFill="1" applyBorder="1" applyAlignment="1">
      <alignment horizontal="center" vertical="center"/>
    </xf>
    <xf numFmtId="0" fontId="23" fillId="0" borderId="22" xfId="0" applyFont="1" applyFill="1" applyBorder="1" applyAlignment="1">
      <alignment horizontal="center" vertical="center"/>
    </xf>
    <xf numFmtId="0" fontId="1" fillId="0" borderId="0" xfId="502"/>
    <xf numFmtId="0" fontId="33" fillId="0" borderId="4" xfId="502" applyFont="1" applyBorder="1" applyAlignment="1">
      <alignment horizontal="center" vertical="center"/>
    </xf>
    <xf numFmtId="0" fontId="33" fillId="0" borderId="4" xfId="502" applyFont="1" applyBorder="1" applyAlignment="1">
      <alignment horizontal="left" vertical="center"/>
    </xf>
    <xf numFmtId="2" fontId="24" fillId="0" borderId="0" xfId="502" applyNumberFormat="1" applyFont="1" applyFill="1" applyBorder="1"/>
    <xf numFmtId="0" fontId="7" fillId="0" borderId="4" xfId="502" applyFont="1" applyBorder="1" applyAlignment="1">
      <alignment horizontal="center" vertical="center"/>
    </xf>
    <xf numFmtId="1" fontId="1" fillId="0" borderId="0" xfId="502" applyNumberFormat="1"/>
    <xf numFmtId="10" fontId="1" fillId="0" borderId="0" xfId="497" applyNumberFormat="1" applyFont="1"/>
    <xf numFmtId="0" fontId="12" fillId="0" borderId="0" xfId="85" applyAlignment="1">
      <alignment horizontal="center"/>
    </xf>
    <xf numFmtId="0" fontId="12" fillId="0" borderId="0" xfId="85"/>
    <xf numFmtId="14" fontId="12" fillId="0" borderId="4" xfId="85" applyNumberFormat="1" applyFont="1" applyBorder="1" applyAlignment="1">
      <alignment horizontal="center" vertical="center"/>
    </xf>
    <xf numFmtId="0" fontId="12" fillId="0" borderId="4" xfId="85" applyBorder="1" applyAlignment="1">
      <alignment horizontal="center" vertical="center" wrapText="1"/>
    </xf>
    <xf numFmtId="0" fontId="12" fillId="0" borderId="4" xfId="85" applyFont="1" applyBorder="1" applyAlignment="1">
      <alignment horizontal="center" vertical="center" wrapText="1"/>
    </xf>
    <xf numFmtId="0" fontId="23" fillId="0" borderId="4" xfId="85" applyFont="1" applyBorder="1" applyAlignment="1">
      <alignment horizontal="center" vertical="center" wrapText="1"/>
    </xf>
    <xf numFmtId="0" fontId="12" fillId="0" borderId="4" xfId="85" applyBorder="1" applyAlignment="1">
      <alignment horizontal="center" vertical="center"/>
    </xf>
    <xf numFmtId="0" fontId="1" fillId="0" borderId="4" xfId="85" applyFont="1" applyBorder="1" applyAlignment="1">
      <alignment horizontal="center" vertical="center" wrapText="1"/>
    </xf>
    <xf numFmtId="14" fontId="1" fillId="2" borderId="4" xfId="503" applyNumberFormat="1" applyFont="1" applyFill="1" applyBorder="1" applyAlignment="1">
      <alignment horizontal="center" vertical="center"/>
    </xf>
    <xf numFmtId="0" fontId="12" fillId="0" borderId="4" xfId="85" applyFont="1" applyBorder="1" applyAlignment="1">
      <alignment horizontal="center" vertical="center"/>
    </xf>
    <xf numFmtId="0" fontId="37" fillId="0" borderId="4" xfId="85" applyFont="1" applyBorder="1" applyAlignment="1">
      <alignment horizontal="center" vertical="center"/>
    </xf>
    <xf numFmtId="0" fontId="36" fillId="0" borderId="0" xfId="85" applyFont="1" applyAlignment="1">
      <alignment horizontal="center"/>
    </xf>
    <xf numFmtId="0" fontId="36" fillId="0" borderId="0" xfId="85" applyFont="1" applyAlignment="1"/>
    <xf numFmtId="0" fontId="36" fillId="0" borderId="0" xfId="85" applyFont="1"/>
    <xf numFmtId="0" fontId="24" fillId="0" borderId="0" xfId="85" applyFont="1" applyBorder="1" applyAlignment="1">
      <alignment horizontal="center" vertical="center"/>
    </xf>
    <xf numFmtId="0" fontId="24" fillId="0" borderId="0" xfId="85" applyFont="1" applyBorder="1" applyAlignment="1">
      <alignment vertical="center"/>
    </xf>
    <xf numFmtId="0" fontId="23" fillId="0" borderId="0" xfId="85" applyFont="1" applyBorder="1" applyAlignment="1">
      <alignment vertical="center"/>
    </xf>
    <xf numFmtId="0" fontId="12" fillId="0" borderId="0" xfId="85" applyBorder="1"/>
    <xf numFmtId="2" fontId="23" fillId="0" borderId="0" xfId="85" applyNumberFormat="1" applyFont="1" applyBorder="1" applyAlignment="1">
      <alignment horizontal="center"/>
    </xf>
    <xf numFmtId="2" fontId="12" fillId="0" borderId="0" xfId="85" applyNumberFormat="1" applyBorder="1"/>
    <xf numFmtId="0" fontId="12" fillId="0" borderId="4" xfId="85" applyBorder="1" applyAlignment="1">
      <alignment horizontal="center"/>
    </xf>
    <xf numFmtId="0" fontId="23" fillId="0" borderId="4" xfId="85" applyFont="1" applyFill="1" applyBorder="1" applyAlignment="1">
      <alignment horizontal="center" vertical="center" wrapText="1"/>
    </xf>
    <xf numFmtId="173" fontId="12" fillId="0" borderId="4" xfId="85" applyNumberFormat="1" applyFont="1" applyBorder="1" applyAlignment="1">
      <alignment horizontal="center" vertical="center"/>
    </xf>
    <xf numFmtId="0" fontId="12" fillId="0" borderId="4" xfId="85" applyBorder="1"/>
    <xf numFmtId="0" fontId="36" fillId="0" borderId="4" xfId="502" applyFont="1" applyBorder="1" applyAlignment="1">
      <alignment vertical="center"/>
    </xf>
    <xf numFmtId="0" fontId="0" fillId="0" borderId="0" xfId="0" applyAlignment="1">
      <alignment vertical="center"/>
    </xf>
    <xf numFmtId="1" fontId="7" fillId="0" borderId="4" xfId="502" applyNumberFormat="1" applyFont="1" applyBorder="1" applyAlignment="1">
      <alignment horizontal="center" vertical="center"/>
    </xf>
    <xf numFmtId="1" fontId="33" fillId="0" borderId="4" xfId="502" applyNumberFormat="1" applyFont="1" applyBorder="1" applyAlignment="1">
      <alignment horizontal="center"/>
    </xf>
    <xf numFmtId="1" fontId="33" fillId="0" borderId="5" xfId="502" applyNumberFormat="1" applyFont="1" applyBorder="1" applyAlignment="1">
      <alignment horizontal="center"/>
    </xf>
    <xf numFmtId="1" fontId="7" fillId="0" borderId="22" xfId="502" applyNumberFormat="1" applyFont="1" applyBorder="1" applyAlignment="1">
      <alignment horizontal="center"/>
    </xf>
    <xf numFmtId="1" fontId="7" fillId="0" borderId="4" xfId="502" applyNumberFormat="1" applyFont="1" applyBorder="1" applyAlignment="1">
      <alignment horizontal="center"/>
    </xf>
    <xf numFmtId="1" fontId="7" fillId="0" borderId="5" xfId="502" applyNumberFormat="1" applyFont="1" applyBorder="1" applyAlignment="1">
      <alignment horizontal="center"/>
    </xf>
    <xf numFmtId="1" fontId="35" fillId="0" borderId="4" xfId="502" applyNumberFormat="1" applyFont="1" applyBorder="1" applyAlignment="1">
      <alignment horizontal="center"/>
    </xf>
    <xf numFmtId="1" fontId="25" fillId="0" borderId="22" xfId="502" applyNumberFormat="1" applyFont="1" applyBorder="1" applyAlignment="1">
      <alignment horizontal="center"/>
    </xf>
    <xf numFmtId="1" fontId="35" fillId="0" borderId="5" xfId="502" applyNumberFormat="1" applyFont="1" applyBorder="1" applyAlignment="1">
      <alignment horizontal="center"/>
    </xf>
    <xf numFmtId="1" fontId="25" fillId="3" borderId="22" xfId="502" applyNumberFormat="1" applyFont="1" applyFill="1" applyBorder="1" applyAlignment="1">
      <alignment horizontal="center" vertical="center"/>
    </xf>
    <xf numFmtId="1" fontId="7" fillId="0" borderId="5" xfId="502" applyNumberFormat="1" applyFont="1" applyBorder="1" applyAlignment="1">
      <alignment horizontal="center" vertical="center"/>
    </xf>
    <xf numFmtId="1" fontId="25" fillId="3" borderId="22" xfId="502" applyNumberFormat="1" applyFont="1" applyFill="1" applyBorder="1" applyAlignment="1">
      <alignment horizontal="center"/>
    </xf>
    <xf numFmtId="0" fontId="25" fillId="0" borderId="7" xfId="0" applyFont="1" applyFill="1" applyBorder="1" applyAlignment="1">
      <alignment horizontal="left" vertical="center" wrapText="1"/>
    </xf>
    <xf numFmtId="169" fontId="0" fillId="0" borderId="4" xfId="0" applyNumberFormat="1" applyBorder="1" applyAlignment="1">
      <alignment horizontal="center" vertical="center"/>
    </xf>
    <xf numFmtId="1" fontId="37" fillId="0" borderId="4" xfId="85" applyNumberFormat="1" applyFont="1" applyBorder="1" applyAlignment="1">
      <alignment horizontal="center" vertical="center"/>
    </xf>
    <xf numFmtId="1" fontId="25" fillId="0" borderId="4" xfId="502" applyNumberFormat="1" applyFont="1" applyBorder="1" applyAlignment="1">
      <alignment horizontal="center"/>
    </xf>
    <xf numFmtId="0" fontId="7" fillId="0" borderId="4" xfId="502" applyFont="1" applyBorder="1" applyAlignment="1">
      <alignment vertical="center"/>
    </xf>
    <xf numFmtId="1" fontId="25" fillId="0" borderId="5" xfId="502" applyNumberFormat="1" applyFont="1" applyBorder="1" applyAlignment="1">
      <alignment horizontal="center"/>
    </xf>
    <xf numFmtId="1" fontId="25" fillId="0" borderId="22" xfId="502" applyNumberFormat="1" applyFont="1" applyBorder="1" applyAlignment="1">
      <alignment horizontal="center" vertical="center"/>
    </xf>
    <xf numFmtId="0" fontId="25" fillId="7" borderId="7" xfId="502" applyFont="1" applyFill="1" applyBorder="1" applyAlignment="1">
      <alignment horizontal="left" vertical="center"/>
    </xf>
    <xf numFmtId="0" fontId="7" fillId="0" borderId="7" xfId="502" applyFont="1" applyBorder="1" applyAlignment="1">
      <alignment horizontal="left" vertical="center"/>
    </xf>
    <xf numFmtId="0" fontId="33" fillId="7" borderId="7" xfId="502" applyFont="1" applyFill="1" applyBorder="1" applyAlignment="1">
      <alignment horizontal="left" vertical="center"/>
    </xf>
    <xf numFmtId="0" fontId="39" fillId="0" borderId="7" xfId="8" applyFont="1" applyFill="1" applyBorder="1" applyAlignment="1">
      <alignment horizontal="left" vertical="center" wrapText="1"/>
    </xf>
    <xf numFmtId="0" fontId="34" fillId="0" borderId="7" xfId="502" applyFont="1" applyBorder="1" applyAlignment="1">
      <alignment horizontal="left" vertical="center"/>
    </xf>
    <xf numFmtId="0" fontId="25" fillId="7" borderId="7" xfId="502" applyFont="1" applyFill="1" applyBorder="1" applyAlignment="1">
      <alignment horizontal="left" vertical="center" wrapText="1"/>
    </xf>
    <xf numFmtId="0" fontId="34" fillId="0" borderId="7" xfId="502" applyFont="1" applyBorder="1" applyAlignment="1">
      <alignment horizontal="left" vertical="center" wrapText="1"/>
    </xf>
    <xf numFmtId="0" fontId="25" fillId="0" borderId="7" xfId="502" applyFont="1" applyBorder="1" applyAlignment="1">
      <alignment horizontal="left" vertical="center"/>
    </xf>
    <xf numFmtId="169" fontId="7" fillId="0" borderId="4" xfId="502" applyNumberFormat="1" applyFont="1" applyBorder="1" applyAlignment="1">
      <alignment horizontal="center" vertical="center"/>
    </xf>
    <xf numFmtId="2" fontId="0" fillId="0" borderId="4" xfId="0" applyNumberFormat="1" applyBorder="1" applyAlignment="1">
      <alignment horizontal="center" vertical="center"/>
    </xf>
    <xf numFmtId="1" fontId="0" fillId="0" borderId="4" xfId="0" applyNumberFormat="1" applyBorder="1" applyAlignment="1">
      <alignment horizontal="center" vertical="center"/>
    </xf>
    <xf numFmtId="1" fontId="1" fillId="0" borderId="4" xfId="85" applyNumberFormat="1" applyFont="1" applyBorder="1" applyAlignment="1">
      <alignment horizontal="center" vertical="center" wrapText="1"/>
    </xf>
    <xf numFmtId="1" fontId="12" fillId="0" borderId="4" xfId="85" applyNumberFormat="1" applyFont="1" applyBorder="1" applyAlignment="1">
      <alignment horizontal="center" vertical="center" wrapText="1"/>
    </xf>
    <xf numFmtId="1" fontId="12" fillId="0" borderId="4" xfId="85" applyNumberFormat="1" applyBorder="1" applyAlignment="1">
      <alignment horizontal="center" vertical="center"/>
    </xf>
    <xf numFmtId="169" fontId="23" fillId="3" borderId="22" xfId="0" applyNumberFormat="1" applyFont="1" applyFill="1" applyBorder="1" applyAlignment="1">
      <alignment horizontal="center" vertical="center"/>
    </xf>
    <xf numFmtId="169" fontId="25" fillId="3" borderId="4" xfId="0" applyNumberFormat="1" applyFont="1" applyFill="1" applyBorder="1" applyAlignment="1">
      <alignment horizontal="center" vertical="center"/>
    </xf>
    <xf numFmtId="169" fontId="25" fillId="3" borderId="22" xfId="0" applyNumberFormat="1" applyFont="1" applyFill="1" applyBorder="1" applyAlignment="1">
      <alignment horizontal="center" vertical="center"/>
    </xf>
    <xf numFmtId="10" fontId="1" fillId="0" borderId="0" xfId="497" applyNumberFormat="1" applyFont="1" applyAlignment="1">
      <alignment horizontal="center" vertical="center" wrapText="1"/>
    </xf>
    <xf numFmtId="169" fontId="0" fillId="0" borderId="0" xfId="0" applyNumberFormat="1" applyFont="1" applyBorder="1" applyAlignment="1">
      <alignment horizontal="right"/>
    </xf>
    <xf numFmtId="0" fontId="23" fillId="3" borderId="4" xfId="0" applyFont="1" applyFill="1" applyBorder="1" applyAlignment="1">
      <alignment horizontal="center"/>
    </xf>
    <xf numFmtId="0" fontId="23" fillId="0" borderId="4" xfId="0" applyFont="1" applyBorder="1" applyAlignment="1">
      <alignment horizontal="center" vertical="center"/>
    </xf>
    <xf numFmtId="0" fontId="0" fillId="0" borderId="4" xfId="0" applyFont="1" applyBorder="1" applyAlignment="1">
      <alignment horizontal="center"/>
    </xf>
    <xf numFmtId="0" fontId="0" fillId="0" borderId="4" xfId="0" applyFont="1" applyBorder="1" applyAlignment="1">
      <alignment horizontal="left" vertical="top"/>
    </xf>
    <xf numFmtId="0" fontId="0" fillId="0" borderId="4" xfId="0" applyFont="1" applyBorder="1" applyAlignment="1">
      <alignment horizontal="center" vertical="center"/>
    </xf>
    <xf numFmtId="2" fontId="0" fillId="0" borderId="4" xfId="0" applyNumberFormat="1" applyFont="1" applyBorder="1" applyAlignment="1">
      <alignment horizontal="center" vertical="center"/>
    </xf>
    <xf numFmtId="0" fontId="37" fillId="0" borderId="4" xfId="0" applyFont="1" applyBorder="1" applyAlignment="1">
      <alignment horizontal="center" vertical="center"/>
    </xf>
    <xf numFmtId="0" fontId="23" fillId="0" borderId="4" xfId="0" applyFont="1" applyBorder="1"/>
    <xf numFmtId="2" fontId="23" fillId="0" borderId="4" xfId="0" applyNumberFormat="1" applyFont="1" applyBorder="1" applyAlignment="1">
      <alignment horizontal="center" vertical="center"/>
    </xf>
    <xf numFmtId="169" fontId="23" fillId="0" borderId="4" xfId="0" applyNumberFormat="1" applyFont="1" applyBorder="1" applyAlignment="1">
      <alignment horizontal="center"/>
    </xf>
    <xf numFmtId="0" fontId="0" fillId="0" borderId="3" xfId="0" applyBorder="1"/>
    <xf numFmtId="0" fontId="23" fillId="0" borderId="3" xfId="0" applyFont="1" applyBorder="1" applyAlignment="1">
      <alignment horizontal="center"/>
    </xf>
    <xf numFmtId="0" fontId="0" fillId="0" borderId="3" xfId="0" applyBorder="1" applyAlignment="1">
      <alignment horizontal="center"/>
    </xf>
    <xf numFmtId="169" fontId="23" fillId="0" borderId="3" xfId="0" applyNumberFormat="1" applyFont="1" applyBorder="1" applyAlignment="1">
      <alignment horizontal="center"/>
    </xf>
    <xf numFmtId="0" fontId="23" fillId="0" borderId="28" xfId="0" applyFont="1" applyBorder="1"/>
    <xf numFmtId="0" fontId="23" fillId="0" borderId="28" xfId="0" applyFont="1" applyBorder="1" applyAlignment="1">
      <alignment horizontal="center"/>
    </xf>
    <xf numFmtId="0" fontId="0" fillId="0" borderId="28" xfId="0" applyBorder="1" applyAlignment="1">
      <alignment horizontal="center"/>
    </xf>
    <xf numFmtId="0" fontId="0" fillId="0" borderId="28" xfId="0" applyBorder="1"/>
    <xf numFmtId="2" fontId="23" fillId="3" borderId="28" xfId="0" applyNumberFormat="1" applyFont="1" applyFill="1" applyBorder="1" applyAlignment="1">
      <alignment horizontal="center" vertical="center"/>
    </xf>
    <xf numFmtId="0" fontId="37" fillId="0" borderId="28" xfId="0" applyFont="1" applyBorder="1" applyAlignment="1">
      <alignment horizontal="center" vertical="center"/>
    </xf>
    <xf numFmtId="2" fontId="37" fillId="3" borderId="28" xfId="0" applyNumberFormat="1" applyFont="1" applyFill="1" applyBorder="1" applyAlignment="1">
      <alignment horizontal="center" vertical="center"/>
    </xf>
    <xf numFmtId="2" fontId="37" fillId="3" borderId="30" xfId="0" applyNumberFormat="1" applyFont="1" applyFill="1" applyBorder="1" applyAlignment="1">
      <alignment horizontal="center" vertical="center"/>
    </xf>
    <xf numFmtId="1" fontId="12" fillId="0" borderId="4" xfId="0" applyNumberFormat="1" applyFont="1" applyBorder="1" applyAlignment="1">
      <alignment horizontal="center" vertical="center"/>
    </xf>
    <xf numFmtId="0" fontId="0" fillId="0" borderId="22" xfId="0" applyBorder="1" applyAlignment="1">
      <alignment horizontal="center" vertical="center"/>
    </xf>
    <xf numFmtId="2" fontId="0" fillId="0" borderId="22" xfId="0" applyNumberFormat="1" applyBorder="1" applyAlignment="1">
      <alignment horizontal="center" vertical="center"/>
    </xf>
    <xf numFmtId="0" fontId="23" fillId="0" borderId="24" xfId="0" applyFont="1" applyBorder="1"/>
    <xf numFmtId="0" fontId="0" fillId="0" borderId="24" xfId="0" applyBorder="1"/>
    <xf numFmtId="10" fontId="37" fillId="0" borderId="24" xfId="497" applyNumberFormat="1" applyFont="1" applyBorder="1" applyAlignment="1">
      <alignment horizontal="center" vertical="center"/>
    </xf>
    <xf numFmtId="1" fontId="0" fillId="0" borderId="0" xfId="0" applyNumberFormat="1"/>
    <xf numFmtId="0" fontId="0" fillId="0" borderId="3" xfId="0" applyBorder="1" applyAlignment="1">
      <alignment horizontal="center" vertical="center"/>
    </xf>
    <xf numFmtId="2" fontId="23" fillId="3" borderId="4" xfId="0" applyNumberFormat="1" applyFont="1" applyFill="1" applyBorder="1" applyAlignment="1">
      <alignment horizontal="center" vertical="center"/>
    </xf>
    <xf numFmtId="10" fontId="37" fillId="0" borderId="1" xfId="497" applyNumberFormat="1" applyFont="1" applyBorder="1" applyAlignment="1">
      <alignment horizontal="center" vertical="center"/>
    </xf>
    <xf numFmtId="2" fontId="0" fillId="0" borderId="28" xfId="0" applyNumberFormat="1" applyBorder="1" applyAlignment="1">
      <alignment horizontal="center" vertical="center"/>
    </xf>
    <xf numFmtId="0" fontId="0" fillId="0" borderId="28" xfId="0" applyFont="1" applyBorder="1" applyAlignment="1">
      <alignment horizontal="center" vertical="center"/>
    </xf>
    <xf numFmtId="1" fontId="12" fillId="0" borderId="28" xfId="0" applyNumberFormat="1" applyFont="1" applyBorder="1" applyAlignment="1">
      <alignment horizontal="center" vertical="center"/>
    </xf>
    <xf numFmtId="0" fontId="0" fillId="0" borderId="30" xfId="0" applyBorder="1" applyAlignment="1">
      <alignment horizontal="center" vertical="center"/>
    </xf>
    <xf numFmtId="2" fontId="0" fillId="0" borderId="30" xfId="0" applyNumberFormat="1" applyBorder="1" applyAlignment="1">
      <alignment horizontal="center" vertical="center"/>
    </xf>
    <xf numFmtId="0" fontId="1" fillId="0" borderId="0" xfId="504"/>
    <xf numFmtId="0" fontId="24" fillId="9" borderId="4" xfId="504" applyFont="1" applyFill="1" applyBorder="1" applyAlignment="1">
      <alignment horizontal="center" vertical="center"/>
    </xf>
    <xf numFmtId="0" fontId="7" fillId="0" borderId="4" xfId="84" applyFont="1" applyBorder="1" applyAlignment="1">
      <alignment horizontal="center" vertical="center"/>
    </xf>
    <xf numFmtId="0" fontId="25" fillId="0" borderId="4" xfId="84" applyFont="1" applyBorder="1" applyAlignment="1">
      <alignment horizontal="center" vertical="center"/>
    </xf>
    <xf numFmtId="0" fontId="24" fillId="0" borderId="4" xfId="84" applyFont="1" applyBorder="1" applyAlignment="1">
      <alignment horizontal="center" vertical="center"/>
    </xf>
    <xf numFmtId="2" fontId="7" fillId="0" borderId="4" xfId="84" applyNumberFormat="1" applyFont="1" applyBorder="1" applyAlignment="1">
      <alignment horizontal="center" vertical="center"/>
    </xf>
    <xf numFmtId="0" fontId="7" fillId="0" borderId="4" xfId="504" applyFont="1" applyBorder="1" applyAlignment="1">
      <alignment horizontal="center" vertical="center"/>
    </xf>
    <xf numFmtId="0" fontId="7" fillId="0" borderId="4" xfId="505" applyFont="1" applyBorder="1" applyAlignment="1">
      <alignment horizontal="center" vertical="center"/>
    </xf>
    <xf numFmtId="2" fontId="7" fillId="0" borderId="4" xfId="505" applyNumberFormat="1" applyFont="1" applyBorder="1" applyAlignment="1">
      <alignment horizontal="center" vertical="center"/>
    </xf>
    <xf numFmtId="14" fontId="25" fillId="2" borderId="4" xfId="504" applyNumberFormat="1" applyFont="1" applyFill="1" applyBorder="1" applyAlignment="1">
      <alignment horizontal="center" vertical="center"/>
    </xf>
    <xf numFmtId="2" fontId="25" fillId="0" borderId="4" xfId="84" applyNumberFormat="1" applyFont="1" applyBorder="1" applyAlignment="1">
      <alignment horizontal="center" vertical="center"/>
    </xf>
    <xf numFmtId="0" fontId="25" fillId="0" borderId="4" xfId="505" applyFont="1" applyBorder="1" applyAlignment="1">
      <alignment horizontal="center" vertical="center"/>
    </xf>
    <xf numFmtId="0" fontId="1" fillId="0" borderId="0" xfId="505"/>
    <xf numFmtId="0" fontId="1" fillId="0" borderId="4" xfId="505" applyFont="1" applyBorder="1" applyAlignment="1">
      <alignment horizontal="center" vertical="center"/>
    </xf>
    <xf numFmtId="0" fontId="23" fillId="0" borderId="0" xfId="505" applyFont="1"/>
    <xf numFmtId="0" fontId="1" fillId="0" borderId="0" xfId="505" applyFont="1"/>
    <xf numFmtId="0" fontId="24" fillId="3" borderId="4" xfId="84" applyFont="1" applyFill="1" applyBorder="1" applyAlignment="1">
      <alignment horizontal="center" vertical="center"/>
    </xf>
    <xf numFmtId="2" fontId="24" fillId="7" borderId="4" xfId="84" applyNumberFormat="1" applyFont="1" applyFill="1" applyBorder="1" applyAlignment="1">
      <alignment horizontal="center" vertical="center"/>
    </xf>
    <xf numFmtId="0" fontId="25" fillId="0" borderId="4" xfId="84" applyFont="1" applyBorder="1" applyAlignment="1">
      <alignment horizontal="center" vertical="center" wrapText="1"/>
    </xf>
    <xf numFmtId="0" fontId="42" fillId="2" borderId="4" xfId="506" applyFont="1" applyFill="1" applyBorder="1" applyAlignment="1">
      <alignment horizontal="center" vertical="center" wrapText="1"/>
    </xf>
    <xf numFmtId="0" fontId="43" fillId="2" borderId="4" xfId="506" applyFont="1" applyFill="1" applyBorder="1" applyAlignment="1">
      <alignment horizontal="center" vertical="center"/>
    </xf>
    <xf numFmtId="0" fontId="24" fillId="11" borderId="4" xfId="504" applyFont="1" applyFill="1" applyBorder="1" applyAlignment="1">
      <alignment horizontal="center" vertical="center"/>
    </xf>
    <xf numFmtId="17" fontId="24" fillId="0" borderId="4" xfId="84" applyNumberFormat="1" applyFont="1" applyFill="1" applyBorder="1" applyAlignment="1">
      <alignment vertical="center" wrapText="1"/>
    </xf>
    <xf numFmtId="0" fontId="1" fillId="11" borderId="4" xfId="504" applyFill="1" applyBorder="1"/>
    <xf numFmtId="0" fontId="1" fillId="0" borderId="4" xfId="504" applyBorder="1"/>
    <xf numFmtId="17" fontId="24" fillId="0" borderId="4" xfId="84" applyNumberFormat="1" applyFont="1" applyFill="1" applyBorder="1" applyAlignment="1">
      <alignment horizontal="center" vertical="center" wrapText="1"/>
    </xf>
    <xf numFmtId="0" fontId="23" fillId="0" borderId="4" xfId="0" applyFont="1" applyFill="1" applyBorder="1" applyAlignment="1">
      <alignment horizontal="center" vertical="center"/>
    </xf>
    <xf numFmtId="2" fontId="16" fillId="0" borderId="4" xfId="8" applyNumberFormat="1" applyFont="1" applyBorder="1" applyAlignment="1">
      <alignment horizontal="center" vertical="center"/>
    </xf>
    <xf numFmtId="0" fontId="0" fillId="0" borderId="4" xfId="0" applyBorder="1" applyAlignment="1">
      <alignment horizontal="center" vertical="center"/>
    </xf>
    <xf numFmtId="0" fontId="7" fillId="0" borderId="4" xfId="0" applyFont="1" applyBorder="1" applyAlignment="1">
      <alignment horizontal="center" vertical="center"/>
    </xf>
    <xf numFmtId="2" fontId="24" fillId="10" borderId="4" xfId="84" applyNumberFormat="1" applyFont="1" applyFill="1" applyBorder="1" applyAlignment="1">
      <alignment horizontal="center" vertical="center" wrapText="1"/>
    </xf>
    <xf numFmtId="174" fontId="42" fillId="0" borderId="4" xfId="506" applyNumberFormat="1" applyFont="1" applyFill="1" applyBorder="1" applyAlignment="1">
      <alignment horizontal="center" vertical="center"/>
    </xf>
    <xf numFmtId="0" fontId="42" fillId="0" borderId="5" xfId="506" applyFont="1" applyFill="1" applyBorder="1" applyAlignment="1">
      <alignment horizontal="center" vertical="center"/>
    </xf>
    <xf numFmtId="0" fontId="25" fillId="0" borderId="4" xfId="2191" applyFont="1" applyBorder="1" applyAlignment="1">
      <alignment horizontal="center" vertical="center" wrapText="1"/>
    </xf>
    <xf numFmtId="173" fontId="25" fillId="0" borderId="4" xfId="2191" applyNumberFormat="1" applyFont="1" applyBorder="1" applyAlignment="1">
      <alignment horizontal="center" vertical="center" wrapText="1"/>
    </xf>
    <xf numFmtId="0" fontId="7" fillId="0" borderId="4" xfId="2191" applyFont="1" applyBorder="1" applyAlignment="1">
      <alignment horizontal="center" vertical="center"/>
    </xf>
    <xf numFmtId="18" fontId="7" fillId="0" borderId="4" xfId="2191" applyNumberFormat="1" applyFont="1" applyBorder="1" applyAlignment="1">
      <alignment horizontal="center" vertical="center"/>
    </xf>
    <xf numFmtId="0" fontId="7" fillId="0" borderId="2" xfId="2191" applyFont="1" applyBorder="1" applyAlignment="1">
      <alignment horizontal="center" vertical="center"/>
    </xf>
    <xf numFmtId="0" fontId="7" fillId="0" borderId="2" xfId="2191" applyFont="1" applyBorder="1"/>
    <xf numFmtId="0" fontId="25" fillId="0" borderId="2" xfId="2191" applyFont="1" applyFill="1" applyBorder="1"/>
    <xf numFmtId="0" fontId="7" fillId="0" borderId="2" xfId="2191" applyFont="1" applyBorder="1" applyAlignment="1">
      <alignment horizontal="center"/>
    </xf>
    <xf numFmtId="0" fontId="25" fillId="0" borderId="4" xfId="2191" applyFont="1" applyBorder="1" applyAlignment="1">
      <alignment horizontal="center" vertical="center"/>
    </xf>
    <xf numFmtId="0" fontId="25" fillId="0" borderId="4" xfId="2191" applyFont="1" applyBorder="1"/>
    <xf numFmtId="0" fontId="25" fillId="0" borderId="0" xfId="2191" applyFont="1"/>
    <xf numFmtId="0" fontId="7" fillId="0" borderId="0" xfId="2191" applyFont="1" applyAlignment="1">
      <alignment horizontal="center" vertical="center"/>
    </xf>
    <xf numFmtId="0" fontId="7" fillId="0" borderId="0" xfId="2191" applyFont="1"/>
    <xf numFmtId="0" fontId="25" fillId="0" borderId="4" xfId="2191" applyFont="1" applyFill="1" applyBorder="1" applyAlignment="1">
      <alignment horizontal="center" vertical="center"/>
    </xf>
    <xf numFmtId="0" fontId="25" fillId="3" borderId="4" xfId="2191" applyFont="1" applyFill="1" applyBorder="1" applyAlignment="1">
      <alignment horizontal="center" vertical="center"/>
    </xf>
    <xf numFmtId="0" fontId="25" fillId="5" borderId="4" xfId="2191" applyFont="1" applyFill="1" applyBorder="1" applyAlignment="1">
      <alignment horizontal="center" vertical="center"/>
    </xf>
    <xf numFmtId="2" fontId="25" fillId="38" borderId="4" xfId="2191" applyNumberFormat="1" applyFont="1" applyFill="1" applyBorder="1" applyAlignment="1">
      <alignment horizontal="center" vertical="center"/>
    </xf>
    <xf numFmtId="0" fontId="25" fillId="38" borderId="4" xfId="2191" applyFont="1" applyFill="1" applyBorder="1" applyAlignment="1">
      <alignment horizontal="center" vertical="center"/>
    </xf>
    <xf numFmtId="0" fontId="25" fillId="2" borderId="0" xfId="2191" applyFont="1" applyFill="1"/>
    <xf numFmtId="0" fontId="7" fillId="2" borderId="4" xfId="2191" applyFont="1" applyFill="1" applyBorder="1" applyAlignment="1">
      <alignment horizontal="center" vertical="center"/>
    </xf>
    <xf numFmtId="0" fontId="25" fillId="2" borderId="4" xfId="2191" applyFont="1" applyFill="1" applyBorder="1" applyAlignment="1">
      <alignment horizontal="center"/>
    </xf>
    <xf numFmtId="0" fontId="25" fillId="2" borderId="4" xfId="2191" applyFont="1" applyFill="1" applyBorder="1" applyAlignment="1">
      <alignment horizontal="center" vertical="center"/>
    </xf>
    <xf numFmtId="0" fontId="25" fillId="2" borderId="4" xfId="2191" applyFont="1" applyFill="1" applyBorder="1"/>
    <xf numFmtId="0" fontId="0" fillId="0" borderId="4" xfId="0" applyBorder="1" applyAlignment="1">
      <alignment horizontal="center"/>
    </xf>
    <xf numFmtId="0" fontId="0" fillId="0" borderId="4" xfId="0" applyBorder="1" applyAlignment="1">
      <alignment horizontal="center" vertical="center"/>
    </xf>
    <xf numFmtId="0" fontId="24" fillId="3" borderId="4" xfId="504" applyFont="1" applyFill="1" applyBorder="1" applyAlignment="1">
      <alignment horizontal="center" vertical="center"/>
    </xf>
    <xf numFmtId="0" fontId="7" fillId="0" borderId="2" xfId="2191" applyFont="1" applyBorder="1" applyAlignment="1">
      <alignment horizontal="center" vertical="center"/>
    </xf>
    <xf numFmtId="0" fontId="25" fillId="0" borderId="2" xfId="2191" applyFont="1" applyFill="1" applyBorder="1" applyAlignment="1">
      <alignment horizontal="center" vertical="center"/>
    </xf>
    <xf numFmtId="0" fontId="25" fillId="0" borderId="2" xfId="2191" applyFont="1" applyBorder="1" applyAlignment="1">
      <alignment horizontal="center" vertical="center"/>
    </xf>
    <xf numFmtId="18" fontId="7" fillId="0" borderId="2" xfId="2191" applyNumberFormat="1" applyFont="1" applyBorder="1" applyAlignment="1">
      <alignment horizontal="center" vertical="center"/>
    </xf>
    <xf numFmtId="0" fontId="7" fillId="2" borderId="4" xfId="2192" applyFont="1" applyFill="1" applyBorder="1" applyAlignment="1">
      <alignment horizontal="center" vertical="center"/>
    </xf>
    <xf numFmtId="0" fontId="7" fillId="2" borderId="2" xfId="2192" applyFont="1" applyFill="1" applyBorder="1" applyAlignment="1">
      <alignment horizontal="center" vertical="center"/>
    </xf>
    <xf numFmtId="174" fontId="42" fillId="2" borderId="4" xfId="506" applyNumberFormat="1" applyFont="1" applyFill="1" applyBorder="1" applyAlignment="1">
      <alignment horizontal="center" vertical="center"/>
    </xf>
    <xf numFmtId="0" fontId="93" fillId="2" borderId="4" xfId="2192" applyFont="1" applyFill="1" applyBorder="1" applyAlignment="1">
      <alignment horizontal="center" vertical="center"/>
    </xf>
    <xf numFmtId="1" fontId="7" fillId="2" borderId="4" xfId="2192" applyNumberFormat="1" applyFont="1" applyFill="1" applyBorder="1" applyAlignment="1">
      <alignment horizontal="center" vertical="center"/>
    </xf>
    <xf numFmtId="20" fontId="7" fillId="2" borderId="4" xfId="2192" applyNumberFormat="1" applyFont="1" applyFill="1" applyBorder="1" applyAlignment="1">
      <alignment horizontal="center" vertical="center"/>
    </xf>
    <xf numFmtId="0" fontId="7" fillId="2" borderId="4" xfId="2192" applyFont="1" applyFill="1" applyBorder="1" applyAlignment="1">
      <alignment horizontal="center" vertical="center" wrapText="1"/>
    </xf>
    <xf numFmtId="0" fontId="1" fillId="0" borderId="0" xfId="2192" applyFont="1" applyAlignment="1">
      <alignment horizontal="center" vertical="center"/>
    </xf>
    <xf numFmtId="0" fontId="42" fillId="2" borderId="4" xfId="506" applyFont="1" applyFill="1" applyBorder="1" applyAlignment="1">
      <alignment horizontal="center" vertical="center"/>
    </xf>
    <xf numFmtId="2" fontId="24" fillId="3" borderId="4" xfId="504" applyNumberFormat="1" applyFont="1" applyFill="1" applyBorder="1" applyAlignment="1">
      <alignment horizontal="center" vertical="center" wrapText="1"/>
    </xf>
    <xf numFmtId="2" fontId="24" fillId="11" borderId="4" xfId="504" applyNumberFormat="1" applyFont="1" applyFill="1" applyBorder="1" applyAlignment="1">
      <alignment horizontal="center" vertical="center"/>
    </xf>
    <xf numFmtId="0" fontId="0" fillId="0" borderId="27" xfId="0" applyBorder="1" applyAlignment="1">
      <alignment horizontal="center" vertical="center"/>
    </xf>
    <xf numFmtId="0" fontId="0" fillId="0" borderId="4" xfId="0" applyBorder="1" applyAlignment="1">
      <alignment horizontal="left" vertical="top"/>
    </xf>
    <xf numFmtId="0" fontId="7" fillId="0" borderId="2" xfId="2191" applyFont="1" applyBorder="1" applyAlignment="1">
      <alignment horizontal="center" vertical="center"/>
    </xf>
    <xf numFmtId="0" fontId="0" fillId="0" borderId="1" xfId="0" applyBorder="1" applyAlignment="1">
      <alignment horizontal="center" vertical="center" wrapText="1"/>
    </xf>
    <xf numFmtId="169" fontId="0" fillId="3" borderId="4" xfId="0" applyNumberFormat="1" applyFill="1" applyBorder="1" applyAlignment="1">
      <alignment horizontal="center" vertical="center" wrapText="1"/>
    </xf>
    <xf numFmtId="0" fontId="0" fillId="0" borderId="22" xfId="0" quotePrefix="1" applyBorder="1" applyAlignment="1">
      <alignment horizontal="center" vertical="center" wrapText="1"/>
    </xf>
    <xf numFmtId="0" fontId="0" fillId="0" borderId="21" xfId="0" applyFill="1" applyBorder="1" applyAlignment="1">
      <alignment horizontal="center" vertical="center" wrapText="1"/>
    </xf>
    <xf numFmtId="0" fontId="0" fillId="0" borderId="22" xfId="0" applyFill="1" applyBorder="1" applyAlignment="1">
      <alignment horizontal="center" vertical="center" wrapText="1"/>
    </xf>
    <xf numFmtId="169" fontId="0" fillId="3" borderId="1" xfId="0" applyNumberFormat="1" applyFill="1" applyBorder="1" applyAlignment="1">
      <alignment horizontal="center"/>
    </xf>
    <xf numFmtId="2" fontId="0" fillId="3" borderId="1" xfId="0" applyNumberFormat="1" applyFill="1" applyBorder="1" applyAlignment="1">
      <alignment horizontal="center"/>
    </xf>
    <xf numFmtId="0" fontId="15" fillId="4" borderId="4" xfId="8" applyFont="1" applyFill="1" applyBorder="1" applyAlignment="1">
      <alignment horizontal="center" vertical="center"/>
    </xf>
    <xf numFmtId="3" fontId="15" fillId="4" borderId="4" xfId="8" applyNumberFormat="1" applyFont="1" applyFill="1" applyBorder="1" applyAlignment="1">
      <alignment horizontal="center" vertical="center"/>
    </xf>
    <xf numFmtId="165" fontId="3" fillId="0" borderId="4" xfId="2" applyNumberFormat="1" applyFont="1" applyBorder="1" applyAlignment="1">
      <alignment vertical="center"/>
    </xf>
    <xf numFmtId="169" fontId="16" fillId="0" borderId="4" xfId="8" applyNumberFormat="1" applyFont="1" applyFill="1" applyBorder="1" applyAlignment="1">
      <alignment horizontal="center" vertical="center"/>
    </xf>
    <xf numFmtId="0" fontId="15" fillId="4" borderId="4" xfId="8" applyFont="1" applyFill="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0" fontId="23" fillId="0" borderId="4" xfId="0" applyFont="1" applyBorder="1" applyAlignment="1">
      <alignment horizontal="center" vertical="center" wrapText="1"/>
    </xf>
    <xf numFmtId="169" fontId="8" fillId="0" borderId="0" xfId="0" applyNumberFormat="1" applyFont="1" applyBorder="1" applyAlignment="1">
      <alignment horizontal="center" vertical="center"/>
    </xf>
    <xf numFmtId="0" fontId="23" fillId="6" borderId="4" xfId="0" applyFont="1" applyFill="1" applyBorder="1" applyAlignment="1">
      <alignment horizontal="center" vertical="center"/>
    </xf>
    <xf numFmtId="0" fontId="0" fillId="6" borderId="4" xfId="0" applyFill="1" applyBorder="1" applyAlignment="1">
      <alignment horizontal="center"/>
    </xf>
    <xf numFmtId="0" fontId="23" fillId="6" borderId="3" xfId="0" applyFont="1" applyFill="1" applyBorder="1" applyAlignment="1">
      <alignment horizontal="center" vertical="center"/>
    </xf>
    <xf numFmtId="0" fontId="23" fillId="6" borderId="3" xfId="0" applyFont="1" applyFill="1" applyBorder="1" applyAlignment="1">
      <alignment horizontal="center" vertical="center" wrapText="1"/>
    </xf>
    <xf numFmtId="0" fontId="0" fillId="6" borderId="4" xfId="0" applyFont="1" applyFill="1" applyBorder="1" applyAlignment="1">
      <alignment horizontal="center"/>
    </xf>
    <xf numFmtId="169" fontId="0" fillId="0" borderId="4" xfId="0" applyNumberFormat="1" applyFill="1" applyBorder="1" applyAlignment="1">
      <alignment horizontal="center" vertical="center" wrapText="1"/>
    </xf>
    <xf numFmtId="169" fontId="0" fillId="0" borderId="0" xfId="0" applyNumberFormat="1" applyFill="1" applyBorder="1" applyAlignment="1">
      <alignment horizontal="center" vertical="center" wrapText="1"/>
    </xf>
    <xf numFmtId="0" fontId="0" fillId="0" borderId="4" xfId="0" applyFill="1" applyBorder="1" applyAlignment="1">
      <alignment horizontal="center" vertical="center" wrapText="1"/>
    </xf>
    <xf numFmtId="0" fontId="0" fillId="0" borderId="22" xfId="0" applyBorder="1" applyAlignment="1">
      <alignment vertical="center" wrapText="1"/>
    </xf>
    <xf numFmtId="169" fontId="0" fillId="0" borderId="12" xfId="0" applyNumberFormat="1" applyFont="1" applyFill="1" applyBorder="1" applyAlignment="1">
      <alignment horizontal="center"/>
    </xf>
    <xf numFmtId="0" fontId="7" fillId="0" borderId="2" xfId="2191" applyFont="1" applyBorder="1" applyAlignment="1">
      <alignment horizontal="center" vertical="center"/>
    </xf>
    <xf numFmtId="2" fontId="0" fillId="0" borderId="1" xfId="0" applyNumberFormat="1" applyFill="1" applyBorder="1" applyAlignment="1">
      <alignment horizontal="center"/>
    </xf>
    <xf numFmtId="169" fontId="0" fillId="0" borderId="1" xfId="0" applyNumberFormat="1" applyFill="1" applyBorder="1" applyAlignment="1">
      <alignment horizontal="center"/>
    </xf>
    <xf numFmtId="0" fontId="0" fillId="0" borderId="48" xfId="0" applyBorder="1" applyAlignment="1">
      <alignment horizontal="center" vertical="center" wrapText="1"/>
    </xf>
    <xf numFmtId="0" fontId="23" fillId="0" borderId="4" xfId="0" applyFont="1" applyBorder="1" applyAlignment="1">
      <alignment horizontal="center" vertical="center" wrapText="1"/>
    </xf>
    <xf numFmtId="0" fontId="0" fillId="0" borderId="4" xfId="0" applyBorder="1" applyAlignment="1">
      <alignment horizontal="center" vertical="center"/>
    </xf>
    <xf numFmtId="0" fontId="0" fillId="0" borderId="0" xfId="0" applyBorder="1" applyAlignment="1">
      <alignment horizontal="center" vertical="center"/>
    </xf>
    <xf numFmtId="0" fontId="0" fillId="0" borderId="19" xfId="0" applyBorder="1" applyAlignment="1">
      <alignment horizontal="center" vertical="center"/>
    </xf>
    <xf numFmtId="0" fontId="23" fillId="0" borderId="4" xfId="0" applyFont="1" applyFill="1" applyBorder="1" applyAlignment="1">
      <alignment horizontal="center" vertical="center" wrapText="1"/>
    </xf>
    <xf numFmtId="2" fontId="23" fillId="0" borderId="4" xfId="0" applyNumberFormat="1" applyFont="1" applyFill="1" applyBorder="1" applyAlignment="1">
      <alignment horizontal="center" vertical="center" wrapText="1"/>
    </xf>
    <xf numFmtId="0" fontId="62" fillId="0" borderId="4" xfId="0" applyFont="1" applyFill="1" applyBorder="1" applyAlignment="1">
      <alignment horizontal="center" vertical="center"/>
    </xf>
    <xf numFmtId="0" fontId="23" fillId="3" borderId="3" xfId="0" applyFont="1" applyFill="1" applyBorder="1" applyAlignment="1">
      <alignment horizontal="center" vertical="center" wrapText="1"/>
    </xf>
    <xf numFmtId="0" fontId="23" fillId="0" borderId="2" xfId="0" applyFont="1" applyFill="1" applyBorder="1" applyAlignment="1">
      <alignment horizontal="center" vertical="center" wrapText="1"/>
    </xf>
    <xf numFmtId="0" fontId="0" fillId="0" borderId="4" xfId="0" applyFill="1" applyBorder="1" applyAlignment="1">
      <alignment horizontal="center" vertical="center"/>
    </xf>
    <xf numFmtId="0" fontId="0" fillId="0" borderId="2" xfId="0" applyFill="1" applyBorder="1" applyAlignment="1">
      <alignment horizontal="center" vertical="center"/>
    </xf>
    <xf numFmtId="169" fontId="0" fillId="39" borderId="4" xfId="0" applyNumberFormat="1" applyFill="1" applyBorder="1" applyAlignment="1">
      <alignment horizontal="center" vertical="center" wrapText="1"/>
    </xf>
    <xf numFmtId="0" fontId="62" fillId="39" borderId="4" xfId="0" applyFont="1" applyFill="1" applyBorder="1" applyAlignment="1">
      <alignment horizontal="center" vertical="center"/>
    </xf>
    <xf numFmtId="0" fontId="0" fillId="39" borderId="4" xfId="0" applyFill="1" applyBorder="1" applyAlignment="1">
      <alignment horizontal="center" vertical="center" wrapText="1"/>
    </xf>
    <xf numFmtId="0" fontId="0" fillId="39" borderId="4" xfId="0" applyFill="1" applyBorder="1" applyAlignment="1">
      <alignment horizontal="center" vertical="center"/>
    </xf>
    <xf numFmtId="2" fontId="0" fillId="39" borderId="4" xfId="0" applyNumberFormat="1" applyFill="1" applyBorder="1" applyAlignment="1">
      <alignment horizontal="center" vertical="center" wrapText="1"/>
    </xf>
    <xf numFmtId="0" fontId="0" fillId="39" borderId="21" xfId="0" applyFill="1" applyBorder="1" applyAlignment="1">
      <alignment horizontal="center" vertical="center" wrapText="1"/>
    </xf>
    <xf numFmtId="0" fontId="62" fillId="39" borderId="2" xfId="0" applyFont="1" applyFill="1" applyBorder="1" applyAlignment="1">
      <alignment horizontal="center" vertical="center"/>
    </xf>
    <xf numFmtId="0" fontId="0" fillId="39" borderId="2" xfId="0" applyFill="1" applyBorder="1" applyAlignment="1">
      <alignment horizontal="center" vertical="center"/>
    </xf>
    <xf numFmtId="0" fontId="0" fillId="6" borderId="4" xfId="0" applyFill="1" applyBorder="1" applyAlignment="1">
      <alignment horizontal="center"/>
    </xf>
    <xf numFmtId="0" fontId="23" fillId="6" borderId="4" xfId="0" applyFont="1" applyFill="1" applyBorder="1" applyAlignment="1">
      <alignment horizontal="center" vertical="center"/>
    </xf>
    <xf numFmtId="0" fontId="0" fillId="6" borderId="4" xfId="0" applyFont="1" applyFill="1" applyBorder="1" applyAlignment="1">
      <alignment horizontal="center"/>
    </xf>
    <xf numFmtId="0" fontId="0" fillId="6" borderId="4" xfId="0" applyFill="1" applyBorder="1" applyAlignment="1">
      <alignment horizontal="center"/>
    </xf>
    <xf numFmtId="0" fontId="23" fillId="6" borderId="4" xfId="0" applyFont="1" applyFill="1" applyBorder="1" applyAlignment="1">
      <alignment horizontal="center" vertical="center"/>
    </xf>
    <xf numFmtId="0" fontId="0" fillId="6" borderId="4" xfId="0" applyFont="1" applyFill="1" applyBorder="1" applyAlignment="1">
      <alignment horizontal="center"/>
    </xf>
    <xf numFmtId="0" fontId="23" fillId="3" borderId="1" xfId="0" applyFont="1" applyFill="1" applyBorder="1" applyAlignment="1">
      <alignment horizontal="center" vertical="center"/>
    </xf>
    <xf numFmtId="0" fontId="0" fillId="0" borderId="0" xfId="0" applyFont="1" applyBorder="1"/>
    <xf numFmtId="0" fontId="0" fillId="0" borderId="12" xfId="0" applyBorder="1"/>
    <xf numFmtId="0" fontId="0" fillId="0" borderId="4" xfId="0" applyFont="1" applyBorder="1"/>
    <xf numFmtId="0" fontId="0" fillId="0" borderId="31"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xf>
    <xf numFmtId="0" fontId="0" fillId="6" borderId="4" xfId="0" applyFill="1" applyBorder="1" applyAlignment="1">
      <alignment horizontal="center"/>
    </xf>
    <xf numFmtId="169" fontId="8" fillId="0" borderId="0" xfId="0" applyNumberFormat="1" applyFont="1" applyBorder="1" applyAlignment="1">
      <alignment horizontal="center" vertical="center"/>
    </xf>
    <xf numFmtId="0" fontId="23" fillId="6" borderId="4" xfId="0" applyFont="1" applyFill="1" applyBorder="1" applyAlignment="1">
      <alignment horizontal="center" vertical="center"/>
    </xf>
    <xf numFmtId="0" fontId="0" fillId="6" borderId="4" xfId="0" applyFont="1" applyFill="1" applyBorder="1" applyAlignment="1">
      <alignment horizontal="center"/>
    </xf>
    <xf numFmtId="0" fontId="12" fillId="0" borderId="4" xfId="0" applyFont="1" applyBorder="1" applyAlignment="1">
      <alignment horizontal="center" vertical="center"/>
    </xf>
    <xf numFmtId="0" fontId="23" fillId="0" borderId="28" xfId="0" applyFont="1" applyBorder="1" applyAlignment="1">
      <alignment horizontal="center" vertical="center"/>
    </xf>
    <xf numFmtId="0" fontId="0" fillId="0" borderId="28" xfId="0" applyBorder="1" applyAlignment="1">
      <alignment horizontal="center" vertical="center"/>
    </xf>
    <xf numFmtId="0" fontId="43" fillId="2" borderId="4" xfId="506" applyFont="1" applyFill="1" applyBorder="1" applyAlignment="1">
      <alignment horizontal="center" vertical="center" wrapText="1"/>
    </xf>
    <xf numFmtId="194" fontId="25" fillId="0" borderId="4" xfId="0" applyNumberFormat="1" applyFont="1" applyBorder="1" applyAlignment="1">
      <alignment horizontal="center" vertical="center"/>
    </xf>
    <xf numFmtId="2" fontId="0" fillId="0" borderId="28" xfId="0" applyNumberFormat="1" applyFont="1" applyBorder="1" applyAlignment="1">
      <alignment horizontal="center" vertical="center"/>
    </xf>
    <xf numFmtId="0" fontId="37" fillId="0" borderId="22" xfId="0" applyFont="1" applyBorder="1" applyAlignment="1">
      <alignment horizontal="center" vertical="center"/>
    </xf>
    <xf numFmtId="10" fontId="37" fillId="0" borderId="25" xfId="497" applyNumberFormat="1" applyFont="1" applyBorder="1" applyAlignment="1">
      <alignment horizontal="center" vertical="center"/>
    </xf>
    <xf numFmtId="2" fontId="25" fillId="0" borderId="4" xfId="0" applyNumberFormat="1" applyFont="1" applyBorder="1" applyAlignment="1">
      <alignment horizontal="center" vertical="center"/>
    </xf>
    <xf numFmtId="0" fontId="23" fillId="0" borderId="21" xfId="0" applyFont="1" applyBorder="1" applyAlignment="1">
      <alignment horizontal="center" vertical="center"/>
    </xf>
    <xf numFmtId="0" fontId="23" fillId="0" borderId="7" xfId="0" applyFont="1" applyBorder="1"/>
    <xf numFmtId="0" fontId="23" fillId="0" borderId="4" xfId="0" applyFont="1" applyBorder="1" applyAlignment="1">
      <alignment horizontal="left" vertical="center"/>
    </xf>
    <xf numFmtId="169" fontId="23" fillId="0" borderId="4" xfId="0" applyNumberFormat="1" applyFont="1" applyBorder="1" applyAlignment="1">
      <alignment horizontal="center" vertical="center"/>
    </xf>
    <xf numFmtId="2" fontId="23" fillId="6" borderId="4" xfId="0" applyNumberFormat="1" applyFont="1" applyFill="1" applyBorder="1" applyAlignment="1">
      <alignment horizontal="left"/>
    </xf>
    <xf numFmtId="0" fontId="19" fillId="0" borderId="7" xfId="8" applyFont="1" applyFill="1" applyBorder="1" applyAlignment="1">
      <alignment horizontal="justify" vertical="top"/>
    </xf>
    <xf numFmtId="0" fontId="0" fillId="0" borderId="4" xfId="0" applyBorder="1" applyAlignment="1">
      <alignment horizontal="center" vertical="center"/>
    </xf>
    <xf numFmtId="169" fontId="0" fillId="0" borderId="12" xfId="0" applyNumberFormat="1" applyFont="1" applyBorder="1" applyAlignment="1">
      <alignment horizontal="center" vertical="center"/>
    </xf>
    <xf numFmtId="169" fontId="0" fillId="0" borderId="0" xfId="0" applyNumberFormat="1" applyFont="1" applyBorder="1" applyAlignment="1">
      <alignment horizontal="center" vertical="center"/>
    </xf>
    <xf numFmtId="1" fontId="0" fillId="39" borderId="1" xfId="0" applyNumberFormat="1" applyFill="1" applyBorder="1" applyAlignment="1">
      <alignment horizontal="center"/>
    </xf>
    <xf numFmtId="0" fontId="15" fillId="4" borderId="4" xfId="8" applyFont="1" applyFill="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0" fontId="0" fillId="0" borderId="3" xfId="0" applyBorder="1" applyAlignment="1">
      <alignment horizontal="center" vertical="center" wrapText="1"/>
    </xf>
    <xf numFmtId="1" fontId="7" fillId="0" borderId="4" xfId="0" applyNumberFormat="1" applyFont="1" applyFill="1" applyBorder="1" applyAlignment="1">
      <alignment horizontal="center" vertical="center"/>
    </xf>
    <xf numFmtId="1" fontId="25" fillId="3" borderId="4" xfId="502" applyNumberFormat="1" applyFont="1" applyFill="1" applyBorder="1" applyAlignment="1">
      <alignment horizontal="center"/>
    </xf>
    <xf numFmtId="1" fontId="25" fillId="3" borderId="4" xfId="502" applyNumberFormat="1" applyFont="1" applyFill="1" applyBorder="1" applyAlignment="1">
      <alignment horizontal="center" vertical="center"/>
    </xf>
    <xf numFmtId="0" fontId="24" fillId="3" borderId="4" xfId="85" applyFont="1" applyFill="1" applyBorder="1" applyAlignment="1">
      <alignment horizontal="center" vertical="center"/>
    </xf>
    <xf numFmtId="0" fontId="0" fillId="3" borderId="4" xfId="0" applyFill="1" applyBorder="1" applyAlignment="1">
      <alignment horizontal="center" vertical="center"/>
    </xf>
    <xf numFmtId="0" fontId="0" fillId="40" borderId="4" xfId="0" applyFill="1" applyBorder="1" applyAlignment="1">
      <alignment horizontal="center" vertical="center"/>
    </xf>
    <xf numFmtId="169" fontId="0" fillId="0" borderId="0" xfId="0" applyNumberFormat="1"/>
    <xf numFmtId="0" fontId="0" fillId="0" borderId="48"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xf>
    <xf numFmtId="0" fontId="24" fillId="9" borderId="4" xfId="504" applyFont="1" applyFill="1" applyBorder="1" applyAlignment="1">
      <alignment horizontal="center" vertical="center"/>
    </xf>
    <xf numFmtId="1" fontId="19" fillId="3" borderId="4" xfId="8" applyNumberFormat="1" applyFont="1" applyFill="1" applyBorder="1" applyAlignment="1">
      <alignment horizontal="center" vertical="center"/>
    </xf>
    <xf numFmtId="2" fontId="0" fillId="0" borderId="4" xfId="0" applyNumberFormat="1" applyFill="1" applyBorder="1" applyAlignment="1">
      <alignment horizontal="center" vertical="center" wrapText="1"/>
    </xf>
    <xf numFmtId="0" fontId="62" fillId="0" borderId="2" xfId="0" applyFont="1" applyFill="1" applyBorder="1" applyAlignment="1">
      <alignment horizontal="center" vertical="center"/>
    </xf>
    <xf numFmtId="43" fontId="0" fillId="0" borderId="4" xfId="0" applyNumberFormat="1" applyBorder="1"/>
    <xf numFmtId="43" fontId="0" fillId="0" borderId="4" xfId="0" applyNumberFormat="1" applyBorder="1" applyAlignment="1">
      <alignment horizontal="center" vertical="center"/>
    </xf>
    <xf numFmtId="2" fontId="23" fillId="3" borderId="4" xfId="0" applyNumberFormat="1" applyFont="1" applyFill="1" applyBorder="1" applyAlignment="1">
      <alignment horizontal="right" vertical="center" wrapText="1"/>
    </xf>
    <xf numFmtId="2" fontId="0" fillId="0" borderId="4" xfId="0" applyNumberFormat="1" applyBorder="1" applyAlignment="1">
      <alignment horizontal="right" vertical="center" wrapText="1"/>
    </xf>
    <xf numFmtId="0" fontId="0" fillId="0" borderId="4" xfId="0" applyBorder="1" applyAlignment="1">
      <alignment horizontal="center" vertical="center"/>
    </xf>
    <xf numFmtId="0" fontId="23" fillId="0" borderId="4" xfId="0" applyFont="1" applyBorder="1" applyAlignment="1">
      <alignment horizontal="center" vertical="center"/>
    </xf>
    <xf numFmtId="0" fontId="0" fillId="0" borderId="4" xfId="0" applyBorder="1" applyAlignment="1">
      <alignment horizontal="center" vertical="center"/>
    </xf>
    <xf numFmtId="0" fontId="23" fillId="0" borderId="12" xfId="85" applyFont="1" applyBorder="1" applyAlignment="1">
      <alignment horizontal="center" vertical="center"/>
    </xf>
    <xf numFmtId="0" fontId="23" fillId="0" borderId="4" xfId="85" applyFont="1" applyBorder="1" applyAlignment="1">
      <alignment horizontal="center" vertical="center"/>
    </xf>
    <xf numFmtId="0" fontId="25" fillId="3" borderId="4" xfId="0" applyFont="1" applyFill="1" applyBorder="1" applyAlignment="1">
      <alignment horizontal="center" vertical="center"/>
    </xf>
    <xf numFmtId="0" fontId="23" fillId="0" borderId="4" xfId="0" applyFont="1" applyBorder="1" applyAlignment="1">
      <alignment horizontal="left"/>
    </xf>
    <xf numFmtId="0" fontId="0" fillId="0" borderId="21" xfId="0" applyFont="1" applyBorder="1" applyAlignment="1">
      <alignment horizontal="center" vertical="center"/>
    </xf>
    <xf numFmtId="0" fontId="0" fillId="0" borderId="7" xfId="0" applyFont="1" applyBorder="1"/>
    <xf numFmtId="0" fontId="0" fillId="0" borderId="4" xfId="0" applyFont="1" applyBorder="1" applyAlignment="1">
      <alignment horizontal="left" vertical="center"/>
    </xf>
    <xf numFmtId="169" fontId="0" fillId="0" borderId="4" xfId="0" applyNumberFormat="1" applyFont="1" applyBorder="1" applyAlignment="1">
      <alignment horizontal="center" vertical="center"/>
    </xf>
    <xf numFmtId="169" fontId="0" fillId="3" borderId="22" xfId="0" applyNumberFormat="1" applyFont="1" applyFill="1" applyBorder="1" applyAlignment="1">
      <alignment horizontal="center" vertical="center"/>
    </xf>
    <xf numFmtId="0" fontId="94" fillId="0" borderId="11" xfId="0" applyFont="1" applyBorder="1" applyAlignment="1">
      <alignment vertical="center"/>
    </xf>
    <xf numFmtId="0" fontId="94" fillId="0" borderId="0" xfId="0" applyFont="1" applyBorder="1" applyAlignment="1">
      <alignment vertical="center"/>
    </xf>
    <xf numFmtId="2" fontId="95" fillId="0" borderId="4" xfId="0" applyNumberFormat="1" applyFont="1" applyBorder="1" applyAlignment="1">
      <alignment horizontal="center" vertical="center" wrapText="1"/>
    </xf>
    <xf numFmtId="0" fontId="95" fillId="0" borderId="4" xfId="0" applyFont="1" applyBorder="1" applyAlignment="1">
      <alignment horizontal="center" vertical="center" wrapText="1"/>
    </xf>
    <xf numFmtId="0" fontId="96" fillId="0" borderId="4" xfId="0" applyFont="1" applyBorder="1" applyAlignment="1">
      <alignment horizontal="center" vertical="center"/>
    </xf>
    <xf numFmtId="0" fontId="62" fillId="0" borderId="4" xfId="0" applyFont="1" applyBorder="1" applyAlignment="1">
      <alignment horizontal="center"/>
    </xf>
    <xf numFmtId="2" fontId="96" fillId="0" borderId="4" xfId="0" applyNumberFormat="1" applyFont="1" applyBorder="1" applyAlignment="1"/>
    <xf numFmtId="1" fontId="96" fillId="0" borderId="4" xfId="0" applyNumberFormat="1" applyFont="1" applyBorder="1" applyAlignment="1"/>
    <xf numFmtId="1" fontId="96" fillId="0" borderId="4" xfId="0" applyNumberFormat="1" applyFont="1" applyBorder="1" applyAlignment="1">
      <alignment horizontal="center" vertical="center"/>
    </xf>
    <xf numFmtId="1" fontId="62" fillId="0" borderId="4" xfId="0" applyNumberFormat="1" applyFont="1" applyBorder="1" applyAlignment="1">
      <alignment horizontal="center"/>
    </xf>
    <xf numFmtId="2" fontId="62" fillId="0" borderId="4" xfId="0" applyNumberFormat="1" applyFont="1" applyBorder="1" applyAlignment="1">
      <alignment horizontal="center"/>
    </xf>
    <xf numFmtId="0" fontId="62" fillId="0" borderId="4" xfId="0" applyFont="1" applyBorder="1" applyAlignment="1"/>
    <xf numFmtId="0" fontId="0" fillId="2" borderId="7" xfId="0" applyFill="1" applyBorder="1" applyAlignment="1">
      <alignment vertical="center"/>
    </xf>
    <xf numFmtId="0" fontId="96" fillId="0" borderId="4" xfId="0" applyFont="1" applyFill="1" applyBorder="1" applyAlignment="1"/>
    <xf numFmtId="1" fontId="62" fillId="0" borderId="4" xfId="0" applyNumberFormat="1" applyFont="1" applyBorder="1" applyAlignment="1"/>
    <xf numFmtId="1" fontId="62" fillId="0" borderId="4" xfId="0" applyNumberFormat="1" applyFont="1" applyBorder="1" applyAlignment="1">
      <alignment horizontal="center" vertical="center"/>
    </xf>
    <xf numFmtId="0" fontId="0" fillId="0" borderId="4" xfId="0" applyBorder="1" applyAlignment="1">
      <alignment vertical="center"/>
    </xf>
    <xf numFmtId="165" fontId="62" fillId="0" borderId="4" xfId="1" applyFont="1" applyBorder="1" applyAlignment="1">
      <alignment horizontal="center"/>
    </xf>
    <xf numFmtId="0" fontId="62" fillId="0" borderId="4" xfId="0" applyFont="1" applyFill="1" applyBorder="1" applyAlignment="1"/>
    <xf numFmtId="0" fontId="0" fillId="0" borderId="7" xfId="0" applyFill="1" applyBorder="1" applyAlignment="1">
      <alignment vertical="center"/>
    </xf>
    <xf numFmtId="1" fontId="62" fillId="0" borderId="4" xfId="0" applyNumberFormat="1" applyFont="1" applyFill="1" applyBorder="1" applyAlignment="1"/>
    <xf numFmtId="1" fontId="62" fillId="0" borderId="4" xfId="0" applyNumberFormat="1" applyFont="1" applyFill="1" applyBorder="1" applyAlignment="1">
      <alignment horizontal="center" vertical="center"/>
    </xf>
    <xf numFmtId="1" fontId="62" fillId="0" borderId="4" xfId="0" applyNumberFormat="1" applyFont="1" applyFill="1" applyBorder="1" applyAlignment="1">
      <alignment horizontal="center"/>
    </xf>
    <xf numFmtId="2" fontId="62" fillId="0" borderId="4" xfId="0" applyNumberFormat="1" applyFont="1" applyFill="1" applyBorder="1" applyAlignment="1">
      <alignment horizontal="center"/>
    </xf>
    <xf numFmtId="0" fontId="0" fillId="0" borderId="4" xfId="0" applyFill="1" applyBorder="1" applyAlignment="1">
      <alignment vertical="center"/>
    </xf>
    <xf numFmtId="165" fontId="62" fillId="0" borderId="4" xfId="1" applyFont="1" applyFill="1" applyBorder="1" applyAlignment="1">
      <alignment horizontal="center"/>
    </xf>
    <xf numFmtId="0" fontId="0" fillId="0" borderId="0" xfId="0" applyFill="1" applyAlignment="1">
      <alignment vertical="center"/>
    </xf>
    <xf numFmtId="0" fontId="96" fillId="3" borderId="4" xfId="0" applyFont="1" applyFill="1" applyBorder="1" applyAlignment="1"/>
    <xf numFmtId="1" fontId="62" fillId="3" borderId="4" xfId="0" applyNumberFormat="1" applyFont="1" applyFill="1" applyBorder="1" applyAlignment="1"/>
    <xf numFmtId="1" fontId="62" fillId="3" borderId="4" xfId="0" applyNumberFormat="1" applyFont="1" applyFill="1" applyBorder="1" applyAlignment="1">
      <alignment horizontal="center" vertical="center"/>
    </xf>
    <xf numFmtId="1" fontId="62" fillId="3" borderId="4" xfId="0" applyNumberFormat="1" applyFont="1" applyFill="1" applyBorder="1" applyAlignment="1">
      <alignment horizontal="center"/>
    </xf>
    <xf numFmtId="2" fontId="62" fillId="3" borderId="4" xfId="0" applyNumberFormat="1" applyFont="1" applyFill="1" applyBorder="1" applyAlignment="1">
      <alignment horizontal="center"/>
    </xf>
    <xf numFmtId="0" fontId="0" fillId="3" borderId="4" xfId="0" applyFill="1" applyBorder="1" applyAlignment="1">
      <alignment vertical="center"/>
    </xf>
    <xf numFmtId="2" fontId="96" fillId="3" borderId="4" xfId="0" applyNumberFormat="1" applyFont="1" applyFill="1" applyBorder="1" applyAlignment="1">
      <alignment horizontal="center"/>
    </xf>
    <xf numFmtId="2" fontId="23" fillId="0" borderId="0" xfId="0" applyNumberFormat="1" applyFont="1" applyAlignment="1">
      <alignment vertical="center"/>
    </xf>
    <xf numFmtId="1" fontId="0" fillId="0" borderId="0" xfId="0" applyNumberFormat="1" applyAlignment="1">
      <alignment vertical="center"/>
    </xf>
    <xf numFmtId="1" fontId="0" fillId="0" borderId="0" xfId="0" applyNumberFormat="1" applyAlignment="1">
      <alignment horizontal="center" vertical="center"/>
    </xf>
    <xf numFmtId="1" fontId="0" fillId="2" borderId="7" xfId="0" applyNumberFormat="1" applyFill="1" applyBorder="1" applyAlignment="1">
      <alignment vertical="center"/>
    </xf>
    <xf numFmtId="0" fontId="0" fillId="3" borderId="7" xfId="0" applyFill="1" applyBorder="1" applyAlignment="1">
      <alignment vertical="center"/>
    </xf>
    <xf numFmtId="2" fontId="96" fillId="3" borderId="4" xfId="0" applyNumberFormat="1" applyFont="1" applyFill="1" applyBorder="1" applyAlignment="1"/>
    <xf numFmtId="1" fontId="0" fillId="0" borderId="4" xfId="0" applyNumberFormat="1" applyBorder="1" applyAlignment="1">
      <alignment vertical="center"/>
    </xf>
    <xf numFmtId="2" fontId="96" fillId="0" borderId="4" xfId="0" applyNumberFormat="1" applyFont="1" applyBorder="1" applyAlignment="1">
      <alignment horizontal="center"/>
    </xf>
    <xf numFmtId="0" fontId="62" fillId="0" borderId="0" xfId="0" applyFont="1" applyAlignment="1">
      <alignment horizontal="center"/>
    </xf>
    <xf numFmtId="1" fontId="62" fillId="0" borderId="0" xfId="0" applyNumberFormat="1" applyFont="1" applyAlignment="1">
      <alignment horizontal="center"/>
    </xf>
    <xf numFmtId="2" fontId="62" fillId="0" borderId="0" xfId="0" applyNumberFormat="1" applyFont="1" applyAlignment="1">
      <alignment horizontal="center"/>
    </xf>
    <xf numFmtId="2" fontId="0" fillId="0" borderId="0" xfId="0" applyNumberFormat="1" applyAlignment="1">
      <alignment vertical="center"/>
    </xf>
    <xf numFmtId="3" fontId="15" fillId="0" borderId="4" xfId="8" applyNumberFormat="1" applyFont="1" applyFill="1" applyBorder="1" applyAlignment="1">
      <alignment horizontal="center" vertical="center"/>
    </xf>
    <xf numFmtId="1" fontId="12" fillId="0" borderId="4" xfId="85" applyNumberFormat="1" applyFont="1" applyBorder="1" applyAlignment="1">
      <alignment horizontal="center" vertical="center"/>
    </xf>
    <xf numFmtId="1" fontId="0" fillId="0" borderId="4" xfId="0" applyNumberFormat="1" applyFont="1" applyBorder="1" applyAlignment="1">
      <alignment horizontal="center" vertical="center"/>
    </xf>
    <xf numFmtId="0" fontId="0" fillId="3" borderId="22" xfId="0" applyFill="1" applyBorder="1"/>
    <xf numFmtId="0" fontId="23" fillId="0" borderId="4" xfId="85" applyFont="1" applyBorder="1" applyAlignment="1">
      <alignment horizontal="center"/>
    </xf>
    <xf numFmtId="169" fontId="16" fillId="0" borderId="4" xfId="8" applyNumberFormat="1" applyFont="1" applyBorder="1" applyAlignment="1">
      <alignment horizontal="center" vertical="center"/>
    </xf>
    <xf numFmtId="0" fontId="23" fillId="0" borderId="0" xfId="0" applyFont="1" applyBorder="1" applyAlignment="1">
      <alignment horizontal="left" vertical="center"/>
    </xf>
    <xf numFmtId="0" fontId="23" fillId="3" borderId="4" xfId="0" applyFont="1" applyFill="1" applyBorder="1" applyAlignment="1">
      <alignment wrapText="1"/>
    </xf>
    <xf numFmtId="17" fontId="36" fillId="0" borderId="4" xfId="84" applyNumberFormat="1" applyFont="1" applyFill="1" applyBorder="1" applyAlignment="1">
      <alignment horizontal="center" vertical="center" wrapText="1"/>
    </xf>
    <xf numFmtId="194" fontId="7" fillId="0" borderId="4" xfId="0" applyNumberFormat="1" applyFont="1" applyFill="1" applyBorder="1" applyAlignment="1">
      <alignment horizontal="center" vertical="center"/>
    </xf>
    <xf numFmtId="0" fontId="7" fillId="0" borderId="4" xfId="0" applyFont="1" applyFill="1" applyBorder="1" applyAlignment="1">
      <alignment horizontal="center" vertical="center"/>
    </xf>
    <xf numFmtId="2" fontId="7" fillId="0" borderId="4" xfId="0" applyNumberFormat="1" applyFont="1" applyFill="1" applyBorder="1" applyAlignment="1">
      <alignment horizontal="center" vertical="center"/>
    </xf>
    <xf numFmtId="194" fontId="7" fillId="0" borderId="4" xfId="0" applyNumberFormat="1" applyFont="1" applyBorder="1" applyAlignment="1">
      <alignment horizontal="center" vertical="center"/>
    </xf>
    <xf numFmtId="1" fontId="7" fillId="0" borderId="4" xfId="0" applyNumberFormat="1" applyFont="1" applyBorder="1" applyAlignment="1">
      <alignment horizontal="center" vertical="center"/>
    </xf>
    <xf numFmtId="2" fontId="7" fillId="0" borderId="4" xfId="0" applyNumberFormat="1" applyFont="1" applyBorder="1" applyAlignment="1">
      <alignment horizontal="center" vertical="center"/>
    </xf>
    <xf numFmtId="0" fontId="42" fillId="2" borderId="3" xfId="506" applyFont="1" applyFill="1" applyBorder="1" applyAlignment="1">
      <alignment horizontal="center" vertical="center" wrapText="1"/>
    </xf>
    <xf numFmtId="0" fontId="7" fillId="0" borderId="2" xfId="2191" applyFont="1" applyFill="1" applyBorder="1" applyAlignment="1">
      <alignment horizontal="center" vertical="center"/>
    </xf>
    <xf numFmtId="0" fontId="7" fillId="0" borderId="0" xfId="2191" applyFont="1" applyFill="1" applyAlignment="1">
      <alignment horizontal="center" vertical="center"/>
    </xf>
    <xf numFmtId="0" fontId="7" fillId="0" borderId="4" xfId="2191" applyFont="1" applyFill="1" applyBorder="1" applyAlignment="1">
      <alignment horizontal="center" vertical="center"/>
    </xf>
    <xf numFmtId="0" fontId="7" fillId="0" borderId="2" xfId="0" applyFont="1" applyFill="1" applyBorder="1" applyAlignment="1">
      <alignment horizontal="center" vertical="center"/>
    </xf>
    <xf numFmtId="18" fontId="7" fillId="0" borderId="2" xfId="2191" applyNumberFormat="1" applyFont="1" applyFill="1" applyBorder="1" applyAlignment="1">
      <alignment horizontal="center" vertical="center"/>
    </xf>
    <xf numFmtId="194" fontId="7" fillId="0" borderId="2" xfId="2191" applyNumberFormat="1" applyFont="1" applyFill="1" applyBorder="1" applyAlignment="1">
      <alignment horizontal="center" vertical="center"/>
    </xf>
    <xf numFmtId="2" fontId="7" fillId="0" borderId="2" xfId="0" applyNumberFormat="1" applyFont="1" applyFill="1" applyBorder="1" applyAlignment="1">
      <alignment horizontal="center" vertical="center"/>
    </xf>
    <xf numFmtId="0" fontId="0" fillId="0" borderId="2" xfId="0" applyFill="1" applyBorder="1" applyAlignment="1">
      <alignment horizontal="center" vertical="center" wrapText="1"/>
    </xf>
    <xf numFmtId="0" fontId="0" fillId="3" borderId="7" xfId="0" applyFill="1" applyBorder="1"/>
    <xf numFmtId="0" fontId="0" fillId="3" borderId="7" xfId="0" applyFont="1" applyFill="1" applyBorder="1"/>
    <xf numFmtId="0" fontId="0" fillId="10" borderId="4" xfId="0" applyFill="1" applyBorder="1" applyAlignment="1">
      <alignment vertical="center"/>
    </xf>
    <xf numFmtId="0" fontId="0" fillId="0" borderId="4" xfId="0" applyFill="1" applyBorder="1" applyAlignment="1">
      <alignment horizontal="right" vertical="center"/>
    </xf>
    <xf numFmtId="2" fontId="62" fillId="0" borderId="4" xfId="0" applyNumberFormat="1" applyFont="1" applyBorder="1" applyAlignment="1">
      <alignment horizontal="right"/>
    </xf>
    <xf numFmtId="0" fontId="0" fillId="0" borderId="4" xfId="0" applyBorder="1" applyAlignment="1">
      <alignment horizontal="right" vertical="center"/>
    </xf>
    <xf numFmtId="0" fontId="16" fillId="0" borderId="0" xfId="8" applyNumberFormat="1" applyFont="1" applyAlignment="1">
      <alignment horizontal="center" vertical="center"/>
    </xf>
    <xf numFmtId="1" fontId="16" fillId="0" borderId="0" xfId="8" applyNumberFormat="1" applyFont="1" applyAlignment="1">
      <alignment horizontal="center" vertical="center"/>
    </xf>
    <xf numFmtId="2" fontId="16" fillId="0" borderId="4" xfId="8" applyNumberFormat="1" applyFont="1" applyFill="1" applyBorder="1" applyAlignment="1">
      <alignment horizontal="center"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4" xfId="0" applyBorder="1" applyAlignment="1">
      <alignment horizontal="center" vertical="center"/>
    </xf>
    <xf numFmtId="0" fontId="0" fillId="0" borderId="4" xfId="0" applyFont="1" applyBorder="1" applyAlignment="1">
      <alignment horizontal="left" vertical="top" wrapText="1"/>
    </xf>
    <xf numFmtId="2" fontId="0" fillId="0" borderId="5" xfId="0" applyNumberFormat="1" applyFill="1" applyBorder="1" applyAlignment="1">
      <alignment horizontal="center" vertical="center" wrapText="1"/>
    </xf>
    <xf numFmtId="2" fontId="0" fillId="0" borderId="5" xfId="0" applyNumberFormat="1" applyBorder="1" applyAlignment="1">
      <alignment horizontal="center" vertical="center" wrapText="1"/>
    </xf>
    <xf numFmtId="0" fontId="23" fillId="0" borderId="4" xfId="0" applyFont="1" applyBorder="1" applyAlignment="1">
      <alignment horizontal="left" vertical="center" wrapText="1"/>
    </xf>
    <xf numFmtId="43" fontId="23" fillId="0" borderId="4" xfId="0" applyNumberFormat="1" applyFont="1" applyBorder="1"/>
    <xf numFmtId="0" fontId="0" fillId="0" borderId="5" xfId="0" applyBorder="1"/>
    <xf numFmtId="43" fontId="0" fillId="0" borderId="5" xfId="0" applyNumberFormat="1" applyBorder="1"/>
    <xf numFmtId="43" fontId="23" fillId="0" borderId="5" xfId="0" applyNumberFormat="1" applyFont="1" applyBorder="1"/>
    <xf numFmtId="0" fontId="23" fillId="3" borderId="4" xfId="0" applyFont="1" applyFill="1" applyBorder="1"/>
    <xf numFmtId="43" fontId="0" fillId="0" borderId="5" xfId="0" applyNumberFormat="1" applyBorder="1" applyAlignment="1">
      <alignment horizontal="center" vertical="center"/>
    </xf>
    <xf numFmtId="169" fontId="0" fillId="0" borderId="4" xfId="0" applyNumberFormat="1" applyBorder="1" applyAlignment="1">
      <alignment horizontal="center"/>
    </xf>
    <xf numFmtId="0" fontId="0" fillId="0" borderId="4" xfId="0" applyBorder="1" applyAlignment="1">
      <alignment horizontal="center" vertical="center"/>
    </xf>
    <xf numFmtId="0" fontId="23" fillId="0" borderId="4" xfId="0" applyFont="1" applyBorder="1" applyAlignment="1">
      <alignment horizontal="center" vertical="center"/>
    </xf>
    <xf numFmtId="0" fontId="0" fillId="0" borderId="4" xfId="0" applyBorder="1" applyAlignment="1">
      <alignment horizontal="center" vertical="center"/>
    </xf>
    <xf numFmtId="0" fontId="0" fillId="0" borderId="0" xfId="0" applyBorder="1" applyAlignment="1">
      <alignment horizontal="center" vertical="center"/>
    </xf>
    <xf numFmtId="0" fontId="95" fillId="0" borderId="4" xfId="0" applyFont="1" applyBorder="1" applyAlignment="1">
      <alignment horizontal="center" vertical="center" wrapText="1"/>
    </xf>
    <xf numFmtId="171" fontId="0" fillId="0" borderId="4" xfId="0" applyNumberFormat="1" applyBorder="1" applyAlignment="1">
      <alignment horizontal="center" vertical="center"/>
    </xf>
    <xf numFmtId="169" fontId="0" fillId="0" borderId="4" xfId="0" applyNumberFormat="1" applyBorder="1" applyAlignment="1">
      <alignment horizontal="right" vertical="center"/>
    </xf>
    <xf numFmtId="169" fontId="0" fillId="0" borderId="4" xfId="0" applyNumberFormat="1" applyFill="1" applyBorder="1" applyAlignment="1">
      <alignment horizontal="center"/>
    </xf>
    <xf numFmtId="169" fontId="0" fillId="0" borderId="4" xfId="0" applyNumberFormat="1" applyFill="1" applyBorder="1" applyAlignment="1">
      <alignment horizontal="center" vertical="center"/>
    </xf>
    <xf numFmtId="0" fontId="0" fillId="0" borderId="4" xfId="0" applyBorder="1" applyAlignment="1">
      <alignment horizontal="center" vertical="center"/>
    </xf>
    <xf numFmtId="2" fontId="25" fillId="3" borderId="4" xfId="0" applyNumberFormat="1" applyFont="1" applyFill="1" applyBorder="1"/>
    <xf numFmtId="2" fontId="0" fillId="0" borderId="4" xfId="0" applyNumberFormat="1" applyBorder="1" applyAlignment="1">
      <alignment horizontal="center"/>
    </xf>
    <xf numFmtId="2" fontId="0" fillId="0" borderId="4" xfId="0" applyNumberFormat="1" applyFill="1" applyBorder="1" applyAlignment="1">
      <alignment horizontal="center" vertical="center"/>
    </xf>
    <xf numFmtId="2" fontId="0" fillId="0" borderId="4" xfId="0" applyNumberFormat="1" applyFont="1" applyFill="1" applyBorder="1" applyAlignment="1">
      <alignment horizontal="center" vertical="center"/>
    </xf>
    <xf numFmtId="0" fontId="94" fillId="0" borderId="0" xfId="0" applyFont="1" applyBorder="1" applyAlignment="1">
      <alignment horizontal="center" vertical="center"/>
    </xf>
    <xf numFmtId="169" fontId="62" fillId="0" borderId="4" xfId="0" applyNumberFormat="1" applyFont="1" applyBorder="1" applyAlignment="1">
      <alignment horizontal="center"/>
    </xf>
    <xf numFmtId="171" fontId="62" fillId="0" borderId="4" xfId="0" applyNumberFormat="1" applyFont="1" applyBorder="1" applyAlignment="1">
      <alignment horizontal="center"/>
    </xf>
    <xf numFmtId="169" fontId="0" fillId="0" borderId="4" xfId="0" applyNumberFormat="1" applyBorder="1" applyAlignment="1">
      <alignment vertical="center"/>
    </xf>
    <xf numFmtId="0" fontId="0" fillId="2" borderId="7" xfId="0" applyFill="1" applyBorder="1" applyAlignment="1">
      <alignment vertical="center" wrapText="1"/>
    </xf>
    <xf numFmtId="0" fontId="96" fillId="3" borderId="4" xfId="0" applyFont="1" applyFill="1" applyBorder="1" applyAlignment="1">
      <alignment horizontal="left" vertical="center"/>
    </xf>
    <xf numFmtId="0" fontId="62" fillId="39" borderId="4" xfId="0" applyFont="1" applyFill="1" applyBorder="1" applyAlignment="1"/>
    <xf numFmtId="0" fontId="96" fillId="0" borderId="4" xfId="0" applyFont="1" applyFill="1" applyBorder="1" applyAlignment="1">
      <alignment horizontal="right"/>
    </xf>
    <xf numFmtId="0" fontId="96" fillId="39" borderId="4" xfId="0" applyFont="1" applyFill="1" applyBorder="1" applyAlignment="1"/>
    <xf numFmtId="2" fontId="25" fillId="3" borderId="0" xfId="0" applyNumberFormat="1" applyFont="1" applyFill="1" applyAlignment="1">
      <alignment vertical="center"/>
    </xf>
    <xf numFmtId="0" fontId="23" fillId="3" borderId="0" xfId="0" applyFont="1" applyFill="1" applyAlignment="1">
      <alignment horizontal="center" vertical="center"/>
    </xf>
    <xf numFmtId="0" fontId="25" fillId="3" borderId="0" xfId="0" applyFont="1" applyFill="1" applyAlignment="1">
      <alignment horizontal="center" vertical="center"/>
    </xf>
    <xf numFmtId="0" fontId="0" fillId="0" borderId="4" xfId="0" applyBorder="1" applyAlignment="1">
      <alignment horizontal="center" vertical="center"/>
    </xf>
    <xf numFmtId="0" fontId="7" fillId="0" borderId="2" xfId="2191" applyFont="1" applyBorder="1" applyAlignment="1">
      <alignment horizontal="center" vertical="center"/>
    </xf>
    <xf numFmtId="0" fontId="15" fillId="3" borderId="3" xfId="8" applyFont="1" applyFill="1" applyBorder="1" applyAlignment="1">
      <alignment horizontal="justify" vertical="top"/>
    </xf>
    <xf numFmtId="0" fontId="15" fillId="3" borderId="4" xfId="8" applyFont="1" applyFill="1" applyBorder="1" applyAlignment="1">
      <alignment horizontal="justify" vertical="top"/>
    </xf>
    <xf numFmtId="0" fontId="15" fillId="3" borderId="2" xfId="8" applyFont="1" applyFill="1" applyBorder="1" applyAlignment="1">
      <alignment horizontal="justify" vertical="top"/>
    </xf>
    <xf numFmtId="0" fontId="19" fillId="4" borderId="4" xfId="8" applyFont="1" applyFill="1" applyBorder="1" applyAlignment="1">
      <alignment vertical="top"/>
    </xf>
    <xf numFmtId="0" fontId="19" fillId="4" borderId="4" xfId="8" applyFont="1" applyFill="1" applyBorder="1" applyAlignment="1">
      <alignment horizontal="left" vertical="top"/>
    </xf>
    <xf numFmtId="0" fontId="19" fillId="4" borderId="4" xfId="8" applyFont="1" applyFill="1" applyBorder="1" applyAlignment="1">
      <alignment horizontal="center" vertical="center"/>
    </xf>
    <xf numFmtId="1" fontId="19" fillId="4" borderId="4" xfId="8" applyNumberFormat="1" applyFont="1" applyFill="1" applyBorder="1" applyAlignment="1">
      <alignment horizontal="center" vertical="center"/>
    </xf>
    <xf numFmtId="3" fontId="19" fillId="4" borderId="4" xfId="8" applyNumberFormat="1" applyFont="1" applyFill="1" applyBorder="1" applyAlignment="1">
      <alignment horizontal="center" vertical="center"/>
    </xf>
    <xf numFmtId="0" fontId="0" fillId="0" borderId="4" xfId="0" applyBorder="1" applyAlignment="1">
      <alignment horizontal="center" vertical="center"/>
    </xf>
    <xf numFmtId="171" fontId="42" fillId="2" borderId="4" xfId="506" applyNumberFormat="1" applyFont="1" applyFill="1" applyBorder="1" applyAlignment="1">
      <alignment horizontal="center" vertical="center"/>
    </xf>
    <xf numFmtId="14" fontId="7" fillId="2" borderId="4" xfId="1908" applyNumberFormat="1" applyFont="1" applyFill="1" applyBorder="1" applyAlignment="1">
      <alignment horizontal="center" vertical="center"/>
    </xf>
    <xf numFmtId="0" fontId="7" fillId="0" borderId="4" xfId="2192" applyFont="1" applyFill="1" applyBorder="1" applyAlignment="1">
      <alignment horizontal="center" vertical="center"/>
    </xf>
    <xf numFmtId="2" fontId="23" fillId="0" borderId="5" xfId="0" applyNumberFormat="1" applyFont="1" applyFill="1" applyBorder="1" applyAlignment="1">
      <alignment horizontal="center" vertical="center" wrapText="1"/>
    </xf>
    <xf numFmtId="2" fontId="25" fillId="5" borderId="4" xfId="2191" applyNumberFormat="1" applyFont="1" applyFill="1" applyBorder="1" applyAlignment="1">
      <alignment horizontal="center" vertical="center"/>
    </xf>
    <xf numFmtId="0" fontId="42" fillId="2" borderId="4" xfId="2192" applyFont="1" applyFill="1" applyBorder="1" applyAlignment="1">
      <alignment horizontal="center" vertical="center"/>
    </xf>
    <xf numFmtId="0" fontId="0" fillId="0" borderId="0" xfId="2192" applyFont="1" applyAlignment="1">
      <alignment horizontal="center" vertical="center"/>
    </xf>
    <xf numFmtId="0" fontId="7" fillId="0" borderId="2" xfId="2191" applyFont="1" applyFill="1" applyBorder="1"/>
    <xf numFmtId="15" fontId="0" fillId="0" borderId="4" xfId="0" applyNumberFormat="1" applyFill="1" applyBorder="1" applyAlignment="1">
      <alignment horizontal="center" vertical="center"/>
    </xf>
    <xf numFmtId="0" fontId="0" fillId="0" borderId="0" xfId="0" applyFill="1" applyAlignment="1">
      <alignment horizontal="center" vertical="center"/>
    </xf>
    <xf numFmtId="0" fontId="23" fillId="7" borderId="4" xfId="0" applyFont="1" applyFill="1" applyBorder="1" applyAlignment="1">
      <alignment horizontal="center" vertical="center"/>
    </xf>
    <xf numFmtId="0" fontId="0" fillId="7" borderId="4" xfId="0" applyFill="1" applyBorder="1" applyAlignment="1">
      <alignment horizontal="center" vertical="center"/>
    </xf>
    <xf numFmtId="0" fontId="23" fillId="40" borderId="4" xfId="0" applyFont="1" applyFill="1" applyBorder="1" applyAlignment="1">
      <alignment horizontal="center" vertical="center"/>
    </xf>
    <xf numFmtId="2" fontId="23" fillId="0" borderId="5" xfId="0" applyNumberFormat="1" applyFont="1" applyFill="1" applyBorder="1" applyAlignment="1">
      <alignment horizontal="right" vertical="center" wrapText="1"/>
    </xf>
    <xf numFmtId="0" fontId="7" fillId="0" borderId="2" xfId="2191" applyFont="1" applyBorder="1" applyAlignment="1">
      <alignment horizontal="center" vertical="center"/>
    </xf>
    <xf numFmtId="0" fontId="0" fillId="0" borderId="4" xfId="0" applyBorder="1" applyAlignment="1">
      <alignment horizontal="center" vertical="center"/>
    </xf>
    <xf numFmtId="0" fontId="23" fillId="0" borderId="4" xfId="85" applyFont="1" applyBorder="1" applyAlignment="1">
      <alignment horizontal="center" vertical="center"/>
    </xf>
    <xf numFmtId="195" fontId="16" fillId="0" borderId="0" xfId="8" applyNumberFormat="1" applyFont="1" applyAlignment="1">
      <alignment vertical="top"/>
    </xf>
    <xf numFmtId="169" fontId="62" fillId="41" borderId="4" xfId="0" applyNumberFormat="1" applyFont="1" applyFill="1" applyBorder="1" applyAlignment="1">
      <alignment horizontal="center"/>
    </xf>
    <xf numFmtId="0" fontId="0" fillId="0" borderId="4" xfId="0" applyBorder="1" applyAlignment="1">
      <alignment horizontal="center" vertical="center"/>
    </xf>
    <xf numFmtId="0" fontId="23" fillId="0" borderId="4" xfId="0" applyFont="1" applyBorder="1" applyAlignment="1">
      <alignment horizontal="center" vertical="center"/>
    </xf>
    <xf numFmtId="0" fontId="0" fillId="0" borderId="4" xfId="0" applyBorder="1" applyAlignment="1">
      <alignment horizontal="center" vertical="center"/>
    </xf>
    <xf numFmtId="0" fontId="23" fillId="0" borderId="4" xfId="0" applyFont="1" applyBorder="1" applyAlignment="1">
      <alignment horizontal="center" vertical="center"/>
    </xf>
    <xf numFmtId="0" fontId="0" fillId="0" borderId="4" xfId="0" applyBorder="1" applyAlignment="1">
      <alignment horizontal="center" vertical="center"/>
    </xf>
    <xf numFmtId="0" fontId="0" fillId="0" borderId="2" xfId="0" applyBorder="1" applyAlignment="1">
      <alignment vertical="center"/>
    </xf>
    <xf numFmtId="43" fontId="25" fillId="3" borderId="5" xfId="0" applyNumberFormat="1" applyFont="1" applyFill="1" applyBorder="1"/>
    <xf numFmtId="2" fontId="0" fillId="0" borderId="4" xfId="0" applyNumberFormat="1" applyFont="1" applyBorder="1" applyAlignment="1">
      <alignment horizontal="center"/>
    </xf>
    <xf numFmtId="0" fontId="0" fillId="0" borderId="4" xfId="0" applyFont="1" applyBorder="1" applyAlignment="1">
      <alignment horizontal="left" vertical="center" wrapText="1"/>
    </xf>
    <xf numFmtId="0" fontId="16" fillId="0" borderId="4" xfId="8" applyFont="1" applyFill="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4" xfId="5" applyFont="1" applyFill="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2" fillId="0" borderId="3" xfId="0" applyFont="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3" fillId="0" borderId="3" xfId="0" applyFont="1" applyBorder="1" applyAlignment="1">
      <alignment horizontal="left"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167" fontId="3" fillId="0" borderId="5" xfId="0" applyNumberFormat="1" applyFont="1" applyBorder="1" applyAlignment="1">
      <alignment horizontal="center" vertical="center"/>
    </xf>
    <xf numFmtId="167" fontId="3" fillId="0" borderId="7" xfId="0" applyNumberFormat="1" applyFont="1" applyBorder="1" applyAlignment="1">
      <alignment horizontal="center" vertical="center"/>
    </xf>
    <xf numFmtId="0" fontId="3" fillId="0" borderId="3" xfId="0" applyFont="1" applyBorder="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11" fillId="0" borderId="8" xfId="0" applyFont="1" applyBorder="1" applyAlignment="1">
      <alignment horizontal="left" vertical="center"/>
    </xf>
    <xf numFmtId="0" fontId="11" fillId="0" borderId="9" xfId="0" applyFont="1" applyBorder="1" applyAlignment="1">
      <alignment horizontal="left" vertical="center"/>
    </xf>
    <xf numFmtId="0" fontId="11" fillId="0" borderId="10" xfId="0" applyFont="1" applyBorder="1" applyAlignment="1">
      <alignment horizontal="left" vertical="center"/>
    </xf>
    <xf numFmtId="0" fontId="11" fillId="0" borderId="11" xfId="0" applyFont="1" applyBorder="1" applyAlignment="1">
      <alignment horizontal="left" vertical="center"/>
    </xf>
    <xf numFmtId="0" fontId="11" fillId="0" borderId="0" xfId="0" applyFont="1" applyBorder="1" applyAlignment="1">
      <alignment horizontal="left" vertical="center"/>
    </xf>
    <xf numFmtId="0" fontId="11" fillId="0" borderId="12" xfId="0" applyFont="1" applyBorder="1" applyAlignment="1">
      <alignment horizontal="left" vertical="center"/>
    </xf>
    <xf numFmtId="0" fontId="11" fillId="0" borderId="13" xfId="0" applyFont="1" applyBorder="1" applyAlignment="1">
      <alignment horizontal="left" vertical="center"/>
    </xf>
    <xf numFmtId="0" fontId="11" fillId="0" borderId="14" xfId="0" applyFont="1" applyBorder="1" applyAlignment="1">
      <alignment horizontal="left" vertical="center"/>
    </xf>
    <xf numFmtId="0" fontId="11" fillId="0" borderId="15" xfId="0" applyFont="1" applyBorder="1" applyAlignment="1">
      <alignment horizontal="left" vertical="center"/>
    </xf>
    <xf numFmtId="0" fontId="4" fillId="0" borderId="5" xfId="4" applyFont="1" applyFill="1" applyBorder="1" applyAlignment="1">
      <alignment horizontal="left" vertical="center"/>
    </xf>
    <xf numFmtId="0" fontId="4" fillId="0" borderId="6" xfId="4" applyFont="1" applyFill="1" applyBorder="1" applyAlignment="1">
      <alignment horizontal="left" vertical="center"/>
    </xf>
    <xf numFmtId="0" fontId="4" fillId="0" borderId="7" xfId="4" applyFont="1" applyFill="1" applyBorder="1" applyAlignment="1">
      <alignment horizontal="left" vertical="center"/>
    </xf>
    <xf numFmtId="0" fontId="4" fillId="0" borderId="4" xfId="2" applyFont="1" applyBorder="1" applyAlignment="1">
      <alignment vertical="center" wrapText="1"/>
    </xf>
    <xf numFmtId="0" fontId="4" fillId="0" borderId="4" xfId="2" applyFont="1" applyBorder="1" applyAlignment="1">
      <alignment vertical="center"/>
    </xf>
    <xf numFmtId="0" fontId="4" fillId="0" borderId="5" xfId="2" applyFont="1" applyBorder="1" applyAlignment="1">
      <alignment horizontal="left" vertical="center"/>
    </xf>
    <xf numFmtId="0" fontId="4" fillId="0" borderId="6" xfId="2" applyFont="1" applyBorder="1" applyAlignment="1">
      <alignment horizontal="left" vertical="center"/>
    </xf>
    <xf numFmtId="0" fontId="4" fillId="0" borderId="7" xfId="2" applyFont="1" applyBorder="1" applyAlignment="1">
      <alignment horizontal="left" vertical="center"/>
    </xf>
    <xf numFmtId="0" fontId="4" fillId="0" borderId="4" xfId="2" applyFont="1" applyBorder="1" applyAlignment="1">
      <alignment horizontal="left" vertical="center"/>
    </xf>
    <xf numFmtId="0" fontId="5" fillId="0" borderId="4" xfId="2" applyFont="1" applyBorder="1" applyAlignment="1">
      <alignment horizontal="center" vertical="center" wrapText="1"/>
    </xf>
    <xf numFmtId="0" fontId="15" fillId="4" borderId="4" xfId="8" applyFont="1" applyFill="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0" fontId="21" fillId="0" borderId="0" xfId="0" applyFont="1" applyBorder="1" applyAlignment="1">
      <alignment horizontal="center" vertical="center"/>
    </xf>
    <xf numFmtId="0" fontId="21" fillId="0" borderId="0" xfId="0" applyFont="1" applyBorder="1" applyAlignment="1">
      <alignment horizontal="left" vertical="center"/>
    </xf>
    <xf numFmtId="0" fontId="22" fillId="0" borderId="0" xfId="0" applyFont="1" applyBorder="1" applyAlignment="1">
      <alignment horizontal="left" vertical="center"/>
    </xf>
    <xf numFmtId="164" fontId="21" fillId="0" borderId="0" xfId="0" applyNumberFormat="1" applyFont="1" applyFill="1" applyBorder="1" applyAlignment="1">
      <alignment horizontal="left" vertical="center"/>
    </xf>
    <xf numFmtId="0" fontId="20" fillId="0" borderId="4" xfId="0" applyFont="1" applyBorder="1" applyAlignment="1">
      <alignment horizontal="center" vertical="center"/>
    </xf>
    <xf numFmtId="166" fontId="17" fillId="2" borderId="4" xfId="0" applyNumberFormat="1" applyFont="1" applyFill="1" applyBorder="1" applyAlignment="1">
      <alignment horizontal="center" vertical="center"/>
    </xf>
    <xf numFmtId="10" fontId="17" fillId="2" borderId="4" xfId="0" applyNumberFormat="1" applyFont="1" applyFill="1" applyBorder="1" applyAlignment="1">
      <alignment horizontal="center" vertical="center"/>
    </xf>
    <xf numFmtId="0" fontId="25" fillId="0" borderId="4" xfId="0" applyFont="1" applyBorder="1" applyAlignment="1">
      <alignment horizontal="center" vertical="center"/>
    </xf>
    <xf numFmtId="0" fontId="23" fillId="40" borderId="4" xfId="0" applyFont="1" applyFill="1" applyBorder="1" applyAlignment="1">
      <alignment horizontal="center" vertical="center"/>
    </xf>
    <xf numFmtId="0" fontId="23" fillId="7" borderId="4" xfId="0" applyFont="1" applyFill="1" applyBorder="1" applyAlignment="1">
      <alignment horizontal="center" vertical="center"/>
    </xf>
    <xf numFmtId="0" fontId="23" fillId="0" borderId="4" xfId="0" applyFont="1" applyBorder="1" applyAlignment="1">
      <alignment horizontal="center" vertical="center"/>
    </xf>
    <xf numFmtId="0" fontId="23" fillId="0" borderId="3" xfId="0" applyFont="1" applyBorder="1" applyAlignment="1">
      <alignment horizontal="center" vertical="center"/>
    </xf>
    <xf numFmtId="0" fontId="23" fillId="0" borderId="2" xfId="0" applyFont="1" applyBorder="1" applyAlignment="1">
      <alignment horizontal="center" vertical="center"/>
    </xf>
    <xf numFmtId="0" fontId="11" fillId="0" borderId="0" xfId="2191" applyFont="1" applyAlignment="1">
      <alignment horizontal="center" vertical="center"/>
    </xf>
    <xf numFmtId="0" fontId="25" fillId="3" borderId="5" xfId="2191" applyFont="1" applyFill="1" applyBorder="1" applyAlignment="1">
      <alignment horizontal="center" vertical="center"/>
    </xf>
    <xf numFmtId="0" fontId="25" fillId="3" borderId="7" xfId="2191" applyFont="1" applyFill="1"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xf>
    <xf numFmtId="0" fontId="0" fillId="0" borderId="7" xfId="0" applyBorder="1" applyAlignment="1">
      <alignment horizont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23" fillId="0" borderId="21" xfId="0" applyFont="1" applyBorder="1" applyAlignment="1">
      <alignment horizontal="center" vertical="center" wrapText="1"/>
    </xf>
    <xf numFmtId="0" fontId="23" fillId="0" borderId="4" xfId="0" applyFont="1" applyBorder="1" applyAlignment="1">
      <alignment horizontal="center" vertical="center" wrapText="1"/>
    </xf>
    <xf numFmtId="0" fontId="0" fillId="0" borderId="48" xfId="0" applyBorder="1" applyAlignment="1">
      <alignment horizontal="center" vertical="center" wrapText="1"/>
    </xf>
    <xf numFmtId="0" fontId="0" fillId="0" borderId="31" xfId="0" applyBorder="1" applyAlignment="1">
      <alignment horizontal="center" vertical="center" wrapText="1"/>
    </xf>
    <xf numFmtId="0" fontId="0" fillId="0" borderId="34"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23" fillId="0" borderId="22" xfId="0" applyFont="1" applyBorder="1" applyAlignment="1">
      <alignment horizontal="center" vertical="center" wrapText="1"/>
    </xf>
    <xf numFmtId="0" fontId="0" fillId="0" borderId="4" xfId="0" applyBorder="1" applyAlignment="1">
      <alignment horizontal="center"/>
    </xf>
    <xf numFmtId="0" fontId="0" fillId="0" borderId="4" xfId="0" applyBorder="1" applyAlignment="1">
      <alignment horizontal="center" vertical="center"/>
    </xf>
    <xf numFmtId="0" fontId="41" fillId="0" borderId="4" xfId="0" applyFont="1" applyBorder="1" applyAlignment="1">
      <alignment horizontal="center" vertical="center"/>
    </xf>
    <xf numFmtId="0" fontId="40" fillId="0" borderId="4" xfId="0" applyFont="1" applyBorder="1" applyAlignment="1">
      <alignment horizontal="center" vertical="center"/>
    </xf>
    <xf numFmtId="0" fontId="24" fillId="3" borderId="4" xfId="504" applyFont="1" applyFill="1" applyBorder="1" applyAlignment="1">
      <alignment horizontal="center" vertical="center"/>
    </xf>
    <xf numFmtId="0" fontId="24" fillId="3" borderId="3" xfId="504" applyFont="1" applyFill="1" applyBorder="1" applyAlignment="1">
      <alignment horizontal="center" vertical="center"/>
    </xf>
    <xf numFmtId="0" fontId="24" fillId="3" borderId="1" xfId="504" applyFont="1" applyFill="1" applyBorder="1" applyAlignment="1">
      <alignment horizontal="center" vertical="center"/>
    </xf>
    <xf numFmtId="0" fontId="24" fillId="3" borderId="2" xfId="504" applyFont="1" applyFill="1" applyBorder="1" applyAlignment="1">
      <alignment horizontal="center" vertical="center"/>
    </xf>
    <xf numFmtId="0" fontId="24" fillId="9" borderId="4" xfId="504" applyFont="1" applyFill="1" applyBorder="1" applyAlignment="1">
      <alignment horizontal="center" vertical="center"/>
    </xf>
    <xf numFmtId="2" fontId="24" fillId="11" borderId="5" xfId="504" applyNumberFormat="1" applyFont="1" applyFill="1" applyBorder="1" applyAlignment="1">
      <alignment horizontal="center" vertical="center"/>
    </xf>
    <xf numFmtId="2" fontId="24" fillId="11" borderId="6" xfId="504" applyNumberFormat="1" applyFont="1" applyFill="1" applyBorder="1" applyAlignment="1">
      <alignment horizontal="center" vertical="center"/>
    </xf>
    <xf numFmtId="2" fontId="24" fillId="11" borderId="7" xfId="504" applyNumberFormat="1" applyFont="1" applyFill="1" applyBorder="1" applyAlignment="1">
      <alignment horizontal="center" vertical="center"/>
    </xf>
    <xf numFmtId="0" fontId="24" fillId="11" borderId="5" xfId="504" applyFont="1" applyFill="1" applyBorder="1" applyAlignment="1">
      <alignment horizontal="right" vertical="center"/>
    </xf>
    <xf numFmtId="0" fontId="24" fillId="11" borderId="7" xfId="504" applyFont="1" applyFill="1" applyBorder="1" applyAlignment="1">
      <alignment horizontal="right" vertical="center"/>
    </xf>
    <xf numFmtId="0" fontId="42" fillId="11" borderId="5" xfId="84" applyFont="1" applyFill="1" applyBorder="1" applyAlignment="1">
      <alignment horizontal="center" vertical="center"/>
    </xf>
    <xf numFmtId="0" fontId="42" fillId="11" borderId="6" xfId="84" applyFont="1" applyFill="1" applyBorder="1" applyAlignment="1">
      <alignment horizontal="center" vertical="center"/>
    </xf>
    <xf numFmtId="0" fontId="42" fillId="11" borderId="7" xfId="84" applyFont="1" applyFill="1" applyBorder="1" applyAlignment="1">
      <alignment horizontal="center" vertical="center"/>
    </xf>
    <xf numFmtId="0" fontId="24" fillId="11" borderId="5" xfId="504" applyFont="1" applyFill="1" applyBorder="1" applyAlignment="1">
      <alignment horizontal="center" vertical="center" wrapText="1"/>
    </xf>
    <xf numFmtId="0" fontId="24" fillId="11" borderId="7" xfId="504" applyFont="1" applyFill="1" applyBorder="1" applyAlignment="1">
      <alignment horizontal="center" vertical="center" wrapText="1"/>
    </xf>
    <xf numFmtId="0" fontId="24" fillId="7" borderId="5" xfId="84" applyFont="1" applyFill="1" applyBorder="1" applyAlignment="1">
      <alignment horizontal="right" vertical="center"/>
    </xf>
    <xf numFmtId="0" fontId="24" fillId="7" borderId="7" xfId="84" applyFont="1" applyFill="1" applyBorder="1" applyAlignment="1">
      <alignment horizontal="right" vertical="center"/>
    </xf>
    <xf numFmtId="0" fontId="24" fillId="3" borderId="3" xfId="504" applyFont="1" applyFill="1" applyBorder="1" applyAlignment="1">
      <alignment horizontal="center" vertical="center" wrapText="1"/>
    </xf>
    <xf numFmtId="0" fontId="24" fillId="3" borderId="1" xfId="504" applyFont="1" applyFill="1" applyBorder="1" applyAlignment="1">
      <alignment horizontal="center" vertical="center" wrapText="1"/>
    </xf>
    <xf numFmtId="0" fontId="24" fillId="3" borderId="2" xfId="504" applyFont="1" applyFill="1" applyBorder="1" applyAlignment="1">
      <alignment horizontal="center" vertical="center" wrapText="1"/>
    </xf>
    <xf numFmtId="0" fontId="7" fillId="0" borderId="3" xfId="2191" applyFont="1" applyBorder="1" applyAlignment="1">
      <alignment horizontal="center" vertical="center"/>
    </xf>
    <xf numFmtId="0" fontId="7" fillId="0" borderId="2" xfId="2191" applyFont="1" applyBorder="1" applyAlignment="1">
      <alignment horizontal="center" vertical="center"/>
    </xf>
    <xf numFmtId="171" fontId="25" fillId="38" borderId="5" xfId="2191" applyNumberFormat="1" applyFont="1" applyFill="1" applyBorder="1" applyAlignment="1">
      <alignment horizontal="center" vertical="center"/>
    </xf>
    <xf numFmtId="171" fontId="25" fillId="38" borderId="6" xfId="2191" applyNumberFormat="1" applyFont="1" applyFill="1" applyBorder="1" applyAlignment="1">
      <alignment horizontal="center" vertical="center"/>
    </xf>
    <xf numFmtId="171" fontId="25" fillId="38" borderId="7" xfId="2191" applyNumberFormat="1" applyFont="1" applyFill="1"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xf>
    <xf numFmtId="0" fontId="0" fillId="0" borderId="2" xfId="0" applyBorder="1" applyAlignment="1">
      <alignment horizontal="center" vertical="center"/>
    </xf>
    <xf numFmtId="0" fontId="0" fillId="0" borderId="0" xfId="0" applyFill="1" applyBorder="1" applyAlignment="1">
      <alignment horizontal="center" vertical="center"/>
    </xf>
    <xf numFmtId="0" fontId="0" fillId="0" borderId="19" xfId="0" applyBorder="1" applyAlignment="1">
      <alignment horizontal="center" vertical="center" wrapText="1"/>
    </xf>
    <xf numFmtId="0" fontId="0" fillId="0" borderId="0" xfId="0" applyBorder="1" applyAlignment="1">
      <alignment horizontal="center" vertical="center"/>
    </xf>
    <xf numFmtId="0" fontId="0" fillId="0" borderId="19" xfId="0" applyBorder="1" applyAlignment="1">
      <alignment horizontal="center" vertical="center"/>
    </xf>
    <xf numFmtId="0" fontId="24" fillId="0" borderId="4" xfId="502" applyFont="1" applyBorder="1" applyAlignment="1">
      <alignment horizontal="center"/>
    </xf>
    <xf numFmtId="0" fontId="24" fillId="0" borderId="4" xfId="502" applyFont="1" applyBorder="1" applyAlignment="1">
      <alignment horizontal="center" vertical="center"/>
    </xf>
    <xf numFmtId="0" fontId="24" fillId="3" borderId="4" xfId="502" applyFont="1" applyFill="1" applyBorder="1" applyAlignment="1">
      <alignment horizontal="center"/>
    </xf>
    <xf numFmtId="0" fontId="25" fillId="0" borderId="1" xfId="0" applyFont="1" applyBorder="1" applyAlignment="1">
      <alignment horizontal="center" vertical="center"/>
    </xf>
    <xf numFmtId="0" fontId="25" fillId="0" borderId="2" xfId="0" applyFont="1" applyBorder="1" applyAlignment="1">
      <alignment horizontal="center" vertical="center"/>
    </xf>
    <xf numFmtId="0" fontId="33" fillId="0" borderId="13" xfId="502" applyFont="1" applyBorder="1" applyAlignment="1">
      <alignment horizontal="center" vertical="center"/>
    </xf>
    <xf numFmtId="0" fontId="33" fillId="0" borderId="14" xfId="502" applyFont="1" applyBorder="1" applyAlignment="1">
      <alignment horizontal="center" vertical="center"/>
    </xf>
    <xf numFmtId="0" fontId="33" fillId="0" borderId="15" xfId="502" applyFont="1" applyBorder="1" applyAlignment="1">
      <alignment horizontal="center" vertical="center"/>
    </xf>
    <xf numFmtId="0" fontId="33" fillId="0" borderId="7" xfId="502" applyFont="1" applyBorder="1" applyAlignment="1">
      <alignment horizontal="center" vertical="center"/>
    </xf>
    <xf numFmtId="0" fontId="33" fillId="0" borderId="2" xfId="502" applyFont="1" applyBorder="1" applyAlignment="1">
      <alignment horizontal="center" vertical="center"/>
    </xf>
    <xf numFmtId="0" fontId="33" fillId="0" borderId="4" xfId="502" applyFont="1" applyBorder="1" applyAlignment="1">
      <alignment horizontal="center" vertical="center"/>
    </xf>
    <xf numFmtId="0" fontId="33" fillId="0" borderId="34" xfId="502" applyFont="1" applyBorder="1" applyAlignment="1">
      <alignment horizontal="center" vertical="center"/>
    </xf>
    <xf numFmtId="0" fontId="33" fillId="0" borderId="22" xfId="502" applyFont="1" applyBorder="1" applyAlignment="1">
      <alignment horizontal="center" vertical="center"/>
    </xf>
    <xf numFmtId="0" fontId="23" fillId="0" borderId="0" xfId="85" applyFont="1" applyBorder="1" applyAlignment="1">
      <alignment horizontal="center" vertical="center"/>
    </xf>
    <xf numFmtId="0" fontId="23" fillId="0" borderId="12" xfId="85" applyFont="1" applyBorder="1" applyAlignment="1">
      <alignment horizontal="center" vertical="center"/>
    </xf>
    <xf numFmtId="0" fontId="11" fillId="0" borderId="27" xfId="85" applyFont="1" applyBorder="1" applyAlignment="1">
      <alignment horizontal="center" vertical="center"/>
    </xf>
    <xf numFmtId="0" fontId="11" fillId="0" borderId="28" xfId="85" applyFont="1" applyBorder="1" applyAlignment="1">
      <alignment horizontal="center" vertical="center"/>
    </xf>
    <xf numFmtId="0" fontId="11" fillId="0" borderId="30" xfId="85" applyFont="1" applyBorder="1" applyAlignment="1">
      <alignment horizontal="center" vertical="center"/>
    </xf>
    <xf numFmtId="0" fontId="23" fillId="0" borderId="21" xfId="85" applyFont="1" applyBorder="1" applyAlignment="1">
      <alignment horizontal="center" vertical="center"/>
    </xf>
    <xf numFmtId="0" fontId="23" fillId="0" borderId="4" xfId="85" applyFont="1" applyBorder="1" applyAlignment="1">
      <alignment horizontal="center" vertical="center"/>
    </xf>
    <xf numFmtId="0" fontId="23" fillId="0" borderId="22" xfId="85" applyFont="1" applyBorder="1" applyAlignment="1">
      <alignment horizontal="center" vertical="center"/>
    </xf>
    <xf numFmtId="169" fontId="8" fillId="0" borderId="0" xfId="0" applyNumberFormat="1" applyFont="1" applyBorder="1" applyAlignment="1">
      <alignment horizontal="center" vertical="center"/>
    </xf>
    <xf numFmtId="0" fontId="0" fillId="6" borderId="5" xfId="0" applyFill="1" applyBorder="1" applyAlignment="1">
      <alignment horizontal="center"/>
    </xf>
    <xf numFmtId="0" fontId="0" fillId="6" borderId="6" xfId="0" applyFill="1" applyBorder="1" applyAlignment="1">
      <alignment horizontal="center"/>
    </xf>
    <xf numFmtId="0" fontId="0" fillId="6" borderId="7" xfId="0" applyFill="1" applyBorder="1" applyAlignment="1">
      <alignment horizontal="center"/>
    </xf>
    <xf numFmtId="0" fontId="0" fillId="6" borderId="4" xfId="0" applyFill="1" applyBorder="1" applyAlignment="1">
      <alignment horizontal="center"/>
    </xf>
    <xf numFmtId="0" fontId="25" fillId="0" borderId="5" xfId="0" applyFont="1" applyBorder="1" applyAlignment="1">
      <alignment horizontal="center" vertical="center"/>
    </xf>
    <xf numFmtId="0" fontId="25" fillId="0" borderId="6" xfId="0" applyFont="1" applyBorder="1" applyAlignment="1">
      <alignment horizontal="center" vertical="center"/>
    </xf>
    <xf numFmtId="0" fontId="25" fillId="0" borderId="7" xfId="0" applyFont="1" applyBorder="1" applyAlignment="1">
      <alignment horizontal="center" vertical="center"/>
    </xf>
    <xf numFmtId="0" fontId="24" fillId="3" borderId="5" xfId="0" applyFont="1" applyFill="1" applyBorder="1" applyAlignment="1">
      <alignment horizontal="center" vertical="center"/>
    </xf>
    <xf numFmtId="0" fontId="24" fillId="3" borderId="6" xfId="0" applyFont="1" applyFill="1" applyBorder="1" applyAlignment="1">
      <alignment horizontal="center" vertical="center"/>
    </xf>
    <xf numFmtId="0" fontId="24" fillId="3" borderId="7" xfId="0" applyFont="1" applyFill="1" applyBorder="1" applyAlignment="1">
      <alignment horizontal="center" vertical="center"/>
    </xf>
    <xf numFmtId="169" fontId="0" fillId="0" borderId="0" xfId="0" applyNumberFormat="1" applyFont="1" applyBorder="1" applyAlignment="1">
      <alignment horizontal="center" vertical="top"/>
    </xf>
    <xf numFmtId="169" fontId="0" fillId="3" borderId="0" xfId="0" applyNumberFormat="1" applyFont="1" applyFill="1" applyBorder="1" applyAlignment="1">
      <alignment horizontal="center" vertical="top"/>
    </xf>
    <xf numFmtId="169" fontId="8" fillId="0" borderId="12" xfId="0" applyNumberFormat="1" applyFont="1" applyBorder="1" applyAlignment="1">
      <alignment horizontal="center" vertical="center"/>
    </xf>
    <xf numFmtId="0" fontId="24" fillId="0" borderId="0" xfId="0" applyFont="1" applyAlignment="1">
      <alignment horizontal="center" vertical="center"/>
    </xf>
    <xf numFmtId="0" fontId="23" fillId="6" borderId="4" xfId="0" applyFont="1" applyFill="1" applyBorder="1" applyAlignment="1">
      <alignment horizontal="center" vertical="center"/>
    </xf>
    <xf numFmtId="0" fontId="23" fillId="6" borderId="5" xfId="0" applyFont="1" applyFill="1" applyBorder="1" applyAlignment="1">
      <alignment horizontal="center" vertical="center"/>
    </xf>
    <xf numFmtId="0" fontId="23" fillId="6" borderId="6" xfId="0" applyFont="1" applyFill="1" applyBorder="1" applyAlignment="1">
      <alignment horizontal="center" vertical="center"/>
    </xf>
    <xf numFmtId="0" fontId="23" fillId="6" borderId="7" xfId="0" applyFont="1" applyFill="1" applyBorder="1" applyAlignment="1">
      <alignment horizontal="center" vertical="center"/>
    </xf>
    <xf numFmtId="0" fontId="23" fillId="6" borderId="8" xfId="0" applyFont="1" applyFill="1" applyBorder="1" applyAlignment="1">
      <alignment horizontal="center" vertical="center"/>
    </xf>
    <xf numFmtId="0" fontId="23" fillId="6" borderId="9" xfId="0" applyFont="1" applyFill="1" applyBorder="1" applyAlignment="1">
      <alignment horizontal="center" vertical="center"/>
    </xf>
    <xf numFmtId="0" fontId="23" fillId="6" borderId="10" xfId="0" applyFont="1" applyFill="1" applyBorder="1" applyAlignment="1">
      <alignment horizontal="center" vertical="center"/>
    </xf>
    <xf numFmtId="0" fontId="23" fillId="6" borderId="13" xfId="0" applyFont="1" applyFill="1" applyBorder="1" applyAlignment="1">
      <alignment horizontal="center" vertical="center"/>
    </xf>
    <xf numFmtId="0" fontId="23" fillId="6" borderId="14" xfId="0" applyFont="1" applyFill="1" applyBorder="1" applyAlignment="1">
      <alignment horizontal="center" vertical="center"/>
    </xf>
    <xf numFmtId="0" fontId="23" fillId="6" borderId="15" xfId="0" applyFont="1" applyFill="1" applyBorder="1" applyAlignment="1">
      <alignment horizontal="center" vertical="center"/>
    </xf>
    <xf numFmtId="0" fontId="23" fillId="6" borderId="7" xfId="0" applyFont="1" applyFill="1" applyBorder="1" applyAlignment="1">
      <alignment horizontal="center" vertical="center" wrapText="1"/>
    </xf>
    <xf numFmtId="0" fontId="23" fillId="6" borderId="4" xfId="0" applyFont="1" applyFill="1" applyBorder="1" applyAlignment="1">
      <alignment horizontal="center" vertical="center" wrapText="1"/>
    </xf>
    <xf numFmtId="0" fontId="23" fillId="6" borderId="3" xfId="0" applyFont="1" applyFill="1" applyBorder="1" applyAlignment="1">
      <alignment horizontal="center" vertical="center" wrapText="1"/>
    </xf>
    <xf numFmtId="0" fontId="23" fillId="6" borderId="2" xfId="0" applyFont="1" applyFill="1" applyBorder="1" applyAlignment="1">
      <alignment horizontal="center" vertical="center" wrapText="1"/>
    </xf>
    <xf numFmtId="0" fontId="23" fillId="6" borderId="3" xfId="0" applyFont="1" applyFill="1" applyBorder="1" applyAlignment="1">
      <alignment horizontal="center" vertical="center"/>
    </xf>
    <xf numFmtId="0" fontId="23" fillId="6" borderId="2" xfId="0" applyFont="1" applyFill="1" applyBorder="1" applyAlignment="1">
      <alignment horizontal="center" vertical="center"/>
    </xf>
    <xf numFmtId="0" fontId="0" fillId="6" borderId="6" xfId="0" applyFont="1" applyFill="1" applyBorder="1" applyAlignment="1">
      <alignment horizontal="center"/>
    </xf>
    <xf numFmtId="0" fontId="0" fillId="6" borderId="7" xfId="0" applyFont="1" applyFill="1" applyBorder="1" applyAlignment="1">
      <alignment horizontal="center"/>
    </xf>
    <xf numFmtId="0" fontId="0" fillId="6" borderId="4" xfId="0" applyFont="1" applyFill="1" applyBorder="1" applyAlignment="1">
      <alignment horizontal="center"/>
    </xf>
    <xf numFmtId="0" fontId="25" fillId="3" borderId="4" xfId="0" applyFont="1" applyFill="1" applyBorder="1" applyAlignment="1">
      <alignment horizontal="center" vertical="center"/>
    </xf>
    <xf numFmtId="1" fontId="95" fillId="0" borderId="3" xfId="0" applyNumberFormat="1" applyFont="1" applyBorder="1" applyAlignment="1">
      <alignment horizontal="center" vertical="center" wrapText="1"/>
    </xf>
    <xf numFmtId="1" fontId="95" fillId="0" borderId="2" xfId="0" applyNumberFormat="1" applyFont="1" applyBorder="1" applyAlignment="1">
      <alignment horizontal="center" vertical="center" wrapText="1"/>
    </xf>
    <xf numFmtId="0" fontId="95" fillId="0" borderId="3" xfId="0" applyFont="1" applyBorder="1" applyAlignment="1">
      <alignment horizontal="center" vertical="center" wrapText="1"/>
    </xf>
    <xf numFmtId="0" fontId="95" fillId="0" borderId="2" xfId="0" applyFont="1" applyBorder="1" applyAlignment="1">
      <alignment horizontal="center" vertical="center" wrapText="1"/>
    </xf>
    <xf numFmtId="0" fontId="95" fillId="0" borderId="4" xfId="0" applyFont="1" applyBorder="1" applyAlignment="1">
      <alignment horizontal="center" vertical="center" wrapText="1"/>
    </xf>
    <xf numFmtId="0" fontId="95" fillId="0" borderId="4" xfId="0" applyFont="1" applyBorder="1" applyAlignment="1">
      <alignment horizontal="center"/>
    </xf>
  </cellXfs>
  <cellStyles count="2880">
    <cellStyle name="_17th &amp; final bill" xfId="507"/>
    <cellStyle name="_4. Specimen signature list" xfId="508"/>
    <cellStyle name="_4. Specimen signature list_Cer 9th RA" xfId="509"/>
    <cellStyle name="_8.  Note for billing errors" xfId="510"/>
    <cellStyle name="_8.  Note for billing errors 2" xfId="511"/>
    <cellStyle name="_8.  Note for billing errors_Cer 9th RA" xfId="512"/>
    <cellStyle name="_Change Order" xfId="513"/>
    <cellStyle name="_Change Order TA" xfId="514"/>
    <cellStyle name="_Copy of urban wod ra.-14 SUBMITTED" xfId="515"/>
    <cellStyle name="_New Formates" xfId="516"/>
    <cellStyle name="_New Formates kpmg" xfId="517"/>
    <cellStyle name="_New Formates_Cer 9th RA" xfId="518"/>
    <cellStyle name="_sana" xfId="519"/>
    <cellStyle name="1/100000" xfId="520"/>
    <cellStyle name="20% - Accent1 10" xfId="521"/>
    <cellStyle name="20% - Accent1 10 2" xfId="522"/>
    <cellStyle name="20% - Accent1 11" xfId="523"/>
    <cellStyle name="20% - Accent1 11 2" xfId="524"/>
    <cellStyle name="20% - Accent1 2" xfId="525"/>
    <cellStyle name="20% - Accent1 2 10" xfId="526"/>
    <cellStyle name="20% - Accent1 2 10 2" xfId="527"/>
    <cellStyle name="20% - Accent1 2 11" xfId="528"/>
    <cellStyle name="20% - Accent1 2 2" xfId="529"/>
    <cellStyle name="20% - Accent1 2 2 2" xfId="530"/>
    <cellStyle name="20% - Accent1 2 3" xfId="531"/>
    <cellStyle name="20% - Accent1 2 3 2" xfId="532"/>
    <cellStyle name="20% - Accent1 2 4" xfId="533"/>
    <cellStyle name="20% - Accent1 2 4 2" xfId="534"/>
    <cellStyle name="20% - Accent1 2 5" xfId="535"/>
    <cellStyle name="20% - Accent1 2 5 2" xfId="536"/>
    <cellStyle name="20% - Accent1 2 6" xfId="537"/>
    <cellStyle name="20% - Accent1 2 6 2" xfId="538"/>
    <cellStyle name="20% - Accent1 2 7" xfId="539"/>
    <cellStyle name="20% - Accent1 2 7 2" xfId="540"/>
    <cellStyle name="20% - Accent1 2 8" xfId="541"/>
    <cellStyle name="20% - Accent1 2 8 2" xfId="542"/>
    <cellStyle name="20% - Accent1 2 9" xfId="543"/>
    <cellStyle name="20% - Accent1 2 9 2" xfId="544"/>
    <cellStyle name="20% - Accent1 3" xfId="545"/>
    <cellStyle name="20% - Accent1 3 2" xfId="546"/>
    <cellStyle name="20% - Accent1 4" xfId="547"/>
    <cellStyle name="20% - Accent1 4 2" xfId="548"/>
    <cellStyle name="20% - Accent1 5" xfId="549"/>
    <cellStyle name="20% - Accent1 5 2" xfId="550"/>
    <cellStyle name="20% - Accent1 6" xfId="551"/>
    <cellStyle name="20% - Accent1 6 2" xfId="552"/>
    <cellStyle name="20% - Accent1 7" xfId="553"/>
    <cellStyle name="20% - Accent1 7 2" xfId="554"/>
    <cellStyle name="20% - Accent1 8" xfId="555"/>
    <cellStyle name="20% - Accent1 8 2" xfId="556"/>
    <cellStyle name="20% - Accent1 9" xfId="557"/>
    <cellStyle name="20% - Accent1 9 2" xfId="558"/>
    <cellStyle name="20% - Accent2 10" xfId="559"/>
    <cellStyle name="20% - Accent2 10 2" xfId="560"/>
    <cellStyle name="20% - Accent2 11" xfId="561"/>
    <cellStyle name="20% - Accent2 11 2" xfId="562"/>
    <cellStyle name="20% - Accent2 2" xfId="563"/>
    <cellStyle name="20% - Accent2 2 10" xfId="564"/>
    <cellStyle name="20% - Accent2 2 10 2" xfId="565"/>
    <cellStyle name="20% - Accent2 2 11" xfId="566"/>
    <cellStyle name="20% - Accent2 2 2" xfId="567"/>
    <cellStyle name="20% - Accent2 2 2 2" xfId="568"/>
    <cellStyle name="20% - Accent2 2 3" xfId="569"/>
    <cellStyle name="20% - Accent2 2 3 2" xfId="570"/>
    <cellStyle name="20% - Accent2 2 4" xfId="571"/>
    <cellStyle name="20% - Accent2 2 4 2" xfId="572"/>
    <cellStyle name="20% - Accent2 2 5" xfId="573"/>
    <cellStyle name="20% - Accent2 2 5 2" xfId="574"/>
    <cellStyle name="20% - Accent2 2 6" xfId="575"/>
    <cellStyle name="20% - Accent2 2 6 2" xfId="576"/>
    <cellStyle name="20% - Accent2 2 7" xfId="577"/>
    <cellStyle name="20% - Accent2 2 7 2" xfId="578"/>
    <cellStyle name="20% - Accent2 2 8" xfId="579"/>
    <cellStyle name="20% - Accent2 2 8 2" xfId="580"/>
    <cellStyle name="20% - Accent2 2 9" xfId="581"/>
    <cellStyle name="20% - Accent2 2 9 2" xfId="582"/>
    <cellStyle name="20% - Accent2 3" xfId="583"/>
    <cellStyle name="20% - Accent2 3 2" xfId="584"/>
    <cellStyle name="20% - Accent2 4" xfId="585"/>
    <cellStyle name="20% - Accent2 4 2" xfId="586"/>
    <cellStyle name="20% - Accent2 5" xfId="587"/>
    <cellStyle name="20% - Accent2 5 2" xfId="588"/>
    <cellStyle name="20% - Accent2 6" xfId="589"/>
    <cellStyle name="20% - Accent2 6 2" xfId="590"/>
    <cellStyle name="20% - Accent2 7" xfId="591"/>
    <cellStyle name="20% - Accent2 7 2" xfId="592"/>
    <cellStyle name="20% - Accent2 8" xfId="593"/>
    <cellStyle name="20% - Accent2 8 2" xfId="594"/>
    <cellStyle name="20% - Accent2 9" xfId="595"/>
    <cellStyle name="20% - Accent2 9 2" xfId="596"/>
    <cellStyle name="20% - Accent3 10" xfId="597"/>
    <cellStyle name="20% - Accent3 10 2" xfId="598"/>
    <cellStyle name="20% - Accent3 11" xfId="599"/>
    <cellStyle name="20% - Accent3 11 2" xfId="600"/>
    <cellStyle name="20% - Accent3 2" xfId="601"/>
    <cellStyle name="20% - Accent3 2 10" xfId="602"/>
    <cellStyle name="20% - Accent3 2 10 2" xfId="603"/>
    <cellStyle name="20% - Accent3 2 11" xfId="604"/>
    <cellStyle name="20% - Accent3 2 2" xfId="605"/>
    <cellStyle name="20% - Accent3 2 2 2" xfId="606"/>
    <cellStyle name="20% - Accent3 2 3" xfId="607"/>
    <cellStyle name="20% - Accent3 2 3 2" xfId="608"/>
    <cellStyle name="20% - Accent3 2 4" xfId="609"/>
    <cellStyle name="20% - Accent3 2 4 2" xfId="610"/>
    <cellStyle name="20% - Accent3 2 5" xfId="611"/>
    <cellStyle name="20% - Accent3 2 5 2" xfId="612"/>
    <cellStyle name="20% - Accent3 2 6" xfId="613"/>
    <cellStyle name="20% - Accent3 2 6 2" xfId="614"/>
    <cellStyle name="20% - Accent3 2 7" xfId="615"/>
    <cellStyle name="20% - Accent3 2 7 2" xfId="616"/>
    <cellStyle name="20% - Accent3 2 8" xfId="617"/>
    <cellStyle name="20% - Accent3 2 8 2" xfId="618"/>
    <cellStyle name="20% - Accent3 2 9" xfId="619"/>
    <cellStyle name="20% - Accent3 2 9 2" xfId="620"/>
    <cellStyle name="20% - Accent3 3" xfId="621"/>
    <cellStyle name="20% - Accent3 3 2" xfId="622"/>
    <cellStyle name="20% - Accent3 4" xfId="623"/>
    <cellStyle name="20% - Accent3 4 2" xfId="624"/>
    <cellStyle name="20% - Accent3 5" xfId="625"/>
    <cellStyle name="20% - Accent3 5 2" xfId="626"/>
    <cellStyle name="20% - Accent3 6" xfId="627"/>
    <cellStyle name="20% - Accent3 6 2" xfId="628"/>
    <cellStyle name="20% - Accent3 7" xfId="629"/>
    <cellStyle name="20% - Accent3 7 2" xfId="630"/>
    <cellStyle name="20% - Accent3 8" xfId="631"/>
    <cellStyle name="20% - Accent3 8 2" xfId="632"/>
    <cellStyle name="20% - Accent3 9" xfId="633"/>
    <cellStyle name="20% - Accent3 9 2" xfId="634"/>
    <cellStyle name="20% - Accent4 10" xfId="635"/>
    <cellStyle name="20% - Accent4 10 2" xfId="636"/>
    <cellStyle name="20% - Accent4 11" xfId="637"/>
    <cellStyle name="20% - Accent4 11 2" xfId="638"/>
    <cellStyle name="20% - Accent4 2" xfId="639"/>
    <cellStyle name="20% - Accent4 2 10" xfId="640"/>
    <cellStyle name="20% - Accent4 2 10 2" xfId="641"/>
    <cellStyle name="20% - Accent4 2 11" xfId="642"/>
    <cellStyle name="20% - Accent4 2 2" xfId="643"/>
    <cellStyle name="20% - Accent4 2 2 2" xfId="644"/>
    <cellStyle name="20% - Accent4 2 3" xfId="645"/>
    <cellStyle name="20% - Accent4 2 3 2" xfId="646"/>
    <cellStyle name="20% - Accent4 2 4" xfId="647"/>
    <cellStyle name="20% - Accent4 2 4 2" xfId="648"/>
    <cellStyle name="20% - Accent4 2 5" xfId="649"/>
    <cellStyle name="20% - Accent4 2 5 2" xfId="650"/>
    <cellStyle name="20% - Accent4 2 6" xfId="651"/>
    <cellStyle name="20% - Accent4 2 6 2" xfId="652"/>
    <cellStyle name="20% - Accent4 2 7" xfId="653"/>
    <cellStyle name="20% - Accent4 2 7 2" xfId="654"/>
    <cellStyle name="20% - Accent4 2 8" xfId="655"/>
    <cellStyle name="20% - Accent4 2 8 2" xfId="656"/>
    <cellStyle name="20% - Accent4 2 9" xfId="657"/>
    <cellStyle name="20% - Accent4 2 9 2" xfId="658"/>
    <cellStyle name="20% - Accent4 3" xfId="659"/>
    <cellStyle name="20% - Accent4 3 2" xfId="660"/>
    <cellStyle name="20% - Accent4 4" xfId="661"/>
    <cellStyle name="20% - Accent4 4 2" xfId="662"/>
    <cellStyle name="20% - Accent4 5" xfId="663"/>
    <cellStyle name="20% - Accent4 5 2" xfId="664"/>
    <cellStyle name="20% - Accent4 6" xfId="665"/>
    <cellStyle name="20% - Accent4 6 2" xfId="666"/>
    <cellStyle name="20% - Accent4 7" xfId="667"/>
    <cellStyle name="20% - Accent4 7 2" xfId="668"/>
    <cellStyle name="20% - Accent4 8" xfId="669"/>
    <cellStyle name="20% - Accent4 8 2" xfId="670"/>
    <cellStyle name="20% - Accent4 9" xfId="671"/>
    <cellStyle name="20% - Accent4 9 2" xfId="672"/>
    <cellStyle name="20% - Accent5 10" xfId="673"/>
    <cellStyle name="20% - Accent5 10 2" xfId="674"/>
    <cellStyle name="20% - Accent5 11" xfId="675"/>
    <cellStyle name="20% - Accent5 11 2" xfId="676"/>
    <cellStyle name="20% - Accent5 2" xfId="677"/>
    <cellStyle name="20% - Accent5 2 10" xfId="678"/>
    <cellStyle name="20% - Accent5 2 10 2" xfId="679"/>
    <cellStyle name="20% - Accent5 2 11" xfId="680"/>
    <cellStyle name="20% - Accent5 2 2" xfId="681"/>
    <cellStyle name="20% - Accent5 2 2 2" xfId="682"/>
    <cellStyle name="20% - Accent5 2 3" xfId="683"/>
    <cellStyle name="20% - Accent5 2 3 2" xfId="684"/>
    <cellStyle name="20% - Accent5 2 4" xfId="685"/>
    <cellStyle name="20% - Accent5 2 4 2" xfId="686"/>
    <cellStyle name="20% - Accent5 2 5" xfId="687"/>
    <cellStyle name="20% - Accent5 2 5 2" xfId="688"/>
    <cellStyle name="20% - Accent5 2 6" xfId="689"/>
    <cellStyle name="20% - Accent5 2 6 2" xfId="690"/>
    <cellStyle name="20% - Accent5 2 7" xfId="691"/>
    <cellStyle name="20% - Accent5 2 7 2" xfId="692"/>
    <cellStyle name="20% - Accent5 2 8" xfId="693"/>
    <cellStyle name="20% - Accent5 2 8 2" xfId="694"/>
    <cellStyle name="20% - Accent5 2 9" xfId="695"/>
    <cellStyle name="20% - Accent5 2 9 2" xfId="696"/>
    <cellStyle name="20% - Accent5 3" xfId="697"/>
    <cellStyle name="20% - Accent5 3 2" xfId="698"/>
    <cellStyle name="20% - Accent5 4" xfId="699"/>
    <cellStyle name="20% - Accent5 4 2" xfId="700"/>
    <cellStyle name="20% - Accent5 5" xfId="701"/>
    <cellStyle name="20% - Accent5 5 2" xfId="702"/>
    <cellStyle name="20% - Accent5 6" xfId="703"/>
    <cellStyle name="20% - Accent5 6 2" xfId="704"/>
    <cellStyle name="20% - Accent5 7" xfId="705"/>
    <cellStyle name="20% - Accent5 7 2" xfId="706"/>
    <cellStyle name="20% - Accent5 8" xfId="707"/>
    <cellStyle name="20% - Accent5 8 2" xfId="708"/>
    <cellStyle name="20% - Accent5 9" xfId="709"/>
    <cellStyle name="20% - Accent5 9 2" xfId="710"/>
    <cellStyle name="20% - Accent6 10" xfId="711"/>
    <cellStyle name="20% - Accent6 10 2" xfId="712"/>
    <cellStyle name="20% - Accent6 11" xfId="713"/>
    <cellStyle name="20% - Accent6 11 2" xfId="714"/>
    <cellStyle name="20% - Accent6 2" xfId="715"/>
    <cellStyle name="20% - Accent6 2 10" xfId="716"/>
    <cellStyle name="20% - Accent6 2 10 2" xfId="717"/>
    <cellStyle name="20% - Accent6 2 11" xfId="718"/>
    <cellStyle name="20% - Accent6 2 2" xfId="719"/>
    <cellStyle name="20% - Accent6 2 2 2" xfId="720"/>
    <cellStyle name="20% - Accent6 2 3" xfId="721"/>
    <cellStyle name="20% - Accent6 2 3 2" xfId="722"/>
    <cellStyle name="20% - Accent6 2 4" xfId="723"/>
    <cellStyle name="20% - Accent6 2 4 2" xfId="724"/>
    <cellStyle name="20% - Accent6 2 5" xfId="725"/>
    <cellStyle name="20% - Accent6 2 5 2" xfId="726"/>
    <cellStyle name="20% - Accent6 2 6" xfId="727"/>
    <cellStyle name="20% - Accent6 2 6 2" xfId="728"/>
    <cellStyle name="20% - Accent6 2 7" xfId="729"/>
    <cellStyle name="20% - Accent6 2 7 2" xfId="730"/>
    <cellStyle name="20% - Accent6 2 8" xfId="731"/>
    <cellStyle name="20% - Accent6 2 8 2" xfId="732"/>
    <cellStyle name="20% - Accent6 2 9" xfId="733"/>
    <cellStyle name="20% - Accent6 2 9 2" xfId="734"/>
    <cellStyle name="20% - Accent6 3" xfId="735"/>
    <cellStyle name="20% - Accent6 3 2" xfId="736"/>
    <cellStyle name="20% - Accent6 4" xfId="737"/>
    <cellStyle name="20% - Accent6 4 2" xfId="738"/>
    <cellStyle name="20% - Accent6 5" xfId="739"/>
    <cellStyle name="20% - Accent6 5 2" xfId="740"/>
    <cellStyle name="20% - Accent6 6" xfId="741"/>
    <cellStyle name="20% - Accent6 6 2" xfId="742"/>
    <cellStyle name="20% - Accent6 7" xfId="743"/>
    <cellStyle name="20% - Accent6 7 2" xfId="744"/>
    <cellStyle name="20% - Accent6 8" xfId="745"/>
    <cellStyle name="20% - Accent6 8 2" xfId="746"/>
    <cellStyle name="20% - Accent6 9" xfId="747"/>
    <cellStyle name="20% - Accent6 9 2" xfId="748"/>
    <cellStyle name="40% - Accent1 10" xfId="749"/>
    <cellStyle name="40% - Accent1 10 2" xfId="750"/>
    <cellStyle name="40% - Accent1 11" xfId="751"/>
    <cellStyle name="40% - Accent1 11 2" xfId="752"/>
    <cellStyle name="40% - Accent1 2" xfId="753"/>
    <cellStyle name="40% - Accent1 2 10" xfId="754"/>
    <cellStyle name="40% - Accent1 2 10 2" xfId="755"/>
    <cellStyle name="40% - Accent1 2 11" xfId="756"/>
    <cellStyle name="40% - Accent1 2 2" xfId="757"/>
    <cellStyle name="40% - Accent1 2 2 2" xfId="758"/>
    <cellStyle name="40% - Accent1 2 3" xfId="759"/>
    <cellStyle name="40% - Accent1 2 3 2" xfId="760"/>
    <cellStyle name="40% - Accent1 2 4" xfId="761"/>
    <cellStyle name="40% - Accent1 2 4 2" xfId="762"/>
    <cellStyle name="40% - Accent1 2 5" xfId="763"/>
    <cellStyle name="40% - Accent1 2 5 2" xfId="764"/>
    <cellStyle name="40% - Accent1 2 6" xfId="765"/>
    <cellStyle name="40% - Accent1 2 6 2" xfId="766"/>
    <cellStyle name="40% - Accent1 2 7" xfId="767"/>
    <cellStyle name="40% - Accent1 2 7 2" xfId="768"/>
    <cellStyle name="40% - Accent1 2 8" xfId="769"/>
    <cellStyle name="40% - Accent1 2 8 2" xfId="770"/>
    <cellStyle name="40% - Accent1 2 9" xfId="771"/>
    <cellStyle name="40% - Accent1 2 9 2" xfId="772"/>
    <cellStyle name="40% - Accent1 3" xfId="773"/>
    <cellStyle name="40% - Accent1 3 2" xfId="774"/>
    <cellStyle name="40% - Accent1 4" xfId="775"/>
    <cellStyle name="40% - Accent1 4 2" xfId="776"/>
    <cellStyle name="40% - Accent1 5" xfId="777"/>
    <cellStyle name="40% - Accent1 5 2" xfId="778"/>
    <cellStyle name="40% - Accent1 6" xfId="779"/>
    <cellStyle name="40% - Accent1 6 2" xfId="780"/>
    <cellStyle name="40% - Accent1 7" xfId="781"/>
    <cellStyle name="40% - Accent1 7 2" xfId="782"/>
    <cellStyle name="40% - Accent1 8" xfId="783"/>
    <cellStyle name="40% - Accent1 8 2" xfId="784"/>
    <cellStyle name="40% - Accent1 9" xfId="785"/>
    <cellStyle name="40% - Accent1 9 2" xfId="786"/>
    <cellStyle name="40% - Accent2 10" xfId="787"/>
    <cellStyle name="40% - Accent2 10 2" xfId="788"/>
    <cellStyle name="40% - Accent2 11" xfId="789"/>
    <cellStyle name="40% - Accent2 11 2" xfId="790"/>
    <cellStyle name="40% - Accent2 2" xfId="791"/>
    <cellStyle name="40% - Accent2 2 10" xfId="792"/>
    <cellStyle name="40% - Accent2 2 10 2" xfId="793"/>
    <cellStyle name="40% - Accent2 2 11" xfId="794"/>
    <cellStyle name="40% - Accent2 2 2" xfId="795"/>
    <cellStyle name="40% - Accent2 2 2 2" xfId="796"/>
    <cellStyle name="40% - Accent2 2 3" xfId="797"/>
    <cellStyle name="40% - Accent2 2 3 2" xfId="798"/>
    <cellStyle name="40% - Accent2 2 4" xfId="799"/>
    <cellStyle name="40% - Accent2 2 4 2" xfId="800"/>
    <cellStyle name="40% - Accent2 2 5" xfId="801"/>
    <cellStyle name="40% - Accent2 2 5 2" xfId="802"/>
    <cellStyle name="40% - Accent2 2 6" xfId="803"/>
    <cellStyle name="40% - Accent2 2 6 2" xfId="804"/>
    <cellStyle name="40% - Accent2 2 7" xfId="805"/>
    <cellStyle name="40% - Accent2 2 7 2" xfId="806"/>
    <cellStyle name="40% - Accent2 2 8" xfId="807"/>
    <cellStyle name="40% - Accent2 2 8 2" xfId="808"/>
    <cellStyle name="40% - Accent2 2 9" xfId="809"/>
    <cellStyle name="40% - Accent2 2 9 2" xfId="810"/>
    <cellStyle name="40% - Accent2 3" xfId="811"/>
    <cellStyle name="40% - Accent2 3 2" xfId="812"/>
    <cellStyle name="40% - Accent2 4" xfId="813"/>
    <cellStyle name="40% - Accent2 4 2" xfId="814"/>
    <cellStyle name="40% - Accent2 5" xfId="815"/>
    <cellStyle name="40% - Accent2 5 2" xfId="816"/>
    <cellStyle name="40% - Accent2 6" xfId="817"/>
    <cellStyle name="40% - Accent2 6 2" xfId="818"/>
    <cellStyle name="40% - Accent2 7" xfId="819"/>
    <cellStyle name="40% - Accent2 7 2" xfId="820"/>
    <cellStyle name="40% - Accent2 8" xfId="821"/>
    <cellStyle name="40% - Accent2 8 2" xfId="822"/>
    <cellStyle name="40% - Accent2 9" xfId="823"/>
    <cellStyle name="40% - Accent2 9 2" xfId="824"/>
    <cellStyle name="40% - Accent3 10" xfId="825"/>
    <cellStyle name="40% - Accent3 10 2" xfId="826"/>
    <cellStyle name="40% - Accent3 11" xfId="827"/>
    <cellStyle name="40% - Accent3 11 2" xfId="828"/>
    <cellStyle name="40% - Accent3 2" xfId="829"/>
    <cellStyle name="40% - Accent3 2 10" xfId="830"/>
    <cellStyle name="40% - Accent3 2 10 2" xfId="831"/>
    <cellStyle name="40% - Accent3 2 11" xfId="832"/>
    <cellStyle name="40% - Accent3 2 2" xfId="833"/>
    <cellStyle name="40% - Accent3 2 2 2" xfId="834"/>
    <cellStyle name="40% - Accent3 2 3" xfId="835"/>
    <cellStyle name="40% - Accent3 2 3 2" xfId="836"/>
    <cellStyle name="40% - Accent3 2 4" xfId="837"/>
    <cellStyle name="40% - Accent3 2 4 2" xfId="838"/>
    <cellStyle name="40% - Accent3 2 5" xfId="839"/>
    <cellStyle name="40% - Accent3 2 5 2" xfId="840"/>
    <cellStyle name="40% - Accent3 2 6" xfId="841"/>
    <cellStyle name="40% - Accent3 2 6 2" xfId="842"/>
    <cellStyle name="40% - Accent3 2 7" xfId="843"/>
    <cellStyle name="40% - Accent3 2 7 2" xfId="844"/>
    <cellStyle name="40% - Accent3 2 8" xfId="845"/>
    <cellStyle name="40% - Accent3 2 8 2" xfId="846"/>
    <cellStyle name="40% - Accent3 2 9" xfId="847"/>
    <cellStyle name="40% - Accent3 2 9 2" xfId="848"/>
    <cellStyle name="40% - Accent3 3" xfId="849"/>
    <cellStyle name="40% - Accent3 3 2" xfId="850"/>
    <cellStyle name="40% - Accent3 4" xfId="851"/>
    <cellStyle name="40% - Accent3 4 2" xfId="852"/>
    <cellStyle name="40% - Accent3 5" xfId="853"/>
    <cellStyle name="40% - Accent3 5 2" xfId="854"/>
    <cellStyle name="40% - Accent3 6" xfId="855"/>
    <cellStyle name="40% - Accent3 6 2" xfId="856"/>
    <cellStyle name="40% - Accent3 7" xfId="857"/>
    <cellStyle name="40% - Accent3 7 2" xfId="858"/>
    <cellStyle name="40% - Accent3 8" xfId="859"/>
    <cellStyle name="40% - Accent3 8 2" xfId="860"/>
    <cellStyle name="40% - Accent3 9" xfId="861"/>
    <cellStyle name="40% - Accent3 9 2" xfId="862"/>
    <cellStyle name="40% - Accent4 10" xfId="863"/>
    <cellStyle name="40% - Accent4 10 2" xfId="864"/>
    <cellStyle name="40% - Accent4 11" xfId="865"/>
    <cellStyle name="40% - Accent4 11 2" xfId="866"/>
    <cellStyle name="40% - Accent4 2" xfId="867"/>
    <cellStyle name="40% - Accent4 2 10" xfId="868"/>
    <cellStyle name="40% - Accent4 2 10 2" xfId="869"/>
    <cellStyle name="40% - Accent4 2 11" xfId="870"/>
    <cellStyle name="40% - Accent4 2 2" xfId="871"/>
    <cellStyle name="40% - Accent4 2 2 2" xfId="872"/>
    <cellStyle name="40% - Accent4 2 3" xfId="873"/>
    <cellStyle name="40% - Accent4 2 3 2" xfId="874"/>
    <cellStyle name="40% - Accent4 2 4" xfId="875"/>
    <cellStyle name="40% - Accent4 2 4 2" xfId="876"/>
    <cellStyle name="40% - Accent4 2 5" xfId="877"/>
    <cellStyle name="40% - Accent4 2 5 2" xfId="878"/>
    <cellStyle name="40% - Accent4 2 6" xfId="879"/>
    <cellStyle name="40% - Accent4 2 6 2" xfId="880"/>
    <cellStyle name="40% - Accent4 2 7" xfId="881"/>
    <cellStyle name="40% - Accent4 2 7 2" xfId="882"/>
    <cellStyle name="40% - Accent4 2 8" xfId="883"/>
    <cellStyle name="40% - Accent4 2 8 2" xfId="884"/>
    <cellStyle name="40% - Accent4 2 9" xfId="885"/>
    <cellStyle name="40% - Accent4 2 9 2" xfId="886"/>
    <cellStyle name="40% - Accent4 3" xfId="887"/>
    <cellStyle name="40% - Accent4 3 2" xfId="888"/>
    <cellStyle name="40% - Accent4 4" xfId="889"/>
    <cellStyle name="40% - Accent4 4 2" xfId="890"/>
    <cellStyle name="40% - Accent4 5" xfId="891"/>
    <cellStyle name="40% - Accent4 5 2" xfId="892"/>
    <cellStyle name="40% - Accent4 6" xfId="893"/>
    <cellStyle name="40% - Accent4 6 2" xfId="894"/>
    <cellStyle name="40% - Accent4 7" xfId="895"/>
    <cellStyle name="40% - Accent4 7 2" xfId="896"/>
    <cellStyle name="40% - Accent4 8" xfId="897"/>
    <cellStyle name="40% - Accent4 8 2" xfId="898"/>
    <cellStyle name="40% - Accent4 9" xfId="899"/>
    <cellStyle name="40% - Accent4 9 2" xfId="900"/>
    <cellStyle name="40% - Accent5 10" xfId="901"/>
    <cellStyle name="40% - Accent5 10 2" xfId="902"/>
    <cellStyle name="40% - Accent5 11" xfId="903"/>
    <cellStyle name="40% - Accent5 11 2" xfId="904"/>
    <cellStyle name="40% - Accent5 2" xfId="905"/>
    <cellStyle name="40% - Accent5 2 10" xfId="906"/>
    <cellStyle name="40% - Accent5 2 10 2" xfId="907"/>
    <cellStyle name="40% - Accent5 2 11" xfId="908"/>
    <cellStyle name="40% - Accent5 2 2" xfId="909"/>
    <cellStyle name="40% - Accent5 2 2 2" xfId="910"/>
    <cellStyle name="40% - Accent5 2 3" xfId="911"/>
    <cellStyle name="40% - Accent5 2 3 2" xfId="912"/>
    <cellStyle name="40% - Accent5 2 4" xfId="913"/>
    <cellStyle name="40% - Accent5 2 4 2" xfId="914"/>
    <cellStyle name="40% - Accent5 2 5" xfId="915"/>
    <cellStyle name="40% - Accent5 2 5 2" xfId="916"/>
    <cellStyle name="40% - Accent5 2 6" xfId="917"/>
    <cellStyle name="40% - Accent5 2 6 2" xfId="918"/>
    <cellStyle name="40% - Accent5 2 7" xfId="919"/>
    <cellStyle name="40% - Accent5 2 7 2" xfId="920"/>
    <cellStyle name="40% - Accent5 2 8" xfId="921"/>
    <cellStyle name="40% - Accent5 2 8 2" xfId="922"/>
    <cellStyle name="40% - Accent5 2 9" xfId="923"/>
    <cellStyle name="40% - Accent5 2 9 2" xfId="924"/>
    <cellStyle name="40% - Accent5 3" xfId="925"/>
    <cellStyle name="40% - Accent5 3 2" xfId="926"/>
    <cellStyle name="40% - Accent5 4" xfId="927"/>
    <cellStyle name="40% - Accent5 4 2" xfId="928"/>
    <cellStyle name="40% - Accent5 5" xfId="929"/>
    <cellStyle name="40% - Accent5 5 2" xfId="930"/>
    <cellStyle name="40% - Accent5 6" xfId="931"/>
    <cellStyle name="40% - Accent5 6 2" xfId="932"/>
    <cellStyle name="40% - Accent5 7" xfId="933"/>
    <cellStyle name="40% - Accent5 7 2" xfId="934"/>
    <cellStyle name="40% - Accent5 8" xfId="935"/>
    <cellStyle name="40% - Accent5 8 2" xfId="936"/>
    <cellStyle name="40% - Accent5 9" xfId="937"/>
    <cellStyle name="40% - Accent5 9 2" xfId="938"/>
    <cellStyle name="40% - Accent6 10" xfId="939"/>
    <cellStyle name="40% - Accent6 10 2" xfId="940"/>
    <cellStyle name="40% - Accent6 11" xfId="941"/>
    <cellStyle name="40% - Accent6 11 2" xfId="942"/>
    <cellStyle name="40% - Accent6 2" xfId="943"/>
    <cellStyle name="40% - Accent6 2 10" xfId="944"/>
    <cellStyle name="40% - Accent6 2 10 2" xfId="945"/>
    <cellStyle name="40% - Accent6 2 11" xfId="946"/>
    <cellStyle name="40% - Accent6 2 2" xfId="947"/>
    <cellStyle name="40% - Accent6 2 2 2" xfId="948"/>
    <cellStyle name="40% - Accent6 2 3" xfId="949"/>
    <cellStyle name="40% - Accent6 2 3 2" xfId="950"/>
    <cellStyle name="40% - Accent6 2 4" xfId="951"/>
    <cellStyle name="40% - Accent6 2 4 2" xfId="952"/>
    <cellStyle name="40% - Accent6 2 5" xfId="953"/>
    <cellStyle name="40% - Accent6 2 5 2" xfId="954"/>
    <cellStyle name="40% - Accent6 2 6" xfId="955"/>
    <cellStyle name="40% - Accent6 2 6 2" xfId="956"/>
    <cellStyle name="40% - Accent6 2 7" xfId="957"/>
    <cellStyle name="40% - Accent6 2 7 2" xfId="958"/>
    <cellStyle name="40% - Accent6 2 8" xfId="959"/>
    <cellStyle name="40% - Accent6 2 8 2" xfId="960"/>
    <cellStyle name="40% - Accent6 2 9" xfId="961"/>
    <cellStyle name="40% - Accent6 2 9 2" xfId="962"/>
    <cellStyle name="40% - Accent6 3" xfId="963"/>
    <cellStyle name="40% - Accent6 3 2" xfId="964"/>
    <cellStyle name="40% - Accent6 4" xfId="965"/>
    <cellStyle name="40% - Accent6 4 2" xfId="966"/>
    <cellStyle name="40% - Accent6 5" xfId="967"/>
    <cellStyle name="40% - Accent6 5 2" xfId="968"/>
    <cellStyle name="40% - Accent6 6" xfId="969"/>
    <cellStyle name="40% - Accent6 6 2" xfId="970"/>
    <cellStyle name="40% - Accent6 7" xfId="971"/>
    <cellStyle name="40% - Accent6 7 2" xfId="972"/>
    <cellStyle name="40% - Accent6 8" xfId="973"/>
    <cellStyle name="40% - Accent6 8 2" xfId="974"/>
    <cellStyle name="40% - Accent6 9" xfId="975"/>
    <cellStyle name="40% - Accent6 9 2" xfId="976"/>
    <cellStyle name="60% - Accent1 10" xfId="977"/>
    <cellStyle name="60% - Accent1 2" xfId="978"/>
    <cellStyle name="60% - Accent1 2 10" xfId="979"/>
    <cellStyle name="60% - Accent1 2 2" xfId="980"/>
    <cellStyle name="60% - Accent1 2 3" xfId="981"/>
    <cellStyle name="60% - Accent1 2 4" xfId="982"/>
    <cellStyle name="60% - Accent1 2 5" xfId="983"/>
    <cellStyle name="60% - Accent1 2 6" xfId="984"/>
    <cellStyle name="60% - Accent1 2 7" xfId="985"/>
    <cellStyle name="60% - Accent1 2 8" xfId="986"/>
    <cellStyle name="60% - Accent1 2 9" xfId="987"/>
    <cellStyle name="60% - Accent1 3" xfId="988"/>
    <cellStyle name="60% - Accent1 4" xfId="989"/>
    <cellStyle name="60% - Accent1 5" xfId="990"/>
    <cellStyle name="60% - Accent1 6" xfId="991"/>
    <cellStyle name="60% - Accent1 7" xfId="992"/>
    <cellStyle name="60% - Accent1 8" xfId="993"/>
    <cellStyle name="60% - Accent1 9" xfId="994"/>
    <cellStyle name="60% - Accent2 10" xfId="995"/>
    <cellStyle name="60% - Accent2 2" xfId="996"/>
    <cellStyle name="60% - Accent2 2 10" xfId="997"/>
    <cellStyle name="60% - Accent2 2 2" xfId="998"/>
    <cellStyle name="60% - Accent2 2 3" xfId="999"/>
    <cellStyle name="60% - Accent2 2 4" xfId="1000"/>
    <cellStyle name="60% - Accent2 2 5" xfId="1001"/>
    <cellStyle name="60% - Accent2 2 6" xfId="1002"/>
    <cellStyle name="60% - Accent2 2 7" xfId="1003"/>
    <cellStyle name="60% - Accent2 2 8" xfId="1004"/>
    <cellStyle name="60% - Accent2 2 9" xfId="1005"/>
    <cellStyle name="60% - Accent2 3" xfId="1006"/>
    <cellStyle name="60% - Accent2 4" xfId="1007"/>
    <cellStyle name="60% - Accent2 5" xfId="1008"/>
    <cellStyle name="60% - Accent2 6" xfId="1009"/>
    <cellStyle name="60% - Accent2 7" xfId="1010"/>
    <cellStyle name="60% - Accent2 8" xfId="1011"/>
    <cellStyle name="60% - Accent2 9" xfId="1012"/>
    <cellStyle name="60% - Accent3 10" xfId="1013"/>
    <cellStyle name="60% - Accent3 2" xfId="1014"/>
    <cellStyle name="60% - Accent3 2 10" xfId="1015"/>
    <cellStyle name="60% - Accent3 2 2" xfId="1016"/>
    <cellStyle name="60% - Accent3 2 3" xfId="1017"/>
    <cellStyle name="60% - Accent3 2 4" xfId="1018"/>
    <cellStyle name="60% - Accent3 2 5" xfId="1019"/>
    <cellStyle name="60% - Accent3 2 6" xfId="1020"/>
    <cellStyle name="60% - Accent3 2 7" xfId="1021"/>
    <cellStyle name="60% - Accent3 2 8" xfId="1022"/>
    <cellStyle name="60% - Accent3 2 9" xfId="1023"/>
    <cellStyle name="60% - Accent3 3" xfId="1024"/>
    <cellStyle name="60% - Accent3 4" xfId="1025"/>
    <cellStyle name="60% - Accent3 5" xfId="1026"/>
    <cellStyle name="60% - Accent3 6" xfId="1027"/>
    <cellStyle name="60% - Accent3 7" xfId="1028"/>
    <cellStyle name="60% - Accent3 8" xfId="1029"/>
    <cellStyle name="60% - Accent3 9" xfId="1030"/>
    <cellStyle name="60% - Accent4 10" xfId="1031"/>
    <cellStyle name="60% - Accent4 2" xfId="1032"/>
    <cellStyle name="60% - Accent4 2 10" xfId="1033"/>
    <cellStyle name="60% - Accent4 2 2" xfId="1034"/>
    <cellStyle name="60% - Accent4 2 3" xfId="1035"/>
    <cellStyle name="60% - Accent4 2 4" xfId="1036"/>
    <cellStyle name="60% - Accent4 2 5" xfId="1037"/>
    <cellStyle name="60% - Accent4 2 6" xfId="1038"/>
    <cellStyle name="60% - Accent4 2 7" xfId="1039"/>
    <cellStyle name="60% - Accent4 2 8" xfId="1040"/>
    <cellStyle name="60% - Accent4 2 9" xfId="1041"/>
    <cellStyle name="60% - Accent4 3" xfId="1042"/>
    <cellStyle name="60% - Accent4 4" xfId="1043"/>
    <cellStyle name="60% - Accent4 5" xfId="1044"/>
    <cellStyle name="60% - Accent4 6" xfId="1045"/>
    <cellStyle name="60% - Accent4 7" xfId="1046"/>
    <cellStyle name="60% - Accent4 8" xfId="1047"/>
    <cellStyle name="60% - Accent4 9" xfId="1048"/>
    <cellStyle name="60% - Accent5 10" xfId="1049"/>
    <cellStyle name="60% - Accent5 2" xfId="1050"/>
    <cellStyle name="60% - Accent5 2 10" xfId="1051"/>
    <cellStyle name="60% - Accent5 2 2" xfId="1052"/>
    <cellStyle name="60% - Accent5 2 3" xfId="1053"/>
    <cellStyle name="60% - Accent5 2 4" xfId="1054"/>
    <cellStyle name="60% - Accent5 2 5" xfId="1055"/>
    <cellStyle name="60% - Accent5 2 6" xfId="1056"/>
    <cellStyle name="60% - Accent5 2 7" xfId="1057"/>
    <cellStyle name="60% - Accent5 2 8" xfId="1058"/>
    <cellStyle name="60% - Accent5 2 9" xfId="1059"/>
    <cellStyle name="60% - Accent5 3" xfId="1060"/>
    <cellStyle name="60% - Accent5 4" xfId="1061"/>
    <cellStyle name="60% - Accent5 5" xfId="1062"/>
    <cellStyle name="60% - Accent5 6" xfId="1063"/>
    <cellStyle name="60% - Accent5 7" xfId="1064"/>
    <cellStyle name="60% - Accent5 8" xfId="1065"/>
    <cellStyle name="60% - Accent5 9" xfId="1066"/>
    <cellStyle name="60% - Accent6 10" xfId="1067"/>
    <cellStyle name="60% - Accent6 2" xfId="1068"/>
    <cellStyle name="60% - Accent6 2 10" xfId="1069"/>
    <cellStyle name="60% - Accent6 2 2" xfId="1070"/>
    <cellStyle name="60% - Accent6 2 3" xfId="1071"/>
    <cellStyle name="60% - Accent6 2 4" xfId="1072"/>
    <cellStyle name="60% - Accent6 2 5" xfId="1073"/>
    <cellStyle name="60% - Accent6 2 6" xfId="1074"/>
    <cellStyle name="60% - Accent6 2 7" xfId="1075"/>
    <cellStyle name="60% - Accent6 2 8" xfId="1076"/>
    <cellStyle name="60% - Accent6 2 9" xfId="1077"/>
    <cellStyle name="60% - Accent6 3" xfId="1078"/>
    <cellStyle name="60% - Accent6 4" xfId="1079"/>
    <cellStyle name="60% - Accent6 5" xfId="1080"/>
    <cellStyle name="60% - Accent6 6" xfId="1081"/>
    <cellStyle name="60% - Accent6 7" xfId="1082"/>
    <cellStyle name="60% - Accent6 8" xfId="1083"/>
    <cellStyle name="60% - Accent6 9" xfId="1084"/>
    <cellStyle name="Accent1 10" xfId="1085"/>
    <cellStyle name="Accent1 2" xfId="1086"/>
    <cellStyle name="Accent1 2 10" xfId="1087"/>
    <cellStyle name="Accent1 2 2" xfId="1088"/>
    <cellStyle name="Accent1 2 3" xfId="1089"/>
    <cellStyle name="Accent1 2 4" xfId="1090"/>
    <cellStyle name="Accent1 2 5" xfId="1091"/>
    <cellStyle name="Accent1 2 6" xfId="1092"/>
    <cellStyle name="Accent1 2 7" xfId="1093"/>
    <cellStyle name="Accent1 2 8" xfId="1094"/>
    <cellStyle name="Accent1 2 9" xfId="1095"/>
    <cellStyle name="Accent1 3" xfId="1096"/>
    <cellStyle name="Accent1 4" xfId="1097"/>
    <cellStyle name="Accent1 5" xfId="1098"/>
    <cellStyle name="Accent1 6" xfId="1099"/>
    <cellStyle name="Accent1 7" xfId="1100"/>
    <cellStyle name="Accent1 8" xfId="1101"/>
    <cellStyle name="Accent1 9" xfId="1102"/>
    <cellStyle name="Accent2 10" xfId="1103"/>
    <cellStyle name="Accent2 2" xfId="1104"/>
    <cellStyle name="Accent2 2 10" xfId="1105"/>
    <cellStyle name="Accent2 2 2" xfId="1106"/>
    <cellStyle name="Accent2 2 3" xfId="1107"/>
    <cellStyle name="Accent2 2 4" xfId="1108"/>
    <cellStyle name="Accent2 2 5" xfId="1109"/>
    <cellStyle name="Accent2 2 6" xfId="1110"/>
    <cellStyle name="Accent2 2 7" xfId="1111"/>
    <cellStyle name="Accent2 2 8" xfId="1112"/>
    <cellStyle name="Accent2 2 9" xfId="1113"/>
    <cellStyle name="Accent2 3" xfId="1114"/>
    <cellStyle name="Accent2 4" xfId="1115"/>
    <cellStyle name="Accent2 5" xfId="1116"/>
    <cellStyle name="Accent2 6" xfId="1117"/>
    <cellStyle name="Accent2 7" xfId="1118"/>
    <cellStyle name="Accent2 8" xfId="1119"/>
    <cellStyle name="Accent2 9" xfId="1120"/>
    <cellStyle name="Accent3 10" xfId="1121"/>
    <cellStyle name="Accent3 2" xfId="1122"/>
    <cellStyle name="Accent3 2 10" xfId="1123"/>
    <cellStyle name="Accent3 2 2" xfId="1124"/>
    <cellStyle name="Accent3 2 3" xfId="1125"/>
    <cellStyle name="Accent3 2 4" xfId="1126"/>
    <cellStyle name="Accent3 2 5" xfId="1127"/>
    <cellStyle name="Accent3 2 6" xfId="1128"/>
    <cellStyle name="Accent3 2 7" xfId="1129"/>
    <cellStyle name="Accent3 2 8" xfId="1130"/>
    <cellStyle name="Accent3 2 9" xfId="1131"/>
    <cellStyle name="Accent3 3" xfId="1132"/>
    <cellStyle name="Accent3 4" xfId="1133"/>
    <cellStyle name="Accent3 5" xfId="1134"/>
    <cellStyle name="Accent3 6" xfId="1135"/>
    <cellStyle name="Accent3 7" xfId="1136"/>
    <cellStyle name="Accent3 8" xfId="1137"/>
    <cellStyle name="Accent3 9" xfId="1138"/>
    <cellStyle name="Accent4 10" xfId="1139"/>
    <cellStyle name="Accent4 2" xfId="1140"/>
    <cellStyle name="Accent4 2 10" xfId="1141"/>
    <cellStyle name="Accent4 2 2" xfId="1142"/>
    <cellStyle name="Accent4 2 3" xfId="1143"/>
    <cellStyle name="Accent4 2 4" xfId="1144"/>
    <cellStyle name="Accent4 2 5" xfId="1145"/>
    <cellStyle name="Accent4 2 6" xfId="1146"/>
    <cellStyle name="Accent4 2 7" xfId="1147"/>
    <cellStyle name="Accent4 2 8" xfId="1148"/>
    <cellStyle name="Accent4 2 9" xfId="1149"/>
    <cellStyle name="Accent4 3" xfId="1150"/>
    <cellStyle name="Accent4 4" xfId="1151"/>
    <cellStyle name="Accent4 5" xfId="1152"/>
    <cellStyle name="Accent4 6" xfId="1153"/>
    <cellStyle name="Accent4 7" xfId="1154"/>
    <cellStyle name="Accent4 8" xfId="1155"/>
    <cellStyle name="Accent4 9" xfId="1156"/>
    <cellStyle name="Accent5 10" xfId="1157"/>
    <cellStyle name="Accent5 2" xfId="1158"/>
    <cellStyle name="Accent5 2 10" xfId="1159"/>
    <cellStyle name="Accent5 2 2" xfId="1160"/>
    <cellStyle name="Accent5 2 3" xfId="1161"/>
    <cellStyle name="Accent5 2 4" xfId="1162"/>
    <cellStyle name="Accent5 2 5" xfId="1163"/>
    <cellStyle name="Accent5 2 6" xfId="1164"/>
    <cellStyle name="Accent5 2 7" xfId="1165"/>
    <cellStyle name="Accent5 2 8" xfId="1166"/>
    <cellStyle name="Accent5 2 9" xfId="1167"/>
    <cellStyle name="Accent5 3" xfId="1168"/>
    <cellStyle name="Accent5 4" xfId="1169"/>
    <cellStyle name="Accent5 5" xfId="1170"/>
    <cellStyle name="Accent5 6" xfId="1171"/>
    <cellStyle name="Accent5 7" xfId="1172"/>
    <cellStyle name="Accent5 8" xfId="1173"/>
    <cellStyle name="Accent5 9" xfId="1174"/>
    <cellStyle name="Accent6 10" xfId="1175"/>
    <cellStyle name="Accent6 2" xfId="1176"/>
    <cellStyle name="Accent6 2 10" xfId="1177"/>
    <cellStyle name="Accent6 2 2" xfId="1178"/>
    <cellStyle name="Accent6 2 3" xfId="1179"/>
    <cellStyle name="Accent6 2 4" xfId="1180"/>
    <cellStyle name="Accent6 2 5" xfId="1181"/>
    <cellStyle name="Accent6 2 6" xfId="1182"/>
    <cellStyle name="Accent6 2 7" xfId="1183"/>
    <cellStyle name="Accent6 2 8" xfId="1184"/>
    <cellStyle name="Accent6 2 9" xfId="1185"/>
    <cellStyle name="Accent6 3" xfId="1186"/>
    <cellStyle name="Accent6 4" xfId="1187"/>
    <cellStyle name="Accent6 5" xfId="1188"/>
    <cellStyle name="Accent6 6" xfId="1189"/>
    <cellStyle name="Accent6 7" xfId="1190"/>
    <cellStyle name="Accent6 8" xfId="1191"/>
    <cellStyle name="Accent6 9" xfId="1192"/>
    <cellStyle name="ang" xfId="1193"/>
    <cellStyle name="Bad 10" xfId="1194"/>
    <cellStyle name="Bad 2" xfId="1195"/>
    <cellStyle name="Bad 2 10" xfId="1196"/>
    <cellStyle name="Bad 2 2" xfId="1197"/>
    <cellStyle name="Bad 2 3" xfId="1198"/>
    <cellStyle name="Bad 2 4" xfId="1199"/>
    <cellStyle name="Bad 2 5" xfId="1200"/>
    <cellStyle name="Bad 2 6" xfId="1201"/>
    <cellStyle name="Bad 2 7" xfId="1202"/>
    <cellStyle name="Bad 2 8" xfId="1203"/>
    <cellStyle name="Bad 2 9" xfId="1204"/>
    <cellStyle name="Bad 3" xfId="1205"/>
    <cellStyle name="Bad 4" xfId="1206"/>
    <cellStyle name="Bad 5" xfId="1207"/>
    <cellStyle name="Bad 6" xfId="1208"/>
    <cellStyle name="Bad 7" xfId="1209"/>
    <cellStyle name="Bad 8" xfId="1210"/>
    <cellStyle name="Bad 9" xfId="1211"/>
    <cellStyle name="Bear_angle" xfId="1212"/>
    <cellStyle name="Bill No" xfId="1213"/>
    <cellStyle name="Bill Title" xfId="1214"/>
    <cellStyle name="Body" xfId="1215"/>
    <cellStyle name="C:\Data\MS\Excel" xfId="1216"/>
    <cellStyle name="Calc Currency (0)" xfId="1217"/>
    <cellStyle name="Calculation 10" xfId="1218"/>
    <cellStyle name="Calculation 10 2" xfId="1219"/>
    <cellStyle name="Calculation 10 2 2" xfId="1220"/>
    <cellStyle name="Calculation 10 3" xfId="1221"/>
    <cellStyle name="Calculation 10 3 2" xfId="1222"/>
    <cellStyle name="Calculation 10 4" xfId="1223"/>
    <cellStyle name="Calculation 2" xfId="1224"/>
    <cellStyle name="Calculation 2 10" xfId="1225"/>
    <cellStyle name="Calculation 2 10 2" xfId="1226"/>
    <cellStyle name="Calculation 2 10 2 2" xfId="1227"/>
    <cellStyle name="Calculation 2 10 3" xfId="1228"/>
    <cellStyle name="Calculation 2 10 3 2" xfId="1229"/>
    <cellStyle name="Calculation 2 10 4" xfId="1230"/>
    <cellStyle name="Calculation 2 11" xfId="1231"/>
    <cellStyle name="Calculation 2 11 2" xfId="1232"/>
    <cellStyle name="Calculation 2 12" xfId="1233"/>
    <cellStyle name="Calculation 2 12 2" xfId="1234"/>
    <cellStyle name="Calculation 2 13" xfId="1235"/>
    <cellStyle name="Calculation 2 2" xfId="1236"/>
    <cellStyle name="Calculation 2 2 2" xfId="1237"/>
    <cellStyle name="Calculation 2 2 2 2" xfId="1238"/>
    <cellStyle name="Calculation 2 2 3" xfId="1239"/>
    <cellStyle name="Calculation 2 2 3 2" xfId="1240"/>
    <cellStyle name="Calculation 2 2 4" xfId="1241"/>
    <cellStyle name="Calculation 2 3" xfId="1242"/>
    <cellStyle name="Calculation 2 3 2" xfId="1243"/>
    <cellStyle name="Calculation 2 3 2 2" xfId="1244"/>
    <cellStyle name="Calculation 2 3 3" xfId="1245"/>
    <cellStyle name="Calculation 2 3 3 2" xfId="1246"/>
    <cellStyle name="Calculation 2 3 4" xfId="1247"/>
    <cellStyle name="Calculation 2 4" xfId="1248"/>
    <cellStyle name="Calculation 2 4 2" xfId="1249"/>
    <cellStyle name="Calculation 2 4 2 2" xfId="1250"/>
    <cellStyle name="Calculation 2 4 3" xfId="1251"/>
    <cellStyle name="Calculation 2 4 3 2" xfId="1252"/>
    <cellStyle name="Calculation 2 4 4" xfId="1253"/>
    <cellStyle name="Calculation 2 5" xfId="1254"/>
    <cellStyle name="Calculation 2 5 2" xfId="1255"/>
    <cellStyle name="Calculation 2 5 2 2" xfId="1256"/>
    <cellStyle name="Calculation 2 5 3" xfId="1257"/>
    <cellStyle name="Calculation 2 5 3 2" xfId="1258"/>
    <cellStyle name="Calculation 2 5 4" xfId="1259"/>
    <cellStyle name="Calculation 2 6" xfId="1260"/>
    <cellStyle name="Calculation 2 6 2" xfId="1261"/>
    <cellStyle name="Calculation 2 6 2 2" xfId="1262"/>
    <cellStyle name="Calculation 2 6 3" xfId="1263"/>
    <cellStyle name="Calculation 2 6 3 2" xfId="1264"/>
    <cellStyle name="Calculation 2 6 4" xfId="1265"/>
    <cellStyle name="Calculation 2 7" xfId="1266"/>
    <cellStyle name="Calculation 2 7 2" xfId="1267"/>
    <cellStyle name="Calculation 2 7 2 2" xfId="1268"/>
    <cellStyle name="Calculation 2 7 3" xfId="1269"/>
    <cellStyle name="Calculation 2 7 3 2" xfId="1270"/>
    <cellStyle name="Calculation 2 7 4" xfId="1271"/>
    <cellStyle name="Calculation 2 8" xfId="1272"/>
    <cellStyle name="Calculation 2 8 2" xfId="1273"/>
    <cellStyle name="Calculation 2 8 2 2" xfId="1274"/>
    <cellStyle name="Calculation 2 8 3" xfId="1275"/>
    <cellStyle name="Calculation 2 8 3 2" xfId="1276"/>
    <cellStyle name="Calculation 2 8 4" xfId="1277"/>
    <cellStyle name="Calculation 2 9" xfId="1278"/>
    <cellStyle name="Calculation 2 9 2" xfId="1279"/>
    <cellStyle name="Calculation 2 9 2 2" xfId="1280"/>
    <cellStyle name="Calculation 2 9 3" xfId="1281"/>
    <cellStyle name="Calculation 2 9 3 2" xfId="1282"/>
    <cellStyle name="Calculation 2 9 4" xfId="1283"/>
    <cellStyle name="Calculation 3" xfId="1284"/>
    <cellStyle name="Calculation 3 2" xfId="1285"/>
    <cellStyle name="Calculation 3 2 2" xfId="1286"/>
    <cellStyle name="Calculation 3 3" xfId="1287"/>
    <cellStyle name="Calculation 3 3 2" xfId="1288"/>
    <cellStyle name="Calculation 3 4" xfId="1289"/>
    <cellStyle name="Calculation 4" xfId="1290"/>
    <cellStyle name="Calculation 4 2" xfId="1291"/>
    <cellStyle name="Calculation 4 2 2" xfId="1292"/>
    <cellStyle name="Calculation 4 3" xfId="1293"/>
    <cellStyle name="Calculation 4 3 2" xfId="1294"/>
    <cellStyle name="Calculation 4 4" xfId="1295"/>
    <cellStyle name="Calculation 5" xfId="1296"/>
    <cellStyle name="Calculation 5 2" xfId="1297"/>
    <cellStyle name="Calculation 5 2 2" xfId="1298"/>
    <cellStyle name="Calculation 5 3" xfId="1299"/>
    <cellStyle name="Calculation 5 3 2" xfId="1300"/>
    <cellStyle name="Calculation 5 4" xfId="1301"/>
    <cellStyle name="Calculation 6" xfId="1302"/>
    <cellStyle name="Calculation 6 2" xfId="1303"/>
    <cellStyle name="Calculation 6 2 2" xfId="1304"/>
    <cellStyle name="Calculation 6 3" xfId="1305"/>
    <cellStyle name="Calculation 6 3 2" xfId="1306"/>
    <cellStyle name="Calculation 6 4" xfId="1307"/>
    <cellStyle name="Calculation 7" xfId="1308"/>
    <cellStyle name="Calculation 7 2" xfId="1309"/>
    <cellStyle name="Calculation 7 2 2" xfId="1310"/>
    <cellStyle name="Calculation 7 3" xfId="1311"/>
    <cellStyle name="Calculation 7 3 2" xfId="1312"/>
    <cellStyle name="Calculation 7 4" xfId="1313"/>
    <cellStyle name="Calculation 8" xfId="1314"/>
    <cellStyle name="Calculation 8 2" xfId="1315"/>
    <cellStyle name="Calculation 8 2 2" xfId="1316"/>
    <cellStyle name="Calculation 8 3" xfId="1317"/>
    <cellStyle name="Calculation 8 3 2" xfId="1318"/>
    <cellStyle name="Calculation 8 4" xfId="1319"/>
    <cellStyle name="Calculation 9" xfId="1320"/>
    <cellStyle name="Calculation 9 2" xfId="1321"/>
    <cellStyle name="Calculation 9 2 2" xfId="1322"/>
    <cellStyle name="Calculation 9 3" xfId="1323"/>
    <cellStyle name="Calculation 9 3 2" xfId="1324"/>
    <cellStyle name="Calculation 9 4" xfId="1325"/>
    <cellStyle name="ccl-tender" xfId="1326"/>
    <cellStyle name="Check Cell 10" xfId="1327"/>
    <cellStyle name="Check Cell 2" xfId="1328"/>
    <cellStyle name="Check Cell 2 10" xfId="1329"/>
    <cellStyle name="Check Cell 2 2" xfId="1330"/>
    <cellStyle name="Check Cell 2 3" xfId="1331"/>
    <cellStyle name="Check Cell 2 4" xfId="1332"/>
    <cellStyle name="Check Cell 2 5" xfId="1333"/>
    <cellStyle name="Check Cell 2 6" xfId="1334"/>
    <cellStyle name="Check Cell 2 7" xfId="1335"/>
    <cellStyle name="Check Cell 2 8" xfId="1336"/>
    <cellStyle name="Check Cell 2 9" xfId="1337"/>
    <cellStyle name="Check Cell 3" xfId="1338"/>
    <cellStyle name="Check Cell 4" xfId="1339"/>
    <cellStyle name="Check Cell 5" xfId="1340"/>
    <cellStyle name="Check Cell 6" xfId="1341"/>
    <cellStyle name="Check Cell 7" xfId="1342"/>
    <cellStyle name="Check Cell 8" xfId="1343"/>
    <cellStyle name="Check Cell 9" xfId="1344"/>
    <cellStyle name="Comma" xfId="1" builtinId="3"/>
    <cellStyle name="Comma 10" xfId="1345"/>
    <cellStyle name="Comma 10 2" xfId="1346"/>
    <cellStyle name="Comma 10 2 2" xfId="1347"/>
    <cellStyle name="Comma 10 3" xfId="1348"/>
    <cellStyle name="Comma 11" xfId="1349"/>
    <cellStyle name="Comma 11 2" xfId="1350"/>
    <cellStyle name="Comma 11 2 2" xfId="1351"/>
    <cellStyle name="Comma 11 2 2 2" xfId="1352"/>
    <cellStyle name="Comma 11 2 3" xfId="1353"/>
    <cellStyle name="Comma 11 3" xfId="1354"/>
    <cellStyle name="Comma 11 3 2" xfId="1355"/>
    <cellStyle name="Comma 11 4" xfId="1356"/>
    <cellStyle name="Comma 12" xfId="1357"/>
    <cellStyle name="Comma 13" xfId="1358"/>
    <cellStyle name="Comma 14" xfId="1359"/>
    <cellStyle name="Comma 16" xfId="1360"/>
    <cellStyle name="Comma 16 2" xfId="1361"/>
    <cellStyle name="Comma 16 2 2" xfId="1362"/>
    <cellStyle name="Comma 16 2 2 2" xfId="1363"/>
    <cellStyle name="Comma 16 2 3" xfId="1364"/>
    <cellStyle name="Comma 16 3" xfId="1365"/>
    <cellStyle name="Comma 16 3 2" xfId="1366"/>
    <cellStyle name="Comma 16 4" xfId="1367"/>
    <cellStyle name="Comma 2" xfId="3"/>
    <cellStyle name="Comma 2 10" xfId="11"/>
    <cellStyle name="Comma 2 10 2" xfId="1368"/>
    <cellStyle name="Comma 2 10 2 2" xfId="1369"/>
    <cellStyle name="Comma 2 10 3" xfId="1370"/>
    <cellStyle name="Comma 2 10 4" xfId="1371"/>
    <cellStyle name="Comma 2 11" xfId="12"/>
    <cellStyle name="Comma 2 11 2" xfId="1372"/>
    <cellStyle name="Comma 2 11 2 2" xfId="1373"/>
    <cellStyle name="Comma 2 11 3" xfId="1374"/>
    <cellStyle name="Comma 2 12" xfId="1375"/>
    <cellStyle name="Comma 2 12 2" xfId="1376"/>
    <cellStyle name="Comma 2 12 2 2" xfId="1377"/>
    <cellStyle name="Comma 2 12 3" xfId="1378"/>
    <cellStyle name="Comma 2 13" xfId="1379"/>
    <cellStyle name="Comma 2 13 2" xfId="1380"/>
    <cellStyle name="Comma 2 13 2 2" xfId="1381"/>
    <cellStyle name="Comma 2 13 3" xfId="1382"/>
    <cellStyle name="Comma 2 14" xfId="1383"/>
    <cellStyle name="Comma 2 14 2" xfId="1384"/>
    <cellStyle name="Comma 2 14 2 2" xfId="1385"/>
    <cellStyle name="Comma 2 14 3" xfId="1386"/>
    <cellStyle name="Comma 2 15" xfId="1387"/>
    <cellStyle name="Comma 2 15 2" xfId="1388"/>
    <cellStyle name="Comma 2 15 2 2" xfId="1389"/>
    <cellStyle name="Comma 2 15 3" xfId="1390"/>
    <cellStyle name="Comma 2 16" xfId="1391"/>
    <cellStyle name="Comma 2 16 2" xfId="1392"/>
    <cellStyle name="Comma 2 16 2 2" xfId="1393"/>
    <cellStyle name="Comma 2 16 3" xfId="1394"/>
    <cellStyle name="Comma 2 17" xfId="1395"/>
    <cellStyle name="Comma 2 17 2" xfId="1396"/>
    <cellStyle name="Comma 2 17 2 2" xfId="1397"/>
    <cellStyle name="Comma 2 17 3" xfId="1398"/>
    <cellStyle name="Comma 2 18" xfId="1399"/>
    <cellStyle name="Comma 2 18 2" xfId="1400"/>
    <cellStyle name="Comma 2 18 2 2" xfId="1401"/>
    <cellStyle name="Comma 2 18 3" xfId="1402"/>
    <cellStyle name="Comma 2 19" xfId="1403"/>
    <cellStyle name="Comma 2 19 2" xfId="1404"/>
    <cellStyle name="Comma 2 19 2 2" xfId="1405"/>
    <cellStyle name="Comma 2 19 3" xfId="1406"/>
    <cellStyle name="Comma 2 2" xfId="13"/>
    <cellStyle name="Comma 2 2 2" xfId="14"/>
    <cellStyle name="Comma 2 2 2 10" xfId="1407"/>
    <cellStyle name="Comma 2 2 2 2" xfId="15"/>
    <cellStyle name="Comma 2 2 2 2 2" xfId="16"/>
    <cellStyle name="Comma 2 2 2 2 2 2" xfId="1408"/>
    <cellStyle name="Comma 2 2 2 2 3" xfId="1409"/>
    <cellStyle name="Comma 2 2 2 3" xfId="17"/>
    <cellStyle name="Comma 2 2 2 3 2" xfId="1410"/>
    <cellStyle name="Comma 2 2 2 4" xfId="18"/>
    <cellStyle name="Comma 2 2 2 5" xfId="19"/>
    <cellStyle name="Comma 2 2 2 6" xfId="20"/>
    <cellStyle name="Comma 2 2 2 7" xfId="21"/>
    <cellStyle name="Comma 2 2 2 8" xfId="22"/>
    <cellStyle name="Comma 2 2 2 9" xfId="23"/>
    <cellStyle name="Comma 2 2 3" xfId="24"/>
    <cellStyle name="Comma 2 2 3 2" xfId="25"/>
    <cellStyle name="Comma 2 2 3 2 2" xfId="1411"/>
    <cellStyle name="Comma 2 2 3 2 3" xfId="1412"/>
    <cellStyle name="Comma 2 2 3 3" xfId="1413"/>
    <cellStyle name="Comma 2 2 3 4" xfId="1414"/>
    <cellStyle name="Comma 2 2 4" xfId="1415"/>
    <cellStyle name="Comma 2 2 4 2" xfId="1416"/>
    <cellStyle name="Comma 2 2 4 2 2" xfId="1417"/>
    <cellStyle name="Comma 2 2 4 3" xfId="1418"/>
    <cellStyle name="Comma 2 2 5" xfId="1419"/>
    <cellStyle name="Comma 2 2 6" xfId="1420"/>
    <cellStyle name="Comma 2 20" xfId="1421"/>
    <cellStyle name="Comma 2 20 2" xfId="1422"/>
    <cellStyle name="Comma 2 20 2 2" xfId="1423"/>
    <cellStyle name="Comma 2 20 3" xfId="1424"/>
    <cellStyle name="Comma 2 21" xfId="1425"/>
    <cellStyle name="Comma 2 21 2" xfId="1426"/>
    <cellStyle name="Comma 2 21 2 2" xfId="1427"/>
    <cellStyle name="Comma 2 21 3" xfId="1428"/>
    <cellStyle name="Comma 2 22" xfId="1429"/>
    <cellStyle name="Comma 2 22 2" xfId="1430"/>
    <cellStyle name="Comma 2 22 2 2" xfId="1431"/>
    <cellStyle name="Comma 2 22 3" xfId="1432"/>
    <cellStyle name="Comma 2 23" xfId="1433"/>
    <cellStyle name="Comma 2 23 2" xfId="1434"/>
    <cellStyle name="Comma 2 23 2 2" xfId="1435"/>
    <cellStyle name="Comma 2 23 3" xfId="1436"/>
    <cellStyle name="Comma 2 24" xfId="1437"/>
    <cellStyle name="Comma 2 24 2" xfId="1438"/>
    <cellStyle name="Comma 2 24 2 2" xfId="1439"/>
    <cellStyle name="Comma 2 24 3" xfId="1440"/>
    <cellStyle name="Comma 2 25" xfId="1441"/>
    <cellStyle name="Comma 2 25 2" xfId="1442"/>
    <cellStyle name="Comma 2 25 2 2" xfId="1443"/>
    <cellStyle name="Comma 2 25 3" xfId="1444"/>
    <cellStyle name="Comma 2 26" xfId="1445"/>
    <cellStyle name="Comma 2 26 2" xfId="1446"/>
    <cellStyle name="Comma 2 26 2 2" xfId="1447"/>
    <cellStyle name="Comma 2 26 3" xfId="1448"/>
    <cellStyle name="Comma 2 27" xfId="1449"/>
    <cellStyle name="Comma 2 27 2" xfId="1450"/>
    <cellStyle name="Comma 2 27 2 2" xfId="1451"/>
    <cellStyle name="Comma 2 27 3" xfId="1452"/>
    <cellStyle name="Comma 2 28" xfId="1453"/>
    <cellStyle name="Comma 2 28 2" xfId="1454"/>
    <cellStyle name="Comma 2 28 2 2" xfId="1455"/>
    <cellStyle name="Comma 2 28 3" xfId="1456"/>
    <cellStyle name="Comma 2 29" xfId="1457"/>
    <cellStyle name="Comma 2 3" xfId="26"/>
    <cellStyle name="Comma 2 3 10" xfId="27"/>
    <cellStyle name="Comma 2 3 11" xfId="28"/>
    <cellStyle name="Comma 2 3 2" xfId="29"/>
    <cellStyle name="Comma 2 3 2 2" xfId="30"/>
    <cellStyle name="Comma 2 3 2 2 2" xfId="1458"/>
    <cellStyle name="Comma 2 3 2 2 2 2" xfId="1459"/>
    <cellStyle name="Comma 2 3 2 2 3" xfId="1460"/>
    <cellStyle name="Comma 2 3 2 2 4" xfId="1461"/>
    <cellStyle name="Comma 2 3 2 3" xfId="1462"/>
    <cellStyle name="Comma 2 3 2 3 2" xfId="1463"/>
    <cellStyle name="Comma 2 3 2 4" xfId="1464"/>
    <cellStyle name="Comma 2 3 2 5" xfId="1465"/>
    <cellStyle name="Comma 2 3 3" xfId="31"/>
    <cellStyle name="Comma 2 3 3 2" xfId="1466"/>
    <cellStyle name="Comma 2 3 3 3" xfId="1467"/>
    <cellStyle name="Comma 2 3 4" xfId="32"/>
    <cellStyle name="Comma 2 3 5" xfId="33"/>
    <cellStyle name="Comma 2 3 6" xfId="34"/>
    <cellStyle name="Comma 2 3 7" xfId="35"/>
    <cellStyle name="Comma 2 3 8" xfId="36"/>
    <cellStyle name="Comma 2 3 9" xfId="37"/>
    <cellStyle name="Comma 2 4" xfId="38"/>
    <cellStyle name="Comma 2 4 2" xfId="39"/>
    <cellStyle name="Comma 2 4 2 2" xfId="1468"/>
    <cellStyle name="Comma 2 4 2 3" xfId="1469"/>
    <cellStyle name="Comma 2 4 3" xfId="1470"/>
    <cellStyle name="Comma 2 4 4" xfId="1471"/>
    <cellStyle name="Comma 2 5" xfId="40"/>
    <cellStyle name="Comma 2 5 2" xfId="1472"/>
    <cellStyle name="Comma 2 5 2 2" xfId="1473"/>
    <cellStyle name="Comma 2 5 2 2 2" xfId="1474"/>
    <cellStyle name="Comma 2 5 2 3" xfId="1475"/>
    <cellStyle name="Comma 2 5 3" xfId="1476"/>
    <cellStyle name="Comma 2 5 3 2" xfId="1477"/>
    <cellStyle name="Comma 2 5 4" xfId="1478"/>
    <cellStyle name="Comma 2 5 5" xfId="1479"/>
    <cellStyle name="Comma 2 6" xfId="41"/>
    <cellStyle name="Comma 2 6 2" xfId="1480"/>
    <cellStyle name="Comma 2 6 2 2" xfId="1481"/>
    <cellStyle name="Comma 2 6 3" xfId="1482"/>
    <cellStyle name="Comma 2 7" xfId="42"/>
    <cellStyle name="Comma 2 7 2" xfId="1483"/>
    <cellStyle name="Comma 2 7 2 2" xfId="1484"/>
    <cellStyle name="Comma 2 7 3" xfId="1485"/>
    <cellStyle name="Comma 2 8" xfId="43"/>
    <cellStyle name="Comma 2 8 2" xfId="1486"/>
    <cellStyle name="Comma 2 8 2 2" xfId="1487"/>
    <cellStyle name="Comma 2 8 3" xfId="1488"/>
    <cellStyle name="Comma 2 9" xfId="44"/>
    <cellStyle name="Comma 2 9 2" xfId="1489"/>
    <cellStyle name="Comma 2 9 2 2" xfId="1490"/>
    <cellStyle name="Comma 2 9 3" xfId="1491"/>
    <cellStyle name="Comma 28" xfId="45"/>
    <cellStyle name="Comma 3" xfId="46"/>
    <cellStyle name="Comma 3 10" xfId="47"/>
    <cellStyle name="Comma 3 10 2" xfId="1492"/>
    <cellStyle name="Comma 3 11" xfId="48"/>
    <cellStyle name="Comma 3 11 2" xfId="1493"/>
    <cellStyle name="Comma 3 12" xfId="1494"/>
    <cellStyle name="Comma 3 2" xfId="49"/>
    <cellStyle name="Comma 3 2 2" xfId="1495"/>
    <cellStyle name="Comma 3 2 2 2" xfId="1496"/>
    <cellStyle name="Comma 3 2 3" xfId="1497"/>
    <cellStyle name="Comma 3 2 4" xfId="1498"/>
    <cellStyle name="Comma 3 3" xfId="50"/>
    <cellStyle name="Comma 3 3 2" xfId="1499"/>
    <cellStyle name="Comma 3 3 2 2" xfId="1500"/>
    <cellStyle name="Comma 3 3 3" xfId="1501"/>
    <cellStyle name="Comma 3 3 4" xfId="1502"/>
    <cellStyle name="Comma 3 4" xfId="51"/>
    <cellStyle name="Comma 3 4 2" xfId="1503"/>
    <cellStyle name="Comma 3 4 2 2" xfId="1504"/>
    <cellStyle name="Comma 3 4 3" xfId="1505"/>
    <cellStyle name="Comma 3 5" xfId="52"/>
    <cellStyle name="Comma 3 5 2" xfId="1506"/>
    <cellStyle name="Comma 3 5 2 2" xfId="1507"/>
    <cellStyle name="Comma 3 5 3" xfId="1508"/>
    <cellStyle name="Comma 3 6" xfId="53"/>
    <cellStyle name="Comma 3 6 2" xfId="1509"/>
    <cellStyle name="Comma 3 7" xfId="54"/>
    <cellStyle name="Comma 3 7 2" xfId="1510"/>
    <cellStyle name="Comma 3 8" xfId="55"/>
    <cellStyle name="Comma 3 8 2" xfId="1511"/>
    <cellStyle name="Comma 3 9" xfId="56"/>
    <cellStyle name="Comma 3 9 2" xfId="1512"/>
    <cellStyle name="Comma 31" xfId="1513"/>
    <cellStyle name="Comma 32" xfId="1514"/>
    <cellStyle name="Comma 4" xfId="9"/>
    <cellStyle name="Comma 4 2" xfId="57"/>
    <cellStyle name="Comma 4 2 2" xfId="1515"/>
    <cellStyle name="Comma 4 2 2 2" xfId="1516"/>
    <cellStyle name="Comma 4 2 2 2 2" xfId="1517"/>
    <cellStyle name="Comma 4 2 2 3" xfId="1518"/>
    <cellStyle name="Comma 4 2 3" xfId="1519"/>
    <cellStyle name="Comma 4 3" xfId="58"/>
    <cellStyle name="Comma 4 3 2" xfId="1520"/>
    <cellStyle name="Comma 4 4" xfId="59"/>
    <cellStyle name="Comma 4 4 2" xfId="1521"/>
    <cellStyle name="Comma 4 4 2 2" xfId="1522"/>
    <cellStyle name="Comma 4 4 3" xfId="1523"/>
    <cellStyle name="Comma 4 4 4" xfId="1524"/>
    <cellStyle name="Comma 4 5" xfId="60"/>
    <cellStyle name="Comma 4 6" xfId="61"/>
    <cellStyle name="Comma 4 7" xfId="62"/>
    <cellStyle name="Comma 4 8" xfId="63"/>
    <cellStyle name="Comma 4 9" xfId="1525"/>
    <cellStyle name="Comma 5" xfId="64"/>
    <cellStyle name="Comma 5 2" xfId="65"/>
    <cellStyle name="Comma 5 2 2" xfId="1526"/>
    <cellStyle name="Comma 5 2 2 2" xfId="1527"/>
    <cellStyle name="Comma 5 2 3" xfId="1528"/>
    <cellStyle name="Comma 5 2 4" xfId="1529"/>
    <cellStyle name="Comma 5 3" xfId="66"/>
    <cellStyle name="Comma 5 3 2" xfId="1530"/>
    <cellStyle name="Comma 5 4" xfId="67"/>
    <cellStyle name="Comma 5 4 2" xfId="1531"/>
    <cellStyle name="Comma 5 5" xfId="68"/>
    <cellStyle name="Comma 5 5 2" xfId="1532"/>
    <cellStyle name="Comma 5 6" xfId="69"/>
    <cellStyle name="Comma 5 6 2" xfId="1533"/>
    <cellStyle name="Comma 5 7" xfId="70"/>
    <cellStyle name="Comma 5 7 2" xfId="1534"/>
    <cellStyle name="Comma 5 8" xfId="1535"/>
    <cellStyle name="Comma 6" xfId="71"/>
    <cellStyle name="Comma 6 10" xfId="1536"/>
    <cellStyle name="Comma 6 2" xfId="72"/>
    <cellStyle name="Comma 6 2 2" xfId="1537"/>
    <cellStyle name="Comma 6 2 2 2" xfId="1538"/>
    <cellStyle name="Comma 6 2 3" xfId="1539"/>
    <cellStyle name="Comma 6 2 4" xfId="1540"/>
    <cellStyle name="Comma 6 3" xfId="73"/>
    <cellStyle name="Comma 6 3 2" xfId="1541"/>
    <cellStyle name="Comma 6 3 3" xfId="1542"/>
    <cellStyle name="Comma 6 4" xfId="74"/>
    <cellStyle name="Comma 6 4 2" xfId="1543"/>
    <cellStyle name="Comma 6 5" xfId="75"/>
    <cellStyle name="Comma 6 5 2" xfId="1544"/>
    <cellStyle name="Comma 6 6" xfId="76"/>
    <cellStyle name="Comma 6 6 2" xfId="1545"/>
    <cellStyle name="Comma 6 7" xfId="77"/>
    <cellStyle name="Comma 6 7 2" xfId="1546"/>
    <cellStyle name="Comma 6 8" xfId="78"/>
    <cellStyle name="Comma 6 8 2" xfId="1547"/>
    <cellStyle name="Comma 6 9" xfId="79"/>
    <cellStyle name="Comma 6 9 2" xfId="1548"/>
    <cellStyle name="Comma 7" xfId="1549"/>
    <cellStyle name="Comma 7 2" xfId="1550"/>
    <cellStyle name="Comma 7 2 2" xfId="1551"/>
    <cellStyle name="Comma 7 2 2 2" xfId="1552"/>
    <cellStyle name="Comma 7 2 3" xfId="1553"/>
    <cellStyle name="Comma 7 2 4" xfId="1554"/>
    <cellStyle name="Comma 7 2 4 2" xfId="1555"/>
    <cellStyle name="Comma 7 2 5" xfId="1556"/>
    <cellStyle name="Comma 7 2 6" xfId="1557"/>
    <cellStyle name="Comma 7 3" xfId="1558"/>
    <cellStyle name="Comma 7 3 2" xfId="1559"/>
    <cellStyle name="Comma 7 4" xfId="1560"/>
    <cellStyle name="Comma 8" xfId="1561"/>
    <cellStyle name="Comma 8 2" xfId="1562"/>
    <cellStyle name="Comma 8 2 2" xfId="1563"/>
    <cellStyle name="Comma 8 3" xfId="1564"/>
    <cellStyle name="Comma 9" xfId="1565"/>
    <cellStyle name="Comma 9 2" xfId="1566"/>
    <cellStyle name="Comma 9 2 2" xfId="1567"/>
    <cellStyle name="Comma 9 2 2 2" xfId="1568"/>
    <cellStyle name="Comma 9 2 3" xfId="1569"/>
    <cellStyle name="Comma 9 2 4" xfId="1570"/>
    <cellStyle name="Comma 9 3" xfId="1571"/>
    <cellStyle name="Comma 9 3 2" xfId="1572"/>
    <cellStyle name="Comma 9 4" xfId="1573"/>
    <cellStyle name="Comma 9 5" xfId="1574"/>
    <cellStyle name="Copied" xfId="1575"/>
    <cellStyle name="CSI" xfId="1576"/>
    <cellStyle name="Currency 2" xfId="80"/>
    <cellStyle name="Currency 2 2" xfId="1577"/>
    <cellStyle name="Currency 3" xfId="1578"/>
    <cellStyle name="Date" xfId="1579"/>
    <cellStyle name="Description" xfId="1580"/>
    <cellStyle name="Dist" xfId="1581"/>
    <cellStyle name="Entered" xfId="1582"/>
    <cellStyle name="Euro" xfId="81"/>
    <cellStyle name="Euro 2" xfId="1583"/>
    <cellStyle name="Euro 3" xfId="1584"/>
    <cellStyle name="Euro 4" xfId="1585"/>
    <cellStyle name="Euro 5" xfId="1586"/>
    <cellStyle name="Excel Built-in Comma" xfId="1587"/>
    <cellStyle name="Excel Built-in Comma 2" xfId="1588"/>
    <cellStyle name="Excel Built-in Normal" xfId="1589"/>
    <cellStyle name="Excel Built-in Normal 3" xfId="1590"/>
    <cellStyle name="Explanatory Text 10" xfId="1591"/>
    <cellStyle name="Explanatory Text 2" xfId="1592"/>
    <cellStyle name="Explanatory Text 2 10" xfId="1593"/>
    <cellStyle name="Explanatory Text 2 2" xfId="1594"/>
    <cellStyle name="Explanatory Text 2 3" xfId="1595"/>
    <cellStyle name="Explanatory Text 2 4" xfId="1596"/>
    <cellStyle name="Explanatory Text 2 5" xfId="1597"/>
    <cellStyle name="Explanatory Text 2 6" xfId="1598"/>
    <cellStyle name="Explanatory Text 2 7" xfId="1599"/>
    <cellStyle name="Explanatory Text 2 8" xfId="1600"/>
    <cellStyle name="Explanatory Text 2 9" xfId="1601"/>
    <cellStyle name="Explanatory Text 3" xfId="1602"/>
    <cellStyle name="Explanatory Text 4" xfId="1603"/>
    <cellStyle name="Explanatory Text 5" xfId="1604"/>
    <cellStyle name="Explanatory Text 6" xfId="1605"/>
    <cellStyle name="Explanatory Text 7" xfId="1606"/>
    <cellStyle name="Explanatory Text 8" xfId="1607"/>
    <cellStyle name="Explanatory Text 9" xfId="1608"/>
    <cellStyle name="Fixed" xfId="1609"/>
    <cellStyle name="Foottitle" xfId="1610"/>
    <cellStyle name="Good 10" xfId="1611"/>
    <cellStyle name="Good 2" xfId="1612"/>
    <cellStyle name="Good 2 10" xfId="1613"/>
    <cellStyle name="Good 2 2" xfId="1614"/>
    <cellStyle name="Good 2 3" xfId="1615"/>
    <cellStyle name="Good 2 4" xfId="1616"/>
    <cellStyle name="Good 2 5" xfId="1617"/>
    <cellStyle name="Good 2 6" xfId="1618"/>
    <cellStyle name="Good 2 7" xfId="1619"/>
    <cellStyle name="Good 2 8" xfId="1620"/>
    <cellStyle name="Good 2 9" xfId="1621"/>
    <cellStyle name="Good 3" xfId="1622"/>
    <cellStyle name="Good 4" xfId="1623"/>
    <cellStyle name="Good 5" xfId="1624"/>
    <cellStyle name="Good 6" xfId="1625"/>
    <cellStyle name="Good 7" xfId="1626"/>
    <cellStyle name="Good 8" xfId="1627"/>
    <cellStyle name="Good 9" xfId="1628"/>
    <cellStyle name="Grey" xfId="1629"/>
    <cellStyle name="header" xfId="1630"/>
    <cellStyle name="Header1" xfId="1631"/>
    <cellStyle name="Header2" xfId="1632"/>
    <cellStyle name="Header2 2" xfId="1633"/>
    <cellStyle name="Header2 2 2" xfId="1634"/>
    <cellStyle name="Header2 3" xfId="1635"/>
    <cellStyle name="Header2 3 2" xfId="1636"/>
    <cellStyle name="Header2 4" xfId="1637"/>
    <cellStyle name="Header2 4 2" xfId="1638"/>
    <cellStyle name="Heading" xfId="1639"/>
    <cellStyle name="Heading 1 10" xfId="1640"/>
    <cellStyle name="Heading 1 2" xfId="1641"/>
    <cellStyle name="Heading 1 2 10" xfId="1642"/>
    <cellStyle name="Heading 1 2 2" xfId="1643"/>
    <cellStyle name="Heading 1 2 3" xfId="1644"/>
    <cellStyle name="Heading 1 2 4" xfId="1645"/>
    <cellStyle name="Heading 1 2 5" xfId="1646"/>
    <cellStyle name="Heading 1 2 6" xfId="1647"/>
    <cellStyle name="Heading 1 2 7" xfId="1648"/>
    <cellStyle name="Heading 1 2 8" xfId="1649"/>
    <cellStyle name="Heading 1 2 9" xfId="1650"/>
    <cellStyle name="Heading 1 3" xfId="1651"/>
    <cellStyle name="Heading 1 4" xfId="1652"/>
    <cellStyle name="Heading 1 5" xfId="1653"/>
    <cellStyle name="Heading 1 6" xfId="1654"/>
    <cellStyle name="Heading 1 7" xfId="1655"/>
    <cellStyle name="Heading 1 8" xfId="1656"/>
    <cellStyle name="Heading 1 9" xfId="1657"/>
    <cellStyle name="Heading 2 10" xfId="1658"/>
    <cellStyle name="Heading 2 2" xfId="1659"/>
    <cellStyle name="Heading 2 2 10" xfId="1660"/>
    <cellStyle name="Heading 2 2 2" xfId="1661"/>
    <cellStyle name="Heading 2 2 3" xfId="1662"/>
    <cellStyle name="Heading 2 2 4" xfId="1663"/>
    <cellStyle name="Heading 2 2 5" xfId="1664"/>
    <cellStyle name="Heading 2 2 6" xfId="1665"/>
    <cellStyle name="Heading 2 2 7" xfId="1666"/>
    <cellStyle name="Heading 2 2 8" xfId="1667"/>
    <cellStyle name="Heading 2 2 9" xfId="1668"/>
    <cellStyle name="Heading 2 3" xfId="1669"/>
    <cellStyle name="Heading 2 4" xfId="1670"/>
    <cellStyle name="Heading 2 5" xfId="1671"/>
    <cellStyle name="Heading 2 6" xfId="1672"/>
    <cellStyle name="Heading 2 7" xfId="1673"/>
    <cellStyle name="Heading 2 8" xfId="1674"/>
    <cellStyle name="Heading 2 9" xfId="1675"/>
    <cellStyle name="Heading 3 10" xfId="1676"/>
    <cellStyle name="Heading 3 2" xfId="1677"/>
    <cellStyle name="Heading 3 2 10" xfId="1678"/>
    <cellStyle name="Heading 3 2 2" xfId="1679"/>
    <cellStyle name="Heading 3 2 3" xfId="1680"/>
    <cellStyle name="Heading 3 2 4" xfId="1681"/>
    <cellStyle name="Heading 3 2 5" xfId="1682"/>
    <cellStyle name="Heading 3 2 6" xfId="1683"/>
    <cellStyle name="Heading 3 2 7" xfId="1684"/>
    <cellStyle name="Heading 3 2 8" xfId="1685"/>
    <cellStyle name="Heading 3 2 9" xfId="1686"/>
    <cellStyle name="Heading 3 3" xfId="1687"/>
    <cellStyle name="Heading 3 4" xfId="1688"/>
    <cellStyle name="Heading 3 5" xfId="1689"/>
    <cellStyle name="Heading 3 6" xfId="1690"/>
    <cellStyle name="Heading 3 7" xfId="1691"/>
    <cellStyle name="Heading 3 8" xfId="1692"/>
    <cellStyle name="Heading 3 9" xfId="1693"/>
    <cellStyle name="Heading 4 10" xfId="1694"/>
    <cellStyle name="Heading 4 2" xfId="1695"/>
    <cellStyle name="Heading 4 2 10" xfId="1696"/>
    <cellStyle name="Heading 4 2 2" xfId="1697"/>
    <cellStyle name="Heading 4 2 3" xfId="1698"/>
    <cellStyle name="Heading 4 2 4" xfId="1699"/>
    <cellStyle name="Heading 4 2 5" xfId="1700"/>
    <cellStyle name="Heading 4 2 6" xfId="1701"/>
    <cellStyle name="Heading 4 2 7" xfId="1702"/>
    <cellStyle name="Heading 4 2 8" xfId="1703"/>
    <cellStyle name="Heading 4 2 9" xfId="1704"/>
    <cellStyle name="Heading 4 3" xfId="1705"/>
    <cellStyle name="Heading 4 4" xfId="1706"/>
    <cellStyle name="Heading 4 5" xfId="1707"/>
    <cellStyle name="Heading 4 6" xfId="1708"/>
    <cellStyle name="Heading 4 7" xfId="1709"/>
    <cellStyle name="Heading 4 8" xfId="1710"/>
    <cellStyle name="Heading 4 9" xfId="1711"/>
    <cellStyle name="Heading1" xfId="1712"/>
    <cellStyle name="Heading1 1" xfId="1713"/>
    <cellStyle name="Heading2" xfId="1714"/>
    <cellStyle name="Hyperlink 2" xfId="82"/>
    <cellStyle name="Hyperlink 2 2" xfId="1715"/>
    <cellStyle name="Hyperlink 3" xfId="83"/>
    <cellStyle name="Hyperlink 3 2" xfId="1716"/>
    <cellStyle name="Hyperlink 4" xfId="1717"/>
    <cellStyle name="Input [yellow]" xfId="1718"/>
    <cellStyle name="Input [yellow] 2" xfId="1719"/>
    <cellStyle name="Input 10" xfId="1720"/>
    <cellStyle name="Input 10 2" xfId="1721"/>
    <cellStyle name="Input 10 2 2" xfId="1722"/>
    <cellStyle name="Input 10 3" xfId="1723"/>
    <cellStyle name="Input 10 3 2" xfId="1724"/>
    <cellStyle name="Input 10 4" xfId="1725"/>
    <cellStyle name="Input 2" xfId="1726"/>
    <cellStyle name="Input 2 10" xfId="1727"/>
    <cellStyle name="Input 2 10 2" xfId="1728"/>
    <cellStyle name="Input 2 10 2 2" xfId="1729"/>
    <cellStyle name="Input 2 10 3" xfId="1730"/>
    <cellStyle name="Input 2 10 3 2" xfId="1731"/>
    <cellStyle name="Input 2 10 4" xfId="1732"/>
    <cellStyle name="Input 2 11" xfId="1733"/>
    <cellStyle name="Input 2 11 2" xfId="1734"/>
    <cellStyle name="Input 2 12" xfId="1735"/>
    <cellStyle name="Input 2 12 2" xfId="1736"/>
    <cellStyle name="Input 2 13" xfId="1737"/>
    <cellStyle name="Input 2 2" xfId="1738"/>
    <cellStyle name="Input 2 2 2" xfId="1739"/>
    <cellStyle name="Input 2 2 2 2" xfId="1740"/>
    <cellStyle name="Input 2 2 3" xfId="1741"/>
    <cellStyle name="Input 2 2 3 2" xfId="1742"/>
    <cellStyle name="Input 2 2 4" xfId="1743"/>
    <cellStyle name="Input 2 3" xfId="1744"/>
    <cellStyle name="Input 2 3 2" xfId="1745"/>
    <cellStyle name="Input 2 3 2 2" xfId="1746"/>
    <cellStyle name="Input 2 3 3" xfId="1747"/>
    <cellStyle name="Input 2 3 3 2" xfId="1748"/>
    <cellStyle name="Input 2 3 4" xfId="1749"/>
    <cellStyle name="Input 2 4" xfId="1750"/>
    <cellStyle name="Input 2 4 2" xfId="1751"/>
    <cellStyle name="Input 2 4 2 2" xfId="1752"/>
    <cellStyle name="Input 2 4 3" xfId="1753"/>
    <cellStyle name="Input 2 4 3 2" xfId="1754"/>
    <cellStyle name="Input 2 4 4" xfId="1755"/>
    <cellStyle name="Input 2 5" xfId="1756"/>
    <cellStyle name="Input 2 5 2" xfId="1757"/>
    <cellStyle name="Input 2 5 2 2" xfId="1758"/>
    <cellStyle name="Input 2 5 3" xfId="1759"/>
    <cellStyle name="Input 2 5 3 2" xfId="1760"/>
    <cellStyle name="Input 2 5 4" xfId="1761"/>
    <cellStyle name="Input 2 6" xfId="1762"/>
    <cellStyle name="Input 2 6 2" xfId="1763"/>
    <cellStyle name="Input 2 6 2 2" xfId="1764"/>
    <cellStyle name="Input 2 6 3" xfId="1765"/>
    <cellStyle name="Input 2 6 3 2" xfId="1766"/>
    <cellStyle name="Input 2 6 4" xfId="1767"/>
    <cellStyle name="Input 2 7" xfId="1768"/>
    <cellStyle name="Input 2 7 2" xfId="1769"/>
    <cellStyle name="Input 2 7 2 2" xfId="1770"/>
    <cellStyle name="Input 2 7 3" xfId="1771"/>
    <cellStyle name="Input 2 7 3 2" xfId="1772"/>
    <cellStyle name="Input 2 7 4" xfId="1773"/>
    <cellStyle name="Input 2 8" xfId="1774"/>
    <cellStyle name="Input 2 8 2" xfId="1775"/>
    <cellStyle name="Input 2 8 2 2" xfId="1776"/>
    <cellStyle name="Input 2 8 3" xfId="1777"/>
    <cellStyle name="Input 2 8 3 2" xfId="1778"/>
    <cellStyle name="Input 2 8 4" xfId="1779"/>
    <cellStyle name="Input 2 9" xfId="1780"/>
    <cellStyle name="Input 2 9 2" xfId="1781"/>
    <cellStyle name="Input 2 9 2 2" xfId="1782"/>
    <cellStyle name="Input 2 9 3" xfId="1783"/>
    <cellStyle name="Input 2 9 3 2" xfId="1784"/>
    <cellStyle name="Input 2 9 4" xfId="1785"/>
    <cellStyle name="Input 3" xfId="1786"/>
    <cellStyle name="Input 3 2" xfId="1787"/>
    <cellStyle name="Input 3 2 2" xfId="1788"/>
    <cellStyle name="Input 3 3" xfId="1789"/>
    <cellStyle name="Input 3 3 2" xfId="1790"/>
    <cellStyle name="Input 3 4" xfId="1791"/>
    <cellStyle name="Input 4" xfId="1792"/>
    <cellStyle name="Input 4 2" xfId="1793"/>
    <cellStyle name="Input 4 2 2" xfId="1794"/>
    <cellStyle name="Input 4 3" xfId="1795"/>
    <cellStyle name="Input 4 3 2" xfId="1796"/>
    <cellStyle name="Input 4 4" xfId="1797"/>
    <cellStyle name="Input 5" xfId="1798"/>
    <cellStyle name="Input 5 2" xfId="1799"/>
    <cellStyle name="Input 5 2 2" xfId="1800"/>
    <cellStyle name="Input 5 3" xfId="1801"/>
    <cellStyle name="Input 5 3 2" xfId="1802"/>
    <cellStyle name="Input 5 4" xfId="1803"/>
    <cellStyle name="Input 6" xfId="1804"/>
    <cellStyle name="Input 6 2" xfId="1805"/>
    <cellStyle name="Input 6 2 2" xfId="1806"/>
    <cellStyle name="Input 6 3" xfId="1807"/>
    <cellStyle name="Input 6 3 2" xfId="1808"/>
    <cellStyle name="Input 6 4" xfId="1809"/>
    <cellStyle name="Input 7" xfId="1810"/>
    <cellStyle name="Input 7 2" xfId="1811"/>
    <cellStyle name="Input 7 2 2" xfId="1812"/>
    <cellStyle name="Input 7 3" xfId="1813"/>
    <cellStyle name="Input 7 3 2" xfId="1814"/>
    <cellStyle name="Input 7 4" xfId="1815"/>
    <cellStyle name="Input 8" xfId="1816"/>
    <cellStyle name="Input 8 2" xfId="1817"/>
    <cellStyle name="Input 8 2 2" xfId="1818"/>
    <cellStyle name="Input 8 3" xfId="1819"/>
    <cellStyle name="Input 8 3 2" xfId="1820"/>
    <cellStyle name="Input 8 4" xfId="1821"/>
    <cellStyle name="Input 9" xfId="1822"/>
    <cellStyle name="Input 9 2" xfId="1823"/>
    <cellStyle name="Input 9 2 2" xfId="1824"/>
    <cellStyle name="Input 9 3" xfId="1825"/>
    <cellStyle name="Input 9 3 2" xfId="1826"/>
    <cellStyle name="Input 9 4" xfId="1827"/>
    <cellStyle name="intervals" xfId="1828"/>
    <cellStyle name="k" xfId="1829"/>
    <cellStyle name="L" xfId="1830"/>
    <cellStyle name="L_BOQ" xfId="1831"/>
    <cellStyle name="L_Copy of Costing" xfId="1832"/>
    <cellStyle name="L_Copy of Costing_Gurgaon 1 _29.07.04 _ MDS" xfId="1833"/>
    <cellStyle name="L_Costing - ITC Main Revised Qty- 11.01_ ITC Main" xfId="1834"/>
    <cellStyle name="L_Costing - MBD Books-20.12" xfId="1835"/>
    <cellStyle name="L_Costing_Birla Sugar_9.4.05" xfId="1836"/>
    <cellStyle name="L_Costing_Hero Honda_Haridwar" xfId="1837"/>
    <cellStyle name="L_Costing_Inst. Bld-Emirates Group-Noida-13.06.06" xfId="1838"/>
    <cellStyle name="L_Costing_Nicholas_21.12.04" xfId="1839"/>
    <cellStyle name="L_DLF Cyber Tower _02.06.05 l" xfId="1840"/>
    <cellStyle name="L_Major quantities _Inst. Bld-Emirates Group-Noida" xfId="1841"/>
    <cellStyle name="L_Major quantities_Hero Honda_Haridwar" xfId="1842"/>
    <cellStyle name="L_RATE ANALYSIS_Sample" xfId="1843"/>
    <cellStyle name="L_Sheet1" xfId="1844"/>
    <cellStyle name="L_Submitted_27.10.05" xfId="1845"/>
    <cellStyle name="L_Working_Submitted" xfId="1846"/>
    <cellStyle name="Length" xfId="1847"/>
    <cellStyle name="Linked Cell 10" xfId="1848"/>
    <cellStyle name="Linked Cell 2" xfId="1849"/>
    <cellStyle name="Linked Cell 2 10" xfId="1850"/>
    <cellStyle name="Linked Cell 2 2" xfId="1851"/>
    <cellStyle name="Linked Cell 2 3" xfId="1852"/>
    <cellStyle name="Linked Cell 2 4" xfId="1853"/>
    <cellStyle name="Linked Cell 2 5" xfId="1854"/>
    <cellStyle name="Linked Cell 2 6" xfId="1855"/>
    <cellStyle name="Linked Cell 2 7" xfId="1856"/>
    <cellStyle name="Linked Cell 2 8" xfId="1857"/>
    <cellStyle name="Linked Cell 2 9" xfId="1858"/>
    <cellStyle name="Linked Cell 3" xfId="1859"/>
    <cellStyle name="Linked Cell 4" xfId="1860"/>
    <cellStyle name="Linked Cell 5" xfId="1861"/>
    <cellStyle name="Linked Cell 6" xfId="1862"/>
    <cellStyle name="Linked Cell 7" xfId="1863"/>
    <cellStyle name="Linked Cell 8" xfId="1864"/>
    <cellStyle name="Linked Cell 9" xfId="1865"/>
    <cellStyle name="M" xfId="1866"/>
    <cellStyle name="M_BOQ" xfId="1867"/>
    <cellStyle name="M_Copy of Costing" xfId="1868"/>
    <cellStyle name="M_Copy of Costing_Gurgaon 1 _29.07.04 _ MDS" xfId="1869"/>
    <cellStyle name="M_Costing - ITC Main Revised Qty- 11.01_ ITC Main" xfId="1870"/>
    <cellStyle name="M_Costing - MBD Books-20.12" xfId="1871"/>
    <cellStyle name="M_Costing_Birla Sugar_9.4.05" xfId="1872"/>
    <cellStyle name="M_Costing_Hero Honda_Haridwar" xfId="1873"/>
    <cellStyle name="M_Costing_Inst. Bld-Emirates Group-Noida-13.06.06" xfId="1874"/>
    <cellStyle name="M_Costing_Nicholas_21.12.04" xfId="1875"/>
    <cellStyle name="M_DLF Cyber Tower _02.06.05 l" xfId="1876"/>
    <cellStyle name="M_Major quantities _Inst. Bld-Emirates Group-Noida" xfId="1877"/>
    <cellStyle name="M_Major quantities_Hero Honda_Haridwar" xfId="1878"/>
    <cellStyle name="M_RATE ANALYSIS_Sample" xfId="1879"/>
    <cellStyle name="M_Sheet1" xfId="1880"/>
    <cellStyle name="M_Submitted_27.10.05" xfId="1881"/>
    <cellStyle name="M_Working_Submitted" xfId="1882"/>
    <cellStyle name="M-0" xfId="1883"/>
    <cellStyle name="MainDescription" xfId="1884"/>
    <cellStyle name="Measure" xfId="1885"/>
    <cellStyle name="m-o" xfId="1886"/>
    <cellStyle name="MS_Arabic" xfId="1887"/>
    <cellStyle name="n" xfId="1888"/>
    <cellStyle name="Neutral 10" xfId="1889"/>
    <cellStyle name="Neutral 2" xfId="1890"/>
    <cellStyle name="Neutral 2 10" xfId="1891"/>
    <cellStyle name="Neutral 2 2" xfId="1892"/>
    <cellStyle name="Neutral 2 3" xfId="1893"/>
    <cellStyle name="Neutral 2 4" xfId="1894"/>
    <cellStyle name="Neutral 2 5" xfId="1895"/>
    <cellStyle name="Neutral 2 6" xfId="1896"/>
    <cellStyle name="Neutral 2 7" xfId="1897"/>
    <cellStyle name="Neutral 2 8" xfId="1898"/>
    <cellStyle name="Neutral 2 9" xfId="1899"/>
    <cellStyle name="Neutral 3" xfId="1900"/>
    <cellStyle name="Neutral 4" xfId="1901"/>
    <cellStyle name="Neutral 5" xfId="1902"/>
    <cellStyle name="Neutral 6" xfId="1903"/>
    <cellStyle name="Neutral 7" xfId="1904"/>
    <cellStyle name="Neutral 8" xfId="1905"/>
    <cellStyle name="Neutral 9" xfId="1906"/>
    <cellStyle name="Normal" xfId="0" builtinId="0"/>
    <cellStyle name="Normal - Style1" xfId="1907"/>
    <cellStyle name="Normal 10" xfId="84"/>
    <cellStyle name="Normal 10 2" xfId="85"/>
    <cellStyle name="Normal 10 2 2" xfId="86"/>
    <cellStyle name="Normal 10 2 3" xfId="1908"/>
    <cellStyle name="Normal 10 2 4" xfId="505"/>
    <cellStyle name="Normal 10 2 5" xfId="1909"/>
    <cellStyle name="Normal 10 3" xfId="504"/>
    <cellStyle name="Normal 10 3 2" xfId="1910"/>
    <cellStyle name="Normal 10 4" xfId="1911"/>
    <cellStyle name="Normal 10 4 2" xfId="1912"/>
    <cellStyle name="Normal 10 5" xfId="1913"/>
    <cellStyle name="Normal 10 6" xfId="1914"/>
    <cellStyle name="Normal 10 7" xfId="1915"/>
    <cellStyle name="Normal 11" xfId="87"/>
    <cellStyle name="Normal 11 2" xfId="1916"/>
    <cellStyle name="Normal 11 3" xfId="1917"/>
    <cellStyle name="Normal 11 3 2" xfId="1918"/>
    <cellStyle name="Normal 11 3 3" xfId="1919"/>
    <cellStyle name="Normal 11 3 3 2" xfId="1920"/>
    <cellStyle name="Normal 11 3 3 3" xfId="1921"/>
    <cellStyle name="Normal 11 4" xfId="1922"/>
    <cellStyle name="Normal 12" xfId="88"/>
    <cellStyle name="Normal 12 2" xfId="1923"/>
    <cellStyle name="Normal 12 3" xfId="1924"/>
    <cellStyle name="Normal 13" xfId="89"/>
    <cellStyle name="Normal 13 2" xfId="1925"/>
    <cellStyle name="Normal 13 3" xfId="1926"/>
    <cellStyle name="Normal 13 4" xfId="1927"/>
    <cellStyle name="Normal 14" xfId="90"/>
    <cellStyle name="Normal 14 2" xfId="1928"/>
    <cellStyle name="Normal 14 2 2" xfId="1929"/>
    <cellStyle name="Normal 14 3" xfId="1930"/>
    <cellStyle name="Normal 14 5 2" xfId="1931"/>
    <cellStyle name="Normal 14 5 2 2" xfId="1932"/>
    <cellStyle name="Normal 14 5 2 3" xfId="1933"/>
    <cellStyle name="Normal 14 5 2 4" xfId="1934"/>
    <cellStyle name="Normal 15" xfId="91"/>
    <cellStyle name="Normal 15 2" xfId="1935"/>
    <cellStyle name="Normal 15 2 2" xfId="1936"/>
    <cellStyle name="Normal 15 2 2 2" xfId="1937"/>
    <cellStyle name="Normal 15 2 3" xfId="1938"/>
    <cellStyle name="Normal 15 3" xfId="1939"/>
    <cellStyle name="Normal 15 4" xfId="1940"/>
    <cellStyle name="Normal 16" xfId="92"/>
    <cellStyle name="Normal 16 2" xfId="1941"/>
    <cellStyle name="Normal 16 2 2" xfId="1942"/>
    <cellStyle name="Normal 16 3" xfId="1943"/>
    <cellStyle name="Normal 16 4" xfId="1944"/>
    <cellStyle name="Normal 17" xfId="93"/>
    <cellStyle name="Normal 17 2" xfId="1945"/>
    <cellStyle name="Normal 17 3" xfId="1946"/>
    <cellStyle name="Normal 18" xfId="94"/>
    <cellStyle name="Normal 19" xfId="95"/>
    <cellStyle name="Normal 2" xfId="8"/>
    <cellStyle name="Normal 2 10" xfId="6"/>
    <cellStyle name="Normal 2 10 2" xfId="1947"/>
    <cellStyle name="Normal 2 10 3" xfId="1948"/>
    <cellStyle name="Normal 2 10 4" xfId="1949"/>
    <cellStyle name="Normal 2 11" xfId="96"/>
    <cellStyle name="Normal 2 11 2" xfId="1950"/>
    <cellStyle name="Normal 2 11 3" xfId="1951"/>
    <cellStyle name="Normal 2 11 4" xfId="1952"/>
    <cellStyle name="Normal 2 12" xfId="97"/>
    <cellStyle name="Normal 2 12 2" xfId="1953"/>
    <cellStyle name="Normal 2 12 3" xfId="1954"/>
    <cellStyle name="Normal 2 12 4" xfId="1955"/>
    <cellStyle name="Normal 2 13" xfId="98"/>
    <cellStyle name="Normal 2 13 2" xfId="1956"/>
    <cellStyle name="Normal 2 13 3" xfId="1957"/>
    <cellStyle name="Normal 2 13 4" xfId="1958"/>
    <cellStyle name="Normal 2 14" xfId="99"/>
    <cellStyle name="Normal 2 14 2" xfId="1959"/>
    <cellStyle name="Normal 2 14 3" xfId="1960"/>
    <cellStyle name="Normal 2 14 4" xfId="1961"/>
    <cellStyle name="Normal 2 15" xfId="100"/>
    <cellStyle name="Normal 2 15 2" xfId="1962"/>
    <cellStyle name="Normal 2 15 3" xfId="1963"/>
    <cellStyle name="Normal 2 15 4" xfId="1964"/>
    <cellStyle name="Normal 2 16" xfId="1965"/>
    <cellStyle name="Normal 2 16 2" xfId="1966"/>
    <cellStyle name="Normal 2 16 3" xfId="1967"/>
    <cellStyle name="Normal 2 16 4" xfId="1968"/>
    <cellStyle name="Normal 2 17" xfId="1969"/>
    <cellStyle name="Normal 2 17 2" xfId="1970"/>
    <cellStyle name="Normal 2 17 3" xfId="1971"/>
    <cellStyle name="Normal 2 18" xfId="1972"/>
    <cellStyle name="Normal 2 18 2" xfId="1973"/>
    <cellStyle name="Normal 2 18 3" xfId="1974"/>
    <cellStyle name="Normal 2 19" xfId="1975"/>
    <cellStyle name="Normal 2 19 2" xfId="1976"/>
    <cellStyle name="Normal 2 19 3" xfId="1977"/>
    <cellStyle name="Normal 2 2" xfId="101"/>
    <cellStyle name="Normal 2 2 10" xfId="102"/>
    <cellStyle name="Normal 2 2 11" xfId="103"/>
    <cellStyle name="Normal 2 2 12" xfId="104"/>
    <cellStyle name="Normal 2 2 13" xfId="1978"/>
    <cellStyle name="Normal 2 2 13 2" xfId="1979"/>
    <cellStyle name="Normal 2 2 14" xfId="1980"/>
    <cellStyle name="Normal 2 2 2" xfId="4"/>
    <cellStyle name="Normal 2 2 2 10" xfId="1981"/>
    <cellStyle name="Normal 2 2 2 10 2" xfId="1982"/>
    <cellStyle name="Normal 2 2 2 11" xfId="1983"/>
    <cellStyle name="Normal 2 2 2 12" xfId="1984"/>
    <cellStyle name="Normal 2 2 2 13" xfId="1985"/>
    <cellStyle name="Normal 2 2 2 2" xfId="105"/>
    <cellStyle name="Normal 2 2 2 2 2" xfId="106"/>
    <cellStyle name="Normal 2 2 2 2 3" xfId="1986"/>
    <cellStyle name="Normal 2 2 2 3" xfId="107"/>
    <cellStyle name="Normal 2 2 2 4" xfId="108"/>
    <cellStyle name="Normal 2 2 2 5" xfId="109"/>
    <cellStyle name="Normal 2 2 2 6" xfId="110"/>
    <cellStyle name="Normal 2 2 2 7" xfId="111"/>
    <cellStyle name="Normal 2 2 2 8" xfId="112"/>
    <cellStyle name="Normal 2 2 2 9" xfId="113"/>
    <cellStyle name="Normal 2 2 3" xfId="114"/>
    <cellStyle name="Normal 2 2 3 2" xfId="5"/>
    <cellStyle name="Normal 2 2 3 2 2" xfId="1987"/>
    <cellStyle name="Normal 2 2 3 2 2 2" xfId="1988"/>
    <cellStyle name="Normal 2 2 3 2 3" xfId="1989"/>
    <cellStyle name="Normal 2 2 3 3" xfId="115"/>
    <cellStyle name="Normal 2 2 3 4" xfId="1990"/>
    <cellStyle name="Normal 2 2 3 4 2" xfId="1991"/>
    <cellStyle name="Normal 2 2 3 4 2 2" xfId="1992"/>
    <cellStyle name="Normal 2 2 3 4 3" xfId="1993"/>
    <cellStyle name="Normal 2 2 3 4 3 2" xfId="1994"/>
    <cellStyle name="Normal 2 2 3 4 3 3" xfId="1995"/>
    <cellStyle name="Normal 2 2 3 4 4" xfId="1996"/>
    <cellStyle name="Normal 2 2 3 4 5" xfId="1997"/>
    <cellStyle name="Normal 2 2 3 5" xfId="1998"/>
    <cellStyle name="Normal 2 2 4" xfId="116"/>
    <cellStyle name="Normal 2 2 4 2" xfId="1999"/>
    <cellStyle name="Normal 2 2 4 2 2" xfId="2000"/>
    <cellStyle name="Normal 2 2 4 3" xfId="2001"/>
    <cellStyle name="Normal 2 2 4 4" xfId="2002"/>
    <cellStyle name="Normal 2 2 5" xfId="117"/>
    <cellStyle name="Normal 2 2 6" xfId="118"/>
    <cellStyle name="Normal 2 2 7" xfId="119"/>
    <cellStyle name="Normal 2 2 8" xfId="120"/>
    <cellStyle name="Normal 2 2 9" xfId="121"/>
    <cellStyle name="Normal 2 20" xfId="2003"/>
    <cellStyle name="Normal 2 21" xfId="2004"/>
    <cellStyle name="Normal 2 22" xfId="2005"/>
    <cellStyle name="Normal 2 23" xfId="2006"/>
    <cellStyle name="Normal 2 24" xfId="2007"/>
    <cellStyle name="Normal 2 25" xfId="2008"/>
    <cellStyle name="Normal 2 26" xfId="2009"/>
    <cellStyle name="Normal 2 27" xfId="2010"/>
    <cellStyle name="Normal 2 28" xfId="2011"/>
    <cellStyle name="Normal 2 29" xfId="2012"/>
    <cellStyle name="Normal 2 3" xfId="122"/>
    <cellStyle name="Normal 2 3 10" xfId="123"/>
    <cellStyle name="Normal 2 3 11" xfId="124"/>
    <cellStyle name="Normal 2 3 12" xfId="125"/>
    <cellStyle name="Normal 2 3 13" xfId="126"/>
    <cellStyle name="Normal 2 3 2" xfId="127"/>
    <cellStyle name="Normal 2 3 2 10" xfId="2013"/>
    <cellStyle name="Normal 2 3 2 2" xfId="128"/>
    <cellStyle name="Normal 2 3 2 3" xfId="129"/>
    <cellStyle name="Normal 2 3 2 4" xfId="130"/>
    <cellStyle name="Normal 2 3 2 5" xfId="131"/>
    <cellStyle name="Normal 2 3 2 6" xfId="132"/>
    <cellStyle name="Normal 2 3 2 7" xfId="133"/>
    <cellStyle name="Normal 2 3 2 8" xfId="134"/>
    <cellStyle name="Normal 2 3 2 9" xfId="135"/>
    <cellStyle name="Normal 2 3 3" xfId="136"/>
    <cellStyle name="Normal 2 3 3 2" xfId="2014"/>
    <cellStyle name="Normal 2 3 3 3" xfId="2015"/>
    <cellStyle name="Normal 2 3 4" xfId="137"/>
    <cellStyle name="Normal 2 3 5" xfId="138"/>
    <cellStyle name="Normal 2 3 6" xfId="139"/>
    <cellStyle name="Normal 2 3 7" xfId="140"/>
    <cellStyle name="Normal 2 3 8" xfId="141"/>
    <cellStyle name="Normal 2 3 9" xfId="142"/>
    <cellStyle name="Normal 2 30" xfId="2016"/>
    <cellStyle name="Normal 2 31" xfId="2017"/>
    <cellStyle name="Normal 2 32" xfId="2018"/>
    <cellStyle name="Normal 2 33" xfId="2019"/>
    <cellStyle name="Normal 2 34" xfId="2020"/>
    <cellStyle name="Normal 2 35" xfId="2021"/>
    <cellStyle name="Normal 2 36" xfId="2022"/>
    <cellStyle name="Normal 2 37" xfId="2023"/>
    <cellStyle name="Normal 2 38" xfId="2024"/>
    <cellStyle name="Normal 2 39" xfId="2025"/>
    <cellStyle name="Normal 2 39 2" xfId="2026"/>
    <cellStyle name="Normal 2 4" xfId="143"/>
    <cellStyle name="Normal 2 4 2" xfId="144"/>
    <cellStyle name="Normal 2 4 2 2" xfId="145"/>
    <cellStyle name="Normal 2 4 2 3" xfId="146"/>
    <cellStyle name="Normal 2 4 2 4" xfId="147"/>
    <cellStyle name="Normal 2 4 2 5" xfId="148"/>
    <cellStyle name="Normal 2 4 2 6" xfId="149"/>
    <cellStyle name="Normal 2 4 2 7" xfId="150"/>
    <cellStyle name="Normal 2 4 2 8" xfId="151"/>
    <cellStyle name="Normal 2 4 2 9" xfId="2027"/>
    <cellStyle name="Normal 2 4 3" xfId="152"/>
    <cellStyle name="Normal 2 4 3 2" xfId="2028"/>
    <cellStyle name="Normal 2 4 4" xfId="153"/>
    <cellStyle name="Normal 2 4 5" xfId="154"/>
    <cellStyle name="Normal 2 4 6" xfId="155"/>
    <cellStyle name="Normal 2 4 7" xfId="156"/>
    <cellStyle name="Normal 2 4 8" xfId="157"/>
    <cellStyle name="Normal 2 4 9" xfId="158"/>
    <cellStyle name="Normal 2 5" xfId="159"/>
    <cellStyle name="Normal 2 5 2" xfId="160"/>
    <cellStyle name="Normal 2 5 2 2" xfId="161"/>
    <cellStyle name="Normal 2 5 2 3" xfId="162"/>
    <cellStyle name="Normal 2 5 2 4" xfId="163"/>
    <cellStyle name="Normal 2 5 2 5" xfId="164"/>
    <cellStyle name="Normal 2 5 2 6" xfId="165"/>
    <cellStyle name="Normal 2 5 2 7" xfId="166"/>
    <cellStyle name="Normal 2 5 2 8" xfId="167"/>
    <cellStyle name="Normal 2 5 2 9" xfId="2029"/>
    <cellStyle name="Normal 2 5 3" xfId="168"/>
    <cellStyle name="Normal 2 5 3 2" xfId="2030"/>
    <cellStyle name="Normal 2 5 4" xfId="169"/>
    <cellStyle name="Normal 2 5 5" xfId="170"/>
    <cellStyle name="Normal 2 5 6" xfId="171"/>
    <cellStyle name="Normal 2 5 7" xfId="172"/>
    <cellStyle name="Normal 2 5 8" xfId="173"/>
    <cellStyle name="Normal 2 5 9" xfId="174"/>
    <cellStyle name="Normal 2 6" xfId="175"/>
    <cellStyle name="Normal 2 6 2" xfId="176"/>
    <cellStyle name="Normal 2 6 2 2" xfId="2031"/>
    <cellStyle name="Normal 2 6 3" xfId="177"/>
    <cellStyle name="Normal 2 6 3 2" xfId="2032"/>
    <cellStyle name="Normal 2 6 4" xfId="178"/>
    <cellStyle name="Normal 2 6 5" xfId="179"/>
    <cellStyle name="Normal 2 6 6" xfId="180"/>
    <cellStyle name="Normal 2 6 7" xfId="181"/>
    <cellStyle name="Normal 2 6 8" xfId="182"/>
    <cellStyle name="Normal 2 6 9" xfId="2033"/>
    <cellStyle name="Normal 2 7" xfId="183"/>
    <cellStyle name="Normal 2 7 2" xfId="184"/>
    <cellStyle name="Normal 2 7 2 2" xfId="2034"/>
    <cellStyle name="Normal 2 7 3" xfId="2035"/>
    <cellStyle name="Normal 2 7 4" xfId="2036"/>
    <cellStyle name="Normal 2 8" xfId="185"/>
    <cellStyle name="Normal 2 8 2" xfId="2037"/>
    <cellStyle name="Normal 2 8 3" xfId="2038"/>
    <cellStyle name="Normal 2 9" xfId="186"/>
    <cellStyle name="Normal 2 9 2" xfId="2039"/>
    <cellStyle name="Normal 2 9 3" xfId="2040"/>
    <cellStyle name="Normal 2 9 4" xfId="2041"/>
    <cellStyle name="Normal 2_03. Omaxe Twin Tower Final May-10" xfId="2042"/>
    <cellStyle name="Normal 20" xfId="187"/>
    <cellStyle name="Normal 21" xfId="188"/>
    <cellStyle name="Normal 21 10" xfId="189"/>
    <cellStyle name="Normal 21 10 2" xfId="2043"/>
    <cellStyle name="Normal 21 11" xfId="190"/>
    <cellStyle name="Normal 21 11 2" xfId="2044"/>
    <cellStyle name="Normal 21 12" xfId="2045"/>
    <cellStyle name="Normal 21 2" xfId="191"/>
    <cellStyle name="Normal 21 2 2" xfId="192"/>
    <cellStyle name="Normal 21 2 2 2" xfId="2046"/>
    <cellStyle name="Normal 21 2 3" xfId="193"/>
    <cellStyle name="Normal 21 2 3 2" xfId="2047"/>
    <cellStyle name="Normal 21 2 4" xfId="194"/>
    <cellStyle name="Normal 21 2 4 2" xfId="2048"/>
    <cellStyle name="Normal 21 2 5" xfId="195"/>
    <cellStyle name="Normal 21 2 5 2" xfId="2049"/>
    <cellStyle name="Normal 21 2 6" xfId="196"/>
    <cellStyle name="Normal 21 2 6 2" xfId="2050"/>
    <cellStyle name="Normal 21 2 7" xfId="197"/>
    <cellStyle name="Normal 21 2 7 2" xfId="2051"/>
    <cellStyle name="Normal 21 2 8" xfId="2052"/>
    <cellStyle name="Normal 21 3" xfId="198"/>
    <cellStyle name="Normal 21 3 10" xfId="2053"/>
    <cellStyle name="Normal 21 3 2" xfId="199"/>
    <cellStyle name="Normal 21 3 2 2" xfId="200"/>
    <cellStyle name="Normal 21 3 2 2 2" xfId="201"/>
    <cellStyle name="Normal 21 3 2 2 2 2" xfId="2054"/>
    <cellStyle name="Normal 21 3 2 2 3" xfId="202"/>
    <cellStyle name="Normal 21 3 2 2 3 2" xfId="2055"/>
    <cellStyle name="Normal 21 3 2 2 4" xfId="203"/>
    <cellStyle name="Normal 21 3 2 2 4 2" xfId="2056"/>
    <cellStyle name="Normal 21 3 2 2 5" xfId="204"/>
    <cellStyle name="Normal 21 3 2 2 5 2" xfId="2057"/>
    <cellStyle name="Normal 21 3 2 2 6" xfId="205"/>
    <cellStyle name="Normal 21 3 2 2 6 2" xfId="2058"/>
    <cellStyle name="Normal 21 3 2 2 7" xfId="206"/>
    <cellStyle name="Normal 21 3 2 2 7 2" xfId="2059"/>
    <cellStyle name="Normal 21 3 2 2 8" xfId="2060"/>
    <cellStyle name="Normal 21 3 2 3" xfId="207"/>
    <cellStyle name="Normal 21 3 2 3 2" xfId="2061"/>
    <cellStyle name="Normal 21 3 2 4" xfId="208"/>
    <cellStyle name="Normal 21 3 2 4 2" xfId="2062"/>
    <cellStyle name="Normal 21 3 2 5" xfId="209"/>
    <cellStyle name="Normal 21 3 2 5 2" xfId="2063"/>
    <cellStyle name="Normal 21 3 2 6" xfId="210"/>
    <cellStyle name="Normal 21 3 2 6 2" xfId="2064"/>
    <cellStyle name="Normal 21 3 2 7" xfId="211"/>
    <cellStyle name="Normal 21 3 2 7 2" xfId="2065"/>
    <cellStyle name="Normal 21 3 2 8" xfId="212"/>
    <cellStyle name="Normal 21 3 2 8 2" xfId="2066"/>
    <cellStyle name="Normal 21 3 2 9" xfId="2067"/>
    <cellStyle name="Normal 21 3 3" xfId="213"/>
    <cellStyle name="Normal 21 3 3 2" xfId="214"/>
    <cellStyle name="Normal 21 3 3 2 2" xfId="215"/>
    <cellStyle name="Normal 21 3 3 2 2 2" xfId="2068"/>
    <cellStyle name="Normal 21 3 3 2 3" xfId="216"/>
    <cellStyle name="Normal 21 3 3 2 3 2" xfId="2069"/>
    <cellStyle name="Normal 21 3 3 2 4" xfId="217"/>
    <cellStyle name="Normal 21 3 3 2 4 2" xfId="2070"/>
    <cellStyle name="Normal 21 3 3 2 5" xfId="218"/>
    <cellStyle name="Normal 21 3 3 2 5 2" xfId="2071"/>
    <cellStyle name="Normal 21 3 3 2 6" xfId="219"/>
    <cellStyle name="Normal 21 3 3 2 6 2" xfId="2072"/>
    <cellStyle name="Normal 21 3 3 2 7" xfId="220"/>
    <cellStyle name="Normal 21 3 3 2 7 2" xfId="2073"/>
    <cellStyle name="Normal 21 3 3 2 8" xfId="2074"/>
    <cellStyle name="Normal 21 3 3 3" xfId="221"/>
    <cellStyle name="Normal 21 3 3 3 2" xfId="2075"/>
    <cellStyle name="Normal 21 3 3 4" xfId="222"/>
    <cellStyle name="Normal 21 3 3 4 2" xfId="2076"/>
    <cellStyle name="Normal 21 3 3 5" xfId="223"/>
    <cellStyle name="Normal 21 3 3 5 2" xfId="2077"/>
    <cellStyle name="Normal 21 3 3 6" xfId="224"/>
    <cellStyle name="Normal 21 3 3 6 2" xfId="2078"/>
    <cellStyle name="Normal 21 3 3 7" xfId="225"/>
    <cellStyle name="Normal 21 3 3 7 2" xfId="2079"/>
    <cellStyle name="Normal 21 3 3 8" xfId="226"/>
    <cellStyle name="Normal 21 3 3 8 2" xfId="2080"/>
    <cellStyle name="Normal 21 3 3 9" xfId="2081"/>
    <cellStyle name="Normal 21 3 4" xfId="227"/>
    <cellStyle name="Normal 21 3 4 2" xfId="2082"/>
    <cellStyle name="Normal 21 3 5" xfId="228"/>
    <cellStyle name="Normal 21 3 5 2" xfId="2083"/>
    <cellStyle name="Normal 21 3 6" xfId="229"/>
    <cellStyle name="Normal 21 3 6 2" xfId="2084"/>
    <cellStyle name="Normal 21 3 7" xfId="230"/>
    <cellStyle name="Normal 21 3 7 2" xfId="2085"/>
    <cellStyle name="Normal 21 3 8" xfId="231"/>
    <cellStyle name="Normal 21 3 8 2" xfId="2086"/>
    <cellStyle name="Normal 21 3 9" xfId="232"/>
    <cellStyle name="Normal 21 3 9 2" xfId="2087"/>
    <cellStyle name="Normal 21 4" xfId="233"/>
    <cellStyle name="Normal 21 4 2" xfId="2088"/>
    <cellStyle name="Normal 21 5" xfId="234"/>
    <cellStyle name="Normal 21 5 2" xfId="2089"/>
    <cellStyle name="Normal 21 6" xfId="235"/>
    <cellStyle name="Normal 21 6 2" xfId="2090"/>
    <cellStyle name="Normal 21 7" xfId="236"/>
    <cellStyle name="Normal 21 7 2" xfId="2091"/>
    <cellStyle name="Normal 21 8" xfId="237"/>
    <cellStyle name="Normal 21 8 2" xfId="2092"/>
    <cellStyle name="Normal 21 9" xfId="238"/>
    <cellStyle name="Normal 21 9 2" xfId="2093"/>
    <cellStyle name="Normal 22" xfId="239"/>
    <cellStyle name="Normal 22 2" xfId="240"/>
    <cellStyle name="Normal 22 3" xfId="241"/>
    <cellStyle name="Normal 22 3 2" xfId="2094"/>
    <cellStyle name="Normal 22 4" xfId="242"/>
    <cellStyle name="Normal 22 4 2" xfId="2095"/>
    <cellStyle name="Normal 22 5" xfId="243"/>
    <cellStyle name="Normal 22 5 2" xfId="2096"/>
    <cellStyle name="Normal 22 6" xfId="244"/>
    <cellStyle name="Normal 22 6 2" xfId="2097"/>
    <cellStyle name="Normal 22 7" xfId="245"/>
    <cellStyle name="Normal 22 7 2" xfId="2098"/>
    <cellStyle name="Normal 22 8" xfId="246"/>
    <cellStyle name="Normal 22 8 2" xfId="2099"/>
    <cellStyle name="Normal 23" xfId="247"/>
    <cellStyle name="Normal 24" xfId="248"/>
    <cellStyle name="Normal 25" xfId="249"/>
    <cellStyle name="Normal 26" xfId="250"/>
    <cellStyle name="Normal 27" xfId="251"/>
    <cellStyle name="Normal 28" xfId="252"/>
    <cellStyle name="Normal 29" xfId="253"/>
    <cellStyle name="Normal 3" xfId="254"/>
    <cellStyle name="Normal 3 10" xfId="255"/>
    <cellStyle name="Normal 3 11" xfId="256"/>
    <cellStyle name="Normal 3 12" xfId="2100"/>
    <cellStyle name="Normal 3 2" xfId="257"/>
    <cellStyle name="Normal 3 2 2" xfId="258"/>
    <cellStyle name="Normal 3 2 2 2" xfId="2101"/>
    <cellStyle name="Normal 3 2 3" xfId="259"/>
    <cellStyle name="Normal 3 2 3 2" xfId="2102"/>
    <cellStyle name="Normal 3 2 4" xfId="260"/>
    <cellStyle name="Normal 3 2 4 2" xfId="2103"/>
    <cellStyle name="Normal 3 2 5" xfId="261"/>
    <cellStyle name="Normal 3 2 5 2" xfId="2104"/>
    <cellStyle name="Normal 3 2 6" xfId="262"/>
    <cellStyle name="Normal 3 2 6 2" xfId="2105"/>
    <cellStyle name="Normal 3 2 7" xfId="263"/>
    <cellStyle name="Normal 3 2 7 2" xfId="2106"/>
    <cellStyle name="Normal 3 2 8" xfId="264"/>
    <cellStyle name="Normal 3 2 8 2" xfId="2107"/>
    <cellStyle name="Normal 3 3" xfId="265"/>
    <cellStyle name="Normal 3 3 2" xfId="266"/>
    <cellStyle name="Normal 3 3 2 2" xfId="2108"/>
    <cellStyle name="Normal 3 3 3" xfId="267"/>
    <cellStyle name="Normal 3 3 3 2" xfId="268"/>
    <cellStyle name="Normal 3 3 4" xfId="2109"/>
    <cellStyle name="Normal 3 4" xfId="269"/>
    <cellStyle name="Normal 3 4 2" xfId="2110"/>
    <cellStyle name="Normal 3 5" xfId="270"/>
    <cellStyle name="Normal 3 5 2" xfId="2111"/>
    <cellStyle name="Normal 3 5 3" xfId="2112"/>
    <cellStyle name="Normal 3 6" xfId="271"/>
    <cellStyle name="Normal 3 6 2" xfId="2113"/>
    <cellStyle name="Normal 3 7" xfId="272"/>
    <cellStyle name="Normal 3 8" xfId="273"/>
    <cellStyle name="Normal 3 8 2" xfId="2114"/>
    <cellStyle name="Normal 3 9" xfId="274"/>
    <cellStyle name="Normal 3_03. Omaxe Twin Tower Final May-10" xfId="2115"/>
    <cellStyle name="Normal 30" xfId="275"/>
    <cellStyle name="Normal 30 10" xfId="2116"/>
    <cellStyle name="Normal 30 2" xfId="276"/>
    <cellStyle name="Normal 30 2 2" xfId="277"/>
    <cellStyle name="Normal 30 2 2 2" xfId="2117"/>
    <cellStyle name="Normal 30 3" xfId="278"/>
    <cellStyle name="Normal 30 3 2" xfId="279"/>
    <cellStyle name="Normal 30 3 2 2" xfId="280"/>
    <cellStyle name="Normal 30 3 2 2 2" xfId="281"/>
    <cellStyle name="Normal 30 3 2 2 2 2" xfId="2118"/>
    <cellStyle name="Normal 30 3 2 2 3" xfId="2119"/>
    <cellStyle name="Normal 30 3 2 3" xfId="2120"/>
    <cellStyle name="Normal 30 3 3" xfId="2121"/>
    <cellStyle name="Normal 30 4" xfId="282"/>
    <cellStyle name="Normal 30 5" xfId="283"/>
    <cellStyle name="Normal 30 6" xfId="284"/>
    <cellStyle name="Normal 30 7" xfId="285"/>
    <cellStyle name="Normal 30 8" xfId="286"/>
    <cellStyle name="Normal 30 9" xfId="287"/>
    <cellStyle name="Normal 31" xfId="288"/>
    <cellStyle name="Normal 31 10" xfId="2122"/>
    <cellStyle name="Normal 31 2" xfId="289"/>
    <cellStyle name="Normal 31 2 2" xfId="290"/>
    <cellStyle name="Normal 31 2 2 2" xfId="291"/>
    <cellStyle name="Normal 31 2 2 2 2" xfId="2123"/>
    <cellStyle name="Normal 31 2 2 3" xfId="292"/>
    <cellStyle name="Normal 31 2 2 3 2" xfId="2124"/>
    <cellStyle name="Normal 31 2 2 4" xfId="293"/>
    <cellStyle name="Normal 31 2 2 4 2" xfId="2125"/>
    <cellStyle name="Normal 31 2 2 5" xfId="294"/>
    <cellStyle name="Normal 31 2 2 5 2" xfId="2126"/>
    <cellStyle name="Normal 31 2 2 6" xfId="295"/>
    <cellStyle name="Normal 31 2 2 6 2" xfId="2127"/>
    <cellStyle name="Normal 31 2 2 7" xfId="296"/>
    <cellStyle name="Normal 31 2 2 7 2" xfId="2128"/>
    <cellStyle name="Normal 31 2 2 8" xfId="2129"/>
    <cellStyle name="Normal 31 2 3" xfId="297"/>
    <cellStyle name="Normal 31 2 3 2" xfId="2130"/>
    <cellStyle name="Normal 31 2 4" xfId="298"/>
    <cellStyle name="Normal 31 2 4 2" xfId="2131"/>
    <cellStyle name="Normal 31 2 5" xfId="299"/>
    <cellStyle name="Normal 31 2 5 2" xfId="2132"/>
    <cellStyle name="Normal 31 2 6" xfId="300"/>
    <cellStyle name="Normal 31 2 6 2" xfId="2133"/>
    <cellStyle name="Normal 31 2 7" xfId="301"/>
    <cellStyle name="Normal 31 2 7 2" xfId="2134"/>
    <cellStyle name="Normal 31 2 8" xfId="302"/>
    <cellStyle name="Normal 31 2 8 2" xfId="2135"/>
    <cellStyle name="Normal 31 2 9" xfId="2136"/>
    <cellStyle name="Normal 31 3" xfId="303"/>
    <cellStyle name="Normal 31 4" xfId="304"/>
    <cellStyle name="Normal 31 5" xfId="305"/>
    <cellStyle name="Normal 31 6" xfId="306"/>
    <cellStyle name="Normal 31 7" xfId="307"/>
    <cellStyle name="Normal 31 8" xfId="308"/>
    <cellStyle name="Normal 31 9" xfId="309"/>
    <cellStyle name="Normal 32" xfId="310"/>
    <cellStyle name="Normal 33" xfId="311"/>
    <cellStyle name="Normal 33 2" xfId="312"/>
    <cellStyle name="Normal 33 2 2" xfId="313"/>
    <cellStyle name="Normal 33 2 2 2" xfId="2137"/>
    <cellStyle name="Normal 33 2 3" xfId="314"/>
    <cellStyle name="Normal 33 2 3 2" xfId="315"/>
    <cellStyle name="Normal 33 2 3 2 2" xfId="316"/>
    <cellStyle name="Normal 33 2 3 2 2 2" xfId="2138"/>
    <cellStyle name="Normal 33 2 3 2 3" xfId="2139"/>
    <cellStyle name="Normal 33 2 3 3" xfId="2140"/>
    <cellStyle name="Normal 33 2 4" xfId="2141"/>
    <cellStyle name="Normal 33 3" xfId="317"/>
    <cellStyle name="Normal 33 3 2" xfId="2142"/>
    <cellStyle name="Normal 33 4" xfId="318"/>
    <cellStyle name="Normal 33 4 2" xfId="2143"/>
    <cellStyle name="Normal 33 5" xfId="319"/>
    <cellStyle name="Normal 33 5 2" xfId="2144"/>
    <cellStyle name="Normal 33 6" xfId="320"/>
    <cellStyle name="Normal 33 6 2" xfId="2145"/>
    <cellStyle name="Normal 33 7" xfId="321"/>
    <cellStyle name="Normal 33 7 2" xfId="2146"/>
    <cellStyle name="Normal 33 8" xfId="322"/>
    <cellStyle name="Normal 33 8 2" xfId="2147"/>
    <cellStyle name="Normal 33 9" xfId="2148"/>
    <cellStyle name="Normal 34" xfId="323"/>
    <cellStyle name="Normal 34 2" xfId="324"/>
    <cellStyle name="Normal 34 2 2" xfId="325"/>
    <cellStyle name="Normal 34 2 2 2" xfId="2149"/>
    <cellStyle name="Normal 34 2 3" xfId="326"/>
    <cellStyle name="Normal 34 2 3 2" xfId="2150"/>
    <cellStyle name="Normal 34 2 4" xfId="327"/>
    <cellStyle name="Normal 34 2 4 2" xfId="2151"/>
    <cellStyle name="Normal 34 2 5" xfId="328"/>
    <cellStyle name="Normal 34 2 5 2" xfId="2152"/>
    <cellStyle name="Normal 34 2 6" xfId="329"/>
    <cellStyle name="Normal 34 2 6 2" xfId="2153"/>
    <cellStyle name="Normal 34 2 7" xfId="330"/>
    <cellStyle name="Normal 34 2 7 2" xfId="2154"/>
    <cellStyle name="Normal 34 2 8" xfId="2155"/>
    <cellStyle name="Normal 34 3" xfId="331"/>
    <cellStyle name="Normal 34 3 2" xfId="332"/>
    <cellStyle name="Normal 34 3 2 2" xfId="2156"/>
    <cellStyle name="Normal 34 3 3" xfId="2157"/>
    <cellStyle name="Normal 34 4" xfId="333"/>
    <cellStyle name="Normal 34 4 2" xfId="2158"/>
    <cellStyle name="Normal 34 5" xfId="334"/>
    <cellStyle name="Normal 34 5 2" xfId="2159"/>
    <cellStyle name="Normal 34 6" xfId="335"/>
    <cellStyle name="Normal 34 6 2" xfId="2160"/>
    <cellStyle name="Normal 34 7" xfId="336"/>
    <cellStyle name="Normal 34 7 2" xfId="2161"/>
    <cellStyle name="Normal 34 8" xfId="337"/>
    <cellStyle name="Normal 34 8 2" xfId="2162"/>
    <cellStyle name="Normal 34 9" xfId="2163"/>
    <cellStyle name="Normal 35" xfId="338"/>
    <cellStyle name="Normal 36" xfId="339"/>
    <cellStyle name="Normal 36 2" xfId="2164"/>
    <cellStyle name="Normal 37" xfId="340"/>
    <cellStyle name="Normal 37 2" xfId="2165"/>
    <cellStyle name="Normal 38" xfId="341"/>
    <cellStyle name="Normal 39" xfId="342"/>
    <cellStyle name="Normal 4" xfId="10"/>
    <cellStyle name="Normal 4 2" xfId="343"/>
    <cellStyle name="Normal 4 2 2" xfId="2166"/>
    <cellStyle name="Normal 4 2 2 2" xfId="2167"/>
    <cellStyle name="Normal 4 2 3" xfId="2168"/>
    <cellStyle name="Normal 4 3" xfId="344"/>
    <cellStyle name="Normal 4 3 2" xfId="2169"/>
    <cellStyle name="Normal 4 3 2 2" xfId="2170"/>
    <cellStyle name="Normal 4 3 3" xfId="2171"/>
    <cellStyle name="Normal 4 4" xfId="345"/>
    <cellStyle name="Normal 4 5" xfId="346"/>
    <cellStyle name="Normal 4 6" xfId="2172"/>
    <cellStyle name="Normal 4 6 2" xfId="2173"/>
    <cellStyle name="Normal 4 7" xfId="2174"/>
    <cellStyle name="Normal 40" xfId="347"/>
    <cellStyle name="Normal 40 2" xfId="2175"/>
    <cellStyle name="Normal 41" xfId="348"/>
    <cellStyle name="Normal 41 2" xfId="2176"/>
    <cellStyle name="Normal 42" xfId="349"/>
    <cellStyle name="Normal 43" xfId="2177"/>
    <cellStyle name="Normal 43 2" xfId="2178"/>
    <cellStyle name="Normal 43 2 2" xfId="2179"/>
    <cellStyle name="Normal 43 2 2 2" xfId="2180"/>
    <cellStyle name="Normal 43 2 3" xfId="2181"/>
    <cellStyle name="Normal 43 2 3 2" xfId="2182"/>
    <cellStyle name="Normal 43 2 3 3" xfId="2183"/>
    <cellStyle name="Normal 43 2 4" xfId="2184"/>
    <cellStyle name="Normal 43 3" xfId="2185"/>
    <cellStyle name="Normal 44" xfId="7"/>
    <cellStyle name="Normal 44 2" xfId="2186"/>
    <cellStyle name="Normal 44 2 2" xfId="2187"/>
    <cellStyle name="Normal 44 2 3" xfId="2188"/>
    <cellStyle name="Normal 44 3" xfId="502"/>
    <cellStyle name="Normal 44 4" xfId="2189"/>
    <cellStyle name="Normal 45" xfId="2190"/>
    <cellStyle name="Normal 45 2" xfId="2191"/>
    <cellStyle name="Normal 45 2 2" xfId="2192"/>
    <cellStyle name="Normal 45 2 2 2" xfId="2193"/>
    <cellStyle name="Normal 45 2 2 3" xfId="2194"/>
    <cellStyle name="Normal 45 2 3" xfId="2195"/>
    <cellStyle name="Normal 45 2 4" xfId="2196"/>
    <cellStyle name="Normal 45 3" xfId="2197"/>
    <cellStyle name="Normal 46" xfId="2198"/>
    <cellStyle name="Normal 46 2" xfId="2199"/>
    <cellStyle name="Normal 47" xfId="2200"/>
    <cellStyle name="Normal 47 2" xfId="506"/>
    <cellStyle name="Normal 48" xfId="2201"/>
    <cellStyle name="Normal 49" xfId="503"/>
    <cellStyle name="Normal 5" xfId="350"/>
    <cellStyle name="Normal 5 10" xfId="351"/>
    <cellStyle name="Normal 5 10 2" xfId="2202"/>
    <cellStyle name="Normal 5 11" xfId="352"/>
    <cellStyle name="Normal 5 11 2" xfId="2203"/>
    <cellStyle name="Normal 5 12" xfId="353"/>
    <cellStyle name="Normal 5 12 2" xfId="2204"/>
    <cellStyle name="Normal 5 13" xfId="2205"/>
    <cellStyle name="Normal 5 13 2" xfId="2206"/>
    <cellStyle name="Normal 5 14" xfId="2207"/>
    <cellStyle name="Normal 5 15" xfId="2208"/>
    <cellStyle name="Normal 5 2" xfId="354"/>
    <cellStyle name="Normal 5 2 10" xfId="355"/>
    <cellStyle name="Normal 5 2 10 2" xfId="2209"/>
    <cellStyle name="Normal 5 2 11" xfId="2210"/>
    <cellStyle name="Normal 5 2 11 2" xfId="2211"/>
    <cellStyle name="Normal 5 2 2" xfId="356"/>
    <cellStyle name="Normal 5 2 3" xfId="357"/>
    <cellStyle name="Normal 5 2 4" xfId="358"/>
    <cellStyle name="Normal 5 2 5" xfId="359"/>
    <cellStyle name="Normal 5 2 5 2" xfId="2212"/>
    <cellStyle name="Normal 5 2 6" xfId="360"/>
    <cellStyle name="Normal 5 2 6 2" xfId="2213"/>
    <cellStyle name="Normal 5 2 7" xfId="361"/>
    <cellStyle name="Normal 5 2 7 2" xfId="2214"/>
    <cellStyle name="Normal 5 2 8" xfId="362"/>
    <cellStyle name="Normal 5 2 8 2" xfId="2215"/>
    <cellStyle name="Normal 5 2 9" xfId="363"/>
    <cellStyle name="Normal 5 2 9 2" xfId="2216"/>
    <cellStyle name="Normal 5 3" xfId="364"/>
    <cellStyle name="Normal 5 3 2" xfId="2217"/>
    <cellStyle name="Normal 5 3 2 2" xfId="2218"/>
    <cellStyle name="Normal 5 3 3" xfId="2219"/>
    <cellStyle name="Normal 5 4" xfId="365"/>
    <cellStyle name="Normal 5 5" xfId="366"/>
    <cellStyle name="Normal 5 6" xfId="367"/>
    <cellStyle name="Normal 5 7" xfId="368"/>
    <cellStyle name="Normal 5 7 2" xfId="2220"/>
    <cellStyle name="Normal 5 8" xfId="369"/>
    <cellStyle name="Normal 5 8 2" xfId="2221"/>
    <cellStyle name="Normal 5 9" xfId="370"/>
    <cellStyle name="Normal 5 9 2" xfId="2222"/>
    <cellStyle name="Normal 5_Balance Anaxture July-10" xfId="2223"/>
    <cellStyle name="Normal 50" xfId="2224"/>
    <cellStyle name="Normal 51" xfId="2225"/>
    <cellStyle name="Normal 6" xfId="371"/>
    <cellStyle name="Normal 6 10" xfId="372"/>
    <cellStyle name="Normal 6 10 2" xfId="2226"/>
    <cellStyle name="Normal 6 11" xfId="2227"/>
    <cellStyle name="Normal 6 11 2" xfId="2228"/>
    <cellStyle name="Normal 6 2" xfId="373"/>
    <cellStyle name="Normal 6 2 2" xfId="374"/>
    <cellStyle name="Normal 6 2 2 2" xfId="375"/>
    <cellStyle name="Normal 6 2 2 2 2" xfId="2229"/>
    <cellStyle name="Normal 6 2 2 3" xfId="376"/>
    <cellStyle name="Normal 6 2 2 3 2" xfId="2230"/>
    <cellStyle name="Normal 6 2 2 4" xfId="377"/>
    <cellStyle name="Normal 6 2 2 4 2" xfId="2231"/>
    <cellStyle name="Normal 6 2 2 5" xfId="378"/>
    <cellStyle name="Normal 6 2 2 5 2" xfId="2232"/>
    <cellStyle name="Normal 6 2 2 6" xfId="379"/>
    <cellStyle name="Normal 6 2 2 6 2" xfId="2233"/>
    <cellStyle name="Normal 6 2 2 7" xfId="380"/>
    <cellStyle name="Normal 6 2 2 7 2" xfId="2234"/>
    <cellStyle name="Normal 6 2 2 8" xfId="2235"/>
    <cellStyle name="Normal 6 2 3" xfId="381"/>
    <cellStyle name="Normal 6 2 3 2" xfId="2236"/>
    <cellStyle name="Normal 6 2 4" xfId="382"/>
    <cellStyle name="Normal 6 2 4 2" xfId="2237"/>
    <cellStyle name="Normal 6 2 4 3" xfId="2238"/>
    <cellStyle name="Normal 6 2 4 4" xfId="2239"/>
    <cellStyle name="Normal 6 2 4 4 2" xfId="2240"/>
    <cellStyle name="Normal 6 2 4 4 3" xfId="2241"/>
    <cellStyle name="Normal 6 2 4 5" xfId="2242"/>
    <cellStyle name="Normal 6 2 4 5 2" xfId="2243"/>
    <cellStyle name="Normal 6 2 4 5 2 2" xfId="2244"/>
    <cellStyle name="Normal 6 2 4 5 2 3" xfId="2245"/>
    <cellStyle name="Normal 6 2 4 5 2 3 2" xfId="2246"/>
    <cellStyle name="Normal 6 2 4 5 2 3 2 2" xfId="2247"/>
    <cellStyle name="Normal 6 2 4 5 2 3 3" xfId="2248"/>
    <cellStyle name="Normal 6 2 4 5 3" xfId="2249"/>
    <cellStyle name="Normal 6 2 4 6" xfId="2250"/>
    <cellStyle name="Normal 6 2 4 7" xfId="2251"/>
    <cellStyle name="Normal 6 2 5" xfId="383"/>
    <cellStyle name="Normal 6 2 5 2" xfId="2252"/>
    <cellStyle name="Normal 6 2 6" xfId="384"/>
    <cellStyle name="Normal 6 2 6 2" xfId="2253"/>
    <cellStyle name="Normal 6 2 7" xfId="385"/>
    <cellStyle name="Normal 6 2 7 2" xfId="2254"/>
    <cellStyle name="Normal 6 2 8" xfId="386"/>
    <cellStyle name="Normal 6 2 8 2" xfId="2255"/>
    <cellStyle name="Normal 6 2 9" xfId="2256"/>
    <cellStyle name="Normal 6 2 9 2" xfId="2257"/>
    <cellStyle name="Normal 6 2 9 2 2" xfId="2258"/>
    <cellStyle name="Normal 6 2 9 2 3" xfId="2259"/>
    <cellStyle name="Normal 6 3" xfId="387"/>
    <cellStyle name="Normal 6 3 2" xfId="2260"/>
    <cellStyle name="Normal 6 4" xfId="388"/>
    <cellStyle name="Normal 6 4 2" xfId="2261"/>
    <cellStyle name="Normal 6 5" xfId="389"/>
    <cellStyle name="Normal 6 5 2" xfId="2262"/>
    <cellStyle name="Normal 6 6" xfId="390"/>
    <cellStyle name="Normal 6 6 2" xfId="2263"/>
    <cellStyle name="Normal 6 7" xfId="391"/>
    <cellStyle name="Normal 6 7 2" xfId="2264"/>
    <cellStyle name="Normal 6 8" xfId="392"/>
    <cellStyle name="Normal 6 8 2" xfId="2265"/>
    <cellStyle name="Normal 6 9" xfId="393"/>
    <cellStyle name="Normal 6 9 2" xfId="394"/>
    <cellStyle name="Normal 6 9 2 2" xfId="2266"/>
    <cellStyle name="Normal 6 9 3" xfId="395"/>
    <cellStyle name="Normal 6 9 3 2" xfId="2267"/>
    <cellStyle name="Normal 6 9 4" xfId="396"/>
    <cellStyle name="Normal 6 9 4 2" xfId="2268"/>
    <cellStyle name="Normal 6 9 5" xfId="397"/>
    <cellStyle name="Normal 6 9 5 2" xfId="2269"/>
    <cellStyle name="Normal 6 9 6" xfId="398"/>
    <cellStyle name="Normal 6 9 6 2" xfId="2270"/>
    <cellStyle name="Normal 6 9 7" xfId="399"/>
    <cellStyle name="Normal 6 9 7 2" xfId="2271"/>
    <cellStyle name="Normal 6 9 8" xfId="2272"/>
    <cellStyle name="Normal 7" xfId="400"/>
    <cellStyle name="Normal 7 10" xfId="401"/>
    <cellStyle name="Normal 7 10 2" xfId="2273"/>
    <cellStyle name="Normal 7 11" xfId="402"/>
    <cellStyle name="Normal 7 11 2" xfId="2274"/>
    <cellStyle name="Normal 7 12" xfId="403"/>
    <cellStyle name="Normal 7 12 2" xfId="2275"/>
    <cellStyle name="Normal 7 13" xfId="404"/>
    <cellStyle name="Normal 7 13 2" xfId="2276"/>
    <cellStyle name="Normal 7 14" xfId="405"/>
    <cellStyle name="Normal 7 14 2" xfId="2277"/>
    <cellStyle name="Normal 7 15" xfId="406"/>
    <cellStyle name="Normal 7 15 2" xfId="2278"/>
    <cellStyle name="Normal 7 16" xfId="2279"/>
    <cellStyle name="Normal 7 16 2" xfId="2280"/>
    <cellStyle name="Normal 7 2" xfId="2"/>
    <cellStyle name="Normal 7 2 2" xfId="2281"/>
    <cellStyle name="Normal 7 2 2 2" xfId="2282"/>
    <cellStyle name="Normal 7 2 3" xfId="2283"/>
    <cellStyle name="Normal 7 3" xfId="407"/>
    <cellStyle name="Normal 7 3 2" xfId="408"/>
    <cellStyle name="Normal 7 3 2 10" xfId="409"/>
    <cellStyle name="Normal 7 3 2 10 2" xfId="2284"/>
    <cellStyle name="Normal 7 3 2 11" xfId="2285"/>
    <cellStyle name="Normal 7 3 2 2" xfId="410"/>
    <cellStyle name="Normal 7 3 2 2 2" xfId="411"/>
    <cellStyle name="Normal 7 3 2 2 2 2" xfId="412"/>
    <cellStyle name="Normal 7 3 2 2 2 2 2" xfId="2286"/>
    <cellStyle name="Normal 7 3 2 2 2 3" xfId="413"/>
    <cellStyle name="Normal 7 3 2 2 2 3 2" xfId="2287"/>
    <cellStyle name="Normal 7 3 2 2 2 4" xfId="414"/>
    <cellStyle name="Normal 7 3 2 2 2 4 2" xfId="2288"/>
    <cellStyle name="Normal 7 3 2 2 2 5" xfId="415"/>
    <cellStyle name="Normal 7 3 2 2 2 5 2" xfId="2289"/>
    <cellStyle name="Normal 7 3 2 2 2 6" xfId="416"/>
    <cellStyle name="Normal 7 3 2 2 2 6 2" xfId="2290"/>
    <cellStyle name="Normal 7 3 2 2 2 7" xfId="417"/>
    <cellStyle name="Normal 7 3 2 2 2 7 2" xfId="2291"/>
    <cellStyle name="Normal 7 3 2 2 2 8" xfId="2292"/>
    <cellStyle name="Normal 7 3 2 2 3" xfId="418"/>
    <cellStyle name="Normal 7 3 2 2 3 2" xfId="2293"/>
    <cellStyle name="Normal 7 3 2 2 4" xfId="419"/>
    <cellStyle name="Normal 7 3 2 2 4 2" xfId="2294"/>
    <cellStyle name="Normal 7 3 2 2 5" xfId="420"/>
    <cellStyle name="Normal 7 3 2 2 5 2" xfId="2295"/>
    <cellStyle name="Normal 7 3 2 2 6" xfId="421"/>
    <cellStyle name="Normal 7 3 2 2 6 2" xfId="2296"/>
    <cellStyle name="Normal 7 3 2 2 7" xfId="422"/>
    <cellStyle name="Normal 7 3 2 2 7 2" xfId="2297"/>
    <cellStyle name="Normal 7 3 2 2 8" xfId="423"/>
    <cellStyle name="Normal 7 3 2 2 8 2" xfId="2298"/>
    <cellStyle name="Normal 7 3 2 2 9" xfId="2299"/>
    <cellStyle name="Normal 7 3 2 3" xfId="424"/>
    <cellStyle name="Normal 7 3 2 3 2" xfId="425"/>
    <cellStyle name="Normal 7 3 2 3 2 2" xfId="2300"/>
    <cellStyle name="Normal 7 3 2 3 3" xfId="426"/>
    <cellStyle name="Normal 7 3 2 3 3 2" xfId="2301"/>
    <cellStyle name="Normal 7 3 2 3 4" xfId="427"/>
    <cellStyle name="Normal 7 3 2 3 4 2" xfId="2302"/>
    <cellStyle name="Normal 7 3 2 3 5" xfId="428"/>
    <cellStyle name="Normal 7 3 2 3 5 2" xfId="2303"/>
    <cellStyle name="Normal 7 3 2 3 6" xfId="429"/>
    <cellStyle name="Normal 7 3 2 3 6 2" xfId="2304"/>
    <cellStyle name="Normal 7 3 2 3 7" xfId="430"/>
    <cellStyle name="Normal 7 3 2 3 7 2" xfId="2305"/>
    <cellStyle name="Normal 7 3 2 3 8" xfId="2306"/>
    <cellStyle name="Normal 7 3 2 4" xfId="431"/>
    <cellStyle name="Normal 7 3 2 4 2" xfId="432"/>
    <cellStyle name="Normal 7 3 2 4 2 2" xfId="2307"/>
    <cellStyle name="Normal 7 3 2 4 3" xfId="433"/>
    <cellStyle name="Normal 7 3 2 4 3 2" xfId="2308"/>
    <cellStyle name="Normal 7 3 2 4 4" xfId="434"/>
    <cellStyle name="Normal 7 3 2 4 4 2" xfId="2309"/>
    <cellStyle name="Normal 7 3 2 4 5" xfId="435"/>
    <cellStyle name="Normal 7 3 2 4 5 2" xfId="2310"/>
    <cellStyle name="Normal 7 3 2 4 6" xfId="436"/>
    <cellStyle name="Normal 7 3 2 4 6 2" xfId="2311"/>
    <cellStyle name="Normal 7 3 2 4 7" xfId="437"/>
    <cellStyle name="Normal 7 3 2 4 7 2" xfId="2312"/>
    <cellStyle name="Normal 7 3 2 4 8" xfId="2313"/>
    <cellStyle name="Normal 7 3 2 5" xfId="438"/>
    <cellStyle name="Normal 7 3 2 5 2" xfId="2314"/>
    <cellStyle name="Normal 7 3 2 6" xfId="439"/>
    <cellStyle name="Normal 7 3 2 6 2" xfId="2315"/>
    <cellStyle name="Normal 7 3 2 7" xfId="440"/>
    <cellStyle name="Normal 7 3 2 7 2" xfId="2316"/>
    <cellStyle name="Normal 7 3 2 8" xfId="441"/>
    <cellStyle name="Normal 7 3 2 8 2" xfId="2317"/>
    <cellStyle name="Normal 7 3 2 9" xfId="442"/>
    <cellStyle name="Normal 7 3 2 9 2" xfId="2318"/>
    <cellStyle name="Normal 7 3 3" xfId="443"/>
    <cellStyle name="Normal 7 3 3 2" xfId="2319"/>
    <cellStyle name="Normal 7 3 4" xfId="444"/>
    <cellStyle name="Normal 7 3 4 2" xfId="2320"/>
    <cellStyle name="Normal 7 3 5" xfId="445"/>
    <cellStyle name="Normal 7 3 5 2" xfId="2321"/>
    <cellStyle name="Normal 7 3 6" xfId="446"/>
    <cellStyle name="Normal 7 3 6 2" xfId="2322"/>
    <cellStyle name="Normal 7 3 7" xfId="447"/>
    <cellStyle name="Normal 7 3 7 2" xfId="2323"/>
    <cellStyle name="Normal 7 3 8" xfId="448"/>
    <cellStyle name="Normal 7 3 8 2" xfId="2324"/>
    <cellStyle name="Normal 7 3 9" xfId="2325"/>
    <cellStyle name="Normal 7 4" xfId="449"/>
    <cellStyle name="Normal 7 4 2" xfId="450"/>
    <cellStyle name="Normal 7 4 2 2" xfId="2326"/>
    <cellStyle name="Normal 7 4 3" xfId="451"/>
    <cellStyle name="Normal 7 4 3 2" xfId="2327"/>
    <cellStyle name="Normal 7 4 4" xfId="452"/>
    <cellStyle name="Normal 7 4 4 2" xfId="2328"/>
    <cellStyle name="Normal 7 4 5" xfId="453"/>
    <cellStyle name="Normal 7 4 5 2" xfId="2329"/>
    <cellStyle name="Normal 7 4 6" xfId="454"/>
    <cellStyle name="Normal 7 4 6 2" xfId="2330"/>
    <cellStyle name="Normal 7 4 7" xfId="455"/>
    <cellStyle name="Normal 7 4 7 2" xfId="2331"/>
    <cellStyle name="Normal 7 4 8" xfId="2332"/>
    <cellStyle name="Normal 7 5" xfId="456"/>
    <cellStyle name="Normal 7 5 10" xfId="2333"/>
    <cellStyle name="Normal 7 5 2" xfId="457"/>
    <cellStyle name="Normal 7 5 2 2" xfId="458"/>
    <cellStyle name="Normal 7 5 2 2 2" xfId="2334"/>
    <cellStyle name="Normal 7 5 2 3" xfId="459"/>
    <cellStyle name="Normal 7 5 2 3 2" xfId="2335"/>
    <cellStyle name="Normal 7 5 2 4" xfId="460"/>
    <cellStyle name="Normal 7 5 2 4 2" xfId="2336"/>
    <cellStyle name="Normal 7 5 2 5" xfId="461"/>
    <cellStyle name="Normal 7 5 2 5 2" xfId="2337"/>
    <cellStyle name="Normal 7 5 2 6" xfId="462"/>
    <cellStyle name="Normal 7 5 2 6 2" xfId="2338"/>
    <cellStyle name="Normal 7 5 2 7" xfId="463"/>
    <cellStyle name="Normal 7 5 2 7 2" xfId="2339"/>
    <cellStyle name="Normal 7 5 2 8" xfId="2340"/>
    <cellStyle name="Normal 7 5 3" xfId="464"/>
    <cellStyle name="Normal 7 5 3 2" xfId="465"/>
    <cellStyle name="Normal 7 5 3 2 2" xfId="2341"/>
    <cellStyle name="Normal 7 5 3 3" xfId="466"/>
    <cellStyle name="Normal 7 5 3 3 2" xfId="2342"/>
    <cellStyle name="Normal 7 5 3 4" xfId="467"/>
    <cellStyle name="Normal 7 5 3 4 2" xfId="2343"/>
    <cellStyle name="Normal 7 5 3 5" xfId="468"/>
    <cellStyle name="Normal 7 5 3 5 2" xfId="2344"/>
    <cellStyle name="Normal 7 5 3 6" xfId="469"/>
    <cellStyle name="Normal 7 5 3 6 2" xfId="2345"/>
    <cellStyle name="Normal 7 5 3 7" xfId="470"/>
    <cellStyle name="Normal 7 5 3 7 2" xfId="2346"/>
    <cellStyle name="Normal 7 5 3 8" xfId="2347"/>
    <cellStyle name="Normal 7 5 4" xfId="471"/>
    <cellStyle name="Normal 7 5 4 2" xfId="2348"/>
    <cellStyle name="Normal 7 5 5" xfId="472"/>
    <cellStyle name="Normal 7 5 5 2" xfId="2349"/>
    <cellStyle name="Normal 7 5 6" xfId="473"/>
    <cellStyle name="Normal 7 5 6 2" xfId="2350"/>
    <cellStyle name="Normal 7 5 7" xfId="474"/>
    <cellStyle name="Normal 7 5 7 2" xfId="2351"/>
    <cellStyle name="Normal 7 5 8" xfId="475"/>
    <cellStyle name="Normal 7 5 8 2" xfId="2352"/>
    <cellStyle name="Normal 7 5 9" xfId="476"/>
    <cellStyle name="Normal 7 5 9 2" xfId="2353"/>
    <cellStyle name="Normal 7 6" xfId="477"/>
    <cellStyle name="Normal 7 6 2" xfId="2354"/>
    <cellStyle name="Normal 7 7" xfId="478"/>
    <cellStyle name="Normal 7 7 2" xfId="2355"/>
    <cellStyle name="Normal 7 8" xfId="479"/>
    <cellStyle name="Normal 7 9" xfId="480"/>
    <cellStyle name="Normal 7 9 2" xfId="481"/>
    <cellStyle name="Normal 7 9 2 2" xfId="2356"/>
    <cellStyle name="Normal 7 9 3" xfId="482"/>
    <cellStyle name="Normal 7 9 3 2" xfId="2357"/>
    <cellStyle name="Normal 7 9 4" xfId="483"/>
    <cellStyle name="Normal 7 9 4 2" xfId="2358"/>
    <cellStyle name="Normal 7 9 5" xfId="484"/>
    <cellStyle name="Normal 7 9 5 2" xfId="2359"/>
    <cellStyle name="Normal 7 9 6" xfId="485"/>
    <cellStyle name="Normal 7 9 6 2" xfId="2360"/>
    <cellStyle name="Normal 7 9 7" xfId="486"/>
    <cellStyle name="Normal 7 9 7 2" xfId="2361"/>
    <cellStyle name="Normal 7 9 8" xfId="2362"/>
    <cellStyle name="Normal 8" xfId="487"/>
    <cellStyle name="Normal 8 2" xfId="488"/>
    <cellStyle name="Normal 8 2 2" xfId="2363"/>
    <cellStyle name="Normal 8 2 2 2" xfId="2364"/>
    <cellStyle name="Normal 8 2 3" xfId="2365"/>
    <cellStyle name="Normal 8 3" xfId="489"/>
    <cellStyle name="Normal 8 3 2" xfId="2366"/>
    <cellStyle name="Normal 8 3 3" xfId="2367"/>
    <cellStyle name="Normal 8 4" xfId="490"/>
    <cellStyle name="Normal 8 4 2" xfId="2368"/>
    <cellStyle name="Normal 8 5" xfId="2369"/>
    <cellStyle name="Normal 8 5 2" xfId="2370"/>
    <cellStyle name="Normal 8 6" xfId="2371"/>
    <cellStyle name="Normal 8 7" xfId="2372"/>
    <cellStyle name="Normal 9" xfId="491"/>
    <cellStyle name="Normal 9 2" xfId="492"/>
    <cellStyle name="Normal 9 2 2" xfId="493"/>
    <cellStyle name="Normal 9 2 2 2" xfId="2373"/>
    <cellStyle name="Normal 9 2 2 2 2" xfId="2374"/>
    <cellStyle name="Normal 9 2 2 2 2 2" xfId="2375"/>
    <cellStyle name="Normal 9 2 2 2 2 2 2" xfId="2376"/>
    <cellStyle name="Normal 9 3" xfId="494"/>
    <cellStyle name="Normal 9 3 2" xfId="2377"/>
    <cellStyle name="Normal 9 4" xfId="495"/>
    <cellStyle name="Normal 9 4 2" xfId="2378"/>
    <cellStyle name="Normal 9 5" xfId="496"/>
    <cellStyle name="Normal 9 5 2" xfId="2379"/>
    <cellStyle name="Normal 9 6" xfId="2380"/>
    <cellStyle name="Normal 9 6 2" xfId="2381"/>
    <cellStyle name="Normal 9 7" xfId="2382"/>
    <cellStyle name="Normal 9 8" xfId="2383"/>
    <cellStyle name="Note 10" xfId="2384"/>
    <cellStyle name="Note 10 2" xfId="2385"/>
    <cellStyle name="Note 10 2 2" xfId="2386"/>
    <cellStyle name="Note 10 3" xfId="2387"/>
    <cellStyle name="Note 10 3 2" xfId="2388"/>
    <cellStyle name="Note 10 4" xfId="2389"/>
    <cellStyle name="Note 2" xfId="2390"/>
    <cellStyle name="Note 2 10" xfId="2391"/>
    <cellStyle name="Note 2 10 2" xfId="2392"/>
    <cellStyle name="Note 2 10 2 2" xfId="2393"/>
    <cellStyle name="Note 2 10 3" xfId="2394"/>
    <cellStyle name="Note 2 10 3 2" xfId="2395"/>
    <cellStyle name="Note 2 10 4" xfId="2396"/>
    <cellStyle name="Note 2 11" xfId="2397"/>
    <cellStyle name="Note 2 11 2" xfId="2398"/>
    <cellStyle name="Note 2 12" xfId="2399"/>
    <cellStyle name="Note 2 12 2" xfId="2400"/>
    <cellStyle name="Note 2 13" xfId="2401"/>
    <cellStyle name="Note 2 2" xfId="2402"/>
    <cellStyle name="Note 2 2 2" xfId="2403"/>
    <cellStyle name="Note 2 2 2 2" xfId="2404"/>
    <cellStyle name="Note 2 2 3" xfId="2405"/>
    <cellStyle name="Note 2 2 3 2" xfId="2406"/>
    <cellStyle name="Note 2 2 4" xfId="2407"/>
    <cellStyle name="Note 2 3" xfId="2408"/>
    <cellStyle name="Note 2 3 2" xfId="2409"/>
    <cellStyle name="Note 2 3 2 2" xfId="2410"/>
    <cellStyle name="Note 2 3 3" xfId="2411"/>
    <cellStyle name="Note 2 3 3 2" xfId="2412"/>
    <cellStyle name="Note 2 3 4" xfId="2413"/>
    <cellStyle name="Note 2 4" xfId="2414"/>
    <cellStyle name="Note 2 4 2" xfId="2415"/>
    <cellStyle name="Note 2 4 2 2" xfId="2416"/>
    <cellStyle name="Note 2 4 3" xfId="2417"/>
    <cellStyle name="Note 2 4 3 2" xfId="2418"/>
    <cellStyle name="Note 2 4 4" xfId="2419"/>
    <cellStyle name="Note 2 5" xfId="2420"/>
    <cellStyle name="Note 2 5 2" xfId="2421"/>
    <cellStyle name="Note 2 5 2 2" xfId="2422"/>
    <cellStyle name="Note 2 5 3" xfId="2423"/>
    <cellStyle name="Note 2 5 3 2" xfId="2424"/>
    <cellStyle name="Note 2 5 4" xfId="2425"/>
    <cellStyle name="Note 2 6" xfId="2426"/>
    <cellStyle name="Note 2 6 2" xfId="2427"/>
    <cellStyle name="Note 2 6 2 2" xfId="2428"/>
    <cellStyle name="Note 2 6 3" xfId="2429"/>
    <cellStyle name="Note 2 6 3 2" xfId="2430"/>
    <cellStyle name="Note 2 6 4" xfId="2431"/>
    <cellStyle name="Note 2 7" xfId="2432"/>
    <cellStyle name="Note 2 7 2" xfId="2433"/>
    <cellStyle name="Note 2 7 2 2" xfId="2434"/>
    <cellStyle name="Note 2 7 3" xfId="2435"/>
    <cellStyle name="Note 2 7 3 2" xfId="2436"/>
    <cellStyle name="Note 2 7 4" xfId="2437"/>
    <cellStyle name="Note 2 8" xfId="2438"/>
    <cellStyle name="Note 2 8 2" xfId="2439"/>
    <cellStyle name="Note 2 8 2 2" xfId="2440"/>
    <cellStyle name="Note 2 8 3" xfId="2441"/>
    <cellStyle name="Note 2 8 3 2" xfId="2442"/>
    <cellStyle name="Note 2 8 4" xfId="2443"/>
    <cellStyle name="Note 2 9" xfId="2444"/>
    <cellStyle name="Note 2 9 2" xfId="2445"/>
    <cellStyle name="Note 2 9 2 2" xfId="2446"/>
    <cellStyle name="Note 2 9 3" xfId="2447"/>
    <cellStyle name="Note 2 9 3 2" xfId="2448"/>
    <cellStyle name="Note 2 9 4" xfId="2449"/>
    <cellStyle name="Note 3" xfId="2450"/>
    <cellStyle name="Note 3 2" xfId="2451"/>
    <cellStyle name="Note 3 2 2" xfId="2452"/>
    <cellStyle name="Note 3 3" xfId="2453"/>
    <cellStyle name="Note 3 3 2" xfId="2454"/>
    <cellStyle name="Note 3 4" xfId="2455"/>
    <cellStyle name="Note 4" xfId="2456"/>
    <cellStyle name="Note 4 2" xfId="2457"/>
    <cellStyle name="Note 4 2 2" xfId="2458"/>
    <cellStyle name="Note 4 3" xfId="2459"/>
    <cellStyle name="Note 4 3 2" xfId="2460"/>
    <cellStyle name="Note 4 4" xfId="2461"/>
    <cellStyle name="Note 5" xfId="2462"/>
    <cellStyle name="Note 5 2" xfId="2463"/>
    <cellStyle name="Note 5 2 2" xfId="2464"/>
    <cellStyle name="Note 5 3" xfId="2465"/>
    <cellStyle name="Note 5 3 2" xfId="2466"/>
    <cellStyle name="Note 5 4" xfId="2467"/>
    <cellStyle name="Note 6" xfId="2468"/>
    <cellStyle name="Note 6 2" xfId="2469"/>
    <cellStyle name="Note 6 2 2" xfId="2470"/>
    <cellStyle name="Note 6 3" xfId="2471"/>
    <cellStyle name="Note 6 3 2" xfId="2472"/>
    <cellStyle name="Note 6 4" xfId="2473"/>
    <cellStyle name="Note 7" xfId="2474"/>
    <cellStyle name="Note 7 2" xfId="2475"/>
    <cellStyle name="Note 7 2 2" xfId="2476"/>
    <cellStyle name="Note 7 3" xfId="2477"/>
    <cellStyle name="Note 7 3 2" xfId="2478"/>
    <cellStyle name="Note 7 4" xfId="2479"/>
    <cellStyle name="Note 8" xfId="2480"/>
    <cellStyle name="Note 8 2" xfId="2481"/>
    <cellStyle name="Note 8 2 2" xfId="2482"/>
    <cellStyle name="Note 8 3" xfId="2483"/>
    <cellStyle name="Note 8 3 2" xfId="2484"/>
    <cellStyle name="Note 8 4" xfId="2485"/>
    <cellStyle name="Note 9" xfId="2486"/>
    <cellStyle name="Note 9 2" xfId="2487"/>
    <cellStyle name="Note 9 2 2" xfId="2488"/>
    <cellStyle name="Note 9 3" xfId="2489"/>
    <cellStyle name="Note 9 3 2" xfId="2490"/>
    <cellStyle name="Note 9 4" xfId="2491"/>
    <cellStyle name="Nr" xfId="2492"/>
    <cellStyle name="Output 10" xfId="2493"/>
    <cellStyle name="Output 10 2" xfId="2494"/>
    <cellStyle name="Output 10 2 2" xfId="2495"/>
    <cellStyle name="Output 10 3" xfId="2496"/>
    <cellStyle name="Output 10 3 2" xfId="2497"/>
    <cellStyle name="Output 10 4" xfId="2498"/>
    <cellStyle name="Output 2" xfId="2499"/>
    <cellStyle name="Output 2 10" xfId="2500"/>
    <cellStyle name="Output 2 10 2" xfId="2501"/>
    <cellStyle name="Output 2 10 2 2" xfId="2502"/>
    <cellStyle name="Output 2 10 3" xfId="2503"/>
    <cellStyle name="Output 2 10 3 2" xfId="2504"/>
    <cellStyle name="Output 2 10 4" xfId="2505"/>
    <cellStyle name="Output 2 11" xfId="2506"/>
    <cellStyle name="Output 2 11 2" xfId="2507"/>
    <cellStyle name="Output 2 12" xfId="2508"/>
    <cellStyle name="Output 2 12 2" xfId="2509"/>
    <cellStyle name="Output 2 13" xfId="2510"/>
    <cellStyle name="Output 2 2" xfId="2511"/>
    <cellStyle name="Output 2 2 2" xfId="2512"/>
    <cellStyle name="Output 2 2 2 2" xfId="2513"/>
    <cellStyle name="Output 2 2 3" xfId="2514"/>
    <cellStyle name="Output 2 2 3 2" xfId="2515"/>
    <cellStyle name="Output 2 2 4" xfId="2516"/>
    <cellStyle name="Output 2 3" xfId="2517"/>
    <cellStyle name="Output 2 3 2" xfId="2518"/>
    <cellStyle name="Output 2 3 2 2" xfId="2519"/>
    <cellStyle name="Output 2 3 3" xfId="2520"/>
    <cellStyle name="Output 2 3 3 2" xfId="2521"/>
    <cellStyle name="Output 2 3 4" xfId="2522"/>
    <cellStyle name="Output 2 4" xfId="2523"/>
    <cellStyle name="Output 2 4 2" xfId="2524"/>
    <cellStyle name="Output 2 4 2 2" xfId="2525"/>
    <cellStyle name="Output 2 4 3" xfId="2526"/>
    <cellStyle name="Output 2 4 3 2" xfId="2527"/>
    <cellStyle name="Output 2 4 4" xfId="2528"/>
    <cellStyle name="Output 2 5" xfId="2529"/>
    <cellStyle name="Output 2 5 2" xfId="2530"/>
    <cellStyle name="Output 2 5 2 2" xfId="2531"/>
    <cellStyle name="Output 2 5 3" xfId="2532"/>
    <cellStyle name="Output 2 5 3 2" xfId="2533"/>
    <cellStyle name="Output 2 5 4" xfId="2534"/>
    <cellStyle name="Output 2 6" xfId="2535"/>
    <cellStyle name="Output 2 6 2" xfId="2536"/>
    <cellStyle name="Output 2 6 2 2" xfId="2537"/>
    <cellStyle name="Output 2 6 3" xfId="2538"/>
    <cellStyle name="Output 2 6 3 2" xfId="2539"/>
    <cellStyle name="Output 2 6 4" xfId="2540"/>
    <cellStyle name="Output 2 7" xfId="2541"/>
    <cellStyle name="Output 2 7 2" xfId="2542"/>
    <cellStyle name="Output 2 7 2 2" xfId="2543"/>
    <cellStyle name="Output 2 7 3" xfId="2544"/>
    <cellStyle name="Output 2 7 3 2" xfId="2545"/>
    <cellStyle name="Output 2 7 4" xfId="2546"/>
    <cellStyle name="Output 2 8" xfId="2547"/>
    <cellStyle name="Output 2 8 2" xfId="2548"/>
    <cellStyle name="Output 2 8 2 2" xfId="2549"/>
    <cellStyle name="Output 2 8 3" xfId="2550"/>
    <cellStyle name="Output 2 8 3 2" xfId="2551"/>
    <cellStyle name="Output 2 8 4" xfId="2552"/>
    <cellStyle name="Output 2 9" xfId="2553"/>
    <cellStyle name="Output 2 9 2" xfId="2554"/>
    <cellStyle name="Output 2 9 2 2" xfId="2555"/>
    <cellStyle name="Output 2 9 3" xfId="2556"/>
    <cellStyle name="Output 2 9 3 2" xfId="2557"/>
    <cellStyle name="Output 2 9 4" xfId="2558"/>
    <cellStyle name="Output 3" xfId="2559"/>
    <cellStyle name="Output 3 2" xfId="2560"/>
    <cellStyle name="Output 3 2 2" xfId="2561"/>
    <cellStyle name="Output 3 3" xfId="2562"/>
    <cellStyle name="Output 3 3 2" xfId="2563"/>
    <cellStyle name="Output 3 4" xfId="2564"/>
    <cellStyle name="Output 4" xfId="2565"/>
    <cellStyle name="Output 4 2" xfId="2566"/>
    <cellStyle name="Output 4 2 2" xfId="2567"/>
    <cellStyle name="Output 4 3" xfId="2568"/>
    <cellStyle name="Output 4 3 2" xfId="2569"/>
    <cellStyle name="Output 4 4" xfId="2570"/>
    <cellStyle name="Output 5" xfId="2571"/>
    <cellStyle name="Output 5 2" xfId="2572"/>
    <cellStyle name="Output 5 2 2" xfId="2573"/>
    <cellStyle name="Output 5 3" xfId="2574"/>
    <cellStyle name="Output 5 3 2" xfId="2575"/>
    <cellStyle name="Output 5 4" xfId="2576"/>
    <cellStyle name="Output 6" xfId="2577"/>
    <cellStyle name="Output 6 2" xfId="2578"/>
    <cellStyle name="Output 6 2 2" xfId="2579"/>
    <cellStyle name="Output 6 3" xfId="2580"/>
    <cellStyle name="Output 6 3 2" xfId="2581"/>
    <cellStyle name="Output 6 4" xfId="2582"/>
    <cellStyle name="Output 7" xfId="2583"/>
    <cellStyle name="Output 7 2" xfId="2584"/>
    <cellStyle name="Output 7 2 2" xfId="2585"/>
    <cellStyle name="Output 7 3" xfId="2586"/>
    <cellStyle name="Output 7 3 2" xfId="2587"/>
    <cellStyle name="Output 7 4" xfId="2588"/>
    <cellStyle name="Output 8" xfId="2589"/>
    <cellStyle name="Output 8 2" xfId="2590"/>
    <cellStyle name="Output 8 2 2" xfId="2591"/>
    <cellStyle name="Output 8 3" xfId="2592"/>
    <cellStyle name="Output 8 3 2" xfId="2593"/>
    <cellStyle name="Output 8 4" xfId="2594"/>
    <cellStyle name="Output 9" xfId="2595"/>
    <cellStyle name="Output 9 2" xfId="2596"/>
    <cellStyle name="Output 9 2 2" xfId="2597"/>
    <cellStyle name="Output 9 3" xfId="2598"/>
    <cellStyle name="Output 9 3 2" xfId="2599"/>
    <cellStyle name="Output 9 4" xfId="2600"/>
    <cellStyle name="pankaj" xfId="2601"/>
    <cellStyle name="Percent [2]" xfId="2602"/>
    <cellStyle name="Percent 10" xfId="2603"/>
    <cellStyle name="Percent 11" xfId="2604"/>
    <cellStyle name="Percent 12" xfId="2605"/>
    <cellStyle name="Percent 13" xfId="2606"/>
    <cellStyle name="Percent 14" xfId="2607"/>
    <cellStyle name="Percent 15" xfId="2608"/>
    <cellStyle name="Percent 16" xfId="2609"/>
    <cellStyle name="Percent 17" xfId="2610"/>
    <cellStyle name="Percent 18" xfId="2611"/>
    <cellStyle name="Percent 19" xfId="2612"/>
    <cellStyle name="Percent 2" xfId="497"/>
    <cellStyle name="Percent 2 10" xfId="2613"/>
    <cellStyle name="Percent 2 10 2" xfId="2614"/>
    <cellStyle name="Percent 2 11" xfId="2615"/>
    <cellStyle name="Percent 2 11 2" xfId="2616"/>
    <cellStyle name="Percent 2 12" xfId="2617"/>
    <cellStyle name="Percent 2 12 2" xfId="2618"/>
    <cellStyle name="Percent 2 13" xfId="2619"/>
    <cellStyle name="Percent 2 13 2" xfId="2620"/>
    <cellStyle name="Percent 2 14" xfId="2621"/>
    <cellStyle name="Percent 2 14 2" xfId="2622"/>
    <cellStyle name="Percent 2 15" xfId="2623"/>
    <cellStyle name="Percent 2 15 2" xfId="2624"/>
    <cellStyle name="Percent 2 16" xfId="2625"/>
    <cellStyle name="Percent 2 16 2" xfId="2626"/>
    <cellStyle name="Percent 2 17" xfId="2627"/>
    <cellStyle name="Percent 2 17 2" xfId="2628"/>
    <cellStyle name="Percent 2 18" xfId="2629"/>
    <cellStyle name="Percent 2 18 2" xfId="2630"/>
    <cellStyle name="Percent 2 19" xfId="2631"/>
    <cellStyle name="Percent 2 19 2" xfId="2632"/>
    <cellStyle name="Percent 2 2" xfId="498"/>
    <cellStyle name="Percent 2 2 2" xfId="2633"/>
    <cellStyle name="Percent 2 2 3" xfId="2634"/>
    <cellStyle name="Percent 2 20" xfId="2635"/>
    <cellStyle name="Percent 2 20 2" xfId="2636"/>
    <cellStyle name="Percent 2 21" xfId="2637"/>
    <cellStyle name="Percent 2 21 2" xfId="2638"/>
    <cellStyle name="Percent 2 22" xfId="2639"/>
    <cellStyle name="Percent 2 22 2" xfId="2640"/>
    <cellStyle name="Percent 2 23" xfId="2641"/>
    <cellStyle name="Percent 2 23 2" xfId="2642"/>
    <cellStyle name="Percent 2 24" xfId="2643"/>
    <cellStyle name="Percent 2 24 2" xfId="2644"/>
    <cellStyle name="Percent 2 25" xfId="2645"/>
    <cellStyle name="Percent 2 25 2" xfId="2646"/>
    <cellStyle name="Percent 2 26" xfId="2647"/>
    <cellStyle name="Percent 2 26 2" xfId="2648"/>
    <cellStyle name="Percent 2 27" xfId="2649"/>
    <cellStyle name="Percent 2 28" xfId="2650"/>
    <cellStyle name="Percent 2 28 2" xfId="2651"/>
    <cellStyle name="Percent 2 29" xfId="2652"/>
    <cellStyle name="Percent 2 3" xfId="499"/>
    <cellStyle name="Percent 2 3 2" xfId="2653"/>
    <cellStyle name="Percent 2 3 3" xfId="2654"/>
    <cellStyle name="Percent 2 30" xfId="2655"/>
    <cellStyle name="Percent 2 4" xfId="500"/>
    <cellStyle name="Percent 2 4 2" xfId="2656"/>
    <cellStyle name="Percent 2 4 3" xfId="2657"/>
    <cellStyle name="Percent 2 5" xfId="2658"/>
    <cellStyle name="Percent 2 5 2" xfId="2659"/>
    <cellStyle name="Percent 2 6" xfId="2660"/>
    <cellStyle name="Percent 2 6 2" xfId="2661"/>
    <cellStyle name="Percent 2 7" xfId="2662"/>
    <cellStyle name="Percent 2 7 2" xfId="2663"/>
    <cellStyle name="Percent 2 8" xfId="2664"/>
    <cellStyle name="Percent 2 8 2" xfId="2665"/>
    <cellStyle name="Percent 2 9" xfId="2666"/>
    <cellStyle name="Percent 2 9 2" xfId="2667"/>
    <cellStyle name="Percent 20" xfId="2668"/>
    <cellStyle name="Percent 21" xfId="2669"/>
    <cellStyle name="Percent 22" xfId="2670"/>
    <cellStyle name="Percent 23" xfId="2671"/>
    <cellStyle name="Percent 24" xfId="2672"/>
    <cellStyle name="Percent 24 2" xfId="2673"/>
    <cellStyle name="Percent 25" xfId="2674"/>
    <cellStyle name="Percent 3" xfId="2675"/>
    <cellStyle name="Percent 3 2" xfId="2676"/>
    <cellStyle name="Percent 3 3" xfId="2677"/>
    <cellStyle name="Percent 4" xfId="2678"/>
    <cellStyle name="Percent 4 2" xfId="2679"/>
    <cellStyle name="Percent 4 2 2" xfId="2680"/>
    <cellStyle name="Percent 4 3" xfId="2681"/>
    <cellStyle name="Percent 5" xfId="2682"/>
    <cellStyle name="Percent 5 2" xfId="2683"/>
    <cellStyle name="Percent 5 3" xfId="2684"/>
    <cellStyle name="Percent 6" xfId="2685"/>
    <cellStyle name="Percent 7" xfId="2686"/>
    <cellStyle name="Percent 8" xfId="2687"/>
    <cellStyle name="Percent 9" xfId="2688"/>
    <cellStyle name="Rate" xfId="2689"/>
    <cellStyle name="RateBold" xfId="2690"/>
    <cellStyle name="Result" xfId="2691"/>
    <cellStyle name="Result2" xfId="2692"/>
    <cellStyle name="RevList" xfId="2693"/>
    <cellStyle name="Section Title" xfId="2694"/>
    <cellStyle name="Style 1" xfId="501"/>
    <cellStyle name="Style 1 2" xfId="2695"/>
    <cellStyle name="Style 1 3" xfId="2696"/>
    <cellStyle name="SubDescription" xfId="2697"/>
    <cellStyle name="Subtitle" xfId="2698"/>
    <cellStyle name="Subtotal" xfId="2699"/>
    <cellStyle name="sum" xfId="2700"/>
    <cellStyle name="sum8" xfId="2701"/>
    <cellStyle name="Summary_back" xfId="2702"/>
    <cellStyle name="Title 10" xfId="2703"/>
    <cellStyle name="Title 2" xfId="2704"/>
    <cellStyle name="Title 2 10" xfId="2705"/>
    <cellStyle name="Title 2 2" xfId="2706"/>
    <cellStyle name="Title 2 3" xfId="2707"/>
    <cellStyle name="Title 2 4" xfId="2708"/>
    <cellStyle name="Title 2 5" xfId="2709"/>
    <cellStyle name="Title 2 6" xfId="2710"/>
    <cellStyle name="Title 2 7" xfId="2711"/>
    <cellStyle name="Title 2 8" xfId="2712"/>
    <cellStyle name="Title 2 9" xfId="2713"/>
    <cellStyle name="Title 3" xfId="2714"/>
    <cellStyle name="Title 4" xfId="2715"/>
    <cellStyle name="Title 5" xfId="2716"/>
    <cellStyle name="Title 6" xfId="2717"/>
    <cellStyle name="Title 7" xfId="2718"/>
    <cellStyle name="Title 8" xfId="2719"/>
    <cellStyle name="Title 9" xfId="2720"/>
    <cellStyle name="Title Row" xfId="2721"/>
    <cellStyle name="Total 10" xfId="2722"/>
    <cellStyle name="Total 10 2" xfId="2723"/>
    <cellStyle name="Total 10 2 2" xfId="2724"/>
    <cellStyle name="Total 10 3" xfId="2725"/>
    <cellStyle name="Total 10 3 2" xfId="2726"/>
    <cellStyle name="Total 10 4" xfId="2727"/>
    <cellStyle name="Total 2" xfId="2728"/>
    <cellStyle name="Total 2 10" xfId="2729"/>
    <cellStyle name="Total 2 10 2" xfId="2730"/>
    <cellStyle name="Total 2 10 2 2" xfId="2731"/>
    <cellStyle name="Total 2 10 3" xfId="2732"/>
    <cellStyle name="Total 2 10 3 2" xfId="2733"/>
    <cellStyle name="Total 2 10 4" xfId="2734"/>
    <cellStyle name="Total 2 11" xfId="2735"/>
    <cellStyle name="Total 2 11 2" xfId="2736"/>
    <cellStyle name="Total 2 12" xfId="2737"/>
    <cellStyle name="Total 2 12 2" xfId="2738"/>
    <cellStyle name="Total 2 13" xfId="2739"/>
    <cellStyle name="Total 2 2" xfId="2740"/>
    <cellStyle name="Total 2 2 2" xfId="2741"/>
    <cellStyle name="Total 2 2 2 2" xfId="2742"/>
    <cellStyle name="Total 2 2 3" xfId="2743"/>
    <cellStyle name="Total 2 2 3 2" xfId="2744"/>
    <cellStyle name="Total 2 2 4" xfId="2745"/>
    <cellStyle name="Total 2 3" xfId="2746"/>
    <cellStyle name="Total 2 3 2" xfId="2747"/>
    <cellStyle name="Total 2 3 2 2" xfId="2748"/>
    <cellStyle name="Total 2 3 3" xfId="2749"/>
    <cellStyle name="Total 2 3 3 2" xfId="2750"/>
    <cellStyle name="Total 2 3 4" xfId="2751"/>
    <cellStyle name="Total 2 4" xfId="2752"/>
    <cellStyle name="Total 2 4 2" xfId="2753"/>
    <cellStyle name="Total 2 4 2 2" xfId="2754"/>
    <cellStyle name="Total 2 4 3" xfId="2755"/>
    <cellStyle name="Total 2 4 3 2" xfId="2756"/>
    <cellStyle name="Total 2 4 4" xfId="2757"/>
    <cellStyle name="Total 2 5" xfId="2758"/>
    <cellStyle name="Total 2 5 2" xfId="2759"/>
    <cellStyle name="Total 2 5 2 2" xfId="2760"/>
    <cellStyle name="Total 2 5 3" xfId="2761"/>
    <cellStyle name="Total 2 5 3 2" xfId="2762"/>
    <cellStyle name="Total 2 5 4" xfId="2763"/>
    <cellStyle name="Total 2 6" xfId="2764"/>
    <cellStyle name="Total 2 6 2" xfId="2765"/>
    <cellStyle name="Total 2 6 2 2" xfId="2766"/>
    <cellStyle name="Total 2 6 3" xfId="2767"/>
    <cellStyle name="Total 2 6 3 2" xfId="2768"/>
    <cellStyle name="Total 2 6 4" xfId="2769"/>
    <cellStyle name="Total 2 7" xfId="2770"/>
    <cellStyle name="Total 2 7 2" xfId="2771"/>
    <cellStyle name="Total 2 7 2 2" xfId="2772"/>
    <cellStyle name="Total 2 7 3" xfId="2773"/>
    <cellStyle name="Total 2 7 3 2" xfId="2774"/>
    <cellStyle name="Total 2 7 4" xfId="2775"/>
    <cellStyle name="Total 2 8" xfId="2776"/>
    <cellStyle name="Total 2 8 2" xfId="2777"/>
    <cellStyle name="Total 2 8 2 2" xfId="2778"/>
    <cellStyle name="Total 2 8 3" xfId="2779"/>
    <cellStyle name="Total 2 8 3 2" xfId="2780"/>
    <cellStyle name="Total 2 8 4" xfId="2781"/>
    <cellStyle name="Total 2 9" xfId="2782"/>
    <cellStyle name="Total 2 9 2" xfId="2783"/>
    <cellStyle name="Total 2 9 2 2" xfId="2784"/>
    <cellStyle name="Total 2 9 3" xfId="2785"/>
    <cellStyle name="Total 2 9 3 2" xfId="2786"/>
    <cellStyle name="Total 2 9 4" xfId="2787"/>
    <cellStyle name="Total 3" xfId="2788"/>
    <cellStyle name="Total 3 2" xfId="2789"/>
    <cellStyle name="Total 3 2 2" xfId="2790"/>
    <cellStyle name="Total 3 3" xfId="2791"/>
    <cellStyle name="Total 3 3 2" xfId="2792"/>
    <cellStyle name="Total 3 4" xfId="2793"/>
    <cellStyle name="Total 4" xfId="2794"/>
    <cellStyle name="Total 4 2" xfId="2795"/>
    <cellStyle name="Total 4 2 2" xfId="2796"/>
    <cellStyle name="Total 4 3" xfId="2797"/>
    <cellStyle name="Total 4 3 2" xfId="2798"/>
    <cellStyle name="Total 4 4" xfId="2799"/>
    <cellStyle name="Total 5" xfId="2800"/>
    <cellStyle name="Total 5 2" xfId="2801"/>
    <cellStyle name="Total 5 2 2" xfId="2802"/>
    <cellStyle name="Total 5 3" xfId="2803"/>
    <cellStyle name="Total 5 3 2" xfId="2804"/>
    <cellStyle name="Total 5 4" xfId="2805"/>
    <cellStyle name="Total 6" xfId="2806"/>
    <cellStyle name="Total 6 2" xfId="2807"/>
    <cellStyle name="Total 6 2 2" xfId="2808"/>
    <cellStyle name="Total 6 3" xfId="2809"/>
    <cellStyle name="Total 6 3 2" xfId="2810"/>
    <cellStyle name="Total 6 4" xfId="2811"/>
    <cellStyle name="Total 7" xfId="2812"/>
    <cellStyle name="Total 7 2" xfId="2813"/>
    <cellStyle name="Total 7 2 2" xfId="2814"/>
    <cellStyle name="Total 7 3" xfId="2815"/>
    <cellStyle name="Total 7 3 2" xfId="2816"/>
    <cellStyle name="Total 7 4" xfId="2817"/>
    <cellStyle name="Total 8" xfId="2818"/>
    <cellStyle name="Total 8 2" xfId="2819"/>
    <cellStyle name="Total 8 2 2" xfId="2820"/>
    <cellStyle name="Total 8 3" xfId="2821"/>
    <cellStyle name="Total 8 3 2" xfId="2822"/>
    <cellStyle name="Total 8 4" xfId="2823"/>
    <cellStyle name="Total 9" xfId="2824"/>
    <cellStyle name="Total 9 2" xfId="2825"/>
    <cellStyle name="Total 9 2 2" xfId="2826"/>
    <cellStyle name="Total 9 3" xfId="2827"/>
    <cellStyle name="Total 9 3 2" xfId="2828"/>
    <cellStyle name="Total 9 4" xfId="2829"/>
    <cellStyle name="totalbold" xfId="2830"/>
    <cellStyle name="uni" xfId="2831"/>
    <cellStyle name="Unit" xfId="2832"/>
    <cellStyle name="v" xfId="2833"/>
    <cellStyle name="v 2" xfId="2834"/>
    <cellStyle name="v_Costing - ITC Main Revised Qty- 11.01_ ITC Main" xfId="2835"/>
    <cellStyle name="v_Costing - ITC Main Revised Qty- 11.01_ ITC Main 2" xfId="2836"/>
    <cellStyle name="v_Costing - MBD Books-20.12" xfId="2837"/>
    <cellStyle name="v_Costing - MBD Books-20.12 2" xfId="2838"/>
    <cellStyle name="v_Costing_Hero Honda_Haridwar" xfId="2839"/>
    <cellStyle name="v_Costing_Hero Honda_Haridwar 2" xfId="2840"/>
    <cellStyle name="v_Costing_Hero Honda_Haridwar 2 2" xfId="2841"/>
    <cellStyle name="v_Costing_Hero Honda_Haridwar 3" xfId="2842"/>
    <cellStyle name="v_Costing_Hero Honda_Haridwar 3 2" xfId="2843"/>
    <cellStyle name="v_Costing_Hero Honda_Haridwar 4" xfId="2844"/>
    <cellStyle name="v_Costing_Inst. Bld-Emirates Group-Noida-13.06.06" xfId="2845"/>
    <cellStyle name="v_Costing_Inst. Bld-Emirates Group-Noida-13.06.06 2" xfId="2846"/>
    <cellStyle name="v_Costing_Inst. Bld-Emirates Group-Noida-13.06.06 2 2" xfId="2847"/>
    <cellStyle name="v_Costing_Inst. Bld-Emirates Group-Noida-13.06.06 3" xfId="2848"/>
    <cellStyle name="v_Costing_Inst. Bld-Emirates Group-Noida-13.06.06 3 2" xfId="2849"/>
    <cellStyle name="v_Costing_Inst. Bld-Emirates Group-Noida-13.06.06 4" xfId="2850"/>
    <cellStyle name="v_DLF Cyber Tower _02.06.05 l" xfId="2851"/>
    <cellStyle name="v_DLF Cyber Tower _02.06.05 l 2" xfId="2852"/>
    <cellStyle name="v_Sheet1" xfId="2853"/>
    <cellStyle name="v_Sheet1 2" xfId="2854"/>
    <cellStyle name="v_Submitted_27.10.05" xfId="2855"/>
    <cellStyle name="v_Submitted_27.10.05 2" xfId="2856"/>
    <cellStyle name="v_Submitted_27.10.05 2 2" xfId="2857"/>
    <cellStyle name="v_Submitted_27.10.05 3" xfId="2858"/>
    <cellStyle name="v_Submitted_27.10.05 3 2" xfId="2859"/>
    <cellStyle name="v_Submitted_27.10.05 4" xfId="2860"/>
    <cellStyle name="Warning Text 10" xfId="2861"/>
    <cellStyle name="Warning Text 2" xfId="2862"/>
    <cellStyle name="Warning Text 2 10" xfId="2863"/>
    <cellStyle name="Warning Text 2 2" xfId="2864"/>
    <cellStyle name="Warning Text 2 3" xfId="2865"/>
    <cellStyle name="Warning Text 2 4" xfId="2866"/>
    <cellStyle name="Warning Text 2 5" xfId="2867"/>
    <cellStyle name="Warning Text 2 6" xfId="2868"/>
    <cellStyle name="Warning Text 2 7" xfId="2869"/>
    <cellStyle name="Warning Text 2 8" xfId="2870"/>
    <cellStyle name="Warning Text 2 9" xfId="2871"/>
    <cellStyle name="Warning Text 3" xfId="2872"/>
    <cellStyle name="Warning Text 4" xfId="2873"/>
    <cellStyle name="Warning Text 5" xfId="2874"/>
    <cellStyle name="Warning Text 6" xfId="2875"/>
    <cellStyle name="Warning Text 7" xfId="2876"/>
    <cellStyle name="Warning Text 8" xfId="2877"/>
    <cellStyle name="Warning Text 9" xfId="2878"/>
    <cellStyle name="標準_94物件" xfId="2879"/>
  </cellStyles>
  <dxfs count="1315">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2.xml.rels><?xml version="1.0" encoding="UTF-8" standalone="yes"?>
<Relationships xmlns="http://schemas.openxmlformats.org/package/2006/relationships"><Relationship Id="rId1" Type="http://schemas.openxmlformats.org/officeDocument/2006/relationships/image" Target="NULL"/></Relationships>
</file>

<file path=xl/drawings/drawing1.xml><?xml version="1.0" encoding="utf-8"?>
<xdr:wsDr xmlns:xdr="http://schemas.openxmlformats.org/drawingml/2006/spreadsheetDrawing" xmlns:a="http://schemas.openxmlformats.org/drawingml/2006/main">
  <xdr:twoCellAnchor>
    <xdr:from>
      <xdr:col>3</xdr:col>
      <xdr:colOff>0</xdr:colOff>
      <xdr:row>6</xdr:row>
      <xdr:rowOff>179295</xdr:rowOff>
    </xdr:from>
    <xdr:to>
      <xdr:col>5</xdr:col>
      <xdr:colOff>11206</xdr:colOff>
      <xdr:row>6</xdr:row>
      <xdr:rowOff>179295</xdr:rowOff>
    </xdr:to>
    <xdr:cxnSp macro="">
      <xdr:nvCxnSpPr>
        <xdr:cNvPr id="2" name="Straight Connector 1"/>
        <xdr:cNvCxnSpPr/>
      </xdr:nvCxnSpPr>
      <xdr:spPr>
        <a:xfrm>
          <a:off x="2981325" y="1617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xdr:row>
      <xdr:rowOff>0</xdr:rowOff>
    </xdr:from>
    <xdr:to>
      <xdr:col>3</xdr:col>
      <xdr:colOff>23112</xdr:colOff>
      <xdr:row>6</xdr:row>
      <xdr:rowOff>188399</xdr:rowOff>
    </xdr:to>
    <xdr:cxnSp macro="">
      <xdr:nvCxnSpPr>
        <xdr:cNvPr id="3" name="Straight Connector 2"/>
        <xdr:cNvCxnSpPr/>
      </xdr:nvCxnSpPr>
      <xdr:spPr>
        <a:xfrm flipV="1">
          <a:off x="3004437" y="143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xdr:row>
      <xdr:rowOff>0</xdr:rowOff>
    </xdr:from>
    <xdr:to>
      <xdr:col>4</xdr:col>
      <xdr:colOff>601265</xdr:colOff>
      <xdr:row>6</xdr:row>
      <xdr:rowOff>187699</xdr:rowOff>
    </xdr:to>
    <xdr:cxnSp macro="">
      <xdr:nvCxnSpPr>
        <xdr:cNvPr id="4" name="Straight Connector 3"/>
        <xdr:cNvCxnSpPr/>
      </xdr:nvCxnSpPr>
      <xdr:spPr>
        <a:xfrm flipV="1">
          <a:off x="3992165" y="143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xdr:row>
      <xdr:rowOff>0</xdr:rowOff>
    </xdr:from>
    <xdr:to>
      <xdr:col>3</xdr:col>
      <xdr:colOff>23112</xdr:colOff>
      <xdr:row>6</xdr:row>
      <xdr:rowOff>188399</xdr:rowOff>
    </xdr:to>
    <xdr:cxnSp macro="">
      <xdr:nvCxnSpPr>
        <xdr:cNvPr id="5" name="Straight Connector 4"/>
        <xdr:cNvCxnSpPr/>
      </xdr:nvCxnSpPr>
      <xdr:spPr>
        <a:xfrm flipV="1">
          <a:off x="3004437" y="143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xdr:row>
      <xdr:rowOff>0</xdr:rowOff>
    </xdr:from>
    <xdr:to>
      <xdr:col>4</xdr:col>
      <xdr:colOff>601265</xdr:colOff>
      <xdr:row>6</xdr:row>
      <xdr:rowOff>187699</xdr:rowOff>
    </xdr:to>
    <xdr:cxnSp macro="">
      <xdr:nvCxnSpPr>
        <xdr:cNvPr id="6" name="Straight Connector 5"/>
        <xdr:cNvCxnSpPr/>
      </xdr:nvCxnSpPr>
      <xdr:spPr>
        <a:xfrm flipV="1">
          <a:off x="3992165" y="143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xdr:row>
      <xdr:rowOff>0</xdr:rowOff>
    </xdr:from>
    <xdr:to>
      <xdr:col>3</xdr:col>
      <xdr:colOff>23112</xdr:colOff>
      <xdr:row>6</xdr:row>
      <xdr:rowOff>188399</xdr:rowOff>
    </xdr:to>
    <xdr:cxnSp macro="">
      <xdr:nvCxnSpPr>
        <xdr:cNvPr id="7" name="Straight Connector 6"/>
        <xdr:cNvCxnSpPr/>
      </xdr:nvCxnSpPr>
      <xdr:spPr>
        <a:xfrm flipV="1">
          <a:off x="3004437" y="143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xdr:row>
      <xdr:rowOff>0</xdr:rowOff>
    </xdr:from>
    <xdr:to>
      <xdr:col>4</xdr:col>
      <xdr:colOff>601265</xdr:colOff>
      <xdr:row>6</xdr:row>
      <xdr:rowOff>187699</xdr:rowOff>
    </xdr:to>
    <xdr:cxnSp macro="">
      <xdr:nvCxnSpPr>
        <xdr:cNvPr id="8" name="Straight Connector 7"/>
        <xdr:cNvCxnSpPr/>
      </xdr:nvCxnSpPr>
      <xdr:spPr>
        <a:xfrm flipV="1">
          <a:off x="3992165" y="143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xdr:row>
      <xdr:rowOff>179295</xdr:rowOff>
    </xdr:from>
    <xdr:to>
      <xdr:col>5</xdr:col>
      <xdr:colOff>11206</xdr:colOff>
      <xdr:row>12</xdr:row>
      <xdr:rowOff>179295</xdr:rowOff>
    </xdr:to>
    <xdr:cxnSp macro="">
      <xdr:nvCxnSpPr>
        <xdr:cNvPr id="9" name="Straight Connector 8"/>
        <xdr:cNvCxnSpPr/>
      </xdr:nvCxnSpPr>
      <xdr:spPr>
        <a:xfrm>
          <a:off x="2981325" y="2760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xdr:row>
      <xdr:rowOff>0</xdr:rowOff>
    </xdr:from>
    <xdr:to>
      <xdr:col>3</xdr:col>
      <xdr:colOff>23112</xdr:colOff>
      <xdr:row>12</xdr:row>
      <xdr:rowOff>188399</xdr:rowOff>
    </xdr:to>
    <xdr:cxnSp macro="">
      <xdr:nvCxnSpPr>
        <xdr:cNvPr id="10" name="Straight Connector 9"/>
        <xdr:cNvCxnSpPr/>
      </xdr:nvCxnSpPr>
      <xdr:spPr>
        <a:xfrm flipV="1">
          <a:off x="3004437" y="2581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xdr:row>
      <xdr:rowOff>0</xdr:rowOff>
    </xdr:from>
    <xdr:to>
      <xdr:col>4</xdr:col>
      <xdr:colOff>601265</xdr:colOff>
      <xdr:row>12</xdr:row>
      <xdr:rowOff>187699</xdr:rowOff>
    </xdr:to>
    <xdr:cxnSp macro="">
      <xdr:nvCxnSpPr>
        <xdr:cNvPr id="11" name="Straight Connector 10"/>
        <xdr:cNvCxnSpPr/>
      </xdr:nvCxnSpPr>
      <xdr:spPr>
        <a:xfrm flipV="1">
          <a:off x="3992165" y="2581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xdr:row>
      <xdr:rowOff>0</xdr:rowOff>
    </xdr:from>
    <xdr:to>
      <xdr:col>3</xdr:col>
      <xdr:colOff>23112</xdr:colOff>
      <xdr:row>12</xdr:row>
      <xdr:rowOff>188399</xdr:rowOff>
    </xdr:to>
    <xdr:cxnSp macro="">
      <xdr:nvCxnSpPr>
        <xdr:cNvPr id="12" name="Straight Connector 11"/>
        <xdr:cNvCxnSpPr/>
      </xdr:nvCxnSpPr>
      <xdr:spPr>
        <a:xfrm flipV="1">
          <a:off x="3004437" y="2581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xdr:row>
      <xdr:rowOff>0</xdr:rowOff>
    </xdr:from>
    <xdr:to>
      <xdr:col>4</xdr:col>
      <xdr:colOff>601265</xdr:colOff>
      <xdr:row>12</xdr:row>
      <xdr:rowOff>187699</xdr:rowOff>
    </xdr:to>
    <xdr:cxnSp macro="">
      <xdr:nvCxnSpPr>
        <xdr:cNvPr id="13" name="Straight Connector 12"/>
        <xdr:cNvCxnSpPr/>
      </xdr:nvCxnSpPr>
      <xdr:spPr>
        <a:xfrm flipV="1">
          <a:off x="3992165" y="2581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xdr:row>
      <xdr:rowOff>0</xdr:rowOff>
    </xdr:from>
    <xdr:to>
      <xdr:col>3</xdr:col>
      <xdr:colOff>23112</xdr:colOff>
      <xdr:row>12</xdr:row>
      <xdr:rowOff>188399</xdr:rowOff>
    </xdr:to>
    <xdr:cxnSp macro="">
      <xdr:nvCxnSpPr>
        <xdr:cNvPr id="14" name="Straight Connector 13"/>
        <xdr:cNvCxnSpPr/>
      </xdr:nvCxnSpPr>
      <xdr:spPr>
        <a:xfrm flipV="1">
          <a:off x="3004437" y="2581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xdr:row>
      <xdr:rowOff>0</xdr:rowOff>
    </xdr:from>
    <xdr:to>
      <xdr:col>4</xdr:col>
      <xdr:colOff>601265</xdr:colOff>
      <xdr:row>12</xdr:row>
      <xdr:rowOff>187699</xdr:rowOff>
    </xdr:to>
    <xdr:cxnSp macro="">
      <xdr:nvCxnSpPr>
        <xdr:cNvPr id="15" name="Straight Connector 14"/>
        <xdr:cNvCxnSpPr/>
      </xdr:nvCxnSpPr>
      <xdr:spPr>
        <a:xfrm flipV="1">
          <a:off x="3992165" y="2581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18</xdr:row>
      <xdr:rowOff>179295</xdr:rowOff>
    </xdr:from>
    <xdr:to>
      <xdr:col>5</xdr:col>
      <xdr:colOff>11206</xdr:colOff>
      <xdr:row>18</xdr:row>
      <xdr:rowOff>179295</xdr:rowOff>
    </xdr:to>
    <xdr:cxnSp macro="">
      <xdr:nvCxnSpPr>
        <xdr:cNvPr id="16" name="Straight Connector 15"/>
        <xdr:cNvCxnSpPr/>
      </xdr:nvCxnSpPr>
      <xdr:spPr>
        <a:xfrm>
          <a:off x="2981325" y="3903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18</xdr:row>
      <xdr:rowOff>0</xdr:rowOff>
    </xdr:from>
    <xdr:to>
      <xdr:col>3</xdr:col>
      <xdr:colOff>23112</xdr:colOff>
      <xdr:row>18</xdr:row>
      <xdr:rowOff>188399</xdr:rowOff>
    </xdr:to>
    <xdr:cxnSp macro="">
      <xdr:nvCxnSpPr>
        <xdr:cNvPr id="17" name="Straight Connector 16"/>
        <xdr:cNvCxnSpPr/>
      </xdr:nvCxnSpPr>
      <xdr:spPr>
        <a:xfrm flipV="1">
          <a:off x="3004437" y="3724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18</xdr:row>
      <xdr:rowOff>0</xdr:rowOff>
    </xdr:from>
    <xdr:to>
      <xdr:col>4</xdr:col>
      <xdr:colOff>601265</xdr:colOff>
      <xdr:row>18</xdr:row>
      <xdr:rowOff>187699</xdr:rowOff>
    </xdr:to>
    <xdr:cxnSp macro="">
      <xdr:nvCxnSpPr>
        <xdr:cNvPr id="18" name="Straight Connector 17"/>
        <xdr:cNvCxnSpPr/>
      </xdr:nvCxnSpPr>
      <xdr:spPr>
        <a:xfrm flipV="1">
          <a:off x="3992165" y="3724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18</xdr:row>
      <xdr:rowOff>0</xdr:rowOff>
    </xdr:from>
    <xdr:to>
      <xdr:col>3</xdr:col>
      <xdr:colOff>23112</xdr:colOff>
      <xdr:row>18</xdr:row>
      <xdr:rowOff>188399</xdr:rowOff>
    </xdr:to>
    <xdr:cxnSp macro="">
      <xdr:nvCxnSpPr>
        <xdr:cNvPr id="19" name="Straight Connector 18"/>
        <xdr:cNvCxnSpPr/>
      </xdr:nvCxnSpPr>
      <xdr:spPr>
        <a:xfrm flipV="1">
          <a:off x="3004437" y="3724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18</xdr:row>
      <xdr:rowOff>0</xdr:rowOff>
    </xdr:from>
    <xdr:to>
      <xdr:col>4</xdr:col>
      <xdr:colOff>601265</xdr:colOff>
      <xdr:row>18</xdr:row>
      <xdr:rowOff>187699</xdr:rowOff>
    </xdr:to>
    <xdr:cxnSp macro="">
      <xdr:nvCxnSpPr>
        <xdr:cNvPr id="20" name="Straight Connector 19"/>
        <xdr:cNvCxnSpPr/>
      </xdr:nvCxnSpPr>
      <xdr:spPr>
        <a:xfrm flipV="1">
          <a:off x="3992165" y="3724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18</xdr:row>
      <xdr:rowOff>0</xdr:rowOff>
    </xdr:from>
    <xdr:to>
      <xdr:col>3</xdr:col>
      <xdr:colOff>23112</xdr:colOff>
      <xdr:row>18</xdr:row>
      <xdr:rowOff>188399</xdr:rowOff>
    </xdr:to>
    <xdr:cxnSp macro="">
      <xdr:nvCxnSpPr>
        <xdr:cNvPr id="21" name="Straight Connector 20"/>
        <xdr:cNvCxnSpPr/>
      </xdr:nvCxnSpPr>
      <xdr:spPr>
        <a:xfrm flipV="1">
          <a:off x="3004437" y="3724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18</xdr:row>
      <xdr:rowOff>0</xdr:rowOff>
    </xdr:from>
    <xdr:to>
      <xdr:col>4</xdr:col>
      <xdr:colOff>601265</xdr:colOff>
      <xdr:row>18</xdr:row>
      <xdr:rowOff>187699</xdr:rowOff>
    </xdr:to>
    <xdr:cxnSp macro="">
      <xdr:nvCxnSpPr>
        <xdr:cNvPr id="22" name="Straight Connector 21"/>
        <xdr:cNvCxnSpPr/>
      </xdr:nvCxnSpPr>
      <xdr:spPr>
        <a:xfrm flipV="1">
          <a:off x="3992165" y="3724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24</xdr:row>
      <xdr:rowOff>179295</xdr:rowOff>
    </xdr:from>
    <xdr:to>
      <xdr:col>5</xdr:col>
      <xdr:colOff>11206</xdr:colOff>
      <xdr:row>24</xdr:row>
      <xdr:rowOff>179295</xdr:rowOff>
    </xdr:to>
    <xdr:cxnSp macro="">
      <xdr:nvCxnSpPr>
        <xdr:cNvPr id="23" name="Straight Connector 22"/>
        <xdr:cNvCxnSpPr/>
      </xdr:nvCxnSpPr>
      <xdr:spPr>
        <a:xfrm>
          <a:off x="2981325" y="5046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24</xdr:row>
      <xdr:rowOff>0</xdr:rowOff>
    </xdr:from>
    <xdr:to>
      <xdr:col>3</xdr:col>
      <xdr:colOff>23112</xdr:colOff>
      <xdr:row>24</xdr:row>
      <xdr:rowOff>188399</xdr:rowOff>
    </xdr:to>
    <xdr:cxnSp macro="">
      <xdr:nvCxnSpPr>
        <xdr:cNvPr id="24" name="Straight Connector 23"/>
        <xdr:cNvCxnSpPr/>
      </xdr:nvCxnSpPr>
      <xdr:spPr>
        <a:xfrm flipV="1">
          <a:off x="3004437" y="4867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24</xdr:row>
      <xdr:rowOff>0</xdr:rowOff>
    </xdr:from>
    <xdr:to>
      <xdr:col>4</xdr:col>
      <xdr:colOff>601265</xdr:colOff>
      <xdr:row>24</xdr:row>
      <xdr:rowOff>187699</xdr:rowOff>
    </xdr:to>
    <xdr:cxnSp macro="">
      <xdr:nvCxnSpPr>
        <xdr:cNvPr id="25" name="Straight Connector 24"/>
        <xdr:cNvCxnSpPr/>
      </xdr:nvCxnSpPr>
      <xdr:spPr>
        <a:xfrm flipV="1">
          <a:off x="3992165" y="4867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24</xdr:row>
      <xdr:rowOff>0</xdr:rowOff>
    </xdr:from>
    <xdr:to>
      <xdr:col>3</xdr:col>
      <xdr:colOff>23112</xdr:colOff>
      <xdr:row>24</xdr:row>
      <xdr:rowOff>188399</xdr:rowOff>
    </xdr:to>
    <xdr:cxnSp macro="">
      <xdr:nvCxnSpPr>
        <xdr:cNvPr id="26" name="Straight Connector 25"/>
        <xdr:cNvCxnSpPr/>
      </xdr:nvCxnSpPr>
      <xdr:spPr>
        <a:xfrm flipV="1">
          <a:off x="3004437" y="4867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24</xdr:row>
      <xdr:rowOff>0</xdr:rowOff>
    </xdr:from>
    <xdr:to>
      <xdr:col>4</xdr:col>
      <xdr:colOff>601265</xdr:colOff>
      <xdr:row>24</xdr:row>
      <xdr:rowOff>187699</xdr:rowOff>
    </xdr:to>
    <xdr:cxnSp macro="">
      <xdr:nvCxnSpPr>
        <xdr:cNvPr id="27" name="Straight Connector 26"/>
        <xdr:cNvCxnSpPr/>
      </xdr:nvCxnSpPr>
      <xdr:spPr>
        <a:xfrm flipV="1">
          <a:off x="3992165" y="4867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24</xdr:row>
      <xdr:rowOff>0</xdr:rowOff>
    </xdr:from>
    <xdr:to>
      <xdr:col>3</xdr:col>
      <xdr:colOff>23112</xdr:colOff>
      <xdr:row>24</xdr:row>
      <xdr:rowOff>188399</xdr:rowOff>
    </xdr:to>
    <xdr:cxnSp macro="">
      <xdr:nvCxnSpPr>
        <xdr:cNvPr id="28" name="Straight Connector 27"/>
        <xdr:cNvCxnSpPr/>
      </xdr:nvCxnSpPr>
      <xdr:spPr>
        <a:xfrm flipV="1">
          <a:off x="3004437" y="4867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24</xdr:row>
      <xdr:rowOff>0</xdr:rowOff>
    </xdr:from>
    <xdr:to>
      <xdr:col>4</xdr:col>
      <xdr:colOff>601265</xdr:colOff>
      <xdr:row>24</xdr:row>
      <xdr:rowOff>187699</xdr:rowOff>
    </xdr:to>
    <xdr:cxnSp macro="">
      <xdr:nvCxnSpPr>
        <xdr:cNvPr id="29" name="Straight Connector 28"/>
        <xdr:cNvCxnSpPr/>
      </xdr:nvCxnSpPr>
      <xdr:spPr>
        <a:xfrm flipV="1">
          <a:off x="3992165" y="4867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36</xdr:row>
      <xdr:rowOff>179295</xdr:rowOff>
    </xdr:from>
    <xdr:to>
      <xdr:col>5</xdr:col>
      <xdr:colOff>11206</xdr:colOff>
      <xdr:row>36</xdr:row>
      <xdr:rowOff>179295</xdr:rowOff>
    </xdr:to>
    <xdr:cxnSp macro="">
      <xdr:nvCxnSpPr>
        <xdr:cNvPr id="30" name="Straight Connector 29"/>
        <xdr:cNvCxnSpPr/>
      </xdr:nvCxnSpPr>
      <xdr:spPr>
        <a:xfrm>
          <a:off x="2981325" y="7332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36</xdr:row>
      <xdr:rowOff>0</xdr:rowOff>
    </xdr:from>
    <xdr:to>
      <xdr:col>3</xdr:col>
      <xdr:colOff>23112</xdr:colOff>
      <xdr:row>36</xdr:row>
      <xdr:rowOff>188399</xdr:rowOff>
    </xdr:to>
    <xdr:cxnSp macro="">
      <xdr:nvCxnSpPr>
        <xdr:cNvPr id="31" name="Straight Connector 30"/>
        <xdr:cNvCxnSpPr/>
      </xdr:nvCxnSpPr>
      <xdr:spPr>
        <a:xfrm flipV="1">
          <a:off x="3004437" y="715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36</xdr:row>
      <xdr:rowOff>0</xdr:rowOff>
    </xdr:from>
    <xdr:to>
      <xdr:col>4</xdr:col>
      <xdr:colOff>601265</xdr:colOff>
      <xdr:row>36</xdr:row>
      <xdr:rowOff>187699</xdr:rowOff>
    </xdr:to>
    <xdr:cxnSp macro="">
      <xdr:nvCxnSpPr>
        <xdr:cNvPr id="32" name="Straight Connector 31"/>
        <xdr:cNvCxnSpPr/>
      </xdr:nvCxnSpPr>
      <xdr:spPr>
        <a:xfrm flipV="1">
          <a:off x="3992165" y="715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36</xdr:row>
      <xdr:rowOff>0</xdr:rowOff>
    </xdr:from>
    <xdr:to>
      <xdr:col>3</xdr:col>
      <xdr:colOff>23112</xdr:colOff>
      <xdr:row>36</xdr:row>
      <xdr:rowOff>188399</xdr:rowOff>
    </xdr:to>
    <xdr:cxnSp macro="">
      <xdr:nvCxnSpPr>
        <xdr:cNvPr id="33" name="Straight Connector 32"/>
        <xdr:cNvCxnSpPr/>
      </xdr:nvCxnSpPr>
      <xdr:spPr>
        <a:xfrm flipV="1">
          <a:off x="3004437" y="715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36</xdr:row>
      <xdr:rowOff>0</xdr:rowOff>
    </xdr:from>
    <xdr:to>
      <xdr:col>4</xdr:col>
      <xdr:colOff>601265</xdr:colOff>
      <xdr:row>36</xdr:row>
      <xdr:rowOff>187699</xdr:rowOff>
    </xdr:to>
    <xdr:cxnSp macro="">
      <xdr:nvCxnSpPr>
        <xdr:cNvPr id="34" name="Straight Connector 33"/>
        <xdr:cNvCxnSpPr/>
      </xdr:nvCxnSpPr>
      <xdr:spPr>
        <a:xfrm flipV="1">
          <a:off x="3992165" y="715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36</xdr:row>
      <xdr:rowOff>0</xdr:rowOff>
    </xdr:from>
    <xdr:to>
      <xdr:col>3</xdr:col>
      <xdr:colOff>23112</xdr:colOff>
      <xdr:row>36</xdr:row>
      <xdr:rowOff>188399</xdr:rowOff>
    </xdr:to>
    <xdr:cxnSp macro="">
      <xdr:nvCxnSpPr>
        <xdr:cNvPr id="35" name="Straight Connector 34"/>
        <xdr:cNvCxnSpPr/>
      </xdr:nvCxnSpPr>
      <xdr:spPr>
        <a:xfrm flipV="1">
          <a:off x="3004437" y="715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36</xdr:row>
      <xdr:rowOff>0</xdr:rowOff>
    </xdr:from>
    <xdr:to>
      <xdr:col>4</xdr:col>
      <xdr:colOff>601265</xdr:colOff>
      <xdr:row>36</xdr:row>
      <xdr:rowOff>187699</xdr:rowOff>
    </xdr:to>
    <xdr:cxnSp macro="">
      <xdr:nvCxnSpPr>
        <xdr:cNvPr id="36" name="Straight Connector 35"/>
        <xdr:cNvCxnSpPr/>
      </xdr:nvCxnSpPr>
      <xdr:spPr>
        <a:xfrm flipV="1">
          <a:off x="3992165" y="715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42</xdr:row>
      <xdr:rowOff>179295</xdr:rowOff>
    </xdr:from>
    <xdr:to>
      <xdr:col>5</xdr:col>
      <xdr:colOff>11206</xdr:colOff>
      <xdr:row>42</xdr:row>
      <xdr:rowOff>179295</xdr:rowOff>
    </xdr:to>
    <xdr:cxnSp macro="">
      <xdr:nvCxnSpPr>
        <xdr:cNvPr id="37" name="Straight Connector 36"/>
        <xdr:cNvCxnSpPr/>
      </xdr:nvCxnSpPr>
      <xdr:spPr>
        <a:xfrm>
          <a:off x="2981325" y="8475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42</xdr:row>
      <xdr:rowOff>0</xdr:rowOff>
    </xdr:from>
    <xdr:to>
      <xdr:col>3</xdr:col>
      <xdr:colOff>23112</xdr:colOff>
      <xdr:row>42</xdr:row>
      <xdr:rowOff>188399</xdr:rowOff>
    </xdr:to>
    <xdr:cxnSp macro="">
      <xdr:nvCxnSpPr>
        <xdr:cNvPr id="38" name="Straight Connector 37"/>
        <xdr:cNvCxnSpPr/>
      </xdr:nvCxnSpPr>
      <xdr:spPr>
        <a:xfrm flipV="1">
          <a:off x="3004437" y="829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42</xdr:row>
      <xdr:rowOff>0</xdr:rowOff>
    </xdr:from>
    <xdr:to>
      <xdr:col>4</xdr:col>
      <xdr:colOff>601265</xdr:colOff>
      <xdr:row>42</xdr:row>
      <xdr:rowOff>187699</xdr:rowOff>
    </xdr:to>
    <xdr:cxnSp macro="">
      <xdr:nvCxnSpPr>
        <xdr:cNvPr id="39" name="Straight Connector 38"/>
        <xdr:cNvCxnSpPr/>
      </xdr:nvCxnSpPr>
      <xdr:spPr>
        <a:xfrm flipV="1">
          <a:off x="3992165" y="829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42</xdr:row>
      <xdr:rowOff>0</xdr:rowOff>
    </xdr:from>
    <xdr:to>
      <xdr:col>3</xdr:col>
      <xdr:colOff>23112</xdr:colOff>
      <xdr:row>42</xdr:row>
      <xdr:rowOff>188399</xdr:rowOff>
    </xdr:to>
    <xdr:cxnSp macro="">
      <xdr:nvCxnSpPr>
        <xdr:cNvPr id="40" name="Straight Connector 39"/>
        <xdr:cNvCxnSpPr/>
      </xdr:nvCxnSpPr>
      <xdr:spPr>
        <a:xfrm flipV="1">
          <a:off x="3004437" y="829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42</xdr:row>
      <xdr:rowOff>0</xdr:rowOff>
    </xdr:from>
    <xdr:to>
      <xdr:col>4</xdr:col>
      <xdr:colOff>601265</xdr:colOff>
      <xdr:row>42</xdr:row>
      <xdr:rowOff>187699</xdr:rowOff>
    </xdr:to>
    <xdr:cxnSp macro="">
      <xdr:nvCxnSpPr>
        <xdr:cNvPr id="41" name="Straight Connector 40"/>
        <xdr:cNvCxnSpPr/>
      </xdr:nvCxnSpPr>
      <xdr:spPr>
        <a:xfrm flipV="1">
          <a:off x="3992165" y="829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42</xdr:row>
      <xdr:rowOff>0</xdr:rowOff>
    </xdr:from>
    <xdr:to>
      <xdr:col>3</xdr:col>
      <xdr:colOff>23112</xdr:colOff>
      <xdr:row>42</xdr:row>
      <xdr:rowOff>188399</xdr:rowOff>
    </xdr:to>
    <xdr:cxnSp macro="">
      <xdr:nvCxnSpPr>
        <xdr:cNvPr id="42" name="Straight Connector 41"/>
        <xdr:cNvCxnSpPr/>
      </xdr:nvCxnSpPr>
      <xdr:spPr>
        <a:xfrm flipV="1">
          <a:off x="3004437" y="829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42</xdr:row>
      <xdr:rowOff>0</xdr:rowOff>
    </xdr:from>
    <xdr:to>
      <xdr:col>4</xdr:col>
      <xdr:colOff>601265</xdr:colOff>
      <xdr:row>42</xdr:row>
      <xdr:rowOff>187699</xdr:rowOff>
    </xdr:to>
    <xdr:cxnSp macro="">
      <xdr:nvCxnSpPr>
        <xdr:cNvPr id="43" name="Straight Connector 42"/>
        <xdr:cNvCxnSpPr/>
      </xdr:nvCxnSpPr>
      <xdr:spPr>
        <a:xfrm flipV="1">
          <a:off x="3992165" y="829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30</xdr:row>
      <xdr:rowOff>179295</xdr:rowOff>
    </xdr:from>
    <xdr:to>
      <xdr:col>5</xdr:col>
      <xdr:colOff>11206</xdr:colOff>
      <xdr:row>30</xdr:row>
      <xdr:rowOff>179295</xdr:rowOff>
    </xdr:to>
    <xdr:cxnSp macro="">
      <xdr:nvCxnSpPr>
        <xdr:cNvPr id="44" name="Straight Connector 43"/>
        <xdr:cNvCxnSpPr/>
      </xdr:nvCxnSpPr>
      <xdr:spPr>
        <a:xfrm>
          <a:off x="2981325" y="618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30</xdr:row>
      <xdr:rowOff>0</xdr:rowOff>
    </xdr:from>
    <xdr:to>
      <xdr:col>3</xdr:col>
      <xdr:colOff>23112</xdr:colOff>
      <xdr:row>30</xdr:row>
      <xdr:rowOff>188399</xdr:rowOff>
    </xdr:to>
    <xdr:cxnSp macro="">
      <xdr:nvCxnSpPr>
        <xdr:cNvPr id="45" name="Straight Connector 44"/>
        <xdr:cNvCxnSpPr/>
      </xdr:nvCxnSpPr>
      <xdr:spPr>
        <a:xfrm flipV="1">
          <a:off x="3004437" y="601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30</xdr:row>
      <xdr:rowOff>0</xdr:rowOff>
    </xdr:from>
    <xdr:to>
      <xdr:col>4</xdr:col>
      <xdr:colOff>601265</xdr:colOff>
      <xdr:row>30</xdr:row>
      <xdr:rowOff>187699</xdr:rowOff>
    </xdr:to>
    <xdr:cxnSp macro="">
      <xdr:nvCxnSpPr>
        <xdr:cNvPr id="46" name="Straight Connector 45"/>
        <xdr:cNvCxnSpPr/>
      </xdr:nvCxnSpPr>
      <xdr:spPr>
        <a:xfrm flipV="1">
          <a:off x="3992165" y="601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30</xdr:row>
      <xdr:rowOff>0</xdr:rowOff>
    </xdr:from>
    <xdr:to>
      <xdr:col>3</xdr:col>
      <xdr:colOff>23112</xdr:colOff>
      <xdr:row>30</xdr:row>
      <xdr:rowOff>188399</xdr:rowOff>
    </xdr:to>
    <xdr:cxnSp macro="">
      <xdr:nvCxnSpPr>
        <xdr:cNvPr id="47" name="Straight Connector 46"/>
        <xdr:cNvCxnSpPr/>
      </xdr:nvCxnSpPr>
      <xdr:spPr>
        <a:xfrm flipV="1">
          <a:off x="3004437" y="601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30</xdr:row>
      <xdr:rowOff>0</xdr:rowOff>
    </xdr:from>
    <xdr:to>
      <xdr:col>4</xdr:col>
      <xdr:colOff>601265</xdr:colOff>
      <xdr:row>30</xdr:row>
      <xdr:rowOff>187699</xdr:rowOff>
    </xdr:to>
    <xdr:cxnSp macro="">
      <xdr:nvCxnSpPr>
        <xdr:cNvPr id="48" name="Straight Connector 47"/>
        <xdr:cNvCxnSpPr/>
      </xdr:nvCxnSpPr>
      <xdr:spPr>
        <a:xfrm flipV="1">
          <a:off x="3992165" y="601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30</xdr:row>
      <xdr:rowOff>0</xdr:rowOff>
    </xdr:from>
    <xdr:to>
      <xdr:col>3</xdr:col>
      <xdr:colOff>23112</xdr:colOff>
      <xdr:row>30</xdr:row>
      <xdr:rowOff>188399</xdr:rowOff>
    </xdr:to>
    <xdr:cxnSp macro="">
      <xdr:nvCxnSpPr>
        <xdr:cNvPr id="49" name="Straight Connector 48"/>
        <xdr:cNvCxnSpPr/>
      </xdr:nvCxnSpPr>
      <xdr:spPr>
        <a:xfrm flipV="1">
          <a:off x="3004437" y="601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30</xdr:row>
      <xdr:rowOff>0</xdr:rowOff>
    </xdr:from>
    <xdr:to>
      <xdr:col>4</xdr:col>
      <xdr:colOff>601265</xdr:colOff>
      <xdr:row>30</xdr:row>
      <xdr:rowOff>187699</xdr:rowOff>
    </xdr:to>
    <xdr:cxnSp macro="">
      <xdr:nvCxnSpPr>
        <xdr:cNvPr id="50" name="Straight Connector 49"/>
        <xdr:cNvCxnSpPr/>
      </xdr:nvCxnSpPr>
      <xdr:spPr>
        <a:xfrm flipV="1">
          <a:off x="3992165" y="601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65</xdr:row>
      <xdr:rowOff>179295</xdr:rowOff>
    </xdr:from>
    <xdr:to>
      <xdr:col>5</xdr:col>
      <xdr:colOff>11206</xdr:colOff>
      <xdr:row>65</xdr:row>
      <xdr:rowOff>179295</xdr:rowOff>
    </xdr:to>
    <xdr:cxnSp macro="">
      <xdr:nvCxnSpPr>
        <xdr:cNvPr id="51" name="Straight Connector 50"/>
        <xdr:cNvCxnSpPr/>
      </xdr:nvCxnSpPr>
      <xdr:spPr>
        <a:xfrm>
          <a:off x="2981325" y="12857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65</xdr:row>
      <xdr:rowOff>0</xdr:rowOff>
    </xdr:from>
    <xdr:to>
      <xdr:col>3</xdr:col>
      <xdr:colOff>23112</xdr:colOff>
      <xdr:row>65</xdr:row>
      <xdr:rowOff>188399</xdr:rowOff>
    </xdr:to>
    <xdr:cxnSp macro="">
      <xdr:nvCxnSpPr>
        <xdr:cNvPr id="52" name="Straight Connector 51"/>
        <xdr:cNvCxnSpPr/>
      </xdr:nvCxnSpPr>
      <xdr:spPr>
        <a:xfrm flipV="1">
          <a:off x="3004437" y="1267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65</xdr:row>
      <xdr:rowOff>0</xdr:rowOff>
    </xdr:from>
    <xdr:to>
      <xdr:col>4</xdr:col>
      <xdr:colOff>601265</xdr:colOff>
      <xdr:row>65</xdr:row>
      <xdr:rowOff>187699</xdr:rowOff>
    </xdr:to>
    <xdr:cxnSp macro="">
      <xdr:nvCxnSpPr>
        <xdr:cNvPr id="53" name="Straight Connector 52"/>
        <xdr:cNvCxnSpPr/>
      </xdr:nvCxnSpPr>
      <xdr:spPr>
        <a:xfrm flipV="1">
          <a:off x="3992165" y="1267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65</xdr:row>
      <xdr:rowOff>0</xdr:rowOff>
    </xdr:from>
    <xdr:to>
      <xdr:col>3</xdr:col>
      <xdr:colOff>23112</xdr:colOff>
      <xdr:row>65</xdr:row>
      <xdr:rowOff>188399</xdr:rowOff>
    </xdr:to>
    <xdr:cxnSp macro="">
      <xdr:nvCxnSpPr>
        <xdr:cNvPr id="54" name="Straight Connector 53"/>
        <xdr:cNvCxnSpPr/>
      </xdr:nvCxnSpPr>
      <xdr:spPr>
        <a:xfrm flipV="1">
          <a:off x="3004437" y="1267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65</xdr:row>
      <xdr:rowOff>0</xdr:rowOff>
    </xdr:from>
    <xdr:to>
      <xdr:col>4</xdr:col>
      <xdr:colOff>601265</xdr:colOff>
      <xdr:row>65</xdr:row>
      <xdr:rowOff>187699</xdr:rowOff>
    </xdr:to>
    <xdr:cxnSp macro="">
      <xdr:nvCxnSpPr>
        <xdr:cNvPr id="55" name="Straight Connector 54"/>
        <xdr:cNvCxnSpPr/>
      </xdr:nvCxnSpPr>
      <xdr:spPr>
        <a:xfrm flipV="1">
          <a:off x="3992165" y="1267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65</xdr:row>
      <xdr:rowOff>0</xdr:rowOff>
    </xdr:from>
    <xdr:to>
      <xdr:col>3</xdr:col>
      <xdr:colOff>23112</xdr:colOff>
      <xdr:row>65</xdr:row>
      <xdr:rowOff>188399</xdr:rowOff>
    </xdr:to>
    <xdr:cxnSp macro="">
      <xdr:nvCxnSpPr>
        <xdr:cNvPr id="56" name="Straight Connector 55"/>
        <xdr:cNvCxnSpPr/>
      </xdr:nvCxnSpPr>
      <xdr:spPr>
        <a:xfrm flipV="1">
          <a:off x="3004437" y="1267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65</xdr:row>
      <xdr:rowOff>0</xdr:rowOff>
    </xdr:from>
    <xdr:to>
      <xdr:col>4</xdr:col>
      <xdr:colOff>601265</xdr:colOff>
      <xdr:row>65</xdr:row>
      <xdr:rowOff>187699</xdr:rowOff>
    </xdr:to>
    <xdr:cxnSp macro="">
      <xdr:nvCxnSpPr>
        <xdr:cNvPr id="57" name="Straight Connector 56"/>
        <xdr:cNvCxnSpPr/>
      </xdr:nvCxnSpPr>
      <xdr:spPr>
        <a:xfrm flipV="1">
          <a:off x="3992165" y="1267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62</xdr:row>
      <xdr:rowOff>179295</xdr:rowOff>
    </xdr:from>
    <xdr:to>
      <xdr:col>5</xdr:col>
      <xdr:colOff>11206</xdr:colOff>
      <xdr:row>62</xdr:row>
      <xdr:rowOff>179295</xdr:rowOff>
    </xdr:to>
    <xdr:cxnSp macro="">
      <xdr:nvCxnSpPr>
        <xdr:cNvPr id="58" name="Straight Connector 57"/>
        <xdr:cNvCxnSpPr/>
      </xdr:nvCxnSpPr>
      <xdr:spPr>
        <a:xfrm>
          <a:off x="2981325" y="12285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62</xdr:row>
      <xdr:rowOff>0</xdr:rowOff>
    </xdr:from>
    <xdr:to>
      <xdr:col>3</xdr:col>
      <xdr:colOff>23112</xdr:colOff>
      <xdr:row>62</xdr:row>
      <xdr:rowOff>188399</xdr:rowOff>
    </xdr:to>
    <xdr:cxnSp macro="">
      <xdr:nvCxnSpPr>
        <xdr:cNvPr id="59" name="Straight Connector 58"/>
        <xdr:cNvCxnSpPr/>
      </xdr:nvCxnSpPr>
      <xdr:spPr>
        <a:xfrm flipV="1">
          <a:off x="3004437" y="1210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62</xdr:row>
      <xdr:rowOff>0</xdr:rowOff>
    </xdr:from>
    <xdr:to>
      <xdr:col>4</xdr:col>
      <xdr:colOff>601265</xdr:colOff>
      <xdr:row>62</xdr:row>
      <xdr:rowOff>187699</xdr:rowOff>
    </xdr:to>
    <xdr:cxnSp macro="">
      <xdr:nvCxnSpPr>
        <xdr:cNvPr id="60" name="Straight Connector 59"/>
        <xdr:cNvCxnSpPr/>
      </xdr:nvCxnSpPr>
      <xdr:spPr>
        <a:xfrm flipV="1">
          <a:off x="3992165" y="1210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62</xdr:row>
      <xdr:rowOff>0</xdr:rowOff>
    </xdr:from>
    <xdr:to>
      <xdr:col>3</xdr:col>
      <xdr:colOff>23112</xdr:colOff>
      <xdr:row>62</xdr:row>
      <xdr:rowOff>188399</xdr:rowOff>
    </xdr:to>
    <xdr:cxnSp macro="">
      <xdr:nvCxnSpPr>
        <xdr:cNvPr id="61" name="Straight Connector 60"/>
        <xdr:cNvCxnSpPr/>
      </xdr:nvCxnSpPr>
      <xdr:spPr>
        <a:xfrm flipV="1">
          <a:off x="3004437" y="1210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62</xdr:row>
      <xdr:rowOff>0</xdr:rowOff>
    </xdr:from>
    <xdr:to>
      <xdr:col>4</xdr:col>
      <xdr:colOff>601265</xdr:colOff>
      <xdr:row>62</xdr:row>
      <xdr:rowOff>187699</xdr:rowOff>
    </xdr:to>
    <xdr:cxnSp macro="">
      <xdr:nvCxnSpPr>
        <xdr:cNvPr id="62" name="Straight Connector 61"/>
        <xdr:cNvCxnSpPr/>
      </xdr:nvCxnSpPr>
      <xdr:spPr>
        <a:xfrm flipV="1">
          <a:off x="3992165" y="1210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62</xdr:row>
      <xdr:rowOff>0</xdr:rowOff>
    </xdr:from>
    <xdr:to>
      <xdr:col>3</xdr:col>
      <xdr:colOff>23112</xdr:colOff>
      <xdr:row>62</xdr:row>
      <xdr:rowOff>188399</xdr:rowOff>
    </xdr:to>
    <xdr:cxnSp macro="">
      <xdr:nvCxnSpPr>
        <xdr:cNvPr id="63" name="Straight Connector 62"/>
        <xdr:cNvCxnSpPr/>
      </xdr:nvCxnSpPr>
      <xdr:spPr>
        <a:xfrm flipV="1">
          <a:off x="3004437" y="1210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62</xdr:row>
      <xdr:rowOff>0</xdr:rowOff>
    </xdr:from>
    <xdr:to>
      <xdr:col>4</xdr:col>
      <xdr:colOff>601265</xdr:colOff>
      <xdr:row>62</xdr:row>
      <xdr:rowOff>187699</xdr:rowOff>
    </xdr:to>
    <xdr:cxnSp macro="">
      <xdr:nvCxnSpPr>
        <xdr:cNvPr id="64" name="Straight Connector 63"/>
        <xdr:cNvCxnSpPr/>
      </xdr:nvCxnSpPr>
      <xdr:spPr>
        <a:xfrm flipV="1">
          <a:off x="3992165" y="1210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59</xdr:row>
      <xdr:rowOff>179295</xdr:rowOff>
    </xdr:from>
    <xdr:to>
      <xdr:col>5</xdr:col>
      <xdr:colOff>11206</xdr:colOff>
      <xdr:row>59</xdr:row>
      <xdr:rowOff>179295</xdr:rowOff>
    </xdr:to>
    <xdr:cxnSp macro="">
      <xdr:nvCxnSpPr>
        <xdr:cNvPr id="65" name="Straight Connector 64"/>
        <xdr:cNvCxnSpPr/>
      </xdr:nvCxnSpPr>
      <xdr:spPr>
        <a:xfrm>
          <a:off x="2981325" y="1171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56</xdr:row>
      <xdr:rowOff>179295</xdr:rowOff>
    </xdr:from>
    <xdr:to>
      <xdr:col>5</xdr:col>
      <xdr:colOff>11206</xdr:colOff>
      <xdr:row>56</xdr:row>
      <xdr:rowOff>179295</xdr:rowOff>
    </xdr:to>
    <xdr:cxnSp macro="">
      <xdr:nvCxnSpPr>
        <xdr:cNvPr id="66" name="Straight Connector 65"/>
        <xdr:cNvCxnSpPr/>
      </xdr:nvCxnSpPr>
      <xdr:spPr>
        <a:xfrm>
          <a:off x="2981325" y="11142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50</xdr:row>
      <xdr:rowOff>179295</xdr:rowOff>
    </xdr:from>
    <xdr:to>
      <xdr:col>5</xdr:col>
      <xdr:colOff>11206</xdr:colOff>
      <xdr:row>50</xdr:row>
      <xdr:rowOff>179295</xdr:rowOff>
    </xdr:to>
    <xdr:cxnSp macro="">
      <xdr:nvCxnSpPr>
        <xdr:cNvPr id="67" name="Straight Connector 66"/>
        <xdr:cNvCxnSpPr/>
      </xdr:nvCxnSpPr>
      <xdr:spPr>
        <a:xfrm>
          <a:off x="2981325" y="999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68" name="Straight Connector 67"/>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69" name="Straight Connector 68"/>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0" name="Straight Connector 69"/>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50</xdr:row>
      <xdr:rowOff>179295</xdr:rowOff>
    </xdr:from>
    <xdr:to>
      <xdr:col>5</xdr:col>
      <xdr:colOff>11206</xdr:colOff>
      <xdr:row>50</xdr:row>
      <xdr:rowOff>179295</xdr:rowOff>
    </xdr:to>
    <xdr:cxnSp macro="">
      <xdr:nvCxnSpPr>
        <xdr:cNvPr id="71" name="Straight Connector 70"/>
        <xdr:cNvCxnSpPr/>
      </xdr:nvCxnSpPr>
      <xdr:spPr>
        <a:xfrm>
          <a:off x="2981325" y="999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2" name="Straight Connector 71"/>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50</xdr:row>
      <xdr:rowOff>0</xdr:rowOff>
    </xdr:from>
    <xdr:to>
      <xdr:col>4</xdr:col>
      <xdr:colOff>601265</xdr:colOff>
      <xdr:row>50</xdr:row>
      <xdr:rowOff>187699</xdr:rowOff>
    </xdr:to>
    <xdr:cxnSp macro="">
      <xdr:nvCxnSpPr>
        <xdr:cNvPr id="73" name="Straight Connector 72"/>
        <xdr:cNvCxnSpPr/>
      </xdr:nvCxnSpPr>
      <xdr:spPr>
        <a:xfrm flipV="1">
          <a:off x="3992165" y="982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4" name="Straight Connector 73"/>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50</xdr:row>
      <xdr:rowOff>0</xdr:rowOff>
    </xdr:from>
    <xdr:to>
      <xdr:col>4</xdr:col>
      <xdr:colOff>601265</xdr:colOff>
      <xdr:row>50</xdr:row>
      <xdr:rowOff>187699</xdr:rowOff>
    </xdr:to>
    <xdr:cxnSp macro="">
      <xdr:nvCxnSpPr>
        <xdr:cNvPr id="75" name="Straight Connector 74"/>
        <xdr:cNvCxnSpPr/>
      </xdr:nvCxnSpPr>
      <xdr:spPr>
        <a:xfrm flipV="1">
          <a:off x="3992165" y="982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6" name="Straight Connector 75"/>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50</xdr:row>
      <xdr:rowOff>0</xdr:rowOff>
    </xdr:from>
    <xdr:to>
      <xdr:col>4</xdr:col>
      <xdr:colOff>601265</xdr:colOff>
      <xdr:row>50</xdr:row>
      <xdr:rowOff>187699</xdr:rowOff>
    </xdr:to>
    <xdr:cxnSp macro="">
      <xdr:nvCxnSpPr>
        <xdr:cNvPr id="77" name="Straight Connector 76"/>
        <xdr:cNvCxnSpPr/>
      </xdr:nvCxnSpPr>
      <xdr:spPr>
        <a:xfrm flipV="1">
          <a:off x="3992165" y="982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47</xdr:row>
      <xdr:rowOff>179295</xdr:rowOff>
    </xdr:from>
    <xdr:to>
      <xdr:col>5</xdr:col>
      <xdr:colOff>11206</xdr:colOff>
      <xdr:row>47</xdr:row>
      <xdr:rowOff>179295</xdr:rowOff>
    </xdr:to>
    <xdr:cxnSp macro="">
      <xdr:nvCxnSpPr>
        <xdr:cNvPr id="78" name="Straight Connector 77"/>
        <xdr:cNvCxnSpPr/>
      </xdr:nvCxnSpPr>
      <xdr:spPr>
        <a:xfrm>
          <a:off x="2981325" y="942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79" name="Straight Connector 78"/>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0" name="Straight Connector 79"/>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1" name="Straight Connector 80"/>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47</xdr:row>
      <xdr:rowOff>179295</xdr:rowOff>
    </xdr:from>
    <xdr:to>
      <xdr:col>5</xdr:col>
      <xdr:colOff>11206</xdr:colOff>
      <xdr:row>47</xdr:row>
      <xdr:rowOff>179295</xdr:rowOff>
    </xdr:to>
    <xdr:cxnSp macro="">
      <xdr:nvCxnSpPr>
        <xdr:cNvPr id="82" name="Straight Connector 81"/>
        <xdr:cNvCxnSpPr/>
      </xdr:nvCxnSpPr>
      <xdr:spPr>
        <a:xfrm>
          <a:off x="2981325" y="942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3" name="Straight Connector 82"/>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47</xdr:row>
      <xdr:rowOff>0</xdr:rowOff>
    </xdr:from>
    <xdr:to>
      <xdr:col>4</xdr:col>
      <xdr:colOff>601265</xdr:colOff>
      <xdr:row>47</xdr:row>
      <xdr:rowOff>187699</xdr:rowOff>
    </xdr:to>
    <xdr:cxnSp macro="">
      <xdr:nvCxnSpPr>
        <xdr:cNvPr id="84" name="Straight Connector 83"/>
        <xdr:cNvCxnSpPr/>
      </xdr:nvCxnSpPr>
      <xdr:spPr>
        <a:xfrm flipV="1">
          <a:off x="3992165" y="924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5" name="Straight Connector 84"/>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47</xdr:row>
      <xdr:rowOff>0</xdr:rowOff>
    </xdr:from>
    <xdr:to>
      <xdr:col>4</xdr:col>
      <xdr:colOff>601265</xdr:colOff>
      <xdr:row>47</xdr:row>
      <xdr:rowOff>187699</xdr:rowOff>
    </xdr:to>
    <xdr:cxnSp macro="">
      <xdr:nvCxnSpPr>
        <xdr:cNvPr id="86" name="Straight Connector 85"/>
        <xdr:cNvCxnSpPr/>
      </xdr:nvCxnSpPr>
      <xdr:spPr>
        <a:xfrm flipV="1">
          <a:off x="3992165" y="924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7" name="Straight Connector 86"/>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47</xdr:row>
      <xdr:rowOff>0</xdr:rowOff>
    </xdr:from>
    <xdr:to>
      <xdr:col>4</xdr:col>
      <xdr:colOff>601265</xdr:colOff>
      <xdr:row>47</xdr:row>
      <xdr:rowOff>187699</xdr:rowOff>
    </xdr:to>
    <xdr:cxnSp macro="">
      <xdr:nvCxnSpPr>
        <xdr:cNvPr id="88" name="Straight Connector 87"/>
        <xdr:cNvCxnSpPr/>
      </xdr:nvCxnSpPr>
      <xdr:spPr>
        <a:xfrm flipV="1">
          <a:off x="3992165" y="924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53</xdr:row>
      <xdr:rowOff>179295</xdr:rowOff>
    </xdr:from>
    <xdr:to>
      <xdr:col>5</xdr:col>
      <xdr:colOff>11206</xdr:colOff>
      <xdr:row>53</xdr:row>
      <xdr:rowOff>179295</xdr:rowOff>
    </xdr:to>
    <xdr:cxnSp macro="">
      <xdr:nvCxnSpPr>
        <xdr:cNvPr id="89" name="Straight Connector 88"/>
        <xdr:cNvCxnSpPr/>
      </xdr:nvCxnSpPr>
      <xdr:spPr>
        <a:xfrm>
          <a:off x="2981325" y="1057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0" name="Straight Connector 89"/>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1" name="Straight Connector 90"/>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2" name="Straight Connector 91"/>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53</xdr:row>
      <xdr:rowOff>179295</xdr:rowOff>
    </xdr:from>
    <xdr:to>
      <xdr:col>5</xdr:col>
      <xdr:colOff>11206</xdr:colOff>
      <xdr:row>53</xdr:row>
      <xdr:rowOff>179295</xdr:rowOff>
    </xdr:to>
    <xdr:cxnSp macro="">
      <xdr:nvCxnSpPr>
        <xdr:cNvPr id="93" name="Straight Connector 92"/>
        <xdr:cNvCxnSpPr/>
      </xdr:nvCxnSpPr>
      <xdr:spPr>
        <a:xfrm>
          <a:off x="2981325" y="1057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4" name="Straight Connector 93"/>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53</xdr:row>
      <xdr:rowOff>0</xdr:rowOff>
    </xdr:from>
    <xdr:to>
      <xdr:col>4</xdr:col>
      <xdr:colOff>601265</xdr:colOff>
      <xdr:row>53</xdr:row>
      <xdr:rowOff>187699</xdr:rowOff>
    </xdr:to>
    <xdr:cxnSp macro="">
      <xdr:nvCxnSpPr>
        <xdr:cNvPr id="95" name="Straight Connector 94"/>
        <xdr:cNvCxnSpPr/>
      </xdr:nvCxnSpPr>
      <xdr:spPr>
        <a:xfrm flipV="1">
          <a:off x="3992165" y="1039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6" name="Straight Connector 95"/>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53</xdr:row>
      <xdr:rowOff>0</xdr:rowOff>
    </xdr:from>
    <xdr:to>
      <xdr:col>4</xdr:col>
      <xdr:colOff>601265</xdr:colOff>
      <xdr:row>53</xdr:row>
      <xdr:rowOff>187699</xdr:rowOff>
    </xdr:to>
    <xdr:cxnSp macro="">
      <xdr:nvCxnSpPr>
        <xdr:cNvPr id="97" name="Straight Connector 96"/>
        <xdr:cNvCxnSpPr/>
      </xdr:nvCxnSpPr>
      <xdr:spPr>
        <a:xfrm flipV="1">
          <a:off x="3992165" y="1039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8" name="Straight Connector 97"/>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53</xdr:row>
      <xdr:rowOff>0</xdr:rowOff>
    </xdr:from>
    <xdr:to>
      <xdr:col>4</xdr:col>
      <xdr:colOff>601265</xdr:colOff>
      <xdr:row>53</xdr:row>
      <xdr:rowOff>187699</xdr:rowOff>
    </xdr:to>
    <xdr:cxnSp macro="">
      <xdr:nvCxnSpPr>
        <xdr:cNvPr id="99" name="Straight Connector 98"/>
        <xdr:cNvCxnSpPr/>
      </xdr:nvCxnSpPr>
      <xdr:spPr>
        <a:xfrm flipV="1">
          <a:off x="3992165" y="1039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133</xdr:row>
      <xdr:rowOff>179295</xdr:rowOff>
    </xdr:from>
    <xdr:to>
      <xdr:col>5</xdr:col>
      <xdr:colOff>11206</xdr:colOff>
      <xdr:row>133</xdr:row>
      <xdr:rowOff>179295</xdr:rowOff>
    </xdr:to>
    <xdr:cxnSp macro="">
      <xdr:nvCxnSpPr>
        <xdr:cNvPr id="100" name="Straight Connector 99"/>
        <xdr:cNvCxnSpPr/>
      </xdr:nvCxnSpPr>
      <xdr:spPr>
        <a:xfrm>
          <a:off x="2981325" y="2581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133</xdr:row>
      <xdr:rowOff>0</xdr:rowOff>
    </xdr:from>
    <xdr:to>
      <xdr:col>3</xdr:col>
      <xdr:colOff>23112</xdr:colOff>
      <xdr:row>133</xdr:row>
      <xdr:rowOff>188399</xdr:rowOff>
    </xdr:to>
    <xdr:cxnSp macro="">
      <xdr:nvCxnSpPr>
        <xdr:cNvPr id="101" name="Straight Connector 100"/>
        <xdr:cNvCxnSpPr/>
      </xdr:nvCxnSpPr>
      <xdr:spPr>
        <a:xfrm flipV="1">
          <a:off x="3004437" y="2563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133</xdr:row>
      <xdr:rowOff>0</xdr:rowOff>
    </xdr:from>
    <xdr:to>
      <xdr:col>4</xdr:col>
      <xdr:colOff>601265</xdr:colOff>
      <xdr:row>133</xdr:row>
      <xdr:rowOff>187699</xdr:rowOff>
    </xdr:to>
    <xdr:cxnSp macro="">
      <xdr:nvCxnSpPr>
        <xdr:cNvPr id="102" name="Straight Connector 101"/>
        <xdr:cNvCxnSpPr/>
      </xdr:nvCxnSpPr>
      <xdr:spPr>
        <a:xfrm flipV="1">
          <a:off x="3992165" y="2563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133</xdr:row>
      <xdr:rowOff>0</xdr:rowOff>
    </xdr:from>
    <xdr:to>
      <xdr:col>4</xdr:col>
      <xdr:colOff>601265</xdr:colOff>
      <xdr:row>133</xdr:row>
      <xdr:rowOff>187699</xdr:rowOff>
    </xdr:to>
    <xdr:cxnSp macro="">
      <xdr:nvCxnSpPr>
        <xdr:cNvPr id="103" name="Straight Connector 102"/>
        <xdr:cNvCxnSpPr/>
      </xdr:nvCxnSpPr>
      <xdr:spPr>
        <a:xfrm flipV="1">
          <a:off x="3992165" y="2563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133</xdr:row>
      <xdr:rowOff>0</xdr:rowOff>
    </xdr:from>
    <xdr:to>
      <xdr:col>4</xdr:col>
      <xdr:colOff>601265</xdr:colOff>
      <xdr:row>133</xdr:row>
      <xdr:rowOff>187699</xdr:rowOff>
    </xdr:to>
    <xdr:cxnSp macro="">
      <xdr:nvCxnSpPr>
        <xdr:cNvPr id="104" name="Straight Connector 103"/>
        <xdr:cNvCxnSpPr/>
      </xdr:nvCxnSpPr>
      <xdr:spPr>
        <a:xfrm flipV="1">
          <a:off x="3992165" y="2563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135</xdr:row>
      <xdr:rowOff>179295</xdr:rowOff>
    </xdr:from>
    <xdr:to>
      <xdr:col>5</xdr:col>
      <xdr:colOff>11206</xdr:colOff>
      <xdr:row>135</xdr:row>
      <xdr:rowOff>179295</xdr:rowOff>
    </xdr:to>
    <xdr:cxnSp macro="">
      <xdr:nvCxnSpPr>
        <xdr:cNvPr id="105" name="Straight Connector 104"/>
        <xdr:cNvCxnSpPr/>
      </xdr:nvCxnSpPr>
      <xdr:spPr>
        <a:xfrm>
          <a:off x="2980765" y="2645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135</xdr:row>
      <xdr:rowOff>0</xdr:rowOff>
    </xdr:from>
    <xdr:to>
      <xdr:col>3</xdr:col>
      <xdr:colOff>23112</xdr:colOff>
      <xdr:row>135</xdr:row>
      <xdr:rowOff>188399</xdr:rowOff>
    </xdr:to>
    <xdr:cxnSp macro="">
      <xdr:nvCxnSpPr>
        <xdr:cNvPr id="106" name="Straight Connector 105"/>
        <xdr:cNvCxnSpPr/>
      </xdr:nvCxnSpPr>
      <xdr:spPr>
        <a:xfrm flipV="1">
          <a:off x="3004437" y="2601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135</xdr:row>
      <xdr:rowOff>0</xdr:rowOff>
    </xdr:from>
    <xdr:to>
      <xdr:col>4</xdr:col>
      <xdr:colOff>601265</xdr:colOff>
      <xdr:row>135</xdr:row>
      <xdr:rowOff>187699</xdr:rowOff>
    </xdr:to>
    <xdr:cxnSp macro="">
      <xdr:nvCxnSpPr>
        <xdr:cNvPr id="107" name="Straight Connector 106"/>
        <xdr:cNvCxnSpPr/>
      </xdr:nvCxnSpPr>
      <xdr:spPr>
        <a:xfrm flipV="1">
          <a:off x="3992165" y="2601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135</xdr:row>
      <xdr:rowOff>0</xdr:rowOff>
    </xdr:from>
    <xdr:to>
      <xdr:col>4</xdr:col>
      <xdr:colOff>601265</xdr:colOff>
      <xdr:row>135</xdr:row>
      <xdr:rowOff>187699</xdr:rowOff>
    </xdr:to>
    <xdr:cxnSp macro="">
      <xdr:nvCxnSpPr>
        <xdr:cNvPr id="108" name="Straight Connector 107"/>
        <xdr:cNvCxnSpPr/>
      </xdr:nvCxnSpPr>
      <xdr:spPr>
        <a:xfrm flipV="1">
          <a:off x="3992165" y="2601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135</xdr:row>
      <xdr:rowOff>0</xdr:rowOff>
    </xdr:from>
    <xdr:to>
      <xdr:col>4</xdr:col>
      <xdr:colOff>601265</xdr:colOff>
      <xdr:row>135</xdr:row>
      <xdr:rowOff>187699</xdr:rowOff>
    </xdr:to>
    <xdr:cxnSp macro="">
      <xdr:nvCxnSpPr>
        <xdr:cNvPr id="109" name="Straight Connector 108"/>
        <xdr:cNvCxnSpPr/>
      </xdr:nvCxnSpPr>
      <xdr:spPr>
        <a:xfrm flipV="1">
          <a:off x="3992165" y="2601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137</xdr:row>
      <xdr:rowOff>179295</xdr:rowOff>
    </xdr:from>
    <xdr:to>
      <xdr:col>5</xdr:col>
      <xdr:colOff>11206</xdr:colOff>
      <xdr:row>137</xdr:row>
      <xdr:rowOff>179295</xdr:rowOff>
    </xdr:to>
    <xdr:cxnSp macro="">
      <xdr:nvCxnSpPr>
        <xdr:cNvPr id="110" name="Straight Connector 109"/>
        <xdr:cNvCxnSpPr/>
      </xdr:nvCxnSpPr>
      <xdr:spPr>
        <a:xfrm>
          <a:off x="2981325" y="2657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137</xdr:row>
      <xdr:rowOff>0</xdr:rowOff>
    </xdr:from>
    <xdr:to>
      <xdr:col>3</xdr:col>
      <xdr:colOff>23112</xdr:colOff>
      <xdr:row>137</xdr:row>
      <xdr:rowOff>188399</xdr:rowOff>
    </xdr:to>
    <xdr:cxnSp macro="">
      <xdr:nvCxnSpPr>
        <xdr:cNvPr id="111" name="Straight Connector 110"/>
        <xdr:cNvCxnSpPr/>
      </xdr:nvCxnSpPr>
      <xdr:spPr>
        <a:xfrm flipV="1">
          <a:off x="3004437" y="2639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137</xdr:row>
      <xdr:rowOff>0</xdr:rowOff>
    </xdr:from>
    <xdr:to>
      <xdr:col>4</xdr:col>
      <xdr:colOff>601265</xdr:colOff>
      <xdr:row>137</xdr:row>
      <xdr:rowOff>187699</xdr:rowOff>
    </xdr:to>
    <xdr:cxnSp macro="">
      <xdr:nvCxnSpPr>
        <xdr:cNvPr id="112" name="Straight Connector 111"/>
        <xdr:cNvCxnSpPr/>
      </xdr:nvCxnSpPr>
      <xdr:spPr>
        <a:xfrm flipV="1">
          <a:off x="3992165" y="2639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137</xdr:row>
      <xdr:rowOff>0</xdr:rowOff>
    </xdr:from>
    <xdr:to>
      <xdr:col>4</xdr:col>
      <xdr:colOff>601265</xdr:colOff>
      <xdr:row>137</xdr:row>
      <xdr:rowOff>187699</xdr:rowOff>
    </xdr:to>
    <xdr:cxnSp macro="">
      <xdr:nvCxnSpPr>
        <xdr:cNvPr id="113" name="Straight Connector 112"/>
        <xdr:cNvCxnSpPr/>
      </xdr:nvCxnSpPr>
      <xdr:spPr>
        <a:xfrm flipV="1">
          <a:off x="3992165" y="2639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137</xdr:row>
      <xdr:rowOff>0</xdr:rowOff>
    </xdr:from>
    <xdr:to>
      <xdr:col>4</xdr:col>
      <xdr:colOff>601265</xdr:colOff>
      <xdr:row>137</xdr:row>
      <xdr:rowOff>187699</xdr:rowOff>
    </xdr:to>
    <xdr:cxnSp macro="">
      <xdr:nvCxnSpPr>
        <xdr:cNvPr id="114" name="Straight Connector 113"/>
        <xdr:cNvCxnSpPr/>
      </xdr:nvCxnSpPr>
      <xdr:spPr>
        <a:xfrm flipV="1">
          <a:off x="3992165" y="2639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139</xdr:row>
      <xdr:rowOff>179295</xdr:rowOff>
    </xdr:from>
    <xdr:to>
      <xdr:col>5</xdr:col>
      <xdr:colOff>11206</xdr:colOff>
      <xdr:row>139</xdr:row>
      <xdr:rowOff>179295</xdr:rowOff>
    </xdr:to>
    <xdr:cxnSp macro="">
      <xdr:nvCxnSpPr>
        <xdr:cNvPr id="115" name="Straight Connector 114"/>
        <xdr:cNvCxnSpPr/>
      </xdr:nvCxnSpPr>
      <xdr:spPr>
        <a:xfrm>
          <a:off x="2981325" y="2695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139</xdr:row>
      <xdr:rowOff>0</xdr:rowOff>
    </xdr:from>
    <xdr:to>
      <xdr:col>3</xdr:col>
      <xdr:colOff>23112</xdr:colOff>
      <xdr:row>139</xdr:row>
      <xdr:rowOff>188399</xdr:rowOff>
    </xdr:to>
    <xdr:cxnSp macro="">
      <xdr:nvCxnSpPr>
        <xdr:cNvPr id="116" name="Straight Connector 115"/>
        <xdr:cNvCxnSpPr/>
      </xdr:nvCxnSpPr>
      <xdr:spPr>
        <a:xfrm flipV="1">
          <a:off x="3004437" y="2677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139</xdr:row>
      <xdr:rowOff>0</xdr:rowOff>
    </xdr:from>
    <xdr:to>
      <xdr:col>4</xdr:col>
      <xdr:colOff>601265</xdr:colOff>
      <xdr:row>139</xdr:row>
      <xdr:rowOff>187699</xdr:rowOff>
    </xdr:to>
    <xdr:cxnSp macro="">
      <xdr:nvCxnSpPr>
        <xdr:cNvPr id="117" name="Straight Connector 116"/>
        <xdr:cNvCxnSpPr/>
      </xdr:nvCxnSpPr>
      <xdr:spPr>
        <a:xfrm flipV="1">
          <a:off x="3992165" y="2677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139</xdr:row>
      <xdr:rowOff>0</xdr:rowOff>
    </xdr:from>
    <xdr:to>
      <xdr:col>4</xdr:col>
      <xdr:colOff>601265</xdr:colOff>
      <xdr:row>139</xdr:row>
      <xdr:rowOff>187699</xdr:rowOff>
    </xdr:to>
    <xdr:cxnSp macro="">
      <xdr:nvCxnSpPr>
        <xdr:cNvPr id="118" name="Straight Connector 117"/>
        <xdr:cNvCxnSpPr/>
      </xdr:nvCxnSpPr>
      <xdr:spPr>
        <a:xfrm flipV="1">
          <a:off x="3992165" y="2677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139</xdr:row>
      <xdr:rowOff>0</xdr:rowOff>
    </xdr:from>
    <xdr:to>
      <xdr:col>4</xdr:col>
      <xdr:colOff>601265</xdr:colOff>
      <xdr:row>139</xdr:row>
      <xdr:rowOff>187699</xdr:rowOff>
    </xdr:to>
    <xdr:cxnSp macro="">
      <xdr:nvCxnSpPr>
        <xdr:cNvPr id="119" name="Straight Connector 118"/>
        <xdr:cNvCxnSpPr/>
      </xdr:nvCxnSpPr>
      <xdr:spPr>
        <a:xfrm flipV="1">
          <a:off x="3992165" y="2677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143</xdr:row>
      <xdr:rowOff>179295</xdr:rowOff>
    </xdr:from>
    <xdr:to>
      <xdr:col>5</xdr:col>
      <xdr:colOff>11206</xdr:colOff>
      <xdr:row>143</xdr:row>
      <xdr:rowOff>179295</xdr:rowOff>
    </xdr:to>
    <xdr:cxnSp macro="">
      <xdr:nvCxnSpPr>
        <xdr:cNvPr id="120" name="Straight Connector 119"/>
        <xdr:cNvCxnSpPr/>
      </xdr:nvCxnSpPr>
      <xdr:spPr>
        <a:xfrm>
          <a:off x="2981325" y="27716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143</xdr:row>
      <xdr:rowOff>0</xdr:rowOff>
    </xdr:from>
    <xdr:to>
      <xdr:col>3</xdr:col>
      <xdr:colOff>23112</xdr:colOff>
      <xdr:row>143</xdr:row>
      <xdr:rowOff>188399</xdr:rowOff>
    </xdr:to>
    <xdr:cxnSp macro="">
      <xdr:nvCxnSpPr>
        <xdr:cNvPr id="121" name="Straight Connector 120"/>
        <xdr:cNvCxnSpPr/>
      </xdr:nvCxnSpPr>
      <xdr:spPr>
        <a:xfrm flipV="1">
          <a:off x="3004437" y="2753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143</xdr:row>
      <xdr:rowOff>0</xdr:rowOff>
    </xdr:from>
    <xdr:to>
      <xdr:col>4</xdr:col>
      <xdr:colOff>601265</xdr:colOff>
      <xdr:row>143</xdr:row>
      <xdr:rowOff>187699</xdr:rowOff>
    </xdr:to>
    <xdr:cxnSp macro="">
      <xdr:nvCxnSpPr>
        <xdr:cNvPr id="122" name="Straight Connector 121"/>
        <xdr:cNvCxnSpPr/>
      </xdr:nvCxnSpPr>
      <xdr:spPr>
        <a:xfrm flipV="1">
          <a:off x="3992165" y="2753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143</xdr:row>
      <xdr:rowOff>0</xdr:rowOff>
    </xdr:from>
    <xdr:to>
      <xdr:col>4</xdr:col>
      <xdr:colOff>601265</xdr:colOff>
      <xdr:row>143</xdr:row>
      <xdr:rowOff>187699</xdr:rowOff>
    </xdr:to>
    <xdr:cxnSp macro="">
      <xdr:nvCxnSpPr>
        <xdr:cNvPr id="123" name="Straight Connector 122"/>
        <xdr:cNvCxnSpPr/>
      </xdr:nvCxnSpPr>
      <xdr:spPr>
        <a:xfrm flipV="1">
          <a:off x="3992165" y="2753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143</xdr:row>
      <xdr:rowOff>0</xdr:rowOff>
    </xdr:from>
    <xdr:to>
      <xdr:col>4</xdr:col>
      <xdr:colOff>601265</xdr:colOff>
      <xdr:row>143</xdr:row>
      <xdr:rowOff>187699</xdr:rowOff>
    </xdr:to>
    <xdr:cxnSp macro="">
      <xdr:nvCxnSpPr>
        <xdr:cNvPr id="124" name="Straight Connector 123"/>
        <xdr:cNvCxnSpPr/>
      </xdr:nvCxnSpPr>
      <xdr:spPr>
        <a:xfrm flipV="1">
          <a:off x="3992165" y="2753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141</xdr:row>
      <xdr:rowOff>179295</xdr:rowOff>
    </xdr:from>
    <xdr:to>
      <xdr:col>5</xdr:col>
      <xdr:colOff>11206</xdr:colOff>
      <xdr:row>141</xdr:row>
      <xdr:rowOff>179295</xdr:rowOff>
    </xdr:to>
    <xdr:cxnSp macro="">
      <xdr:nvCxnSpPr>
        <xdr:cNvPr id="125" name="Straight Connector 124"/>
        <xdr:cNvCxnSpPr/>
      </xdr:nvCxnSpPr>
      <xdr:spPr>
        <a:xfrm>
          <a:off x="2981325" y="27335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141</xdr:row>
      <xdr:rowOff>0</xdr:rowOff>
    </xdr:from>
    <xdr:to>
      <xdr:col>3</xdr:col>
      <xdr:colOff>23112</xdr:colOff>
      <xdr:row>141</xdr:row>
      <xdr:rowOff>188399</xdr:rowOff>
    </xdr:to>
    <xdr:cxnSp macro="">
      <xdr:nvCxnSpPr>
        <xdr:cNvPr id="126" name="Straight Connector 125"/>
        <xdr:cNvCxnSpPr/>
      </xdr:nvCxnSpPr>
      <xdr:spPr>
        <a:xfrm flipV="1">
          <a:off x="3004437" y="2715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141</xdr:row>
      <xdr:rowOff>0</xdr:rowOff>
    </xdr:from>
    <xdr:to>
      <xdr:col>4</xdr:col>
      <xdr:colOff>601265</xdr:colOff>
      <xdr:row>141</xdr:row>
      <xdr:rowOff>187699</xdr:rowOff>
    </xdr:to>
    <xdr:cxnSp macro="">
      <xdr:nvCxnSpPr>
        <xdr:cNvPr id="127" name="Straight Connector 126"/>
        <xdr:cNvCxnSpPr/>
      </xdr:nvCxnSpPr>
      <xdr:spPr>
        <a:xfrm flipV="1">
          <a:off x="3992165" y="2715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141</xdr:row>
      <xdr:rowOff>0</xdr:rowOff>
    </xdr:from>
    <xdr:to>
      <xdr:col>4</xdr:col>
      <xdr:colOff>601265</xdr:colOff>
      <xdr:row>141</xdr:row>
      <xdr:rowOff>187699</xdr:rowOff>
    </xdr:to>
    <xdr:cxnSp macro="">
      <xdr:nvCxnSpPr>
        <xdr:cNvPr id="128" name="Straight Connector 127"/>
        <xdr:cNvCxnSpPr/>
      </xdr:nvCxnSpPr>
      <xdr:spPr>
        <a:xfrm flipV="1">
          <a:off x="3992165" y="2715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141</xdr:row>
      <xdr:rowOff>0</xdr:rowOff>
    </xdr:from>
    <xdr:to>
      <xdr:col>4</xdr:col>
      <xdr:colOff>601265</xdr:colOff>
      <xdr:row>141</xdr:row>
      <xdr:rowOff>187699</xdr:rowOff>
    </xdr:to>
    <xdr:cxnSp macro="">
      <xdr:nvCxnSpPr>
        <xdr:cNvPr id="129" name="Straight Connector 128"/>
        <xdr:cNvCxnSpPr/>
      </xdr:nvCxnSpPr>
      <xdr:spPr>
        <a:xfrm flipV="1">
          <a:off x="3992165" y="2715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145</xdr:row>
      <xdr:rowOff>179295</xdr:rowOff>
    </xdr:from>
    <xdr:to>
      <xdr:col>5</xdr:col>
      <xdr:colOff>11206</xdr:colOff>
      <xdr:row>145</xdr:row>
      <xdr:rowOff>179295</xdr:rowOff>
    </xdr:to>
    <xdr:cxnSp macro="">
      <xdr:nvCxnSpPr>
        <xdr:cNvPr id="130" name="Straight Connector 129"/>
        <xdr:cNvCxnSpPr/>
      </xdr:nvCxnSpPr>
      <xdr:spPr>
        <a:xfrm>
          <a:off x="2981325" y="28097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145</xdr:row>
      <xdr:rowOff>0</xdr:rowOff>
    </xdr:from>
    <xdr:to>
      <xdr:col>3</xdr:col>
      <xdr:colOff>23112</xdr:colOff>
      <xdr:row>145</xdr:row>
      <xdr:rowOff>188399</xdr:rowOff>
    </xdr:to>
    <xdr:cxnSp macro="">
      <xdr:nvCxnSpPr>
        <xdr:cNvPr id="131" name="Straight Connector 130"/>
        <xdr:cNvCxnSpPr/>
      </xdr:nvCxnSpPr>
      <xdr:spPr>
        <a:xfrm flipV="1">
          <a:off x="3004437" y="2791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145</xdr:row>
      <xdr:rowOff>0</xdr:rowOff>
    </xdr:from>
    <xdr:to>
      <xdr:col>4</xdr:col>
      <xdr:colOff>601265</xdr:colOff>
      <xdr:row>145</xdr:row>
      <xdr:rowOff>187699</xdr:rowOff>
    </xdr:to>
    <xdr:cxnSp macro="">
      <xdr:nvCxnSpPr>
        <xdr:cNvPr id="132" name="Straight Connector 131"/>
        <xdr:cNvCxnSpPr/>
      </xdr:nvCxnSpPr>
      <xdr:spPr>
        <a:xfrm flipV="1">
          <a:off x="3992165" y="2791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145</xdr:row>
      <xdr:rowOff>0</xdr:rowOff>
    </xdr:from>
    <xdr:to>
      <xdr:col>4</xdr:col>
      <xdr:colOff>601265</xdr:colOff>
      <xdr:row>145</xdr:row>
      <xdr:rowOff>187699</xdr:rowOff>
    </xdr:to>
    <xdr:cxnSp macro="">
      <xdr:nvCxnSpPr>
        <xdr:cNvPr id="133" name="Straight Connector 132"/>
        <xdr:cNvCxnSpPr/>
      </xdr:nvCxnSpPr>
      <xdr:spPr>
        <a:xfrm flipV="1">
          <a:off x="3992165" y="2791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145</xdr:row>
      <xdr:rowOff>0</xdr:rowOff>
    </xdr:from>
    <xdr:to>
      <xdr:col>4</xdr:col>
      <xdr:colOff>601265</xdr:colOff>
      <xdr:row>145</xdr:row>
      <xdr:rowOff>187699</xdr:rowOff>
    </xdr:to>
    <xdr:cxnSp macro="">
      <xdr:nvCxnSpPr>
        <xdr:cNvPr id="134" name="Straight Connector 133"/>
        <xdr:cNvCxnSpPr/>
      </xdr:nvCxnSpPr>
      <xdr:spPr>
        <a:xfrm flipV="1">
          <a:off x="3992165" y="2791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147</xdr:row>
      <xdr:rowOff>179295</xdr:rowOff>
    </xdr:from>
    <xdr:to>
      <xdr:col>5</xdr:col>
      <xdr:colOff>11206</xdr:colOff>
      <xdr:row>147</xdr:row>
      <xdr:rowOff>179295</xdr:rowOff>
    </xdr:to>
    <xdr:cxnSp macro="">
      <xdr:nvCxnSpPr>
        <xdr:cNvPr id="135" name="Straight Connector 134"/>
        <xdr:cNvCxnSpPr/>
      </xdr:nvCxnSpPr>
      <xdr:spPr>
        <a:xfrm>
          <a:off x="2981325" y="2847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147</xdr:row>
      <xdr:rowOff>0</xdr:rowOff>
    </xdr:from>
    <xdr:to>
      <xdr:col>3</xdr:col>
      <xdr:colOff>23112</xdr:colOff>
      <xdr:row>147</xdr:row>
      <xdr:rowOff>188399</xdr:rowOff>
    </xdr:to>
    <xdr:cxnSp macro="">
      <xdr:nvCxnSpPr>
        <xdr:cNvPr id="136" name="Straight Connector 135"/>
        <xdr:cNvCxnSpPr/>
      </xdr:nvCxnSpPr>
      <xdr:spPr>
        <a:xfrm flipV="1">
          <a:off x="3004437" y="2829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147</xdr:row>
      <xdr:rowOff>0</xdr:rowOff>
    </xdr:from>
    <xdr:to>
      <xdr:col>4</xdr:col>
      <xdr:colOff>601265</xdr:colOff>
      <xdr:row>147</xdr:row>
      <xdr:rowOff>187699</xdr:rowOff>
    </xdr:to>
    <xdr:cxnSp macro="">
      <xdr:nvCxnSpPr>
        <xdr:cNvPr id="137" name="Straight Connector 136"/>
        <xdr:cNvCxnSpPr/>
      </xdr:nvCxnSpPr>
      <xdr:spPr>
        <a:xfrm flipV="1">
          <a:off x="3992165" y="2829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147</xdr:row>
      <xdr:rowOff>0</xdr:rowOff>
    </xdr:from>
    <xdr:to>
      <xdr:col>4</xdr:col>
      <xdr:colOff>601265</xdr:colOff>
      <xdr:row>147</xdr:row>
      <xdr:rowOff>187699</xdr:rowOff>
    </xdr:to>
    <xdr:cxnSp macro="">
      <xdr:nvCxnSpPr>
        <xdr:cNvPr id="138" name="Straight Connector 137"/>
        <xdr:cNvCxnSpPr/>
      </xdr:nvCxnSpPr>
      <xdr:spPr>
        <a:xfrm flipV="1">
          <a:off x="3992165" y="2829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147</xdr:row>
      <xdr:rowOff>0</xdr:rowOff>
    </xdr:from>
    <xdr:to>
      <xdr:col>4</xdr:col>
      <xdr:colOff>601265</xdr:colOff>
      <xdr:row>147</xdr:row>
      <xdr:rowOff>187699</xdr:rowOff>
    </xdr:to>
    <xdr:cxnSp macro="">
      <xdr:nvCxnSpPr>
        <xdr:cNvPr id="139" name="Straight Connector 138"/>
        <xdr:cNvCxnSpPr/>
      </xdr:nvCxnSpPr>
      <xdr:spPr>
        <a:xfrm flipV="1">
          <a:off x="3992165" y="2829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149</xdr:row>
      <xdr:rowOff>179295</xdr:rowOff>
    </xdr:from>
    <xdr:to>
      <xdr:col>5</xdr:col>
      <xdr:colOff>11206</xdr:colOff>
      <xdr:row>149</xdr:row>
      <xdr:rowOff>179295</xdr:rowOff>
    </xdr:to>
    <xdr:cxnSp macro="">
      <xdr:nvCxnSpPr>
        <xdr:cNvPr id="140" name="Straight Connector 139"/>
        <xdr:cNvCxnSpPr/>
      </xdr:nvCxnSpPr>
      <xdr:spPr>
        <a:xfrm>
          <a:off x="2981325" y="28859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149</xdr:row>
      <xdr:rowOff>0</xdr:rowOff>
    </xdr:from>
    <xdr:to>
      <xdr:col>3</xdr:col>
      <xdr:colOff>23112</xdr:colOff>
      <xdr:row>149</xdr:row>
      <xdr:rowOff>188399</xdr:rowOff>
    </xdr:to>
    <xdr:cxnSp macro="">
      <xdr:nvCxnSpPr>
        <xdr:cNvPr id="141" name="Straight Connector 140"/>
        <xdr:cNvCxnSpPr/>
      </xdr:nvCxnSpPr>
      <xdr:spPr>
        <a:xfrm flipV="1">
          <a:off x="3004437" y="2867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149</xdr:row>
      <xdr:rowOff>0</xdr:rowOff>
    </xdr:from>
    <xdr:to>
      <xdr:col>4</xdr:col>
      <xdr:colOff>601265</xdr:colOff>
      <xdr:row>149</xdr:row>
      <xdr:rowOff>187699</xdr:rowOff>
    </xdr:to>
    <xdr:cxnSp macro="">
      <xdr:nvCxnSpPr>
        <xdr:cNvPr id="142" name="Straight Connector 141"/>
        <xdr:cNvCxnSpPr/>
      </xdr:nvCxnSpPr>
      <xdr:spPr>
        <a:xfrm flipV="1">
          <a:off x="3992165" y="2867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149</xdr:row>
      <xdr:rowOff>0</xdr:rowOff>
    </xdr:from>
    <xdr:to>
      <xdr:col>4</xdr:col>
      <xdr:colOff>601265</xdr:colOff>
      <xdr:row>149</xdr:row>
      <xdr:rowOff>187699</xdr:rowOff>
    </xdr:to>
    <xdr:cxnSp macro="">
      <xdr:nvCxnSpPr>
        <xdr:cNvPr id="143" name="Straight Connector 142"/>
        <xdr:cNvCxnSpPr/>
      </xdr:nvCxnSpPr>
      <xdr:spPr>
        <a:xfrm flipV="1">
          <a:off x="3992165" y="2867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149</xdr:row>
      <xdr:rowOff>0</xdr:rowOff>
    </xdr:from>
    <xdr:to>
      <xdr:col>4</xdr:col>
      <xdr:colOff>601265</xdr:colOff>
      <xdr:row>149</xdr:row>
      <xdr:rowOff>187699</xdr:rowOff>
    </xdr:to>
    <xdr:cxnSp macro="">
      <xdr:nvCxnSpPr>
        <xdr:cNvPr id="144" name="Straight Connector 143"/>
        <xdr:cNvCxnSpPr/>
      </xdr:nvCxnSpPr>
      <xdr:spPr>
        <a:xfrm flipV="1">
          <a:off x="3992165" y="2867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151</xdr:row>
      <xdr:rowOff>179295</xdr:rowOff>
    </xdr:from>
    <xdr:to>
      <xdr:col>5</xdr:col>
      <xdr:colOff>11206</xdr:colOff>
      <xdr:row>151</xdr:row>
      <xdr:rowOff>179295</xdr:rowOff>
    </xdr:to>
    <xdr:cxnSp macro="">
      <xdr:nvCxnSpPr>
        <xdr:cNvPr id="145" name="Straight Connector 144"/>
        <xdr:cNvCxnSpPr/>
      </xdr:nvCxnSpPr>
      <xdr:spPr>
        <a:xfrm>
          <a:off x="2981325" y="2924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256761</xdr:colOff>
      <xdr:row>160</xdr:row>
      <xdr:rowOff>132522</xdr:rowOff>
    </xdr:from>
    <xdr:to>
      <xdr:col>5</xdr:col>
      <xdr:colOff>33131</xdr:colOff>
      <xdr:row>161</xdr:row>
      <xdr:rowOff>82826</xdr:rowOff>
    </xdr:to>
    <xdr:cxnSp macro="">
      <xdr:nvCxnSpPr>
        <xdr:cNvPr id="146" name="Straight Connector 145"/>
        <xdr:cNvCxnSpPr/>
      </xdr:nvCxnSpPr>
      <xdr:spPr>
        <a:xfrm>
          <a:off x="3238086" y="30907797"/>
          <a:ext cx="786020" cy="14080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273332</xdr:colOff>
      <xdr:row>160</xdr:row>
      <xdr:rowOff>157370</xdr:rowOff>
    </xdr:from>
    <xdr:to>
      <xdr:col>3</xdr:col>
      <xdr:colOff>281610</xdr:colOff>
      <xdr:row>163</xdr:row>
      <xdr:rowOff>41415</xdr:rowOff>
    </xdr:to>
    <xdr:cxnSp macro="">
      <xdr:nvCxnSpPr>
        <xdr:cNvPr id="147" name="Straight Connector 146"/>
        <xdr:cNvCxnSpPr/>
      </xdr:nvCxnSpPr>
      <xdr:spPr>
        <a:xfrm rot="5400000" flipH="1" flipV="1">
          <a:off x="3031023" y="31156279"/>
          <a:ext cx="455545" cy="8278"/>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8283</xdr:colOff>
      <xdr:row>161</xdr:row>
      <xdr:rowOff>107674</xdr:rowOff>
    </xdr:from>
    <xdr:to>
      <xdr:col>5</xdr:col>
      <xdr:colOff>16569</xdr:colOff>
      <xdr:row>164</xdr:row>
      <xdr:rowOff>3</xdr:rowOff>
    </xdr:to>
    <xdr:cxnSp macro="">
      <xdr:nvCxnSpPr>
        <xdr:cNvPr id="148" name="Straight Connector 147"/>
        <xdr:cNvCxnSpPr/>
      </xdr:nvCxnSpPr>
      <xdr:spPr>
        <a:xfrm rot="5400000" flipH="1" flipV="1">
          <a:off x="3771486" y="31301221"/>
          <a:ext cx="463829" cy="828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8286</xdr:colOff>
      <xdr:row>162</xdr:row>
      <xdr:rowOff>149678</xdr:rowOff>
    </xdr:from>
    <xdr:to>
      <xdr:col>5</xdr:col>
      <xdr:colOff>421821</xdr:colOff>
      <xdr:row>163</xdr:row>
      <xdr:rowOff>173935</xdr:rowOff>
    </xdr:to>
    <xdr:cxnSp macro="">
      <xdr:nvCxnSpPr>
        <xdr:cNvPr id="149" name="Straight Connector 148"/>
        <xdr:cNvCxnSpPr/>
      </xdr:nvCxnSpPr>
      <xdr:spPr>
        <a:xfrm flipV="1">
          <a:off x="3999261" y="31305953"/>
          <a:ext cx="413535" cy="21475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408214</xdr:colOff>
      <xdr:row>163</xdr:row>
      <xdr:rowOff>16572</xdr:rowOff>
    </xdr:from>
    <xdr:to>
      <xdr:col>3</xdr:col>
      <xdr:colOff>281607</xdr:colOff>
      <xdr:row>163</xdr:row>
      <xdr:rowOff>149678</xdr:rowOff>
    </xdr:to>
    <xdr:cxnSp macro="">
      <xdr:nvCxnSpPr>
        <xdr:cNvPr id="150" name="Straight Connector 149"/>
        <xdr:cNvCxnSpPr/>
      </xdr:nvCxnSpPr>
      <xdr:spPr>
        <a:xfrm flipV="1">
          <a:off x="2884714" y="31363347"/>
          <a:ext cx="378218" cy="13310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168</xdr:row>
      <xdr:rowOff>74934</xdr:rowOff>
    </xdr:from>
    <xdr:to>
      <xdr:col>5</xdr:col>
      <xdr:colOff>14130</xdr:colOff>
      <xdr:row>168</xdr:row>
      <xdr:rowOff>74934</xdr:rowOff>
    </xdr:to>
    <xdr:cxnSp macro="">
      <xdr:nvCxnSpPr>
        <xdr:cNvPr id="151" name="Straight Connector 150"/>
        <xdr:cNvCxnSpPr/>
      </xdr:nvCxnSpPr>
      <xdr:spPr>
        <a:xfrm>
          <a:off x="2985223" y="32374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174</xdr:row>
      <xdr:rowOff>74935</xdr:rowOff>
    </xdr:from>
    <xdr:to>
      <xdr:col>5</xdr:col>
      <xdr:colOff>2924</xdr:colOff>
      <xdr:row>174</xdr:row>
      <xdr:rowOff>74935</xdr:rowOff>
    </xdr:to>
    <xdr:cxnSp macro="">
      <xdr:nvCxnSpPr>
        <xdr:cNvPr id="152" name="Straight Connector 151"/>
        <xdr:cNvCxnSpPr/>
      </xdr:nvCxnSpPr>
      <xdr:spPr>
        <a:xfrm>
          <a:off x="2973457" y="3351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171</xdr:row>
      <xdr:rowOff>86140</xdr:rowOff>
    </xdr:from>
    <xdr:to>
      <xdr:col>5</xdr:col>
      <xdr:colOff>14130</xdr:colOff>
      <xdr:row>171</xdr:row>
      <xdr:rowOff>86140</xdr:rowOff>
    </xdr:to>
    <xdr:cxnSp macro="">
      <xdr:nvCxnSpPr>
        <xdr:cNvPr id="153" name="Straight Connector 152"/>
        <xdr:cNvCxnSpPr/>
      </xdr:nvCxnSpPr>
      <xdr:spPr>
        <a:xfrm>
          <a:off x="2985223" y="32956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177</xdr:row>
      <xdr:rowOff>74935</xdr:rowOff>
    </xdr:from>
    <xdr:to>
      <xdr:col>5</xdr:col>
      <xdr:colOff>2924</xdr:colOff>
      <xdr:row>177</xdr:row>
      <xdr:rowOff>74935</xdr:rowOff>
    </xdr:to>
    <xdr:cxnSp macro="">
      <xdr:nvCxnSpPr>
        <xdr:cNvPr id="154" name="Straight Connector 153"/>
        <xdr:cNvCxnSpPr/>
      </xdr:nvCxnSpPr>
      <xdr:spPr>
        <a:xfrm>
          <a:off x="2973457" y="3408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180</xdr:row>
      <xdr:rowOff>74935</xdr:rowOff>
    </xdr:from>
    <xdr:to>
      <xdr:col>5</xdr:col>
      <xdr:colOff>2924</xdr:colOff>
      <xdr:row>180</xdr:row>
      <xdr:rowOff>74935</xdr:rowOff>
    </xdr:to>
    <xdr:cxnSp macro="">
      <xdr:nvCxnSpPr>
        <xdr:cNvPr id="155" name="Straight Connector 154"/>
        <xdr:cNvCxnSpPr/>
      </xdr:nvCxnSpPr>
      <xdr:spPr>
        <a:xfrm>
          <a:off x="2973457" y="3466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183</xdr:row>
      <xdr:rowOff>74935</xdr:rowOff>
    </xdr:from>
    <xdr:to>
      <xdr:col>5</xdr:col>
      <xdr:colOff>2924</xdr:colOff>
      <xdr:row>183</xdr:row>
      <xdr:rowOff>74935</xdr:rowOff>
    </xdr:to>
    <xdr:cxnSp macro="">
      <xdr:nvCxnSpPr>
        <xdr:cNvPr id="156" name="Straight Connector 155"/>
        <xdr:cNvCxnSpPr/>
      </xdr:nvCxnSpPr>
      <xdr:spPr>
        <a:xfrm>
          <a:off x="2973457" y="3523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186</xdr:row>
      <xdr:rowOff>74935</xdr:rowOff>
    </xdr:from>
    <xdr:to>
      <xdr:col>5</xdr:col>
      <xdr:colOff>2924</xdr:colOff>
      <xdr:row>186</xdr:row>
      <xdr:rowOff>74935</xdr:rowOff>
    </xdr:to>
    <xdr:cxnSp macro="">
      <xdr:nvCxnSpPr>
        <xdr:cNvPr id="157" name="Straight Connector 156"/>
        <xdr:cNvCxnSpPr/>
      </xdr:nvCxnSpPr>
      <xdr:spPr>
        <a:xfrm>
          <a:off x="2973457" y="3580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192</xdr:row>
      <xdr:rowOff>74935</xdr:rowOff>
    </xdr:from>
    <xdr:to>
      <xdr:col>5</xdr:col>
      <xdr:colOff>2924</xdr:colOff>
      <xdr:row>192</xdr:row>
      <xdr:rowOff>74935</xdr:rowOff>
    </xdr:to>
    <xdr:cxnSp macro="">
      <xdr:nvCxnSpPr>
        <xdr:cNvPr id="158" name="Straight Connector 157"/>
        <xdr:cNvCxnSpPr/>
      </xdr:nvCxnSpPr>
      <xdr:spPr>
        <a:xfrm>
          <a:off x="2973457" y="3694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189</xdr:row>
      <xdr:rowOff>74935</xdr:rowOff>
    </xdr:from>
    <xdr:to>
      <xdr:col>5</xdr:col>
      <xdr:colOff>2924</xdr:colOff>
      <xdr:row>189</xdr:row>
      <xdr:rowOff>74935</xdr:rowOff>
    </xdr:to>
    <xdr:cxnSp macro="">
      <xdr:nvCxnSpPr>
        <xdr:cNvPr id="159" name="Straight Connector 158"/>
        <xdr:cNvCxnSpPr/>
      </xdr:nvCxnSpPr>
      <xdr:spPr>
        <a:xfrm>
          <a:off x="2973457" y="3637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195</xdr:row>
      <xdr:rowOff>74935</xdr:rowOff>
    </xdr:from>
    <xdr:to>
      <xdr:col>5</xdr:col>
      <xdr:colOff>2924</xdr:colOff>
      <xdr:row>195</xdr:row>
      <xdr:rowOff>74935</xdr:rowOff>
    </xdr:to>
    <xdr:cxnSp macro="">
      <xdr:nvCxnSpPr>
        <xdr:cNvPr id="160" name="Straight Connector 159"/>
        <xdr:cNvCxnSpPr/>
      </xdr:nvCxnSpPr>
      <xdr:spPr>
        <a:xfrm>
          <a:off x="2973457" y="3751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198</xdr:row>
      <xdr:rowOff>74935</xdr:rowOff>
    </xdr:from>
    <xdr:to>
      <xdr:col>5</xdr:col>
      <xdr:colOff>2924</xdr:colOff>
      <xdr:row>198</xdr:row>
      <xdr:rowOff>74935</xdr:rowOff>
    </xdr:to>
    <xdr:cxnSp macro="">
      <xdr:nvCxnSpPr>
        <xdr:cNvPr id="161" name="Straight Connector 160"/>
        <xdr:cNvCxnSpPr/>
      </xdr:nvCxnSpPr>
      <xdr:spPr>
        <a:xfrm>
          <a:off x="2973457" y="3808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201</xdr:row>
      <xdr:rowOff>74935</xdr:rowOff>
    </xdr:from>
    <xdr:to>
      <xdr:col>5</xdr:col>
      <xdr:colOff>2924</xdr:colOff>
      <xdr:row>201</xdr:row>
      <xdr:rowOff>74935</xdr:rowOff>
    </xdr:to>
    <xdr:cxnSp macro="">
      <xdr:nvCxnSpPr>
        <xdr:cNvPr id="162" name="Straight Connector 161"/>
        <xdr:cNvCxnSpPr/>
      </xdr:nvCxnSpPr>
      <xdr:spPr>
        <a:xfrm>
          <a:off x="2973457" y="3866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204</xdr:row>
      <xdr:rowOff>74935</xdr:rowOff>
    </xdr:from>
    <xdr:to>
      <xdr:col>5</xdr:col>
      <xdr:colOff>2924</xdr:colOff>
      <xdr:row>204</xdr:row>
      <xdr:rowOff>74935</xdr:rowOff>
    </xdr:to>
    <xdr:cxnSp macro="">
      <xdr:nvCxnSpPr>
        <xdr:cNvPr id="163" name="Straight Connector 162"/>
        <xdr:cNvCxnSpPr/>
      </xdr:nvCxnSpPr>
      <xdr:spPr>
        <a:xfrm>
          <a:off x="2973457" y="3923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207</xdr:row>
      <xdr:rowOff>74935</xdr:rowOff>
    </xdr:from>
    <xdr:to>
      <xdr:col>5</xdr:col>
      <xdr:colOff>2924</xdr:colOff>
      <xdr:row>207</xdr:row>
      <xdr:rowOff>74935</xdr:rowOff>
    </xdr:to>
    <xdr:cxnSp macro="">
      <xdr:nvCxnSpPr>
        <xdr:cNvPr id="164" name="Straight Connector 163"/>
        <xdr:cNvCxnSpPr/>
      </xdr:nvCxnSpPr>
      <xdr:spPr>
        <a:xfrm>
          <a:off x="2973457" y="3980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210</xdr:row>
      <xdr:rowOff>74935</xdr:rowOff>
    </xdr:from>
    <xdr:to>
      <xdr:col>5</xdr:col>
      <xdr:colOff>2924</xdr:colOff>
      <xdr:row>210</xdr:row>
      <xdr:rowOff>74935</xdr:rowOff>
    </xdr:to>
    <xdr:cxnSp macro="">
      <xdr:nvCxnSpPr>
        <xdr:cNvPr id="165" name="Straight Connector 164"/>
        <xdr:cNvCxnSpPr/>
      </xdr:nvCxnSpPr>
      <xdr:spPr>
        <a:xfrm>
          <a:off x="2973457" y="4037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213</xdr:row>
      <xdr:rowOff>74935</xdr:rowOff>
    </xdr:from>
    <xdr:to>
      <xdr:col>5</xdr:col>
      <xdr:colOff>2924</xdr:colOff>
      <xdr:row>213</xdr:row>
      <xdr:rowOff>74935</xdr:rowOff>
    </xdr:to>
    <xdr:cxnSp macro="">
      <xdr:nvCxnSpPr>
        <xdr:cNvPr id="166" name="Straight Connector 165"/>
        <xdr:cNvCxnSpPr/>
      </xdr:nvCxnSpPr>
      <xdr:spPr>
        <a:xfrm>
          <a:off x="2973457" y="4094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216</xdr:row>
      <xdr:rowOff>74935</xdr:rowOff>
    </xdr:from>
    <xdr:to>
      <xdr:col>5</xdr:col>
      <xdr:colOff>2924</xdr:colOff>
      <xdr:row>216</xdr:row>
      <xdr:rowOff>74935</xdr:rowOff>
    </xdr:to>
    <xdr:cxnSp macro="">
      <xdr:nvCxnSpPr>
        <xdr:cNvPr id="167" name="Straight Connector 166"/>
        <xdr:cNvCxnSpPr/>
      </xdr:nvCxnSpPr>
      <xdr:spPr>
        <a:xfrm>
          <a:off x="2973457" y="4151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219</xdr:row>
      <xdr:rowOff>74935</xdr:rowOff>
    </xdr:from>
    <xdr:to>
      <xdr:col>5</xdr:col>
      <xdr:colOff>2924</xdr:colOff>
      <xdr:row>219</xdr:row>
      <xdr:rowOff>74935</xdr:rowOff>
    </xdr:to>
    <xdr:cxnSp macro="">
      <xdr:nvCxnSpPr>
        <xdr:cNvPr id="168" name="Straight Connector 167"/>
        <xdr:cNvCxnSpPr/>
      </xdr:nvCxnSpPr>
      <xdr:spPr>
        <a:xfrm>
          <a:off x="2973457" y="4208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222</xdr:row>
      <xdr:rowOff>74935</xdr:rowOff>
    </xdr:from>
    <xdr:to>
      <xdr:col>5</xdr:col>
      <xdr:colOff>2924</xdr:colOff>
      <xdr:row>222</xdr:row>
      <xdr:rowOff>74935</xdr:rowOff>
    </xdr:to>
    <xdr:cxnSp macro="">
      <xdr:nvCxnSpPr>
        <xdr:cNvPr id="169" name="Straight Connector 168"/>
        <xdr:cNvCxnSpPr/>
      </xdr:nvCxnSpPr>
      <xdr:spPr>
        <a:xfrm>
          <a:off x="2973457" y="4266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225</xdr:row>
      <xdr:rowOff>74935</xdr:rowOff>
    </xdr:from>
    <xdr:to>
      <xdr:col>5</xdr:col>
      <xdr:colOff>2924</xdr:colOff>
      <xdr:row>225</xdr:row>
      <xdr:rowOff>74935</xdr:rowOff>
    </xdr:to>
    <xdr:cxnSp macro="">
      <xdr:nvCxnSpPr>
        <xdr:cNvPr id="170" name="Straight Connector 169"/>
        <xdr:cNvCxnSpPr/>
      </xdr:nvCxnSpPr>
      <xdr:spPr>
        <a:xfrm>
          <a:off x="2973457" y="4323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228</xdr:row>
      <xdr:rowOff>74935</xdr:rowOff>
    </xdr:from>
    <xdr:to>
      <xdr:col>5</xdr:col>
      <xdr:colOff>2924</xdr:colOff>
      <xdr:row>228</xdr:row>
      <xdr:rowOff>74935</xdr:rowOff>
    </xdr:to>
    <xdr:cxnSp macro="">
      <xdr:nvCxnSpPr>
        <xdr:cNvPr id="171" name="Straight Connector 170"/>
        <xdr:cNvCxnSpPr/>
      </xdr:nvCxnSpPr>
      <xdr:spPr>
        <a:xfrm>
          <a:off x="2973457" y="4380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231</xdr:row>
      <xdr:rowOff>74935</xdr:rowOff>
    </xdr:from>
    <xdr:to>
      <xdr:col>5</xdr:col>
      <xdr:colOff>2924</xdr:colOff>
      <xdr:row>231</xdr:row>
      <xdr:rowOff>74935</xdr:rowOff>
    </xdr:to>
    <xdr:cxnSp macro="">
      <xdr:nvCxnSpPr>
        <xdr:cNvPr id="172" name="Straight Connector 171"/>
        <xdr:cNvCxnSpPr/>
      </xdr:nvCxnSpPr>
      <xdr:spPr>
        <a:xfrm>
          <a:off x="2973457" y="4437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234</xdr:row>
      <xdr:rowOff>74935</xdr:rowOff>
    </xdr:from>
    <xdr:to>
      <xdr:col>5</xdr:col>
      <xdr:colOff>2924</xdr:colOff>
      <xdr:row>234</xdr:row>
      <xdr:rowOff>74935</xdr:rowOff>
    </xdr:to>
    <xdr:cxnSp macro="">
      <xdr:nvCxnSpPr>
        <xdr:cNvPr id="173" name="Straight Connector 172"/>
        <xdr:cNvCxnSpPr/>
      </xdr:nvCxnSpPr>
      <xdr:spPr>
        <a:xfrm>
          <a:off x="2973457" y="4494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237</xdr:row>
      <xdr:rowOff>74935</xdr:rowOff>
    </xdr:from>
    <xdr:to>
      <xdr:col>5</xdr:col>
      <xdr:colOff>2924</xdr:colOff>
      <xdr:row>237</xdr:row>
      <xdr:rowOff>74935</xdr:rowOff>
    </xdr:to>
    <xdr:cxnSp macro="">
      <xdr:nvCxnSpPr>
        <xdr:cNvPr id="174" name="Straight Connector 173"/>
        <xdr:cNvCxnSpPr/>
      </xdr:nvCxnSpPr>
      <xdr:spPr>
        <a:xfrm>
          <a:off x="2973457" y="4551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240</xdr:row>
      <xdr:rowOff>74935</xdr:rowOff>
    </xdr:from>
    <xdr:to>
      <xdr:col>5</xdr:col>
      <xdr:colOff>2924</xdr:colOff>
      <xdr:row>240</xdr:row>
      <xdr:rowOff>74935</xdr:rowOff>
    </xdr:to>
    <xdr:cxnSp macro="">
      <xdr:nvCxnSpPr>
        <xdr:cNvPr id="175" name="Straight Connector 174"/>
        <xdr:cNvCxnSpPr/>
      </xdr:nvCxnSpPr>
      <xdr:spPr>
        <a:xfrm>
          <a:off x="2973457" y="4609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243</xdr:row>
      <xdr:rowOff>74935</xdr:rowOff>
    </xdr:from>
    <xdr:to>
      <xdr:col>5</xdr:col>
      <xdr:colOff>2924</xdr:colOff>
      <xdr:row>243</xdr:row>
      <xdr:rowOff>74935</xdr:rowOff>
    </xdr:to>
    <xdr:cxnSp macro="">
      <xdr:nvCxnSpPr>
        <xdr:cNvPr id="176" name="Straight Connector 175"/>
        <xdr:cNvCxnSpPr/>
      </xdr:nvCxnSpPr>
      <xdr:spPr>
        <a:xfrm>
          <a:off x="2973457" y="4666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246</xdr:row>
      <xdr:rowOff>74935</xdr:rowOff>
    </xdr:from>
    <xdr:to>
      <xdr:col>5</xdr:col>
      <xdr:colOff>2924</xdr:colOff>
      <xdr:row>246</xdr:row>
      <xdr:rowOff>74935</xdr:rowOff>
    </xdr:to>
    <xdr:cxnSp macro="">
      <xdr:nvCxnSpPr>
        <xdr:cNvPr id="177" name="Straight Connector 176"/>
        <xdr:cNvCxnSpPr/>
      </xdr:nvCxnSpPr>
      <xdr:spPr>
        <a:xfrm>
          <a:off x="2973457" y="4723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249</xdr:row>
      <xdr:rowOff>74935</xdr:rowOff>
    </xdr:from>
    <xdr:to>
      <xdr:col>5</xdr:col>
      <xdr:colOff>2924</xdr:colOff>
      <xdr:row>249</xdr:row>
      <xdr:rowOff>74935</xdr:rowOff>
    </xdr:to>
    <xdr:cxnSp macro="">
      <xdr:nvCxnSpPr>
        <xdr:cNvPr id="178" name="Straight Connector 177"/>
        <xdr:cNvCxnSpPr/>
      </xdr:nvCxnSpPr>
      <xdr:spPr>
        <a:xfrm>
          <a:off x="2973457" y="4780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252</xdr:row>
      <xdr:rowOff>74935</xdr:rowOff>
    </xdr:from>
    <xdr:to>
      <xdr:col>5</xdr:col>
      <xdr:colOff>2924</xdr:colOff>
      <xdr:row>252</xdr:row>
      <xdr:rowOff>74935</xdr:rowOff>
    </xdr:to>
    <xdr:cxnSp macro="">
      <xdr:nvCxnSpPr>
        <xdr:cNvPr id="179" name="Straight Connector 178"/>
        <xdr:cNvCxnSpPr/>
      </xdr:nvCxnSpPr>
      <xdr:spPr>
        <a:xfrm>
          <a:off x="2973457" y="4837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255</xdr:row>
      <xdr:rowOff>74935</xdr:rowOff>
    </xdr:from>
    <xdr:to>
      <xdr:col>5</xdr:col>
      <xdr:colOff>2924</xdr:colOff>
      <xdr:row>255</xdr:row>
      <xdr:rowOff>74935</xdr:rowOff>
    </xdr:to>
    <xdr:cxnSp macro="">
      <xdr:nvCxnSpPr>
        <xdr:cNvPr id="180" name="Straight Connector 179"/>
        <xdr:cNvCxnSpPr/>
      </xdr:nvCxnSpPr>
      <xdr:spPr>
        <a:xfrm>
          <a:off x="2973457" y="4894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258</xdr:row>
      <xdr:rowOff>74935</xdr:rowOff>
    </xdr:from>
    <xdr:to>
      <xdr:col>5</xdr:col>
      <xdr:colOff>2924</xdr:colOff>
      <xdr:row>258</xdr:row>
      <xdr:rowOff>74935</xdr:rowOff>
    </xdr:to>
    <xdr:cxnSp macro="">
      <xdr:nvCxnSpPr>
        <xdr:cNvPr id="181" name="Straight Connector 180"/>
        <xdr:cNvCxnSpPr/>
      </xdr:nvCxnSpPr>
      <xdr:spPr>
        <a:xfrm>
          <a:off x="2973457" y="4951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261</xdr:row>
      <xdr:rowOff>74935</xdr:rowOff>
    </xdr:from>
    <xdr:to>
      <xdr:col>5</xdr:col>
      <xdr:colOff>2924</xdr:colOff>
      <xdr:row>261</xdr:row>
      <xdr:rowOff>74935</xdr:rowOff>
    </xdr:to>
    <xdr:cxnSp macro="">
      <xdr:nvCxnSpPr>
        <xdr:cNvPr id="182" name="Straight Connector 181"/>
        <xdr:cNvCxnSpPr/>
      </xdr:nvCxnSpPr>
      <xdr:spPr>
        <a:xfrm>
          <a:off x="2973457" y="5009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264</xdr:row>
      <xdr:rowOff>74935</xdr:rowOff>
    </xdr:from>
    <xdr:to>
      <xdr:col>5</xdr:col>
      <xdr:colOff>2924</xdr:colOff>
      <xdr:row>264</xdr:row>
      <xdr:rowOff>74935</xdr:rowOff>
    </xdr:to>
    <xdr:cxnSp macro="">
      <xdr:nvCxnSpPr>
        <xdr:cNvPr id="183" name="Straight Connector 182"/>
        <xdr:cNvCxnSpPr/>
      </xdr:nvCxnSpPr>
      <xdr:spPr>
        <a:xfrm>
          <a:off x="2973457" y="5066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267</xdr:row>
      <xdr:rowOff>74935</xdr:rowOff>
    </xdr:from>
    <xdr:to>
      <xdr:col>5</xdr:col>
      <xdr:colOff>2924</xdr:colOff>
      <xdr:row>267</xdr:row>
      <xdr:rowOff>74935</xdr:rowOff>
    </xdr:to>
    <xdr:cxnSp macro="">
      <xdr:nvCxnSpPr>
        <xdr:cNvPr id="184" name="Straight Connector 183"/>
        <xdr:cNvCxnSpPr/>
      </xdr:nvCxnSpPr>
      <xdr:spPr>
        <a:xfrm>
          <a:off x="2973457" y="5123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270</xdr:row>
      <xdr:rowOff>74935</xdr:rowOff>
    </xdr:from>
    <xdr:to>
      <xdr:col>5</xdr:col>
      <xdr:colOff>2924</xdr:colOff>
      <xdr:row>270</xdr:row>
      <xdr:rowOff>74935</xdr:rowOff>
    </xdr:to>
    <xdr:cxnSp macro="">
      <xdr:nvCxnSpPr>
        <xdr:cNvPr id="185" name="Straight Connector 184"/>
        <xdr:cNvCxnSpPr/>
      </xdr:nvCxnSpPr>
      <xdr:spPr>
        <a:xfrm>
          <a:off x="2973457" y="5180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273</xdr:row>
      <xdr:rowOff>74935</xdr:rowOff>
    </xdr:from>
    <xdr:to>
      <xdr:col>5</xdr:col>
      <xdr:colOff>2924</xdr:colOff>
      <xdr:row>273</xdr:row>
      <xdr:rowOff>74935</xdr:rowOff>
    </xdr:to>
    <xdr:cxnSp macro="">
      <xdr:nvCxnSpPr>
        <xdr:cNvPr id="186" name="Straight Connector 185"/>
        <xdr:cNvCxnSpPr/>
      </xdr:nvCxnSpPr>
      <xdr:spPr>
        <a:xfrm>
          <a:off x="2973457" y="5237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276</xdr:row>
      <xdr:rowOff>74935</xdr:rowOff>
    </xdr:from>
    <xdr:to>
      <xdr:col>5</xdr:col>
      <xdr:colOff>2924</xdr:colOff>
      <xdr:row>276</xdr:row>
      <xdr:rowOff>74935</xdr:rowOff>
    </xdr:to>
    <xdr:cxnSp macro="">
      <xdr:nvCxnSpPr>
        <xdr:cNvPr id="187" name="Straight Connector 186"/>
        <xdr:cNvCxnSpPr/>
      </xdr:nvCxnSpPr>
      <xdr:spPr>
        <a:xfrm>
          <a:off x="2973457" y="5294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282</xdr:row>
      <xdr:rowOff>74935</xdr:rowOff>
    </xdr:from>
    <xdr:to>
      <xdr:col>5</xdr:col>
      <xdr:colOff>2924</xdr:colOff>
      <xdr:row>282</xdr:row>
      <xdr:rowOff>74935</xdr:rowOff>
    </xdr:to>
    <xdr:cxnSp macro="">
      <xdr:nvCxnSpPr>
        <xdr:cNvPr id="188" name="Straight Connector 187"/>
        <xdr:cNvCxnSpPr/>
      </xdr:nvCxnSpPr>
      <xdr:spPr>
        <a:xfrm>
          <a:off x="2973457" y="5409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279</xdr:row>
      <xdr:rowOff>74935</xdr:rowOff>
    </xdr:from>
    <xdr:to>
      <xdr:col>5</xdr:col>
      <xdr:colOff>2924</xdr:colOff>
      <xdr:row>279</xdr:row>
      <xdr:rowOff>74935</xdr:rowOff>
    </xdr:to>
    <xdr:cxnSp macro="">
      <xdr:nvCxnSpPr>
        <xdr:cNvPr id="189" name="Straight Connector 188"/>
        <xdr:cNvCxnSpPr/>
      </xdr:nvCxnSpPr>
      <xdr:spPr>
        <a:xfrm>
          <a:off x="2973457" y="5351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288</xdr:row>
      <xdr:rowOff>74935</xdr:rowOff>
    </xdr:from>
    <xdr:to>
      <xdr:col>5</xdr:col>
      <xdr:colOff>2924</xdr:colOff>
      <xdr:row>288</xdr:row>
      <xdr:rowOff>74935</xdr:rowOff>
    </xdr:to>
    <xdr:cxnSp macro="">
      <xdr:nvCxnSpPr>
        <xdr:cNvPr id="190" name="Straight Connector 189"/>
        <xdr:cNvCxnSpPr/>
      </xdr:nvCxnSpPr>
      <xdr:spPr>
        <a:xfrm>
          <a:off x="2973457" y="5523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285</xdr:row>
      <xdr:rowOff>74935</xdr:rowOff>
    </xdr:from>
    <xdr:to>
      <xdr:col>5</xdr:col>
      <xdr:colOff>2924</xdr:colOff>
      <xdr:row>285</xdr:row>
      <xdr:rowOff>74935</xdr:rowOff>
    </xdr:to>
    <xdr:cxnSp macro="">
      <xdr:nvCxnSpPr>
        <xdr:cNvPr id="191" name="Straight Connector 190"/>
        <xdr:cNvCxnSpPr/>
      </xdr:nvCxnSpPr>
      <xdr:spPr>
        <a:xfrm>
          <a:off x="2973457" y="5466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294</xdr:row>
      <xdr:rowOff>74935</xdr:rowOff>
    </xdr:from>
    <xdr:to>
      <xdr:col>5</xdr:col>
      <xdr:colOff>2924</xdr:colOff>
      <xdr:row>294</xdr:row>
      <xdr:rowOff>74935</xdr:rowOff>
    </xdr:to>
    <xdr:cxnSp macro="">
      <xdr:nvCxnSpPr>
        <xdr:cNvPr id="192" name="Straight Connector 191"/>
        <xdr:cNvCxnSpPr/>
      </xdr:nvCxnSpPr>
      <xdr:spPr>
        <a:xfrm>
          <a:off x="2973457" y="5637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291</xdr:row>
      <xdr:rowOff>74935</xdr:rowOff>
    </xdr:from>
    <xdr:to>
      <xdr:col>5</xdr:col>
      <xdr:colOff>2924</xdr:colOff>
      <xdr:row>291</xdr:row>
      <xdr:rowOff>74935</xdr:rowOff>
    </xdr:to>
    <xdr:cxnSp macro="">
      <xdr:nvCxnSpPr>
        <xdr:cNvPr id="193" name="Straight Connector 192"/>
        <xdr:cNvCxnSpPr/>
      </xdr:nvCxnSpPr>
      <xdr:spPr>
        <a:xfrm>
          <a:off x="2973457" y="5580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300</xdr:row>
      <xdr:rowOff>74935</xdr:rowOff>
    </xdr:from>
    <xdr:to>
      <xdr:col>5</xdr:col>
      <xdr:colOff>2924</xdr:colOff>
      <xdr:row>300</xdr:row>
      <xdr:rowOff>74935</xdr:rowOff>
    </xdr:to>
    <xdr:cxnSp macro="">
      <xdr:nvCxnSpPr>
        <xdr:cNvPr id="194" name="Straight Connector 193"/>
        <xdr:cNvCxnSpPr/>
      </xdr:nvCxnSpPr>
      <xdr:spPr>
        <a:xfrm>
          <a:off x="2973457" y="5752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297</xdr:row>
      <xdr:rowOff>74935</xdr:rowOff>
    </xdr:from>
    <xdr:to>
      <xdr:col>5</xdr:col>
      <xdr:colOff>2924</xdr:colOff>
      <xdr:row>297</xdr:row>
      <xdr:rowOff>74935</xdr:rowOff>
    </xdr:to>
    <xdr:cxnSp macro="">
      <xdr:nvCxnSpPr>
        <xdr:cNvPr id="195" name="Straight Connector 194"/>
        <xdr:cNvCxnSpPr/>
      </xdr:nvCxnSpPr>
      <xdr:spPr>
        <a:xfrm>
          <a:off x="2973457" y="5694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306</xdr:row>
      <xdr:rowOff>74935</xdr:rowOff>
    </xdr:from>
    <xdr:to>
      <xdr:col>5</xdr:col>
      <xdr:colOff>2924</xdr:colOff>
      <xdr:row>306</xdr:row>
      <xdr:rowOff>74935</xdr:rowOff>
    </xdr:to>
    <xdr:cxnSp macro="">
      <xdr:nvCxnSpPr>
        <xdr:cNvPr id="196" name="Straight Connector 195"/>
        <xdr:cNvCxnSpPr/>
      </xdr:nvCxnSpPr>
      <xdr:spPr>
        <a:xfrm>
          <a:off x="2973457" y="5866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303</xdr:row>
      <xdr:rowOff>74935</xdr:rowOff>
    </xdr:from>
    <xdr:to>
      <xdr:col>5</xdr:col>
      <xdr:colOff>2924</xdr:colOff>
      <xdr:row>303</xdr:row>
      <xdr:rowOff>74935</xdr:rowOff>
    </xdr:to>
    <xdr:cxnSp macro="">
      <xdr:nvCxnSpPr>
        <xdr:cNvPr id="197" name="Straight Connector 196"/>
        <xdr:cNvCxnSpPr/>
      </xdr:nvCxnSpPr>
      <xdr:spPr>
        <a:xfrm>
          <a:off x="2973457" y="5809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312</xdr:row>
      <xdr:rowOff>74935</xdr:rowOff>
    </xdr:from>
    <xdr:to>
      <xdr:col>5</xdr:col>
      <xdr:colOff>2924</xdr:colOff>
      <xdr:row>312</xdr:row>
      <xdr:rowOff>74935</xdr:rowOff>
    </xdr:to>
    <xdr:cxnSp macro="">
      <xdr:nvCxnSpPr>
        <xdr:cNvPr id="198" name="Straight Connector 197"/>
        <xdr:cNvCxnSpPr/>
      </xdr:nvCxnSpPr>
      <xdr:spPr>
        <a:xfrm>
          <a:off x="2973457" y="5980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309</xdr:row>
      <xdr:rowOff>74935</xdr:rowOff>
    </xdr:from>
    <xdr:to>
      <xdr:col>5</xdr:col>
      <xdr:colOff>2924</xdr:colOff>
      <xdr:row>309</xdr:row>
      <xdr:rowOff>74935</xdr:rowOff>
    </xdr:to>
    <xdr:cxnSp macro="">
      <xdr:nvCxnSpPr>
        <xdr:cNvPr id="199" name="Straight Connector 198"/>
        <xdr:cNvCxnSpPr/>
      </xdr:nvCxnSpPr>
      <xdr:spPr>
        <a:xfrm>
          <a:off x="2973457" y="5923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318</xdr:row>
      <xdr:rowOff>74935</xdr:rowOff>
    </xdr:from>
    <xdr:to>
      <xdr:col>5</xdr:col>
      <xdr:colOff>2924</xdr:colOff>
      <xdr:row>318</xdr:row>
      <xdr:rowOff>74935</xdr:rowOff>
    </xdr:to>
    <xdr:cxnSp macro="">
      <xdr:nvCxnSpPr>
        <xdr:cNvPr id="200" name="Straight Connector 199"/>
        <xdr:cNvCxnSpPr/>
      </xdr:nvCxnSpPr>
      <xdr:spPr>
        <a:xfrm>
          <a:off x="2973457" y="6094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315</xdr:row>
      <xdr:rowOff>74935</xdr:rowOff>
    </xdr:from>
    <xdr:to>
      <xdr:col>5</xdr:col>
      <xdr:colOff>2924</xdr:colOff>
      <xdr:row>315</xdr:row>
      <xdr:rowOff>74935</xdr:rowOff>
    </xdr:to>
    <xdr:cxnSp macro="">
      <xdr:nvCxnSpPr>
        <xdr:cNvPr id="201" name="Straight Connector 200"/>
        <xdr:cNvCxnSpPr/>
      </xdr:nvCxnSpPr>
      <xdr:spPr>
        <a:xfrm>
          <a:off x="2973457" y="6037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324</xdr:row>
      <xdr:rowOff>74935</xdr:rowOff>
    </xdr:from>
    <xdr:to>
      <xdr:col>5</xdr:col>
      <xdr:colOff>2924</xdr:colOff>
      <xdr:row>324</xdr:row>
      <xdr:rowOff>74935</xdr:rowOff>
    </xdr:to>
    <xdr:cxnSp macro="">
      <xdr:nvCxnSpPr>
        <xdr:cNvPr id="202" name="Straight Connector 201"/>
        <xdr:cNvCxnSpPr/>
      </xdr:nvCxnSpPr>
      <xdr:spPr>
        <a:xfrm>
          <a:off x="2973457" y="6209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321</xdr:row>
      <xdr:rowOff>74935</xdr:rowOff>
    </xdr:from>
    <xdr:to>
      <xdr:col>5</xdr:col>
      <xdr:colOff>2924</xdr:colOff>
      <xdr:row>321</xdr:row>
      <xdr:rowOff>74935</xdr:rowOff>
    </xdr:to>
    <xdr:cxnSp macro="">
      <xdr:nvCxnSpPr>
        <xdr:cNvPr id="203" name="Straight Connector 202"/>
        <xdr:cNvCxnSpPr/>
      </xdr:nvCxnSpPr>
      <xdr:spPr>
        <a:xfrm>
          <a:off x="2973457" y="6152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333</xdr:row>
      <xdr:rowOff>74935</xdr:rowOff>
    </xdr:from>
    <xdr:to>
      <xdr:col>5</xdr:col>
      <xdr:colOff>2924</xdr:colOff>
      <xdr:row>333</xdr:row>
      <xdr:rowOff>74935</xdr:rowOff>
    </xdr:to>
    <xdr:cxnSp macro="">
      <xdr:nvCxnSpPr>
        <xdr:cNvPr id="204" name="Straight Connector 203"/>
        <xdr:cNvCxnSpPr/>
      </xdr:nvCxnSpPr>
      <xdr:spPr>
        <a:xfrm>
          <a:off x="2973457" y="6380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327</xdr:row>
      <xdr:rowOff>74935</xdr:rowOff>
    </xdr:from>
    <xdr:to>
      <xdr:col>5</xdr:col>
      <xdr:colOff>2924</xdr:colOff>
      <xdr:row>327</xdr:row>
      <xdr:rowOff>74935</xdr:rowOff>
    </xdr:to>
    <xdr:cxnSp macro="">
      <xdr:nvCxnSpPr>
        <xdr:cNvPr id="205" name="Straight Connector 204"/>
        <xdr:cNvCxnSpPr/>
      </xdr:nvCxnSpPr>
      <xdr:spPr>
        <a:xfrm>
          <a:off x="2973457" y="6266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330</xdr:row>
      <xdr:rowOff>74935</xdr:rowOff>
    </xdr:from>
    <xdr:to>
      <xdr:col>5</xdr:col>
      <xdr:colOff>2924</xdr:colOff>
      <xdr:row>330</xdr:row>
      <xdr:rowOff>74935</xdr:rowOff>
    </xdr:to>
    <xdr:cxnSp macro="">
      <xdr:nvCxnSpPr>
        <xdr:cNvPr id="206" name="Straight Connector 205"/>
        <xdr:cNvCxnSpPr/>
      </xdr:nvCxnSpPr>
      <xdr:spPr>
        <a:xfrm>
          <a:off x="2973457" y="6323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336</xdr:row>
      <xdr:rowOff>74935</xdr:rowOff>
    </xdr:from>
    <xdr:to>
      <xdr:col>5</xdr:col>
      <xdr:colOff>2924</xdr:colOff>
      <xdr:row>336</xdr:row>
      <xdr:rowOff>74935</xdr:rowOff>
    </xdr:to>
    <xdr:cxnSp macro="">
      <xdr:nvCxnSpPr>
        <xdr:cNvPr id="207" name="Straight Connector 206"/>
        <xdr:cNvCxnSpPr/>
      </xdr:nvCxnSpPr>
      <xdr:spPr>
        <a:xfrm>
          <a:off x="2973457" y="6437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342</xdr:row>
      <xdr:rowOff>74935</xdr:rowOff>
    </xdr:from>
    <xdr:to>
      <xdr:col>5</xdr:col>
      <xdr:colOff>2924</xdr:colOff>
      <xdr:row>342</xdr:row>
      <xdr:rowOff>74935</xdr:rowOff>
    </xdr:to>
    <xdr:cxnSp macro="">
      <xdr:nvCxnSpPr>
        <xdr:cNvPr id="208" name="Straight Connector 207"/>
        <xdr:cNvCxnSpPr/>
      </xdr:nvCxnSpPr>
      <xdr:spPr>
        <a:xfrm>
          <a:off x="2973457" y="6552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339</xdr:row>
      <xdr:rowOff>74935</xdr:rowOff>
    </xdr:from>
    <xdr:to>
      <xdr:col>5</xdr:col>
      <xdr:colOff>2924</xdr:colOff>
      <xdr:row>339</xdr:row>
      <xdr:rowOff>74935</xdr:rowOff>
    </xdr:to>
    <xdr:cxnSp macro="">
      <xdr:nvCxnSpPr>
        <xdr:cNvPr id="209" name="Straight Connector 208"/>
        <xdr:cNvCxnSpPr/>
      </xdr:nvCxnSpPr>
      <xdr:spPr>
        <a:xfrm>
          <a:off x="2973457" y="6494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348</xdr:row>
      <xdr:rowOff>74935</xdr:rowOff>
    </xdr:from>
    <xdr:to>
      <xdr:col>5</xdr:col>
      <xdr:colOff>2924</xdr:colOff>
      <xdr:row>348</xdr:row>
      <xdr:rowOff>74935</xdr:rowOff>
    </xdr:to>
    <xdr:cxnSp macro="">
      <xdr:nvCxnSpPr>
        <xdr:cNvPr id="210" name="Straight Connector 209"/>
        <xdr:cNvCxnSpPr/>
      </xdr:nvCxnSpPr>
      <xdr:spPr>
        <a:xfrm>
          <a:off x="2973457" y="6666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345</xdr:row>
      <xdr:rowOff>74935</xdr:rowOff>
    </xdr:from>
    <xdr:to>
      <xdr:col>5</xdr:col>
      <xdr:colOff>2924</xdr:colOff>
      <xdr:row>345</xdr:row>
      <xdr:rowOff>74935</xdr:rowOff>
    </xdr:to>
    <xdr:cxnSp macro="">
      <xdr:nvCxnSpPr>
        <xdr:cNvPr id="211" name="Straight Connector 210"/>
        <xdr:cNvCxnSpPr/>
      </xdr:nvCxnSpPr>
      <xdr:spPr>
        <a:xfrm>
          <a:off x="2973457" y="6609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357</xdr:row>
      <xdr:rowOff>74935</xdr:rowOff>
    </xdr:from>
    <xdr:to>
      <xdr:col>5</xdr:col>
      <xdr:colOff>2924</xdr:colOff>
      <xdr:row>357</xdr:row>
      <xdr:rowOff>74935</xdr:rowOff>
    </xdr:to>
    <xdr:cxnSp macro="">
      <xdr:nvCxnSpPr>
        <xdr:cNvPr id="212" name="Straight Connector 211"/>
        <xdr:cNvCxnSpPr/>
      </xdr:nvCxnSpPr>
      <xdr:spPr>
        <a:xfrm>
          <a:off x="2973457" y="6837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354</xdr:row>
      <xdr:rowOff>74935</xdr:rowOff>
    </xdr:from>
    <xdr:to>
      <xdr:col>5</xdr:col>
      <xdr:colOff>2924</xdr:colOff>
      <xdr:row>354</xdr:row>
      <xdr:rowOff>74935</xdr:rowOff>
    </xdr:to>
    <xdr:cxnSp macro="">
      <xdr:nvCxnSpPr>
        <xdr:cNvPr id="213" name="Straight Connector 212"/>
        <xdr:cNvCxnSpPr/>
      </xdr:nvCxnSpPr>
      <xdr:spPr>
        <a:xfrm>
          <a:off x="2973457" y="6780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351</xdr:row>
      <xdr:rowOff>74935</xdr:rowOff>
    </xdr:from>
    <xdr:to>
      <xdr:col>5</xdr:col>
      <xdr:colOff>2924</xdr:colOff>
      <xdr:row>351</xdr:row>
      <xdr:rowOff>74935</xdr:rowOff>
    </xdr:to>
    <xdr:cxnSp macro="">
      <xdr:nvCxnSpPr>
        <xdr:cNvPr id="214" name="Straight Connector 213"/>
        <xdr:cNvCxnSpPr/>
      </xdr:nvCxnSpPr>
      <xdr:spPr>
        <a:xfrm>
          <a:off x="2973457" y="6723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360</xdr:row>
      <xdr:rowOff>74935</xdr:rowOff>
    </xdr:from>
    <xdr:to>
      <xdr:col>5</xdr:col>
      <xdr:colOff>2924</xdr:colOff>
      <xdr:row>360</xdr:row>
      <xdr:rowOff>74935</xdr:rowOff>
    </xdr:to>
    <xdr:cxnSp macro="">
      <xdr:nvCxnSpPr>
        <xdr:cNvPr id="215" name="Straight Connector 214"/>
        <xdr:cNvCxnSpPr/>
      </xdr:nvCxnSpPr>
      <xdr:spPr>
        <a:xfrm>
          <a:off x="2973457" y="6895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366</xdr:row>
      <xdr:rowOff>74935</xdr:rowOff>
    </xdr:from>
    <xdr:to>
      <xdr:col>5</xdr:col>
      <xdr:colOff>2924</xdr:colOff>
      <xdr:row>366</xdr:row>
      <xdr:rowOff>74935</xdr:rowOff>
    </xdr:to>
    <xdr:cxnSp macro="">
      <xdr:nvCxnSpPr>
        <xdr:cNvPr id="216" name="Straight Connector 215"/>
        <xdr:cNvCxnSpPr/>
      </xdr:nvCxnSpPr>
      <xdr:spPr>
        <a:xfrm>
          <a:off x="2973457" y="7009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363</xdr:row>
      <xdr:rowOff>74935</xdr:rowOff>
    </xdr:from>
    <xdr:to>
      <xdr:col>5</xdr:col>
      <xdr:colOff>2924</xdr:colOff>
      <xdr:row>363</xdr:row>
      <xdr:rowOff>74935</xdr:rowOff>
    </xdr:to>
    <xdr:cxnSp macro="">
      <xdr:nvCxnSpPr>
        <xdr:cNvPr id="217" name="Straight Connector 216"/>
        <xdr:cNvCxnSpPr/>
      </xdr:nvCxnSpPr>
      <xdr:spPr>
        <a:xfrm>
          <a:off x="2973457" y="6952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372</xdr:row>
      <xdr:rowOff>74935</xdr:rowOff>
    </xdr:from>
    <xdr:to>
      <xdr:col>5</xdr:col>
      <xdr:colOff>2924</xdr:colOff>
      <xdr:row>372</xdr:row>
      <xdr:rowOff>74935</xdr:rowOff>
    </xdr:to>
    <xdr:cxnSp macro="">
      <xdr:nvCxnSpPr>
        <xdr:cNvPr id="218" name="Straight Connector 217"/>
        <xdr:cNvCxnSpPr/>
      </xdr:nvCxnSpPr>
      <xdr:spPr>
        <a:xfrm>
          <a:off x="2973457" y="7123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369</xdr:row>
      <xdr:rowOff>74935</xdr:rowOff>
    </xdr:from>
    <xdr:to>
      <xdr:col>5</xdr:col>
      <xdr:colOff>2924</xdr:colOff>
      <xdr:row>369</xdr:row>
      <xdr:rowOff>74935</xdr:rowOff>
    </xdr:to>
    <xdr:cxnSp macro="">
      <xdr:nvCxnSpPr>
        <xdr:cNvPr id="219" name="Straight Connector 218"/>
        <xdr:cNvCxnSpPr/>
      </xdr:nvCxnSpPr>
      <xdr:spPr>
        <a:xfrm>
          <a:off x="2973457" y="7066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378</xdr:row>
      <xdr:rowOff>74935</xdr:rowOff>
    </xdr:from>
    <xdr:to>
      <xdr:col>5</xdr:col>
      <xdr:colOff>2924</xdr:colOff>
      <xdr:row>378</xdr:row>
      <xdr:rowOff>74935</xdr:rowOff>
    </xdr:to>
    <xdr:cxnSp macro="">
      <xdr:nvCxnSpPr>
        <xdr:cNvPr id="220" name="Straight Connector 219"/>
        <xdr:cNvCxnSpPr/>
      </xdr:nvCxnSpPr>
      <xdr:spPr>
        <a:xfrm>
          <a:off x="2973457" y="7237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375</xdr:row>
      <xdr:rowOff>74935</xdr:rowOff>
    </xdr:from>
    <xdr:to>
      <xdr:col>5</xdr:col>
      <xdr:colOff>2924</xdr:colOff>
      <xdr:row>375</xdr:row>
      <xdr:rowOff>74935</xdr:rowOff>
    </xdr:to>
    <xdr:cxnSp macro="">
      <xdr:nvCxnSpPr>
        <xdr:cNvPr id="221" name="Straight Connector 220"/>
        <xdr:cNvCxnSpPr/>
      </xdr:nvCxnSpPr>
      <xdr:spPr>
        <a:xfrm>
          <a:off x="2973457" y="7180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381</xdr:row>
      <xdr:rowOff>74935</xdr:rowOff>
    </xdr:from>
    <xdr:to>
      <xdr:col>5</xdr:col>
      <xdr:colOff>2924</xdr:colOff>
      <xdr:row>381</xdr:row>
      <xdr:rowOff>74935</xdr:rowOff>
    </xdr:to>
    <xdr:cxnSp macro="">
      <xdr:nvCxnSpPr>
        <xdr:cNvPr id="222" name="Straight Connector 221"/>
        <xdr:cNvCxnSpPr/>
      </xdr:nvCxnSpPr>
      <xdr:spPr>
        <a:xfrm>
          <a:off x="2973457" y="7295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384</xdr:row>
      <xdr:rowOff>74935</xdr:rowOff>
    </xdr:from>
    <xdr:to>
      <xdr:col>5</xdr:col>
      <xdr:colOff>2924</xdr:colOff>
      <xdr:row>384</xdr:row>
      <xdr:rowOff>74935</xdr:rowOff>
    </xdr:to>
    <xdr:cxnSp macro="">
      <xdr:nvCxnSpPr>
        <xdr:cNvPr id="223" name="Straight Connector 222"/>
        <xdr:cNvCxnSpPr/>
      </xdr:nvCxnSpPr>
      <xdr:spPr>
        <a:xfrm>
          <a:off x="2973457" y="7352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387</xdr:row>
      <xdr:rowOff>74935</xdr:rowOff>
    </xdr:from>
    <xdr:to>
      <xdr:col>5</xdr:col>
      <xdr:colOff>2924</xdr:colOff>
      <xdr:row>387</xdr:row>
      <xdr:rowOff>74935</xdr:rowOff>
    </xdr:to>
    <xdr:cxnSp macro="">
      <xdr:nvCxnSpPr>
        <xdr:cNvPr id="224" name="Straight Connector 223"/>
        <xdr:cNvCxnSpPr/>
      </xdr:nvCxnSpPr>
      <xdr:spPr>
        <a:xfrm>
          <a:off x="2973457" y="7409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390</xdr:row>
      <xdr:rowOff>74935</xdr:rowOff>
    </xdr:from>
    <xdr:to>
      <xdr:col>5</xdr:col>
      <xdr:colOff>2924</xdr:colOff>
      <xdr:row>390</xdr:row>
      <xdr:rowOff>74935</xdr:rowOff>
    </xdr:to>
    <xdr:cxnSp macro="">
      <xdr:nvCxnSpPr>
        <xdr:cNvPr id="225" name="Straight Connector 224"/>
        <xdr:cNvCxnSpPr/>
      </xdr:nvCxnSpPr>
      <xdr:spPr>
        <a:xfrm>
          <a:off x="2973457" y="7466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393</xdr:row>
      <xdr:rowOff>74935</xdr:rowOff>
    </xdr:from>
    <xdr:to>
      <xdr:col>5</xdr:col>
      <xdr:colOff>2924</xdr:colOff>
      <xdr:row>393</xdr:row>
      <xdr:rowOff>74935</xdr:rowOff>
    </xdr:to>
    <xdr:cxnSp macro="">
      <xdr:nvCxnSpPr>
        <xdr:cNvPr id="226" name="Straight Connector 225"/>
        <xdr:cNvCxnSpPr/>
      </xdr:nvCxnSpPr>
      <xdr:spPr>
        <a:xfrm>
          <a:off x="2973457" y="7523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396</xdr:row>
      <xdr:rowOff>74935</xdr:rowOff>
    </xdr:from>
    <xdr:to>
      <xdr:col>5</xdr:col>
      <xdr:colOff>2924</xdr:colOff>
      <xdr:row>396</xdr:row>
      <xdr:rowOff>74935</xdr:rowOff>
    </xdr:to>
    <xdr:cxnSp macro="">
      <xdr:nvCxnSpPr>
        <xdr:cNvPr id="227" name="Straight Connector 226"/>
        <xdr:cNvCxnSpPr/>
      </xdr:nvCxnSpPr>
      <xdr:spPr>
        <a:xfrm>
          <a:off x="2973457" y="7580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399</xdr:row>
      <xdr:rowOff>74935</xdr:rowOff>
    </xdr:from>
    <xdr:to>
      <xdr:col>5</xdr:col>
      <xdr:colOff>2924</xdr:colOff>
      <xdr:row>399</xdr:row>
      <xdr:rowOff>74935</xdr:rowOff>
    </xdr:to>
    <xdr:cxnSp macro="">
      <xdr:nvCxnSpPr>
        <xdr:cNvPr id="228" name="Straight Connector 227"/>
        <xdr:cNvCxnSpPr/>
      </xdr:nvCxnSpPr>
      <xdr:spPr>
        <a:xfrm>
          <a:off x="2973457" y="7637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402</xdr:row>
      <xdr:rowOff>74935</xdr:rowOff>
    </xdr:from>
    <xdr:to>
      <xdr:col>5</xdr:col>
      <xdr:colOff>2924</xdr:colOff>
      <xdr:row>402</xdr:row>
      <xdr:rowOff>74935</xdr:rowOff>
    </xdr:to>
    <xdr:cxnSp macro="">
      <xdr:nvCxnSpPr>
        <xdr:cNvPr id="229" name="Straight Connector 228"/>
        <xdr:cNvCxnSpPr/>
      </xdr:nvCxnSpPr>
      <xdr:spPr>
        <a:xfrm>
          <a:off x="2973457" y="7695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405</xdr:row>
      <xdr:rowOff>74935</xdr:rowOff>
    </xdr:from>
    <xdr:to>
      <xdr:col>5</xdr:col>
      <xdr:colOff>2924</xdr:colOff>
      <xdr:row>405</xdr:row>
      <xdr:rowOff>74935</xdr:rowOff>
    </xdr:to>
    <xdr:cxnSp macro="">
      <xdr:nvCxnSpPr>
        <xdr:cNvPr id="230" name="Straight Connector 229"/>
        <xdr:cNvCxnSpPr/>
      </xdr:nvCxnSpPr>
      <xdr:spPr>
        <a:xfrm>
          <a:off x="2973457" y="7752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408</xdr:row>
      <xdr:rowOff>74935</xdr:rowOff>
    </xdr:from>
    <xdr:to>
      <xdr:col>5</xdr:col>
      <xdr:colOff>2924</xdr:colOff>
      <xdr:row>408</xdr:row>
      <xdr:rowOff>74935</xdr:rowOff>
    </xdr:to>
    <xdr:cxnSp macro="">
      <xdr:nvCxnSpPr>
        <xdr:cNvPr id="231" name="Straight Connector 230"/>
        <xdr:cNvCxnSpPr/>
      </xdr:nvCxnSpPr>
      <xdr:spPr>
        <a:xfrm>
          <a:off x="2973457" y="7809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414</xdr:row>
      <xdr:rowOff>74935</xdr:rowOff>
    </xdr:from>
    <xdr:to>
      <xdr:col>5</xdr:col>
      <xdr:colOff>2924</xdr:colOff>
      <xdr:row>414</xdr:row>
      <xdr:rowOff>74935</xdr:rowOff>
    </xdr:to>
    <xdr:cxnSp macro="">
      <xdr:nvCxnSpPr>
        <xdr:cNvPr id="232" name="Straight Connector 231"/>
        <xdr:cNvCxnSpPr/>
      </xdr:nvCxnSpPr>
      <xdr:spPr>
        <a:xfrm>
          <a:off x="2973457" y="7923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411</xdr:row>
      <xdr:rowOff>74935</xdr:rowOff>
    </xdr:from>
    <xdr:to>
      <xdr:col>5</xdr:col>
      <xdr:colOff>2924</xdr:colOff>
      <xdr:row>411</xdr:row>
      <xdr:rowOff>74935</xdr:rowOff>
    </xdr:to>
    <xdr:cxnSp macro="">
      <xdr:nvCxnSpPr>
        <xdr:cNvPr id="233" name="Straight Connector 232"/>
        <xdr:cNvCxnSpPr/>
      </xdr:nvCxnSpPr>
      <xdr:spPr>
        <a:xfrm>
          <a:off x="2973457" y="7866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420</xdr:row>
      <xdr:rowOff>74935</xdr:rowOff>
    </xdr:from>
    <xdr:to>
      <xdr:col>5</xdr:col>
      <xdr:colOff>2924</xdr:colOff>
      <xdr:row>420</xdr:row>
      <xdr:rowOff>74935</xdr:rowOff>
    </xdr:to>
    <xdr:cxnSp macro="">
      <xdr:nvCxnSpPr>
        <xdr:cNvPr id="234" name="Straight Connector 233"/>
        <xdr:cNvCxnSpPr/>
      </xdr:nvCxnSpPr>
      <xdr:spPr>
        <a:xfrm>
          <a:off x="2973457" y="8038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417</xdr:row>
      <xdr:rowOff>74935</xdr:rowOff>
    </xdr:from>
    <xdr:to>
      <xdr:col>5</xdr:col>
      <xdr:colOff>2924</xdr:colOff>
      <xdr:row>417</xdr:row>
      <xdr:rowOff>74935</xdr:rowOff>
    </xdr:to>
    <xdr:cxnSp macro="">
      <xdr:nvCxnSpPr>
        <xdr:cNvPr id="235" name="Straight Connector 234"/>
        <xdr:cNvCxnSpPr/>
      </xdr:nvCxnSpPr>
      <xdr:spPr>
        <a:xfrm>
          <a:off x="2973457" y="7980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426</xdr:row>
      <xdr:rowOff>74935</xdr:rowOff>
    </xdr:from>
    <xdr:to>
      <xdr:col>5</xdr:col>
      <xdr:colOff>2924</xdr:colOff>
      <xdr:row>426</xdr:row>
      <xdr:rowOff>74935</xdr:rowOff>
    </xdr:to>
    <xdr:cxnSp macro="">
      <xdr:nvCxnSpPr>
        <xdr:cNvPr id="236" name="Straight Connector 235"/>
        <xdr:cNvCxnSpPr/>
      </xdr:nvCxnSpPr>
      <xdr:spPr>
        <a:xfrm>
          <a:off x="2973457" y="8152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423</xdr:row>
      <xdr:rowOff>74935</xdr:rowOff>
    </xdr:from>
    <xdr:to>
      <xdr:col>5</xdr:col>
      <xdr:colOff>2924</xdr:colOff>
      <xdr:row>423</xdr:row>
      <xdr:rowOff>74935</xdr:rowOff>
    </xdr:to>
    <xdr:cxnSp macro="">
      <xdr:nvCxnSpPr>
        <xdr:cNvPr id="237" name="Straight Connector 236"/>
        <xdr:cNvCxnSpPr/>
      </xdr:nvCxnSpPr>
      <xdr:spPr>
        <a:xfrm>
          <a:off x="2973457" y="8095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432</xdr:row>
      <xdr:rowOff>74935</xdr:rowOff>
    </xdr:from>
    <xdr:to>
      <xdr:col>5</xdr:col>
      <xdr:colOff>2924</xdr:colOff>
      <xdr:row>432</xdr:row>
      <xdr:rowOff>74935</xdr:rowOff>
    </xdr:to>
    <xdr:cxnSp macro="">
      <xdr:nvCxnSpPr>
        <xdr:cNvPr id="238" name="Straight Connector 237"/>
        <xdr:cNvCxnSpPr/>
      </xdr:nvCxnSpPr>
      <xdr:spPr>
        <a:xfrm>
          <a:off x="2973457" y="8266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429</xdr:row>
      <xdr:rowOff>74935</xdr:rowOff>
    </xdr:from>
    <xdr:to>
      <xdr:col>5</xdr:col>
      <xdr:colOff>2924</xdr:colOff>
      <xdr:row>429</xdr:row>
      <xdr:rowOff>74935</xdr:rowOff>
    </xdr:to>
    <xdr:cxnSp macro="">
      <xdr:nvCxnSpPr>
        <xdr:cNvPr id="239" name="Straight Connector 238"/>
        <xdr:cNvCxnSpPr/>
      </xdr:nvCxnSpPr>
      <xdr:spPr>
        <a:xfrm>
          <a:off x="2973457" y="8209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438</xdr:row>
      <xdr:rowOff>74935</xdr:rowOff>
    </xdr:from>
    <xdr:to>
      <xdr:col>5</xdr:col>
      <xdr:colOff>2924</xdr:colOff>
      <xdr:row>438</xdr:row>
      <xdr:rowOff>74935</xdr:rowOff>
    </xdr:to>
    <xdr:cxnSp macro="">
      <xdr:nvCxnSpPr>
        <xdr:cNvPr id="240" name="Straight Connector 239"/>
        <xdr:cNvCxnSpPr/>
      </xdr:nvCxnSpPr>
      <xdr:spPr>
        <a:xfrm>
          <a:off x="2973457" y="8380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435</xdr:row>
      <xdr:rowOff>74935</xdr:rowOff>
    </xdr:from>
    <xdr:to>
      <xdr:col>5</xdr:col>
      <xdr:colOff>2924</xdr:colOff>
      <xdr:row>435</xdr:row>
      <xdr:rowOff>74935</xdr:rowOff>
    </xdr:to>
    <xdr:cxnSp macro="">
      <xdr:nvCxnSpPr>
        <xdr:cNvPr id="241" name="Straight Connector 240"/>
        <xdr:cNvCxnSpPr/>
      </xdr:nvCxnSpPr>
      <xdr:spPr>
        <a:xfrm>
          <a:off x="2973457" y="8323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444</xdr:row>
      <xdr:rowOff>74935</xdr:rowOff>
    </xdr:from>
    <xdr:to>
      <xdr:col>5</xdr:col>
      <xdr:colOff>2924</xdr:colOff>
      <xdr:row>444</xdr:row>
      <xdr:rowOff>74935</xdr:rowOff>
    </xdr:to>
    <xdr:cxnSp macro="">
      <xdr:nvCxnSpPr>
        <xdr:cNvPr id="242" name="Straight Connector 241"/>
        <xdr:cNvCxnSpPr/>
      </xdr:nvCxnSpPr>
      <xdr:spPr>
        <a:xfrm>
          <a:off x="2973457" y="8495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441</xdr:row>
      <xdr:rowOff>74935</xdr:rowOff>
    </xdr:from>
    <xdr:to>
      <xdr:col>5</xdr:col>
      <xdr:colOff>2924</xdr:colOff>
      <xdr:row>441</xdr:row>
      <xdr:rowOff>74935</xdr:rowOff>
    </xdr:to>
    <xdr:cxnSp macro="">
      <xdr:nvCxnSpPr>
        <xdr:cNvPr id="243" name="Straight Connector 242"/>
        <xdr:cNvCxnSpPr/>
      </xdr:nvCxnSpPr>
      <xdr:spPr>
        <a:xfrm>
          <a:off x="2973457" y="8438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450</xdr:row>
      <xdr:rowOff>74935</xdr:rowOff>
    </xdr:from>
    <xdr:to>
      <xdr:col>5</xdr:col>
      <xdr:colOff>2924</xdr:colOff>
      <xdr:row>450</xdr:row>
      <xdr:rowOff>74935</xdr:rowOff>
    </xdr:to>
    <xdr:cxnSp macro="">
      <xdr:nvCxnSpPr>
        <xdr:cNvPr id="244" name="Straight Connector 243"/>
        <xdr:cNvCxnSpPr/>
      </xdr:nvCxnSpPr>
      <xdr:spPr>
        <a:xfrm>
          <a:off x="2973457" y="8609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447</xdr:row>
      <xdr:rowOff>74935</xdr:rowOff>
    </xdr:from>
    <xdr:to>
      <xdr:col>5</xdr:col>
      <xdr:colOff>2924</xdr:colOff>
      <xdr:row>447</xdr:row>
      <xdr:rowOff>74935</xdr:rowOff>
    </xdr:to>
    <xdr:cxnSp macro="">
      <xdr:nvCxnSpPr>
        <xdr:cNvPr id="245" name="Straight Connector 244"/>
        <xdr:cNvCxnSpPr/>
      </xdr:nvCxnSpPr>
      <xdr:spPr>
        <a:xfrm>
          <a:off x="2973457" y="8552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453</xdr:row>
      <xdr:rowOff>74935</xdr:rowOff>
    </xdr:from>
    <xdr:to>
      <xdr:col>5</xdr:col>
      <xdr:colOff>2924</xdr:colOff>
      <xdr:row>453</xdr:row>
      <xdr:rowOff>74935</xdr:rowOff>
    </xdr:to>
    <xdr:cxnSp macro="">
      <xdr:nvCxnSpPr>
        <xdr:cNvPr id="246" name="Straight Connector 245"/>
        <xdr:cNvCxnSpPr/>
      </xdr:nvCxnSpPr>
      <xdr:spPr>
        <a:xfrm>
          <a:off x="2973457" y="8666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459</xdr:row>
      <xdr:rowOff>74935</xdr:rowOff>
    </xdr:from>
    <xdr:to>
      <xdr:col>5</xdr:col>
      <xdr:colOff>2924</xdr:colOff>
      <xdr:row>459</xdr:row>
      <xdr:rowOff>74935</xdr:rowOff>
    </xdr:to>
    <xdr:cxnSp macro="">
      <xdr:nvCxnSpPr>
        <xdr:cNvPr id="247" name="Straight Connector 246"/>
        <xdr:cNvCxnSpPr/>
      </xdr:nvCxnSpPr>
      <xdr:spPr>
        <a:xfrm>
          <a:off x="2973457" y="8780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456</xdr:row>
      <xdr:rowOff>74935</xdr:rowOff>
    </xdr:from>
    <xdr:to>
      <xdr:col>5</xdr:col>
      <xdr:colOff>2924</xdr:colOff>
      <xdr:row>456</xdr:row>
      <xdr:rowOff>74935</xdr:rowOff>
    </xdr:to>
    <xdr:cxnSp macro="">
      <xdr:nvCxnSpPr>
        <xdr:cNvPr id="248" name="Straight Connector 247"/>
        <xdr:cNvCxnSpPr/>
      </xdr:nvCxnSpPr>
      <xdr:spPr>
        <a:xfrm>
          <a:off x="2973457" y="8723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465</xdr:row>
      <xdr:rowOff>74935</xdr:rowOff>
    </xdr:from>
    <xdr:to>
      <xdr:col>5</xdr:col>
      <xdr:colOff>2924</xdr:colOff>
      <xdr:row>465</xdr:row>
      <xdr:rowOff>74935</xdr:rowOff>
    </xdr:to>
    <xdr:cxnSp macro="">
      <xdr:nvCxnSpPr>
        <xdr:cNvPr id="249" name="Straight Connector 248"/>
        <xdr:cNvCxnSpPr/>
      </xdr:nvCxnSpPr>
      <xdr:spPr>
        <a:xfrm>
          <a:off x="2973457" y="8895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462</xdr:row>
      <xdr:rowOff>74935</xdr:rowOff>
    </xdr:from>
    <xdr:to>
      <xdr:col>5</xdr:col>
      <xdr:colOff>2924</xdr:colOff>
      <xdr:row>462</xdr:row>
      <xdr:rowOff>74935</xdr:rowOff>
    </xdr:to>
    <xdr:cxnSp macro="">
      <xdr:nvCxnSpPr>
        <xdr:cNvPr id="250" name="Straight Connector 249"/>
        <xdr:cNvCxnSpPr/>
      </xdr:nvCxnSpPr>
      <xdr:spPr>
        <a:xfrm>
          <a:off x="2973457" y="8838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468</xdr:row>
      <xdr:rowOff>74935</xdr:rowOff>
    </xdr:from>
    <xdr:to>
      <xdr:col>5</xdr:col>
      <xdr:colOff>2924</xdr:colOff>
      <xdr:row>468</xdr:row>
      <xdr:rowOff>74935</xdr:rowOff>
    </xdr:to>
    <xdr:cxnSp macro="">
      <xdr:nvCxnSpPr>
        <xdr:cNvPr id="251" name="Straight Connector 250"/>
        <xdr:cNvCxnSpPr/>
      </xdr:nvCxnSpPr>
      <xdr:spPr>
        <a:xfrm>
          <a:off x="2973457" y="8952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474</xdr:row>
      <xdr:rowOff>74935</xdr:rowOff>
    </xdr:from>
    <xdr:to>
      <xdr:col>5</xdr:col>
      <xdr:colOff>2924</xdr:colOff>
      <xdr:row>474</xdr:row>
      <xdr:rowOff>74935</xdr:rowOff>
    </xdr:to>
    <xdr:cxnSp macro="">
      <xdr:nvCxnSpPr>
        <xdr:cNvPr id="252" name="Straight Connector 251"/>
        <xdr:cNvCxnSpPr/>
      </xdr:nvCxnSpPr>
      <xdr:spPr>
        <a:xfrm>
          <a:off x="2973457" y="9066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471</xdr:row>
      <xdr:rowOff>74935</xdr:rowOff>
    </xdr:from>
    <xdr:to>
      <xdr:col>5</xdr:col>
      <xdr:colOff>2924</xdr:colOff>
      <xdr:row>471</xdr:row>
      <xdr:rowOff>74935</xdr:rowOff>
    </xdr:to>
    <xdr:cxnSp macro="">
      <xdr:nvCxnSpPr>
        <xdr:cNvPr id="253" name="Straight Connector 252"/>
        <xdr:cNvCxnSpPr/>
      </xdr:nvCxnSpPr>
      <xdr:spPr>
        <a:xfrm>
          <a:off x="2973457" y="9009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480</xdr:row>
      <xdr:rowOff>74935</xdr:rowOff>
    </xdr:from>
    <xdr:to>
      <xdr:col>5</xdr:col>
      <xdr:colOff>2924</xdr:colOff>
      <xdr:row>480</xdr:row>
      <xdr:rowOff>74935</xdr:rowOff>
    </xdr:to>
    <xdr:cxnSp macro="">
      <xdr:nvCxnSpPr>
        <xdr:cNvPr id="254" name="Straight Connector 253"/>
        <xdr:cNvCxnSpPr/>
      </xdr:nvCxnSpPr>
      <xdr:spPr>
        <a:xfrm>
          <a:off x="2973457" y="9181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477</xdr:row>
      <xdr:rowOff>74935</xdr:rowOff>
    </xdr:from>
    <xdr:to>
      <xdr:col>5</xdr:col>
      <xdr:colOff>2924</xdr:colOff>
      <xdr:row>477</xdr:row>
      <xdr:rowOff>74935</xdr:rowOff>
    </xdr:to>
    <xdr:cxnSp macro="">
      <xdr:nvCxnSpPr>
        <xdr:cNvPr id="255" name="Straight Connector 254"/>
        <xdr:cNvCxnSpPr/>
      </xdr:nvCxnSpPr>
      <xdr:spPr>
        <a:xfrm>
          <a:off x="2973457" y="9123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483</xdr:row>
      <xdr:rowOff>74935</xdr:rowOff>
    </xdr:from>
    <xdr:to>
      <xdr:col>5</xdr:col>
      <xdr:colOff>2924</xdr:colOff>
      <xdr:row>483</xdr:row>
      <xdr:rowOff>74935</xdr:rowOff>
    </xdr:to>
    <xdr:cxnSp macro="">
      <xdr:nvCxnSpPr>
        <xdr:cNvPr id="256" name="Straight Connector 255"/>
        <xdr:cNvCxnSpPr/>
      </xdr:nvCxnSpPr>
      <xdr:spPr>
        <a:xfrm>
          <a:off x="2973457" y="9238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486</xdr:row>
      <xdr:rowOff>74935</xdr:rowOff>
    </xdr:from>
    <xdr:to>
      <xdr:col>5</xdr:col>
      <xdr:colOff>2924</xdr:colOff>
      <xdr:row>486</xdr:row>
      <xdr:rowOff>74935</xdr:rowOff>
    </xdr:to>
    <xdr:cxnSp macro="">
      <xdr:nvCxnSpPr>
        <xdr:cNvPr id="257" name="Straight Connector 256"/>
        <xdr:cNvCxnSpPr/>
      </xdr:nvCxnSpPr>
      <xdr:spPr>
        <a:xfrm>
          <a:off x="2973457" y="9295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489</xdr:row>
      <xdr:rowOff>74935</xdr:rowOff>
    </xdr:from>
    <xdr:to>
      <xdr:col>5</xdr:col>
      <xdr:colOff>2924</xdr:colOff>
      <xdr:row>489</xdr:row>
      <xdr:rowOff>74935</xdr:rowOff>
    </xdr:to>
    <xdr:cxnSp macro="">
      <xdr:nvCxnSpPr>
        <xdr:cNvPr id="258" name="Straight Connector 257"/>
        <xdr:cNvCxnSpPr/>
      </xdr:nvCxnSpPr>
      <xdr:spPr>
        <a:xfrm>
          <a:off x="2973457" y="9352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492</xdr:row>
      <xdr:rowOff>74935</xdr:rowOff>
    </xdr:from>
    <xdr:to>
      <xdr:col>5</xdr:col>
      <xdr:colOff>2924</xdr:colOff>
      <xdr:row>492</xdr:row>
      <xdr:rowOff>74935</xdr:rowOff>
    </xdr:to>
    <xdr:cxnSp macro="">
      <xdr:nvCxnSpPr>
        <xdr:cNvPr id="259" name="Straight Connector 258"/>
        <xdr:cNvCxnSpPr/>
      </xdr:nvCxnSpPr>
      <xdr:spPr>
        <a:xfrm>
          <a:off x="2973457" y="9409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495</xdr:row>
      <xdr:rowOff>74935</xdr:rowOff>
    </xdr:from>
    <xdr:to>
      <xdr:col>5</xdr:col>
      <xdr:colOff>2924</xdr:colOff>
      <xdr:row>495</xdr:row>
      <xdr:rowOff>74935</xdr:rowOff>
    </xdr:to>
    <xdr:cxnSp macro="">
      <xdr:nvCxnSpPr>
        <xdr:cNvPr id="260" name="Straight Connector 259"/>
        <xdr:cNvCxnSpPr/>
      </xdr:nvCxnSpPr>
      <xdr:spPr>
        <a:xfrm>
          <a:off x="2973457" y="9466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498</xdr:row>
      <xdr:rowOff>74935</xdr:rowOff>
    </xdr:from>
    <xdr:to>
      <xdr:col>5</xdr:col>
      <xdr:colOff>2924</xdr:colOff>
      <xdr:row>498</xdr:row>
      <xdr:rowOff>74935</xdr:rowOff>
    </xdr:to>
    <xdr:cxnSp macro="">
      <xdr:nvCxnSpPr>
        <xdr:cNvPr id="261" name="Straight Connector 260"/>
        <xdr:cNvCxnSpPr/>
      </xdr:nvCxnSpPr>
      <xdr:spPr>
        <a:xfrm>
          <a:off x="2973457" y="9523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504</xdr:row>
      <xdr:rowOff>74935</xdr:rowOff>
    </xdr:from>
    <xdr:to>
      <xdr:col>5</xdr:col>
      <xdr:colOff>2924</xdr:colOff>
      <xdr:row>504</xdr:row>
      <xdr:rowOff>74935</xdr:rowOff>
    </xdr:to>
    <xdr:cxnSp macro="">
      <xdr:nvCxnSpPr>
        <xdr:cNvPr id="262" name="Straight Connector 261"/>
        <xdr:cNvCxnSpPr/>
      </xdr:nvCxnSpPr>
      <xdr:spPr>
        <a:xfrm>
          <a:off x="2973457" y="9638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501</xdr:row>
      <xdr:rowOff>74935</xdr:rowOff>
    </xdr:from>
    <xdr:to>
      <xdr:col>5</xdr:col>
      <xdr:colOff>2924</xdr:colOff>
      <xdr:row>501</xdr:row>
      <xdr:rowOff>74935</xdr:rowOff>
    </xdr:to>
    <xdr:cxnSp macro="">
      <xdr:nvCxnSpPr>
        <xdr:cNvPr id="263" name="Straight Connector 262"/>
        <xdr:cNvCxnSpPr/>
      </xdr:nvCxnSpPr>
      <xdr:spPr>
        <a:xfrm>
          <a:off x="2973457" y="9581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510</xdr:row>
      <xdr:rowOff>74935</xdr:rowOff>
    </xdr:from>
    <xdr:to>
      <xdr:col>5</xdr:col>
      <xdr:colOff>2924</xdr:colOff>
      <xdr:row>510</xdr:row>
      <xdr:rowOff>74935</xdr:rowOff>
    </xdr:to>
    <xdr:cxnSp macro="">
      <xdr:nvCxnSpPr>
        <xdr:cNvPr id="264" name="Straight Connector 263"/>
        <xdr:cNvCxnSpPr/>
      </xdr:nvCxnSpPr>
      <xdr:spPr>
        <a:xfrm>
          <a:off x="2973457" y="9752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507</xdr:row>
      <xdr:rowOff>74935</xdr:rowOff>
    </xdr:from>
    <xdr:to>
      <xdr:col>5</xdr:col>
      <xdr:colOff>2924</xdr:colOff>
      <xdr:row>507</xdr:row>
      <xdr:rowOff>74935</xdr:rowOff>
    </xdr:to>
    <xdr:cxnSp macro="">
      <xdr:nvCxnSpPr>
        <xdr:cNvPr id="265" name="Straight Connector 264"/>
        <xdr:cNvCxnSpPr/>
      </xdr:nvCxnSpPr>
      <xdr:spPr>
        <a:xfrm>
          <a:off x="2973457" y="9695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516</xdr:row>
      <xdr:rowOff>74935</xdr:rowOff>
    </xdr:from>
    <xdr:to>
      <xdr:col>5</xdr:col>
      <xdr:colOff>2924</xdr:colOff>
      <xdr:row>516</xdr:row>
      <xdr:rowOff>74935</xdr:rowOff>
    </xdr:to>
    <xdr:cxnSp macro="">
      <xdr:nvCxnSpPr>
        <xdr:cNvPr id="266" name="Straight Connector 265"/>
        <xdr:cNvCxnSpPr/>
      </xdr:nvCxnSpPr>
      <xdr:spPr>
        <a:xfrm>
          <a:off x="2973457" y="9866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513</xdr:row>
      <xdr:rowOff>74935</xdr:rowOff>
    </xdr:from>
    <xdr:to>
      <xdr:col>5</xdr:col>
      <xdr:colOff>2924</xdr:colOff>
      <xdr:row>513</xdr:row>
      <xdr:rowOff>74935</xdr:rowOff>
    </xdr:to>
    <xdr:cxnSp macro="">
      <xdr:nvCxnSpPr>
        <xdr:cNvPr id="267" name="Straight Connector 266"/>
        <xdr:cNvCxnSpPr/>
      </xdr:nvCxnSpPr>
      <xdr:spPr>
        <a:xfrm>
          <a:off x="2973457" y="9809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522</xdr:row>
      <xdr:rowOff>74935</xdr:rowOff>
    </xdr:from>
    <xdr:to>
      <xdr:col>5</xdr:col>
      <xdr:colOff>2924</xdr:colOff>
      <xdr:row>522</xdr:row>
      <xdr:rowOff>74935</xdr:rowOff>
    </xdr:to>
    <xdr:cxnSp macro="">
      <xdr:nvCxnSpPr>
        <xdr:cNvPr id="268" name="Straight Connector 267"/>
        <xdr:cNvCxnSpPr/>
      </xdr:nvCxnSpPr>
      <xdr:spPr>
        <a:xfrm>
          <a:off x="2973457" y="9981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519</xdr:row>
      <xdr:rowOff>74935</xdr:rowOff>
    </xdr:from>
    <xdr:to>
      <xdr:col>5</xdr:col>
      <xdr:colOff>2924</xdr:colOff>
      <xdr:row>519</xdr:row>
      <xdr:rowOff>74935</xdr:rowOff>
    </xdr:to>
    <xdr:cxnSp macro="">
      <xdr:nvCxnSpPr>
        <xdr:cNvPr id="269" name="Straight Connector 268"/>
        <xdr:cNvCxnSpPr/>
      </xdr:nvCxnSpPr>
      <xdr:spPr>
        <a:xfrm>
          <a:off x="2973457" y="9923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540</xdr:row>
      <xdr:rowOff>74935</xdr:rowOff>
    </xdr:from>
    <xdr:to>
      <xdr:col>5</xdr:col>
      <xdr:colOff>2924</xdr:colOff>
      <xdr:row>540</xdr:row>
      <xdr:rowOff>74935</xdr:rowOff>
    </xdr:to>
    <xdr:cxnSp macro="">
      <xdr:nvCxnSpPr>
        <xdr:cNvPr id="270" name="Straight Connector 269"/>
        <xdr:cNvCxnSpPr/>
      </xdr:nvCxnSpPr>
      <xdr:spPr>
        <a:xfrm>
          <a:off x="2973457" y="10324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537</xdr:row>
      <xdr:rowOff>74935</xdr:rowOff>
    </xdr:from>
    <xdr:to>
      <xdr:col>5</xdr:col>
      <xdr:colOff>2924</xdr:colOff>
      <xdr:row>537</xdr:row>
      <xdr:rowOff>74935</xdr:rowOff>
    </xdr:to>
    <xdr:cxnSp macro="">
      <xdr:nvCxnSpPr>
        <xdr:cNvPr id="271" name="Straight Connector 270"/>
        <xdr:cNvCxnSpPr/>
      </xdr:nvCxnSpPr>
      <xdr:spPr>
        <a:xfrm>
          <a:off x="2973457" y="10266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528</xdr:row>
      <xdr:rowOff>74935</xdr:rowOff>
    </xdr:from>
    <xdr:to>
      <xdr:col>5</xdr:col>
      <xdr:colOff>2924</xdr:colOff>
      <xdr:row>528</xdr:row>
      <xdr:rowOff>74935</xdr:rowOff>
    </xdr:to>
    <xdr:cxnSp macro="">
      <xdr:nvCxnSpPr>
        <xdr:cNvPr id="272" name="Straight Connector 271"/>
        <xdr:cNvCxnSpPr/>
      </xdr:nvCxnSpPr>
      <xdr:spPr>
        <a:xfrm>
          <a:off x="2973457" y="10095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525</xdr:row>
      <xdr:rowOff>74935</xdr:rowOff>
    </xdr:from>
    <xdr:to>
      <xdr:col>5</xdr:col>
      <xdr:colOff>2924</xdr:colOff>
      <xdr:row>525</xdr:row>
      <xdr:rowOff>74935</xdr:rowOff>
    </xdr:to>
    <xdr:cxnSp macro="">
      <xdr:nvCxnSpPr>
        <xdr:cNvPr id="273" name="Straight Connector 272"/>
        <xdr:cNvCxnSpPr/>
      </xdr:nvCxnSpPr>
      <xdr:spPr>
        <a:xfrm>
          <a:off x="2973457" y="10038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534</xdr:row>
      <xdr:rowOff>74935</xdr:rowOff>
    </xdr:from>
    <xdr:to>
      <xdr:col>5</xdr:col>
      <xdr:colOff>2924</xdr:colOff>
      <xdr:row>534</xdr:row>
      <xdr:rowOff>74935</xdr:rowOff>
    </xdr:to>
    <xdr:cxnSp macro="">
      <xdr:nvCxnSpPr>
        <xdr:cNvPr id="274" name="Straight Connector 273"/>
        <xdr:cNvCxnSpPr/>
      </xdr:nvCxnSpPr>
      <xdr:spPr>
        <a:xfrm>
          <a:off x="2973457" y="10209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531</xdr:row>
      <xdr:rowOff>74935</xdr:rowOff>
    </xdr:from>
    <xdr:to>
      <xdr:col>5</xdr:col>
      <xdr:colOff>2924</xdr:colOff>
      <xdr:row>531</xdr:row>
      <xdr:rowOff>74935</xdr:rowOff>
    </xdr:to>
    <xdr:cxnSp macro="">
      <xdr:nvCxnSpPr>
        <xdr:cNvPr id="275" name="Straight Connector 274"/>
        <xdr:cNvCxnSpPr/>
      </xdr:nvCxnSpPr>
      <xdr:spPr>
        <a:xfrm>
          <a:off x="2973457" y="10152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549</xdr:row>
      <xdr:rowOff>74935</xdr:rowOff>
    </xdr:from>
    <xdr:to>
      <xdr:col>5</xdr:col>
      <xdr:colOff>2924</xdr:colOff>
      <xdr:row>549</xdr:row>
      <xdr:rowOff>74935</xdr:rowOff>
    </xdr:to>
    <xdr:cxnSp macro="">
      <xdr:nvCxnSpPr>
        <xdr:cNvPr id="276" name="Straight Connector 275"/>
        <xdr:cNvCxnSpPr/>
      </xdr:nvCxnSpPr>
      <xdr:spPr>
        <a:xfrm>
          <a:off x="2973457" y="10495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543</xdr:row>
      <xdr:rowOff>74935</xdr:rowOff>
    </xdr:from>
    <xdr:to>
      <xdr:col>5</xdr:col>
      <xdr:colOff>2924</xdr:colOff>
      <xdr:row>543</xdr:row>
      <xdr:rowOff>74935</xdr:rowOff>
    </xdr:to>
    <xdr:cxnSp macro="">
      <xdr:nvCxnSpPr>
        <xdr:cNvPr id="277" name="Straight Connector 276"/>
        <xdr:cNvCxnSpPr/>
      </xdr:nvCxnSpPr>
      <xdr:spPr>
        <a:xfrm>
          <a:off x="2973457" y="10381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546</xdr:row>
      <xdr:rowOff>74935</xdr:rowOff>
    </xdr:from>
    <xdr:to>
      <xdr:col>5</xdr:col>
      <xdr:colOff>2924</xdr:colOff>
      <xdr:row>546</xdr:row>
      <xdr:rowOff>74935</xdr:rowOff>
    </xdr:to>
    <xdr:cxnSp macro="">
      <xdr:nvCxnSpPr>
        <xdr:cNvPr id="278" name="Straight Connector 277"/>
        <xdr:cNvCxnSpPr/>
      </xdr:nvCxnSpPr>
      <xdr:spPr>
        <a:xfrm>
          <a:off x="2973457" y="10438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552</xdr:row>
      <xdr:rowOff>74935</xdr:rowOff>
    </xdr:from>
    <xdr:to>
      <xdr:col>5</xdr:col>
      <xdr:colOff>2924</xdr:colOff>
      <xdr:row>552</xdr:row>
      <xdr:rowOff>74935</xdr:rowOff>
    </xdr:to>
    <xdr:cxnSp macro="">
      <xdr:nvCxnSpPr>
        <xdr:cNvPr id="279" name="Straight Connector 278"/>
        <xdr:cNvCxnSpPr/>
      </xdr:nvCxnSpPr>
      <xdr:spPr>
        <a:xfrm>
          <a:off x="2973457" y="10552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558</xdr:row>
      <xdr:rowOff>74935</xdr:rowOff>
    </xdr:from>
    <xdr:to>
      <xdr:col>5</xdr:col>
      <xdr:colOff>2924</xdr:colOff>
      <xdr:row>558</xdr:row>
      <xdr:rowOff>74935</xdr:rowOff>
    </xdr:to>
    <xdr:cxnSp macro="">
      <xdr:nvCxnSpPr>
        <xdr:cNvPr id="280" name="Straight Connector 279"/>
        <xdr:cNvCxnSpPr/>
      </xdr:nvCxnSpPr>
      <xdr:spPr>
        <a:xfrm>
          <a:off x="2973457" y="10666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555</xdr:row>
      <xdr:rowOff>74935</xdr:rowOff>
    </xdr:from>
    <xdr:to>
      <xdr:col>5</xdr:col>
      <xdr:colOff>2924</xdr:colOff>
      <xdr:row>555</xdr:row>
      <xdr:rowOff>74935</xdr:rowOff>
    </xdr:to>
    <xdr:cxnSp macro="">
      <xdr:nvCxnSpPr>
        <xdr:cNvPr id="281" name="Straight Connector 280"/>
        <xdr:cNvCxnSpPr/>
      </xdr:nvCxnSpPr>
      <xdr:spPr>
        <a:xfrm>
          <a:off x="2973457" y="10609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561</xdr:row>
      <xdr:rowOff>74935</xdr:rowOff>
    </xdr:from>
    <xdr:to>
      <xdr:col>5</xdr:col>
      <xdr:colOff>2924</xdr:colOff>
      <xdr:row>561</xdr:row>
      <xdr:rowOff>74935</xdr:rowOff>
    </xdr:to>
    <xdr:cxnSp macro="">
      <xdr:nvCxnSpPr>
        <xdr:cNvPr id="282" name="Straight Connector 281"/>
        <xdr:cNvCxnSpPr/>
      </xdr:nvCxnSpPr>
      <xdr:spPr>
        <a:xfrm>
          <a:off x="2973457" y="10724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567</xdr:row>
      <xdr:rowOff>74935</xdr:rowOff>
    </xdr:from>
    <xdr:to>
      <xdr:col>5</xdr:col>
      <xdr:colOff>2924</xdr:colOff>
      <xdr:row>567</xdr:row>
      <xdr:rowOff>74935</xdr:rowOff>
    </xdr:to>
    <xdr:cxnSp macro="">
      <xdr:nvCxnSpPr>
        <xdr:cNvPr id="283" name="Straight Connector 282"/>
        <xdr:cNvCxnSpPr/>
      </xdr:nvCxnSpPr>
      <xdr:spPr>
        <a:xfrm>
          <a:off x="2973457" y="10838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573</xdr:row>
      <xdr:rowOff>74935</xdr:rowOff>
    </xdr:from>
    <xdr:to>
      <xdr:col>5</xdr:col>
      <xdr:colOff>2924</xdr:colOff>
      <xdr:row>573</xdr:row>
      <xdr:rowOff>74935</xdr:rowOff>
    </xdr:to>
    <xdr:cxnSp macro="">
      <xdr:nvCxnSpPr>
        <xdr:cNvPr id="284" name="Straight Connector 283"/>
        <xdr:cNvCxnSpPr/>
      </xdr:nvCxnSpPr>
      <xdr:spPr>
        <a:xfrm>
          <a:off x="2973457" y="10952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570</xdr:row>
      <xdr:rowOff>74935</xdr:rowOff>
    </xdr:from>
    <xdr:to>
      <xdr:col>5</xdr:col>
      <xdr:colOff>2924</xdr:colOff>
      <xdr:row>570</xdr:row>
      <xdr:rowOff>74935</xdr:rowOff>
    </xdr:to>
    <xdr:cxnSp macro="">
      <xdr:nvCxnSpPr>
        <xdr:cNvPr id="285" name="Straight Connector 284"/>
        <xdr:cNvCxnSpPr/>
      </xdr:nvCxnSpPr>
      <xdr:spPr>
        <a:xfrm>
          <a:off x="2973457" y="10895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564</xdr:row>
      <xdr:rowOff>74935</xdr:rowOff>
    </xdr:from>
    <xdr:to>
      <xdr:col>5</xdr:col>
      <xdr:colOff>2924</xdr:colOff>
      <xdr:row>564</xdr:row>
      <xdr:rowOff>74935</xdr:rowOff>
    </xdr:to>
    <xdr:cxnSp macro="">
      <xdr:nvCxnSpPr>
        <xdr:cNvPr id="286" name="Straight Connector 285"/>
        <xdr:cNvCxnSpPr/>
      </xdr:nvCxnSpPr>
      <xdr:spPr>
        <a:xfrm>
          <a:off x="2973457" y="10781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616</xdr:row>
      <xdr:rowOff>74934</xdr:rowOff>
    </xdr:from>
    <xdr:to>
      <xdr:col>5</xdr:col>
      <xdr:colOff>14130</xdr:colOff>
      <xdr:row>616</xdr:row>
      <xdr:rowOff>74934</xdr:rowOff>
    </xdr:to>
    <xdr:cxnSp macro="">
      <xdr:nvCxnSpPr>
        <xdr:cNvPr id="287" name="Straight Connector 286"/>
        <xdr:cNvCxnSpPr/>
      </xdr:nvCxnSpPr>
      <xdr:spPr>
        <a:xfrm>
          <a:off x="2985223" y="117718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619</xdr:row>
      <xdr:rowOff>86140</xdr:rowOff>
    </xdr:from>
    <xdr:to>
      <xdr:col>5</xdr:col>
      <xdr:colOff>14130</xdr:colOff>
      <xdr:row>619</xdr:row>
      <xdr:rowOff>86140</xdr:rowOff>
    </xdr:to>
    <xdr:cxnSp macro="">
      <xdr:nvCxnSpPr>
        <xdr:cNvPr id="288" name="Straight Connector 287"/>
        <xdr:cNvCxnSpPr/>
      </xdr:nvCxnSpPr>
      <xdr:spPr>
        <a:xfrm>
          <a:off x="2985223" y="118300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622</xdr:row>
      <xdr:rowOff>74934</xdr:rowOff>
    </xdr:from>
    <xdr:to>
      <xdr:col>5</xdr:col>
      <xdr:colOff>14130</xdr:colOff>
      <xdr:row>622</xdr:row>
      <xdr:rowOff>74934</xdr:rowOff>
    </xdr:to>
    <xdr:cxnSp macro="">
      <xdr:nvCxnSpPr>
        <xdr:cNvPr id="289" name="Straight Connector 288"/>
        <xdr:cNvCxnSpPr/>
      </xdr:nvCxnSpPr>
      <xdr:spPr>
        <a:xfrm>
          <a:off x="2985223" y="118861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625</xdr:row>
      <xdr:rowOff>86140</xdr:rowOff>
    </xdr:from>
    <xdr:to>
      <xdr:col>5</xdr:col>
      <xdr:colOff>14130</xdr:colOff>
      <xdr:row>625</xdr:row>
      <xdr:rowOff>86140</xdr:rowOff>
    </xdr:to>
    <xdr:cxnSp macro="">
      <xdr:nvCxnSpPr>
        <xdr:cNvPr id="290" name="Straight Connector 289"/>
        <xdr:cNvCxnSpPr/>
      </xdr:nvCxnSpPr>
      <xdr:spPr>
        <a:xfrm>
          <a:off x="2985223" y="119443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628</xdr:row>
      <xdr:rowOff>74934</xdr:rowOff>
    </xdr:from>
    <xdr:to>
      <xdr:col>5</xdr:col>
      <xdr:colOff>14130</xdr:colOff>
      <xdr:row>628</xdr:row>
      <xdr:rowOff>74934</xdr:rowOff>
    </xdr:to>
    <xdr:cxnSp macro="">
      <xdr:nvCxnSpPr>
        <xdr:cNvPr id="291" name="Straight Connector 290"/>
        <xdr:cNvCxnSpPr/>
      </xdr:nvCxnSpPr>
      <xdr:spPr>
        <a:xfrm>
          <a:off x="2985223" y="120004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634</xdr:row>
      <xdr:rowOff>86140</xdr:rowOff>
    </xdr:from>
    <xdr:to>
      <xdr:col>5</xdr:col>
      <xdr:colOff>14130</xdr:colOff>
      <xdr:row>634</xdr:row>
      <xdr:rowOff>86140</xdr:rowOff>
    </xdr:to>
    <xdr:cxnSp macro="">
      <xdr:nvCxnSpPr>
        <xdr:cNvPr id="292" name="Straight Connector 291"/>
        <xdr:cNvCxnSpPr/>
      </xdr:nvCxnSpPr>
      <xdr:spPr>
        <a:xfrm>
          <a:off x="2985223" y="121158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631</xdr:row>
      <xdr:rowOff>74934</xdr:rowOff>
    </xdr:from>
    <xdr:to>
      <xdr:col>5</xdr:col>
      <xdr:colOff>14130</xdr:colOff>
      <xdr:row>631</xdr:row>
      <xdr:rowOff>74934</xdr:rowOff>
    </xdr:to>
    <xdr:cxnSp macro="">
      <xdr:nvCxnSpPr>
        <xdr:cNvPr id="293" name="Straight Connector 292"/>
        <xdr:cNvCxnSpPr/>
      </xdr:nvCxnSpPr>
      <xdr:spPr>
        <a:xfrm>
          <a:off x="2985223" y="120575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637</xdr:row>
      <xdr:rowOff>86140</xdr:rowOff>
    </xdr:from>
    <xdr:to>
      <xdr:col>5</xdr:col>
      <xdr:colOff>14130</xdr:colOff>
      <xdr:row>637</xdr:row>
      <xdr:rowOff>86140</xdr:rowOff>
    </xdr:to>
    <xdr:cxnSp macro="">
      <xdr:nvCxnSpPr>
        <xdr:cNvPr id="294" name="Straight Connector 293"/>
        <xdr:cNvCxnSpPr/>
      </xdr:nvCxnSpPr>
      <xdr:spPr>
        <a:xfrm>
          <a:off x="2985223" y="121729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643</xdr:row>
      <xdr:rowOff>86140</xdr:rowOff>
    </xdr:from>
    <xdr:to>
      <xdr:col>5</xdr:col>
      <xdr:colOff>14130</xdr:colOff>
      <xdr:row>643</xdr:row>
      <xdr:rowOff>86140</xdr:rowOff>
    </xdr:to>
    <xdr:cxnSp macro="">
      <xdr:nvCxnSpPr>
        <xdr:cNvPr id="295" name="Straight Connector 294"/>
        <xdr:cNvCxnSpPr/>
      </xdr:nvCxnSpPr>
      <xdr:spPr>
        <a:xfrm>
          <a:off x="2985223" y="122872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640</xdr:row>
      <xdr:rowOff>74934</xdr:rowOff>
    </xdr:from>
    <xdr:to>
      <xdr:col>5</xdr:col>
      <xdr:colOff>14130</xdr:colOff>
      <xdr:row>640</xdr:row>
      <xdr:rowOff>74934</xdr:rowOff>
    </xdr:to>
    <xdr:cxnSp macro="">
      <xdr:nvCxnSpPr>
        <xdr:cNvPr id="296" name="Straight Connector 295"/>
        <xdr:cNvCxnSpPr/>
      </xdr:nvCxnSpPr>
      <xdr:spPr>
        <a:xfrm>
          <a:off x="2985223" y="122290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649</xdr:row>
      <xdr:rowOff>86140</xdr:rowOff>
    </xdr:from>
    <xdr:to>
      <xdr:col>5</xdr:col>
      <xdr:colOff>14130</xdr:colOff>
      <xdr:row>649</xdr:row>
      <xdr:rowOff>86140</xdr:rowOff>
    </xdr:to>
    <xdr:cxnSp macro="">
      <xdr:nvCxnSpPr>
        <xdr:cNvPr id="297" name="Straight Connector 296"/>
        <xdr:cNvCxnSpPr/>
      </xdr:nvCxnSpPr>
      <xdr:spPr>
        <a:xfrm>
          <a:off x="2985223" y="124015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646</xdr:row>
      <xdr:rowOff>74934</xdr:rowOff>
    </xdr:from>
    <xdr:to>
      <xdr:col>5</xdr:col>
      <xdr:colOff>14130</xdr:colOff>
      <xdr:row>646</xdr:row>
      <xdr:rowOff>74934</xdr:rowOff>
    </xdr:to>
    <xdr:cxnSp macro="">
      <xdr:nvCxnSpPr>
        <xdr:cNvPr id="298" name="Straight Connector 297"/>
        <xdr:cNvCxnSpPr/>
      </xdr:nvCxnSpPr>
      <xdr:spPr>
        <a:xfrm>
          <a:off x="2985223" y="123433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652</xdr:row>
      <xdr:rowOff>86140</xdr:rowOff>
    </xdr:from>
    <xdr:to>
      <xdr:col>5</xdr:col>
      <xdr:colOff>14130</xdr:colOff>
      <xdr:row>652</xdr:row>
      <xdr:rowOff>86140</xdr:rowOff>
    </xdr:to>
    <xdr:cxnSp macro="">
      <xdr:nvCxnSpPr>
        <xdr:cNvPr id="299" name="Straight Connector 298"/>
        <xdr:cNvCxnSpPr/>
      </xdr:nvCxnSpPr>
      <xdr:spPr>
        <a:xfrm>
          <a:off x="2985223" y="124587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655</xdr:row>
      <xdr:rowOff>74934</xdr:rowOff>
    </xdr:from>
    <xdr:to>
      <xdr:col>5</xdr:col>
      <xdr:colOff>14130</xdr:colOff>
      <xdr:row>655</xdr:row>
      <xdr:rowOff>74934</xdr:rowOff>
    </xdr:to>
    <xdr:cxnSp macro="">
      <xdr:nvCxnSpPr>
        <xdr:cNvPr id="300" name="Straight Connector 299"/>
        <xdr:cNvCxnSpPr/>
      </xdr:nvCxnSpPr>
      <xdr:spPr>
        <a:xfrm>
          <a:off x="2985223" y="125147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658</xdr:row>
      <xdr:rowOff>74934</xdr:rowOff>
    </xdr:from>
    <xdr:to>
      <xdr:col>5</xdr:col>
      <xdr:colOff>14130</xdr:colOff>
      <xdr:row>658</xdr:row>
      <xdr:rowOff>74934</xdr:rowOff>
    </xdr:to>
    <xdr:cxnSp macro="">
      <xdr:nvCxnSpPr>
        <xdr:cNvPr id="301" name="Straight Connector 300"/>
        <xdr:cNvCxnSpPr/>
      </xdr:nvCxnSpPr>
      <xdr:spPr>
        <a:xfrm>
          <a:off x="2985223" y="125719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661</xdr:row>
      <xdr:rowOff>74934</xdr:rowOff>
    </xdr:from>
    <xdr:to>
      <xdr:col>5</xdr:col>
      <xdr:colOff>14130</xdr:colOff>
      <xdr:row>661</xdr:row>
      <xdr:rowOff>74934</xdr:rowOff>
    </xdr:to>
    <xdr:cxnSp macro="">
      <xdr:nvCxnSpPr>
        <xdr:cNvPr id="302" name="Straight Connector 301"/>
        <xdr:cNvCxnSpPr/>
      </xdr:nvCxnSpPr>
      <xdr:spPr>
        <a:xfrm>
          <a:off x="2985223" y="126290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664</xdr:row>
      <xdr:rowOff>74934</xdr:rowOff>
    </xdr:from>
    <xdr:to>
      <xdr:col>5</xdr:col>
      <xdr:colOff>14130</xdr:colOff>
      <xdr:row>664</xdr:row>
      <xdr:rowOff>74934</xdr:rowOff>
    </xdr:to>
    <xdr:cxnSp macro="">
      <xdr:nvCxnSpPr>
        <xdr:cNvPr id="303" name="Straight Connector 302"/>
        <xdr:cNvCxnSpPr/>
      </xdr:nvCxnSpPr>
      <xdr:spPr>
        <a:xfrm>
          <a:off x="2985223" y="126862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667</xdr:row>
      <xdr:rowOff>74934</xdr:rowOff>
    </xdr:from>
    <xdr:to>
      <xdr:col>5</xdr:col>
      <xdr:colOff>14130</xdr:colOff>
      <xdr:row>667</xdr:row>
      <xdr:rowOff>74934</xdr:rowOff>
    </xdr:to>
    <xdr:cxnSp macro="">
      <xdr:nvCxnSpPr>
        <xdr:cNvPr id="304" name="Straight Connector 303"/>
        <xdr:cNvCxnSpPr/>
      </xdr:nvCxnSpPr>
      <xdr:spPr>
        <a:xfrm>
          <a:off x="2985223" y="127433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670</xdr:row>
      <xdr:rowOff>74934</xdr:rowOff>
    </xdr:from>
    <xdr:to>
      <xdr:col>5</xdr:col>
      <xdr:colOff>14130</xdr:colOff>
      <xdr:row>670</xdr:row>
      <xdr:rowOff>74934</xdr:rowOff>
    </xdr:to>
    <xdr:cxnSp macro="">
      <xdr:nvCxnSpPr>
        <xdr:cNvPr id="305" name="Straight Connector 304"/>
        <xdr:cNvCxnSpPr/>
      </xdr:nvCxnSpPr>
      <xdr:spPr>
        <a:xfrm>
          <a:off x="2985223" y="128005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673</xdr:row>
      <xdr:rowOff>74934</xdr:rowOff>
    </xdr:from>
    <xdr:to>
      <xdr:col>5</xdr:col>
      <xdr:colOff>14130</xdr:colOff>
      <xdr:row>673</xdr:row>
      <xdr:rowOff>74934</xdr:rowOff>
    </xdr:to>
    <xdr:cxnSp macro="">
      <xdr:nvCxnSpPr>
        <xdr:cNvPr id="306" name="Straight Connector 305"/>
        <xdr:cNvCxnSpPr/>
      </xdr:nvCxnSpPr>
      <xdr:spPr>
        <a:xfrm>
          <a:off x="2985223" y="128576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676</xdr:row>
      <xdr:rowOff>74934</xdr:rowOff>
    </xdr:from>
    <xdr:to>
      <xdr:col>5</xdr:col>
      <xdr:colOff>14130</xdr:colOff>
      <xdr:row>676</xdr:row>
      <xdr:rowOff>74934</xdr:rowOff>
    </xdr:to>
    <xdr:cxnSp macro="">
      <xdr:nvCxnSpPr>
        <xdr:cNvPr id="307" name="Straight Connector 306"/>
        <xdr:cNvCxnSpPr/>
      </xdr:nvCxnSpPr>
      <xdr:spPr>
        <a:xfrm>
          <a:off x="2985223" y="129148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679</xdr:row>
      <xdr:rowOff>74934</xdr:rowOff>
    </xdr:from>
    <xdr:to>
      <xdr:col>5</xdr:col>
      <xdr:colOff>14130</xdr:colOff>
      <xdr:row>679</xdr:row>
      <xdr:rowOff>74934</xdr:rowOff>
    </xdr:to>
    <xdr:cxnSp macro="">
      <xdr:nvCxnSpPr>
        <xdr:cNvPr id="308" name="Straight Connector 307"/>
        <xdr:cNvCxnSpPr/>
      </xdr:nvCxnSpPr>
      <xdr:spPr>
        <a:xfrm>
          <a:off x="2985223" y="129719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682</xdr:row>
      <xdr:rowOff>74934</xdr:rowOff>
    </xdr:from>
    <xdr:to>
      <xdr:col>5</xdr:col>
      <xdr:colOff>14130</xdr:colOff>
      <xdr:row>682</xdr:row>
      <xdr:rowOff>74934</xdr:rowOff>
    </xdr:to>
    <xdr:cxnSp macro="">
      <xdr:nvCxnSpPr>
        <xdr:cNvPr id="309" name="Straight Connector 308"/>
        <xdr:cNvCxnSpPr/>
      </xdr:nvCxnSpPr>
      <xdr:spPr>
        <a:xfrm>
          <a:off x="2985223" y="130291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685</xdr:row>
      <xdr:rowOff>74934</xdr:rowOff>
    </xdr:from>
    <xdr:to>
      <xdr:col>5</xdr:col>
      <xdr:colOff>14130</xdr:colOff>
      <xdr:row>685</xdr:row>
      <xdr:rowOff>74934</xdr:rowOff>
    </xdr:to>
    <xdr:cxnSp macro="">
      <xdr:nvCxnSpPr>
        <xdr:cNvPr id="310" name="Straight Connector 309"/>
        <xdr:cNvCxnSpPr/>
      </xdr:nvCxnSpPr>
      <xdr:spPr>
        <a:xfrm>
          <a:off x="2985223" y="130862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688</xdr:row>
      <xdr:rowOff>74934</xdr:rowOff>
    </xdr:from>
    <xdr:to>
      <xdr:col>5</xdr:col>
      <xdr:colOff>14130</xdr:colOff>
      <xdr:row>688</xdr:row>
      <xdr:rowOff>74934</xdr:rowOff>
    </xdr:to>
    <xdr:cxnSp macro="">
      <xdr:nvCxnSpPr>
        <xdr:cNvPr id="311" name="Straight Connector 310"/>
        <xdr:cNvCxnSpPr/>
      </xdr:nvCxnSpPr>
      <xdr:spPr>
        <a:xfrm>
          <a:off x="2985223" y="131434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691</xdr:row>
      <xdr:rowOff>74934</xdr:rowOff>
    </xdr:from>
    <xdr:to>
      <xdr:col>5</xdr:col>
      <xdr:colOff>14130</xdr:colOff>
      <xdr:row>691</xdr:row>
      <xdr:rowOff>74934</xdr:rowOff>
    </xdr:to>
    <xdr:cxnSp macro="">
      <xdr:nvCxnSpPr>
        <xdr:cNvPr id="312" name="Straight Connector 311"/>
        <xdr:cNvCxnSpPr/>
      </xdr:nvCxnSpPr>
      <xdr:spPr>
        <a:xfrm>
          <a:off x="2985223" y="132005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694</xdr:row>
      <xdr:rowOff>74934</xdr:rowOff>
    </xdr:from>
    <xdr:to>
      <xdr:col>5</xdr:col>
      <xdr:colOff>14130</xdr:colOff>
      <xdr:row>694</xdr:row>
      <xdr:rowOff>74934</xdr:rowOff>
    </xdr:to>
    <xdr:cxnSp macro="">
      <xdr:nvCxnSpPr>
        <xdr:cNvPr id="313" name="Straight Connector 312"/>
        <xdr:cNvCxnSpPr/>
      </xdr:nvCxnSpPr>
      <xdr:spPr>
        <a:xfrm>
          <a:off x="2985223" y="132577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697</xdr:row>
      <xdr:rowOff>74934</xdr:rowOff>
    </xdr:from>
    <xdr:to>
      <xdr:col>5</xdr:col>
      <xdr:colOff>14130</xdr:colOff>
      <xdr:row>697</xdr:row>
      <xdr:rowOff>74934</xdr:rowOff>
    </xdr:to>
    <xdr:cxnSp macro="">
      <xdr:nvCxnSpPr>
        <xdr:cNvPr id="314" name="Straight Connector 313"/>
        <xdr:cNvCxnSpPr/>
      </xdr:nvCxnSpPr>
      <xdr:spPr>
        <a:xfrm>
          <a:off x="2985223" y="133148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700</xdr:row>
      <xdr:rowOff>74934</xdr:rowOff>
    </xdr:from>
    <xdr:to>
      <xdr:col>5</xdr:col>
      <xdr:colOff>14130</xdr:colOff>
      <xdr:row>700</xdr:row>
      <xdr:rowOff>74934</xdr:rowOff>
    </xdr:to>
    <xdr:cxnSp macro="">
      <xdr:nvCxnSpPr>
        <xdr:cNvPr id="315" name="Straight Connector 314"/>
        <xdr:cNvCxnSpPr/>
      </xdr:nvCxnSpPr>
      <xdr:spPr>
        <a:xfrm>
          <a:off x="2985223" y="133720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703</xdr:row>
      <xdr:rowOff>74934</xdr:rowOff>
    </xdr:from>
    <xdr:to>
      <xdr:col>5</xdr:col>
      <xdr:colOff>14130</xdr:colOff>
      <xdr:row>703</xdr:row>
      <xdr:rowOff>74934</xdr:rowOff>
    </xdr:to>
    <xdr:cxnSp macro="">
      <xdr:nvCxnSpPr>
        <xdr:cNvPr id="316" name="Straight Connector 315"/>
        <xdr:cNvCxnSpPr/>
      </xdr:nvCxnSpPr>
      <xdr:spPr>
        <a:xfrm>
          <a:off x="2985223" y="134291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706</xdr:row>
      <xdr:rowOff>74934</xdr:rowOff>
    </xdr:from>
    <xdr:to>
      <xdr:col>5</xdr:col>
      <xdr:colOff>14130</xdr:colOff>
      <xdr:row>706</xdr:row>
      <xdr:rowOff>74934</xdr:rowOff>
    </xdr:to>
    <xdr:cxnSp macro="">
      <xdr:nvCxnSpPr>
        <xdr:cNvPr id="317" name="Straight Connector 316"/>
        <xdr:cNvCxnSpPr/>
      </xdr:nvCxnSpPr>
      <xdr:spPr>
        <a:xfrm>
          <a:off x="2985223" y="134863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712</xdr:row>
      <xdr:rowOff>86140</xdr:rowOff>
    </xdr:from>
    <xdr:to>
      <xdr:col>5</xdr:col>
      <xdr:colOff>14130</xdr:colOff>
      <xdr:row>712</xdr:row>
      <xdr:rowOff>86140</xdr:rowOff>
    </xdr:to>
    <xdr:cxnSp macro="">
      <xdr:nvCxnSpPr>
        <xdr:cNvPr id="318" name="Straight Connector 317"/>
        <xdr:cNvCxnSpPr/>
      </xdr:nvCxnSpPr>
      <xdr:spPr>
        <a:xfrm>
          <a:off x="2985223" y="136017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709</xdr:row>
      <xdr:rowOff>74934</xdr:rowOff>
    </xdr:from>
    <xdr:to>
      <xdr:col>5</xdr:col>
      <xdr:colOff>14130</xdr:colOff>
      <xdr:row>709</xdr:row>
      <xdr:rowOff>74934</xdr:rowOff>
    </xdr:to>
    <xdr:cxnSp macro="">
      <xdr:nvCxnSpPr>
        <xdr:cNvPr id="319" name="Straight Connector 318"/>
        <xdr:cNvCxnSpPr/>
      </xdr:nvCxnSpPr>
      <xdr:spPr>
        <a:xfrm>
          <a:off x="2985223" y="135434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715</xdr:row>
      <xdr:rowOff>86140</xdr:rowOff>
    </xdr:from>
    <xdr:to>
      <xdr:col>5</xdr:col>
      <xdr:colOff>14130</xdr:colOff>
      <xdr:row>715</xdr:row>
      <xdr:rowOff>86140</xdr:rowOff>
    </xdr:to>
    <xdr:cxnSp macro="">
      <xdr:nvCxnSpPr>
        <xdr:cNvPr id="320" name="Straight Connector 319"/>
        <xdr:cNvCxnSpPr/>
      </xdr:nvCxnSpPr>
      <xdr:spPr>
        <a:xfrm>
          <a:off x="2985223" y="136588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721</xdr:row>
      <xdr:rowOff>86140</xdr:rowOff>
    </xdr:from>
    <xdr:to>
      <xdr:col>5</xdr:col>
      <xdr:colOff>14130</xdr:colOff>
      <xdr:row>721</xdr:row>
      <xdr:rowOff>86140</xdr:rowOff>
    </xdr:to>
    <xdr:cxnSp macro="">
      <xdr:nvCxnSpPr>
        <xdr:cNvPr id="321" name="Straight Connector 320"/>
        <xdr:cNvCxnSpPr/>
      </xdr:nvCxnSpPr>
      <xdr:spPr>
        <a:xfrm>
          <a:off x="2985223" y="137731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718</xdr:row>
      <xdr:rowOff>74934</xdr:rowOff>
    </xdr:from>
    <xdr:to>
      <xdr:col>5</xdr:col>
      <xdr:colOff>14130</xdr:colOff>
      <xdr:row>718</xdr:row>
      <xdr:rowOff>74934</xdr:rowOff>
    </xdr:to>
    <xdr:cxnSp macro="">
      <xdr:nvCxnSpPr>
        <xdr:cNvPr id="322" name="Straight Connector 321"/>
        <xdr:cNvCxnSpPr/>
      </xdr:nvCxnSpPr>
      <xdr:spPr>
        <a:xfrm>
          <a:off x="2985223" y="137149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724</xdr:row>
      <xdr:rowOff>86140</xdr:rowOff>
    </xdr:from>
    <xdr:to>
      <xdr:col>5</xdr:col>
      <xdr:colOff>14130</xdr:colOff>
      <xdr:row>724</xdr:row>
      <xdr:rowOff>86140</xdr:rowOff>
    </xdr:to>
    <xdr:cxnSp macro="">
      <xdr:nvCxnSpPr>
        <xdr:cNvPr id="323" name="Straight Connector 322"/>
        <xdr:cNvCxnSpPr/>
      </xdr:nvCxnSpPr>
      <xdr:spPr>
        <a:xfrm>
          <a:off x="2985223" y="138303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730</xdr:row>
      <xdr:rowOff>86140</xdr:rowOff>
    </xdr:from>
    <xdr:to>
      <xdr:col>5</xdr:col>
      <xdr:colOff>14130</xdr:colOff>
      <xdr:row>730</xdr:row>
      <xdr:rowOff>86140</xdr:rowOff>
    </xdr:to>
    <xdr:cxnSp macro="">
      <xdr:nvCxnSpPr>
        <xdr:cNvPr id="324" name="Straight Connector 323"/>
        <xdr:cNvCxnSpPr/>
      </xdr:nvCxnSpPr>
      <xdr:spPr>
        <a:xfrm>
          <a:off x="2985223" y="139446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727</xdr:row>
      <xdr:rowOff>74934</xdr:rowOff>
    </xdr:from>
    <xdr:to>
      <xdr:col>5</xdr:col>
      <xdr:colOff>14130</xdr:colOff>
      <xdr:row>727</xdr:row>
      <xdr:rowOff>74934</xdr:rowOff>
    </xdr:to>
    <xdr:cxnSp macro="">
      <xdr:nvCxnSpPr>
        <xdr:cNvPr id="325" name="Straight Connector 324"/>
        <xdr:cNvCxnSpPr/>
      </xdr:nvCxnSpPr>
      <xdr:spPr>
        <a:xfrm>
          <a:off x="2985223" y="138863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736</xdr:row>
      <xdr:rowOff>86140</xdr:rowOff>
    </xdr:from>
    <xdr:to>
      <xdr:col>5</xdr:col>
      <xdr:colOff>14130</xdr:colOff>
      <xdr:row>736</xdr:row>
      <xdr:rowOff>86140</xdr:rowOff>
    </xdr:to>
    <xdr:cxnSp macro="">
      <xdr:nvCxnSpPr>
        <xdr:cNvPr id="326" name="Straight Connector 325"/>
        <xdr:cNvCxnSpPr/>
      </xdr:nvCxnSpPr>
      <xdr:spPr>
        <a:xfrm>
          <a:off x="2985223" y="140589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733</xdr:row>
      <xdr:rowOff>74934</xdr:rowOff>
    </xdr:from>
    <xdr:to>
      <xdr:col>5</xdr:col>
      <xdr:colOff>14130</xdr:colOff>
      <xdr:row>733</xdr:row>
      <xdr:rowOff>74934</xdr:rowOff>
    </xdr:to>
    <xdr:cxnSp macro="">
      <xdr:nvCxnSpPr>
        <xdr:cNvPr id="327" name="Straight Connector 326"/>
        <xdr:cNvCxnSpPr/>
      </xdr:nvCxnSpPr>
      <xdr:spPr>
        <a:xfrm>
          <a:off x="2985223" y="140006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739</xdr:row>
      <xdr:rowOff>74934</xdr:rowOff>
    </xdr:from>
    <xdr:to>
      <xdr:col>5</xdr:col>
      <xdr:colOff>14130</xdr:colOff>
      <xdr:row>739</xdr:row>
      <xdr:rowOff>74934</xdr:rowOff>
    </xdr:to>
    <xdr:cxnSp macro="">
      <xdr:nvCxnSpPr>
        <xdr:cNvPr id="328" name="Straight Connector 327"/>
        <xdr:cNvCxnSpPr/>
      </xdr:nvCxnSpPr>
      <xdr:spPr>
        <a:xfrm>
          <a:off x="2985223" y="141149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xdr:row>
      <xdr:rowOff>179295</xdr:rowOff>
    </xdr:from>
    <xdr:to>
      <xdr:col>5</xdr:col>
      <xdr:colOff>11206</xdr:colOff>
      <xdr:row>9</xdr:row>
      <xdr:rowOff>179295</xdr:rowOff>
    </xdr:to>
    <xdr:cxnSp macro="">
      <xdr:nvCxnSpPr>
        <xdr:cNvPr id="329" name="Straight Connector 328"/>
        <xdr:cNvCxnSpPr/>
      </xdr:nvCxnSpPr>
      <xdr:spPr>
        <a:xfrm>
          <a:off x="2981325" y="2189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xdr:row>
      <xdr:rowOff>0</xdr:rowOff>
    </xdr:from>
    <xdr:to>
      <xdr:col>3</xdr:col>
      <xdr:colOff>23112</xdr:colOff>
      <xdr:row>9</xdr:row>
      <xdr:rowOff>188399</xdr:rowOff>
    </xdr:to>
    <xdr:cxnSp macro="">
      <xdr:nvCxnSpPr>
        <xdr:cNvPr id="330" name="Straight Connector 329"/>
        <xdr:cNvCxnSpPr/>
      </xdr:nvCxnSpPr>
      <xdr:spPr>
        <a:xfrm flipV="1">
          <a:off x="3004437" y="200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xdr:row>
      <xdr:rowOff>0</xdr:rowOff>
    </xdr:from>
    <xdr:to>
      <xdr:col>4</xdr:col>
      <xdr:colOff>601265</xdr:colOff>
      <xdr:row>9</xdr:row>
      <xdr:rowOff>187699</xdr:rowOff>
    </xdr:to>
    <xdr:cxnSp macro="">
      <xdr:nvCxnSpPr>
        <xdr:cNvPr id="331" name="Straight Connector 330"/>
        <xdr:cNvCxnSpPr/>
      </xdr:nvCxnSpPr>
      <xdr:spPr>
        <a:xfrm flipV="1">
          <a:off x="3992165" y="200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xdr:row>
      <xdr:rowOff>0</xdr:rowOff>
    </xdr:from>
    <xdr:to>
      <xdr:col>3</xdr:col>
      <xdr:colOff>23112</xdr:colOff>
      <xdr:row>9</xdr:row>
      <xdr:rowOff>188399</xdr:rowOff>
    </xdr:to>
    <xdr:cxnSp macro="">
      <xdr:nvCxnSpPr>
        <xdr:cNvPr id="332" name="Straight Connector 331"/>
        <xdr:cNvCxnSpPr/>
      </xdr:nvCxnSpPr>
      <xdr:spPr>
        <a:xfrm flipV="1">
          <a:off x="3004437" y="200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xdr:row>
      <xdr:rowOff>0</xdr:rowOff>
    </xdr:from>
    <xdr:to>
      <xdr:col>4</xdr:col>
      <xdr:colOff>601265</xdr:colOff>
      <xdr:row>9</xdr:row>
      <xdr:rowOff>187699</xdr:rowOff>
    </xdr:to>
    <xdr:cxnSp macro="">
      <xdr:nvCxnSpPr>
        <xdr:cNvPr id="333" name="Straight Connector 332"/>
        <xdr:cNvCxnSpPr/>
      </xdr:nvCxnSpPr>
      <xdr:spPr>
        <a:xfrm flipV="1">
          <a:off x="3992165" y="200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xdr:row>
      <xdr:rowOff>0</xdr:rowOff>
    </xdr:from>
    <xdr:to>
      <xdr:col>3</xdr:col>
      <xdr:colOff>23112</xdr:colOff>
      <xdr:row>9</xdr:row>
      <xdr:rowOff>188399</xdr:rowOff>
    </xdr:to>
    <xdr:cxnSp macro="">
      <xdr:nvCxnSpPr>
        <xdr:cNvPr id="334" name="Straight Connector 333"/>
        <xdr:cNvCxnSpPr/>
      </xdr:nvCxnSpPr>
      <xdr:spPr>
        <a:xfrm flipV="1">
          <a:off x="3004437" y="200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xdr:row>
      <xdr:rowOff>0</xdr:rowOff>
    </xdr:from>
    <xdr:to>
      <xdr:col>4</xdr:col>
      <xdr:colOff>601265</xdr:colOff>
      <xdr:row>9</xdr:row>
      <xdr:rowOff>187699</xdr:rowOff>
    </xdr:to>
    <xdr:cxnSp macro="">
      <xdr:nvCxnSpPr>
        <xdr:cNvPr id="335" name="Straight Connector 334"/>
        <xdr:cNvCxnSpPr/>
      </xdr:nvCxnSpPr>
      <xdr:spPr>
        <a:xfrm flipV="1">
          <a:off x="3992165" y="200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xdr:row>
      <xdr:rowOff>179295</xdr:rowOff>
    </xdr:from>
    <xdr:to>
      <xdr:col>5</xdr:col>
      <xdr:colOff>11206</xdr:colOff>
      <xdr:row>15</xdr:row>
      <xdr:rowOff>179295</xdr:rowOff>
    </xdr:to>
    <xdr:cxnSp macro="">
      <xdr:nvCxnSpPr>
        <xdr:cNvPr id="336" name="Straight Connector 335"/>
        <xdr:cNvCxnSpPr/>
      </xdr:nvCxnSpPr>
      <xdr:spPr>
        <a:xfrm>
          <a:off x="2981325" y="3332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xdr:row>
      <xdr:rowOff>0</xdr:rowOff>
    </xdr:from>
    <xdr:to>
      <xdr:col>3</xdr:col>
      <xdr:colOff>23112</xdr:colOff>
      <xdr:row>15</xdr:row>
      <xdr:rowOff>188399</xdr:rowOff>
    </xdr:to>
    <xdr:cxnSp macro="">
      <xdr:nvCxnSpPr>
        <xdr:cNvPr id="337" name="Straight Connector 336"/>
        <xdr:cNvCxnSpPr/>
      </xdr:nvCxnSpPr>
      <xdr:spPr>
        <a:xfrm flipV="1">
          <a:off x="3004437" y="315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xdr:row>
      <xdr:rowOff>0</xdr:rowOff>
    </xdr:from>
    <xdr:to>
      <xdr:col>4</xdr:col>
      <xdr:colOff>601265</xdr:colOff>
      <xdr:row>15</xdr:row>
      <xdr:rowOff>187699</xdr:rowOff>
    </xdr:to>
    <xdr:cxnSp macro="">
      <xdr:nvCxnSpPr>
        <xdr:cNvPr id="338" name="Straight Connector 337"/>
        <xdr:cNvCxnSpPr/>
      </xdr:nvCxnSpPr>
      <xdr:spPr>
        <a:xfrm flipV="1">
          <a:off x="3992165" y="315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xdr:row>
      <xdr:rowOff>0</xdr:rowOff>
    </xdr:from>
    <xdr:to>
      <xdr:col>3</xdr:col>
      <xdr:colOff>23112</xdr:colOff>
      <xdr:row>15</xdr:row>
      <xdr:rowOff>188399</xdr:rowOff>
    </xdr:to>
    <xdr:cxnSp macro="">
      <xdr:nvCxnSpPr>
        <xdr:cNvPr id="339" name="Straight Connector 338"/>
        <xdr:cNvCxnSpPr/>
      </xdr:nvCxnSpPr>
      <xdr:spPr>
        <a:xfrm flipV="1">
          <a:off x="3004437" y="315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xdr:row>
      <xdr:rowOff>0</xdr:rowOff>
    </xdr:from>
    <xdr:to>
      <xdr:col>4</xdr:col>
      <xdr:colOff>601265</xdr:colOff>
      <xdr:row>15</xdr:row>
      <xdr:rowOff>187699</xdr:rowOff>
    </xdr:to>
    <xdr:cxnSp macro="">
      <xdr:nvCxnSpPr>
        <xdr:cNvPr id="340" name="Straight Connector 339"/>
        <xdr:cNvCxnSpPr/>
      </xdr:nvCxnSpPr>
      <xdr:spPr>
        <a:xfrm flipV="1">
          <a:off x="3992165" y="315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xdr:row>
      <xdr:rowOff>0</xdr:rowOff>
    </xdr:from>
    <xdr:to>
      <xdr:col>3</xdr:col>
      <xdr:colOff>23112</xdr:colOff>
      <xdr:row>15</xdr:row>
      <xdr:rowOff>188399</xdr:rowOff>
    </xdr:to>
    <xdr:cxnSp macro="">
      <xdr:nvCxnSpPr>
        <xdr:cNvPr id="341" name="Straight Connector 340"/>
        <xdr:cNvCxnSpPr/>
      </xdr:nvCxnSpPr>
      <xdr:spPr>
        <a:xfrm flipV="1">
          <a:off x="3004437" y="315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xdr:row>
      <xdr:rowOff>0</xdr:rowOff>
    </xdr:from>
    <xdr:to>
      <xdr:col>4</xdr:col>
      <xdr:colOff>601265</xdr:colOff>
      <xdr:row>15</xdr:row>
      <xdr:rowOff>187699</xdr:rowOff>
    </xdr:to>
    <xdr:cxnSp macro="">
      <xdr:nvCxnSpPr>
        <xdr:cNvPr id="342" name="Straight Connector 341"/>
        <xdr:cNvCxnSpPr/>
      </xdr:nvCxnSpPr>
      <xdr:spPr>
        <a:xfrm flipV="1">
          <a:off x="3992165" y="315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21</xdr:row>
      <xdr:rowOff>179295</xdr:rowOff>
    </xdr:from>
    <xdr:to>
      <xdr:col>5</xdr:col>
      <xdr:colOff>11206</xdr:colOff>
      <xdr:row>21</xdr:row>
      <xdr:rowOff>179295</xdr:rowOff>
    </xdr:to>
    <xdr:cxnSp macro="">
      <xdr:nvCxnSpPr>
        <xdr:cNvPr id="343" name="Straight Connector 342"/>
        <xdr:cNvCxnSpPr/>
      </xdr:nvCxnSpPr>
      <xdr:spPr>
        <a:xfrm>
          <a:off x="2981325" y="4475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21</xdr:row>
      <xdr:rowOff>0</xdr:rowOff>
    </xdr:from>
    <xdr:to>
      <xdr:col>3</xdr:col>
      <xdr:colOff>23112</xdr:colOff>
      <xdr:row>21</xdr:row>
      <xdr:rowOff>188399</xdr:rowOff>
    </xdr:to>
    <xdr:cxnSp macro="">
      <xdr:nvCxnSpPr>
        <xdr:cNvPr id="344" name="Straight Connector 343"/>
        <xdr:cNvCxnSpPr/>
      </xdr:nvCxnSpPr>
      <xdr:spPr>
        <a:xfrm flipV="1">
          <a:off x="3004437" y="429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21</xdr:row>
      <xdr:rowOff>0</xdr:rowOff>
    </xdr:from>
    <xdr:to>
      <xdr:col>4</xdr:col>
      <xdr:colOff>601265</xdr:colOff>
      <xdr:row>21</xdr:row>
      <xdr:rowOff>187699</xdr:rowOff>
    </xdr:to>
    <xdr:cxnSp macro="">
      <xdr:nvCxnSpPr>
        <xdr:cNvPr id="345" name="Straight Connector 344"/>
        <xdr:cNvCxnSpPr/>
      </xdr:nvCxnSpPr>
      <xdr:spPr>
        <a:xfrm flipV="1">
          <a:off x="3992165" y="429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21</xdr:row>
      <xdr:rowOff>0</xdr:rowOff>
    </xdr:from>
    <xdr:to>
      <xdr:col>3</xdr:col>
      <xdr:colOff>23112</xdr:colOff>
      <xdr:row>21</xdr:row>
      <xdr:rowOff>188399</xdr:rowOff>
    </xdr:to>
    <xdr:cxnSp macro="">
      <xdr:nvCxnSpPr>
        <xdr:cNvPr id="346" name="Straight Connector 345"/>
        <xdr:cNvCxnSpPr/>
      </xdr:nvCxnSpPr>
      <xdr:spPr>
        <a:xfrm flipV="1">
          <a:off x="3004437" y="429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21</xdr:row>
      <xdr:rowOff>0</xdr:rowOff>
    </xdr:from>
    <xdr:to>
      <xdr:col>4</xdr:col>
      <xdr:colOff>601265</xdr:colOff>
      <xdr:row>21</xdr:row>
      <xdr:rowOff>187699</xdr:rowOff>
    </xdr:to>
    <xdr:cxnSp macro="">
      <xdr:nvCxnSpPr>
        <xdr:cNvPr id="347" name="Straight Connector 346"/>
        <xdr:cNvCxnSpPr/>
      </xdr:nvCxnSpPr>
      <xdr:spPr>
        <a:xfrm flipV="1">
          <a:off x="3992165" y="429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21</xdr:row>
      <xdr:rowOff>0</xdr:rowOff>
    </xdr:from>
    <xdr:to>
      <xdr:col>3</xdr:col>
      <xdr:colOff>23112</xdr:colOff>
      <xdr:row>21</xdr:row>
      <xdr:rowOff>188399</xdr:rowOff>
    </xdr:to>
    <xdr:cxnSp macro="">
      <xdr:nvCxnSpPr>
        <xdr:cNvPr id="348" name="Straight Connector 347"/>
        <xdr:cNvCxnSpPr/>
      </xdr:nvCxnSpPr>
      <xdr:spPr>
        <a:xfrm flipV="1">
          <a:off x="3004437" y="429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21</xdr:row>
      <xdr:rowOff>0</xdr:rowOff>
    </xdr:from>
    <xdr:to>
      <xdr:col>4</xdr:col>
      <xdr:colOff>601265</xdr:colOff>
      <xdr:row>21</xdr:row>
      <xdr:rowOff>187699</xdr:rowOff>
    </xdr:to>
    <xdr:cxnSp macro="">
      <xdr:nvCxnSpPr>
        <xdr:cNvPr id="349" name="Straight Connector 348"/>
        <xdr:cNvCxnSpPr/>
      </xdr:nvCxnSpPr>
      <xdr:spPr>
        <a:xfrm flipV="1">
          <a:off x="3992165" y="429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27</xdr:row>
      <xdr:rowOff>179295</xdr:rowOff>
    </xdr:from>
    <xdr:to>
      <xdr:col>5</xdr:col>
      <xdr:colOff>11206</xdr:colOff>
      <xdr:row>27</xdr:row>
      <xdr:rowOff>179295</xdr:rowOff>
    </xdr:to>
    <xdr:cxnSp macro="">
      <xdr:nvCxnSpPr>
        <xdr:cNvPr id="350" name="Straight Connector 349"/>
        <xdr:cNvCxnSpPr/>
      </xdr:nvCxnSpPr>
      <xdr:spPr>
        <a:xfrm>
          <a:off x="2981325" y="561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27</xdr:row>
      <xdr:rowOff>0</xdr:rowOff>
    </xdr:from>
    <xdr:to>
      <xdr:col>3</xdr:col>
      <xdr:colOff>23112</xdr:colOff>
      <xdr:row>27</xdr:row>
      <xdr:rowOff>188399</xdr:rowOff>
    </xdr:to>
    <xdr:cxnSp macro="">
      <xdr:nvCxnSpPr>
        <xdr:cNvPr id="351" name="Straight Connector 350"/>
        <xdr:cNvCxnSpPr/>
      </xdr:nvCxnSpPr>
      <xdr:spPr>
        <a:xfrm flipV="1">
          <a:off x="3004437" y="543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27</xdr:row>
      <xdr:rowOff>0</xdr:rowOff>
    </xdr:from>
    <xdr:to>
      <xdr:col>4</xdr:col>
      <xdr:colOff>601265</xdr:colOff>
      <xdr:row>27</xdr:row>
      <xdr:rowOff>187699</xdr:rowOff>
    </xdr:to>
    <xdr:cxnSp macro="">
      <xdr:nvCxnSpPr>
        <xdr:cNvPr id="352" name="Straight Connector 351"/>
        <xdr:cNvCxnSpPr/>
      </xdr:nvCxnSpPr>
      <xdr:spPr>
        <a:xfrm flipV="1">
          <a:off x="3992165" y="543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27</xdr:row>
      <xdr:rowOff>0</xdr:rowOff>
    </xdr:from>
    <xdr:to>
      <xdr:col>3</xdr:col>
      <xdr:colOff>23112</xdr:colOff>
      <xdr:row>27</xdr:row>
      <xdr:rowOff>188399</xdr:rowOff>
    </xdr:to>
    <xdr:cxnSp macro="">
      <xdr:nvCxnSpPr>
        <xdr:cNvPr id="353" name="Straight Connector 352"/>
        <xdr:cNvCxnSpPr/>
      </xdr:nvCxnSpPr>
      <xdr:spPr>
        <a:xfrm flipV="1">
          <a:off x="3004437" y="543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27</xdr:row>
      <xdr:rowOff>0</xdr:rowOff>
    </xdr:from>
    <xdr:to>
      <xdr:col>4</xdr:col>
      <xdr:colOff>601265</xdr:colOff>
      <xdr:row>27</xdr:row>
      <xdr:rowOff>187699</xdr:rowOff>
    </xdr:to>
    <xdr:cxnSp macro="">
      <xdr:nvCxnSpPr>
        <xdr:cNvPr id="354" name="Straight Connector 353"/>
        <xdr:cNvCxnSpPr/>
      </xdr:nvCxnSpPr>
      <xdr:spPr>
        <a:xfrm flipV="1">
          <a:off x="3992165" y="543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27</xdr:row>
      <xdr:rowOff>0</xdr:rowOff>
    </xdr:from>
    <xdr:to>
      <xdr:col>3</xdr:col>
      <xdr:colOff>23112</xdr:colOff>
      <xdr:row>27</xdr:row>
      <xdr:rowOff>188399</xdr:rowOff>
    </xdr:to>
    <xdr:cxnSp macro="">
      <xdr:nvCxnSpPr>
        <xdr:cNvPr id="355" name="Straight Connector 354"/>
        <xdr:cNvCxnSpPr/>
      </xdr:nvCxnSpPr>
      <xdr:spPr>
        <a:xfrm flipV="1">
          <a:off x="3004437" y="543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27</xdr:row>
      <xdr:rowOff>0</xdr:rowOff>
    </xdr:from>
    <xdr:to>
      <xdr:col>4</xdr:col>
      <xdr:colOff>601265</xdr:colOff>
      <xdr:row>27</xdr:row>
      <xdr:rowOff>187699</xdr:rowOff>
    </xdr:to>
    <xdr:cxnSp macro="">
      <xdr:nvCxnSpPr>
        <xdr:cNvPr id="356" name="Straight Connector 355"/>
        <xdr:cNvCxnSpPr/>
      </xdr:nvCxnSpPr>
      <xdr:spPr>
        <a:xfrm flipV="1">
          <a:off x="3992165" y="543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33</xdr:row>
      <xdr:rowOff>179295</xdr:rowOff>
    </xdr:from>
    <xdr:to>
      <xdr:col>5</xdr:col>
      <xdr:colOff>11206</xdr:colOff>
      <xdr:row>33</xdr:row>
      <xdr:rowOff>179295</xdr:rowOff>
    </xdr:to>
    <xdr:cxnSp macro="">
      <xdr:nvCxnSpPr>
        <xdr:cNvPr id="357" name="Straight Connector 356"/>
        <xdr:cNvCxnSpPr/>
      </xdr:nvCxnSpPr>
      <xdr:spPr>
        <a:xfrm>
          <a:off x="2981325" y="676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33</xdr:row>
      <xdr:rowOff>0</xdr:rowOff>
    </xdr:from>
    <xdr:to>
      <xdr:col>3</xdr:col>
      <xdr:colOff>23112</xdr:colOff>
      <xdr:row>33</xdr:row>
      <xdr:rowOff>188399</xdr:rowOff>
    </xdr:to>
    <xdr:cxnSp macro="">
      <xdr:nvCxnSpPr>
        <xdr:cNvPr id="358" name="Straight Connector 357"/>
        <xdr:cNvCxnSpPr/>
      </xdr:nvCxnSpPr>
      <xdr:spPr>
        <a:xfrm flipV="1">
          <a:off x="3004437" y="658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33</xdr:row>
      <xdr:rowOff>0</xdr:rowOff>
    </xdr:from>
    <xdr:to>
      <xdr:col>4</xdr:col>
      <xdr:colOff>601265</xdr:colOff>
      <xdr:row>33</xdr:row>
      <xdr:rowOff>187699</xdr:rowOff>
    </xdr:to>
    <xdr:cxnSp macro="">
      <xdr:nvCxnSpPr>
        <xdr:cNvPr id="359" name="Straight Connector 358"/>
        <xdr:cNvCxnSpPr/>
      </xdr:nvCxnSpPr>
      <xdr:spPr>
        <a:xfrm flipV="1">
          <a:off x="3992165" y="658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33</xdr:row>
      <xdr:rowOff>0</xdr:rowOff>
    </xdr:from>
    <xdr:to>
      <xdr:col>3</xdr:col>
      <xdr:colOff>23112</xdr:colOff>
      <xdr:row>33</xdr:row>
      <xdr:rowOff>188399</xdr:rowOff>
    </xdr:to>
    <xdr:cxnSp macro="">
      <xdr:nvCxnSpPr>
        <xdr:cNvPr id="360" name="Straight Connector 359"/>
        <xdr:cNvCxnSpPr/>
      </xdr:nvCxnSpPr>
      <xdr:spPr>
        <a:xfrm flipV="1">
          <a:off x="3004437" y="658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33</xdr:row>
      <xdr:rowOff>0</xdr:rowOff>
    </xdr:from>
    <xdr:to>
      <xdr:col>4</xdr:col>
      <xdr:colOff>601265</xdr:colOff>
      <xdr:row>33</xdr:row>
      <xdr:rowOff>187699</xdr:rowOff>
    </xdr:to>
    <xdr:cxnSp macro="">
      <xdr:nvCxnSpPr>
        <xdr:cNvPr id="361" name="Straight Connector 360"/>
        <xdr:cNvCxnSpPr/>
      </xdr:nvCxnSpPr>
      <xdr:spPr>
        <a:xfrm flipV="1">
          <a:off x="3992165" y="658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33</xdr:row>
      <xdr:rowOff>0</xdr:rowOff>
    </xdr:from>
    <xdr:to>
      <xdr:col>3</xdr:col>
      <xdr:colOff>23112</xdr:colOff>
      <xdr:row>33</xdr:row>
      <xdr:rowOff>188399</xdr:rowOff>
    </xdr:to>
    <xdr:cxnSp macro="">
      <xdr:nvCxnSpPr>
        <xdr:cNvPr id="362" name="Straight Connector 361"/>
        <xdr:cNvCxnSpPr/>
      </xdr:nvCxnSpPr>
      <xdr:spPr>
        <a:xfrm flipV="1">
          <a:off x="3004437" y="658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33</xdr:row>
      <xdr:rowOff>0</xdr:rowOff>
    </xdr:from>
    <xdr:to>
      <xdr:col>4</xdr:col>
      <xdr:colOff>601265</xdr:colOff>
      <xdr:row>33</xdr:row>
      <xdr:rowOff>187699</xdr:rowOff>
    </xdr:to>
    <xdr:cxnSp macro="">
      <xdr:nvCxnSpPr>
        <xdr:cNvPr id="363" name="Straight Connector 362"/>
        <xdr:cNvCxnSpPr/>
      </xdr:nvCxnSpPr>
      <xdr:spPr>
        <a:xfrm flipV="1">
          <a:off x="3992165" y="658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39</xdr:row>
      <xdr:rowOff>179295</xdr:rowOff>
    </xdr:from>
    <xdr:to>
      <xdr:col>5</xdr:col>
      <xdr:colOff>11206</xdr:colOff>
      <xdr:row>39</xdr:row>
      <xdr:rowOff>179295</xdr:rowOff>
    </xdr:to>
    <xdr:cxnSp macro="">
      <xdr:nvCxnSpPr>
        <xdr:cNvPr id="364" name="Straight Connector 363"/>
        <xdr:cNvCxnSpPr/>
      </xdr:nvCxnSpPr>
      <xdr:spPr>
        <a:xfrm>
          <a:off x="2981325" y="790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39</xdr:row>
      <xdr:rowOff>0</xdr:rowOff>
    </xdr:from>
    <xdr:to>
      <xdr:col>3</xdr:col>
      <xdr:colOff>23112</xdr:colOff>
      <xdr:row>39</xdr:row>
      <xdr:rowOff>188399</xdr:rowOff>
    </xdr:to>
    <xdr:cxnSp macro="">
      <xdr:nvCxnSpPr>
        <xdr:cNvPr id="365" name="Straight Connector 364"/>
        <xdr:cNvCxnSpPr/>
      </xdr:nvCxnSpPr>
      <xdr:spPr>
        <a:xfrm flipV="1">
          <a:off x="3004437" y="772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39</xdr:row>
      <xdr:rowOff>0</xdr:rowOff>
    </xdr:from>
    <xdr:to>
      <xdr:col>4</xdr:col>
      <xdr:colOff>601265</xdr:colOff>
      <xdr:row>39</xdr:row>
      <xdr:rowOff>187699</xdr:rowOff>
    </xdr:to>
    <xdr:cxnSp macro="">
      <xdr:nvCxnSpPr>
        <xdr:cNvPr id="366" name="Straight Connector 365"/>
        <xdr:cNvCxnSpPr/>
      </xdr:nvCxnSpPr>
      <xdr:spPr>
        <a:xfrm flipV="1">
          <a:off x="3992165" y="772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39</xdr:row>
      <xdr:rowOff>0</xdr:rowOff>
    </xdr:from>
    <xdr:to>
      <xdr:col>3</xdr:col>
      <xdr:colOff>23112</xdr:colOff>
      <xdr:row>39</xdr:row>
      <xdr:rowOff>188399</xdr:rowOff>
    </xdr:to>
    <xdr:cxnSp macro="">
      <xdr:nvCxnSpPr>
        <xdr:cNvPr id="367" name="Straight Connector 366"/>
        <xdr:cNvCxnSpPr/>
      </xdr:nvCxnSpPr>
      <xdr:spPr>
        <a:xfrm flipV="1">
          <a:off x="3004437" y="772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39</xdr:row>
      <xdr:rowOff>0</xdr:rowOff>
    </xdr:from>
    <xdr:to>
      <xdr:col>4</xdr:col>
      <xdr:colOff>601265</xdr:colOff>
      <xdr:row>39</xdr:row>
      <xdr:rowOff>187699</xdr:rowOff>
    </xdr:to>
    <xdr:cxnSp macro="">
      <xdr:nvCxnSpPr>
        <xdr:cNvPr id="368" name="Straight Connector 367"/>
        <xdr:cNvCxnSpPr/>
      </xdr:nvCxnSpPr>
      <xdr:spPr>
        <a:xfrm flipV="1">
          <a:off x="3992165" y="772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39</xdr:row>
      <xdr:rowOff>0</xdr:rowOff>
    </xdr:from>
    <xdr:to>
      <xdr:col>3</xdr:col>
      <xdr:colOff>23112</xdr:colOff>
      <xdr:row>39</xdr:row>
      <xdr:rowOff>188399</xdr:rowOff>
    </xdr:to>
    <xdr:cxnSp macro="">
      <xdr:nvCxnSpPr>
        <xdr:cNvPr id="369" name="Straight Connector 368"/>
        <xdr:cNvCxnSpPr/>
      </xdr:nvCxnSpPr>
      <xdr:spPr>
        <a:xfrm flipV="1">
          <a:off x="3004437" y="772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39</xdr:row>
      <xdr:rowOff>0</xdr:rowOff>
    </xdr:from>
    <xdr:to>
      <xdr:col>4</xdr:col>
      <xdr:colOff>601265</xdr:colOff>
      <xdr:row>39</xdr:row>
      <xdr:rowOff>187699</xdr:rowOff>
    </xdr:to>
    <xdr:cxnSp macro="">
      <xdr:nvCxnSpPr>
        <xdr:cNvPr id="370" name="Straight Connector 369"/>
        <xdr:cNvCxnSpPr/>
      </xdr:nvCxnSpPr>
      <xdr:spPr>
        <a:xfrm flipV="1">
          <a:off x="3992165" y="772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59</xdr:row>
      <xdr:rowOff>0</xdr:rowOff>
    </xdr:from>
    <xdr:to>
      <xdr:col>5</xdr:col>
      <xdr:colOff>0</xdr:colOff>
      <xdr:row>59</xdr:row>
      <xdr:rowOff>187699</xdr:rowOff>
    </xdr:to>
    <xdr:cxnSp macro="">
      <xdr:nvCxnSpPr>
        <xdr:cNvPr id="371" name="Straight Connector 370"/>
        <xdr:cNvCxnSpPr/>
      </xdr:nvCxnSpPr>
      <xdr:spPr>
        <a:xfrm flipV="1">
          <a:off x="3990975" y="1153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56</xdr:row>
      <xdr:rowOff>0</xdr:rowOff>
    </xdr:from>
    <xdr:to>
      <xdr:col>5</xdr:col>
      <xdr:colOff>0</xdr:colOff>
      <xdr:row>56</xdr:row>
      <xdr:rowOff>187699</xdr:rowOff>
    </xdr:to>
    <xdr:cxnSp macro="">
      <xdr:nvCxnSpPr>
        <xdr:cNvPr id="372" name="Straight Connector 371"/>
        <xdr:cNvCxnSpPr/>
      </xdr:nvCxnSpPr>
      <xdr:spPr>
        <a:xfrm flipV="1">
          <a:off x="3990975" y="1096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70</xdr:row>
      <xdr:rowOff>179295</xdr:rowOff>
    </xdr:from>
    <xdr:to>
      <xdr:col>5</xdr:col>
      <xdr:colOff>11206</xdr:colOff>
      <xdr:row>70</xdr:row>
      <xdr:rowOff>179295</xdr:rowOff>
    </xdr:to>
    <xdr:cxnSp macro="">
      <xdr:nvCxnSpPr>
        <xdr:cNvPr id="373" name="Straight Connector 372"/>
        <xdr:cNvCxnSpPr/>
      </xdr:nvCxnSpPr>
      <xdr:spPr>
        <a:xfrm>
          <a:off x="2981325" y="1380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70</xdr:row>
      <xdr:rowOff>0</xdr:rowOff>
    </xdr:from>
    <xdr:to>
      <xdr:col>3</xdr:col>
      <xdr:colOff>23112</xdr:colOff>
      <xdr:row>70</xdr:row>
      <xdr:rowOff>188399</xdr:rowOff>
    </xdr:to>
    <xdr:cxnSp macro="">
      <xdr:nvCxnSpPr>
        <xdr:cNvPr id="374" name="Straight Connector 373"/>
        <xdr:cNvCxnSpPr/>
      </xdr:nvCxnSpPr>
      <xdr:spPr>
        <a:xfrm flipV="1">
          <a:off x="3004437" y="1363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70</xdr:row>
      <xdr:rowOff>0</xdr:rowOff>
    </xdr:from>
    <xdr:to>
      <xdr:col>4</xdr:col>
      <xdr:colOff>601265</xdr:colOff>
      <xdr:row>70</xdr:row>
      <xdr:rowOff>187699</xdr:rowOff>
    </xdr:to>
    <xdr:cxnSp macro="">
      <xdr:nvCxnSpPr>
        <xdr:cNvPr id="375" name="Straight Connector 374"/>
        <xdr:cNvCxnSpPr/>
      </xdr:nvCxnSpPr>
      <xdr:spPr>
        <a:xfrm flipV="1">
          <a:off x="3992165" y="1363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70</xdr:row>
      <xdr:rowOff>0</xdr:rowOff>
    </xdr:from>
    <xdr:to>
      <xdr:col>3</xdr:col>
      <xdr:colOff>23112</xdr:colOff>
      <xdr:row>70</xdr:row>
      <xdr:rowOff>188399</xdr:rowOff>
    </xdr:to>
    <xdr:cxnSp macro="">
      <xdr:nvCxnSpPr>
        <xdr:cNvPr id="376" name="Straight Connector 375"/>
        <xdr:cNvCxnSpPr/>
      </xdr:nvCxnSpPr>
      <xdr:spPr>
        <a:xfrm flipV="1">
          <a:off x="3004437" y="1363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70</xdr:row>
      <xdr:rowOff>0</xdr:rowOff>
    </xdr:from>
    <xdr:to>
      <xdr:col>4</xdr:col>
      <xdr:colOff>601265</xdr:colOff>
      <xdr:row>70</xdr:row>
      <xdr:rowOff>187699</xdr:rowOff>
    </xdr:to>
    <xdr:cxnSp macro="">
      <xdr:nvCxnSpPr>
        <xdr:cNvPr id="377" name="Straight Connector 376"/>
        <xdr:cNvCxnSpPr/>
      </xdr:nvCxnSpPr>
      <xdr:spPr>
        <a:xfrm flipV="1">
          <a:off x="3992165" y="1363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70</xdr:row>
      <xdr:rowOff>0</xdr:rowOff>
    </xdr:from>
    <xdr:to>
      <xdr:col>3</xdr:col>
      <xdr:colOff>23112</xdr:colOff>
      <xdr:row>70</xdr:row>
      <xdr:rowOff>188399</xdr:rowOff>
    </xdr:to>
    <xdr:cxnSp macro="">
      <xdr:nvCxnSpPr>
        <xdr:cNvPr id="378" name="Straight Connector 377"/>
        <xdr:cNvCxnSpPr/>
      </xdr:nvCxnSpPr>
      <xdr:spPr>
        <a:xfrm flipV="1">
          <a:off x="3004437" y="1363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70</xdr:row>
      <xdr:rowOff>0</xdr:rowOff>
    </xdr:from>
    <xdr:to>
      <xdr:col>4</xdr:col>
      <xdr:colOff>601265</xdr:colOff>
      <xdr:row>70</xdr:row>
      <xdr:rowOff>187699</xdr:rowOff>
    </xdr:to>
    <xdr:cxnSp macro="">
      <xdr:nvCxnSpPr>
        <xdr:cNvPr id="379" name="Straight Connector 378"/>
        <xdr:cNvCxnSpPr/>
      </xdr:nvCxnSpPr>
      <xdr:spPr>
        <a:xfrm flipV="1">
          <a:off x="3992165" y="1363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xdr:row>
      <xdr:rowOff>179295</xdr:rowOff>
    </xdr:from>
    <xdr:to>
      <xdr:col>5</xdr:col>
      <xdr:colOff>11206</xdr:colOff>
      <xdr:row>76</xdr:row>
      <xdr:rowOff>179295</xdr:rowOff>
    </xdr:to>
    <xdr:cxnSp macro="">
      <xdr:nvCxnSpPr>
        <xdr:cNvPr id="380" name="Straight Connector 379"/>
        <xdr:cNvCxnSpPr/>
      </xdr:nvCxnSpPr>
      <xdr:spPr>
        <a:xfrm>
          <a:off x="2981325" y="14952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76</xdr:row>
      <xdr:rowOff>0</xdr:rowOff>
    </xdr:from>
    <xdr:to>
      <xdr:col>3</xdr:col>
      <xdr:colOff>23112</xdr:colOff>
      <xdr:row>76</xdr:row>
      <xdr:rowOff>188399</xdr:rowOff>
    </xdr:to>
    <xdr:cxnSp macro="">
      <xdr:nvCxnSpPr>
        <xdr:cNvPr id="381" name="Straight Connector 380"/>
        <xdr:cNvCxnSpPr/>
      </xdr:nvCxnSpPr>
      <xdr:spPr>
        <a:xfrm flipV="1">
          <a:off x="3004437" y="1477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76</xdr:row>
      <xdr:rowOff>0</xdr:rowOff>
    </xdr:from>
    <xdr:to>
      <xdr:col>4</xdr:col>
      <xdr:colOff>601265</xdr:colOff>
      <xdr:row>76</xdr:row>
      <xdr:rowOff>187699</xdr:rowOff>
    </xdr:to>
    <xdr:cxnSp macro="">
      <xdr:nvCxnSpPr>
        <xdr:cNvPr id="382" name="Straight Connector 381"/>
        <xdr:cNvCxnSpPr/>
      </xdr:nvCxnSpPr>
      <xdr:spPr>
        <a:xfrm flipV="1">
          <a:off x="3992165" y="1477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76</xdr:row>
      <xdr:rowOff>0</xdr:rowOff>
    </xdr:from>
    <xdr:to>
      <xdr:col>3</xdr:col>
      <xdr:colOff>23112</xdr:colOff>
      <xdr:row>76</xdr:row>
      <xdr:rowOff>188399</xdr:rowOff>
    </xdr:to>
    <xdr:cxnSp macro="">
      <xdr:nvCxnSpPr>
        <xdr:cNvPr id="383" name="Straight Connector 382"/>
        <xdr:cNvCxnSpPr/>
      </xdr:nvCxnSpPr>
      <xdr:spPr>
        <a:xfrm flipV="1">
          <a:off x="3004437" y="1477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76</xdr:row>
      <xdr:rowOff>0</xdr:rowOff>
    </xdr:from>
    <xdr:to>
      <xdr:col>4</xdr:col>
      <xdr:colOff>601265</xdr:colOff>
      <xdr:row>76</xdr:row>
      <xdr:rowOff>187699</xdr:rowOff>
    </xdr:to>
    <xdr:cxnSp macro="">
      <xdr:nvCxnSpPr>
        <xdr:cNvPr id="384" name="Straight Connector 383"/>
        <xdr:cNvCxnSpPr/>
      </xdr:nvCxnSpPr>
      <xdr:spPr>
        <a:xfrm flipV="1">
          <a:off x="3992165" y="1477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76</xdr:row>
      <xdr:rowOff>0</xdr:rowOff>
    </xdr:from>
    <xdr:to>
      <xdr:col>3</xdr:col>
      <xdr:colOff>23112</xdr:colOff>
      <xdr:row>76</xdr:row>
      <xdr:rowOff>188399</xdr:rowOff>
    </xdr:to>
    <xdr:cxnSp macro="">
      <xdr:nvCxnSpPr>
        <xdr:cNvPr id="385" name="Straight Connector 384"/>
        <xdr:cNvCxnSpPr/>
      </xdr:nvCxnSpPr>
      <xdr:spPr>
        <a:xfrm flipV="1">
          <a:off x="3004437" y="1477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76</xdr:row>
      <xdr:rowOff>0</xdr:rowOff>
    </xdr:from>
    <xdr:to>
      <xdr:col>4</xdr:col>
      <xdr:colOff>601265</xdr:colOff>
      <xdr:row>76</xdr:row>
      <xdr:rowOff>187699</xdr:rowOff>
    </xdr:to>
    <xdr:cxnSp macro="">
      <xdr:nvCxnSpPr>
        <xdr:cNvPr id="386" name="Straight Connector 385"/>
        <xdr:cNvCxnSpPr/>
      </xdr:nvCxnSpPr>
      <xdr:spPr>
        <a:xfrm flipV="1">
          <a:off x="3992165" y="1477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xdr:row>
      <xdr:rowOff>179295</xdr:rowOff>
    </xdr:from>
    <xdr:to>
      <xdr:col>5</xdr:col>
      <xdr:colOff>11206</xdr:colOff>
      <xdr:row>82</xdr:row>
      <xdr:rowOff>179295</xdr:rowOff>
    </xdr:to>
    <xdr:cxnSp macro="">
      <xdr:nvCxnSpPr>
        <xdr:cNvPr id="387" name="Straight Connector 386"/>
        <xdr:cNvCxnSpPr/>
      </xdr:nvCxnSpPr>
      <xdr:spPr>
        <a:xfrm>
          <a:off x="2981325" y="16095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xdr:row>
      <xdr:rowOff>0</xdr:rowOff>
    </xdr:from>
    <xdr:to>
      <xdr:col>3</xdr:col>
      <xdr:colOff>23112</xdr:colOff>
      <xdr:row>82</xdr:row>
      <xdr:rowOff>188399</xdr:rowOff>
    </xdr:to>
    <xdr:cxnSp macro="">
      <xdr:nvCxnSpPr>
        <xdr:cNvPr id="388" name="Straight Connector 387"/>
        <xdr:cNvCxnSpPr/>
      </xdr:nvCxnSpPr>
      <xdr:spPr>
        <a:xfrm flipV="1">
          <a:off x="3004437" y="1591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xdr:row>
      <xdr:rowOff>0</xdr:rowOff>
    </xdr:from>
    <xdr:to>
      <xdr:col>4</xdr:col>
      <xdr:colOff>601265</xdr:colOff>
      <xdr:row>82</xdr:row>
      <xdr:rowOff>187699</xdr:rowOff>
    </xdr:to>
    <xdr:cxnSp macro="">
      <xdr:nvCxnSpPr>
        <xdr:cNvPr id="389" name="Straight Connector 388"/>
        <xdr:cNvCxnSpPr/>
      </xdr:nvCxnSpPr>
      <xdr:spPr>
        <a:xfrm flipV="1">
          <a:off x="3992165" y="1591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xdr:row>
      <xdr:rowOff>0</xdr:rowOff>
    </xdr:from>
    <xdr:to>
      <xdr:col>3</xdr:col>
      <xdr:colOff>23112</xdr:colOff>
      <xdr:row>82</xdr:row>
      <xdr:rowOff>188399</xdr:rowOff>
    </xdr:to>
    <xdr:cxnSp macro="">
      <xdr:nvCxnSpPr>
        <xdr:cNvPr id="390" name="Straight Connector 389"/>
        <xdr:cNvCxnSpPr/>
      </xdr:nvCxnSpPr>
      <xdr:spPr>
        <a:xfrm flipV="1">
          <a:off x="3004437" y="1591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xdr:row>
      <xdr:rowOff>0</xdr:rowOff>
    </xdr:from>
    <xdr:to>
      <xdr:col>4</xdr:col>
      <xdr:colOff>601265</xdr:colOff>
      <xdr:row>82</xdr:row>
      <xdr:rowOff>187699</xdr:rowOff>
    </xdr:to>
    <xdr:cxnSp macro="">
      <xdr:nvCxnSpPr>
        <xdr:cNvPr id="391" name="Straight Connector 390"/>
        <xdr:cNvCxnSpPr/>
      </xdr:nvCxnSpPr>
      <xdr:spPr>
        <a:xfrm flipV="1">
          <a:off x="3992165" y="1591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xdr:row>
      <xdr:rowOff>0</xdr:rowOff>
    </xdr:from>
    <xdr:to>
      <xdr:col>3</xdr:col>
      <xdr:colOff>23112</xdr:colOff>
      <xdr:row>82</xdr:row>
      <xdr:rowOff>188399</xdr:rowOff>
    </xdr:to>
    <xdr:cxnSp macro="">
      <xdr:nvCxnSpPr>
        <xdr:cNvPr id="392" name="Straight Connector 391"/>
        <xdr:cNvCxnSpPr/>
      </xdr:nvCxnSpPr>
      <xdr:spPr>
        <a:xfrm flipV="1">
          <a:off x="3004437" y="1591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xdr:row>
      <xdr:rowOff>0</xdr:rowOff>
    </xdr:from>
    <xdr:to>
      <xdr:col>4</xdr:col>
      <xdr:colOff>601265</xdr:colOff>
      <xdr:row>82</xdr:row>
      <xdr:rowOff>187699</xdr:rowOff>
    </xdr:to>
    <xdr:cxnSp macro="">
      <xdr:nvCxnSpPr>
        <xdr:cNvPr id="393" name="Straight Connector 392"/>
        <xdr:cNvCxnSpPr/>
      </xdr:nvCxnSpPr>
      <xdr:spPr>
        <a:xfrm flipV="1">
          <a:off x="3992165" y="1591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xdr:row>
      <xdr:rowOff>179295</xdr:rowOff>
    </xdr:from>
    <xdr:to>
      <xdr:col>5</xdr:col>
      <xdr:colOff>11206</xdr:colOff>
      <xdr:row>88</xdr:row>
      <xdr:rowOff>179295</xdr:rowOff>
    </xdr:to>
    <xdr:cxnSp macro="">
      <xdr:nvCxnSpPr>
        <xdr:cNvPr id="394" name="Straight Connector 393"/>
        <xdr:cNvCxnSpPr/>
      </xdr:nvCxnSpPr>
      <xdr:spPr>
        <a:xfrm>
          <a:off x="2981325" y="17238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xdr:row>
      <xdr:rowOff>0</xdr:rowOff>
    </xdr:from>
    <xdr:to>
      <xdr:col>3</xdr:col>
      <xdr:colOff>23112</xdr:colOff>
      <xdr:row>88</xdr:row>
      <xdr:rowOff>188399</xdr:rowOff>
    </xdr:to>
    <xdr:cxnSp macro="">
      <xdr:nvCxnSpPr>
        <xdr:cNvPr id="395" name="Straight Connector 394"/>
        <xdr:cNvCxnSpPr/>
      </xdr:nvCxnSpPr>
      <xdr:spPr>
        <a:xfrm flipV="1">
          <a:off x="3004437" y="17059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xdr:row>
      <xdr:rowOff>0</xdr:rowOff>
    </xdr:from>
    <xdr:to>
      <xdr:col>4</xdr:col>
      <xdr:colOff>601265</xdr:colOff>
      <xdr:row>88</xdr:row>
      <xdr:rowOff>187699</xdr:rowOff>
    </xdr:to>
    <xdr:cxnSp macro="">
      <xdr:nvCxnSpPr>
        <xdr:cNvPr id="396" name="Straight Connector 395"/>
        <xdr:cNvCxnSpPr/>
      </xdr:nvCxnSpPr>
      <xdr:spPr>
        <a:xfrm flipV="1">
          <a:off x="3992165" y="17059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xdr:row>
      <xdr:rowOff>0</xdr:rowOff>
    </xdr:from>
    <xdr:to>
      <xdr:col>3</xdr:col>
      <xdr:colOff>23112</xdr:colOff>
      <xdr:row>88</xdr:row>
      <xdr:rowOff>188399</xdr:rowOff>
    </xdr:to>
    <xdr:cxnSp macro="">
      <xdr:nvCxnSpPr>
        <xdr:cNvPr id="397" name="Straight Connector 396"/>
        <xdr:cNvCxnSpPr/>
      </xdr:nvCxnSpPr>
      <xdr:spPr>
        <a:xfrm flipV="1">
          <a:off x="3004437" y="17059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xdr:row>
      <xdr:rowOff>0</xdr:rowOff>
    </xdr:from>
    <xdr:to>
      <xdr:col>4</xdr:col>
      <xdr:colOff>601265</xdr:colOff>
      <xdr:row>88</xdr:row>
      <xdr:rowOff>187699</xdr:rowOff>
    </xdr:to>
    <xdr:cxnSp macro="">
      <xdr:nvCxnSpPr>
        <xdr:cNvPr id="398" name="Straight Connector 397"/>
        <xdr:cNvCxnSpPr/>
      </xdr:nvCxnSpPr>
      <xdr:spPr>
        <a:xfrm flipV="1">
          <a:off x="3992165" y="17059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xdr:row>
      <xdr:rowOff>0</xdr:rowOff>
    </xdr:from>
    <xdr:to>
      <xdr:col>3</xdr:col>
      <xdr:colOff>23112</xdr:colOff>
      <xdr:row>88</xdr:row>
      <xdr:rowOff>188399</xdr:rowOff>
    </xdr:to>
    <xdr:cxnSp macro="">
      <xdr:nvCxnSpPr>
        <xdr:cNvPr id="399" name="Straight Connector 398"/>
        <xdr:cNvCxnSpPr/>
      </xdr:nvCxnSpPr>
      <xdr:spPr>
        <a:xfrm flipV="1">
          <a:off x="3004437" y="17059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xdr:row>
      <xdr:rowOff>0</xdr:rowOff>
    </xdr:from>
    <xdr:to>
      <xdr:col>4</xdr:col>
      <xdr:colOff>601265</xdr:colOff>
      <xdr:row>88</xdr:row>
      <xdr:rowOff>187699</xdr:rowOff>
    </xdr:to>
    <xdr:cxnSp macro="">
      <xdr:nvCxnSpPr>
        <xdr:cNvPr id="400" name="Straight Connector 399"/>
        <xdr:cNvCxnSpPr/>
      </xdr:nvCxnSpPr>
      <xdr:spPr>
        <a:xfrm flipV="1">
          <a:off x="3992165" y="17059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100</xdr:row>
      <xdr:rowOff>179295</xdr:rowOff>
    </xdr:from>
    <xdr:to>
      <xdr:col>5</xdr:col>
      <xdr:colOff>11206</xdr:colOff>
      <xdr:row>100</xdr:row>
      <xdr:rowOff>179295</xdr:rowOff>
    </xdr:to>
    <xdr:cxnSp macro="">
      <xdr:nvCxnSpPr>
        <xdr:cNvPr id="401" name="Straight Connector 400"/>
        <xdr:cNvCxnSpPr/>
      </xdr:nvCxnSpPr>
      <xdr:spPr>
        <a:xfrm>
          <a:off x="2981325" y="19524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100</xdr:row>
      <xdr:rowOff>0</xdr:rowOff>
    </xdr:from>
    <xdr:to>
      <xdr:col>3</xdr:col>
      <xdr:colOff>23112</xdr:colOff>
      <xdr:row>100</xdr:row>
      <xdr:rowOff>188399</xdr:rowOff>
    </xdr:to>
    <xdr:cxnSp macro="">
      <xdr:nvCxnSpPr>
        <xdr:cNvPr id="402" name="Straight Connector 401"/>
        <xdr:cNvCxnSpPr/>
      </xdr:nvCxnSpPr>
      <xdr:spPr>
        <a:xfrm flipV="1">
          <a:off x="3004437" y="19345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100</xdr:row>
      <xdr:rowOff>0</xdr:rowOff>
    </xdr:from>
    <xdr:to>
      <xdr:col>4</xdr:col>
      <xdr:colOff>601265</xdr:colOff>
      <xdr:row>100</xdr:row>
      <xdr:rowOff>187699</xdr:rowOff>
    </xdr:to>
    <xdr:cxnSp macro="">
      <xdr:nvCxnSpPr>
        <xdr:cNvPr id="403" name="Straight Connector 402"/>
        <xdr:cNvCxnSpPr/>
      </xdr:nvCxnSpPr>
      <xdr:spPr>
        <a:xfrm flipV="1">
          <a:off x="3992165" y="1934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100</xdr:row>
      <xdr:rowOff>0</xdr:rowOff>
    </xdr:from>
    <xdr:to>
      <xdr:col>3</xdr:col>
      <xdr:colOff>23112</xdr:colOff>
      <xdr:row>100</xdr:row>
      <xdr:rowOff>188399</xdr:rowOff>
    </xdr:to>
    <xdr:cxnSp macro="">
      <xdr:nvCxnSpPr>
        <xdr:cNvPr id="404" name="Straight Connector 403"/>
        <xdr:cNvCxnSpPr/>
      </xdr:nvCxnSpPr>
      <xdr:spPr>
        <a:xfrm flipV="1">
          <a:off x="3004437" y="19345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100</xdr:row>
      <xdr:rowOff>0</xdr:rowOff>
    </xdr:from>
    <xdr:to>
      <xdr:col>4</xdr:col>
      <xdr:colOff>601265</xdr:colOff>
      <xdr:row>100</xdr:row>
      <xdr:rowOff>187699</xdr:rowOff>
    </xdr:to>
    <xdr:cxnSp macro="">
      <xdr:nvCxnSpPr>
        <xdr:cNvPr id="405" name="Straight Connector 404"/>
        <xdr:cNvCxnSpPr/>
      </xdr:nvCxnSpPr>
      <xdr:spPr>
        <a:xfrm flipV="1">
          <a:off x="3992165" y="1934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100</xdr:row>
      <xdr:rowOff>0</xdr:rowOff>
    </xdr:from>
    <xdr:to>
      <xdr:col>3</xdr:col>
      <xdr:colOff>23112</xdr:colOff>
      <xdr:row>100</xdr:row>
      <xdr:rowOff>188399</xdr:rowOff>
    </xdr:to>
    <xdr:cxnSp macro="">
      <xdr:nvCxnSpPr>
        <xdr:cNvPr id="406" name="Straight Connector 405"/>
        <xdr:cNvCxnSpPr/>
      </xdr:nvCxnSpPr>
      <xdr:spPr>
        <a:xfrm flipV="1">
          <a:off x="3004437" y="19345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100</xdr:row>
      <xdr:rowOff>0</xdr:rowOff>
    </xdr:from>
    <xdr:to>
      <xdr:col>4</xdr:col>
      <xdr:colOff>601265</xdr:colOff>
      <xdr:row>100</xdr:row>
      <xdr:rowOff>187699</xdr:rowOff>
    </xdr:to>
    <xdr:cxnSp macro="">
      <xdr:nvCxnSpPr>
        <xdr:cNvPr id="407" name="Straight Connector 406"/>
        <xdr:cNvCxnSpPr/>
      </xdr:nvCxnSpPr>
      <xdr:spPr>
        <a:xfrm flipV="1">
          <a:off x="3992165" y="1934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106</xdr:row>
      <xdr:rowOff>179295</xdr:rowOff>
    </xdr:from>
    <xdr:to>
      <xdr:col>5</xdr:col>
      <xdr:colOff>11206</xdr:colOff>
      <xdr:row>106</xdr:row>
      <xdr:rowOff>179295</xdr:rowOff>
    </xdr:to>
    <xdr:cxnSp macro="">
      <xdr:nvCxnSpPr>
        <xdr:cNvPr id="408" name="Straight Connector 407"/>
        <xdr:cNvCxnSpPr/>
      </xdr:nvCxnSpPr>
      <xdr:spPr>
        <a:xfrm>
          <a:off x="2981325" y="20667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106</xdr:row>
      <xdr:rowOff>0</xdr:rowOff>
    </xdr:from>
    <xdr:to>
      <xdr:col>3</xdr:col>
      <xdr:colOff>23112</xdr:colOff>
      <xdr:row>106</xdr:row>
      <xdr:rowOff>188399</xdr:rowOff>
    </xdr:to>
    <xdr:cxnSp macro="">
      <xdr:nvCxnSpPr>
        <xdr:cNvPr id="409" name="Straight Connector 408"/>
        <xdr:cNvCxnSpPr/>
      </xdr:nvCxnSpPr>
      <xdr:spPr>
        <a:xfrm flipV="1">
          <a:off x="3004437" y="2048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106</xdr:row>
      <xdr:rowOff>0</xdr:rowOff>
    </xdr:from>
    <xdr:to>
      <xdr:col>4</xdr:col>
      <xdr:colOff>601265</xdr:colOff>
      <xdr:row>106</xdr:row>
      <xdr:rowOff>187699</xdr:rowOff>
    </xdr:to>
    <xdr:cxnSp macro="">
      <xdr:nvCxnSpPr>
        <xdr:cNvPr id="410" name="Straight Connector 409"/>
        <xdr:cNvCxnSpPr/>
      </xdr:nvCxnSpPr>
      <xdr:spPr>
        <a:xfrm flipV="1">
          <a:off x="3992165" y="2048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106</xdr:row>
      <xdr:rowOff>0</xdr:rowOff>
    </xdr:from>
    <xdr:to>
      <xdr:col>3</xdr:col>
      <xdr:colOff>23112</xdr:colOff>
      <xdr:row>106</xdr:row>
      <xdr:rowOff>188399</xdr:rowOff>
    </xdr:to>
    <xdr:cxnSp macro="">
      <xdr:nvCxnSpPr>
        <xdr:cNvPr id="411" name="Straight Connector 410"/>
        <xdr:cNvCxnSpPr/>
      </xdr:nvCxnSpPr>
      <xdr:spPr>
        <a:xfrm flipV="1">
          <a:off x="3004437" y="2048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106</xdr:row>
      <xdr:rowOff>0</xdr:rowOff>
    </xdr:from>
    <xdr:to>
      <xdr:col>4</xdr:col>
      <xdr:colOff>601265</xdr:colOff>
      <xdr:row>106</xdr:row>
      <xdr:rowOff>187699</xdr:rowOff>
    </xdr:to>
    <xdr:cxnSp macro="">
      <xdr:nvCxnSpPr>
        <xdr:cNvPr id="412" name="Straight Connector 411"/>
        <xdr:cNvCxnSpPr/>
      </xdr:nvCxnSpPr>
      <xdr:spPr>
        <a:xfrm flipV="1">
          <a:off x="3992165" y="2048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106</xdr:row>
      <xdr:rowOff>0</xdr:rowOff>
    </xdr:from>
    <xdr:to>
      <xdr:col>3</xdr:col>
      <xdr:colOff>23112</xdr:colOff>
      <xdr:row>106</xdr:row>
      <xdr:rowOff>188399</xdr:rowOff>
    </xdr:to>
    <xdr:cxnSp macro="">
      <xdr:nvCxnSpPr>
        <xdr:cNvPr id="413" name="Straight Connector 412"/>
        <xdr:cNvCxnSpPr/>
      </xdr:nvCxnSpPr>
      <xdr:spPr>
        <a:xfrm flipV="1">
          <a:off x="3004437" y="2048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106</xdr:row>
      <xdr:rowOff>0</xdr:rowOff>
    </xdr:from>
    <xdr:to>
      <xdr:col>4</xdr:col>
      <xdr:colOff>601265</xdr:colOff>
      <xdr:row>106</xdr:row>
      <xdr:rowOff>187699</xdr:rowOff>
    </xdr:to>
    <xdr:cxnSp macro="">
      <xdr:nvCxnSpPr>
        <xdr:cNvPr id="414" name="Straight Connector 413"/>
        <xdr:cNvCxnSpPr/>
      </xdr:nvCxnSpPr>
      <xdr:spPr>
        <a:xfrm flipV="1">
          <a:off x="3992165" y="2048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94</xdr:row>
      <xdr:rowOff>179295</xdr:rowOff>
    </xdr:from>
    <xdr:to>
      <xdr:col>5</xdr:col>
      <xdr:colOff>11206</xdr:colOff>
      <xdr:row>94</xdr:row>
      <xdr:rowOff>179295</xdr:rowOff>
    </xdr:to>
    <xdr:cxnSp macro="">
      <xdr:nvCxnSpPr>
        <xdr:cNvPr id="415" name="Straight Connector 414"/>
        <xdr:cNvCxnSpPr/>
      </xdr:nvCxnSpPr>
      <xdr:spPr>
        <a:xfrm>
          <a:off x="2981325" y="18381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xdr:row>
      <xdr:rowOff>0</xdr:rowOff>
    </xdr:from>
    <xdr:to>
      <xdr:col>3</xdr:col>
      <xdr:colOff>23112</xdr:colOff>
      <xdr:row>94</xdr:row>
      <xdr:rowOff>188399</xdr:rowOff>
    </xdr:to>
    <xdr:cxnSp macro="">
      <xdr:nvCxnSpPr>
        <xdr:cNvPr id="416" name="Straight Connector 415"/>
        <xdr:cNvCxnSpPr/>
      </xdr:nvCxnSpPr>
      <xdr:spPr>
        <a:xfrm flipV="1">
          <a:off x="3004437" y="1820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xdr:row>
      <xdr:rowOff>0</xdr:rowOff>
    </xdr:from>
    <xdr:to>
      <xdr:col>4</xdr:col>
      <xdr:colOff>601265</xdr:colOff>
      <xdr:row>94</xdr:row>
      <xdr:rowOff>187699</xdr:rowOff>
    </xdr:to>
    <xdr:cxnSp macro="">
      <xdr:nvCxnSpPr>
        <xdr:cNvPr id="417" name="Straight Connector 416"/>
        <xdr:cNvCxnSpPr/>
      </xdr:nvCxnSpPr>
      <xdr:spPr>
        <a:xfrm flipV="1">
          <a:off x="3992165" y="1820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xdr:row>
      <xdr:rowOff>0</xdr:rowOff>
    </xdr:from>
    <xdr:to>
      <xdr:col>3</xdr:col>
      <xdr:colOff>23112</xdr:colOff>
      <xdr:row>94</xdr:row>
      <xdr:rowOff>188399</xdr:rowOff>
    </xdr:to>
    <xdr:cxnSp macro="">
      <xdr:nvCxnSpPr>
        <xdr:cNvPr id="418" name="Straight Connector 417"/>
        <xdr:cNvCxnSpPr/>
      </xdr:nvCxnSpPr>
      <xdr:spPr>
        <a:xfrm flipV="1">
          <a:off x="3004437" y="1820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xdr:row>
      <xdr:rowOff>0</xdr:rowOff>
    </xdr:from>
    <xdr:to>
      <xdr:col>4</xdr:col>
      <xdr:colOff>601265</xdr:colOff>
      <xdr:row>94</xdr:row>
      <xdr:rowOff>187699</xdr:rowOff>
    </xdr:to>
    <xdr:cxnSp macro="">
      <xdr:nvCxnSpPr>
        <xdr:cNvPr id="419" name="Straight Connector 418"/>
        <xdr:cNvCxnSpPr/>
      </xdr:nvCxnSpPr>
      <xdr:spPr>
        <a:xfrm flipV="1">
          <a:off x="3992165" y="1820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xdr:row>
      <xdr:rowOff>0</xdr:rowOff>
    </xdr:from>
    <xdr:to>
      <xdr:col>3</xdr:col>
      <xdr:colOff>23112</xdr:colOff>
      <xdr:row>94</xdr:row>
      <xdr:rowOff>188399</xdr:rowOff>
    </xdr:to>
    <xdr:cxnSp macro="">
      <xdr:nvCxnSpPr>
        <xdr:cNvPr id="420" name="Straight Connector 419"/>
        <xdr:cNvCxnSpPr/>
      </xdr:nvCxnSpPr>
      <xdr:spPr>
        <a:xfrm flipV="1">
          <a:off x="3004437" y="1820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xdr:row>
      <xdr:rowOff>0</xdr:rowOff>
    </xdr:from>
    <xdr:to>
      <xdr:col>4</xdr:col>
      <xdr:colOff>601265</xdr:colOff>
      <xdr:row>94</xdr:row>
      <xdr:rowOff>187699</xdr:rowOff>
    </xdr:to>
    <xdr:cxnSp macro="">
      <xdr:nvCxnSpPr>
        <xdr:cNvPr id="421" name="Straight Connector 420"/>
        <xdr:cNvCxnSpPr/>
      </xdr:nvCxnSpPr>
      <xdr:spPr>
        <a:xfrm flipV="1">
          <a:off x="3992165" y="1820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73</xdr:row>
      <xdr:rowOff>179295</xdr:rowOff>
    </xdr:from>
    <xdr:to>
      <xdr:col>5</xdr:col>
      <xdr:colOff>11206</xdr:colOff>
      <xdr:row>73</xdr:row>
      <xdr:rowOff>179295</xdr:rowOff>
    </xdr:to>
    <xdr:cxnSp macro="">
      <xdr:nvCxnSpPr>
        <xdr:cNvPr id="422" name="Straight Connector 421"/>
        <xdr:cNvCxnSpPr/>
      </xdr:nvCxnSpPr>
      <xdr:spPr>
        <a:xfrm>
          <a:off x="2981325" y="1438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73</xdr:row>
      <xdr:rowOff>0</xdr:rowOff>
    </xdr:from>
    <xdr:to>
      <xdr:col>3</xdr:col>
      <xdr:colOff>23112</xdr:colOff>
      <xdr:row>73</xdr:row>
      <xdr:rowOff>188399</xdr:rowOff>
    </xdr:to>
    <xdr:cxnSp macro="">
      <xdr:nvCxnSpPr>
        <xdr:cNvPr id="423" name="Straight Connector 422"/>
        <xdr:cNvCxnSpPr/>
      </xdr:nvCxnSpPr>
      <xdr:spPr>
        <a:xfrm flipV="1">
          <a:off x="3004437" y="1420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73</xdr:row>
      <xdr:rowOff>0</xdr:rowOff>
    </xdr:from>
    <xdr:to>
      <xdr:col>4</xdr:col>
      <xdr:colOff>601265</xdr:colOff>
      <xdr:row>73</xdr:row>
      <xdr:rowOff>187699</xdr:rowOff>
    </xdr:to>
    <xdr:cxnSp macro="">
      <xdr:nvCxnSpPr>
        <xdr:cNvPr id="424" name="Straight Connector 423"/>
        <xdr:cNvCxnSpPr/>
      </xdr:nvCxnSpPr>
      <xdr:spPr>
        <a:xfrm flipV="1">
          <a:off x="3992165" y="1420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73</xdr:row>
      <xdr:rowOff>0</xdr:rowOff>
    </xdr:from>
    <xdr:to>
      <xdr:col>3</xdr:col>
      <xdr:colOff>23112</xdr:colOff>
      <xdr:row>73</xdr:row>
      <xdr:rowOff>188399</xdr:rowOff>
    </xdr:to>
    <xdr:cxnSp macro="">
      <xdr:nvCxnSpPr>
        <xdr:cNvPr id="425" name="Straight Connector 424"/>
        <xdr:cNvCxnSpPr/>
      </xdr:nvCxnSpPr>
      <xdr:spPr>
        <a:xfrm flipV="1">
          <a:off x="3004437" y="1420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73</xdr:row>
      <xdr:rowOff>0</xdr:rowOff>
    </xdr:from>
    <xdr:to>
      <xdr:col>4</xdr:col>
      <xdr:colOff>601265</xdr:colOff>
      <xdr:row>73</xdr:row>
      <xdr:rowOff>187699</xdr:rowOff>
    </xdr:to>
    <xdr:cxnSp macro="">
      <xdr:nvCxnSpPr>
        <xdr:cNvPr id="426" name="Straight Connector 425"/>
        <xdr:cNvCxnSpPr/>
      </xdr:nvCxnSpPr>
      <xdr:spPr>
        <a:xfrm flipV="1">
          <a:off x="3992165" y="1420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73</xdr:row>
      <xdr:rowOff>0</xdr:rowOff>
    </xdr:from>
    <xdr:to>
      <xdr:col>3</xdr:col>
      <xdr:colOff>23112</xdr:colOff>
      <xdr:row>73</xdr:row>
      <xdr:rowOff>188399</xdr:rowOff>
    </xdr:to>
    <xdr:cxnSp macro="">
      <xdr:nvCxnSpPr>
        <xdr:cNvPr id="427" name="Straight Connector 426"/>
        <xdr:cNvCxnSpPr/>
      </xdr:nvCxnSpPr>
      <xdr:spPr>
        <a:xfrm flipV="1">
          <a:off x="3004437" y="1420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73</xdr:row>
      <xdr:rowOff>0</xdr:rowOff>
    </xdr:from>
    <xdr:to>
      <xdr:col>4</xdr:col>
      <xdr:colOff>601265</xdr:colOff>
      <xdr:row>73</xdr:row>
      <xdr:rowOff>187699</xdr:rowOff>
    </xdr:to>
    <xdr:cxnSp macro="">
      <xdr:nvCxnSpPr>
        <xdr:cNvPr id="428" name="Straight Connector 427"/>
        <xdr:cNvCxnSpPr/>
      </xdr:nvCxnSpPr>
      <xdr:spPr>
        <a:xfrm flipV="1">
          <a:off x="3992165" y="1420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xdr:row>
      <xdr:rowOff>179295</xdr:rowOff>
    </xdr:from>
    <xdr:to>
      <xdr:col>5</xdr:col>
      <xdr:colOff>11206</xdr:colOff>
      <xdr:row>79</xdr:row>
      <xdr:rowOff>179295</xdr:rowOff>
    </xdr:to>
    <xdr:cxnSp macro="">
      <xdr:nvCxnSpPr>
        <xdr:cNvPr id="429" name="Straight Connector 428"/>
        <xdr:cNvCxnSpPr/>
      </xdr:nvCxnSpPr>
      <xdr:spPr>
        <a:xfrm>
          <a:off x="2981325" y="1552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xdr:row>
      <xdr:rowOff>0</xdr:rowOff>
    </xdr:from>
    <xdr:to>
      <xdr:col>3</xdr:col>
      <xdr:colOff>23112</xdr:colOff>
      <xdr:row>79</xdr:row>
      <xdr:rowOff>188399</xdr:rowOff>
    </xdr:to>
    <xdr:cxnSp macro="">
      <xdr:nvCxnSpPr>
        <xdr:cNvPr id="430" name="Straight Connector 429"/>
        <xdr:cNvCxnSpPr/>
      </xdr:nvCxnSpPr>
      <xdr:spPr>
        <a:xfrm flipV="1">
          <a:off x="3004437" y="1534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xdr:row>
      <xdr:rowOff>0</xdr:rowOff>
    </xdr:from>
    <xdr:to>
      <xdr:col>4</xdr:col>
      <xdr:colOff>601265</xdr:colOff>
      <xdr:row>79</xdr:row>
      <xdr:rowOff>187699</xdr:rowOff>
    </xdr:to>
    <xdr:cxnSp macro="">
      <xdr:nvCxnSpPr>
        <xdr:cNvPr id="431" name="Straight Connector 430"/>
        <xdr:cNvCxnSpPr/>
      </xdr:nvCxnSpPr>
      <xdr:spPr>
        <a:xfrm flipV="1">
          <a:off x="3992165" y="1534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xdr:row>
      <xdr:rowOff>0</xdr:rowOff>
    </xdr:from>
    <xdr:to>
      <xdr:col>3</xdr:col>
      <xdr:colOff>23112</xdr:colOff>
      <xdr:row>79</xdr:row>
      <xdr:rowOff>188399</xdr:rowOff>
    </xdr:to>
    <xdr:cxnSp macro="">
      <xdr:nvCxnSpPr>
        <xdr:cNvPr id="432" name="Straight Connector 431"/>
        <xdr:cNvCxnSpPr/>
      </xdr:nvCxnSpPr>
      <xdr:spPr>
        <a:xfrm flipV="1">
          <a:off x="3004437" y="1534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xdr:row>
      <xdr:rowOff>0</xdr:rowOff>
    </xdr:from>
    <xdr:to>
      <xdr:col>4</xdr:col>
      <xdr:colOff>601265</xdr:colOff>
      <xdr:row>79</xdr:row>
      <xdr:rowOff>187699</xdr:rowOff>
    </xdr:to>
    <xdr:cxnSp macro="">
      <xdr:nvCxnSpPr>
        <xdr:cNvPr id="433" name="Straight Connector 432"/>
        <xdr:cNvCxnSpPr/>
      </xdr:nvCxnSpPr>
      <xdr:spPr>
        <a:xfrm flipV="1">
          <a:off x="3992165" y="1534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xdr:row>
      <xdr:rowOff>0</xdr:rowOff>
    </xdr:from>
    <xdr:to>
      <xdr:col>3</xdr:col>
      <xdr:colOff>23112</xdr:colOff>
      <xdr:row>79</xdr:row>
      <xdr:rowOff>188399</xdr:rowOff>
    </xdr:to>
    <xdr:cxnSp macro="">
      <xdr:nvCxnSpPr>
        <xdr:cNvPr id="434" name="Straight Connector 433"/>
        <xdr:cNvCxnSpPr/>
      </xdr:nvCxnSpPr>
      <xdr:spPr>
        <a:xfrm flipV="1">
          <a:off x="3004437" y="1534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xdr:row>
      <xdr:rowOff>0</xdr:rowOff>
    </xdr:from>
    <xdr:to>
      <xdr:col>4</xdr:col>
      <xdr:colOff>601265</xdr:colOff>
      <xdr:row>79</xdr:row>
      <xdr:rowOff>187699</xdr:rowOff>
    </xdr:to>
    <xdr:cxnSp macro="">
      <xdr:nvCxnSpPr>
        <xdr:cNvPr id="435" name="Straight Connector 434"/>
        <xdr:cNvCxnSpPr/>
      </xdr:nvCxnSpPr>
      <xdr:spPr>
        <a:xfrm flipV="1">
          <a:off x="3992165" y="1534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xdr:row>
      <xdr:rowOff>179295</xdr:rowOff>
    </xdr:from>
    <xdr:to>
      <xdr:col>5</xdr:col>
      <xdr:colOff>11206</xdr:colOff>
      <xdr:row>85</xdr:row>
      <xdr:rowOff>179295</xdr:rowOff>
    </xdr:to>
    <xdr:cxnSp macro="">
      <xdr:nvCxnSpPr>
        <xdr:cNvPr id="436" name="Straight Connector 435"/>
        <xdr:cNvCxnSpPr/>
      </xdr:nvCxnSpPr>
      <xdr:spPr>
        <a:xfrm>
          <a:off x="2981325" y="16667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xdr:row>
      <xdr:rowOff>0</xdr:rowOff>
    </xdr:from>
    <xdr:to>
      <xdr:col>3</xdr:col>
      <xdr:colOff>23112</xdr:colOff>
      <xdr:row>85</xdr:row>
      <xdr:rowOff>188399</xdr:rowOff>
    </xdr:to>
    <xdr:cxnSp macro="">
      <xdr:nvCxnSpPr>
        <xdr:cNvPr id="437" name="Straight Connector 436"/>
        <xdr:cNvCxnSpPr/>
      </xdr:nvCxnSpPr>
      <xdr:spPr>
        <a:xfrm flipV="1">
          <a:off x="3004437" y="1648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xdr:row>
      <xdr:rowOff>0</xdr:rowOff>
    </xdr:from>
    <xdr:to>
      <xdr:col>4</xdr:col>
      <xdr:colOff>601265</xdr:colOff>
      <xdr:row>85</xdr:row>
      <xdr:rowOff>187699</xdr:rowOff>
    </xdr:to>
    <xdr:cxnSp macro="">
      <xdr:nvCxnSpPr>
        <xdr:cNvPr id="438" name="Straight Connector 437"/>
        <xdr:cNvCxnSpPr/>
      </xdr:nvCxnSpPr>
      <xdr:spPr>
        <a:xfrm flipV="1">
          <a:off x="3992165" y="1648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xdr:row>
      <xdr:rowOff>0</xdr:rowOff>
    </xdr:from>
    <xdr:to>
      <xdr:col>3</xdr:col>
      <xdr:colOff>23112</xdr:colOff>
      <xdr:row>85</xdr:row>
      <xdr:rowOff>188399</xdr:rowOff>
    </xdr:to>
    <xdr:cxnSp macro="">
      <xdr:nvCxnSpPr>
        <xdr:cNvPr id="439" name="Straight Connector 438"/>
        <xdr:cNvCxnSpPr/>
      </xdr:nvCxnSpPr>
      <xdr:spPr>
        <a:xfrm flipV="1">
          <a:off x="3004437" y="1648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xdr:row>
      <xdr:rowOff>0</xdr:rowOff>
    </xdr:from>
    <xdr:to>
      <xdr:col>4</xdr:col>
      <xdr:colOff>601265</xdr:colOff>
      <xdr:row>85</xdr:row>
      <xdr:rowOff>187699</xdr:rowOff>
    </xdr:to>
    <xdr:cxnSp macro="">
      <xdr:nvCxnSpPr>
        <xdr:cNvPr id="440" name="Straight Connector 439"/>
        <xdr:cNvCxnSpPr/>
      </xdr:nvCxnSpPr>
      <xdr:spPr>
        <a:xfrm flipV="1">
          <a:off x="3992165" y="1648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xdr:row>
      <xdr:rowOff>0</xdr:rowOff>
    </xdr:from>
    <xdr:to>
      <xdr:col>3</xdr:col>
      <xdr:colOff>23112</xdr:colOff>
      <xdr:row>85</xdr:row>
      <xdr:rowOff>188399</xdr:rowOff>
    </xdr:to>
    <xdr:cxnSp macro="">
      <xdr:nvCxnSpPr>
        <xdr:cNvPr id="441" name="Straight Connector 440"/>
        <xdr:cNvCxnSpPr/>
      </xdr:nvCxnSpPr>
      <xdr:spPr>
        <a:xfrm flipV="1">
          <a:off x="3004437" y="1648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xdr:row>
      <xdr:rowOff>0</xdr:rowOff>
    </xdr:from>
    <xdr:to>
      <xdr:col>4</xdr:col>
      <xdr:colOff>601265</xdr:colOff>
      <xdr:row>85</xdr:row>
      <xdr:rowOff>187699</xdr:rowOff>
    </xdr:to>
    <xdr:cxnSp macro="">
      <xdr:nvCxnSpPr>
        <xdr:cNvPr id="442" name="Straight Connector 441"/>
        <xdr:cNvCxnSpPr/>
      </xdr:nvCxnSpPr>
      <xdr:spPr>
        <a:xfrm flipV="1">
          <a:off x="3992165" y="1648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xdr:row>
      <xdr:rowOff>179295</xdr:rowOff>
    </xdr:from>
    <xdr:to>
      <xdr:col>5</xdr:col>
      <xdr:colOff>11206</xdr:colOff>
      <xdr:row>91</xdr:row>
      <xdr:rowOff>179295</xdr:rowOff>
    </xdr:to>
    <xdr:cxnSp macro="">
      <xdr:nvCxnSpPr>
        <xdr:cNvPr id="443" name="Straight Connector 442"/>
        <xdr:cNvCxnSpPr/>
      </xdr:nvCxnSpPr>
      <xdr:spPr>
        <a:xfrm>
          <a:off x="2981325" y="1781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xdr:row>
      <xdr:rowOff>0</xdr:rowOff>
    </xdr:from>
    <xdr:to>
      <xdr:col>3</xdr:col>
      <xdr:colOff>23112</xdr:colOff>
      <xdr:row>91</xdr:row>
      <xdr:rowOff>188399</xdr:rowOff>
    </xdr:to>
    <xdr:cxnSp macro="">
      <xdr:nvCxnSpPr>
        <xdr:cNvPr id="444" name="Straight Connector 443"/>
        <xdr:cNvCxnSpPr/>
      </xdr:nvCxnSpPr>
      <xdr:spPr>
        <a:xfrm flipV="1">
          <a:off x="3004437" y="1763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xdr:row>
      <xdr:rowOff>0</xdr:rowOff>
    </xdr:from>
    <xdr:to>
      <xdr:col>4</xdr:col>
      <xdr:colOff>601265</xdr:colOff>
      <xdr:row>91</xdr:row>
      <xdr:rowOff>187699</xdr:rowOff>
    </xdr:to>
    <xdr:cxnSp macro="">
      <xdr:nvCxnSpPr>
        <xdr:cNvPr id="445" name="Straight Connector 444"/>
        <xdr:cNvCxnSpPr/>
      </xdr:nvCxnSpPr>
      <xdr:spPr>
        <a:xfrm flipV="1">
          <a:off x="3992165" y="1763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xdr:row>
      <xdr:rowOff>0</xdr:rowOff>
    </xdr:from>
    <xdr:to>
      <xdr:col>3</xdr:col>
      <xdr:colOff>23112</xdr:colOff>
      <xdr:row>91</xdr:row>
      <xdr:rowOff>188399</xdr:rowOff>
    </xdr:to>
    <xdr:cxnSp macro="">
      <xdr:nvCxnSpPr>
        <xdr:cNvPr id="446" name="Straight Connector 445"/>
        <xdr:cNvCxnSpPr/>
      </xdr:nvCxnSpPr>
      <xdr:spPr>
        <a:xfrm flipV="1">
          <a:off x="3004437" y="1763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xdr:row>
      <xdr:rowOff>0</xdr:rowOff>
    </xdr:from>
    <xdr:to>
      <xdr:col>4</xdr:col>
      <xdr:colOff>601265</xdr:colOff>
      <xdr:row>91</xdr:row>
      <xdr:rowOff>187699</xdr:rowOff>
    </xdr:to>
    <xdr:cxnSp macro="">
      <xdr:nvCxnSpPr>
        <xdr:cNvPr id="447" name="Straight Connector 446"/>
        <xdr:cNvCxnSpPr/>
      </xdr:nvCxnSpPr>
      <xdr:spPr>
        <a:xfrm flipV="1">
          <a:off x="3992165" y="1763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xdr:row>
      <xdr:rowOff>0</xdr:rowOff>
    </xdr:from>
    <xdr:to>
      <xdr:col>3</xdr:col>
      <xdr:colOff>23112</xdr:colOff>
      <xdr:row>91</xdr:row>
      <xdr:rowOff>188399</xdr:rowOff>
    </xdr:to>
    <xdr:cxnSp macro="">
      <xdr:nvCxnSpPr>
        <xdr:cNvPr id="448" name="Straight Connector 447"/>
        <xdr:cNvCxnSpPr/>
      </xdr:nvCxnSpPr>
      <xdr:spPr>
        <a:xfrm flipV="1">
          <a:off x="3004437" y="1763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xdr:row>
      <xdr:rowOff>0</xdr:rowOff>
    </xdr:from>
    <xdr:to>
      <xdr:col>4</xdr:col>
      <xdr:colOff>601265</xdr:colOff>
      <xdr:row>91</xdr:row>
      <xdr:rowOff>187699</xdr:rowOff>
    </xdr:to>
    <xdr:cxnSp macro="">
      <xdr:nvCxnSpPr>
        <xdr:cNvPr id="449" name="Straight Connector 448"/>
        <xdr:cNvCxnSpPr/>
      </xdr:nvCxnSpPr>
      <xdr:spPr>
        <a:xfrm flipV="1">
          <a:off x="3992165" y="1763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97</xdr:row>
      <xdr:rowOff>179295</xdr:rowOff>
    </xdr:from>
    <xdr:to>
      <xdr:col>5</xdr:col>
      <xdr:colOff>11206</xdr:colOff>
      <xdr:row>97</xdr:row>
      <xdr:rowOff>179295</xdr:rowOff>
    </xdr:to>
    <xdr:cxnSp macro="">
      <xdr:nvCxnSpPr>
        <xdr:cNvPr id="450" name="Straight Connector 449"/>
        <xdr:cNvCxnSpPr/>
      </xdr:nvCxnSpPr>
      <xdr:spPr>
        <a:xfrm>
          <a:off x="2981325" y="1895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97</xdr:row>
      <xdr:rowOff>0</xdr:rowOff>
    </xdr:from>
    <xdr:to>
      <xdr:col>3</xdr:col>
      <xdr:colOff>23112</xdr:colOff>
      <xdr:row>97</xdr:row>
      <xdr:rowOff>188399</xdr:rowOff>
    </xdr:to>
    <xdr:cxnSp macro="">
      <xdr:nvCxnSpPr>
        <xdr:cNvPr id="451" name="Straight Connector 450"/>
        <xdr:cNvCxnSpPr/>
      </xdr:nvCxnSpPr>
      <xdr:spPr>
        <a:xfrm flipV="1">
          <a:off x="3004437" y="1877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97</xdr:row>
      <xdr:rowOff>0</xdr:rowOff>
    </xdr:from>
    <xdr:to>
      <xdr:col>4</xdr:col>
      <xdr:colOff>601265</xdr:colOff>
      <xdr:row>97</xdr:row>
      <xdr:rowOff>187699</xdr:rowOff>
    </xdr:to>
    <xdr:cxnSp macro="">
      <xdr:nvCxnSpPr>
        <xdr:cNvPr id="452" name="Straight Connector 451"/>
        <xdr:cNvCxnSpPr/>
      </xdr:nvCxnSpPr>
      <xdr:spPr>
        <a:xfrm flipV="1">
          <a:off x="3992165" y="1877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97</xdr:row>
      <xdr:rowOff>0</xdr:rowOff>
    </xdr:from>
    <xdr:to>
      <xdr:col>3</xdr:col>
      <xdr:colOff>23112</xdr:colOff>
      <xdr:row>97</xdr:row>
      <xdr:rowOff>188399</xdr:rowOff>
    </xdr:to>
    <xdr:cxnSp macro="">
      <xdr:nvCxnSpPr>
        <xdr:cNvPr id="453" name="Straight Connector 452"/>
        <xdr:cNvCxnSpPr/>
      </xdr:nvCxnSpPr>
      <xdr:spPr>
        <a:xfrm flipV="1">
          <a:off x="3004437" y="1877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97</xdr:row>
      <xdr:rowOff>0</xdr:rowOff>
    </xdr:from>
    <xdr:to>
      <xdr:col>4</xdr:col>
      <xdr:colOff>601265</xdr:colOff>
      <xdr:row>97</xdr:row>
      <xdr:rowOff>187699</xdr:rowOff>
    </xdr:to>
    <xdr:cxnSp macro="">
      <xdr:nvCxnSpPr>
        <xdr:cNvPr id="454" name="Straight Connector 453"/>
        <xdr:cNvCxnSpPr/>
      </xdr:nvCxnSpPr>
      <xdr:spPr>
        <a:xfrm flipV="1">
          <a:off x="3992165" y="1877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97</xdr:row>
      <xdr:rowOff>0</xdr:rowOff>
    </xdr:from>
    <xdr:to>
      <xdr:col>3</xdr:col>
      <xdr:colOff>23112</xdr:colOff>
      <xdr:row>97</xdr:row>
      <xdr:rowOff>188399</xdr:rowOff>
    </xdr:to>
    <xdr:cxnSp macro="">
      <xdr:nvCxnSpPr>
        <xdr:cNvPr id="455" name="Straight Connector 454"/>
        <xdr:cNvCxnSpPr/>
      </xdr:nvCxnSpPr>
      <xdr:spPr>
        <a:xfrm flipV="1">
          <a:off x="3004437" y="1877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97</xdr:row>
      <xdr:rowOff>0</xdr:rowOff>
    </xdr:from>
    <xdr:to>
      <xdr:col>4</xdr:col>
      <xdr:colOff>601265</xdr:colOff>
      <xdr:row>97</xdr:row>
      <xdr:rowOff>187699</xdr:rowOff>
    </xdr:to>
    <xdr:cxnSp macro="">
      <xdr:nvCxnSpPr>
        <xdr:cNvPr id="456" name="Straight Connector 455"/>
        <xdr:cNvCxnSpPr/>
      </xdr:nvCxnSpPr>
      <xdr:spPr>
        <a:xfrm flipV="1">
          <a:off x="3992165" y="1877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103</xdr:row>
      <xdr:rowOff>179295</xdr:rowOff>
    </xdr:from>
    <xdr:to>
      <xdr:col>5</xdr:col>
      <xdr:colOff>11206</xdr:colOff>
      <xdr:row>103</xdr:row>
      <xdr:rowOff>179295</xdr:rowOff>
    </xdr:to>
    <xdr:cxnSp macro="">
      <xdr:nvCxnSpPr>
        <xdr:cNvPr id="457" name="Straight Connector 456"/>
        <xdr:cNvCxnSpPr/>
      </xdr:nvCxnSpPr>
      <xdr:spPr>
        <a:xfrm>
          <a:off x="2981325" y="20096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103</xdr:row>
      <xdr:rowOff>0</xdr:rowOff>
    </xdr:from>
    <xdr:to>
      <xdr:col>3</xdr:col>
      <xdr:colOff>23112</xdr:colOff>
      <xdr:row>103</xdr:row>
      <xdr:rowOff>188399</xdr:rowOff>
    </xdr:to>
    <xdr:cxnSp macro="">
      <xdr:nvCxnSpPr>
        <xdr:cNvPr id="458" name="Straight Connector 457"/>
        <xdr:cNvCxnSpPr/>
      </xdr:nvCxnSpPr>
      <xdr:spPr>
        <a:xfrm flipV="1">
          <a:off x="3004437" y="1991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103</xdr:row>
      <xdr:rowOff>0</xdr:rowOff>
    </xdr:from>
    <xdr:to>
      <xdr:col>4</xdr:col>
      <xdr:colOff>601265</xdr:colOff>
      <xdr:row>103</xdr:row>
      <xdr:rowOff>187699</xdr:rowOff>
    </xdr:to>
    <xdr:cxnSp macro="">
      <xdr:nvCxnSpPr>
        <xdr:cNvPr id="459" name="Straight Connector 458"/>
        <xdr:cNvCxnSpPr/>
      </xdr:nvCxnSpPr>
      <xdr:spPr>
        <a:xfrm flipV="1">
          <a:off x="3992165" y="1991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103</xdr:row>
      <xdr:rowOff>0</xdr:rowOff>
    </xdr:from>
    <xdr:to>
      <xdr:col>3</xdr:col>
      <xdr:colOff>23112</xdr:colOff>
      <xdr:row>103</xdr:row>
      <xdr:rowOff>188399</xdr:rowOff>
    </xdr:to>
    <xdr:cxnSp macro="">
      <xdr:nvCxnSpPr>
        <xdr:cNvPr id="460" name="Straight Connector 459"/>
        <xdr:cNvCxnSpPr/>
      </xdr:nvCxnSpPr>
      <xdr:spPr>
        <a:xfrm flipV="1">
          <a:off x="3004437" y="1991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103</xdr:row>
      <xdr:rowOff>0</xdr:rowOff>
    </xdr:from>
    <xdr:to>
      <xdr:col>4</xdr:col>
      <xdr:colOff>601265</xdr:colOff>
      <xdr:row>103</xdr:row>
      <xdr:rowOff>187699</xdr:rowOff>
    </xdr:to>
    <xdr:cxnSp macro="">
      <xdr:nvCxnSpPr>
        <xdr:cNvPr id="461" name="Straight Connector 460"/>
        <xdr:cNvCxnSpPr/>
      </xdr:nvCxnSpPr>
      <xdr:spPr>
        <a:xfrm flipV="1">
          <a:off x="3992165" y="1991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103</xdr:row>
      <xdr:rowOff>0</xdr:rowOff>
    </xdr:from>
    <xdr:to>
      <xdr:col>3</xdr:col>
      <xdr:colOff>23112</xdr:colOff>
      <xdr:row>103</xdr:row>
      <xdr:rowOff>188399</xdr:rowOff>
    </xdr:to>
    <xdr:cxnSp macro="">
      <xdr:nvCxnSpPr>
        <xdr:cNvPr id="462" name="Straight Connector 461"/>
        <xdr:cNvCxnSpPr/>
      </xdr:nvCxnSpPr>
      <xdr:spPr>
        <a:xfrm flipV="1">
          <a:off x="3004437" y="1991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103</xdr:row>
      <xdr:rowOff>0</xdr:rowOff>
    </xdr:from>
    <xdr:to>
      <xdr:col>4</xdr:col>
      <xdr:colOff>601265</xdr:colOff>
      <xdr:row>103</xdr:row>
      <xdr:rowOff>187699</xdr:rowOff>
    </xdr:to>
    <xdr:cxnSp macro="">
      <xdr:nvCxnSpPr>
        <xdr:cNvPr id="463" name="Straight Connector 462"/>
        <xdr:cNvCxnSpPr/>
      </xdr:nvCxnSpPr>
      <xdr:spPr>
        <a:xfrm flipV="1">
          <a:off x="3992165" y="1991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129</xdr:row>
      <xdr:rowOff>179295</xdr:rowOff>
    </xdr:from>
    <xdr:to>
      <xdr:col>5</xdr:col>
      <xdr:colOff>11206</xdr:colOff>
      <xdr:row>129</xdr:row>
      <xdr:rowOff>179295</xdr:rowOff>
    </xdr:to>
    <xdr:cxnSp macro="">
      <xdr:nvCxnSpPr>
        <xdr:cNvPr id="464" name="Straight Connector 463"/>
        <xdr:cNvCxnSpPr/>
      </xdr:nvCxnSpPr>
      <xdr:spPr>
        <a:xfrm>
          <a:off x="2981325" y="25049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129</xdr:row>
      <xdr:rowOff>0</xdr:rowOff>
    </xdr:from>
    <xdr:to>
      <xdr:col>3</xdr:col>
      <xdr:colOff>23112</xdr:colOff>
      <xdr:row>129</xdr:row>
      <xdr:rowOff>188399</xdr:rowOff>
    </xdr:to>
    <xdr:cxnSp macro="">
      <xdr:nvCxnSpPr>
        <xdr:cNvPr id="465" name="Straight Connector 464"/>
        <xdr:cNvCxnSpPr/>
      </xdr:nvCxnSpPr>
      <xdr:spPr>
        <a:xfrm flipV="1">
          <a:off x="3004437" y="2486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129</xdr:row>
      <xdr:rowOff>0</xdr:rowOff>
    </xdr:from>
    <xdr:to>
      <xdr:col>4</xdr:col>
      <xdr:colOff>601265</xdr:colOff>
      <xdr:row>129</xdr:row>
      <xdr:rowOff>187699</xdr:rowOff>
    </xdr:to>
    <xdr:cxnSp macro="">
      <xdr:nvCxnSpPr>
        <xdr:cNvPr id="466" name="Straight Connector 465"/>
        <xdr:cNvCxnSpPr/>
      </xdr:nvCxnSpPr>
      <xdr:spPr>
        <a:xfrm flipV="1">
          <a:off x="3992165" y="2486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129</xdr:row>
      <xdr:rowOff>0</xdr:rowOff>
    </xdr:from>
    <xdr:to>
      <xdr:col>3</xdr:col>
      <xdr:colOff>23112</xdr:colOff>
      <xdr:row>129</xdr:row>
      <xdr:rowOff>188399</xdr:rowOff>
    </xdr:to>
    <xdr:cxnSp macro="">
      <xdr:nvCxnSpPr>
        <xdr:cNvPr id="467" name="Straight Connector 466"/>
        <xdr:cNvCxnSpPr/>
      </xdr:nvCxnSpPr>
      <xdr:spPr>
        <a:xfrm flipV="1">
          <a:off x="3004437" y="2486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129</xdr:row>
      <xdr:rowOff>0</xdr:rowOff>
    </xdr:from>
    <xdr:to>
      <xdr:col>4</xdr:col>
      <xdr:colOff>601265</xdr:colOff>
      <xdr:row>129</xdr:row>
      <xdr:rowOff>187699</xdr:rowOff>
    </xdr:to>
    <xdr:cxnSp macro="">
      <xdr:nvCxnSpPr>
        <xdr:cNvPr id="468" name="Straight Connector 467"/>
        <xdr:cNvCxnSpPr/>
      </xdr:nvCxnSpPr>
      <xdr:spPr>
        <a:xfrm flipV="1">
          <a:off x="3992165" y="2486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129</xdr:row>
      <xdr:rowOff>0</xdr:rowOff>
    </xdr:from>
    <xdr:to>
      <xdr:col>3</xdr:col>
      <xdr:colOff>23112</xdr:colOff>
      <xdr:row>129</xdr:row>
      <xdr:rowOff>188399</xdr:rowOff>
    </xdr:to>
    <xdr:cxnSp macro="">
      <xdr:nvCxnSpPr>
        <xdr:cNvPr id="469" name="Straight Connector 468"/>
        <xdr:cNvCxnSpPr/>
      </xdr:nvCxnSpPr>
      <xdr:spPr>
        <a:xfrm flipV="1">
          <a:off x="3004437" y="2486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129</xdr:row>
      <xdr:rowOff>0</xdr:rowOff>
    </xdr:from>
    <xdr:to>
      <xdr:col>4</xdr:col>
      <xdr:colOff>601265</xdr:colOff>
      <xdr:row>129</xdr:row>
      <xdr:rowOff>187699</xdr:rowOff>
    </xdr:to>
    <xdr:cxnSp macro="">
      <xdr:nvCxnSpPr>
        <xdr:cNvPr id="470" name="Straight Connector 469"/>
        <xdr:cNvCxnSpPr/>
      </xdr:nvCxnSpPr>
      <xdr:spPr>
        <a:xfrm flipV="1">
          <a:off x="3992165" y="2486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126</xdr:row>
      <xdr:rowOff>179295</xdr:rowOff>
    </xdr:from>
    <xdr:to>
      <xdr:col>5</xdr:col>
      <xdr:colOff>11206</xdr:colOff>
      <xdr:row>126</xdr:row>
      <xdr:rowOff>179295</xdr:rowOff>
    </xdr:to>
    <xdr:cxnSp macro="">
      <xdr:nvCxnSpPr>
        <xdr:cNvPr id="471" name="Straight Connector 470"/>
        <xdr:cNvCxnSpPr/>
      </xdr:nvCxnSpPr>
      <xdr:spPr>
        <a:xfrm>
          <a:off x="2981325" y="24477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126</xdr:row>
      <xdr:rowOff>0</xdr:rowOff>
    </xdr:from>
    <xdr:to>
      <xdr:col>3</xdr:col>
      <xdr:colOff>23112</xdr:colOff>
      <xdr:row>126</xdr:row>
      <xdr:rowOff>188399</xdr:rowOff>
    </xdr:to>
    <xdr:cxnSp macro="">
      <xdr:nvCxnSpPr>
        <xdr:cNvPr id="472" name="Straight Connector 471"/>
        <xdr:cNvCxnSpPr/>
      </xdr:nvCxnSpPr>
      <xdr:spPr>
        <a:xfrm flipV="1">
          <a:off x="3004437" y="2429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126</xdr:row>
      <xdr:rowOff>0</xdr:rowOff>
    </xdr:from>
    <xdr:to>
      <xdr:col>4</xdr:col>
      <xdr:colOff>601265</xdr:colOff>
      <xdr:row>126</xdr:row>
      <xdr:rowOff>187699</xdr:rowOff>
    </xdr:to>
    <xdr:cxnSp macro="">
      <xdr:nvCxnSpPr>
        <xdr:cNvPr id="473" name="Straight Connector 472"/>
        <xdr:cNvCxnSpPr/>
      </xdr:nvCxnSpPr>
      <xdr:spPr>
        <a:xfrm flipV="1">
          <a:off x="3992165" y="2429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126</xdr:row>
      <xdr:rowOff>0</xdr:rowOff>
    </xdr:from>
    <xdr:to>
      <xdr:col>3</xdr:col>
      <xdr:colOff>23112</xdr:colOff>
      <xdr:row>126</xdr:row>
      <xdr:rowOff>188399</xdr:rowOff>
    </xdr:to>
    <xdr:cxnSp macro="">
      <xdr:nvCxnSpPr>
        <xdr:cNvPr id="474" name="Straight Connector 473"/>
        <xdr:cNvCxnSpPr/>
      </xdr:nvCxnSpPr>
      <xdr:spPr>
        <a:xfrm flipV="1">
          <a:off x="3004437" y="2429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126</xdr:row>
      <xdr:rowOff>0</xdr:rowOff>
    </xdr:from>
    <xdr:to>
      <xdr:col>4</xdr:col>
      <xdr:colOff>601265</xdr:colOff>
      <xdr:row>126</xdr:row>
      <xdr:rowOff>187699</xdr:rowOff>
    </xdr:to>
    <xdr:cxnSp macro="">
      <xdr:nvCxnSpPr>
        <xdr:cNvPr id="475" name="Straight Connector 474"/>
        <xdr:cNvCxnSpPr/>
      </xdr:nvCxnSpPr>
      <xdr:spPr>
        <a:xfrm flipV="1">
          <a:off x="3992165" y="2429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126</xdr:row>
      <xdr:rowOff>0</xdr:rowOff>
    </xdr:from>
    <xdr:to>
      <xdr:col>3</xdr:col>
      <xdr:colOff>23112</xdr:colOff>
      <xdr:row>126</xdr:row>
      <xdr:rowOff>188399</xdr:rowOff>
    </xdr:to>
    <xdr:cxnSp macro="">
      <xdr:nvCxnSpPr>
        <xdr:cNvPr id="476" name="Straight Connector 475"/>
        <xdr:cNvCxnSpPr/>
      </xdr:nvCxnSpPr>
      <xdr:spPr>
        <a:xfrm flipV="1">
          <a:off x="3004437" y="2429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126</xdr:row>
      <xdr:rowOff>0</xdr:rowOff>
    </xdr:from>
    <xdr:to>
      <xdr:col>4</xdr:col>
      <xdr:colOff>601265</xdr:colOff>
      <xdr:row>126</xdr:row>
      <xdr:rowOff>187699</xdr:rowOff>
    </xdr:to>
    <xdr:cxnSp macro="">
      <xdr:nvCxnSpPr>
        <xdr:cNvPr id="477" name="Straight Connector 476"/>
        <xdr:cNvCxnSpPr/>
      </xdr:nvCxnSpPr>
      <xdr:spPr>
        <a:xfrm flipV="1">
          <a:off x="3992165" y="2429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123</xdr:row>
      <xdr:rowOff>179295</xdr:rowOff>
    </xdr:from>
    <xdr:to>
      <xdr:col>5</xdr:col>
      <xdr:colOff>11206</xdr:colOff>
      <xdr:row>123</xdr:row>
      <xdr:rowOff>179295</xdr:rowOff>
    </xdr:to>
    <xdr:cxnSp macro="">
      <xdr:nvCxnSpPr>
        <xdr:cNvPr id="478" name="Straight Connector 477"/>
        <xdr:cNvCxnSpPr/>
      </xdr:nvCxnSpPr>
      <xdr:spPr>
        <a:xfrm>
          <a:off x="2981325" y="23906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120</xdr:row>
      <xdr:rowOff>179295</xdr:rowOff>
    </xdr:from>
    <xdr:to>
      <xdr:col>5</xdr:col>
      <xdr:colOff>11206</xdr:colOff>
      <xdr:row>120</xdr:row>
      <xdr:rowOff>179295</xdr:rowOff>
    </xdr:to>
    <xdr:cxnSp macro="">
      <xdr:nvCxnSpPr>
        <xdr:cNvPr id="479" name="Straight Connector 478"/>
        <xdr:cNvCxnSpPr/>
      </xdr:nvCxnSpPr>
      <xdr:spPr>
        <a:xfrm>
          <a:off x="2981325" y="23334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114</xdr:row>
      <xdr:rowOff>179295</xdr:rowOff>
    </xdr:from>
    <xdr:to>
      <xdr:col>5</xdr:col>
      <xdr:colOff>11206</xdr:colOff>
      <xdr:row>114</xdr:row>
      <xdr:rowOff>179295</xdr:rowOff>
    </xdr:to>
    <xdr:cxnSp macro="">
      <xdr:nvCxnSpPr>
        <xdr:cNvPr id="480" name="Straight Connector 479"/>
        <xdr:cNvCxnSpPr/>
      </xdr:nvCxnSpPr>
      <xdr:spPr>
        <a:xfrm>
          <a:off x="2981325" y="22191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1" name="Straight Connector 480"/>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2" name="Straight Connector 481"/>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3" name="Straight Connector 482"/>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114</xdr:row>
      <xdr:rowOff>179295</xdr:rowOff>
    </xdr:from>
    <xdr:to>
      <xdr:col>5</xdr:col>
      <xdr:colOff>11206</xdr:colOff>
      <xdr:row>114</xdr:row>
      <xdr:rowOff>179295</xdr:rowOff>
    </xdr:to>
    <xdr:cxnSp macro="">
      <xdr:nvCxnSpPr>
        <xdr:cNvPr id="484" name="Straight Connector 483"/>
        <xdr:cNvCxnSpPr/>
      </xdr:nvCxnSpPr>
      <xdr:spPr>
        <a:xfrm>
          <a:off x="2981325" y="22191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5" name="Straight Connector 484"/>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114</xdr:row>
      <xdr:rowOff>0</xdr:rowOff>
    </xdr:from>
    <xdr:to>
      <xdr:col>4</xdr:col>
      <xdr:colOff>601265</xdr:colOff>
      <xdr:row>114</xdr:row>
      <xdr:rowOff>187699</xdr:rowOff>
    </xdr:to>
    <xdr:cxnSp macro="">
      <xdr:nvCxnSpPr>
        <xdr:cNvPr id="486" name="Straight Connector 485"/>
        <xdr:cNvCxnSpPr/>
      </xdr:nvCxnSpPr>
      <xdr:spPr>
        <a:xfrm flipV="1">
          <a:off x="3992165" y="2201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7" name="Straight Connector 486"/>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114</xdr:row>
      <xdr:rowOff>0</xdr:rowOff>
    </xdr:from>
    <xdr:to>
      <xdr:col>4</xdr:col>
      <xdr:colOff>601265</xdr:colOff>
      <xdr:row>114</xdr:row>
      <xdr:rowOff>187699</xdr:rowOff>
    </xdr:to>
    <xdr:cxnSp macro="">
      <xdr:nvCxnSpPr>
        <xdr:cNvPr id="488" name="Straight Connector 487"/>
        <xdr:cNvCxnSpPr/>
      </xdr:nvCxnSpPr>
      <xdr:spPr>
        <a:xfrm flipV="1">
          <a:off x="3992165" y="2201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9" name="Straight Connector 488"/>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114</xdr:row>
      <xdr:rowOff>0</xdr:rowOff>
    </xdr:from>
    <xdr:to>
      <xdr:col>4</xdr:col>
      <xdr:colOff>601265</xdr:colOff>
      <xdr:row>114</xdr:row>
      <xdr:rowOff>187699</xdr:rowOff>
    </xdr:to>
    <xdr:cxnSp macro="">
      <xdr:nvCxnSpPr>
        <xdr:cNvPr id="490" name="Straight Connector 489"/>
        <xdr:cNvCxnSpPr/>
      </xdr:nvCxnSpPr>
      <xdr:spPr>
        <a:xfrm flipV="1">
          <a:off x="3992165" y="2201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111</xdr:row>
      <xdr:rowOff>179295</xdr:rowOff>
    </xdr:from>
    <xdr:to>
      <xdr:col>5</xdr:col>
      <xdr:colOff>11206</xdr:colOff>
      <xdr:row>111</xdr:row>
      <xdr:rowOff>179295</xdr:rowOff>
    </xdr:to>
    <xdr:cxnSp macro="">
      <xdr:nvCxnSpPr>
        <xdr:cNvPr id="491" name="Straight Connector 490"/>
        <xdr:cNvCxnSpPr/>
      </xdr:nvCxnSpPr>
      <xdr:spPr>
        <a:xfrm>
          <a:off x="2981325" y="2162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2" name="Straight Connector 491"/>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3" name="Straight Connector 492"/>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4" name="Straight Connector 493"/>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111</xdr:row>
      <xdr:rowOff>179295</xdr:rowOff>
    </xdr:from>
    <xdr:to>
      <xdr:col>5</xdr:col>
      <xdr:colOff>11206</xdr:colOff>
      <xdr:row>111</xdr:row>
      <xdr:rowOff>179295</xdr:rowOff>
    </xdr:to>
    <xdr:cxnSp macro="">
      <xdr:nvCxnSpPr>
        <xdr:cNvPr id="495" name="Straight Connector 494"/>
        <xdr:cNvCxnSpPr/>
      </xdr:nvCxnSpPr>
      <xdr:spPr>
        <a:xfrm>
          <a:off x="2981325" y="2162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6" name="Straight Connector 495"/>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111</xdr:row>
      <xdr:rowOff>0</xdr:rowOff>
    </xdr:from>
    <xdr:to>
      <xdr:col>4</xdr:col>
      <xdr:colOff>601265</xdr:colOff>
      <xdr:row>111</xdr:row>
      <xdr:rowOff>187699</xdr:rowOff>
    </xdr:to>
    <xdr:cxnSp macro="">
      <xdr:nvCxnSpPr>
        <xdr:cNvPr id="497" name="Straight Connector 496"/>
        <xdr:cNvCxnSpPr/>
      </xdr:nvCxnSpPr>
      <xdr:spPr>
        <a:xfrm flipV="1">
          <a:off x="3992165" y="2144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8" name="Straight Connector 497"/>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111</xdr:row>
      <xdr:rowOff>0</xdr:rowOff>
    </xdr:from>
    <xdr:to>
      <xdr:col>4</xdr:col>
      <xdr:colOff>601265</xdr:colOff>
      <xdr:row>111</xdr:row>
      <xdr:rowOff>187699</xdr:rowOff>
    </xdr:to>
    <xdr:cxnSp macro="">
      <xdr:nvCxnSpPr>
        <xdr:cNvPr id="499" name="Straight Connector 498"/>
        <xdr:cNvCxnSpPr/>
      </xdr:nvCxnSpPr>
      <xdr:spPr>
        <a:xfrm flipV="1">
          <a:off x="3992165" y="2144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500" name="Straight Connector 499"/>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111</xdr:row>
      <xdr:rowOff>0</xdr:rowOff>
    </xdr:from>
    <xdr:to>
      <xdr:col>4</xdr:col>
      <xdr:colOff>601265</xdr:colOff>
      <xdr:row>111</xdr:row>
      <xdr:rowOff>187699</xdr:rowOff>
    </xdr:to>
    <xdr:cxnSp macro="">
      <xdr:nvCxnSpPr>
        <xdr:cNvPr id="501" name="Straight Connector 500"/>
        <xdr:cNvCxnSpPr/>
      </xdr:nvCxnSpPr>
      <xdr:spPr>
        <a:xfrm flipV="1">
          <a:off x="3992165" y="2144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117</xdr:row>
      <xdr:rowOff>179295</xdr:rowOff>
    </xdr:from>
    <xdr:to>
      <xdr:col>5</xdr:col>
      <xdr:colOff>11206</xdr:colOff>
      <xdr:row>117</xdr:row>
      <xdr:rowOff>179295</xdr:rowOff>
    </xdr:to>
    <xdr:cxnSp macro="">
      <xdr:nvCxnSpPr>
        <xdr:cNvPr id="502" name="Straight Connector 501"/>
        <xdr:cNvCxnSpPr/>
      </xdr:nvCxnSpPr>
      <xdr:spPr>
        <a:xfrm>
          <a:off x="2981325" y="2276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3" name="Straight Connector 502"/>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4" name="Straight Connector 503"/>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5" name="Straight Connector 504"/>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117</xdr:row>
      <xdr:rowOff>179295</xdr:rowOff>
    </xdr:from>
    <xdr:to>
      <xdr:col>5</xdr:col>
      <xdr:colOff>11206</xdr:colOff>
      <xdr:row>117</xdr:row>
      <xdr:rowOff>179295</xdr:rowOff>
    </xdr:to>
    <xdr:cxnSp macro="">
      <xdr:nvCxnSpPr>
        <xdr:cNvPr id="506" name="Straight Connector 505"/>
        <xdr:cNvCxnSpPr/>
      </xdr:nvCxnSpPr>
      <xdr:spPr>
        <a:xfrm>
          <a:off x="2981325" y="2276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7" name="Straight Connector 506"/>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117</xdr:row>
      <xdr:rowOff>0</xdr:rowOff>
    </xdr:from>
    <xdr:to>
      <xdr:col>4</xdr:col>
      <xdr:colOff>601265</xdr:colOff>
      <xdr:row>117</xdr:row>
      <xdr:rowOff>187699</xdr:rowOff>
    </xdr:to>
    <xdr:cxnSp macro="">
      <xdr:nvCxnSpPr>
        <xdr:cNvPr id="508" name="Straight Connector 507"/>
        <xdr:cNvCxnSpPr/>
      </xdr:nvCxnSpPr>
      <xdr:spPr>
        <a:xfrm flipV="1">
          <a:off x="3992165" y="2258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9" name="Straight Connector 508"/>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117</xdr:row>
      <xdr:rowOff>0</xdr:rowOff>
    </xdr:from>
    <xdr:to>
      <xdr:col>4</xdr:col>
      <xdr:colOff>601265</xdr:colOff>
      <xdr:row>117</xdr:row>
      <xdr:rowOff>187699</xdr:rowOff>
    </xdr:to>
    <xdr:cxnSp macro="">
      <xdr:nvCxnSpPr>
        <xdr:cNvPr id="510" name="Straight Connector 509"/>
        <xdr:cNvCxnSpPr/>
      </xdr:nvCxnSpPr>
      <xdr:spPr>
        <a:xfrm flipV="1">
          <a:off x="3992165" y="2258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11" name="Straight Connector 510"/>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117</xdr:row>
      <xdr:rowOff>0</xdr:rowOff>
    </xdr:from>
    <xdr:to>
      <xdr:col>4</xdr:col>
      <xdr:colOff>601265</xdr:colOff>
      <xdr:row>117</xdr:row>
      <xdr:rowOff>187699</xdr:rowOff>
    </xdr:to>
    <xdr:cxnSp macro="">
      <xdr:nvCxnSpPr>
        <xdr:cNvPr id="512" name="Straight Connector 511"/>
        <xdr:cNvCxnSpPr/>
      </xdr:nvCxnSpPr>
      <xdr:spPr>
        <a:xfrm flipV="1">
          <a:off x="3992165" y="2258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123</xdr:row>
      <xdr:rowOff>0</xdr:rowOff>
    </xdr:from>
    <xdr:to>
      <xdr:col>5</xdr:col>
      <xdr:colOff>0</xdr:colOff>
      <xdr:row>123</xdr:row>
      <xdr:rowOff>187699</xdr:rowOff>
    </xdr:to>
    <xdr:cxnSp macro="">
      <xdr:nvCxnSpPr>
        <xdr:cNvPr id="513" name="Straight Connector 512"/>
        <xdr:cNvCxnSpPr/>
      </xdr:nvCxnSpPr>
      <xdr:spPr>
        <a:xfrm flipV="1">
          <a:off x="3990975" y="2372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120</xdr:row>
      <xdr:rowOff>0</xdr:rowOff>
    </xdr:from>
    <xdr:to>
      <xdr:col>5</xdr:col>
      <xdr:colOff>0</xdr:colOff>
      <xdr:row>120</xdr:row>
      <xdr:rowOff>187699</xdr:rowOff>
    </xdr:to>
    <xdr:cxnSp macro="">
      <xdr:nvCxnSpPr>
        <xdr:cNvPr id="514" name="Straight Connector 513"/>
        <xdr:cNvCxnSpPr/>
      </xdr:nvCxnSpPr>
      <xdr:spPr>
        <a:xfrm flipV="1">
          <a:off x="3990975" y="2315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151</xdr:row>
      <xdr:rowOff>0</xdr:rowOff>
    </xdr:from>
    <xdr:to>
      <xdr:col>5</xdr:col>
      <xdr:colOff>0</xdr:colOff>
      <xdr:row>151</xdr:row>
      <xdr:rowOff>188399</xdr:rowOff>
    </xdr:to>
    <xdr:cxnSp macro="">
      <xdr:nvCxnSpPr>
        <xdr:cNvPr id="515" name="Straight Connector 514"/>
        <xdr:cNvCxnSpPr/>
      </xdr:nvCxnSpPr>
      <xdr:spPr>
        <a:xfrm flipV="1">
          <a:off x="3990975" y="2906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xdr:row>
      <xdr:rowOff>179295</xdr:rowOff>
    </xdr:from>
    <xdr:to>
      <xdr:col>5</xdr:col>
      <xdr:colOff>11206</xdr:colOff>
      <xdr:row>153</xdr:row>
      <xdr:rowOff>179295</xdr:rowOff>
    </xdr:to>
    <xdr:cxnSp macro="">
      <xdr:nvCxnSpPr>
        <xdr:cNvPr id="516" name="Straight Connector 515"/>
        <xdr:cNvCxnSpPr/>
      </xdr:nvCxnSpPr>
      <xdr:spPr>
        <a:xfrm>
          <a:off x="2981325" y="2962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153</xdr:row>
      <xdr:rowOff>0</xdr:rowOff>
    </xdr:from>
    <xdr:to>
      <xdr:col>5</xdr:col>
      <xdr:colOff>0</xdr:colOff>
      <xdr:row>153</xdr:row>
      <xdr:rowOff>188399</xdr:rowOff>
    </xdr:to>
    <xdr:cxnSp macro="">
      <xdr:nvCxnSpPr>
        <xdr:cNvPr id="517" name="Straight Connector 516"/>
        <xdr:cNvCxnSpPr/>
      </xdr:nvCxnSpPr>
      <xdr:spPr>
        <a:xfrm flipV="1">
          <a:off x="3990975" y="2944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xdr:row>
      <xdr:rowOff>179295</xdr:rowOff>
    </xdr:from>
    <xdr:to>
      <xdr:col>5</xdr:col>
      <xdr:colOff>11206</xdr:colOff>
      <xdr:row>155</xdr:row>
      <xdr:rowOff>179295</xdr:rowOff>
    </xdr:to>
    <xdr:cxnSp macro="">
      <xdr:nvCxnSpPr>
        <xdr:cNvPr id="518" name="Straight Connector 517"/>
        <xdr:cNvCxnSpPr/>
      </xdr:nvCxnSpPr>
      <xdr:spPr>
        <a:xfrm>
          <a:off x="2981325" y="30002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155</xdr:row>
      <xdr:rowOff>0</xdr:rowOff>
    </xdr:from>
    <xdr:to>
      <xdr:col>3</xdr:col>
      <xdr:colOff>23112</xdr:colOff>
      <xdr:row>155</xdr:row>
      <xdr:rowOff>188399</xdr:rowOff>
    </xdr:to>
    <xdr:cxnSp macro="">
      <xdr:nvCxnSpPr>
        <xdr:cNvPr id="519" name="Straight Connector 518"/>
        <xdr:cNvCxnSpPr/>
      </xdr:nvCxnSpPr>
      <xdr:spPr>
        <a:xfrm flipV="1">
          <a:off x="3004437" y="2982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155</xdr:row>
      <xdr:rowOff>0</xdr:rowOff>
    </xdr:from>
    <xdr:to>
      <xdr:col>4</xdr:col>
      <xdr:colOff>601265</xdr:colOff>
      <xdr:row>155</xdr:row>
      <xdr:rowOff>187699</xdr:rowOff>
    </xdr:to>
    <xdr:cxnSp macro="">
      <xdr:nvCxnSpPr>
        <xdr:cNvPr id="520" name="Straight Connector 519"/>
        <xdr:cNvCxnSpPr/>
      </xdr:nvCxnSpPr>
      <xdr:spPr>
        <a:xfrm flipV="1">
          <a:off x="3992165" y="2982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155</xdr:row>
      <xdr:rowOff>0</xdr:rowOff>
    </xdr:from>
    <xdr:to>
      <xdr:col>4</xdr:col>
      <xdr:colOff>601265</xdr:colOff>
      <xdr:row>155</xdr:row>
      <xdr:rowOff>187699</xdr:rowOff>
    </xdr:to>
    <xdr:cxnSp macro="">
      <xdr:nvCxnSpPr>
        <xdr:cNvPr id="521" name="Straight Connector 520"/>
        <xdr:cNvCxnSpPr/>
      </xdr:nvCxnSpPr>
      <xdr:spPr>
        <a:xfrm flipV="1">
          <a:off x="3992165" y="2982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155</xdr:row>
      <xdr:rowOff>0</xdr:rowOff>
    </xdr:from>
    <xdr:to>
      <xdr:col>4</xdr:col>
      <xdr:colOff>601265</xdr:colOff>
      <xdr:row>155</xdr:row>
      <xdr:rowOff>187699</xdr:rowOff>
    </xdr:to>
    <xdr:cxnSp macro="">
      <xdr:nvCxnSpPr>
        <xdr:cNvPr id="522" name="Straight Connector 521"/>
        <xdr:cNvCxnSpPr/>
      </xdr:nvCxnSpPr>
      <xdr:spPr>
        <a:xfrm flipV="1">
          <a:off x="3992165" y="2982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157</xdr:row>
      <xdr:rowOff>179295</xdr:rowOff>
    </xdr:from>
    <xdr:to>
      <xdr:col>5</xdr:col>
      <xdr:colOff>11206</xdr:colOff>
      <xdr:row>157</xdr:row>
      <xdr:rowOff>179295</xdr:rowOff>
    </xdr:to>
    <xdr:cxnSp macro="">
      <xdr:nvCxnSpPr>
        <xdr:cNvPr id="523" name="Straight Connector 522"/>
        <xdr:cNvCxnSpPr/>
      </xdr:nvCxnSpPr>
      <xdr:spPr>
        <a:xfrm>
          <a:off x="2981325" y="3038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157</xdr:row>
      <xdr:rowOff>0</xdr:rowOff>
    </xdr:from>
    <xdr:to>
      <xdr:col>3</xdr:col>
      <xdr:colOff>23112</xdr:colOff>
      <xdr:row>157</xdr:row>
      <xdr:rowOff>188399</xdr:rowOff>
    </xdr:to>
    <xdr:cxnSp macro="">
      <xdr:nvCxnSpPr>
        <xdr:cNvPr id="524" name="Straight Connector 523"/>
        <xdr:cNvCxnSpPr/>
      </xdr:nvCxnSpPr>
      <xdr:spPr>
        <a:xfrm flipV="1">
          <a:off x="3004437" y="3020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157</xdr:row>
      <xdr:rowOff>0</xdr:rowOff>
    </xdr:from>
    <xdr:to>
      <xdr:col>4</xdr:col>
      <xdr:colOff>601265</xdr:colOff>
      <xdr:row>157</xdr:row>
      <xdr:rowOff>187699</xdr:rowOff>
    </xdr:to>
    <xdr:cxnSp macro="">
      <xdr:nvCxnSpPr>
        <xdr:cNvPr id="525" name="Straight Connector 524"/>
        <xdr:cNvCxnSpPr/>
      </xdr:nvCxnSpPr>
      <xdr:spPr>
        <a:xfrm flipV="1">
          <a:off x="3992165" y="3020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157</xdr:row>
      <xdr:rowOff>0</xdr:rowOff>
    </xdr:from>
    <xdr:to>
      <xdr:col>4</xdr:col>
      <xdr:colOff>601265</xdr:colOff>
      <xdr:row>157</xdr:row>
      <xdr:rowOff>187699</xdr:rowOff>
    </xdr:to>
    <xdr:cxnSp macro="">
      <xdr:nvCxnSpPr>
        <xdr:cNvPr id="526" name="Straight Connector 525"/>
        <xdr:cNvCxnSpPr/>
      </xdr:nvCxnSpPr>
      <xdr:spPr>
        <a:xfrm flipV="1">
          <a:off x="3992165" y="3020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157</xdr:row>
      <xdr:rowOff>0</xdr:rowOff>
    </xdr:from>
    <xdr:to>
      <xdr:col>4</xdr:col>
      <xdr:colOff>601265</xdr:colOff>
      <xdr:row>157</xdr:row>
      <xdr:rowOff>187699</xdr:rowOff>
    </xdr:to>
    <xdr:cxnSp macro="">
      <xdr:nvCxnSpPr>
        <xdr:cNvPr id="527" name="Straight Connector 526"/>
        <xdr:cNvCxnSpPr/>
      </xdr:nvCxnSpPr>
      <xdr:spPr>
        <a:xfrm flipV="1">
          <a:off x="3992165" y="3020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742</xdr:row>
      <xdr:rowOff>0</xdr:rowOff>
    </xdr:from>
    <xdr:to>
      <xdr:col>5</xdr:col>
      <xdr:colOff>10232</xdr:colOff>
      <xdr:row>742</xdr:row>
      <xdr:rowOff>0</xdr:rowOff>
    </xdr:to>
    <xdr:cxnSp macro="">
      <xdr:nvCxnSpPr>
        <xdr:cNvPr id="528" name="Straight Connector 527"/>
        <xdr:cNvCxnSpPr/>
      </xdr:nvCxnSpPr>
      <xdr:spPr>
        <a:xfrm>
          <a:off x="2981325" y="141646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745</xdr:row>
      <xdr:rowOff>0</xdr:rowOff>
    </xdr:from>
    <xdr:to>
      <xdr:col>5</xdr:col>
      <xdr:colOff>10232</xdr:colOff>
      <xdr:row>745</xdr:row>
      <xdr:rowOff>0</xdr:rowOff>
    </xdr:to>
    <xdr:cxnSp macro="">
      <xdr:nvCxnSpPr>
        <xdr:cNvPr id="529" name="Straight Connector 528"/>
        <xdr:cNvCxnSpPr/>
      </xdr:nvCxnSpPr>
      <xdr:spPr>
        <a:xfrm>
          <a:off x="2981325" y="142217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748</xdr:row>
      <xdr:rowOff>0</xdr:rowOff>
    </xdr:from>
    <xdr:to>
      <xdr:col>5</xdr:col>
      <xdr:colOff>10232</xdr:colOff>
      <xdr:row>748</xdr:row>
      <xdr:rowOff>0</xdr:rowOff>
    </xdr:to>
    <xdr:cxnSp macro="">
      <xdr:nvCxnSpPr>
        <xdr:cNvPr id="530" name="Straight Connector 529"/>
        <xdr:cNvCxnSpPr/>
      </xdr:nvCxnSpPr>
      <xdr:spPr>
        <a:xfrm>
          <a:off x="2981325" y="142789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751</xdr:row>
      <xdr:rowOff>0</xdr:rowOff>
    </xdr:from>
    <xdr:to>
      <xdr:col>5</xdr:col>
      <xdr:colOff>10232</xdr:colOff>
      <xdr:row>751</xdr:row>
      <xdr:rowOff>0</xdr:rowOff>
    </xdr:to>
    <xdr:cxnSp macro="">
      <xdr:nvCxnSpPr>
        <xdr:cNvPr id="531" name="Straight Connector 530"/>
        <xdr:cNvCxnSpPr/>
      </xdr:nvCxnSpPr>
      <xdr:spPr>
        <a:xfrm>
          <a:off x="2981325" y="143360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754</xdr:row>
      <xdr:rowOff>0</xdr:rowOff>
    </xdr:from>
    <xdr:to>
      <xdr:col>5</xdr:col>
      <xdr:colOff>10232</xdr:colOff>
      <xdr:row>754</xdr:row>
      <xdr:rowOff>0</xdr:rowOff>
    </xdr:to>
    <xdr:cxnSp macro="">
      <xdr:nvCxnSpPr>
        <xdr:cNvPr id="532" name="Straight Connector 531"/>
        <xdr:cNvCxnSpPr/>
      </xdr:nvCxnSpPr>
      <xdr:spPr>
        <a:xfrm>
          <a:off x="2981325" y="143932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757</xdr:row>
      <xdr:rowOff>0</xdr:rowOff>
    </xdr:from>
    <xdr:to>
      <xdr:col>5</xdr:col>
      <xdr:colOff>10232</xdr:colOff>
      <xdr:row>757</xdr:row>
      <xdr:rowOff>0</xdr:rowOff>
    </xdr:to>
    <xdr:cxnSp macro="">
      <xdr:nvCxnSpPr>
        <xdr:cNvPr id="533" name="Straight Connector 532"/>
        <xdr:cNvCxnSpPr/>
      </xdr:nvCxnSpPr>
      <xdr:spPr>
        <a:xfrm>
          <a:off x="2981325" y="144503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760</xdr:row>
      <xdr:rowOff>0</xdr:rowOff>
    </xdr:from>
    <xdr:to>
      <xdr:col>5</xdr:col>
      <xdr:colOff>10232</xdr:colOff>
      <xdr:row>760</xdr:row>
      <xdr:rowOff>0</xdr:rowOff>
    </xdr:to>
    <xdr:cxnSp macro="">
      <xdr:nvCxnSpPr>
        <xdr:cNvPr id="534" name="Straight Connector 533"/>
        <xdr:cNvCxnSpPr/>
      </xdr:nvCxnSpPr>
      <xdr:spPr>
        <a:xfrm>
          <a:off x="2981325" y="145075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763</xdr:row>
      <xdr:rowOff>0</xdr:rowOff>
    </xdr:from>
    <xdr:to>
      <xdr:col>5</xdr:col>
      <xdr:colOff>10232</xdr:colOff>
      <xdr:row>763</xdr:row>
      <xdr:rowOff>0</xdr:rowOff>
    </xdr:to>
    <xdr:cxnSp macro="">
      <xdr:nvCxnSpPr>
        <xdr:cNvPr id="535" name="Straight Connector 534"/>
        <xdr:cNvCxnSpPr/>
      </xdr:nvCxnSpPr>
      <xdr:spPr>
        <a:xfrm>
          <a:off x="2981325" y="145646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766</xdr:row>
      <xdr:rowOff>0</xdr:rowOff>
    </xdr:from>
    <xdr:to>
      <xdr:col>5</xdr:col>
      <xdr:colOff>10232</xdr:colOff>
      <xdr:row>766</xdr:row>
      <xdr:rowOff>0</xdr:rowOff>
    </xdr:to>
    <xdr:cxnSp macro="">
      <xdr:nvCxnSpPr>
        <xdr:cNvPr id="536" name="Straight Connector 535"/>
        <xdr:cNvCxnSpPr/>
      </xdr:nvCxnSpPr>
      <xdr:spPr>
        <a:xfrm>
          <a:off x="2981325" y="146218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769</xdr:row>
      <xdr:rowOff>0</xdr:rowOff>
    </xdr:from>
    <xdr:to>
      <xdr:col>5</xdr:col>
      <xdr:colOff>10232</xdr:colOff>
      <xdr:row>769</xdr:row>
      <xdr:rowOff>0</xdr:rowOff>
    </xdr:to>
    <xdr:cxnSp macro="">
      <xdr:nvCxnSpPr>
        <xdr:cNvPr id="537" name="Straight Connector 536"/>
        <xdr:cNvCxnSpPr/>
      </xdr:nvCxnSpPr>
      <xdr:spPr>
        <a:xfrm>
          <a:off x="2981325" y="146789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772</xdr:row>
      <xdr:rowOff>0</xdr:rowOff>
    </xdr:from>
    <xdr:to>
      <xdr:col>5</xdr:col>
      <xdr:colOff>10232</xdr:colOff>
      <xdr:row>772</xdr:row>
      <xdr:rowOff>0</xdr:rowOff>
    </xdr:to>
    <xdr:cxnSp macro="">
      <xdr:nvCxnSpPr>
        <xdr:cNvPr id="538" name="Straight Connector 537"/>
        <xdr:cNvCxnSpPr/>
      </xdr:nvCxnSpPr>
      <xdr:spPr>
        <a:xfrm>
          <a:off x="2981325" y="147361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775</xdr:row>
      <xdr:rowOff>0</xdr:rowOff>
    </xdr:from>
    <xdr:to>
      <xdr:col>5</xdr:col>
      <xdr:colOff>10232</xdr:colOff>
      <xdr:row>775</xdr:row>
      <xdr:rowOff>0</xdr:rowOff>
    </xdr:to>
    <xdr:cxnSp macro="">
      <xdr:nvCxnSpPr>
        <xdr:cNvPr id="539" name="Straight Connector 538"/>
        <xdr:cNvCxnSpPr/>
      </xdr:nvCxnSpPr>
      <xdr:spPr>
        <a:xfrm>
          <a:off x="2981325" y="147932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778</xdr:row>
      <xdr:rowOff>0</xdr:rowOff>
    </xdr:from>
    <xdr:to>
      <xdr:col>5</xdr:col>
      <xdr:colOff>10232</xdr:colOff>
      <xdr:row>778</xdr:row>
      <xdr:rowOff>0</xdr:rowOff>
    </xdr:to>
    <xdr:cxnSp macro="">
      <xdr:nvCxnSpPr>
        <xdr:cNvPr id="540" name="Straight Connector 539"/>
        <xdr:cNvCxnSpPr/>
      </xdr:nvCxnSpPr>
      <xdr:spPr>
        <a:xfrm>
          <a:off x="2981325" y="148504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582</xdr:row>
      <xdr:rowOff>74935</xdr:rowOff>
    </xdr:from>
    <xdr:to>
      <xdr:col>5</xdr:col>
      <xdr:colOff>2924</xdr:colOff>
      <xdr:row>582</xdr:row>
      <xdr:rowOff>74935</xdr:rowOff>
    </xdr:to>
    <xdr:cxnSp macro="">
      <xdr:nvCxnSpPr>
        <xdr:cNvPr id="541" name="Straight Connector 540"/>
        <xdr:cNvCxnSpPr/>
      </xdr:nvCxnSpPr>
      <xdr:spPr>
        <a:xfrm>
          <a:off x="2973457" y="11124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585</xdr:row>
      <xdr:rowOff>74935</xdr:rowOff>
    </xdr:from>
    <xdr:to>
      <xdr:col>5</xdr:col>
      <xdr:colOff>2924</xdr:colOff>
      <xdr:row>585</xdr:row>
      <xdr:rowOff>74935</xdr:rowOff>
    </xdr:to>
    <xdr:cxnSp macro="">
      <xdr:nvCxnSpPr>
        <xdr:cNvPr id="542" name="Straight Connector 541"/>
        <xdr:cNvCxnSpPr/>
      </xdr:nvCxnSpPr>
      <xdr:spPr>
        <a:xfrm>
          <a:off x="2973457" y="11181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588</xdr:row>
      <xdr:rowOff>74935</xdr:rowOff>
    </xdr:from>
    <xdr:to>
      <xdr:col>5</xdr:col>
      <xdr:colOff>2924</xdr:colOff>
      <xdr:row>588</xdr:row>
      <xdr:rowOff>74935</xdr:rowOff>
    </xdr:to>
    <xdr:cxnSp macro="">
      <xdr:nvCxnSpPr>
        <xdr:cNvPr id="543" name="Straight Connector 542"/>
        <xdr:cNvCxnSpPr/>
      </xdr:nvCxnSpPr>
      <xdr:spPr>
        <a:xfrm>
          <a:off x="2973457" y="11238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591</xdr:row>
      <xdr:rowOff>74935</xdr:rowOff>
    </xdr:from>
    <xdr:to>
      <xdr:col>5</xdr:col>
      <xdr:colOff>2924</xdr:colOff>
      <xdr:row>591</xdr:row>
      <xdr:rowOff>74935</xdr:rowOff>
    </xdr:to>
    <xdr:cxnSp macro="">
      <xdr:nvCxnSpPr>
        <xdr:cNvPr id="544" name="Straight Connector 543"/>
        <xdr:cNvCxnSpPr/>
      </xdr:nvCxnSpPr>
      <xdr:spPr>
        <a:xfrm>
          <a:off x="2973457" y="11295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594</xdr:row>
      <xdr:rowOff>74935</xdr:rowOff>
    </xdr:from>
    <xdr:to>
      <xdr:col>5</xdr:col>
      <xdr:colOff>2924</xdr:colOff>
      <xdr:row>594</xdr:row>
      <xdr:rowOff>74935</xdr:rowOff>
    </xdr:to>
    <xdr:cxnSp macro="">
      <xdr:nvCxnSpPr>
        <xdr:cNvPr id="545" name="Straight Connector 544"/>
        <xdr:cNvCxnSpPr/>
      </xdr:nvCxnSpPr>
      <xdr:spPr>
        <a:xfrm>
          <a:off x="2973457" y="11352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597</xdr:row>
      <xdr:rowOff>74935</xdr:rowOff>
    </xdr:from>
    <xdr:to>
      <xdr:col>5</xdr:col>
      <xdr:colOff>2924</xdr:colOff>
      <xdr:row>597</xdr:row>
      <xdr:rowOff>74935</xdr:rowOff>
    </xdr:to>
    <xdr:cxnSp macro="">
      <xdr:nvCxnSpPr>
        <xdr:cNvPr id="546" name="Straight Connector 545"/>
        <xdr:cNvCxnSpPr/>
      </xdr:nvCxnSpPr>
      <xdr:spPr>
        <a:xfrm>
          <a:off x="2973457" y="11409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600</xdr:row>
      <xdr:rowOff>74935</xdr:rowOff>
    </xdr:from>
    <xdr:to>
      <xdr:col>5</xdr:col>
      <xdr:colOff>2924</xdr:colOff>
      <xdr:row>600</xdr:row>
      <xdr:rowOff>74935</xdr:rowOff>
    </xdr:to>
    <xdr:cxnSp macro="">
      <xdr:nvCxnSpPr>
        <xdr:cNvPr id="547" name="Straight Connector 546"/>
        <xdr:cNvCxnSpPr/>
      </xdr:nvCxnSpPr>
      <xdr:spPr>
        <a:xfrm>
          <a:off x="2973457" y="11467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603</xdr:row>
      <xdr:rowOff>74935</xdr:rowOff>
    </xdr:from>
    <xdr:to>
      <xdr:col>5</xdr:col>
      <xdr:colOff>2924</xdr:colOff>
      <xdr:row>603</xdr:row>
      <xdr:rowOff>74935</xdr:rowOff>
    </xdr:to>
    <xdr:cxnSp macro="">
      <xdr:nvCxnSpPr>
        <xdr:cNvPr id="548" name="Straight Connector 547"/>
        <xdr:cNvCxnSpPr/>
      </xdr:nvCxnSpPr>
      <xdr:spPr>
        <a:xfrm>
          <a:off x="2973457" y="11524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606</xdr:row>
      <xdr:rowOff>74935</xdr:rowOff>
    </xdr:from>
    <xdr:to>
      <xdr:col>5</xdr:col>
      <xdr:colOff>2924</xdr:colOff>
      <xdr:row>606</xdr:row>
      <xdr:rowOff>74935</xdr:rowOff>
    </xdr:to>
    <xdr:cxnSp macro="">
      <xdr:nvCxnSpPr>
        <xdr:cNvPr id="549" name="Straight Connector 548"/>
        <xdr:cNvCxnSpPr/>
      </xdr:nvCxnSpPr>
      <xdr:spPr>
        <a:xfrm>
          <a:off x="2973457" y="11581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609</xdr:row>
      <xdr:rowOff>74935</xdr:rowOff>
    </xdr:from>
    <xdr:to>
      <xdr:col>5</xdr:col>
      <xdr:colOff>2924</xdr:colOff>
      <xdr:row>609</xdr:row>
      <xdr:rowOff>74935</xdr:rowOff>
    </xdr:to>
    <xdr:cxnSp macro="">
      <xdr:nvCxnSpPr>
        <xdr:cNvPr id="550" name="Straight Connector 549"/>
        <xdr:cNvCxnSpPr/>
      </xdr:nvCxnSpPr>
      <xdr:spPr>
        <a:xfrm>
          <a:off x="2973457" y="11638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579</xdr:row>
      <xdr:rowOff>74935</xdr:rowOff>
    </xdr:from>
    <xdr:to>
      <xdr:col>5</xdr:col>
      <xdr:colOff>2924</xdr:colOff>
      <xdr:row>579</xdr:row>
      <xdr:rowOff>74935</xdr:rowOff>
    </xdr:to>
    <xdr:cxnSp macro="">
      <xdr:nvCxnSpPr>
        <xdr:cNvPr id="551" name="Straight Connector 550"/>
        <xdr:cNvCxnSpPr/>
      </xdr:nvCxnSpPr>
      <xdr:spPr>
        <a:xfrm>
          <a:off x="2973457" y="11066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576</xdr:row>
      <xdr:rowOff>74935</xdr:rowOff>
    </xdr:from>
    <xdr:to>
      <xdr:col>5</xdr:col>
      <xdr:colOff>2924</xdr:colOff>
      <xdr:row>576</xdr:row>
      <xdr:rowOff>74935</xdr:rowOff>
    </xdr:to>
    <xdr:cxnSp macro="">
      <xdr:nvCxnSpPr>
        <xdr:cNvPr id="552" name="Straight Connector 551"/>
        <xdr:cNvCxnSpPr/>
      </xdr:nvCxnSpPr>
      <xdr:spPr>
        <a:xfrm>
          <a:off x="2973457" y="11009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612</xdr:row>
      <xdr:rowOff>74935</xdr:rowOff>
    </xdr:from>
    <xdr:to>
      <xdr:col>5</xdr:col>
      <xdr:colOff>2924</xdr:colOff>
      <xdr:row>612</xdr:row>
      <xdr:rowOff>74935</xdr:rowOff>
    </xdr:to>
    <xdr:cxnSp macro="">
      <xdr:nvCxnSpPr>
        <xdr:cNvPr id="553" name="Straight Connector 552"/>
        <xdr:cNvCxnSpPr/>
      </xdr:nvCxnSpPr>
      <xdr:spPr>
        <a:xfrm>
          <a:off x="2973457" y="11695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792</xdr:row>
      <xdr:rowOff>179295</xdr:rowOff>
    </xdr:from>
    <xdr:to>
      <xdr:col>5</xdr:col>
      <xdr:colOff>11206</xdr:colOff>
      <xdr:row>792</xdr:row>
      <xdr:rowOff>179295</xdr:rowOff>
    </xdr:to>
    <xdr:cxnSp macro="">
      <xdr:nvCxnSpPr>
        <xdr:cNvPr id="554" name="Straight Connector 553"/>
        <xdr:cNvCxnSpPr/>
      </xdr:nvCxnSpPr>
      <xdr:spPr>
        <a:xfrm>
          <a:off x="2980765" y="1882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792</xdr:row>
      <xdr:rowOff>0</xdr:rowOff>
    </xdr:from>
    <xdr:to>
      <xdr:col>3</xdr:col>
      <xdr:colOff>23112</xdr:colOff>
      <xdr:row>792</xdr:row>
      <xdr:rowOff>188399</xdr:rowOff>
    </xdr:to>
    <xdr:cxnSp macro="">
      <xdr:nvCxnSpPr>
        <xdr:cNvPr id="555" name="Straight Connector 554"/>
        <xdr:cNvCxnSpPr/>
      </xdr:nvCxnSpPr>
      <xdr:spPr>
        <a:xfrm flipV="1">
          <a:off x="3003877" y="170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792</xdr:row>
      <xdr:rowOff>0</xdr:rowOff>
    </xdr:from>
    <xdr:to>
      <xdr:col>4</xdr:col>
      <xdr:colOff>601265</xdr:colOff>
      <xdr:row>792</xdr:row>
      <xdr:rowOff>187699</xdr:rowOff>
    </xdr:to>
    <xdr:cxnSp macro="">
      <xdr:nvCxnSpPr>
        <xdr:cNvPr id="556" name="Straight Connector 555"/>
        <xdr:cNvCxnSpPr/>
      </xdr:nvCxnSpPr>
      <xdr:spPr>
        <a:xfrm flipV="1">
          <a:off x="3991044" y="170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792</xdr:row>
      <xdr:rowOff>0</xdr:rowOff>
    </xdr:from>
    <xdr:to>
      <xdr:col>3</xdr:col>
      <xdr:colOff>23112</xdr:colOff>
      <xdr:row>792</xdr:row>
      <xdr:rowOff>188399</xdr:rowOff>
    </xdr:to>
    <xdr:cxnSp macro="">
      <xdr:nvCxnSpPr>
        <xdr:cNvPr id="557" name="Straight Connector 556"/>
        <xdr:cNvCxnSpPr/>
      </xdr:nvCxnSpPr>
      <xdr:spPr>
        <a:xfrm flipV="1">
          <a:off x="3003877" y="170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792</xdr:row>
      <xdr:rowOff>0</xdr:rowOff>
    </xdr:from>
    <xdr:to>
      <xdr:col>4</xdr:col>
      <xdr:colOff>601265</xdr:colOff>
      <xdr:row>792</xdr:row>
      <xdr:rowOff>187699</xdr:rowOff>
    </xdr:to>
    <xdr:cxnSp macro="">
      <xdr:nvCxnSpPr>
        <xdr:cNvPr id="558" name="Straight Connector 557"/>
        <xdr:cNvCxnSpPr/>
      </xdr:nvCxnSpPr>
      <xdr:spPr>
        <a:xfrm flipV="1">
          <a:off x="3991044" y="170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792</xdr:row>
      <xdr:rowOff>0</xdr:rowOff>
    </xdr:from>
    <xdr:to>
      <xdr:col>3</xdr:col>
      <xdr:colOff>23112</xdr:colOff>
      <xdr:row>792</xdr:row>
      <xdr:rowOff>188399</xdr:rowOff>
    </xdr:to>
    <xdr:cxnSp macro="">
      <xdr:nvCxnSpPr>
        <xdr:cNvPr id="559" name="Straight Connector 558"/>
        <xdr:cNvCxnSpPr/>
      </xdr:nvCxnSpPr>
      <xdr:spPr>
        <a:xfrm flipV="1">
          <a:off x="3003877" y="170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792</xdr:row>
      <xdr:rowOff>0</xdr:rowOff>
    </xdr:from>
    <xdr:to>
      <xdr:col>4</xdr:col>
      <xdr:colOff>601265</xdr:colOff>
      <xdr:row>792</xdr:row>
      <xdr:rowOff>187699</xdr:rowOff>
    </xdr:to>
    <xdr:cxnSp macro="">
      <xdr:nvCxnSpPr>
        <xdr:cNvPr id="560" name="Straight Connector 559"/>
        <xdr:cNvCxnSpPr/>
      </xdr:nvCxnSpPr>
      <xdr:spPr>
        <a:xfrm flipV="1">
          <a:off x="3991044" y="170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798</xdr:row>
      <xdr:rowOff>179295</xdr:rowOff>
    </xdr:from>
    <xdr:to>
      <xdr:col>5</xdr:col>
      <xdr:colOff>11206</xdr:colOff>
      <xdr:row>798</xdr:row>
      <xdr:rowOff>179295</xdr:rowOff>
    </xdr:to>
    <xdr:cxnSp macro="">
      <xdr:nvCxnSpPr>
        <xdr:cNvPr id="561" name="Straight Connector 560"/>
        <xdr:cNvCxnSpPr/>
      </xdr:nvCxnSpPr>
      <xdr:spPr>
        <a:xfrm>
          <a:off x="2980765" y="3025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798</xdr:row>
      <xdr:rowOff>0</xdr:rowOff>
    </xdr:from>
    <xdr:to>
      <xdr:col>3</xdr:col>
      <xdr:colOff>23112</xdr:colOff>
      <xdr:row>798</xdr:row>
      <xdr:rowOff>188399</xdr:rowOff>
    </xdr:to>
    <xdr:cxnSp macro="">
      <xdr:nvCxnSpPr>
        <xdr:cNvPr id="562" name="Straight Connector 561"/>
        <xdr:cNvCxnSpPr/>
      </xdr:nvCxnSpPr>
      <xdr:spPr>
        <a:xfrm flipV="1">
          <a:off x="3003877" y="2846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798</xdr:row>
      <xdr:rowOff>0</xdr:rowOff>
    </xdr:from>
    <xdr:to>
      <xdr:col>4</xdr:col>
      <xdr:colOff>601265</xdr:colOff>
      <xdr:row>798</xdr:row>
      <xdr:rowOff>187699</xdr:rowOff>
    </xdr:to>
    <xdr:cxnSp macro="">
      <xdr:nvCxnSpPr>
        <xdr:cNvPr id="563" name="Straight Connector 562"/>
        <xdr:cNvCxnSpPr/>
      </xdr:nvCxnSpPr>
      <xdr:spPr>
        <a:xfrm flipV="1">
          <a:off x="3991044" y="2846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798</xdr:row>
      <xdr:rowOff>0</xdr:rowOff>
    </xdr:from>
    <xdr:to>
      <xdr:col>3</xdr:col>
      <xdr:colOff>23112</xdr:colOff>
      <xdr:row>798</xdr:row>
      <xdr:rowOff>188399</xdr:rowOff>
    </xdr:to>
    <xdr:cxnSp macro="">
      <xdr:nvCxnSpPr>
        <xdr:cNvPr id="564" name="Straight Connector 563"/>
        <xdr:cNvCxnSpPr/>
      </xdr:nvCxnSpPr>
      <xdr:spPr>
        <a:xfrm flipV="1">
          <a:off x="3003877" y="2846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798</xdr:row>
      <xdr:rowOff>0</xdr:rowOff>
    </xdr:from>
    <xdr:to>
      <xdr:col>4</xdr:col>
      <xdr:colOff>601265</xdr:colOff>
      <xdr:row>798</xdr:row>
      <xdr:rowOff>187699</xdr:rowOff>
    </xdr:to>
    <xdr:cxnSp macro="">
      <xdr:nvCxnSpPr>
        <xdr:cNvPr id="565" name="Straight Connector 564"/>
        <xdr:cNvCxnSpPr/>
      </xdr:nvCxnSpPr>
      <xdr:spPr>
        <a:xfrm flipV="1">
          <a:off x="3991044" y="2846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798</xdr:row>
      <xdr:rowOff>0</xdr:rowOff>
    </xdr:from>
    <xdr:to>
      <xdr:col>3</xdr:col>
      <xdr:colOff>23112</xdr:colOff>
      <xdr:row>798</xdr:row>
      <xdr:rowOff>188399</xdr:rowOff>
    </xdr:to>
    <xdr:cxnSp macro="">
      <xdr:nvCxnSpPr>
        <xdr:cNvPr id="566" name="Straight Connector 565"/>
        <xdr:cNvCxnSpPr/>
      </xdr:nvCxnSpPr>
      <xdr:spPr>
        <a:xfrm flipV="1">
          <a:off x="3003877" y="2846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798</xdr:row>
      <xdr:rowOff>0</xdr:rowOff>
    </xdr:from>
    <xdr:to>
      <xdr:col>4</xdr:col>
      <xdr:colOff>601265</xdr:colOff>
      <xdr:row>798</xdr:row>
      <xdr:rowOff>187699</xdr:rowOff>
    </xdr:to>
    <xdr:cxnSp macro="">
      <xdr:nvCxnSpPr>
        <xdr:cNvPr id="567" name="Straight Connector 566"/>
        <xdr:cNvCxnSpPr/>
      </xdr:nvCxnSpPr>
      <xdr:spPr>
        <a:xfrm flipV="1">
          <a:off x="3991044" y="2846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804</xdr:row>
      <xdr:rowOff>179295</xdr:rowOff>
    </xdr:from>
    <xdr:to>
      <xdr:col>5</xdr:col>
      <xdr:colOff>11206</xdr:colOff>
      <xdr:row>804</xdr:row>
      <xdr:rowOff>179295</xdr:rowOff>
    </xdr:to>
    <xdr:cxnSp macro="">
      <xdr:nvCxnSpPr>
        <xdr:cNvPr id="568" name="Straight Connector 567"/>
        <xdr:cNvCxnSpPr/>
      </xdr:nvCxnSpPr>
      <xdr:spPr>
        <a:xfrm>
          <a:off x="2980765" y="4168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804</xdr:row>
      <xdr:rowOff>0</xdr:rowOff>
    </xdr:from>
    <xdr:to>
      <xdr:col>3</xdr:col>
      <xdr:colOff>23112</xdr:colOff>
      <xdr:row>804</xdr:row>
      <xdr:rowOff>188399</xdr:rowOff>
    </xdr:to>
    <xdr:cxnSp macro="">
      <xdr:nvCxnSpPr>
        <xdr:cNvPr id="569" name="Straight Connector 568"/>
        <xdr:cNvCxnSpPr/>
      </xdr:nvCxnSpPr>
      <xdr:spPr>
        <a:xfrm flipV="1">
          <a:off x="3003877" y="3989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804</xdr:row>
      <xdr:rowOff>0</xdr:rowOff>
    </xdr:from>
    <xdr:to>
      <xdr:col>4</xdr:col>
      <xdr:colOff>601265</xdr:colOff>
      <xdr:row>804</xdr:row>
      <xdr:rowOff>187699</xdr:rowOff>
    </xdr:to>
    <xdr:cxnSp macro="">
      <xdr:nvCxnSpPr>
        <xdr:cNvPr id="570" name="Straight Connector 569"/>
        <xdr:cNvCxnSpPr/>
      </xdr:nvCxnSpPr>
      <xdr:spPr>
        <a:xfrm flipV="1">
          <a:off x="3991044" y="3989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804</xdr:row>
      <xdr:rowOff>0</xdr:rowOff>
    </xdr:from>
    <xdr:to>
      <xdr:col>3</xdr:col>
      <xdr:colOff>23112</xdr:colOff>
      <xdr:row>804</xdr:row>
      <xdr:rowOff>188399</xdr:rowOff>
    </xdr:to>
    <xdr:cxnSp macro="">
      <xdr:nvCxnSpPr>
        <xdr:cNvPr id="571" name="Straight Connector 570"/>
        <xdr:cNvCxnSpPr/>
      </xdr:nvCxnSpPr>
      <xdr:spPr>
        <a:xfrm flipV="1">
          <a:off x="3003877" y="3989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804</xdr:row>
      <xdr:rowOff>0</xdr:rowOff>
    </xdr:from>
    <xdr:to>
      <xdr:col>4</xdr:col>
      <xdr:colOff>601265</xdr:colOff>
      <xdr:row>804</xdr:row>
      <xdr:rowOff>187699</xdr:rowOff>
    </xdr:to>
    <xdr:cxnSp macro="">
      <xdr:nvCxnSpPr>
        <xdr:cNvPr id="572" name="Straight Connector 571"/>
        <xdr:cNvCxnSpPr/>
      </xdr:nvCxnSpPr>
      <xdr:spPr>
        <a:xfrm flipV="1">
          <a:off x="3991044" y="3989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804</xdr:row>
      <xdr:rowOff>0</xdr:rowOff>
    </xdr:from>
    <xdr:to>
      <xdr:col>3</xdr:col>
      <xdr:colOff>23112</xdr:colOff>
      <xdr:row>804</xdr:row>
      <xdr:rowOff>188399</xdr:rowOff>
    </xdr:to>
    <xdr:cxnSp macro="">
      <xdr:nvCxnSpPr>
        <xdr:cNvPr id="573" name="Straight Connector 572"/>
        <xdr:cNvCxnSpPr/>
      </xdr:nvCxnSpPr>
      <xdr:spPr>
        <a:xfrm flipV="1">
          <a:off x="3003877" y="3989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804</xdr:row>
      <xdr:rowOff>0</xdr:rowOff>
    </xdr:from>
    <xdr:to>
      <xdr:col>4</xdr:col>
      <xdr:colOff>601265</xdr:colOff>
      <xdr:row>804</xdr:row>
      <xdr:rowOff>187699</xdr:rowOff>
    </xdr:to>
    <xdr:cxnSp macro="">
      <xdr:nvCxnSpPr>
        <xdr:cNvPr id="574" name="Straight Connector 573"/>
        <xdr:cNvCxnSpPr/>
      </xdr:nvCxnSpPr>
      <xdr:spPr>
        <a:xfrm flipV="1">
          <a:off x="3991044" y="3989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810</xdr:row>
      <xdr:rowOff>179295</xdr:rowOff>
    </xdr:from>
    <xdr:to>
      <xdr:col>5</xdr:col>
      <xdr:colOff>11206</xdr:colOff>
      <xdr:row>810</xdr:row>
      <xdr:rowOff>179295</xdr:rowOff>
    </xdr:to>
    <xdr:cxnSp macro="">
      <xdr:nvCxnSpPr>
        <xdr:cNvPr id="575" name="Straight Connector 574"/>
        <xdr:cNvCxnSpPr/>
      </xdr:nvCxnSpPr>
      <xdr:spPr>
        <a:xfrm>
          <a:off x="2980765" y="5311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810</xdr:row>
      <xdr:rowOff>0</xdr:rowOff>
    </xdr:from>
    <xdr:to>
      <xdr:col>3</xdr:col>
      <xdr:colOff>23112</xdr:colOff>
      <xdr:row>810</xdr:row>
      <xdr:rowOff>188399</xdr:rowOff>
    </xdr:to>
    <xdr:cxnSp macro="">
      <xdr:nvCxnSpPr>
        <xdr:cNvPr id="576" name="Straight Connector 575"/>
        <xdr:cNvCxnSpPr/>
      </xdr:nvCxnSpPr>
      <xdr:spPr>
        <a:xfrm flipV="1">
          <a:off x="3003877" y="5132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810</xdr:row>
      <xdr:rowOff>0</xdr:rowOff>
    </xdr:from>
    <xdr:to>
      <xdr:col>4</xdr:col>
      <xdr:colOff>601265</xdr:colOff>
      <xdr:row>810</xdr:row>
      <xdr:rowOff>187699</xdr:rowOff>
    </xdr:to>
    <xdr:cxnSp macro="">
      <xdr:nvCxnSpPr>
        <xdr:cNvPr id="577" name="Straight Connector 576"/>
        <xdr:cNvCxnSpPr/>
      </xdr:nvCxnSpPr>
      <xdr:spPr>
        <a:xfrm flipV="1">
          <a:off x="3991044" y="5132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810</xdr:row>
      <xdr:rowOff>0</xdr:rowOff>
    </xdr:from>
    <xdr:to>
      <xdr:col>3</xdr:col>
      <xdr:colOff>23112</xdr:colOff>
      <xdr:row>810</xdr:row>
      <xdr:rowOff>188399</xdr:rowOff>
    </xdr:to>
    <xdr:cxnSp macro="">
      <xdr:nvCxnSpPr>
        <xdr:cNvPr id="578" name="Straight Connector 577"/>
        <xdr:cNvCxnSpPr/>
      </xdr:nvCxnSpPr>
      <xdr:spPr>
        <a:xfrm flipV="1">
          <a:off x="3003877" y="5132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810</xdr:row>
      <xdr:rowOff>0</xdr:rowOff>
    </xdr:from>
    <xdr:to>
      <xdr:col>4</xdr:col>
      <xdr:colOff>601265</xdr:colOff>
      <xdr:row>810</xdr:row>
      <xdr:rowOff>187699</xdr:rowOff>
    </xdr:to>
    <xdr:cxnSp macro="">
      <xdr:nvCxnSpPr>
        <xdr:cNvPr id="579" name="Straight Connector 578"/>
        <xdr:cNvCxnSpPr/>
      </xdr:nvCxnSpPr>
      <xdr:spPr>
        <a:xfrm flipV="1">
          <a:off x="3991044" y="5132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810</xdr:row>
      <xdr:rowOff>0</xdr:rowOff>
    </xdr:from>
    <xdr:to>
      <xdr:col>3</xdr:col>
      <xdr:colOff>23112</xdr:colOff>
      <xdr:row>810</xdr:row>
      <xdr:rowOff>188399</xdr:rowOff>
    </xdr:to>
    <xdr:cxnSp macro="">
      <xdr:nvCxnSpPr>
        <xdr:cNvPr id="580" name="Straight Connector 579"/>
        <xdr:cNvCxnSpPr/>
      </xdr:nvCxnSpPr>
      <xdr:spPr>
        <a:xfrm flipV="1">
          <a:off x="3003877" y="5132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810</xdr:row>
      <xdr:rowOff>0</xdr:rowOff>
    </xdr:from>
    <xdr:to>
      <xdr:col>4</xdr:col>
      <xdr:colOff>601265</xdr:colOff>
      <xdr:row>810</xdr:row>
      <xdr:rowOff>187699</xdr:rowOff>
    </xdr:to>
    <xdr:cxnSp macro="">
      <xdr:nvCxnSpPr>
        <xdr:cNvPr id="581" name="Straight Connector 580"/>
        <xdr:cNvCxnSpPr/>
      </xdr:nvCxnSpPr>
      <xdr:spPr>
        <a:xfrm flipV="1">
          <a:off x="3991044" y="5132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822</xdr:row>
      <xdr:rowOff>179295</xdr:rowOff>
    </xdr:from>
    <xdr:to>
      <xdr:col>5</xdr:col>
      <xdr:colOff>11206</xdr:colOff>
      <xdr:row>822</xdr:row>
      <xdr:rowOff>179295</xdr:rowOff>
    </xdr:to>
    <xdr:cxnSp macro="">
      <xdr:nvCxnSpPr>
        <xdr:cNvPr id="582" name="Straight Connector 581"/>
        <xdr:cNvCxnSpPr/>
      </xdr:nvCxnSpPr>
      <xdr:spPr>
        <a:xfrm>
          <a:off x="2980765" y="7597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822</xdr:row>
      <xdr:rowOff>0</xdr:rowOff>
    </xdr:from>
    <xdr:to>
      <xdr:col>3</xdr:col>
      <xdr:colOff>23112</xdr:colOff>
      <xdr:row>822</xdr:row>
      <xdr:rowOff>188399</xdr:rowOff>
    </xdr:to>
    <xdr:cxnSp macro="">
      <xdr:nvCxnSpPr>
        <xdr:cNvPr id="583" name="Straight Connector 582"/>
        <xdr:cNvCxnSpPr/>
      </xdr:nvCxnSpPr>
      <xdr:spPr>
        <a:xfrm flipV="1">
          <a:off x="3003877" y="741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822</xdr:row>
      <xdr:rowOff>0</xdr:rowOff>
    </xdr:from>
    <xdr:to>
      <xdr:col>4</xdr:col>
      <xdr:colOff>601265</xdr:colOff>
      <xdr:row>822</xdr:row>
      <xdr:rowOff>187699</xdr:rowOff>
    </xdr:to>
    <xdr:cxnSp macro="">
      <xdr:nvCxnSpPr>
        <xdr:cNvPr id="584" name="Straight Connector 583"/>
        <xdr:cNvCxnSpPr/>
      </xdr:nvCxnSpPr>
      <xdr:spPr>
        <a:xfrm flipV="1">
          <a:off x="3991044" y="741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822</xdr:row>
      <xdr:rowOff>0</xdr:rowOff>
    </xdr:from>
    <xdr:to>
      <xdr:col>3</xdr:col>
      <xdr:colOff>23112</xdr:colOff>
      <xdr:row>822</xdr:row>
      <xdr:rowOff>188399</xdr:rowOff>
    </xdr:to>
    <xdr:cxnSp macro="">
      <xdr:nvCxnSpPr>
        <xdr:cNvPr id="585" name="Straight Connector 584"/>
        <xdr:cNvCxnSpPr/>
      </xdr:nvCxnSpPr>
      <xdr:spPr>
        <a:xfrm flipV="1">
          <a:off x="3003877" y="741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822</xdr:row>
      <xdr:rowOff>0</xdr:rowOff>
    </xdr:from>
    <xdr:to>
      <xdr:col>4</xdr:col>
      <xdr:colOff>601265</xdr:colOff>
      <xdr:row>822</xdr:row>
      <xdr:rowOff>187699</xdr:rowOff>
    </xdr:to>
    <xdr:cxnSp macro="">
      <xdr:nvCxnSpPr>
        <xdr:cNvPr id="586" name="Straight Connector 585"/>
        <xdr:cNvCxnSpPr/>
      </xdr:nvCxnSpPr>
      <xdr:spPr>
        <a:xfrm flipV="1">
          <a:off x="3991044" y="741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822</xdr:row>
      <xdr:rowOff>0</xdr:rowOff>
    </xdr:from>
    <xdr:to>
      <xdr:col>3</xdr:col>
      <xdr:colOff>23112</xdr:colOff>
      <xdr:row>822</xdr:row>
      <xdr:rowOff>188399</xdr:rowOff>
    </xdr:to>
    <xdr:cxnSp macro="">
      <xdr:nvCxnSpPr>
        <xdr:cNvPr id="587" name="Straight Connector 586"/>
        <xdr:cNvCxnSpPr/>
      </xdr:nvCxnSpPr>
      <xdr:spPr>
        <a:xfrm flipV="1">
          <a:off x="3003877" y="741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822</xdr:row>
      <xdr:rowOff>0</xdr:rowOff>
    </xdr:from>
    <xdr:to>
      <xdr:col>4</xdr:col>
      <xdr:colOff>601265</xdr:colOff>
      <xdr:row>822</xdr:row>
      <xdr:rowOff>187699</xdr:rowOff>
    </xdr:to>
    <xdr:cxnSp macro="">
      <xdr:nvCxnSpPr>
        <xdr:cNvPr id="588" name="Straight Connector 587"/>
        <xdr:cNvCxnSpPr/>
      </xdr:nvCxnSpPr>
      <xdr:spPr>
        <a:xfrm flipV="1">
          <a:off x="3991044" y="741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828</xdr:row>
      <xdr:rowOff>179295</xdr:rowOff>
    </xdr:from>
    <xdr:to>
      <xdr:col>5</xdr:col>
      <xdr:colOff>11206</xdr:colOff>
      <xdr:row>828</xdr:row>
      <xdr:rowOff>179295</xdr:rowOff>
    </xdr:to>
    <xdr:cxnSp macro="">
      <xdr:nvCxnSpPr>
        <xdr:cNvPr id="589" name="Straight Connector 588"/>
        <xdr:cNvCxnSpPr/>
      </xdr:nvCxnSpPr>
      <xdr:spPr>
        <a:xfrm>
          <a:off x="2980765" y="8740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828</xdr:row>
      <xdr:rowOff>0</xdr:rowOff>
    </xdr:from>
    <xdr:to>
      <xdr:col>3</xdr:col>
      <xdr:colOff>23112</xdr:colOff>
      <xdr:row>828</xdr:row>
      <xdr:rowOff>188399</xdr:rowOff>
    </xdr:to>
    <xdr:cxnSp macro="">
      <xdr:nvCxnSpPr>
        <xdr:cNvPr id="590" name="Straight Connector 589"/>
        <xdr:cNvCxnSpPr/>
      </xdr:nvCxnSpPr>
      <xdr:spPr>
        <a:xfrm flipV="1">
          <a:off x="3003877" y="856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828</xdr:row>
      <xdr:rowOff>0</xdr:rowOff>
    </xdr:from>
    <xdr:to>
      <xdr:col>4</xdr:col>
      <xdr:colOff>601265</xdr:colOff>
      <xdr:row>828</xdr:row>
      <xdr:rowOff>187699</xdr:rowOff>
    </xdr:to>
    <xdr:cxnSp macro="">
      <xdr:nvCxnSpPr>
        <xdr:cNvPr id="591" name="Straight Connector 590"/>
        <xdr:cNvCxnSpPr/>
      </xdr:nvCxnSpPr>
      <xdr:spPr>
        <a:xfrm flipV="1">
          <a:off x="3991044" y="856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828</xdr:row>
      <xdr:rowOff>0</xdr:rowOff>
    </xdr:from>
    <xdr:to>
      <xdr:col>3</xdr:col>
      <xdr:colOff>23112</xdr:colOff>
      <xdr:row>828</xdr:row>
      <xdr:rowOff>188399</xdr:rowOff>
    </xdr:to>
    <xdr:cxnSp macro="">
      <xdr:nvCxnSpPr>
        <xdr:cNvPr id="592" name="Straight Connector 591"/>
        <xdr:cNvCxnSpPr/>
      </xdr:nvCxnSpPr>
      <xdr:spPr>
        <a:xfrm flipV="1">
          <a:off x="3003877" y="856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828</xdr:row>
      <xdr:rowOff>0</xdr:rowOff>
    </xdr:from>
    <xdr:to>
      <xdr:col>4</xdr:col>
      <xdr:colOff>601265</xdr:colOff>
      <xdr:row>828</xdr:row>
      <xdr:rowOff>187699</xdr:rowOff>
    </xdr:to>
    <xdr:cxnSp macro="">
      <xdr:nvCxnSpPr>
        <xdr:cNvPr id="593" name="Straight Connector 592"/>
        <xdr:cNvCxnSpPr/>
      </xdr:nvCxnSpPr>
      <xdr:spPr>
        <a:xfrm flipV="1">
          <a:off x="3991044" y="856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828</xdr:row>
      <xdr:rowOff>0</xdr:rowOff>
    </xdr:from>
    <xdr:to>
      <xdr:col>3</xdr:col>
      <xdr:colOff>23112</xdr:colOff>
      <xdr:row>828</xdr:row>
      <xdr:rowOff>188399</xdr:rowOff>
    </xdr:to>
    <xdr:cxnSp macro="">
      <xdr:nvCxnSpPr>
        <xdr:cNvPr id="594" name="Straight Connector 593"/>
        <xdr:cNvCxnSpPr/>
      </xdr:nvCxnSpPr>
      <xdr:spPr>
        <a:xfrm flipV="1">
          <a:off x="3003877" y="856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828</xdr:row>
      <xdr:rowOff>0</xdr:rowOff>
    </xdr:from>
    <xdr:to>
      <xdr:col>4</xdr:col>
      <xdr:colOff>601265</xdr:colOff>
      <xdr:row>828</xdr:row>
      <xdr:rowOff>187699</xdr:rowOff>
    </xdr:to>
    <xdr:cxnSp macro="">
      <xdr:nvCxnSpPr>
        <xdr:cNvPr id="595" name="Straight Connector 594"/>
        <xdr:cNvCxnSpPr/>
      </xdr:nvCxnSpPr>
      <xdr:spPr>
        <a:xfrm flipV="1">
          <a:off x="3991044" y="856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816</xdr:row>
      <xdr:rowOff>179295</xdr:rowOff>
    </xdr:from>
    <xdr:to>
      <xdr:col>5</xdr:col>
      <xdr:colOff>11206</xdr:colOff>
      <xdr:row>816</xdr:row>
      <xdr:rowOff>179295</xdr:rowOff>
    </xdr:to>
    <xdr:cxnSp macro="">
      <xdr:nvCxnSpPr>
        <xdr:cNvPr id="596" name="Straight Connector 595"/>
        <xdr:cNvCxnSpPr/>
      </xdr:nvCxnSpPr>
      <xdr:spPr>
        <a:xfrm>
          <a:off x="2980765" y="645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816</xdr:row>
      <xdr:rowOff>0</xdr:rowOff>
    </xdr:from>
    <xdr:to>
      <xdr:col>3</xdr:col>
      <xdr:colOff>23112</xdr:colOff>
      <xdr:row>816</xdr:row>
      <xdr:rowOff>188399</xdr:rowOff>
    </xdr:to>
    <xdr:cxnSp macro="">
      <xdr:nvCxnSpPr>
        <xdr:cNvPr id="597" name="Straight Connector 596"/>
        <xdr:cNvCxnSpPr/>
      </xdr:nvCxnSpPr>
      <xdr:spPr>
        <a:xfrm flipV="1">
          <a:off x="3003877" y="627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816</xdr:row>
      <xdr:rowOff>0</xdr:rowOff>
    </xdr:from>
    <xdr:to>
      <xdr:col>4</xdr:col>
      <xdr:colOff>601265</xdr:colOff>
      <xdr:row>816</xdr:row>
      <xdr:rowOff>187699</xdr:rowOff>
    </xdr:to>
    <xdr:cxnSp macro="">
      <xdr:nvCxnSpPr>
        <xdr:cNvPr id="598" name="Straight Connector 597"/>
        <xdr:cNvCxnSpPr/>
      </xdr:nvCxnSpPr>
      <xdr:spPr>
        <a:xfrm flipV="1">
          <a:off x="3991044" y="627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816</xdr:row>
      <xdr:rowOff>0</xdr:rowOff>
    </xdr:from>
    <xdr:to>
      <xdr:col>3</xdr:col>
      <xdr:colOff>23112</xdr:colOff>
      <xdr:row>816</xdr:row>
      <xdr:rowOff>188399</xdr:rowOff>
    </xdr:to>
    <xdr:cxnSp macro="">
      <xdr:nvCxnSpPr>
        <xdr:cNvPr id="599" name="Straight Connector 598"/>
        <xdr:cNvCxnSpPr/>
      </xdr:nvCxnSpPr>
      <xdr:spPr>
        <a:xfrm flipV="1">
          <a:off x="3003877" y="627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816</xdr:row>
      <xdr:rowOff>0</xdr:rowOff>
    </xdr:from>
    <xdr:to>
      <xdr:col>4</xdr:col>
      <xdr:colOff>601265</xdr:colOff>
      <xdr:row>816</xdr:row>
      <xdr:rowOff>187699</xdr:rowOff>
    </xdr:to>
    <xdr:cxnSp macro="">
      <xdr:nvCxnSpPr>
        <xdr:cNvPr id="600" name="Straight Connector 599"/>
        <xdr:cNvCxnSpPr/>
      </xdr:nvCxnSpPr>
      <xdr:spPr>
        <a:xfrm flipV="1">
          <a:off x="3991044" y="627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816</xdr:row>
      <xdr:rowOff>0</xdr:rowOff>
    </xdr:from>
    <xdr:to>
      <xdr:col>3</xdr:col>
      <xdr:colOff>23112</xdr:colOff>
      <xdr:row>816</xdr:row>
      <xdr:rowOff>188399</xdr:rowOff>
    </xdr:to>
    <xdr:cxnSp macro="">
      <xdr:nvCxnSpPr>
        <xdr:cNvPr id="601" name="Straight Connector 600"/>
        <xdr:cNvCxnSpPr/>
      </xdr:nvCxnSpPr>
      <xdr:spPr>
        <a:xfrm flipV="1">
          <a:off x="3003877" y="627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816</xdr:row>
      <xdr:rowOff>0</xdr:rowOff>
    </xdr:from>
    <xdr:to>
      <xdr:col>4</xdr:col>
      <xdr:colOff>601265</xdr:colOff>
      <xdr:row>816</xdr:row>
      <xdr:rowOff>187699</xdr:rowOff>
    </xdr:to>
    <xdr:cxnSp macro="">
      <xdr:nvCxnSpPr>
        <xdr:cNvPr id="602" name="Straight Connector 601"/>
        <xdr:cNvCxnSpPr/>
      </xdr:nvCxnSpPr>
      <xdr:spPr>
        <a:xfrm flipV="1">
          <a:off x="3991044" y="627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851</xdr:row>
      <xdr:rowOff>179295</xdr:rowOff>
    </xdr:from>
    <xdr:to>
      <xdr:col>5</xdr:col>
      <xdr:colOff>11206</xdr:colOff>
      <xdr:row>851</xdr:row>
      <xdr:rowOff>179295</xdr:rowOff>
    </xdr:to>
    <xdr:cxnSp macro="">
      <xdr:nvCxnSpPr>
        <xdr:cNvPr id="603" name="Straight Connector 602"/>
        <xdr:cNvCxnSpPr/>
      </xdr:nvCxnSpPr>
      <xdr:spPr>
        <a:xfrm>
          <a:off x="2980765" y="13122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851</xdr:row>
      <xdr:rowOff>0</xdr:rowOff>
    </xdr:from>
    <xdr:to>
      <xdr:col>3</xdr:col>
      <xdr:colOff>23112</xdr:colOff>
      <xdr:row>851</xdr:row>
      <xdr:rowOff>188399</xdr:rowOff>
    </xdr:to>
    <xdr:cxnSp macro="">
      <xdr:nvCxnSpPr>
        <xdr:cNvPr id="604" name="Straight Connector 603"/>
        <xdr:cNvCxnSpPr/>
      </xdr:nvCxnSpPr>
      <xdr:spPr>
        <a:xfrm flipV="1">
          <a:off x="3003877" y="1294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851</xdr:row>
      <xdr:rowOff>0</xdr:rowOff>
    </xdr:from>
    <xdr:to>
      <xdr:col>4</xdr:col>
      <xdr:colOff>601265</xdr:colOff>
      <xdr:row>851</xdr:row>
      <xdr:rowOff>187699</xdr:rowOff>
    </xdr:to>
    <xdr:cxnSp macro="">
      <xdr:nvCxnSpPr>
        <xdr:cNvPr id="605" name="Straight Connector 604"/>
        <xdr:cNvCxnSpPr/>
      </xdr:nvCxnSpPr>
      <xdr:spPr>
        <a:xfrm flipV="1">
          <a:off x="3991044" y="1294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851</xdr:row>
      <xdr:rowOff>0</xdr:rowOff>
    </xdr:from>
    <xdr:to>
      <xdr:col>3</xdr:col>
      <xdr:colOff>23112</xdr:colOff>
      <xdr:row>851</xdr:row>
      <xdr:rowOff>188399</xdr:rowOff>
    </xdr:to>
    <xdr:cxnSp macro="">
      <xdr:nvCxnSpPr>
        <xdr:cNvPr id="606" name="Straight Connector 605"/>
        <xdr:cNvCxnSpPr/>
      </xdr:nvCxnSpPr>
      <xdr:spPr>
        <a:xfrm flipV="1">
          <a:off x="3003877" y="1294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851</xdr:row>
      <xdr:rowOff>0</xdr:rowOff>
    </xdr:from>
    <xdr:to>
      <xdr:col>4</xdr:col>
      <xdr:colOff>601265</xdr:colOff>
      <xdr:row>851</xdr:row>
      <xdr:rowOff>187699</xdr:rowOff>
    </xdr:to>
    <xdr:cxnSp macro="">
      <xdr:nvCxnSpPr>
        <xdr:cNvPr id="607" name="Straight Connector 606"/>
        <xdr:cNvCxnSpPr/>
      </xdr:nvCxnSpPr>
      <xdr:spPr>
        <a:xfrm flipV="1">
          <a:off x="3991044" y="1294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851</xdr:row>
      <xdr:rowOff>0</xdr:rowOff>
    </xdr:from>
    <xdr:to>
      <xdr:col>3</xdr:col>
      <xdr:colOff>23112</xdr:colOff>
      <xdr:row>851</xdr:row>
      <xdr:rowOff>188399</xdr:rowOff>
    </xdr:to>
    <xdr:cxnSp macro="">
      <xdr:nvCxnSpPr>
        <xdr:cNvPr id="608" name="Straight Connector 607"/>
        <xdr:cNvCxnSpPr/>
      </xdr:nvCxnSpPr>
      <xdr:spPr>
        <a:xfrm flipV="1">
          <a:off x="3003877" y="1294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851</xdr:row>
      <xdr:rowOff>0</xdr:rowOff>
    </xdr:from>
    <xdr:to>
      <xdr:col>4</xdr:col>
      <xdr:colOff>601265</xdr:colOff>
      <xdr:row>851</xdr:row>
      <xdr:rowOff>187699</xdr:rowOff>
    </xdr:to>
    <xdr:cxnSp macro="">
      <xdr:nvCxnSpPr>
        <xdr:cNvPr id="609" name="Straight Connector 608"/>
        <xdr:cNvCxnSpPr/>
      </xdr:nvCxnSpPr>
      <xdr:spPr>
        <a:xfrm flipV="1">
          <a:off x="3991044" y="1294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848</xdr:row>
      <xdr:rowOff>179295</xdr:rowOff>
    </xdr:from>
    <xdr:to>
      <xdr:col>5</xdr:col>
      <xdr:colOff>11206</xdr:colOff>
      <xdr:row>848</xdr:row>
      <xdr:rowOff>179295</xdr:rowOff>
    </xdr:to>
    <xdr:cxnSp macro="">
      <xdr:nvCxnSpPr>
        <xdr:cNvPr id="610" name="Straight Connector 609"/>
        <xdr:cNvCxnSpPr/>
      </xdr:nvCxnSpPr>
      <xdr:spPr>
        <a:xfrm>
          <a:off x="2980765" y="12550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848</xdr:row>
      <xdr:rowOff>0</xdr:rowOff>
    </xdr:from>
    <xdr:to>
      <xdr:col>3</xdr:col>
      <xdr:colOff>23112</xdr:colOff>
      <xdr:row>848</xdr:row>
      <xdr:rowOff>188399</xdr:rowOff>
    </xdr:to>
    <xdr:cxnSp macro="">
      <xdr:nvCxnSpPr>
        <xdr:cNvPr id="611" name="Straight Connector 610"/>
        <xdr:cNvCxnSpPr/>
      </xdr:nvCxnSpPr>
      <xdr:spPr>
        <a:xfrm flipV="1">
          <a:off x="3003877" y="1237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848</xdr:row>
      <xdr:rowOff>0</xdr:rowOff>
    </xdr:from>
    <xdr:to>
      <xdr:col>4</xdr:col>
      <xdr:colOff>601265</xdr:colOff>
      <xdr:row>848</xdr:row>
      <xdr:rowOff>187699</xdr:rowOff>
    </xdr:to>
    <xdr:cxnSp macro="">
      <xdr:nvCxnSpPr>
        <xdr:cNvPr id="612" name="Straight Connector 611"/>
        <xdr:cNvCxnSpPr/>
      </xdr:nvCxnSpPr>
      <xdr:spPr>
        <a:xfrm flipV="1">
          <a:off x="3991044" y="1237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848</xdr:row>
      <xdr:rowOff>0</xdr:rowOff>
    </xdr:from>
    <xdr:to>
      <xdr:col>3</xdr:col>
      <xdr:colOff>23112</xdr:colOff>
      <xdr:row>848</xdr:row>
      <xdr:rowOff>188399</xdr:rowOff>
    </xdr:to>
    <xdr:cxnSp macro="">
      <xdr:nvCxnSpPr>
        <xdr:cNvPr id="613" name="Straight Connector 612"/>
        <xdr:cNvCxnSpPr/>
      </xdr:nvCxnSpPr>
      <xdr:spPr>
        <a:xfrm flipV="1">
          <a:off x="3003877" y="1237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848</xdr:row>
      <xdr:rowOff>0</xdr:rowOff>
    </xdr:from>
    <xdr:to>
      <xdr:col>4</xdr:col>
      <xdr:colOff>601265</xdr:colOff>
      <xdr:row>848</xdr:row>
      <xdr:rowOff>187699</xdr:rowOff>
    </xdr:to>
    <xdr:cxnSp macro="">
      <xdr:nvCxnSpPr>
        <xdr:cNvPr id="614" name="Straight Connector 613"/>
        <xdr:cNvCxnSpPr/>
      </xdr:nvCxnSpPr>
      <xdr:spPr>
        <a:xfrm flipV="1">
          <a:off x="3991044" y="1237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848</xdr:row>
      <xdr:rowOff>0</xdr:rowOff>
    </xdr:from>
    <xdr:to>
      <xdr:col>3</xdr:col>
      <xdr:colOff>23112</xdr:colOff>
      <xdr:row>848</xdr:row>
      <xdr:rowOff>188399</xdr:rowOff>
    </xdr:to>
    <xdr:cxnSp macro="">
      <xdr:nvCxnSpPr>
        <xdr:cNvPr id="615" name="Straight Connector 614"/>
        <xdr:cNvCxnSpPr/>
      </xdr:nvCxnSpPr>
      <xdr:spPr>
        <a:xfrm flipV="1">
          <a:off x="3003877" y="1237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848</xdr:row>
      <xdr:rowOff>0</xdr:rowOff>
    </xdr:from>
    <xdr:to>
      <xdr:col>4</xdr:col>
      <xdr:colOff>601265</xdr:colOff>
      <xdr:row>848</xdr:row>
      <xdr:rowOff>187699</xdr:rowOff>
    </xdr:to>
    <xdr:cxnSp macro="">
      <xdr:nvCxnSpPr>
        <xdr:cNvPr id="616" name="Straight Connector 615"/>
        <xdr:cNvCxnSpPr/>
      </xdr:nvCxnSpPr>
      <xdr:spPr>
        <a:xfrm flipV="1">
          <a:off x="3991044" y="1237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845</xdr:row>
      <xdr:rowOff>179295</xdr:rowOff>
    </xdr:from>
    <xdr:to>
      <xdr:col>5</xdr:col>
      <xdr:colOff>11206</xdr:colOff>
      <xdr:row>845</xdr:row>
      <xdr:rowOff>179295</xdr:rowOff>
    </xdr:to>
    <xdr:cxnSp macro="">
      <xdr:nvCxnSpPr>
        <xdr:cNvPr id="617" name="Straight Connector 616"/>
        <xdr:cNvCxnSpPr/>
      </xdr:nvCxnSpPr>
      <xdr:spPr>
        <a:xfrm>
          <a:off x="2980765" y="1197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842</xdr:row>
      <xdr:rowOff>179295</xdr:rowOff>
    </xdr:from>
    <xdr:to>
      <xdr:col>5</xdr:col>
      <xdr:colOff>11206</xdr:colOff>
      <xdr:row>842</xdr:row>
      <xdr:rowOff>179295</xdr:rowOff>
    </xdr:to>
    <xdr:cxnSp macro="">
      <xdr:nvCxnSpPr>
        <xdr:cNvPr id="618" name="Straight Connector 617"/>
        <xdr:cNvCxnSpPr/>
      </xdr:nvCxnSpPr>
      <xdr:spPr>
        <a:xfrm>
          <a:off x="2980765" y="11407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836</xdr:row>
      <xdr:rowOff>179295</xdr:rowOff>
    </xdr:from>
    <xdr:to>
      <xdr:col>5</xdr:col>
      <xdr:colOff>11206</xdr:colOff>
      <xdr:row>836</xdr:row>
      <xdr:rowOff>179295</xdr:rowOff>
    </xdr:to>
    <xdr:cxnSp macro="">
      <xdr:nvCxnSpPr>
        <xdr:cNvPr id="619" name="Straight Connector 618"/>
        <xdr:cNvCxnSpPr/>
      </xdr:nvCxnSpPr>
      <xdr:spPr>
        <a:xfrm>
          <a:off x="2980765" y="1026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0" name="Straight Connector 619"/>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1" name="Straight Connector 620"/>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2" name="Straight Connector 621"/>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836</xdr:row>
      <xdr:rowOff>179295</xdr:rowOff>
    </xdr:from>
    <xdr:to>
      <xdr:col>5</xdr:col>
      <xdr:colOff>11206</xdr:colOff>
      <xdr:row>836</xdr:row>
      <xdr:rowOff>179295</xdr:rowOff>
    </xdr:to>
    <xdr:cxnSp macro="">
      <xdr:nvCxnSpPr>
        <xdr:cNvPr id="623" name="Straight Connector 622"/>
        <xdr:cNvCxnSpPr/>
      </xdr:nvCxnSpPr>
      <xdr:spPr>
        <a:xfrm>
          <a:off x="2980765" y="1026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4" name="Straight Connector 623"/>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836</xdr:row>
      <xdr:rowOff>0</xdr:rowOff>
    </xdr:from>
    <xdr:to>
      <xdr:col>4</xdr:col>
      <xdr:colOff>601265</xdr:colOff>
      <xdr:row>836</xdr:row>
      <xdr:rowOff>187699</xdr:rowOff>
    </xdr:to>
    <xdr:cxnSp macro="">
      <xdr:nvCxnSpPr>
        <xdr:cNvPr id="625" name="Straight Connector 624"/>
        <xdr:cNvCxnSpPr/>
      </xdr:nvCxnSpPr>
      <xdr:spPr>
        <a:xfrm flipV="1">
          <a:off x="3991044" y="1008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6" name="Straight Connector 625"/>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836</xdr:row>
      <xdr:rowOff>0</xdr:rowOff>
    </xdr:from>
    <xdr:to>
      <xdr:col>4</xdr:col>
      <xdr:colOff>601265</xdr:colOff>
      <xdr:row>836</xdr:row>
      <xdr:rowOff>187699</xdr:rowOff>
    </xdr:to>
    <xdr:cxnSp macro="">
      <xdr:nvCxnSpPr>
        <xdr:cNvPr id="627" name="Straight Connector 626"/>
        <xdr:cNvCxnSpPr/>
      </xdr:nvCxnSpPr>
      <xdr:spPr>
        <a:xfrm flipV="1">
          <a:off x="3991044" y="1008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8" name="Straight Connector 627"/>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836</xdr:row>
      <xdr:rowOff>0</xdr:rowOff>
    </xdr:from>
    <xdr:to>
      <xdr:col>4</xdr:col>
      <xdr:colOff>601265</xdr:colOff>
      <xdr:row>836</xdr:row>
      <xdr:rowOff>187699</xdr:rowOff>
    </xdr:to>
    <xdr:cxnSp macro="">
      <xdr:nvCxnSpPr>
        <xdr:cNvPr id="629" name="Straight Connector 628"/>
        <xdr:cNvCxnSpPr/>
      </xdr:nvCxnSpPr>
      <xdr:spPr>
        <a:xfrm flipV="1">
          <a:off x="3991044" y="1008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833</xdr:row>
      <xdr:rowOff>179295</xdr:rowOff>
    </xdr:from>
    <xdr:to>
      <xdr:col>5</xdr:col>
      <xdr:colOff>11206</xdr:colOff>
      <xdr:row>833</xdr:row>
      <xdr:rowOff>179295</xdr:rowOff>
    </xdr:to>
    <xdr:cxnSp macro="">
      <xdr:nvCxnSpPr>
        <xdr:cNvPr id="630" name="Straight Connector 629"/>
        <xdr:cNvCxnSpPr/>
      </xdr:nvCxnSpPr>
      <xdr:spPr>
        <a:xfrm>
          <a:off x="2980765" y="969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1" name="Straight Connector 630"/>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2" name="Straight Connector 631"/>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3" name="Straight Connector 632"/>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833</xdr:row>
      <xdr:rowOff>179295</xdr:rowOff>
    </xdr:from>
    <xdr:to>
      <xdr:col>5</xdr:col>
      <xdr:colOff>11206</xdr:colOff>
      <xdr:row>833</xdr:row>
      <xdr:rowOff>179295</xdr:rowOff>
    </xdr:to>
    <xdr:cxnSp macro="">
      <xdr:nvCxnSpPr>
        <xdr:cNvPr id="634" name="Straight Connector 633"/>
        <xdr:cNvCxnSpPr/>
      </xdr:nvCxnSpPr>
      <xdr:spPr>
        <a:xfrm>
          <a:off x="2980765" y="969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5" name="Straight Connector 634"/>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833</xdr:row>
      <xdr:rowOff>0</xdr:rowOff>
    </xdr:from>
    <xdr:to>
      <xdr:col>4</xdr:col>
      <xdr:colOff>601265</xdr:colOff>
      <xdr:row>833</xdr:row>
      <xdr:rowOff>187699</xdr:rowOff>
    </xdr:to>
    <xdr:cxnSp macro="">
      <xdr:nvCxnSpPr>
        <xdr:cNvPr id="636" name="Straight Connector 635"/>
        <xdr:cNvCxnSpPr/>
      </xdr:nvCxnSpPr>
      <xdr:spPr>
        <a:xfrm flipV="1">
          <a:off x="3991044" y="951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7" name="Straight Connector 636"/>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833</xdr:row>
      <xdr:rowOff>0</xdr:rowOff>
    </xdr:from>
    <xdr:to>
      <xdr:col>4</xdr:col>
      <xdr:colOff>601265</xdr:colOff>
      <xdr:row>833</xdr:row>
      <xdr:rowOff>187699</xdr:rowOff>
    </xdr:to>
    <xdr:cxnSp macro="">
      <xdr:nvCxnSpPr>
        <xdr:cNvPr id="638" name="Straight Connector 637"/>
        <xdr:cNvCxnSpPr/>
      </xdr:nvCxnSpPr>
      <xdr:spPr>
        <a:xfrm flipV="1">
          <a:off x="3991044" y="951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9" name="Straight Connector 638"/>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833</xdr:row>
      <xdr:rowOff>0</xdr:rowOff>
    </xdr:from>
    <xdr:to>
      <xdr:col>4</xdr:col>
      <xdr:colOff>601265</xdr:colOff>
      <xdr:row>833</xdr:row>
      <xdr:rowOff>187699</xdr:rowOff>
    </xdr:to>
    <xdr:cxnSp macro="">
      <xdr:nvCxnSpPr>
        <xdr:cNvPr id="640" name="Straight Connector 639"/>
        <xdr:cNvCxnSpPr/>
      </xdr:nvCxnSpPr>
      <xdr:spPr>
        <a:xfrm flipV="1">
          <a:off x="3991044" y="951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839</xdr:row>
      <xdr:rowOff>179295</xdr:rowOff>
    </xdr:from>
    <xdr:to>
      <xdr:col>5</xdr:col>
      <xdr:colOff>11206</xdr:colOff>
      <xdr:row>839</xdr:row>
      <xdr:rowOff>179295</xdr:rowOff>
    </xdr:to>
    <xdr:cxnSp macro="">
      <xdr:nvCxnSpPr>
        <xdr:cNvPr id="641" name="Straight Connector 640"/>
        <xdr:cNvCxnSpPr/>
      </xdr:nvCxnSpPr>
      <xdr:spPr>
        <a:xfrm>
          <a:off x="2980765" y="1083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2" name="Straight Connector 641"/>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3" name="Straight Connector 642"/>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4" name="Straight Connector 643"/>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839</xdr:row>
      <xdr:rowOff>179295</xdr:rowOff>
    </xdr:from>
    <xdr:to>
      <xdr:col>5</xdr:col>
      <xdr:colOff>11206</xdr:colOff>
      <xdr:row>839</xdr:row>
      <xdr:rowOff>179295</xdr:rowOff>
    </xdr:to>
    <xdr:cxnSp macro="">
      <xdr:nvCxnSpPr>
        <xdr:cNvPr id="645" name="Straight Connector 644"/>
        <xdr:cNvCxnSpPr/>
      </xdr:nvCxnSpPr>
      <xdr:spPr>
        <a:xfrm>
          <a:off x="2980765" y="1083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6" name="Straight Connector 645"/>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839</xdr:row>
      <xdr:rowOff>0</xdr:rowOff>
    </xdr:from>
    <xdr:to>
      <xdr:col>4</xdr:col>
      <xdr:colOff>601265</xdr:colOff>
      <xdr:row>839</xdr:row>
      <xdr:rowOff>187699</xdr:rowOff>
    </xdr:to>
    <xdr:cxnSp macro="">
      <xdr:nvCxnSpPr>
        <xdr:cNvPr id="647" name="Straight Connector 646"/>
        <xdr:cNvCxnSpPr/>
      </xdr:nvCxnSpPr>
      <xdr:spPr>
        <a:xfrm flipV="1">
          <a:off x="3991044" y="1065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8" name="Straight Connector 647"/>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839</xdr:row>
      <xdr:rowOff>0</xdr:rowOff>
    </xdr:from>
    <xdr:to>
      <xdr:col>4</xdr:col>
      <xdr:colOff>601265</xdr:colOff>
      <xdr:row>839</xdr:row>
      <xdr:rowOff>187699</xdr:rowOff>
    </xdr:to>
    <xdr:cxnSp macro="">
      <xdr:nvCxnSpPr>
        <xdr:cNvPr id="649" name="Straight Connector 648"/>
        <xdr:cNvCxnSpPr/>
      </xdr:nvCxnSpPr>
      <xdr:spPr>
        <a:xfrm flipV="1">
          <a:off x="3991044" y="1065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50" name="Straight Connector 649"/>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839</xdr:row>
      <xdr:rowOff>0</xdr:rowOff>
    </xdr:from>
    <xdr:to>
      <xdr:col>4</xdr:col>
      <xdr:colOff>601265</xdr:colOff>
      <xdr:row>839</xdr:row>
      <xdr:rowOff>187699</xdr:rowOff>
    </xdr:to>
    <xdr:cxnSp macro="">
      <xdr:nvCxnSpPr>
        <xdr:cNvPr id="651" name="Straight Connector 650"/>
        <xdr:cNvCxnSpPr/>
      </xdr:nvCxnSpPr>
      <xdr:spPr>
        <a:xfrm flipV="1">
          <a:off x="3991044" y="1065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919</xdr:row>
      <xdr:rowOff>179295</xdr:rowOff>
    </xdr:from>
    <xdr:to>
      <xdr:col>5</xdr:col>
      <xdr:colOff>11206</xdr:colOff>
      <xdr:row>919</xdr:row>
      <xdr:rowOff>179295</xdr:rowOff>
    </xdr:to>
    <xdr:cxnSp macro="">
      <xdr:nvCxnSpPr>
        <xdr:cNvPr id="652" name="Straight Connector 651"/>
        <xdr:cNvCxnSpPr/>
      </xdr:nvCxnSpPr>
      <xdr:spPr>
        <a:xfrm>
          <a:off x="2980765" y="2607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919</xdr:row>
      <xdr:rowOff>0</xdr:rowOff>
    </xdr:from>
    <xdr:to>
      <xdr:col>3</xdr:col>
      <xdr:colOff>23112</xdr:colOff>
      <xdr:row>919</xdr:row>
      <xdr:rowOff>188399</xdr:rowOff>
    </xdr:to>
    <xdr:cxnSp macro="">
      <xdr:nvCxnSpPr>
        <xdr:cNvPr id="653" name="Straight Connector 652"/>
        <xdr:cNvCxnSpPr/>
      </xdr:nvCxnSpPr>
      <xdr:spPr>
        <a:xfrm flipV="1">
          <a:off x="3003877" y="2589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919</xdr:row>
      <xdr:rowOff>0</xdr:rowOff>
    </xdr:from>
    <xdr:to>
      <xdr:col>4</xdr:col>
      <xdr:colOff>601265</xdr:colOff>
      <xdr:row>919</xdr:row>
      <xdr:rowOff>187699</xdr:rowOff>
    </xdr:to>
    <xdr:cxnSp macro="">
      <xdr:nvCxnSpPr>
        <xdr:cNvPr id="654" name="Straight Connector 653"/>
        <xdr:cNvCxnSpPr/>
      </xdr:nvCxnSpPr>
      <xdr:spPr>
        <a:xfrm flipV="1">
          <a:off x="3991044" y="2589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919</xdr:row>
      <xdr:rowOff>0</xdr:rowOff>
    </xdr:from>
    <xdr:to>
      <xdr:col>4</xdr:col>
      <xdr:colOff>601265</xdr:colOff>
      <xdr:row>919</xdr:row>
      <xdr:rowOff>187699</xdr:rowOff>
    </xdr:to>
    <xdr:cxnSp macro="">
      <xdr:nvCxnSpPr>
        <xdr:cNvPr id="655" name="Straight Connector 654"/>
        <xdr:cNvCxnSpPr/>
      </xdr:nvCxnSpPr>
      <xdr:spPr>
        <a:xfrm flipV="1">
          <a:off x="3991044" y="2589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919</xdr:row>
      <xdr:rowOff>0</xdr:rowOff>
    </xdr:from>
    <xdr:to>
      <xdr:col>4</xdr:col>
      <xdr:colOff>601265</xdr:colOff>
      <xdr:row>919</xdr:row>
      <xdr:rowOff>187699</xdr:rowOff>
    </xdr:to>
    <xdr:cxnSp macro="">
      <xdr:nvCxnSpPr>
        <xdr:cNvPr id="656" name="Straight Connector 655"/>
        <xdr:cNvCxnSpPr/>
      </xdr:nvCxnSpPr>
      <xdr:spPr>
        <a:xfrm flipV="1">
          <a:off x="3991044" y="2589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921</xdr:row>
      <xdr:rowOff>179295</xdr:rowOff>
    </xdr:from>
    <xdr:to>
      <xdr:col>5</xdr:col>
      <xdr:colOff>11206</xdr:colOff>
      <xdr:row>921</xdr:row>
      <xdr:rowOff>179295</xdr:rowOff>
    </xdr:to>
    <xdr:cxnSp macro="">
      <xdr:nvCxnSpPr>
        <xdr:cNvPr id="657" name="Straight Connector 656"/>
        <xdr:cNvCxnSpPr/>
      </xdr:nvCxnSpPr>
      <xdr:spPr>
        <a:xfrm>
          <a:off x="2980765" y="2645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921</xdr:row>
      <xdr:rowOff>0</xdr:rowOff>
    </xdr:from>
    <xdr:to>
      <xdr:col>3</xdr:col>
      <xdr:colOff>23112</xdr:colOff>
      <xdr:row>921</xdr:row>
      <xdr:rowOff>188399</xdr:rowOff>
    </xdr:to>
    <xdr:cxnSp macro="">
      <xdr:nvCxnSpPr>
        <xdr:cNvPr id="658" name="Straight Connector 657"/>
        <xdr:cNvCxnSpPr/>
      </xdr:nvCxnSpPr>
      <xdr:spPr>
        <a:xfrm flipV="1">
          <a:off x="3003877" y="2627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921</xdr:row>
      <xdr:rowOff>0</xdr:rowOff>
    </xdr:from>
    <xdr:to>
      <xdr:col>4</xdr:col>
      <xdr:colOff>601265</xdr:colOff>
      <xdr:row>921</xdr:row>
      <xdr:rowOff>187699</xdr:rowOff>
    </xdr:to>
    <xdr:cxnSp macro="">
      <xdr:nvCxnSpPr>
        <xdr:cNvPr id="659" name="Straight Connector 658"/>
        <xdr:cNvCxnSpPr/>
      </xdr:nvCxnSpPr>
      <xdr:spPr>
        <a:xfrm flipV="1">
          <a:off x="3991044" y="2627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921</xdr:row>
      <xdr:rowOff>0</xdr:rowOff>
    </xdr:from>
    <xdr:to>
      <xdr:col>4</xdr:col>
      <xdr:colOff>601265</xdr:colOff>
      <xdr:row>921</xdr:row>
      <xdr:rowOff>187699</xdr:rowOff>
    </xdr:to>
    <xdr:cxnSp macro="">
      <xdr:nvCxnSpPr>
        <xdr:cNvPr id="660" name="Straight Connector 659"/>
        <xdr:cNvCxnSpPr/>
      </xdr:nvCxnSpPr>
      <xdr:spPr>
        <a:xfrm flipV="1">
          <a:off x="3991044" y="2627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921</xdr:row>
      <xdr:rowOff>0</xdr:rowOff>
    </xdr:from>
    <xdr:to>
      <xdr:col>4</xdr:col>
      <xdr:colOff>601265</xdr:colOff>
      <xdr:row>921</xdr:row>
      <xdr:rowOff>187699</xdr:rowOff>
    </xdr:to>
    <xdr:cxnSp macro="">
      <xdr:nvCxnSpPr>
        <xdr:cNvPr id="661" name="Straight Connector 660"/>
        <xdr:cNvCxnSpPr/>
      </xdr:nvCxnSpPr>
      <xdr:spPr>
        <a:xfrm flipV="1">
          <a:off x="3991044" y="2627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923</xdr:row>
      <xdr:rowOff>179295</xdr:rowOff>
    </xdr:from>
    <xdr:to>
      <xdr:col>5</xdr:col>
      <xdr:colOff>11206</xdr:colOff>
      <xdr:row>923</xdr:row>
      <xdr:rowOff>179295</xdr:rowOff>
    </xdr:to>
    <xdr:cxnSp macro="">
      <xdr:nvCxnSpPr>
        <xdr:cNvPr id="662" name="Straight Connector 661"/>
        <xdr:cNvCxnSpPr/>
      </xdr:nvCxnSpPr>
      <xdr:spPr>
        <a:xfrm>
          <a:off x="2980765" y="2683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923</xdr:row>
      <xdr:rowOff>0</xdr:rowOff>
    </xdr:from>
    <xdr:to>
      <xdr:col>3</xdr:col>
      <xdr:colOff>23112</xdr:colOff>
      <xdr:row>923</xdr:row>
      <xdr:rowOff>188399</xdr:rowOff>
    </xdr:to>
    <xdr:cxnSp macro="">
      <xdr:nvCxnSpPr>
        <xdr:cNvPr id="663" name="Straight Connector 662"/>
        <xdr:cNvCxnSpPr/>
      </xdr:nvCxnSpPr>
      <xdr:spPr>
        <a:xfrm flipV="1">
          <a:off x="3003877" y="2665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923</xdr:row>
      <xdr:rowOff>0</xdr:rowOff>
    </xdr:from>
    <xdr:to>
      <xdr:col>4</xdr:col>
      <xdr:colOff>601265</xdr:colOff>
      <xdr:row>923</xdr:row>
      <xdr:rowOff>187699</xdr:rowOff>
    </xdr:to>
    <xdr:cxnSp macro="">
      <xdr:nvCxnSpPr>
        <xdr:cNvPr id="664" name="Straight Connector 663"/>
        <xdr:cNvCxnSpPr/>
      </xdr:nvCxnSpPr>
      <xdr:spPr>
        <a:xfrm flipV="1">
          <a:off x="3991044" y="2665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923</xdr:row>
      <xdr:rowOff>0</xdr:rowOff>
    </xdr:from>
    <xdr:to>
      <xdr:col>4</xdr:col>
      <xdr:colOff>601265</xdr:colOff>
      <xdr:row>923</xdr:row>
      <xdr:rowOff>187699</xdr:rowOff>
    </xdr:to>
    <xdr:cxnSp macro="">
      <xdr:nvCxnSpPr>
        <xdr:cNvPr id="665" name="Straight Connector 664"/>
        <xdr:cNvCxnSpPr/>
      </xdr:nvCxnSpPr>
      <xdr:spPr>
        <a:xfrm flipV="1">
          <a:off x="3991044" y="2665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923</xdr:row>
      <xdr:rowOff>0</xdr:rowOff>
    </xdr:from>
    <xdr:to>
      <xdr:col>4</xdr:col>
      <xdr:colOff>601265</xdr:colOff>
      <xdr:row>923</xdr:row>
      <xdr:rowOff>187699</xdr:rowOff>
    </xdr:to>
    <xdr:cxnSp macro="">
      <xdr:nvCxnSpPr>
        <xdr:cNvPr id="666" name="Straight Connector 665"/>
        <xdr:cNvCxnSpPr/>
      </xdr:nvCxnSpPr>
      <xdr:spPr>
        <a:xfrm flipV="1">
          <a:off x="3991044" y="2665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925</xdr:row>
      <xdr:rowOff>179295</xdr:rowOff>
    </xdr:from>
    <xdr:to>
      <xdr:col>5</xdr:col>
      <xdr:colOff>11206</xdr:colOff>
      <xdr:row>925</xdr:row>
      <xdr:rowOff>179295</xdr:rowOff>
    </xdr:to>
    <xdr:cxnSp macro="">
      <xdr:nvCxnSpPr>
        <xdr:cNvPr id="667" name="Straight Connector 666"/>
        <xdr:cNvCxnSpPr/>
      </xdr:nvCxnSpPr>
      <xdr:spPr>
        <a:xfrm>
          <a:off x="2980765" y="2721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925</xdr:row>
      <xdr:rowOff>0</xdr:rowOff>
    </xdr:from>
    <xdr:to>
      <xdr:col>3</xdr:col>
      <xdr:colOff>23112</xdr:colOff>
      <xdr:row>925</xdr:row>
      <xdr:rowOff>188399</xdr:rowOff>
    </xdr:to>
    <xdr:cxnSp macro="">
      <xdr:nvCxnSpPr>
        <xdr:cNvPr id="668" name="Straight Connector 667"/>
        <xdr:cNvCxnSpPr/>
      </xdr:nvCxnSpPr>
      <xdr:spPr>
        <a:xfrm flipV="1">
          <a:off x="3003877" y="2703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925</xdr:row>
      <xdr:rowOff>0</xdr:rowOff>
    </xdr:from>
    <xdr:to>
      <xdr:col>4</xdr:col>
      <xdr:colOff>601265</xdr:colOff>
      <xdr:row>925</xdr:row>
      <xdr:rowOff>187699</xdr:rowOff>
    </xdr:to>
    <xdr:cxnSp macro="">
      <xdr:nvCxnSpPr>
        <xdr:cNvPr id="669" name="Straight Connector 668"/>
        <xdr:cNvCxnSpPr/>
      </xdr:nvCxnSpPr>
      <xdr:spPr>
        <a:xfrm flipV="1">
          <a:off x="3991044" y="2703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925</xdr:row>
      <xdr:rowOff>0</xdr:rowOff>
    </xdr:from>
    <xdr:to>
      <xdr:col>4</xdr:col>
      <xdr:colOff>601265</xdr:colOff>
      <xdr:row>925</xdr:row>
      <xdr:rowOff>187699</xdr:rowOff>
    </xdr:to>
    <xdr:cxnSp macro="">
      <xdr:nvCxnSpPr>
        <xdr:cNvPr id="670" name="Straight Connector 669"/>
        <xdr:cNvCxnSpPr/>
      </xdr:nvCxnSpPr>
      <xdr:spPr>
        <a:xfrm flipV="1">
          <a:off x="3991044" y="2703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925</xdr:row>
      <xdr:rowOff>0</xdr:rowOff>
    </xdr:from>
    <xdr:to>
      <xdr:col>4</xdr:col>
      <xdr:colOff>601265</xdr:colOff>
      <xdr:row>925</xdr:row>
      <xdr:rowOff>187699</xdr:rowOff>
    </xdr:to>
    <xdr:cxnSp macro="">
      <xdr:nvCxnSpPr>
        <xdr:cNvPr id="671" name="Straight Connector 670"/>
        <xdr:cNvCxnSpPr/>
      </xdr:nvCxnSpPr>
      <xdr:spPr>
        <a:xfrm flipV="1">
          <a:off x="3991044" y="2703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929</xdr:row>
      <xdr:rowOff>179295</xdr:rowOff>
    </xdr:from>
    <xdr:to>
      <xdr:col>5</xdr:col>
      <xdr:colOff>11206</xdr:colOff>
      <xdr:row>929</xdr:row>
      <xdr:rowOff>179295</xdr:rowOff>
    </xdr:to>
    <xdr:cxnSp macro="">
      <xdr:nvCxnSpPr>
        <xdr:cNvPr id="672" name="Straight Connector 671"/>
        <xdr:cNvCxnSpPr/>
      </xdr:nvCxnSpPr>
      <xdr:spPr>
        <a:xfrm>
          <a:off x="2980765" y="27981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929</xdr:row>
      <xdr:rowOff>0</xdr:rowOff>
    </xdr:from>
    <xdr:to>
      <xdr:col>3</xdr:col>
      <xdr:colOff>23112</xdr:colOff>
      <xdr:row>929</xdr:row>
      <xdr:rowOff>188399</xdr:rowOff>
    </xdr:to>
    <xdr:cxnSp macro="">
      <xdr:nvCxnSpPr>
        <xdr:cNvPr id="673" name="Straight Connector 672"/>
        <xdr:cNvCxnSpPr/>
      </xdr:nvCxnSpPr>
      <xdr:spPr>
        <a:xfrm flipV="1">
          <a:off x="3003877" y="2780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929</xdr:row>
      <xdr:rowOff>0</xdr:rowOff>
    </xdr:from>
    <xdr:to>
      <xdr:col>4</xdr:col>
      <xdr:colOff>601265</xdr:colOff>
      <xdr:row>929</xdr:row>
      <xdr:rowOff>187699</xdr:rowOff>
    </xdr:to>
    <xdr:cxnSp macro="">
      <xdr:nvCxnSpPr>
        <xdr:cNvPr id="674" name="Straight Connector 673"/>
        <xdr:cNvCxnSpPr/>
      </xdr:nvCxnSpPr>
      <xdr:spPr>
        <a:xfrm flipV="1">
          <a:off x="3991044" y="2780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929</xdr:row>
      <xdr:rowOff>0</xdr:rowOff>
    </xdr:from>
    <xdr:to>
      <xdr:col>4</xdr:col>
      <xdr:colOff>601265</xdr:colOff>
      <xdr:row>929</xdr:row>
      <xdr:rowOff>187699</xdr:rowOff>
    </xdr:to>
    <xdr:cxnSp macro="">
      <xdr:nvCxnSpPr>
        <xdr:cNvPr id="675" name="Straight Connector 674"/>
        <xdr:cNvCxnSpPr/>
      </xdr:nvCxnSpPr>
      <xdr:spPr>
        <a:xfrm flipV="1">
          <a:off x="3991044" y="2780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929</xdr:row>
      <xdr:rowOff>0</xdr:rowOff>
    </xdr:from>
    <xdr:to>
      <xdr:col>4</xdr:col>
      <xdr:colOff>601265</xdr:colOff>
      <xdr:row>929</xdr:row>
      <xdr:rowOff>187699</xdr:rowOff>
    </xdr:to>
    <xdr:cxnSp macro="">
      <xdr:nvCxnSpPr>
        <xdr:cNvPr id="676" name="Straight Connector 675"/>
        <xdr:cNvCxnSpPr/>
      </xdr:nvCxnSpPr>
      <xdr:spPr>
        <a:xfrm flipV="1">
          <a:off x="3991044" y="2780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927</xdr:row>
      <xdr:rowOff>179295</xdr:rowOff>
    </xdr:from>
    <xdr:to>
      <xdr:col>5</xdr:col>
      <xdr:colOff>11206</xdr:colOff>
      <xdr:row>927</xdr:row>
      <xdr:rowOff>179295</xdr:rowOff>
    </xdr:to>
    <xdr:cxnSp macro="">
      <xdr:nvCxnSpPr>
        <xdr:cNvPr id="677" name="Straight Connector 676"/>
        <xdr:cNvCxnSpPr/>
      </xdr:nvCxnSpPr>
      <xdr:spPr>
        <a:xfrm>
          <a:off x="2980765" y="27600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927</xdr:row>
      <xdr:rowOff>0</xdr:rowOff>
    </xdr:from>
    <xdr:to>
      <xdr:col>3</xdr:col>
      <xdr:colOff>23112</xdr:colOff>
      <xdr:row>927</xdr:row>
      <xdr:rowOff>188399</xdr:rowOff>
    </xdr:to>
    <xdr:cxnSp macro="">
      <xdr:nvCxnSpPr>
        <xdr:cNvPr id="678" name="Straight Connector 677"/>
        <xdr:cNvCxnSpPr/>
      </xdr:nvCxnSpPr>
      <xdr:spPr>
        <a:xfrm flipV="1">
          <a:off x="3003877" y="2742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927</xdr:row>
      <xdr:rowOff>0</xdr:rowOff>
    </xdr:from>
    <xdr:to>
      <xdr:col>4</xdr:col>
      <xdr:colOff>601265</xdr:colOff>
      <xdr:row>927</xdr:row>
      <xdr:rowOff>187699</xdr:rowOff>
    </xdr:to>
    <xdr:cxnSp macro="">
      <xdr:nvCxnSpPr>
        <xdr:cNvPr id="679" name="Straight Connector 678"/>
        <xdr:cNvCxnSpPr/>
      </xdr:nvCxnSpPr>
      <xdr:spPr>
        <a:xfrm flipV="1">
          <a:off x="3991044" y="2742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927</xdr:row>
      <xdr:rowOff>0</xdr:rowOff>
    </xdr:from>
    <xdr:to>
      <xdr:col>4</xdr:col>
      <xdr:colOff>601265</xdr:colOff>
      <xdr:row>927</xdr:row>
      <xdr:rowOff>187699</xdr:rowOff>
    </xdr:to>
    <xdr:cxnSp macro="">
      <xdr:nvCxnSpPr>
        <xdr:cNvPr id="680" name="Straight Connector 679"/>
        <xdr:cNvCxnSpPr/>
      </xdr:nvCxnSpPr>
      <xdr:spPr>
        <a:xfrm flipV="1">
          <a:off x="3991044" y="2742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927</xdr:row>
      <xdr:rowOff>0</xdr:rowOff>
    </xdr:from>
    <xdr:to>
      <xdr:col>4</xdr:col>
      <xdr:colOff>601265</xdr:colOff>
      <xdr:row>927</xdr:row>
      <xdr:rowOff>187699</xdr:rowOff>
    </xdr:to>
    <xdr:cxnSp macro="">
      <xdr:nvCxnSpPr>
        <xdr:cNvPr id="681" name="Straight Connector 680"/>
        <xdr:cNvCxnSpPr/>
      </xdr:nvCxnSpPr>
      <xdr:spPr>
        <a:xfrm flipV="1">
          <a:off x="3991044" y="2742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931</xdr:row>
      <xdr:rowOff>179295</xdr:rowOff>
    </xdr:from>
    <xdr:to>
      <xdr:col>5</xdr:col>
      <xdr:colOff>11206</xdr:colOff>
      <xdr:row>931</xdr:row>
      <xdr:rowOff>179295</xdr:rowOff>
    </xdr:to>
    <xdr:cxnSp macro="">
      <xdr:nvCxnSpPr>
        <xdr:cNvPr id="682" name="Straight Connector 681"/>
        <xdr:cNvCxnSpPr/>
      </xdr:nvCxnSpPr>
      <xdr:spPr>
        <a:xfrm>
          <a:off x="2980765" y="28362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931</xdr:row>
      <xdr:rowOff>0</xdr:rowOff>
    </xdr:from>
    <xdr:to>
      <xdr:col>3</xdr:col>
      <xdr:colOff>23112</xdr:colOff>
      <xdr:row>931</xdr:row>
      <xdr:rowOff>188399</xdr:rowOff>
    </xdr:to>
    <xdr:cxnSp macro="">
      <xdr:nvCxnSpPr>
        <xdr:cNvPr id="683" name="Straight Connector 682"/>
        <xdr:cNvCxnSpPr/>
      </xdr:nvCxnSpPr>
      <xdr:spPr>
        <a:xfrm flipV="1">
          <a:off x="3003877" y="2818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931</xdr:row>
      <xdr:rowOff>0</xdr:rowOff>
    </xdr:from>
    <xdr:to>
      <xdr:col>4</xdr:col>
      <xdr:colOff>601265</xdr:colOff>
      <xdr:row>931</xdr:row>
      <xdr:rowOff>187699</xdr:rowOff>
    </xdr:to>
    <xdr:cxnSp macro="">
      <xdr:nvCxnSpPr>
        <xdr:cNvPr id="684" name="Straight Connector 683"/>
        <xdr:cNvCxnSpPr/>
      </xdr:nvCxnSpPr>
      <xdr:spPr>
        <a:xfrm flipV="1">
          <a:off x="3991044" y="2818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931</xdr:row>
      <xdr:rowOff>0</xdr:rowOff>
    </xdr:from>
    <xdr:to>
      <xdr:col>4</xdr:col>
      <xdr:colOff>601265</xdr:colOff>
      <xdr:row>931</xdr:row>
      <xdr:rowOff>187699</xdr:rowOff>
    </xdr:to>
    <xdr:cxnSp macro="">
      <xdr:nvCxnSpPr>
        <xdr:cNvPr id="685" name="Straight Connector 684"/>
        <xdr:cNvCxnSpPr/>
      </xdr:nvCxnSpPr>
      <xdr:spPr>
        <a:xfrm flipV="1">
          <a:off x="3991044" y="2818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931</xdr:row>
      <xdr:rowOff>0</xdr:rowOff>
    </xdr:from>
    <xdr:to>
      <xdr:col>4</xdr:col>
      <xdr:colOff>601265</xdr:colOff>
      <xdr:row>931</xdr:row>
      <xdr:rowOff>187699</xdr:rowOff>
    </xdr:to>
    <xdr:cxnSp macro="">
      <xdr:nvCxnSpPr>
        <xdr:cNvPr id="686" name="Straight Connector 685"/>
        <xdr:cNvCxnSpPr/>
      </xdr:nvCxnSpPr>
      <xdr:spPr>
        <a:xfrm flipV="1">
          <a:off x="3991044" y="2818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933</xdr:row>
      <xdr:rowOff>179295</xdr:rowOff>
    </xdr:from>
    <xdr:to>
      <xdr:col>5</xdr:col>
      <xdr:colOff>11206</xdr:colOff>
      <xdr:row>933</xdr:row>
      <xdr:rowOff>179295</xdr:rowOff>
    </xdr:to>
    <xdr:cxnSp macro="">
      <xdr:nvCxnSpPr>
        <xdr:cNvPr id="687" name="Straight Connector 686"/>
        <xdr:cNvCxnSpPr/>
      </xdr:nvCxnSpPr>
      <xdr:spPr>
        <a:xfrm>
          <a:off x="2980765" y="2874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933</xdr:row>
      <xdr:rowOff>0</xdr:rowOff>
    </xdr:from>
    <xdr:to>
      <xdr:col>3</xdr:col>
      <xdr:colOff>23112</xdr:colOff>
      <xdr:row>933</xdr:row>
      <xdr:rowOff>188399</xdr:rowOff>
    </xdr:to>
    <xdr:cxnSp macro="">
      <xdr:nvCxnSpPr>
        <xdr:cNvPr id="688" name="Straight Connector 687"/>
        <xdr:cNvCxnSpPr/>
      </xdr:nvCxnSpPr>
      <xdr:spPr>
        <a:xfrm flipV="1">
          <a:off x="3003877" y="2856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933</xdr:row>
      <xdr:rowOff>0</xdr:rowOff>
    </xdr:from>
    <xdr:to>
      <xdr:col>4</xdr:col>
      <xdr:colOff>601265</xdr:colOff>
      <xdr:row>933</xdr:row>
      <xdr:rowOff>187699</xdr:rowOff>
    </xdr:to>
    <xdr:cxnSp macro="">
      <xdr:nvCxnSpPr>
        <xdr:cNvPr id="689" name="Straight Connector 688"/>
        <xdr:cNvCxnSpPr/>
      </xdr:nvCxnSpPr>
      <xdr:spPr>
        <a:xfrm flipV="1">
          <a:off x="3991044" y="2856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933</xdr:row>
      <xdr:rowOff>0</xdr:rowOff>
    </xdr:from>
    <xdr:to>
      <xdr:col>4</xdr:col>
      <xdr:colOff>601265</xdr:colOff>
      <xdr:row>933</xdr:row>
      <xdr:rowOff>187699</xdr:rowOff>
    </xdr:to>
    <xdr:cxnSp macro="">
      <xdr:nvCxnSpPr>
        <xdr:cNvPr id="690" name="Straight Connector 689"/>
        <xdr:cNvCxnSpPr/>
      </xdr:nvCxnSpPr>
      <xdr:spPr>
        <a:xfrm flipV="1">
          <a:off x="3991044" y="2856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933</xdr:row>
      <xdr:rowOff>0</xdr:rowOff>
    </xdr:from>
    <xdr:to>
      <xdr:col>4</xdr:col>
      <xdr:colOff>601265</xdr:colOff>
      <xdr:row>933</xdr:row>
      <xdr:rowOff>187699</xdr:rowOff>
    </xdr:to>
    <xdr:cxnSp macro="">
      <xdr:nvCxnSpPr>
        <xdr:cNvPr id="691" name="Straight Connector 690"/>
        <xdr:cNvCxnSpPr/>
      </xdr:nvCxnSpPr>
      <xdr:spPr>
        <a:xfrm flipV="1">
          <a:off x="3991044" y="2856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935</xdr:row>
      <xdr:rowOff>179295</xdr:rowOff>
    </xdr:from>
    <xdr:to>
      <xdr:col>5</xdr:col>
      <xdr:colOff>11206</xdr:colOff>
      <xdr:row>935</xdr:row>
      <xdr:rowOff>179295</xdr:rowOff>
    </xdr:to>
    <xdr:cxnSp macro="">
      <xdr:nvCxnSpPr>
        <xdr:cNvPr id="692" name="Straight Connector 691"/>
        <xdr:cNvCxnSpPr/>
      </xdr:nvCxnSpPr>
      <xdr:spPr>
        <a:xfrm>
          <a:off x="2980765" y="29124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935</xdr:row>
      <xdr:rowOff>0</xdr:rowOff>
    </xdr:from>
    <xdr:to>
      <xdr:col>3</xdr:col>
      <xdr:colOff>23112</xdr:colOff>
      <xdr:row>935</xdr:row>
      <xdr:rowOff>188399</xdr:rowOff>
    </xdr:to>
    <xdr:cxnSp macro="">
      <xdr:nvCxnSpPr>
        <xdr:cNvPr id="693" name="Straight Connector 692"/>
        <xdr:cNvCxnSpPr/>
      </xdr:nvCxnSpPr>
      <xdr:spPr>
        <a:xfrm flipV="1">
          <a:off x="3003877" y="2894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935</xdr:row>
      <xdr:rowOff>0</xdr:rowOff>
    </xdr:from>
    <xdr:to>
      <xdr:col>4</xdr:col>
      <xdr:colOff>601265</xdr:colOff>
      <xdr:row>935</xdr:row>
      <xdr:rowOff>187699</xdr:rowOff>
    </xdr:to>
    <xdr:cxnSp macro="">
      <xdr:nvCxnSpPr>
        <xdr:cNvPr id="694" name="Straight Connector 693"/>
        <xdr:cNvCxnSpPr/>
      </xdr:nvCxnSpPr>
      <xdr:spPr>
        <a:xfrm flipV="1">
          <a:off x="3991044" y="2894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935</xdr:row>
      <xdr:rowOff>0</xdr:rowOff>
    </xdr:from>
    <xdr:to>
      <xdr:col>4</xdr:col>
      <xdr:colOff>601265</xdr:colOff>
      <xdr:row>935</xdr:row>
      <xdr:rowOff>187699</xdr:rowOff>
    </xdr:to>
    <xdr:cxnSp macro="">
      <xdr:nvCxnSpPr>
        <xdr:cNvPr id="695" name="Straight Connector 694"/>
        <xdr:cNvCxnSpPr/>
      </xdr:nvCxnSpPr>
      <xdr:spPr>
        <a:xfrm flipV="1">
          <a:off x="3991044" y="2894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935</xdr:row>
      <xdr:rowOff>0</xdr:rowOff>
    </xdr:from>
    <xdr:to>
      <xdr:col>4</xdr:col>
      <xdr:colOff>601265</xdr:colOff>
      <xdr:row>935</xdr:row>
      <xdr:rowOff>187699</xdr:rowOff>
    </xdr:to>
    <xdr:cxnSp macro="">
      <xdr:nvCxnSpPr>
        <xdr:cNvPr id="696" name="Straight Connector 695"/>
        <xdr:cNvCxnSpPr/>
      </xdr:nvCxnSpPr>
      <xdr:spPr>
        <a:xfrm flipV="1">
          <a:off x="3991044" y="2894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937</xdr:row>
      <xdr:rowOff>179295</xdr:rowOff>
    </xdr:from>
    <xdr:to>
      <xdr:col>5</xdr:col>
      <xdr:colOff>11206</xdr:colOff>
      <xdr:row>937</xdr:row>
      <xdr:rowOff>179295</xdr:rowOff>
    </xdr:to>
    <xdr:cxnSp macro="">
      <xdr:nvCxnSpPr>
        <xdr:cNvPr id="697" name="Straight Connector 696"/>
        <xdr:cNvCxnSpPr/>
      </xdr:nvCxnSpPr>
      <xdr:spPr>
        <a:xfrm>
          <a:off x="2980765" y="2950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256761</xdr:colOff>
      <xdr:row>946</xdr:row>
      <xdr:rowOff>132522</xdr:rowOff>
    </xdr:from>
    <xdr:to>
      <xdr:col>5</xdr:col>
      <xdr:colOff>33131</xdr:colOff>
      <xdr:row>947</xdr:row>
      <xdr:rowOff>82826</xdr:rowOff>
    </xdr:to>
    <xdr:cxnSp macro="">
      <xdr:nvCxnSpPr>
        <xdr:cNvPr id="698" name="Straight Connector 697"/>
        <xdr:cNvCxnSpPr/>
      </xdr:nvCxnSpPr>
      <xdr:spPr>
        <a:xfrm>
          <a:off x="3237526" y="31172816"/>
          <a:ext cx="784899" cy="14080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273332</xdr:colOff>
      <xdr:row>946</xdr:row>
      <xdr:rowOff>157370</xdr:rowOff>
    </xdr:from>
    <xdr:to>
      <xdr:col>3</xdr:col>
      <xdr:colOff>281610</xdr:colOff>
      <xdr:row>949</xdr:row>
      <xdr:rowOff>41415</xdr:rowOff>
    </xdr:to>
    <xdr:cxnSp macro="">
      <xdr:nvCxnSpPr>
        <xdr:cNvPr id="699" name="Straight Connector 698"/>
        <xdr:cNvCxnSpPr/>
      </xdr:nvCxnSpPr>
      <xdr:spPr>
        <a:xfrm rot="5400000" flipH="1" flipV="1">
          <a:off x="3030463" y="31421298"/>
          <a:ext cx="455545" cy="8278"/>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8283</xdr:colOff>
      <xdr:row>947</xdr:row>
      <xdr:rowOff>107674</xdr:rowOff>
    </xdr:from>
    <xdr:to>
      <xdr:col>5</xdr:col>
      <xdr:colOff>16569</xdr:colOff>
      <xdr:row>950</xdr:row>
      <xdr:rowOff>3</xdr:rowOff>
    </xdr:to>
    <xdr:cxnSp macro="">
      <xdr:nvCxnSpPr>
        <xdr:cNvPr id="700" name="Straight Connector 699"/>
        <xdr:cNvCxnSpPr/>
      </xdr:nvCxnSpPr>
      <xdr:spPr>
        <a:xfrm rot="5400000" flipH="1" flipV="1">
          <a:off x="3769805" y="31566240"/>
          <a:ext cx="463829" cy="828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8286</xdr:colOff>
      <xdr:row>948</xdr:row>
      <xdr:rowOff>149678</xdr:rowOff>
    </xdr:from>
    <xdr:to>
      <xdr:col>5</xdr:col>
      <xdr:colOff>421821</xdr:colOff>
      <xdr:row>949</xdr:row>
      <xdr:rowOff>173935</xdr:rowOff>
    </xdr:to>
    <xdr:cxnSp macro="">
      <xdr:nvCxnSpPr>
        <xdr:cNvPr id="701" name="Straight Connector 700"/>
        <xdr:cNvCxnSpPr/>
      </xdr:nvCxnSpPr>
      <xdr:spPr>
        <a:xfrm flipV="1">
          <a:off x="3997580" y="31570972"/>
          <a:ext cx="413535" cy="21475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408214</xdr:colOff>
      <xdr:row>949</xdr:row>
      <xdr:rowOff>16572</xdr:rowOff>
    </xdr:from>
    <xdr:to>
      <xdr:col>3</xdr:col>
      <xdr:colOff>281607</xdr:colOff>
      <xdr:row>949</xdr:row>
      <xdr:rowOff>149678</xdr:rowOff>
    </xdr:to>
    <xdr:cxnSp macro="">
      <xdr:nvCxnSpPr>
        <xdr:cNvPr id="702" name="Straight Connector 701"/>
        <xdr:cNvCxnSpPr/>
      </xdr:nvCxnSpPr>
      <xdr:spPr>
        <a:xfrm flipV="1">
          <a:off x="2884714" y="31628366"/>
          <a:ext cx="377658" cy="13310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954</xdr:row>
      <xdr:rowOff>74934</xdr:rowOff>
    </xdr:from>
    <xdr:to>
      <xdr:col>5</xdr:col>
      <xdr:colOff>14130</xdr:colOff>
      <xdr:row>954</xdr:row>
      <xdr:rowOff>74934</xdr:rowOff>
    </xdr:to>
    <xdr:cxnSp macro="">
      <xdr:nvCxnSpPr>
        <xdr:cNvPr id="703" name="Straight Connector 702"/>
        <xdr:cNvCxnSpPr/>
      </xdr:nvCxnSpPr>
      <xdr:spPr>
        <a:xfrm>
          <a:off x="2984663" y="32639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960</xdr:row>
      <xdr:rowOff>74935</xdr:rowOff>
    </xdr:from>
    <xdr:to>
      <xdr:col>5</xdr:col>
      <xdr:colOff>2924</xdr:colOff>
      <xdr:row>960</xdr:row>
      <xdr:rowOff>74935</xdr:rowOff>
    </xdr:to>
    <xdr:cxnSp macro="">
      <xdr:nvCxnSpPr>
        <xdr:cNvPr id="704" name="Straight Connector 703"/>
        <xdr:cNvCxnSpPr/>
      </xdr:nvCxnSpPr>
      <xdr:spPr>
        <a:xfrm>
          <a:off x="2973457" y="3378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957</xdr:row>
      <xdr:rowOff>86140</xdr:rowOff>
    </xdr:from>
    <xdr:to>
      <xdr:col>5</xdr:col>
      <xdr:colOff>14130</xdr:colOff>
      <xdr:row>957</xdr:row>
      <xdr:rowOff>86140</xdr:rowOff>
    </xdr:to>
    <xdr:cxnSp macro="">
      <xdr:nvCxnSpPr>
        <xdr:cNvPr id="705" name="Straight Connector 704"/>
        <xdr:cNvCxnSpPr/>
      </xdr:nvCxnSpPr>
      <xdr:spPr>
        <a:xfrm>
          <a:off x="2984663" y="33221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963</xdr:row>
      <xdr:rowOff>74935</xdr:rowOff>
    </xdr:from>
    <xdr:to>
      <xdr:col>5</xdr:col>
      <xdr:colOff>2924</xdr:colOff>
      <xdr:row>963</xdr:row>
      <xdr:rowOff>74935</xdr:rowOff>
    </xdr:to>
    <xdr:cxnSp macro="">
      <xdr:nvCxnSpPr>
        <xdr:cNvPr id="706" name="Straight Connector 705"/>
        <xdr:cNvCxnSpPr/>
      </xdr:nvCxnSpPr>
      <xdr:spPr>
        <a:xfrm>
          <a:off x="2973457" y="3435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966</xdr:row>
      <xdr:rowOff>74935</xdr:rowOff>
    </xdr:from>
    <xdr:to>
      <xdr:col>5</xdr:col>
      <xdr:colOff>2924</xdr:colOff>
      <xdr:row>966</xdr:row>
      <xdr:rowOff>74935</xdr:rowOff>
    </xdr:to>
    <xdr:cxnSp macro="">
      <xdr:nvCxnSpPr>
        <xdr:cNvPr id="707" name="Straight Connector 706"/>
        <xdr:cNvCxnSpPr/>
      </xdr:nvCxnSpPr>
      <xdr:spPr>
        <a:xfrm>
          <a:off x="2973457" y="3492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969</xdr:row>
      <xdr:rowOff>74935</xdr:rowOff>
    </xdr:from>
    <xdr:to>
      <xdr:col>5</xdr:col>
      <xdr:colOff>2924</xdr:colOff>
      <xdr:row>969</xdr:row>
      <xdr:rowOff>74935</xdr:rowOff>
    </xdr:to>
    <xdr:cxnSp macro="">
      <xdr:nvCxnSpPr>
        <xdr:cNvPr id="708" name="Straight Connector 707"/>
        <xdr:cNvCxnSpPr/>
      </xdr:nvCxnSpPr>
      <xdr:spPr>
        <a:xfrm>
          <a:off x="2973457" y="3549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972</xdr:row>
      <xdr:rowOff>74935</xdr:rowOff>
    </xdr:from>
    <xdr:to>
      <xdr:col>5</xdr:col>
      <xdr:colOff>2924</xdr:colOff>
      <xdr:row>972</xdr:row>
      <xdr:rowOff>74935</xdr:rowOff>
    </xdr:to>
    <xdr:cxnSp macro="">
      <xdr:nvCxnSpPr>
        <xdr:cNvPr id="709" name="Straight Connector 708"/>
        <xdr:cNvCxnSpPr/>
      </xdr:nvCxnSpPr>
      <xdr:spPr>
        <a:xfrm>
          <a:off x="2973457" y="3606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978</xdr:row>
      <xdr:rowOff>74935</xdr:rowOff>
    </xdr:from>
    <xdr:to>
      <xdr:col>5</xdr:col>
      <xdr:colOff>2924</xdr:colOff>
      <xdr:row>978</xdr:row>
      <xdr:rowOff>74935</xdr:rowOff>
    </xdr:to>
    <xdr:cxnSp macro="">
      <xdr:nvCxnSpPr>
        <xdr:cNvPr id="710" name="Straight Connector 709"/>
        <xdr:cNvCxnSpPr/>
      </xdr:nvCxnSpPr>
      <xdr:spPr>
        <a:xfrm>
          <a:off x="2973457" y="3721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975</xdr:row>
      <xdr:rowOff>74935</xdr:rowOff>
    </xdr:from>
    <xdr:to>
      <xdr:col>5</xdr:col>
      <xdr:colOff>2924</xdr:colOff>
      <xdr:row>975</xdr:row>
      <xdr:rowOff>74935</xdr:rowOff>
    </xdr:to>
    <xdr:cxnSp macro="">
      <xdr:nvCxnSpPr>
        <xdr:cNvPr id="711" name="Straight Connector 710"/>
        <xdr:cNvCxnSpPr/>
      </xdr:nvCxnSpPr>
      <xdr:spPr>
        <a:xfrm>
          <a:off x="2973457" y="3663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981</xdr:row>
      <xdr:rowOff>74935</xdr:rowOff>
    </xdr:from>
    <xdr:to>
      <xdr:col>5</xdr:col>
      <xdr:colOff>2924</xdr:colOff>
      <xdr:row>981</xdr:row>
      <xdr:rowOff>74935</xdr:rowOff>
    </xdr:to>
    <xdr:cxnSp macro="">
      <xdr:nvCxnSpPr>
        <xdr:cNvPr id="712" name="Straight Connector 711"/>
        <xdr:cNvCxnSpPr/>
      </xdr:nvCxnSpPr>
      <xdr:spPr>
        <a:xfrm>
          <a:off x="2973457" y="3778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984</xdr:row>
      <xdr:rowOff>74935</xdr:rowOff>
    </xdr:from>
    <xdr:to>
      <xdr:col>5</xdr:col>
      <xdr:colOff>2924</xdr:colOff>
      <xdr:row>984</xdr:row>
      <xdr:rowOff>74935</xdr:rowOff>
    </xdr:to>
    <xdr:cxnSp macro="">
      <xdr:nvCxnSpPr>
        <xdr:cNvPr id="713" name="Straight Connector 712"/>
        <xdr:cNvCxnSpPr/>
      </xdr:nvCxnSpPr>
      <xdr:spPr>
        <a:xfrm>
          <a:off x="2973457" y="3835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987</xdr:row>
      <xdr:rowOff>74935</xdr:rowOff>
    </xdr:from>
    <xdr:to>
      <xdr:col>5</xdr:col>
      <xdr:colOff>2924</xdr:colOff>
      <xdr:row>987</xdr:row>
      <xdr:rowOff>74935</xdr:rowOff>
    </xdr:to>
    <xdr:cxnSp macro="">
      <xdr:nvCxnSpPr>
        <xdr:cNvPr id="714" name="Straight Connector 713"/>
        <xdr:cNvCxnSpPr/>
      </xdr:nvCxnSpPr>
      <xdr:spPr>
        <a:xfrm>
          <a:off x="2973457" y="3892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990</xdr:row>
      <xdr:rowOff>74935</xdr:rowOff>
    </xdr:from>
    <xdr:to>
      <xdr:col>5</xdr:col>
      <xdr:colOff>2924</xdr:colOff>
      <xdr:row>990</xdr:row>
      <xdr:rowOff>74935</xdr:rowOff>
    </xdr:to>
    <xdr:cxnSp macro="">
      <xdr:nvCxnSpPr>
        <xdr:cNvPr id="715" name="Straight Connector 714"/>
        <xdr:cNvCxnSpPr/>
      </xdr:nvCxnSpPr>
      <xdr:spPr>
        <a:xfrm>
          <a:off x="2973457" y="3949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993</xdr:row>
      <xdr:rowOff>74935</xdr:rowOff>
    </xdr:from>
    <xdr:to>
      <xdr:col>5</xdr:col>
      <xdr:colOff>2924</xdr:colOff>
      <xdr:row>993</xdr:row>
      <xdr:rowOff>74935</xdr:rowOff>
    </xdr:to>
    <xdr:cxnSp macro="">
      <xdr:nvCxnSpPr>
        <xdr:cNvPr id="716" name="Straight Connector 715"/>
        <xdr:cNvCxnSpPr/>
      </xdr:nvCxnSpPr>
      <xdr:spPr>
        <a:xfrm>
          <a:off x="2973457" y="4006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996</xdr:row>
      <xdr:rowOff>74935</xdr:rowOff>
    </xdr:from>
    <xdr:to>
      <xdr:col>5</xdr:col>
      <xdr:colOff>2924</xdr:colOff>
      <xdr:row>996</xdr:row>
      <xdr:rowOff>74935</xdr:rowOff>
    </xdr:to>
    <xdr:cxnSp macro="">
      <xdr:nvCxnSpPr>
        <xdr:cNvPr id="717" name="Straight Connector 716"/>
        <xdr:cNvCxnSpPr/>
      </xdr:nvCxnSpPr>
      <xdr:spPr>
        <a:xfrm>
          <a:off x="2973457" y="4064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999</xdr:row>
      <xdr:rowOff>74935</xdr:rowOff>
    </xdr:from>
    <xdr:to>
      <xdr:col>5</xdr:col>
      <xdr:colOff>2924</xdr:colOff>
      <xdr:row>999</xdr:row>
      <xdr:rowOff>74935</xdr:rowOff>
    </xdr:to>
    <xdr:cxnSp macro="">
      <xdr:nvCxnSpPr>
        <xdr:cNvPr id="718" name="Straight Connector 717"/>
        <xdr:cNvCxnSpPr/>
      </xdr:nvCxnSpPr>
      <xdr:spPr>
        <a:xfrm>
          <a:off x="2973457" y="4121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1002</xdr:row>
      <xdr:rowOff>74935</xdr:rowOff>
    </xdr:from>
    <xdr:to>
      <xdr:col>5</xdr:col>
      <xdr:colOff>2924</xdr:colOff>
      <xdr:row>1002</xdr:row>
      <xdr:rowOff>74935</xdr:rowOff>
    </xdr:to>
    <xdr:cxnSp macro="">
      <xdr:nvCxnSpPr>
        <xdr:cNvPr id="719" name="Straight Connector 718"/>
        <xdr:cNvCxnSpPr/>
      </xdr:nvCxnSpPr>
      <xdr:spPr>
        <a:xfrm>
          <a:off x="2973457" y="4178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1005</xdr:row>
      <xdr:rowOff>74935</xdr:rowOff>
    </xdr:from>
    <xdr:to>
      <xdr:col>5</xdr:col>
      <xdr:colOff>2924</xdr:colOff>
      <xdr:row>1005</xdr:row>
      <xdr:rowOff>74935</xdr:rowOff>
    </xdr:to>
    <xdr:cxnSp macro="">
      <xdr:nvCxnSpPr>
        <xdr:cNvPr id="720" name="Straight Connector 719"/>
        <xdr:cNvCxnSpPr/>
      </xdr:nvCxnSpPr>
      <xdr:spPr>
        <a:xfrm>
          <a:off x="2973457" y="4235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1008</xdr:row>
      <xdr:rowOff>74935</xdr:rowOff>
    </xdr:from>
    <xdr:to>
      <xdr:col>5</xdr:col>
      <xdr:colOff>2924</xdr:colOff>
      <xdr:row>1008</xdr:row>
      <xdr:rowOff>74935</xdr:rowOff>
    </xdr:to>
    <xdr:cxnSp macro="">
      <xdr:nvCxnSpPr>
        <xdr:cNvPr id="721" name="Straight Connector 720"/>
        <xdr:cNvCxnSpPr/>
      </xdr:nvCxnSpPr>
      <xdr:spPr>
        <a:xfrm>
          <a:off x="2973457" y="4292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1011</xdr:row>
      <xdr:rowOff>74935</xdr:rowOff>
    </xdr:from>
    <xdr:to>
      <xdr:col>5</xdr:col>
      <xdr:colOff>2924</xdr:colOff>
      <xdr:row>1011</xdr:row>
      <xdr:rowOff>74935</xdr:rowOff>
    </xdr:to>
    <xdr:cxnSp macro="">
      <xdr:nvCxnSpPr>
        <xdr:cNvPr id="722" name="Straight Connector 721"/>
        <xdr:cNvCxnSpPr/>
      </xdr:nvCxnSpPr>
      <xdr:spPr>
        <a:xfrm>
          <a:off x="2973457" y="4349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1014</xdr:row>
      <xdr:rowOff>74935</xdr:rowOff>
    </xdr:from>
    <xdr:to>
      <xdr:col>5</xdr:col>
      <xdr:colOff>2924</xdr:colOff>
      <xdr:row>1014</xdr:row>
      <xdr:rowOff>74935</xdr:rowOff>
    </xdr:to>
    <xdr:cxnSp macro="">
      <xdr:nvCxnSpPr>
        <xdr:cNvPr id="723" name="Straight Connector 722"/>
        <xdr:cNvCxnSpPr/>
      </xdr:nvCxnSpPr>
      <xdr:spPr>
        <a:xfrm>
          <a:off x="2973457" y="4406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1017</xdr:row>
      <xdr:rowOff>74935</xdr:rowOff>
    </xdr:from>
    <xdr:to>
      <xdr:col>5</xdr:col>
      <xdr:colOff>2924</xdr:colOff>
      <xdr:row>1017</xdr:row>
      <xdr:rowOff>74935</xdr:rowOff>
    </xdr:to>
    <xdr:cxnSp macro="">
      <xdr:nvCxnSpPr>
        <xdr:cNvPr id="724" name="Straight Connector 723"/>
        <xdr:cNvCxnSpPr/>
      </xdr:nvCxnSpPr>
      <xdr:spPr>
        <a:xfrm>
          <a:off x="2973457" y="4464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1020</xdr:row>
      <xdr:rowOff>74935</xdr:rowOff>
    </xdr:from>
    <xdr:to>
      <xdr:col>5</xdr:col>
      <xdr:colOff>2924</xdr:colOff>
      <xdr:row>1020</xdr:row>
      <xdr:rowOff>74935</xdr:rowOff>
    </xdr:to>
    <xdr:cxnSp macro="">
      <xdr:nvCxnSpPr>
        <xdr:cNvPr id="725" name="Straight Connector 724"/>
        <xdr:cNvCxnSpPr/>
      </xdr:nvCxnSpPr>
      <xdr:spPr>
        <a:xfrm>
          <a:off x="2973457" y="4521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1023</xdr:row>
      <xdr:rowOff>74935</xdr:rowOff>
    </xdr:from>
    <xdr:to>
      <xdr:col>5</xdr:col>
      <xdr:colOff>2924</xdr:colOff>
      <xdr:row>1023</xdr:row>
      <xdr:rowOff>74935</xdr:rowOff>
    </xdr:to>
    <xdr:cxnSp macro="">
      <xdr:nvCxnSpPr>
        <xdr:cNvPr id="726" name="Straight Connector 725"/>
        <xdr:cNvCxnSpPr/>
      </xdr:nvCxnSpPr>
      <xdr:spPr>
        <a:xfrm>
          <a:off x="2973457" y="4578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1026</xdr:row>
      <xdr:rowOff>74935</xdr:rowOff>
    </xdr:from>
    <xdr:to>
      <xdr:col>5</xdr:col>
      <xdr:colOff>2924</xdr:colOff>
      <xdr:row>1026</xdr:row>
      <xdr:rowOff>74935</xdr:rowOff>
    </xdr:to>
    <xdr:cxnSp macro="">
      <xdr:nvCxnSpPr>
        <xdr:cNvPr id="727" name="Straight Connector 726"/>
        <xdr:cNvCxnSpPr/>
      </xdr:nvCxnSpPr>
      <xdr:spPr>
        <a:xfrm>
          <a:off x="2973457" y="4635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1029</xdr:row>
      <xdr:rowOff>74935</xdr:rowOff>
    </xdr:from>
    <xdr:to>
      <xdr:col>5</xdr:col>
      <xdr:colOff>2924</xdr:colOff>
      <xdr:row>1029</xdr:row>
      <xdr:rowOff>74935</xdr:rowOff>
    </xdr:to>
    <xdr:cxnSp macro="">
      <xdr:nvCxnSpPr>
        <xdr:cNvPr id="728" name="Straight Connector 727"/>
        <xdr:cNvCxnSpPr/>
      </xdr:nvCxnSpPr>
      <xdr:spPr>
        <a:xfrm>
          <a:off x="2973457" y="4692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1032</xdr:row>
      <xdr:rowOff>74935</xdr:rowOff>
    </xdr:from>
    <xdr:to>
      <xdr:col>5</xdr:col>
      <xdr:colOff>2924</xdr:colOff>
      <xdr:row>1032</xdr:row>
      <xdr:rowOff>74935</xdr:rowOff>
    </xdr:to>
    <xdr:cxnSp macro="">
      <xdr:nvCxnSpPr>
        <xdr:cNvPr id="729" name="Straight Connector 728"/>
        <xdr:cNvCxnSpPr/>
      </xdr:nvCxnSpPr>
      <xdr:spPr>
        <a:xfrm>
          <a:off x="2973457" y="4749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1035</xdr:row>
      <xdr:rowOff>74935</xdr:rowOff>
    </xdr:from>
    <xdr:to>
      <xdr:col>5</xdr:col>
      <xdr:colOff>2924</xdr:colOff>
      <xdr:row>1035</xdr:row>
      <xdr:rowOff>74935</xdr:rowOff>
    </xdr:to>
    <xdr:cxnSp macro="">
      <xdr:nvCxnSpPr>
        <xdr:cNvPr id="730" name="Straight Connector 729"/>
        <xdr:cNvCxnSpPr/>
      </xdr:nvCxnSpPr>
      <xdr:spPr>
        <a:xfrm>
          <a:off x="2973457" y="4806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1038</xdr:row>
      <xdr:rowOff>74935</xdr:rowOff>
    </xdr:from>
    <xdr:to>
      <xdr:col>5</xdr:col>
      <xdr:colOff>2924</xdr:colOff>
      <xdr:row>1038</xdr:row>
      <xdr:rowOff>74935</xdr:rowOff>
    </xdr:to>
    <xdr:cxnSp macro="">
      <xdr:nvCxnSpPr>
        <xdr:cNvPr id="731" name="Straight Connector 730"/>
        <xdr:cNvCxnSpPr/>
      </xdr:nvCxnSpPr>
      <xdr:spPr>
        <a:xfrm>
          <a:off x="2973457" y="4864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1041</xdr:row>
      <xdr:rowOff>74935</xdr:rowOff>
    </xdr:from>
    <xdr:to>
      <xdr:col>5</xdr:col>
      <xdr:colOff>2924</xdr:colOff>
      <xdr:row>1041</xdr:row>
      <xdr:rowOff>74935</xdr:rowOff>
    </xdr:to>
    <xdr:cxnSp macro="">
      <xdr:nvCxnSpPr>
        <xdr:cNvPr id="732" name="Straight Connector 731"/>
        <xdr:cNvCxnSpPr/>
      </xdr:nvCxnSpPr>
      <xdr:spPr>
        <a:xfrm>
          <a:off x="2973457" y="4921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1044</xdr:row>
      <xdr:rowOff>74935</xdr:rowOff>
    </xdr:from>
    <xdr:to>
      <xdr:col>5</xdr:col>
      <xdr:colOff>2924</xdr:colOff>
      <xdr:row>1044</xdr:row>
      <xdr:rowOff>74935</xdr:rowOff>
    </xdr:to>
    <xdr:cxnSp macro="">
      <xdr:nvCxnSpPr>
        <xdr:cNvPr id="733" name="Straight Connector 732"/>
        <xdr:cNvCxnSpPr/>
      </xdr:nvCxnSpPr>
      <xdr:spPr>
        <a:xfrm>
          <a:off x="2973457" y="4978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1047</xdr:row>
      <xdr:rowOff>74935</xdr:rowOff>
    </xdr:from>
    <xdr:to>
      <xdr:col>5</xdr:col>
      <xdr:colOff>2924</xdr:colOff>
      <xdr:row>1047</xdr:row>
      <xdr:rowOff>74935</xdr:rowOff>
    </xdr:to>
    <xdr:cxnSp macro="">
      <xdr:nvCxnSpPr>
        <xdr:cNvPr id="734" name="Straight Connector 733"/>
        <xdr:cNvCxnSpPr/>
      </xdr:nvCxnSpPr>
      <xdr:spPr>
        <a:xfrm>
          <a:off x="2973457" y="5035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1050</xdr:row>
      <xdr:rowOff>74935</xdr:rowOff>
    </xdr:from>
    <xdr:to>
      <xdr:col>5</xdr:col>
      <xdr:colOff>2924</xdr:colOff>
      <xdr:row>1050</xdr:row>
      <xdr:rowOff>74935</xdr:rowOff>
    </xdr:to>
    <xdr:cxnSp macro="">
      <xdr:nvCxnSpPr>
        <xdr:cNvPr id="735" name="Straight Connector 734"/>
        <xdr:cNvCxnSpPr/>
      </xdr:nvCxnSpPr>
      <xdr:spPr>
        <a:xfrm>
          <a:off x="2973457" y="5092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1053</xdr:row>
      <xdr:rowOff>74935</xdr:rowOff>
    </xdr:from>
    <xdr:to>
      <xdr:col>5</xdr:col>
      <xdr:colOff>2924</xdr:colOff>
      <xdr:row>1053</xdr:row>
      <xdr:rowOff>74935</xdr:rowOff>
    </xdr:to>
    <xdr:cxnSp macro="">
      <xdr:nvCxnSpPr>
        <xdr:cNvPr id="736" name="Straight Connector 735"/>
        <xdr:cNvCxnSpPr/>
      </xdr:nvCxnSpPr>
      <xdr:spPr>
        <a:xfrm>
          <a:off x="2973457" y="5149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1056</xdr:row>
      <xdr:rowOff>74935</xdr:rowOff>
    </xdr:from>
    <xdr:to>
      <xdr:col>5</xdr:col>
      <xdr:colOff>2924</xdr:colOff>
      <xdr:row>1056</xdr:row>
      <xdr:rowOff>74935</xdr:rowOff>
    </xdr:to>
    <xdr:cxnSp macro="">
      <xdr:nvCxnSpPr>
        <xdr:cNvPr id="737" name="Straight Connector 736"/>
        <xdr:cNvCxnSpPr/>
      </xdr:nvCxnSpPr>
      <xdr:spPr>
        <a:xfrm>
          <a:off x="2973457" y="5207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1059</xdr:row>
      <xdr:rowOff>74935</xdr:rowOff>
    </xdr:from>
    <xdr:to>
      <xdr:col>5</xdr:col>
      <xdr:colOff>2924</xdr:colOff>
      <xdr:row>1059</xdr:row>
      <xdr:rowOff>74935</xdr:rowOff>
    </xdr:to>
    <xdr:cxnSp macro="">
      <xdr:nvCxnSpPr>
        <xdr:cNvPr id="738" name="Straight Connector 737"/>
        <xdr:cNvCxnSpPr/>
      </xdr:nvCxnSpPr>
      <xdr:spPr>
        <a:xfrm>
          <a:off x="2973457" y="5264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1062</xdr:row>
      <xdr:rowOff>74935</xdr:rowOff>
    </xdr:from>
    <xdr:to>
      <xdr:col>5</xdr:col>
      <xdr:colOff>2924</xdr:colOff>
      <xdr:row>1062</xdr:row>
      <xdr:rowOff>74935</xdr:rowOff>
    </xdr:to>
    <xdr:cxnSp macro="">
      <xdr:nvCxnSpPr>
        <xdr:cNvPr id="739" name="Straight Connector 738"/>
        <xdr:cNvCxnSpPr/>
      </xdr:nvCxnSpPr>
      <xdr:spPr>
        <a:xfrm>
          <a:off x="2973457" y="5321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1068</xdr:row>
      <xdr:rowOff>74935</xdr:rowOff>
    </xdr:from>
    <xdr:to>
      <xdr:col>5</xdr:col>
      <xdr:colOff>2924</xdr:colOff>
      <xdr:row>1068</xdr:row>
      <xdr:rowOff>74935</xdr:rowOff>
    </xdr:to>
    <xdr:cxnSp macro="">
      <xdr:nvCxnSpPr>
        <xdr:cNvPr id="740" name="Straight Connector 739"/>
        <xdr:cNvCxnSpPr/>
      </xdr:nvCxnSpPr>
      <xdr:spPr>
        <a:xfrm>
          <a:off x="2973457" y="5435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1065</xdr:row>
      <xdr:rowOff>74935</xdr:rowOff>
    </xdr:from>
    <xdr:to>
      <xdr:col>5</xdr:col>
      <xdr:colOff>2924</xdr:colOff>
      <xdr:row>1065</xdr:row>
      <xdr:rowOff>74935</xdr:rowOff>
    </xdr:to>
    <xdr:cxnSp macro="">
      <xdr:nvCxnSpPr>
        <xdr:cNvPr id="741" name="Straight Connector 740"/>
        <xdr:cNvCxnSpPr/>
      </xdr:nvCxnSpPr>
      <xdr:spPr>
        <a:xfrm>
          <a:off x="2973457" y="5378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1074</xdr:row>
      <xdr:rowOff>74935</xdr:rowOff>
    </xdr:from>
    <xdr:to>
      <xdr:col>5</xdr:col>
      <xdr:colOff>2924</xdr:colOff>
      <xdr:row>1074</xdr:row>
      <xdr:rowOff>74935</xdr:rowOff>
    </xdr:to>
    <xdr:cxnSp macro="">
      <xdr:nvCxnSpPr>
        <xdr:cNvPr id="742" name="Straight Connector 741"/>
        <xdr:cNvCxnSpPr/>
      </xdr:nvCxnSpPr>
      <xdr:spPr>
        <a:xfrm>
          <a:off x="2973457" y="5549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1071</xdr:row>
      <xdr:rowOff>74935</xdr:rowOff>
    </xdr:from>
    <xdr:to>
      <xdr:col>5</xdr:col>
      <xdr:colOff>2924</xdr:colOff>
      <xdr:row>1071</xdr:row>
      <xdr:rowOff>74935</xdr:rowOff>
    </xdr:to>
    <xdr:cxnSp macro="">
      <xdr:nvCxnSpPr>
        <xdr:cNvPr id="743" name="Straight Connector 742"/>
        <xdr:cNvCxnSpPr/>
      </xdr:nvCxnSpPr>
      <xdr:spPr>
        <a:xfrm>
          <a:off x="2973457" y="5492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1080</xdr:row>
      <xdr:rowOff>74935</xdr:rowOff>
    </xdr:from>
    <xdr:to>
      <xdr:col>5</xdr:col>
      <xdr:colOff>2924</xdr:colOff>
      <xdr:row>1080</xdr:row>
      <xdr:rowOff>74935</xdr:rowOff>
    </xdr:to>
    <xdr:cxnSp macro="">
      <xdr:nvCxnSpPr>
        <xdr:cNvPr id="744" name="Straight Connector 743"/>
        <xdr:cNvCxnSpPr/>
      </xdr:nvCxnSpPr>
      <xdr:spPr>
        <a:xfrm>
          <a:off x="2973457" y="5664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1077</xdr:row>
      <xdr:rowOff>74935</xdr:rowOff>
    </xdr:from>
    <xdr:to>
      <xdr:col>5</xdr:col>
      <xdr:colOff>2924</xdr:colOff>
      <xdr:row>1077</xdr:row>
      <xdr:rowOff>74935</xdr:rowOff>
    </xdr:to>
    <xdr:cxnSp macro="">
      <xdr:nvCxnSpPr>
        <xdr:cNvPr id="745" name="Straight Connector 744"/>
        <xdr:cNvCxnSpPr/>
      </xdr:nvCxnSpPr>
      <xdr:spPr>
        <a:xfrm>
          <a:off x="2973457" y="5607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1086</xdr:row>
      <xdr:rowOff>74935</xdr:rowOff>
    </xdr:from>
    <xdr:to>
      <xdr:col>5</xdr:col>
      <xdr:colOff>2924</xdr:colOff>
      <xdr:row>1086</xdr:row>
      <xdr:rowOff>74935</xdr:rowOff>
    </xdr:to>
    <xdr:cxnSp macro="">
      <xdr:nvCxnSpPr>
        <xdr:cNvPr id="746" name="Straight Connector 745"/>
        <xdr:cNvCxnSpPr/>
      </xdr:nvCxnSpPr>
      <xdr:spPr>
        <a:xfrm>
          <a:off x="2973457" y="5778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1083</xdr:row>
      <xdr:rowOff>74935</xdr:rowOff>
    </xdr:from>
    <xdr:to>
      <xdr:col>5</xdr:col>
      <xdr:colOff>2924</xdr:colOff>
      <xdr:row>1083</xdr:row>
      <xdr:rowOff>74935</xdr:rowOff>
    </xdr:to>
    <xdr:cxnSp macro="">
      <xdr:nvCxnSpPr>
        <xdr:cNvPr id="747" name="Straight Connector 746"/>
        <xdr:cNvCxnSpPr/>
      </xdr:nvCxnSpPr>
      <xdr:spPr>
        <a:xfrm>
          <a:off x="2973457" y="5721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1092</xdr:row>
      <xdr:rowOff>74935</xdr:rowOff>
    </xdr:from>
    <xdr:to>
      <xdr:col>5</xdr:col>
      <xdr:colOff>2924</xdr:colOff>
      <xdr:row>1092</xdr:row>
      <xdr:rowOff>74935</xdr:rowOff>
    </xdr:to>
    <xdr:cxnSp macro="">
      <xdr:nvCxnSpPr>
        <xdr:cNvPr id="748" name="Straight Connector 747"/>
        <xdr:cNvCxnSpPr/>
      </xdr:nvCxnSpPr>
      <xdr:spPr>
        <a:xfrm>
          <a:off x="2973457" y="5892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1089</xdr:row>
      <xdr:rowOff>74935</xdr:rowOff>
    </xdr:from>
    <xdr:to>
      <xdr:col>5</xdr:col>
      <xdr:colOff>2924</xdr:colOff>
      <xdr:row>1089</xdr:row>
      <xdr:rowOff>74935</xdr:rowOff>
    </xdr:to>
    <xdr:cxnSp macro="">
      <xdr:nvCxnSpPr>
        <xdr:cNvPr id="749" name="Straight Connector 748"/>
        <xdr:cNvCxnSpPr/>
      </xdr:nvCxnSpPr>
      <xdr:spPr>
        <a:xfrm>
          <a:off x="2973457" y="5835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1098</xdr:row>
      <xdr:rowOff>74935</xdr:rowOff>
    </xdr:from>
    <xdr:to>
      <xdr:col>5</xdr:col>
      <xdr:colOff>2924</xdr:colOff>
      <xdr:row>1098</xdr:row>
      <xdr:rowOff>74935</xdr:rowOff>
    </xdr:to>
    <xdr:cxnSp macro="">
      <xdr:nvCxnSpPr>
        <xdr:cNvPr id="750" name="Straight Connector 749"/>
        <xdr:cNvCxnSpPr/>
      </xdr:nvCxnSpPr>
      <xdr:spPr>
        <a:xfrm>
          <a:off x="2973457" y="6007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1095</xdr:row>
      <xdr:rowOff>74935</xdr:rowOff>
    </xdr:from>
    <xdr:to>
      <xdr:col>5</xdr:col>
      <xdr:colOff>2924</xdr:colOff>
      <xdr:row>1095</xdr:row>
      <xdr:rowOff>74935</xdr:rowOff>
    </xdr:to>
    <xdr:cxnSp macro="">
      <xdr:nvCxnSpPr>
        <xdr:cNvPr id="751" name="Straight Connector 750"/>
        <xdr:cNvCxnSpPr/>
      </xdr:nvCxnSpPr>
      <xdr:spPr>
        <a:xfrm>
          <a:off x="2973457" y="5949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1104</xdr:row>
      <xdr:rowOff>74935</xdr:rowOff>
    </xdr:from>
    <xdr:to>
      <xdr:col>5</xdr:col>
      <xdr:colOff>2924</xdr:colOff>
      <xdr:row>1104</xdr:row>
      <xdr:rowOff>74935</xdr:rowOff>
    </xdr:to>
    <xdr:cxnSp macro="">
      <xdr:nvCxnSpPr>
        <xdr:cNvPr id="752" name="Straight Connector 751"/>
        <xdr:cNvCxnSpPr/>
      </xdr:nvCxnSpPr>
      <xdr:spPr>
        <a:xfrm>
          <a:off x="2973457" y="6121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1101</xdr:row>
      <xdr:rowOff>74935</xdr:rowOff>
    </xdr:from>
    <xdr:to>
      <xdr:col>5</xdr:col>
      <xdr:colOff>2924</xdr:colOff>
      <xdr:row>1101</xdr:row>
      <xdr:rowOff>74935</xdr:rowOff>
    </xdr:to>
    <xdr:cxnSp macro="">
      <xdr:nvCxnSpPr>
        <xdr:cNvPr id="753" name="Straight Connector 752"/>
        <xdr:cNvCxnSpPr/>
      </xdr:nvCxnSpPr>
      <xdr:spPr>
        <a:xfrm>
          <a:off x="2973457" y="6064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1110</xdr:row>
      <xdr:rowOff>74935</xdr:rowOff>
    </xdr:from>
    <xdr:to>
      <xdr:col>5</xdr:col>
      <xdr:colOff>2924</xdr:colOff>
      <xdr:row>1110</xdr:row>
      <xdr:rowOff>74935</xdr:rowOff>
    </xdr:to>
    <xdr:cxnSp macro="">
      <xdr:nvCxnSpPr>
        <xdr:cNvPr id="754" name="Straight Connector 753"/>
        <xdr:cNvCxnSpPr/>
      </xdr:nvCxnSpPr>
      <xdr:spPr>
        <a:xfrm>
          <a:off x="2973457" y="6235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1107</xdr:row>
      <xdr:rowOff>74935</xdr:rowOff>
    </xdr:from>
    <xdr:to>
      <xdr:col>5</xdr:col>
      <xdr:colOff>2924</xdr:colOff>
      <xdr:row>1107</xdr:row>
      <xdr:rowOff>74935</xdr:rowOff>
    </xdr:to>
    <xdr:cxnSp macro="">
      <xdr:nvCxnSpPr>
        <xdr:cNvPr id="755" name="Straight Connector 754"/>
        <xdr:cNvCxnSpPr/>
      </xdr:nvCxnSpPr>
      <xdr:spPr>
        <a:xfrm>
          <a:off x="2973457" y="6178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1119</xdr:row>
      <xdr:rowOff>74935</xdr:rowOff>
    </xdr:from>
    <xdr:to>
      <xdr:col>5</xdr:col>
      <xdr:colOff>2924</xdr:colOff>
      <xdr:row>1119</xdr:row>
      <xdr:rowOff>74935</xdr:rowOff>
    </xdr:to>
    <xdr:cxnSp macro="">
      <xdr:nvCxnSpPr>
        <xdr:cNvPr id="756" name="Straight Connector 755"/>
        <xdr:cNvCxnSpPr/>
      </xdr:nvCxnSpPr>
      <xdr:spPr>
        <a:xfrm>
          <a:off x="2973457" y="6407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1113</xdr:row>
      <xdr:rowOff>74935</xdr:rowOff>
    </xdr:from>
    <xdr:to>
      <xdr:col>5</xdr:col>
      <xdr:colOff>2924</xdr:colOff>
      <xdr:row>1113</xdr:row>
      <xdr:rowOff>74935</xdr:rowOff>
    </xdr:to>
    <xdr:cxnSp macro="">
      <xdr:nvCxnSpPr>
        <xdr:cNvPr id="757" name="Straight Connector 756"/>
        <xdr:cNvCxnSpPr/>
      </xdr:nvCxnSpPr>
      <xdr:spPr>
        <a:xfrm>
          <a:off x="2973457" y="6292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1116</xdr:row>
      <xdr:rowOff>74935</xdr:rowOff>
    </xdr:from>
    <xdr:to>
      <xdr:col>5</xdr:col>
      <xdr:colOff>2924</xdr:colOff>
      <xdr:row>1116</xdr:row>
      <xdr:rowOff>74935</xdr:rowOff>
    </xdr:to>
    <xdr:cxnSp macro="">
      <xdr:nvCxnSpPr>
        <xdr:cNvPr id="758" name="Straight Connector 757"/>
        <xdr:cNvCxnSpPr/>
      </xdr:nvCxnSpPr>
      <xdr:spPr>
        <a:xfrm>
          <a:off x="2973457" y="6350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1122</xdr:row>
      <xdr:rowOff>74935</xdr:rowOff>
    </xdr:from>
    <xdr:to>
      <xdr:col>5</xdr:col>
      <xdr:colOff>2924</xdr:colOff>
      <xdr:row>1122</xdr:row>
      <xdr:rowOff>74935</xdr:rowOff>
    </xdr:to>
    <xdr:cxnSp macro="">
      <xdr:nvCxnSpPr>
        <xdr:cNvPr id="759" name="Straight Connector 758"/>
        <xdr:cNvCxnSpPr/>
      </xdr:nvCxnSpPr>
      <xdr:spPr>
        <a:xfrm>
          <a:off x="2973457" y="6464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1128</xdr:row>
      <xdr:rowOff>74935</xdr:rowOff>
    </xdr:from>
    <xdr:to>
      <xdr:col>5</xdr:col>
      <xdr:colOff>2924</xdr:colOff>
      <xdr:row>1128</xdr:row>
      <xdr:rowOff>74935</xdr:rowOff>
    </xdr:to>
    <xdr:cxnSp macro="">
      <xdr:nvCxnSpPr>
        <xdr:cNvPr id="760" name="Straight Connector 759"/>
        <xdr:cNvCxnSpPr/>
      </xdr:nvCxnSpPr>
      <xdr:spPr>
        <a:xfrm>
          <a:off x="2973457" y="6578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1125</xdr:row>
      <xdr:rowOff>74935</xdr:rowOff>
    </xdr:from>
    <xdr:to>
      <xdr:col>5</xdr:col>
      <xdr:colOff>2924</xdr:colOff>
      <xdr:row>1125</xdr:row>
      <xdr:rowOff>74935</xdr:rowOff>
    </xdr:to>
    <xdr:cxnSp macro="">
      <xdr:nvCxnSpPr>
        <xdr:cNvPr id="761" name="Straight Connector 760"/>
        <xdr:cNvCxnSpPr/>
      </xdr:nvCxnSpPr>
      <xdr:spPr>
        <a:xfrm>
          <a:off x="2973457" y="6521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1134</xdr:row>
      <xdr:rowOff>74935</xdr:rowOff>
    </xdr:from>
    <xdr:to>
      <xdr:col>5</xdr:col>
      <xdr:colOff>2924</xdr:colOff>
      <xdr:row>1134</xdr:row>
      <xdr:rowOff>74935</xdr:rowOff>
    </xdr:to>
    <xdr:cxnSp macro="">
      <xdr:nvCxnSpPr>
        <xdr:cNvPr id="762" name="Straight Connector 761"/>
        <xdr:cNvCxnSpPr/>
      </xdr:nvCxnSpPr>
      <xdr:spPr>
        <a:xfrm>
          <a:off x="2973457" y="6692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1131</xdr:row>
      <xdr:rowOff>74935</xdr:rowOff>
    </xdr:from>
    <xdr:to>
      <xdr:col>5</xdr:col>
      <xdr:colOff>2924</xdr:colOff>
      <xdr:row>1131</xdr:row>
      <xdr:rowOff>74935</xdr:rowOff>
    </xdr:to>
    <xdr:cxnSp macro="">
      <xdr:nvCxnSpPr>
        <xdr:cNvPr id="763" name="Straight Connector 762"/>
        <xdr:cNvCxnSpPr/>
      </xdr:nvCxnSpPr>
      <xdr:spPr>
        <a:xfrm>
          <a:off x="2973457" y="6635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1143</xdr:row>
      <xdr:rowOff>74935</xdr:rowOff>
    </xdr:from>
    <xdr:to>
      <xdr:col>5</xdr:col>
      <xdr:colOff>2924</xdr:colOff>
      <xdr:row>1143</xdr:row>
      <xdr:rowOff>74935</xdr:rowOff>
    </xdr:to>
    <xdr:cxnSp macro="">
      <xdr:nvCxnSpPr>
        <xdr:cNvPr id="764" name="Straight Connector 763"/>
        <xdr:cNvCxnSpPr/>
      </xdr:nvCxnSpPr>
      <xdr:spPr>
        <a:xfrm>
          <a:off x="2973457" y="6864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1140</xdr:row>
      <xdr:rowOff>74935</xdr:rowOff>
    </xdr:from>
    <xdr:to>
      <xdr:col>5</xdr:col>
      <xdr:colOff>2924</xdr:colOff>
      <xdr:row>1140</xdr:row>
      <xdr:rowOff>74935</xdr:rowOff>
    </xdr:to>
    <xdr:cxnSp macro="">
      <xdr:nvCxnSpPr>
        <xdr:cNvPr id="765" name="Straight Connector 764"/>
        <xdr:cNvCxnSpPr/>
      </xdr:nvCxnSpPr>
      <xdr:spPr>
        <a:xfrm>
          <a:off x="2973457" y="6807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1137</xdr:row>
      <xdr:rowOff>74935</xdr:rowOff>
    </xdr:from>
    <xdr:to>
      <xdr:col>5</xdr:col>
      <xdr:colOff>2924</xdr:colOff>
      <xdr:row>1137</xdr:row>
      <xdr:rowOff>74935</xdr:rowOff>
    </xdr:to>
    <xdr:cxnSp macro="">
      <xdr:nvCxnSpPr>
        <xdr:cNvPr id="766" name="Straight Connector 765"/>
        <xdr:cNvCxnSpPr/>
      </xdr:nvCxnSpPr>
      <xdr:spPr>
        <a:xfrm>
          <a:off x="2973457" y="6750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1146</xdr:row>
      <xdr:rowOff>74935</xdr:rowOff>
    </xdr:from>
    <xdr:to>
      <xdr:col>5</xdr:col>
      <xdr:colOff>2924</xdr:colOff>
      <xdr:row>1146</xdr:row>
      <xdr:rowOff>74935</xdr:rowOff>
    </xdr:to>
    <xdr:cxnSp macro="">
      <xdr:nvCxnSpPr>
        <xdr:cNvPr id="767" name="Straight Connector 766"/>
        <xdr:cNvCxnSpPr/>
      </xdr:nvCxnSpPr>
      <xdr:spPr>
        <a:xfrm>
          <a:off x="2973457" y="6921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1152</xdr:row>
      <xdr:rowOff>74935</xdr:rowOff>
    </xdr:from>
    <xdr:to>
      <xdr:col>5</xdr:col>
      <xdr:colOff>2924</xdr:colOff>
      <xdr:row>1152</xdr:row>
      <xdr:rowOff>74935</xdr:rowOff>
    </xdr:to>
    <xdr:cxnSp macro="">
      <xdr:nvCxnSpPr>
        <xdr:cNvPr id="768" name="Straight Connector 767"/>
        <xdr:cNvCxnSpPr/>
      </xdr:nvCxnSpPr>
      <xdr:spPr>
        <a:xfrm>
          <a:off x="2973457" y="7035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1149</xdr:row>
      <xdr:rowOff>74935</xdr:rowOff>
    </xdr:from>
    <xdr:to>
      <xdr:col>5</xdr:col>
      <xdr:colOff>2924</xdr:colOff>
      <xdr:row>1149</xdr:row>
      <xdr:rowOff>74935</xdr:rowOff>
    </xdr:to>
    <xdr:cxnSp macro="">
      <xdr:nvCxnSpPr>
        <xdr:cNvPr id="769" name="Straight Connector 768"/>
        <xdr:cNvCxnSpPr/>
      </xdr:nvCxnSpPr>
      <xdr:spPr>
        <a:xfrm>
          <a:off x="2973457" y="6978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1158</xdr:row>
      <xdr:rowOff>74935</xdr:rowOff>
    </xdr:from>
    <xdr:to>
      <xdr:col>5</xdr:col>
      <xdr:colOff>2924</xdr:colOff>
      <xdr:row>1158</xdr:row>
      <xdr:rowOff>74935</xdr:rowOff>
    </xdr:to>
    <xdr:cxnSp macro="">
      <xdr:nvCxnSpPr>
        <xdr:cNvPr id="770" name="Straight Connector 769"/>
        <xdr:cNvCxnSpPr/>
      </xdr:nvCxnSpPr>
      <xdr:spPr>
        <a:xfrm>
          <a:off x="2973457" y="7150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1155</xdr:row>
      <xdr:rowOff>74935</xdr:rowOff>
    </xdr:from>
    <xdr:to>
      <xdr:col>5</xdr:col>
      <xdr:colOff>2924</xdr:colOff>
      <xdr:row>1155</xdr:row>
      <xdr:rowOff>74935</xdr:rowOff>
    </xdr:to>
    <xdr:cxnSp macro="">
      <xdr:nvCxnSpPr>
        <xdr:cNvPr id="771" name="Straight Connector 770"/>
        <xdr:cNvCxnSpPr/>
      </xdr:nvCxnSpPr>
      <xdr:spPr>
        <a:xfrm>
          <a:off x="2973457" y="7092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1164</xdr:row>
      <xdr:rowOff>74935</xdr:rowOff>
    </xdr:from>
    <xdr:to>
      <xdr:col>5</xdr:col>
      <xdr:colOff>2924</xdr:colOff>
      <xdr:row>1164</xdr:row>
      <xdr:rowOff>74935</xdr:rowOff>
    </xdr:to>
    <xdr:cxnSp macro="">
      <xdr:nvCxnSpPr>
        <xdr:cNvPr id="772" name="Straight Connector 771"/>
        <xdr:cNvCxnSpPr/>
      </xdr:nvCxnSpPr>
      <xdr:spPr>
        <a:xfrm>
          <a:off x="2973457" y="7264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1161</xdr:row>
      <xdr:rowOff>74935</xdr:rowOff>
    </xdr:from>
    <xdr:to>
      <xdr:col>5</xdr:col>
      <xdr:colOff>2924</xdr:colOff>
      <xdr:row>1161</xdr:row>
      <xdr:rowOff>74935</xdr:rowOff>
    </xdr:to>
    <xdr:cxnSp macro="">
      <xdr:nvCxnSpPr>
        <xdr:cNvPr id="773" name="Straight Connector 772"/>
        <xdr:cNvCxnSpPr/>
      </xdr:nvCxnSpPr>
      <xdr:spPr>
        <a:xfrm>
          <a:off x="2973457" y="7207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1167</xdr:row>
      <xdr:rowOff>74935</xdr:rowOff>
    </xdr:from>
    <xdr:to>
      <xdr:col>5</xdr:col>
      <xdr:colOff>2924</xdr:colOff>
      <xdr:row>1167</xdr:row>
      <xdr:rowOff>74935</xdr:rowOff>
    </xdr:to>
    <xdr:cxnSp macro="">
      <xdr:nvCxnSpPr>
        <xdr:cNvPr id="774" name="Straight Connector 773"/>
        <xdr:cNvCxnSpPr/>
      </xdr:nvCxnSpPr>
      <xdr:spPr>
        <a:xfrm>
          <a:off x="2973457" y="7321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1170</xdr:row>
      <xdr:rowOff>74935</xdr:rowOff>
    </xdr:from>
    <xdr:to>
      <xdr:col>5</xdr:col>
      <xdr:colOff>2924</xdr:colOff>
      <xdr:row>1170</xdr:row>
      <xdr:rowOff>74935</xdr:rowOff>
    </xdr:to>
    <xdr:cxnSp macro="">
      <xdr:nvCxnSpPr>
        <xdr:cNvPr id="775" name="Straight Connector 774"/>
        <xdr:cNvCxnSpPr/>
      </xdr:nvCxnSpPr>
      <xdr:spPr>
        <a:xfrm>
          <a:off x="2973457" y="7378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1173</xdr:row>
      <xdr:rowOff>74935</xdr:rowOff>
    </xdr:from>
    <xdr:to>
      <xdr:col>5</xdr:col>
      <xdr:colOff>2924</xdr:colOff>
      <xdr:row>1173</xdr:row>
      <xdr:rowOff>74935</xdr:rowOff>
    </xdr:to>
    <xdr:cxnSp macro="">
      <xdr:nvCxnSpPr>
        <xdr:cNvPr id="776" name="Straight Connector 775"/>
        <xdr:cNvCxnSpPr/>
      </xdr:nvCxnSpPr>
      <xdr:spPr>
        <a:xfrm>
          <a:off x="2973457" y="7435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1176</xdr:row>
      <xdr:rowOff>74935</xdr:rowOff>
    </xdr:from>
    <xdr:to>
      <xdr:col>5</xdr:col>
      <xdr:colOff>2924</xdr:colOff>
      <xdr:row>1176</xdr:row>
      <xdr:rowOff>74935</xdr:rowOff>
    </xdr:to>
    <xdr:cxnSp macro="">
      <xdr:nvCxnSpPr>
        <xdr:cNvPr id="777" name="Straight Connector 776"/>
        <xdr:cNvCxnSpPr/>
      </xdr:nvCxnSpPr>
      <xdr:spPr>
        <a:xfrm>
          <a:off x="2973457" y="7493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1179</xdr:row>
      <xdr:rowOff>74935</xdr:rowOff>
    </xdr:from>
    <xdr:to>
      <xdr:col>5</xdr:col>
      <xdr:colOff>2924</xdr:colOff>
      <xdr:row>1179</xdr:row>
      <xdr:rowOff>74935</xdr:rowOff>
    </xdr:to>
    <xdr:cxnSp macro="">
      <xdr:nvCxnSpPr>
        <xdr:cNvPr id="778" name="Straight Connector 777"/>
        <xdr:cNvCxnSpPr/>
      </xdr:nvCxnSpPr>
      <xdr:spPr>
        <a:xfrm>
          <a:off x="2973457" y="7550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1182</xdr:row>
      <xdr:rowOff>74935</xdr:rowOff>
    </xdr:from>
    <xdr:to>
      <xdr:col>5</xdr:col>
      <xdr:colOff>2924</xdr:colOff>
      <xdr:row>1182</xdr:row>
      <xdr:rowOff>74935</xdr:rowOff>
    </xdr:to>
    <xdr:cxnSp macro="">
      <xdr:nvCxnSpPr>
        <xdr:cNvPr id="779" name="Straight Connector 778"/>
        <xdr:cNvCxnSpPr/>
      </xdr:nvCxnSpPr>
      <xdr:spPr>
        <a:xfrm>
          <a:off x="2973457" y="7607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1185</xdr:row>
      <xdr:rowOff>74935</xdr:rowOff>
    </xdr:from>
    <xdr:to>
      <xdr:col>5</xdr:col>
      <xdr:colOff>2924</xdr:colOff>
      <xdr:row>1185</xdr:row>
      <xdr:rowOff>74935</xdr:rowOff>
    </xdr:to>
    <xdr:cxnSp macro="">
      <xdr:nvCxnSpPr>
        <xdr:cNvPr id="780" name="Straight Connector 779"/>
        <xdr:cNvCxnSpPr/>
      </xdr:nvCxnSpPr>
      <xdr:spPr>
        <a:xfrm>
          <a:off x="2973457" y="7664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1188</xdr:row>
      <xdr:rowOff>74935</xdr:rowOff>
    </xdr:from>
    <xdr:to>
      <xdr:col>5</xdr:col>
      <xdr:colOff>2924</xdr:colOff>
      <xdr:row>1188</xdr:row>
      <xdr:rowOff>74935</xdr:rowOff>
    </xdr:to>
    <xdr:cxnSp macro="">
      <xdr:nvCxnSpPr>
        <xdr:cNvPr id="781" name="Straight Connector 780"/>
        <xdr:cNvCxnSpPr/>
      </xdr:nvCxnSpPr>
      <xdr:spPr>
        <a:xfrm>
          <a:off x="2973457" y="7721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1191</xdr:row>
      <xdr:rowOff>74935</xdr:rowOff>
    </xdr:from>
    <xdr:to>
      <xdr:col>5</xdr:col>
      <xdr:colOff>2924</xdr:colOff>
      <xdr:row>1191</xdr:row>
      <xdr:rowOff>74935</xdr:rowOff>
    </xdr:to>
    <xdr:cxnSp macro="">
      <xdr:nvCxnSpPr>
        <xdr:cNvPr id="782" name="Straight Connector 781"/>
        <xdr:cNvCxnSpPr/>
      </xdr:nvCxnSpPr>
      <xdr:spPr>
        <a:xfrm>
          <a:off x="2973457" y="7778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1194</xdr:row>
      <xdr:rowOff>74935</xdr:rowOff>
    </xdr:from>
    <xdr:to>
      <xdr:col>5</xdr:col>
      <xdr:colOff>2924</xdr:colOff>
      <xdr:row>1194</xdr:row>
      <xdr:rowOff>74935</xdr:rowOff>
    </xdr:to>
    <xdr:cxnSp macro="">
      <xdr:nvCxnSpPr>
        <xdr:cNvPr id="783" name="Straight Connector 782"/>
        <xdr:cNvCxnSpPr/>
      </xdr:nvCxnSpPr>
      <xdr:spPr>
        <a:xfrm>
          <a:off x="2973457" y="7835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1200</xdr:row>
      <xdr:rowOff>74935</xdr:rowOff>
    </xdr:from>
    <xdr:to>
      <xdr:col>5</xdr:col>
      <xdr:colOff>2924</xdr:colOff>
      <xdr:row>1200</xdr:row>
      <xdr:rowOff>74935</xdr:rowOff>
    </xdr:to>
    <xdr:cxnSp macro="">
      <xdr:nvCxnSpPr>
        <xdr:cNvPr id="784" name="Straight Connector 783"/>
        <xdr:cNvCxnSpPr/>
      </xdr:nvCxnSpPr>
      <xdr:spPr>
        <a:xfrm>
          <a:off x="2973457" y="7950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1197</xdr:row>
      <xdr:rowOff>74935</xdr:rowOff>
    </xdr:from>
    <xdr:to>
      <xdr:col>5</xdr:col>
      <xdr:colOff>2924</xdr:colOff>
      <xdr:row>1197</xdr:row>
      <xdr:rowOff>74935</xdr:rowOff>
    </xdr:to>
    <xdr:cxnSp macro="">
      <xdr:nvCxnSpPr>
        <xdr:cNvPr id="785" name="Straight Connector 784"/>
        <xdr:cNvCxnSpPr/>
      </xdr:nvCxnSpPr>
      <xdr:spPr>
        <a:xfrm>
          <a:off x="2973457" y="7893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1206</xdr:row>
      <xdr:rowOff>74935</xdr:rowOff>
    </xdr:from>
    <xdr:to>
      <xdr:col>5</xdr:col>
      <xdr:colOff>2924</xdr:colOff>
      <xdr:row>1206</xdr:row>
      <xdr:rowOff>74935</xdr:rowOff>
    </xdr:to>
    <xdr:cxnSp macro="">
      <xdr:nvCxnSpPr>
        <xdr:cNvPr id="786" name="Straight Connector 785"/>
        <xdr:cNvCxnSpPr/>
      </xdr:nvCxnSpPr>
      <xdr:spPr>
        <a:xfrm>
          <a:off x="2973457" y="8064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1203</xdr:row>
      <xdr:rowOff>74935</xdr:rowOff>
    </xdr:from>
    <xdr:to>
      <xdr:col>5</xdr:col>
      <xdr:colOff>2924</xdr:colOff>
      <xdr:row>1203</xdr:row>
      <xdr:rowOff>74935</xdr:rowOff>
    </xdr:to>
    <xdr:cxnSp macro="">
      <xdr:nvCxnSpPr>
        <xdr:cNvPr id="787" name="Straight Connector 786"/>
        <xdr:cNvCxnSpPr/>
      </xdr:nvCxnSpPr>
      <xdr:spPr>
        <a:xfrm>
          <a:off x="2973457" y="8007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1212</xdr:row>
      <xdr:rowOff>74935</xdr:rowOff>
    </xdr:from>
    <xdr:to>
      <xdr:col>5</xdr:col>
      <xdr:colOff>2924</xdr:colOff>
      <xdr:row>1212</xdr:row>
      <xdr:rowOff>74935</xdr:rowOff>
    </xdr:to>
    <xdr:cxnSp macro="">
      <xdr:nvCxnSpPr>
        <xdr:cNvPr id="788" name="Straight Connector 787"/>
        <xdr:cNvCxnSpPr/>
      </xdr:nvCxnSpPr>
      <xdr:spPr>
        <a:xfrm>
          <a:off x="2973457" y="8178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1209</xdr:row>
      <xdr:rowOff>74935</xdr:rowOff>
    </xdr:from>
    <xdr:to>
      <xdr:col>5</xdr:col>
      <xdr:colOff>2924</xdr:colOff>
      <xdr:row>1209</xdr:row>
      <xdr:rowOff>74935</xdr:rowOff>
    </xdr:to>
    <xdr:cxnSp macro="">
      <xdr:nvCxnSpPr>
        <xdr:cNvPr id="789" name="Straight Connector 788"/>
        <xdr:cNvCxnSpPr/>
      </xdr:nvCxnSpPr>
      <xdr:spPr>
        <a:xfrm>
          <a:off x="2973457" y="8121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1218</xdr:row>
      <xdr:rowOff>74935</xdr:rowOff>
    </xdr:from>
    <xdr:to>
      <xdr:col>5</xdr:col>
      <xdr:colOff>2924</xdr:colOff>
      <xdr:row>1218</xdr:row>
      <xdr:rowOff>74935</xdr:rowOff>
    </xdr:to>
    <xdr:cxnSp macro="">
      <xdr:nvCxnSpPr>
        <xdr:cNvPr id="790" name="Straight Connector 789"/>
        <xdr:cNvCxnSpPr/>
      </xdr:nvCxnSpPr>
      <xdr:spPr>
        <a:xfrm>
          <a:off x="2973457" y="8293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1215</xdr:row>
      <xdr:rowOff>74935</xdr:rowOff>
    </xdr:from>
    <xdr:to>
      <xdr:col>5</xdr:col>
      <xdr:colOff>2924</xdr:colOff>
      <xdr:row>1215</xdr:row>
      <xdr:rowOff>74935</xdr:rowOff>
    </xdr:to>
    <xdr:cxnSp macro="">
      <xdr:nvCxnSpPr>
        <xdr:cNvPr id="791" name="Straight Connector 790"/>
        <xdr:cNvCxnSpPr/>
      </xdr:nvCxnSpPr>
      <xdr:spPr>
        <a:xfrm>
          <a:off x="2973457" y="8235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1224</xdr:row>
      <xdr:rowOff>74935</xdr:rowOff>
    </xdr:from>
    <xdr:to>
      <xdr:col>5</xdr:col>
      <xdr:colOff>2924</xdr:colOff>
      <xdr:row>1224</xdr:row>
      <xdr:rowOff>74935</xdr:rowOff>
    </xdr:to>
    <xdr:cxnSp macro="">
      <xdr:nvCxnSpPr>
        <xdr:cNvPr id="792" name="Straight Connector 791"/>
        <xdr:cNvCxnSpPr/>
      </xdr:nvCxnSpPr>
      <xdr:spPr>
        <a:xfrm>
          <a:off x="2973457" y="8407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1221</xdr:row>
      <xdr:rowOff>74935</xdr:rowOff>
    </xdr:from>
    <xdr:to>
      <xdr:col>5</xdr:col>
      <xdr:colOff>2924</xdr:colOff>
      <xdr:row>1221</xdr:row>
      <xdr:rowOff>74935</xdr:rowOff>
    </xdr:to>
    <xdr:cxnSp macro="">
      <xdr:nvCxnSpPr>
        <xdr:cNvPr id="793" name="Straight Connector 792"/>
        <xdr:cNvCxnSpPr/>
      </xdr:nvCxnSpPr>
      <xdr:spPr>
        <a:xfrm>
          <a:off x="2973457" y="8350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1230</xdr:row>
      <xdr:rowOff>74935</xdr:rowOff>
    </xdr:from>
    <xdr:to>
      <xdr:col>5</xdr:col>
      <xdr:colOff>2924</xdr:colOff>
      <xdr:row>1230</xdr:row>
      <xdr:rowOff>74935</xdr:rowOff>
    </xdr:to>
    <xdr:cxnSp macro="">
      <xdr:nvCxnSpPr>
        <xdr:cNvPr id="794" name="Straight Connector 793"/>
        <xdr:cNvCxnSpPr/>
      </xdr:nvCxnSpPr>
      <xdr:spPr>
        <a:xfrm>
          <a:off x="2973457" y="8521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1227</xdr:row>
      <xdr:rowOff>74935</xdr:rowOff>
    </xdr:from>
    <xdr:to>
      <xdr:col>5</xdr:col>
      <xdr:colOff>2924</xdr:colOff>
      <xdr:row>1227</xdr:row>
      <xdr:rowOff>74935</xdr:rowOff>
    </xdr:to>
    <xdr:cxnSp macro="">
      <xdr:nvCxnSpPr>
        <xdr:cNvPr id="795" name="Straight Connector 794"/>
        <xdr:cNvCxnSpPr/>
      </xdr:nvCxnSpPr>
      <xdr:spPr>
        <a:xfrm>
          <a:off x="2973457" y="8464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1236</xdr:row>
      <xdr:rowOff>74935</xdr:rowOff>
    </xdr:from>
    <xdr:to>
      <xdr:col>5</xdr:col>
      <xdr:colOff>2924</xdr:colOff>
      <xdr:row>1236</xdr:row>
      <xdr:rowOff>74935</xdr:rowOff>
    </xdr:to>
    <xdr:cxnSp macro="">
      <xdr:nvCxnSpPr>
        <xdr:cNvPr id="796" name="Straight Connector 795"/>
        <xdr:cNvCxnSpPr/>
      </xdr:nvCxnSpPr>
      <xdr:spPr>
        <a:xfrm>
          <a:off x="2973457" y="8636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1233</xdr:row>
      <xdr:rowOff>74935</xdr:rowOff>
    </xdr:from>
    <xdr:to>
      <xdr:col>5</xdr:col>
      <xdr:colOff>2924</xdr:colOff>
      <xdr:row>1233</xdr:row>
      <xdr:rowOff>74935</xdr:rowOff>
    </xdr:to>
    <xdr:cxnSp macro="">
      <xdr:nvCxnSpPr>
        <xdr:cNvPr id="797" name="Straight Connector 796"/>
        <xdr:cNvCxnSpPr/>
      </xdr:nvCxnSpPr>
      <xdr:spPr>
        <a:xfrm>
          <a:off x="2973457" y="8578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1239</xdr:row>
      <xdr:rowOff>74935</xdr:rowOff>
    </xdr:from>
    <xdr:to>
      <xdr:col>5</xdr:col>
      <xdr:colOff>2924</xdr:colOff>
      <xdr:row>1239</xdr:row>
      <xdr:rowOff>74935</xdr:rowOff>
    </xdr:to>
    <xdr:cxnSp macro="">
      <xdr:nvCxnSpPr>
        <xdr:cNvPr id="798" name="Straight Connector 797"/>
        <xdr:cNvCxnSpPr/>
      </xdr:nvCxnSpPr>
      <xdr:spPr>
        <a:xfrm>
          <a:off x="2973457" y="8693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1245</xdr:row>
      <xdr:rowOff>74935</xdr:rowOff>
    </xdr:from>
    <xdr:to>
      <xdr:col>5</xdr:col>
      <xdr:colOff>2924</xdr:colOff>
      <xdr:row>1245</xdr:row>
      <xdr:rowOff>74935</xdr:rowOff>
    </xdr:to>
    <xdr:cxnSp macro="">
      <xdr:nvCxnSpPr>
        <xdr:cNvPr id="799" name="Straight Connector 798"/>
        <xdr:cNvCxnSpPr/>
      </xdr:nvCxnSpPr>
      <xdr:spPr>
        <a:xfrm>
          <a:off x="2973457" y="8807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1242</xdr:row>
      <xdr:rowOff>74935</xdr:rowOff>
    </xdr:from>
    <xdr:to>
      <xdr:col>5</xdr:col>
      <xdr:colOff>2924</xdr:colOff>
      <xdr:row>1242</xdr:row>
      <xdr:rowOff>74935</xdr:rowOff>
    </xdr:to>
    <xdr:cxnSp macro="">
      <xdr:nvCxnSpPr>
        <xdr:cNvPr id="800" name="Straight Connector 799"/>
        <xdr:cNvCxnSpPr/>
      </xdr:nvCxnSpPr>
      <xdr:spPr>
        <a:xfrm>
          <a:off x="2973457" y="8750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1251</xdr:row>
      <xdr:rowOff>74935</xdr:rowOff>
    </xdr:from>
    <xdr:to>
      <xdr:col>5</xdr:col>
      <xdr:colOff>2924</xdr:colOff>
      <xdr:row>1251</xdr:row>
      <xdr:rowOff>74935</xdr:rowOff>
    </xdr:to>
    <xdr:cxnSp macro="">
      <xdr:nvCxnSpPr>
        <xdr:cNvPr id="801" name="Straight Connector 800"/>
        <xdr:cNvCxnSpPr/>
      </xdr:nvCxnSpPr>
      <xdr:spPr>
        <a:xfrm>
          <a:off x="2973457" y="8921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1248</xdr:row>
      <xdr:rowOff>74935</xdr:rowOff>
    </xdr:from>
    <xdr:to>
      <xdr:col>5</xdr:col>
      <xdr:colOff>2924</xdr:colOff>
      <xdr:row>1248</xdr:row>
      <xdr:rowOff>74935</xdr:rowOff>
    </xdr:to>
    <xdr:cxnSp macro="">
      <xdr:nvCxnSpPr>
        <xdr:cNvPr id="802" name="Straight Connector 801"/>
        <xdr:cNvCxnSpPr/>
      </xdr:nvCxnSpPr>
      <xdr:spPr>
        <a:xfrm>
          <a:off x="2973457" y="8864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1254</xdr:row>
      <xdr:rowOff>74935</xdr:rowOff>
    </xdr:from>
    <xdr:to>
      <xdr:col>5</xdr:col>
      <xdr:colOff>2924</xdr:colOff>
      <xdr:row>1254</xdr:row>
      <xdr:rowOff>74935</xdr:rowOff>
    </xdr:to>
    <xdr:cxnSp macro="">
      <xdr:nvCxnSpPr>
        <xdr:cNvPr id="803" name="Straight Connector 802"/>
        <xdr:cNvCxnSpPr/>
      </xdr:nvCxnSpPr>
      <xdr:spPr>
        <a:xfrm>
          <a:off x="2973457" y="8978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1260</xdr:row>
      <xdr:rowOff>74935</xdr:rowOff>
    </xdr:from>
    <xdr:to>
      <xdr:col>5</xdr:col>
      <xdr:colOff>2924</xdr:colOff>
      <xdr:row>1260</xdr:row>
      <xdr:rowOff>74935</xdr:rowOff>
    </xdr:to>
    <xdr:cxnSp macro="">
      <xdr:nvCxnSpPr>
        <xdr:cNvPr id="804" name="Straight Connector 803"/>
        <xdr:cNvCxnSpPr/>
      </xdr:nvCxnSpPr>
      <xdr:spPr>
        <a:xfrm>
          <a:off x="2973457" y="9093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1257</xdr:row>
      <xdr:rowOff>74935</xdr:rowOff>
    </xdr:from>
    <xdr:to>
      <xdr:col>5</xdr:col>
      <xdr:colOff>2924</xdr:colOff>
      <xdr:row>1257</xdr:row>
      <xdr:rowOff>74935</xdr:rowOff>
    </xdr:to>
    <xdr:cxnSp macro="">
      <xdr:nvCxnSpPr>
        <xdr:cNvPr id="805" name="Straight Connector 804"/>
        <xdr:cNvCxnSpPr/>
      </xdr:nvCxnSpPr>
      <xdr:spPr>
        <a:xfrm>
          <a:off x="2973457" y="9036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1266</xdr:row>
      <xdr:rowOff>74935</xdr:rowOff>
    </xdr:from>
    <xdr:to>
      <xdr:col>5</xdr:col>
      <xdr:colOff>2924</xdr:colOff>
      <xdr:row>1266</xdr:row>
      <xdr:rowOff>74935</xdr:rowOff>
    </xdr:to>
    <xdr:cxnSp macro="">
      <xdr:nvCxnSpPr>
        <xdr:cNvPr id="806" name="Straight Connector 805"/>
        <xdr:cNvCxnSpPr/>
      </xdr:nvCxnSpPr>
      <xdr:spPr>
        <a:xfrm>
          <a:off x="2973457" y="9207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1263</xdr:row>
      <xdr:rowOff>74935</xdr:rowOff>
    </xdr:from>
    <xdr:to>
      <xdr:col>5</xdr:col>
      <xdr:colOff>2924</xdr:colOff>
      <xdr:row>1263</xdr:row>
      <xdr:rowOff>74935</xdr:rowOff>
    </xdr:to>
    <xdr:cxnSp macro="">
      <xdr:nvCxnSpPr>
        <xdr:cNvPr id="807" name="Straight Connector 806"/>
        <xdr:cNvCxnSpPr/>
      </xdr:nvCxnSpPr>
      <xdr:spPr>
        <a:xfrm>
          <a:off x="2973457" y="9150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1269</xdr:row>
      <xdr:rowOff>74935</xdr:rowOff>
    </xdr:from>
    <xdr:to>
      <xdr:col>5</xdr:col>
      <xdr:colOff>2924</xdr:colOff>
      <xdr:row>1269</xdr:row>
      <xdr:rowOff>74935</xdr:rowOff>
    </xdr:to>
    <xdr:cxnSp macro="">
      <xdr:nvCxnSpPr>
        <xdr:cNvPr id="808" name="Straight Connector 807"/>
        <xdr:cNvCxnSpPr/>
      </xdr:nvCxnSpPr>
      <xdr:spPr>
        <a:xfrm>
          <a:off x="2973457" y="9264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1272</xdr:row>
      <xdr:rowOff>74935</xdr:rowOff>
    </xdr:from>
    <xdr:to>
      <xdr:col>5</xdr:col>
      <xdr:colOff>2924</xdr:colOff>
      <xdr:row>1272</xdr:row>
      <xdr:rowOff>74935</xdr:rowOff>
    </xdr:to>
    <xdr:cxnSp macro="">
      <xdr:nvCxnSpPr>
        <xdr:cNvPr id="809" name="Straight Connector 808"/>
        <xdr:cNvCxnSpPr/>
      </xdr:nvCxnSpPr>
      <xdr:spPr>
        <a:xfrm>
          <a:off x="2973457" y="9321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1275</xdr:row>
      <xdr:rowOff>74935</xdr:rowOff>
    </xdr:from>
    <xdr:to>
      <xdr:col>5</xdr:col>
      <xdr:colOff>2924</xdr:colOff>
      <xdr:row>1275</xdr:row>
      <xdr:rowOff>74935</xdr:rowOff>
    </xdr:to>
    <xdr:cxnSp macro="">
      <xdr:nvCxnSpPr>
        <xdr:cNvPr id="810" name="Straight Connector 809"/>
        <xdr:cNvCxnSpPr/>
      </xdr:nvCxnSpPr>
      <xdr:spPr>
        <a:xfrm>
          <a:off x="2973457" y="9378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1278</xdr:row>
      <xdr:rowOff>74935</xdr:rowOff>
    </xdr:from>
    <xdr:to>
      <xdr:col>5</xdr:col>
      <xdr:colOff>2924</xdr:colOff>
      <xdr:row>1278</xdr:row>
      <xdr:rowOff>74935</xdr:rowOff>
    </xdr:to>
    <xdr:cxnSp macro="">
      <xdr:nvCxnSpPr>
        <xdr:cNvPr id="811" name="Straight Connector 810"/>
        <xdr:cNvCxnSpPr/>
      </xdr:nvCxnSpPr>
      <xdr:spPr>
        <a:xfrm>
          <a:off x="2973457" y="9436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1281</xdr:row>
      <xdr:rowOff>74935</xdr:rowOff>
    </xdr:from>
    <xdr:to>
      <xdr:col>5</xdr:col>
      <xdr:colOff>2924</xdr:colOff>
      <xdr:row>1281</xdr:row>
      <xdr:rowOff>74935</xdr:rowOff>
    </xdr:to>
    <xdr:cxnSp macro="">
      <xdr:nvCxnSpPr>
        <xdr:cNvPr id="812" name="Straight Connector 811"/>
        <xdr:cNvCxnSpPr/>
      </xdr:nvCxnSpPr>
      <xdr:spPr>
        <a:xfrm>
          <a:off x="2973457" y="9493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1284</xdr:row>
      <xdr:rowOff>74935</xdr:rowOff>
    </xdr:from>
    <xdr:to>
      <xdr:col>5</xdr:col>
      <xdr:colOff>2924</xdr:colOff>
      <xdr:row>1284</xdr:row>
      <xdr:rowOff>74935</xdr:rowOff>
    </xdr:to>
    <xdr:cxnSp macro="">
      <xdr:nvCxnSpPr>
        <xdr:cNvPr id="813" name="Straight Connector 812"/>
        <xdr:cNvCxnSpPr/>
      </xdr:nvCxnSpPr>
      <xdr:spPr>
        <a:xfrm>
          <a:off x="2973457" y="9550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1290</xdr:row>
      <xdr:rowOff>74935</xdr:rowOff>
    </xdr:from>
    <xdr:to>
      <xdr:col>5</xdr:col>
      <xdr:colOff>2924</xdr:colOff>
      <xdr:row>1290</xdr:row>
      <xdr:rowOff>74935</xdr:rowOff>
    </xdr:to>
    <xdr:cxnSp macro="">
      <xdr:nvCxnSpPr>
        <xdr:cNvPr id="814" name="Straight Connector 813"/>
        <xdr:cNvCxnSpPr/>
      </xdr:nvCxnSpPr>
      <xdr:spPr>
        <a:xfrm>
          <a:off x="2973457" y="9664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1287</xdr:row>
      <xdr:rowOff>74935</xdr:rowOff>
    </xdr:from>
    <xdr:to>
      <xdr:col>5</xdr:col>
      <xdr:colOff>2924</xdr:colOff>
      <xdr:row>1287</xdr:row>
      <xdr:rowOff>74935</xdr:rowOff>
    </xdr:to>
    <xdr:cxnSp macro="">
      <xdr:nvCxnSpPr>
        <xdr:cNvPr id="815" name="Straight Connector 814"/>
        <xdr:cNvCxnSpPr/>
      </xdr:nvCxnSpPr>
      <xdr:spPr>
        <a:xfrm>
          <a:off x="2973457" y="9607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1296</xdr:row>
      <xdr:rowOff>74935</xdr:rowOff>
    </xdr:from>
    <xdr:to>
      <xdr:col>5</xdr:col>
      <xdr:colOff>2924</xdr:colOff>
      <xdr:row>1296</xdr:row>
      <xdr:rowOff>74935</xdr:rowOff>
    </xdr:to>
    <xdr:cxnSp macro="">
      <xdr:nvCxnSpPr>
        <xdr:cNvPr id="816" name="Straight Connector 815"/>
        <xdr:cNvCxnSpPr/>
      </xdr:nvCxnSpPr>
      <xdr:spPr>
        <a:xfrm>
          <a:off x="2973457" y="9779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1293</xdr:row>
      <xdr:rowOff>74935</xdr:rowOff>
    </xdr:from>
    <xdr:to>
      <xdr:col>5</xdr:col>
      <xdr:colOff>2924</xdr:colOff>
      <xdr:row>1293</xdr:row>
      <xdr:rowOff>74935</xdr:rowOff>
    </xdr:to>
    <xdr:cxnSp macro="">
      <xdr:nvCxnSpPr>
        <xdr:cNvPr id="817" name="Straight Connector 816"/>
        <xdr:cNvCxnSpPr/>
      </xdr:nvCxnSpPr>
      <xdr:spPr>
        <a:xfrm>
          <a:off x="2973457" y="9721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1302</xdr:row>
      <xdr:rowOff>74935</xdr:rowOff>
    </xdr:from>
    <xdr:to>
      <xdr:col>5</xdr:col>
      <xdr:colOff>2924</xdr:colOff>
      <xdr:row>1302</xdr:row>
      <xdr:rowOff>74935</xdr:rowOff>
    </xdr:to>
    <xdr:cxnSp macro="">
      <xdr:nvCxnSpPr>
        <xdr:cNvPr id="818" name="Straight Connector 817"/>
        <xdr:cNvCxnSpPr/>
      </xdr:nvCxnSpPr>
      <xdr:spPr>
        <a:xfrm>
          <a:off x="2973457" y="9893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1299</xdr:row>
      <xdr:rowOff>74935</xdr:rowOff>
    </xdr:from>
    <xdr:to>
      <xdr:col>5</xdr:col>
      <xdr:colOff>2924</xdr:colOff>
      <xdr:row>1299</xdr:row>
      <xdr:rowOff>74935</xdr:rowOff>
    </xdr:to>
    <xdr:cxnSp macro="">
      <xdr:nvCxnSpPr>
        <xdr:cNvPr id="819" name="Straight Connector 818"/>
        <xdr:cNvCxnSpPr/>
      </xdr:nvCxnSpPr>
      <xdr:spPr>
        <a:xfrm>
          <a:off x="2973457" y="9836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1308</xdr:row>
      <xdr:rowOff>74935</xdr:rowOff>
    </xdr:from>
    <xdr:to>
      <xdr:col>5</xdr:col>
      <xdr:colOff>2924</xdr:colOff>
      <xdr:row>1308</xdr:row>
      <xdr:rowOff>74935</xdr:rowOff>
    </xdr:to>
    <xdr:cxnSp macro="">
      <xdr:nvCxnSpPr>
        <xdr:cNvPr id="820" name="Straight Connector 819"/>
        <xdr:cNvCxnSpPr/>
      </xdr:nvCxnSpPr>
      <xdr:spPr>
        <a:xfrm>
          <a:off x="2973457" y="10007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1305</xdr:row>
      <xdr:rowOff>74935</xdr:rowOff>
    </xdr:from>
    <xdr:to>
      <xdr:col>5</xdr:col>
      <xdr:colOff>2924</xdr:colOff>
      <xdr:row>1305</xdr:row>
      <xdr:rowOff>74935</xdr:rowOff>
    </xdr:to>
    <xdr:cxnSp macro="">
      <xdr:nvCxnSpPr>
        <xdr:cNvPr id="821" name="Straight Connector 820"/>
        <xdr:cNvCxnSpPr/>
      </xdr:nvCxnSpPr>
      <xdr:spPr>
        <a:xfrm>
          <a:off x="2973457" y="9950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1326</xdr:row>
      <xdr:rowOff>74935</xdr:rowOff>
    </xdr:from>
    <xdr:to>
      <xdr:col>5</xdr:col>
      <xdr:colOff>2924</xdr:colOff>
      <xdr:row>1326</xdr:row>
      <xdr:rowOff>74935</xdr:rowOff>
    </xdr:to>
    <xdr:cxnSp macro="">
      <xdr:nvCxnSpPr>
        <xdr:cNvPr id="822" name="Straight Connector 821"/>
        <xdr:cNvCxnSpPr/>
      </xdr:nvCxnSpPr>
      <xdr:spPr>
        <a:xfrm>
          <a:off x="2973457" y="10350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1323</xdr:row>
      <xdr:rowOff>74935</xdr:rowOff>
    </xdr:from>
    <xdr:to>
      <xdr:col>5</xdr:col>
      <xdr:colOff>2924</xdr:colOff>
      <xdr:row>1323</xdr:row>
      <xdr:rowOff>74935</xdr:rowOff>
    </xdr:to>
    <xdr:cxnSp macro="">
      <xdr:nvCxnSpPr>
        <xdr:cNvPr id="823" name="Straight Connector 822"/>
        <xdr:cNvCxnSpPr/>
      </xdr:nvCxnSpPr>
      <xdr:spPr>
        <a:xfrm>
          <a:off x="2973457" y="10293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1314</xdr:row>
      <xdr:rowOff>74935</xdr:rowOff>
    </xdr:from>
    <xdr:to>
      <xdr:col>5</xdr:col>
      <xdr:colOff>2924</xdr:colOff>
      <xdr:row>1314</xdr:row>
      <xdr:rowOff>74935</xdr:rowOff>
    </xdr:to>
    <xdr:cxnSp macro="">
      <xdr:nvCxnSpPr>
        <xdr:cNvPr id="824" name="Straight Connector 823"/>
        <xdr:cNvCxnSpPr/>
      </xdr:nvCxnSpPr>
      <xdr:spPr>
        <a:xfrm>
          <a:off x="2973457" y="10121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1311</xdr:row>
      <xdr:rowOff>74935</xdr:rowOff>
    </xdr:from>
    <xdr:to>
      <xdr:col>5</xdr:col>
      <xdr:colOff>2924</xdr:colOff>
      <xdr:row>1311</xdr:row>
      <xdr:rowOff>74935</xdr:rowOff>
    </xdr:to>
    <xdr:cxnSp macro="">
      <xdr:nvCxnSpPr>
        <xdr:cNvPr id="825" name="Straight Connector 824"/>
        <xdr:cNvCxnSpPr/>
      </xdr:nvCxnSpPr>
      <xdr:spPr>
        <a:xfrm>
          <a:off x="2973457" y="10064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1320</xdr:row>
      <xdr:rowOff>74935</xdr:rowOff>
    </xdr:from>
    <xdr:to>
      <xdr:col>5</xdr:col>
      <xdr:colOff>2924</xdr:colOff>
      <xdr:row>1320</xdr:row>
      <xdr:rowOff>74935</xdr:rowOff>
    </xdr:to>
    <xdr:cxnSp macro="">
      <xdr:nvCxnSpPr>
        <xdr:cNvPr id="826" name="Straight Connector 825"/>
        <xdr:cNvCxnSpPr/>
      </xdr:nvCxnSpPr>
      <xdr:spPr>
        <a:xfrm>
          <a:off x="2973457" y="10236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1317</xdr:row>
      <xdr:rowOff>74935</xdr:rowOff>
    </xdr:from>
    <xdr:to>
      <xdr:col>5</xdr:col>
      <xdr:colOff>2924</xdr:colOff>
      <xdr:row>1317</xdr:row>
      <xdr:rowOff>74935</xdr:rowOff>
    </xdr:to>
    <xdr:cxnSp macro="">
      <xdr:nvCxnSpPr>
        <xdr:cNvPr id="827" name="Straight Connector 826"/>
        <xdr:cNvCxnSpPr/>
      </xdr:nvCxnSpPr>
      <xdr:spPr>
        <a:xfrm>
          <a:off x="2973457" y="10179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1335</xdr:row>
      <xdr:rowOff>74935</xdr:rowOff>
    </xdr:from>
    <xdr:to>
      <xdr:col>5</xdr:col>
      <xdr:colOff>2924</xdr:colOff>
      <xdr:row>1335</xdr:row>
      <xdr:rowOff>74935</xdr:rowOff>
    </xdr:to>
    <xdr:cxnSp macro="">
      <xdr:nvCxnSpPr>
        <xdr:cNvPr id="828" name="Straight Connector 827"/>
        <xdr:cNvCxnSpPr/>
      </xdr:nvCxnSpPr>
      <xdr:spPr>
        <a:xfrm>
          <a:off x="2973457" y="10521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1329</xdr:row>
      <xdr:rowOff>74935</xdr:rowOff>
    </xdr:from>
    <xdr:to>
      <xdr:col>5</xdr:col>
      <xdr:colOff>2924</xdr:colOff>
      <xdr:row>1329</xdr:row>
      <xdr:rowOff>74935</xdr:rowOff>
    </xdr:to>
    <xdr:cxnSp macro="">
      <xdr:nvCxnSpPr>
        <xdr:cNvPr id="829" name="Straight Connector 828"/>
        <xdr:cNvCxnSpPr/>
      </xdr:nvCxnSpPr>
      <xdr:spPr>
        <a:xfrm>
          <a:off x="2973457" y="10407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1332</xdr:row>
      <xdr:rowOff>74935</xdr:rowOff>
    </xdr:from>
    <xdr:to>
      <xdr:col>5</xdr:col>
      <xdr:colOff>2924</xdr:colOff>
      <xdr:row>1332</xdr:row>
      <xdr:rowOff>74935</xdr:rowOff>
    </xdr:to>
    <xdr:cxnSp macro="">
      <xdr:nvCxnSpPr>
        <xdr:cNvPr id="830" name="Straight Connector 829"/>
        <xdr:cNvCxnSpPr/>
      </xdr:nvCxnSpPr>
      <xdr:spPr>
        <a:xfrm>
          <a:off x="2973457" y="10464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1338</xdr:row>
      <xdr:rowOff>74935</xdr:rowOff>
    </xdr:from>
    <xdr:to>
      <xdr:col>5</xdr:col>
      <xdr:colOff>2924</xdr:colOff>
      <xdr:row>1338</xdr:row>
      <xdr:rowOff>74935</xdr:rowOff>
    </xdr:to>
    <xdr:cxnSp macro="">
      <xdr:nvCxnSpPr>
        <xdr:cNvPr id="831" name="Straight Connector 830"/>
        <xdr:cNvCxnSpPr/>
      </xdr:nvCxnSpPr>
      <xdr:spPr>
        <a:xfrm>
          <a:off x="2973457" y="10579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1344</xdr:row>
      <xdr:rowOff>74935</xdr:rowOff>
    </xdr:from>
    <xdr:to>
      <xdr:col>5</xdr:col>
      <xdr:colOff>2924</xdr:colOff>
      <xdr:row>1344</xdr:row>
      <xdr:rowOff>74935</xdr:rowOff>
    </xdr:to>
    <xdr:cxnSp macro="">
      <xdr:nvCxnSpPr>
        <xdr:cNvPr id="832" name="Straight Connector 831"/>
        <xdr:cNvCxnSpPr/>
      </xdr:nvCxnSpPr>
      <xdr:spPr>
        <a:xfrm>
          <a:off x="2973457" y="10693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1341</xdr:row>
      <xdr:rowOff>74935</xdr:rowOff>
    </xdr:from>
    <xdr:to>
      <xdr:col>5</xdr:col>
      <xdr:colOff>2924</xdr:colOff>
      <xdr:row>1341</xdr:row>
      <xdr:rowOff>74935</xdr:rowOff>
    </xdr:to>
    <xdr:cxnSp macro="">
      <xdr:nvCxnSpPr>
        <xdr:cNvPr id="833" name="Straight Connector 832"/>
        <xdr:cNvCxnSpPr/>
      </xdr:nvCxnSpPr>
      <xdr:spPr>
        <a:xfrm>
          <a:off x="2973457" y="10636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1347</xdr:row>
      <xdr:rowOff>74935</xdr:rowOff>
    </xdr:from>
    <xdr:to>
      <xdr:col>5</xdr:col>
      <xdr:colOff>2924</xdr:colOff>
      <xdr:row>1347</xdr:row>
      <xdr:rowOff>74935</xdr:rowOff>
    </xdr:to>
    <xdr:cxnSp macro="">
      <xdr:nvCxnSpPr>
        <xdr:cNvPr id="834" name="Straight Connector 833"/>
        <xdr:cNvCxnSpPr/>
      </xdr:nvCxnSpPr>
      <xdr:spPr>
        <a:xfrm>
          <a:off x="2973457" y="10750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1353</xdr:row>
      <xdr:rowOff>74935</xdr:rowOff>
    </xdr:from>
    <xdr:to>
      <xdr:col>5</xdr:col>
      <xdr:colOff>2924</xdr:colOff>
      <xdr:row>1353</xdr:row>
      <xdr:rowOff>74935</xdr:rowOff>
    </xdr:to>
    <xdr:cxnSp macro="">
      <xdr:nvCxnSpPr>
        <xdr:cNvPr id="835" name="Straight Connector 834"/>
        <xdr:cNvCxnSpPr/>
      </xdr:nvCxnSpPr>
      <xdr:spPr>
        <a:xfrm>
          <a:off x="2973457" y="10864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1359</xdr:row>
      <xdr:rowOff>74935</xdr:rowOff>
    </xdr:from>
    <xdr:to>
      <xdr:col>5</xdr:col>
      <xdr:colOff>2924</xdr:colOff>
      <xdr:row>1359</xdr:row>
      <xdr:rowOff>74935</xdr:rowOff>
    </xdr:to>
    <xdr:cxnSp macro="">
      <xdr:nvCxnSpPr>
        <xdr:cNvPr id="836" name="Straight Connector 835"/>
        <xdr:cNvCxnSpPr/>
      </xdr:nvCxnSpPr>
      <xdr:spPr>
        <a:xfrm>
          <a:off x="2973457" y="10979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1356</xdr:row>
      <xdr:rowOff>74935</xdr:rowOff>
    </xdr:from>
    <xdr:to>
      <xdr:col>5</xdr:col>
      <xdr:colOff>2924</xdr:colOff>
      <xdr:row>1356</xdr:row>
      <xdr:rowOff>74935</xdr:rowOff>
    </xdr:to>
    <xdr:cxnSp macro="">
      <xdr:nvCxnSpPr>
        <xdr:cNvPr id="837" name="Straight Connector 836"/>
        <xdr:cNvCxnSpPr/>
      </xdr:nvCxnSpPr>
      <xdr:spPr>
        <a:xfrm>
          <a:off x="2973457" y="10922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1350</xdr:row>
      <xdr:rowOff>74935</xdr:rowOff>
    </xdr:from>
    <xdr:to>
      <xdr:col>5</xdr:col>
      <xdr:colOff>2924</xdr:colOff>
      <xdr:row>1350</xdr:row>
      <xdr:rowOff>74935</xdr:rowOff>
    </xdr:to>
    <xdr:cxnSp macro="">
      <xdr:nvCxnSpPr>
        <xdr:cNvPr id="838" name="Straight Connector 837"/>
        <xdr:cNvCxnSpPr/>
      </xdr:nvCxnSpPr>
      <xdr:spPr>
        <a:xfrm>
          <a:off x="2973457" y="10807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1402</xdr:row>
      <xdr:rowOff>74934</xdr:rowOff>
    </xdr:from>
    <xdr:to>
      <xdr:col>5</xdr:col>
      <xdr:colOff>14130</xdr:colOff>
      <xdr:row>1402</xdr:row>
      <xdr:rowOff>74934</xdr:rowOff>
    </xdr:to>
    <xdr:cxnSp macro="">
      <xdr:nvCxnSpPr>
        <xdr:cNvPr id="839" name="Straight Connector 838"/>
        <xdr:cNvCxnSpPr/>
      </xdr:nvCxnSpPr>
      <xdr:spPr>
        <a:xfrm>
          <a:off x="2984663" y="117983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1405</xdr:row>
      <xdr:rowOff>86140</xdr:rowOff>
    </xdr:from>
    <xdr:to>
      <xdr:col>5</xdr:col>
      <xdr:colOff>14130</xdr:colOff>
      <xdr:row>1405</xdr:row>
      <xdr:rowOff>86140</xdr:rowOff>
    </xdr:to>
    <xdr:cxnSp macro="">
      <xdr:nvCxnSpPr>
        <xdr:cNvPr id="840" name="Straight Connector 839"/>
        <xdr:cNvCxnSpPr/>
      </xdr:nvCxnSpPr>
      <xdr:spPr>
        <a:xfrm>
          <a:off x="2984663" y="118565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1408</xdr:row>
      <xdr:rowOff>74934</xdr:rowOff>
    </xdr:from>
    <xdr:to>
      <xdr:col>5</xdr:col>
      <xdr:colOff>14130</xdr:colOff>
      <xdr:row>1408</xdr:row>
      <xdr:rowOff>74934</xdr:rowOff>
    </xdr:to>
    <xdr:cxnSp macro="">
      <xdr:nvCxnSpPr>
        <xdr:cNvPr id="841" name="Straight Connector 840"/>
        <xdr:cNvCxnSpPr/>
      </xdr:nvCxnSpPr>
      <xdr:spPr>
        <a:xfrm>
          <a:off x="2984663" y="119126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1411</xdr:row>
      <xdr:rowOff>86140</xdr:rowOff>
    </xdr:from>
    <xdr:to>
      <xdr:col>5</xdr:col>
      <xdr:colOff>14130</xdr:colOff>
      <xdr:row>1411</xdr:row>
      <xdr:rowOff>86140</xdr:rowOff>
    </xdr:to>
    <xdr:cxnSp macro="">
      <xdr:nvCxnSpPr>
        <xdr:cNvPr id="842" name="Straight Connector 841"/>
        <xdr:cNvCxnSpPr/>
      </xdr:nvCxnSpPr>
      <xdr:spPr>
        <a:xfrm>
          <a:off x="2984663" y="119708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1414</xdr:row>
      <xdr:rowOff>74934</xdr:rowOff>
    </xdr:from>
    <xdr:to>
      <xdr:col>5</xdr:col>
      <xdr:colOff>14130</xdr:colOff>
      <xdr:row>1414</xdr:row>
      <xdr:rowOff>74934</xdr:rowOff>
    </xdr:to>
    <xdr:cxnSp macro="">
      <xdr:nvCxnSpPr>
        <xdr:cNvPr id="843" name="Straight Connector 842"/>
        <xdr:cNvCxnSpPr/>
      </xdr:nvCxnSpPr>
      <xdr:spPr>
        <a:xfrm>
          <a:off x="2984663" y="120269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1420</xdr:row>
      <xdr:rowOff>86140</xdr:rowOff>
    </xdr:from>
    <xdr:to>
      <xdr:col>5</xdr:col>
      <xdr:colOff>14130</xdr:colOff>
      <xdr:row>1420</xdr:row>
      <xdr:rowOff>86140</xdr:rowOff>
    </xdr:to>
    <xdr:cxnSp macro="">
      <xdr:nvCxnSpPr>
        <xdr:cNvPr id="844" name="Straight Connector 843"/>
        <xdr:cNvCxnSpPr/>
      </xdr:nvCxnSpPr>
      <xdr:spPr>
        <a:xfrm>
          <a:off x="2984663" y="121423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1417</xdr:row>
      <xdr:rowOff>74934</xdr:rowOff>
    </xdr:from>
    <xdr:to>
      <xdr:col>5</xdr:col>
      <xdr:colOff>14130</xdr:colOff>
      <xdr:row>1417</xdr:row>
      <xdr:rowOff>74934</xdr:rowOff>
    </xdr:to>
    <xdr:cxnSp macro="">
      <xdr:nvCxnSpPr>
        <xdr:cNvPr id="845" name="Straight Connector 844"/>
        <xdr:cNvCxnSpPr/>
      </xdr:nvCxnSpPr>
      <xdr:spPr>
        <a:xfrm>
          <a:off x="2984663" y="120840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1423</xdr:row>
      <xdr:rowOff>86140</xdr:rowOff>
    </xdr:from>
    <xdr:to>
      <xdr:col>5</xdr:col>
      <xdr:colOff>14130</xdr:colOff>
      <xdr:row>1423</xdr:row>
      <xdr:rowOff>86140</xdr:rowOff>
    </xdr:to>
    <xdr:cxnSp macro="">
      <xdr:nvCxnSpPr>
        <xdr:cNvPr id="846" name="Straight Connector 845"/>
        <xdr:cNvCxnSpPr/>
      </xdr:nvCxnSpPr>
      <xdr:spPr>
        <a:xfrm>
          <a:off x="2984663" y="121994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1429</xdr:row>
      <xdr:rowOff>86140</xdr:rowOff>
    </xdr:from>
    <xdr:to>
      <xdr:col>5</xdr:col>
      <xdr:colOff>14130</xdr:colOff>
      <xdr:row>1429</xdr:row>
      <xdr:rowOff>86140</xdr:rowOff>
    </xdr:to>
    <xdr:cxnSp macro="">
      <xdr:nvCxnSpPr>
        <xdr:cNvPr id="847" name="Straight Connector 846"/>
        <xdr:cNvCxnSpPr/>
      </xdr:nvCxnSpPr>
      <xdr:spPr>
        <a:xfrm>
          <a:off x="2984663" y="123137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1426</xdr:row>
      <xdr:rowOff>74934</xdr:rowOff>
    </xdr:from>
    <xdr:to>
      <xdr:col>5</xdr:col>
      <xdr:colOff>14130</xdr:colOff>
      <xdr:row>1426</xdr:row>
      <xdr:rowOff>74934</xdr:rowOff>
    </xdr:to>
    <xdr:cxnSp macro="">
      <xdr:nvCxnSpPr>
        <xdr:cNvPr id="848" name="Straight Connector 847"/>
        <xdr:cNvCxnSpPr/>
      </xdr:nvCxnSpPr>
      <xdr:spPr>
        <a:xfrm>
          <a:off x="2984663" y="122555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1435</xdr:row>
      <xdr:rowOff>86140</xdr:rowOff>
    </xdr:from>
    <xdr:to>
      <xdr:col>5</xdr:col>
      <xdr:colOff>14130</xdr:colOff>
      <xdr:row>1435</xdr:row>
      <xdr:rowOff>86140</xdr:rowOff>
    </xdr:to>
    <xdr:cxnSp macro="">
      <xdr:nvCxnSpPr>
        <xdr:cNvPr id="849" name="Straight Connector 848"/>
        <xdr:cNvCxnSpPr/>
      </xdr:nvCxnSpPr>
      <xdr:spPr>
        <a:xfrm>
          <a:off x="2984663" y="124280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1432</xdr:row>
      <xdr:rowOff>74934</xdr:rowOff>
    </xdr:from>
    <xdr:to>
      <xdr:col>5</xdr:col>
      <xdr:colOff>14130</xdr:colOff>
      <xdr:row>1432</xdr:row>
      <xdr:rowOff>74934</xdr:rowOff>
    </xdr:to>
    <xdr:cxnSp macro="">
      <xdr:nvCxnSpPr>
        <xdr:cNvPr id="850" name="Straight Connector 849"/>
        <xdr:cNvCxnSpPr/>
      </xdr:nvCxnSpPr>
      <xdr:spPr>
        <a:xfrm>
          <a:off x="2984663" y="123698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1438</xdr:row>
      <xdr:rowOff>86140</xdr:rowOff>
    </xdr:from>
    <xdr:to>
      <xdr:col>5</xdr:col>
      <xdr:colOff>14130</xdr:colOff>
      <xdr:row>1438</xdr:row>
      <xdr:rowOff>86140</xdr:rowOff>
    </xdr:to>
    <xdr:cxnSp macro="">
      <xdr:nvCxnSpPr>
        <xdr:cNvPr id="851" name="Straight Connector 850"/>
        <xdr:cNvCxnSpPr/>
      </xdr:nvCxnSpPr>
      <xdr:spPr>
        <a:xfrm>
          <a:off x="2984663" y="124852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1441</xdr:row>
      <xdr:rowOff>74934</xdr:rowOff>
    </xdr:from>
    <xdr:to>
      <xdr:col>5</xdr:col>
      <xdr:colOff>14130</xdr:colOff>
      <xdr:row>1441</xdr:row>
      <xdr:rowOff>74934</xdr:rowOff>
    </xdr:to>
    <xdr:cxnSp macro="">
      <xdr:nvCxnSpPr>
        <xdr:cNvPr id="852" name="Straight Connector 851"/>
        <xdr:cNvCxnSpPr/>
      </xdr:nvCxnSpPr>
      <xdr:spPr>
        <a:xfrm>
          <a:off x="2984663" y="125412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1444</xdr:row>
      <xdr:rowOff>74934</xdr:rowOff>
    </xdr:from>
    <xdr:to>
      <xdr:col>5</xdr:col>
      <xdr:colOff>14130</xdr:colOff>
      <xdr:row>1444</xdr:row>
      <xdr:rowOff>74934</xdr:rowOff>
    </xdr:to>
    <xdr:cxnSp macro="">
      <xdr:nvCxnSpPr>
        <xdr:cNvPr id="853" name="Straight Connector 852"/>
        <xdr:cNvCxnSpPr/>
      </xdr:nvCxnSpPr>
      <xdr:spPr>
        <a:xfrm>
          <a:off x="2984663" y="125984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1447</xdr:row>
      <xdr:rowOff>74934</xdr:rowOff>
    </xdr:from>
    <xdr:to>
      <xdr:col>5</xdr:col>
      <xdr:colOff>14130</xdr:colOff>
      <xdr:row>1447</xdr:row>
      <xdr:rowOff>74934</xdr:rowOff>
    </xdr:to>
    <xdr:cxnSp macro="">
      <xdr:nvCxnSpPr>
        <xdr:cNvPr id="854" name="Straight Connector 853"/>
        <xdr:cNvCxnSpPr/>
      </xdr:nvCxnSpPr>
      <xdr:spPr>
        <a:xfrm>
          <a:off x="2984663" y="126555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1450</xdr:row>
      <xdr:rowOff>74934</xdr:rowOff>
    </xdr:from>
    <xdr:to>
      <xdr:col>5</xdr:col>
      <xdr:colOff>14130</xdr:colOff>
      <xdr:row>1450</xdr:row>
      <xdr:rowOff>74934</xdr:rowOff>
    </xdr:to>
    <xdr:cxnSp macro="">
      <xdr:nvCxnSpPr>
        <xdr:cNvPr id="855" name="Straight Connector 854"/>
        <xdr:cNvCxnSpPr/>
      </xdr:nvCxnSpPr>
      <xdr:spPr>
        <a:xfrm>
          <a:off x="2984663" y="127127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1453</xdr:row>
      <xdr:rowOff>74934</xdr:rowOff>
    </xdr:from>
    <xdr:to>
      <xdr:col>5</xdr:col>
      <xdr:colOff>14130</xdr:colOff>
      <xdr:row>1453</xdr:row>
      <xdr:rowOff>74934</xdr:rowOff>
    </xdr:to>
    <xdr:cxnSp macro="">
      <xdr:nvCxnSpPr>
        <xdr:cNvPr id="856" name="Straight Connector 855"/>
        <xdr:cNvCxnSpPr/>
      </xdr:nvCxnSpPr>
      <xdr:spPr>
        <a:xfrm>
          <a:off x="2984663" y="127698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1456</xdr:row>
      <xdr:rowOff>74934</xdr:rowOff>
    </xdr:from>
    <xdr:to>
      <xdr:col>5</xdr:col>
      <xdr:colOff>14130</xdr:colOff>
      <xdr:row>1456</xdr:row>
      <xdr:rowOff>74934</xdr:rowOff>
    </xdr:to>
    <xdr:cxnSp macro="">
      <xdr:nvCxnSpPr>
        <xdr:cNvPr id="857" name="Straight Connector 856"/>
        <xdr:cNvCxnSpPr/>
      </xdr:nvCxnSpPr>
      <xdr:spPr>
        <a:xfrm>
          <a:off x="2984663" y="128270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1459</xdr:row>
      <xdr:rowOff>74934</xdr:rowOff>
    </xdr:from>
    <xdr:to>
      <xdr:col>5</xdr:col>
      <xdr:colOff>14130</xdr:colOff>
      <xdr:row>1459</xdr:row>
      <xdr:rowOff>74934</xdr:rowOff>
    </xdr:to>
    <xdr:cxnSp macro="">
      <xdr:nvCxnSpPr>
        <xdr:cNvPr id="858" name="Straight Connector 857"/>
        <xdr:cNvCxnSpPr/>
      </xdr:nvCxnSpPr>
      <xdr:spPr>
        <a:xfrm>
          <a:off x="2984663" y="128841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1462</xdr:row>
      <xdr:rowOff>74934</xdr:rowOff>
    </xdr:from>
    <xdr:to>
      <xdr:col>5</xdr:col>
      <xdr:colOff>14130</xdr:colOff>
      <xdr:row>1462</xdr:row>
      <xdr:rowOff>74934</xdr:rowOff>
    </xdr:to>
    <xdr:cxnSp macro="">
      <xdr:nvCxnSpPr>
        <xdr:cNvPr id="859" name="Straight Connector 858"/>
        <xdr:cNvCxnSpPr/>
      </xdr:nvCxnSpPr>
      <xdr:spPr>
        <a:xfrm>
          <a:off x="2984663" y="129413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1465</xdr:row>
      <xdr:rowOff>74934</xdr:rowOff>
    </xdr:from>
    <xdr:to>
      <xdr:col>5</xdr:col>
      <xdr:colOff>14130</xdr:colOff>
      <xdr:row>1465</xdr:row>
      <xdr:rowOff>74934</xdr:rowOff>
    </xdr:to>
    <xdr:cxnSp macro="">
      <xdr:nvCxnSpPr>
        <xdr:cNvPr id="860" name="Straight Connector 859"/>
        <xdr:cNvCxnSpPr/>
      </xdr:nvCxnSpPr>
      <xdr:spPr>
        <a:xfrm>
          <a:off x="2984663" y="129984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1468</xdr:row>
      <xdr:rowOff>74934</xdr:rowOff>
    </xdr:from>
    <xdr:to>
      <xdr:col>5</xdr:col>
      <xdr:colOff>14130</xdr:colOff>
      <xdr:row>1468</xdr:row>
      <xdr:rowOff>74934</xdr:rowOff>
    </xdr:to>
    <xdr:cxnSp macro="">
      <xdr:nvCxnSpPr>
        <xdr:cNvPr id="861" name="Straight Connector 860"/>
        <xdr:cNvCxnSpPr/>
      </xdr:nvCxnSpPr>
      <xdr:spPr>
        <a:xfrm>
          <a:off x="2984663" y="130556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1471</xdr:row>
      <xdr:rowOff>74934</xdr:rowOff>
    </xdr:from>
    <xdr:to>
      <xdr:col>5</xdr:col>
      <xdr:colOff>14130</xdr:colOff>
      <xdr:row>1471</xdr:row>
      <xdr:rowOff>74934</xdr:rowOff>
    </xdr:to>
    <xdr:cxnSp macro="">
      <xdr:nvCxnSpPr>
        <xdr:cNvPr id="862" name="Straight Connector 861"/>
        <xdr:cNvCxnSpPr/>
      </xdr:nvCxnSpPr>
      <xdr:spPr>
        <a:xfrm>
          <a:off x="2984663" y="131127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1474</xdr:row>
      <xdr:rowOff>74934</xdr:rowOff>
    </xdr:from>
    <xdr:to>
      <xdr:col>5</xdr:col>
      <xdr:colOff>14130</xdr:colOff>
      <xdr:row>1474</xdr:row>
      <xdr:rowOff>74934</xdr:rowOff>
    </xdr:to>
    <xdr:cxnSp macro="">
      <xdr:nvCxnSpPr>
        <xdr:cNvPr id="863" name="Straight Connector 862"/>
        <xdr:cNvCxnSpPr/>
      </xdr:nvCxnSpPr>
      <xdr:spPr>
        <a:xfrm>
          <a:off x="2984663" y="131699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1477</xdr:row>
      <xdr:rowOff>74934</xdr:rowOff>
    </xdr:from>
    <xdr:to>
      <xdr:col>5</xdr:col>
      <xdr:colOff>14130</xdr:colOff>
      <xdr:row>1477</xdr:row>
      <xdr:rowOff>74934</xdr:rowOff>
    </xdr:to>
    <xdr:cxnSp macro="">
      <xdr:nvCxnSpPr>
        <xdr:cNvPr id="864" name="Straight Connector 863"/>
        <xdr:cNvCxnSpPr/>
      </xdr:nvCxnSpPr>
      <xdr:spPr>
        <a:xfrm>
          <a:off x="2984663" y="132270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1480</xdr:row>
      <xdr:rowOff>74934</xdr:rowOff>
    </xdr:from>
    <xdr:to>
      <xdr:col>5</xdr:col>
      <xdr:colOff>14130</xdr:colOff>
      <xdr:row>1480</xdr:row>
      <xdr:rowOff>74934</xdr:rowOff>
    </xdr:to>
    <xdr:cxnSp macro="">
      <xdr:nvCxnSpPr>
        <xdr:cNvPr id="865" name="Straight Connector 864"/>
        <xdr:cNvCxnSpPr/>
      </xdr:nvCxnSpPr>
      <xdr:spPr>
        <a:xfrm>
          <a:off x="2984663" y="132842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1483</xdr:row>
      <xdr:rowOff>74934</xdr:rowOff>
    </xdr:from>
    <xdr:to>
      <xdr:col>5</xdr:col>
      <xdr:colOff>14130</xdr:colOff>
      <xdr:row>1483</xdr:row>
      <xdr:rowOff>74934</xdr:rowOff>
    </xdr:to>
    <xdr:cxnSp macro="">
      <xdr:nvCxnSpPr>
        <xdr:cNvPr id="866" name="Straight Connector 865"/>
        <xdr:cNvCxnSpPr/>
      </xdr:nvCxnSpPr>
      <xdr:spPr>
        <a:xfrm>
          <a:off x="2984663" y="133413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1486</xdr:row>
      <xdr:rowOff>74934</xdr:rowOff>
    </xdr:from>
    <xdr:to>
      <xdr:col>5</xdr:col>
      <xdr:colOff>14130</xdr:colOff>
      <xdr:row>1486</xdr:row>
      <xdr:rowOff>74934</xdr:rowOff>
    </xdr:to>
    <xdr:cxnSp macro="">
      <xdr:nvCxnSpPr>
        <xdr:cNvPr id="867" name="Straight Connector 866"/>
        <xdr:cNvCxnSpPr/>
      </xdr:nvCxnSpPr>
      <xdr:spPr>
        <a:xfrm>
          <a:off x="2984663" y="133985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1489</xdr:row>
      <xdr:rowOff>74934</xdr:rowOff>
    </xdr:from>
    <xdr:to>
      <xdr:col>5</xdr:col>
      <xdr:colOff>14130</xdr:colOff>
      <xdr:row>1489</xdr:row>
      <xdr:rowOff>74934</xdr:rowOff>
    </xdr:to>
    <xdr:cxnSp macro="">
      <xdr:nvCxnSpPr>
        <xdr:cNvPr id="868" name="Straight Connector 867"/>
        <xdr:cNvCxnSpPr/>
      </xdr:nvCxnSpPr>
      <xdr:spPr>
        <a:xfrm>
          <a:off x="2984663" y="134556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1492</xdr:row>
      <xdr:rowOff>74934</xdr:rowOff>
    </xdr:from>
    <xdr:to>
      <xdr:col>5</xdr:col>
      <xdr:colOff>14130</xdr:colOff>
      <xdr:row>1492</xdr:row>
      <xdr:rowOff>74934</xdr:rowOff>
    </xdr:to>
    <xdr:cxnSp macro="">
      <xdr:nvCxnSpPr>
        <xdr:cNvPr id="869" name="Straight Connector 868"/>
        <xdr:cNvCxnSpPr/>
      </xdr:nvCxnSpPr>
      <xdr:spPr>
        <a:xfrm>
          <a:off x="2984663" y="135128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1498</xdr:row>
      <xdr:rowOff>86140</xdr:rowOff>
    </xdr:from>
    <xdr:to>
      <xdr:col>5</xdr:col>
      <xdr:colOff>14130</xdr:colOff>
      <xdr:row>1498</xdr:row>
      <xdr:rowOff>86140</xdr:rowOff>
    </xdr:to>
    <xdr:cxnSp macro="">
      <xdr:nvCxnSpPr>
        <xdr:cNvPr id="870" name="Straight Connector 869"/>
        <xdr:cNvCxnSpPr/>
      </xdr:nvCxnSpPr>
      <xdr:spPr>
        <a:xfrm>
          <a:off x="2984663" y="136282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1495</xdr:row>
      <xdr:rowOff>74934</xdr:rowOff>
    </xdr:from>
    <xdr:to>
      <xdr:col>5</xdr:col>
      <xdr:colOff>14130</xdr:colOff>
      <xdr:row>1495</xdr:row>
      <xdr:rowOff>74934</xdr:rowOff>
    </xdr:to>
    <xdr:cxnSp macro="">
      <xdr:nvCxnSpPr>
        <xdr:cNvPr id="871" name="Straight Connector 870"/>
        <xdr:cNvCxnSpPr/>
      </xdr:nvCxnSpPr>
      <xdr:spPr>
        <a:xfrm>
          <a:off x="2984663" y="135699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1501</xdr:row>
      <xdr:rowOff>86140</xdr:rowOff>
    </xdr:from>
    <xdr:to>
      <xdr:col>5</xdr:col>
      <xdr:colOff>14130</xdr:colOff>
      <xdr:row>1501</xdr:row>
      <xdr:rowOff>86140</xdr:rowOff>
    </xdr:to>
    <xdr:cxnSp macro="">
      <xdr:nvCxnSpPr>
        <xdr:cNvPr id="872" name="Straight Connector 871"/>
        <xdr:cNvCxnSpPr/>
      </xdr:nvCxnSpPr>
      <xdr:spPr>
        <a:xfrm>
          <a:off x="2984663" y="136853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1507</xdr:row>
      <xdr:rowOff>86140</xdr:rowOff>
    </xdr:from>
    <xdr:to>
      <xdr:col>5</xdr:col>
      <xdr:colOff>14130</xdr:colOff>
      <xdr:row>1507</xdr:row>
      <xdr:rowOff>86140</xdr:rowOff>
    </xdr:to>
    <xdr:cxnSp macro="">
      <xdr:nvCxnSpPr>
        <xdr:cNvPr id="873" name="Straight Connector 872"/>
        <xdr:cNvCxnSpPr/>
      </xdr:nvCxnSpPr>
      <xdr:spPr>
        <a:xfrm>
          <a:off x="2984663" y="137996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1504</xdr:row>
      <xdr:rowOff>74934</xdr:rowOff>
    </xdr:from>
    <xdr:to>
      <xdr:col>5</xdr:col>
      <xdr:colOff>14130</xdr:colOff>
      <xdr:row>1504</xdr:row>
      <xdr:rowOff>74934</xdr:rowOff>
    </xdr:to>
    <xdr:cxnSp macro="">
      <xdr:nvCxnSpPr>
        <xdr:cNvPr id="874" name="Straight Connector 873"/>
        <xdr:cNvCxnSpPr/>
      </xdr:nvCxnSpPr>
      <xdr:spPr>
        <a:xfrm>
          <a:off x="2984663" y="137414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1510</xdr:row>
      <xdr:rowOff>86140</xdr:rowOff>
    </xdr:from>
    <xdr:to>
      <xdr:col>5</xdr:col>
      <xdr:colOff>14130</xdr:colOff>
      <xdr:row>1510</xdr:row>
      <xdr:rowOff>86140</xdr:rowOff>
    </xdr:to>
    <xdr:cxnSp macro="">
      <xdr:nvCxnSpPr>
        <xdr:cNvPr id="875" name="Straight Connector 874"/>
        <xdr:cNvCxnSpPr/>
      </xdr:nvCxnSpPr>
      <xdr:spPr>
        <a:xfrm>
          <a:off x="2984663" y="138568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1516</xdr:row>
      <xdr:rowOff>86140</xdr:rowOff>
    </xdr:from>
    <xdr:to>
      <xdr:col>5</xdr:col>
      <xdr:colOff>14130</xdr:colOff>
      <xdr:row>1516</xdr:row>
      <xdr:rowOff>86140</xdr:rowOff>
    </xdr:to>
    <xdr:cxnSp macro="">
      <xdr:nvCxnSpPr>
        <xdr:cNvPr id="876" name="Straight Connector 875"/>
        <xdr:cNvCxnSpPr/>
      </xdr:nvCxnSpPr>
      <xdr:spPr>
        <a:xfrm>
          <a:off x="2984663" y="139711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1513</xdr:row>
      <xdr:rowOff>74934</xdr:rowOff>
    </xdr:from>
    <xdr:to>
      <xdr:col>5</xdr:col>
      <xdr:colOff>14130</xdr:colOff>
      <xdr:row>1513</xdr:row>
      <xdr:rowOff>74934</xdr:rowOff>
    </xdr:to>
    <xdr:cxnSp macro="">
      <xdr:nvCxnSpPr>
        <xdr:cNvPr id="877" name="Straight Connector 876"/>
        <xdr:cNvCxnSpPr/>
      </xdr:nvCxnSpPr>
      <xdr:spPr>
        <a:xfrm>
          <a:off x="2984663" y="139128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1522</xdr:row>
      <xdr:rowOff>86140</xdr:rowOff>
    </xdr:from>
    <xdr:to>
      <xdr:col>5</xdr:col>
      <xdr:colOff>14130</xdr:colOff>
      <xdr:row>1522</xdr:row>
      <xdr:rowOff>86140</xdr:rowOff>
    </xdr:to>
    <xdr:cxnSp macro="">
      <xdr:nvCxnSpPr>
        <xdr:cNvPr id="878" name="Straight Connector 877"/>
        <xdr:cNvCxnSpPr/>
      </xdr:nvCxnSpPr>
      <xdr:spPr>
        <a:xfrm>
          <a:off x="2984663" y="140854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1519</xdr:row>
      <xdr:rowOff>74934</xdr:rowOff>
    </xdr:from>
    <xdr:to>
      <xdr:col>5</xdr:col>
      <xdr:colOff>14130</xdr:colOff>
      <xdr:row>1519</xdr:row>
      <xdr:rowOff>74934</xdr:rowOff>
    </xdr:to>
    <xdr:cxnSp macro="">
      <xdr:nvCxnSpPr>
        <xdr:cNvPr id="879" name="Straight Connector 878"/>
        <xdr:cNvCxnSpPr/>
      </xdr:nvCxnSpPr>
      <xdr:spPr>
        <a:xfrm>
          <a:off x="2984663" y="140271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1525</xdr:row>
      <xdr:rowOff>74934</xdr:rowOff>
    </xdr:from>
    <xdr:to>
      <xdr:col>5</xdr:col>
      <xdr:colOff>14130</xdr:colOff>
      <xdr:row>1525</xdr:row>
      <xdr:rowOff>74934</xdr:rowOff>
    </xdr:to>
    <xdr:cxnSp macro="">
      <xdr:nvCxnSpPr>
        <xdr:cNvPr id="880" name="Straight Connector 879"/>
        <xdr:cNvCxnSpPr/>
      </xdr:nvCxnSpPr>
      <xdr:spPr>
        <a:xfrm>
          <a:off x="2984663" y="141414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795</xdr:row>
      <xdr:rowOff>179295</xdr:rowOff>
    </xdr:from>
    <xdr:to>
      <xdr:col>5</xdr:col>
      <xdr:colOff>11206</xdr:colOff>
      <xdr:row>795</xdr:row>
      <xdr:rowOff>179295</xdr:rowOff>
    </xdr:to>
    <xdr:cxnSp macro="">
      <xdr:nvCxnSpPr>
        <xdr:cNvPr id="881" name="Straight Connector 880"/>
        <xdr:cNvCxnSpPr/>
      </xdr:nvCxnSpPr>
      <xdr:spPr>
        <a:xfrm>
          <a:off x="2980765" y="2454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795</xdr:row>
      <xdr:rowOff>0</xdr:rowOff>
    </xdr:from>
    <xdr:to>
      <xdr:col>3</xdr:col>
      <xdr:colOff>23112</xdr:colOff>
      <xdr:row>795</xdr:row>
      <xdr:rowOff>188399</xdr:rowOff>
    </xdr:to>
    <xdr:cxnSp macro="">
      <xdr:nvCxnSpPr>
        <xdr:cNvPr id="882" name="Straight Connector 881"/>
        <xdr:cNvCxnSpPr/>
      </xdr:nvCxnSpPr>
      <xdr:spPr>
        <a:xfrm flipV="1">
          <a:off x="3003877" y="227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795</xdr:row>
      <xdr:rowOff>0</xdr:rowOff>
    </xdr:from>
    <xdr:to>
      <xdr:col>4</xdr:col>
      <xdr:colOff>601265</xdr:colOff>
      <xdr:row>795</xdr:row>
      <xdr:rowOff>187699</xdr:rowOff>
    </xdr:to>
    <xdr:cxnSp macro="">
      <xdr:nvCxnSpPr>
        <xdr:cNvPr id="883" name="Straight Connector 882"/>
        <xdr:cNvCxnSpPr/>
      </xdr:nvCxnSpPr>
      <xdr:spPr>
        <a:xfrm flipV="1">
          <a:off x="3991044" y="227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795</xdr:row>
      <xdr:rowOff>0</xdr:rowOff>
    </xdr:from>
    <xdr:to>
      <xdr:col>3</xdr:col>
      <xdr:colOff>23112</xdr:colOff>
      <xdr:row>795</xdr:row>
      <xdr:rowOff>188399</xdr:rowOff>
    </xdr:to>
    <xdr:cxnSp macro="">
      <xdr:nvCxnSpPr>
        <xdr:cNvPr id="884" name="Straight Connector 883"/>
        <xdr:cNvCxnSpPr/>
      </xdr:nvCxnSpPr>
      <xdr:spPr>
        <a:xfrm flipV="1">
          <a:off x="3003877" y="227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795</xdr:row>
      <xdr:rowOff>0</xdr:rowOff>
    </xdr:from>
    <xdr:to>
      <xdr:col>4</xdr:col>
      <xdr:colOff>601265</xdr:colOff>
      <xdr:row>795</xdr:row>
      <xdr:rowOff>187699</xdr:rowOff>
    </xdr:to>
    <xdr:cxnSp macro="">
      <xdr:nvCxnSpPr>
        <xdr:cNvPr id="885" name="Straight Connector 884"/>
        <xdr:cNvCxnSpPr/>
      </xdr:nvCxnSpPr>
      <xdr:spPr>
        <a:xfrm flipV="1">
          <a:off x="3991044" y="227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795</xdr:row>
      <xdr:rowOff>0</xdr:rowOff>
    </xdr:from>
    <xdr:to>
      <xdr:col>3</xdr:col>
      <xdr:colOff>23112</xdr:colOff>
      <xdr:row>795</xdr:row>
      <xdr:rowOff>188399</xdr:rowOff>
    </xdr:to>
    <xdr:cxnSp macro="">
      <xdr:nvCxnSpPr>
        <xdr:cNvPr id="886" name="Straight Connector 885"/>
        <xdr:cNvCxnSpPr/>
      </xdr:nvCxnSpPr>
      <xdr:spPr>
        <a:xfrm flipV="1">
          <a:off x="3003877" y="227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795</xdr:row>
      <xdr:rowOff>0</xdr:rowOff>
    </xdr:from>
    <xdr:to>
      <xdr:col>4</xdr:col>
      <xdr:colOff>601265</xdr:colOff>
      <xdr:row>795</xdr:row>
      <xdr:rowOff>187699</xdr:rowOff>
    </xdr:to>
    <xdr:cxnSp macro="">
      <xdr:nvCxnSpPr>
        <xdr:cNvPr id="887" name="Straight Connector 886"/>
        <xdr:cNvCxnSpPr/>
      </xdr:nvCxnSpPr>
      <xdr:spPr>
        <a:xfrm flipV="1">
          <a:off x="3991044" y="227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801</xdr:row>
      <xdr:rowOff>179295</xdr:rowOff>
    </xdr:from>
    <xdr:to>
      <xdr:col>5</xdr:col>
      <xdr:colOff>11206</xdr:colOff>
      <xdr:row>801</xdr:row>
      <xdr:rowOff>179295</xdr:rowOff>
    </xdr:to>
    <xdr:cxnSp macro="">
      <xdr:nvCxnSpPr>
        <xdr:cNvPr id="888" name="Straight Connector 887"/>
        <xdr:cNvCxnSpPr/>
      </xdr:nvCxnSpPr>
      <xdr:spPr>
        <a:xfrm>
          <a:off x="2980765" y="359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801</xdr:row>
      <xdr:rowOff>0</xdr:rowOff>
    </xdr:from>
    <xdr:to>
      <xdr:col>3</xdr:col>
      <xdr:colOff>23112</xdr:colOff>
      <xdr:row>801</xdr:row>
      <xdr:rowOff>188399</xdr:rowOff>
    </xdr:to>
    <xdr:cxnSp macro="">
      <xdr:nvCxnSpPr>
        <xdr:cNvPr id="889" name="Straight Connector 888"/>
        <xdr:cNvCxnSpPr/>
      </xdr:nvCxnSpPr>
      <xdr:spPr>
        <a:xfrm flipV="1">
          <a:off x="3003877" y="341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801</xdr:row>
      <xdr:rowOff>0</xdr:rowOff>
    </xdr:from>
    <xdr:to>
      <xdr:col>4</xdr:col>
      <xdr:colOff>601265</xdr:colOff>
      <xdr:row>801</xdr:row>
      <xdr:rowOff>187699</xdr:rowOff>
    </xdr:to>
    <xdr:cxnSp macro="">
      <xdr:nvCxnSpPr>
        <xdr:cNvPr id="890" name="Straight Connector 889"/>
        <xdr:cNvCxnSpPr/>
      </xdr:nvCxnSpPr>
      <xdr:spPr>
        <a:xfrm flipV="1">
          <a:off x="3991044" y="341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801</xdr:row>
      <xdr:rowOff>0</xdr:rowOff>
    </xdr:from>
    <xdr:to>
      <xdr:col>3</xdr:col>
      <xdr:colOff>23112</xdr:colOff>
      <xdr:row>801</xdr:row>
      <xdr:rowOff>188399</xdr:rowOff>
    </xdr:to>
    <xdr:cxnSp macro="">
      <xdr:nvCxnSpPr>
        <xdr:cNvPr id="891" name="Straight Connector 890"/>
        <xdr:cNvCxnSpPr/>
      </xdr:nvCxnSpPr>
      <xdr:spPr>
        <a:xfrm flipV="1">
          <a:off x="3003877" y="341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801</xdr:row>
      <xdr:rowOff>0</xdr:rowOff>
    </xdr:from>
    <xdr:to>
      <xdr:col>4</xdr:col>
      <xdr:colOff>601265</xdr:colOff>
      <xdr:row>801</xdr:row>
      <xdr:rowOff>187699</xdr:rowOff>
    </xdr:to>
    <xdr:cxnSp macro="">
      <xdr:nvCxnSpPr>
        <xdr:cNvPr id="892" name="Straight Connector 891"/>
        <xdr:cNvCxnSpPr/>
      </xdr:nvCxnSpPr>
      <xdr:spPr>
        <a:xfrm flipV="1">
          <a:off x="3991044" y="341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801</xdr:row>
      <xdr:rowOff>0</xdr:rowOff>
    </xdr:from>
    <xdr:to>
      <xdr:col>3</xdr:col>
      <xdr:colOff>23112</xdr:colOff>
      <xdr:row>801</xdr:row>
      <xdr:rowOff>188399</xdr:rowOff>
    </xdr:to>
    <xdr:cxnSp macro="">
      <xdr:nvCxnSpPr>
        <xdr:cNvPr id="893" name="Straight Connector 892"/>
        <xdr:cNvCxnSpPr/>
      </xdr:nvCxnSpPr>
      <xdr:spPr>
        <a:xfrm flipV="1">
          <a:off x="3003877" y="341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801</xdr:row>
      <xdr:rowOff>0</xdr:rowOff>
    </xdr:from>
    <xdr:to>
      <xdr:col>4</xdr:col>
      <xdr:colOff>601265</xdr:colOff>
      <xdr:row>801</xdr:row>
      <xdr:rowOff>187699</xdr:rowOff>
    </xdr:to>
    <xdr:cxnSp macro="">
      <xdr:nvCxnSpPr>
        <xdr:cNvPr id="894" name="Straight Connector 893"/>
        <xdr:cNvCxnSpPr/>
      </xdr:nvCxnSpPr>
      <xdr:spPr>
        <a:xfrm flipV="1">
          <a:off x="3991044" y="341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807</xdr:row>
      <xdr:rowOff>179295</xdr:rowOff>
    </xdr:from>
    <xdr:to>
      <xdr:col>5</xdr:col>
      <xdr:colOff>11206</xdr:colOff>
      <xdr:row>807</xdr:row>
      <xdr:rowOff>179295</xdr:rowOff>
    </xdr:to>
    <xdr:cxnSp macro="">
      <xdr:nvCxnSpPr>
        <xdr:cNvPr id="895" name="Straight Connector 894"/>
        <xdr:cNvCxnSpPr/>
      </xdr:nvCxnSpPr>
      <xdr:spPr>
        <a:xfrm>
          <a:off x="2980765" y="4740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807</xdr:row>
      <xdr:rowOff>0</xdr:rowOff>
    </xdr:from>
    <xdr:to>
      <xdr:col>3</xdr:col>
      <xdr:colOff>23112</xdr:colOff>
      <xdr:row>807</xdr:row>
      <xdr:rowOff>188399</xdr:rowOff>
    </xdr:to>
    <xdr:cxnSp macro="">
      <xdr:nvCxnSpPr>
        <xdr:cNvPr id="896" name="Straight Connector 895"/>
        <xdr:cNvCxnSpPr/>
      </xdr:nvCxnSpPr>
      <xdr:spPr>
        <a:xfrm flipV="1">
          <a:off x="3003877" y="456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807</xdr:row>
      <xdr:rowOff>0</xdr:rowOff>
    </xdr:from>
    <xdr:to>
      <xdr:col>4</xdr:col>
      <xdr:colOff>601265</xdr:colOff>
      <xdr:row>807</xdr:row>
      <xdr:rowOff>187699</xdr:rowOff>
    </xdr:to>
    <xdr:cxnSp macro="">
      <xdr:nvCxnSpPr>
        <xdr:cNvPr id="897" name="Straight Connector 896"/>
        <xdr:cNvCxnSpPr/>
      </xdr:nvCxnSpPr>
      <xdr:spPr>
        <a:xfrm flipV="1">
          <a:off x="3991044" y="456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807</xdr:row>
      <xdr:rowOff>0</xdr:rowOff>
    </xdr:from>
    <xdr:to>
      <xdr:col>3</xdr:col>
      <xdr:colOff>23112</xdr:colOff>
      <xdr:row>807</xdr:row>
      <xdr:rowOff>188399</xdr:rowOff>
    </xdr:to>
    <xdr:cxnSp macro="">
      <xdr:nvCxnSpPr>
        <xdr:cNvPr id="898" name="Straight Connector 897"/>
        <xdr:cNvCxnSpPr/>
      </xdr:nvCxnSpPr>
      <xdr:spPr>
        <a:xfrm flipV="1">
          <a:off x="3003877" y="456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807</xdr:row>
      <xdr:rowOff>0</xdr:rowOff>
    </xdr:from>
    <xdr:to>
      <xdr:col>4</xdr:col>
      <xdr:colOff>601265</xdr:colOff>
      <xdr:row>807</xdr:row>
      <xdr:rowOff>187699</xdr:rowOff>
    </xdr:to>
    <xdr:cxnSp macro="">
      <xdr:nvCxnSpPr>
        <xdr:cNvPr id="899" name="Straight Connector 898"/>
        <xdr:cNvCxnSpPr/>
      </xdr:nvCxnSpPr>
      <xdr:spPr>
        <a:xfrm flipV="1">
          <a:off x="3991044" y="456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807</xdr:row>
      <xdr:rowOff>0</xdr:rowOff>
    </xdr:from>
    <xdr:to>
      <xdr:col>3</xdr:col>
      <xdr:colOff>23112</xdr:colOff>
      <xdr:row>807</xdr:row>
      <xdr:rowOff>188399</xdr:rowOff>
    </xdr:to>
    <xdr:cxnSp macro="">
      <xdr:nvCxnSpPr>
        <xdr:cNvPr id="900" name="Straight Connector 899"/>
        <xdr:cNvCxnSpPr/>
      </xdr:nvCxnSpPr>
      <xdr:spPr>
        <a:xfrm flipV="1">
          <a:off x="3003877" y="456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807</xdr:row>
      <xdr:rowOff>0</xdr:rowOff>
    </xdr:from>
    <xdr:to>
      <xdr:col>4</xdr:col>
      <xdr:colOff>601265</xdr:colOff>
      <xdr:row>807</xdr:row>
      <xdr:rowOff>187699</xdr:rowOff>
    </xdr:to>
    <xdr:cxnSp macro="">
      <xdr:nvCxnSpPr>
        <xdr:cNvPr id="901" name="Straight Connector 900"/>
        <xdr:cNvCxnSpPr/>
      </xdr:nvCxnSpPr>
      <xdr:spPr>
        <a:xfrm flipV="1">
          <a:off x="3991044" y="456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813</xdr:row>
      <xdr:rowOff>179295</xdr:rowOff>
    </xdr:from>
    <xdr:to>
      <xdr:col>5</xdr:col>
      <xdr:colOff>11206</xdr:colOff>
      <xdr:row>813</xdr:row>
      <xdr:rowOff>179295</xdr:rowOff>
    </xdr:to>
    <xdr:cxnSp macro="">
      <xdr:nvCxnSpPr>
        <xdr:cNvPr id="902" name="Straight Connector 901"/>
        <xdr:cNvCxnSpPr/>
      </xdr:nvCxnSpPr>
      <xdr:spPr>
        <a:xfrm>
          <a:off x="2980765" y="588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813</xdr:row>
      <xdr:rowOff>0</xdr:rowOff>
    </xdr:from>
    <xdr:to>
      <xdr:col>3</xdr:col>
      <xdr:colOff>23112</xdr:colOff>
      <xdr:row>813</xdr:row>
      <xdr:rowOff>188399</xdr:rowOff>
    </xdr:to>
    <xdr:cxnSp macro="">
      <xdr:nvCxnSpPr>
        <xdr:cNvPr id="903" name="Straight Connector 902"/>
        <xdr:cNvCxnSpPr/>
      </xdr:nvCxnSpPr>
      <xdr:spPr>
        <a:xfrm flipV="1">
          <a:off x="3003877" y="570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813</xdr:row>
      <xdr:rowOff>0</xdr:rowOff>
    </xdr:from>
    <xdr:to>
      <xdr:col>4</xdr:col>
      <xdr:colOff>601265</xdr:colOff>
      <xdr:row>813</xdr:row>
      <xdr:rowOff>187699</xdr:rowOff>
    </xdr:to>
    <xdr:cxnSp macro="">
      <xdr:nvCxnSpPr>
        <xdr:cNvPr id="904" name="Straight Connector 903"/>
        <xdr:cNvCxnSpPr/>
      </xdr:nvCxnSpPr>
      <xdr:spPr>
        <a:xfrm flipV="1">
          <a:off x="3991044" y="570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813</xdr:row>
      <xdr:rowOff>0</xdr:rowOff>
    </xdr:from>
    <xdr:to>
      <xdr:col>3</xdr:col>
      <xdr:colOff>23112</xdr:colOff>
      <xdr:row>813</xdr:row>
      <xdr:rowOff>188399</xdr:rowOff>
    </xdr:to>
    <xdr:cxnSp macro="">
      <xdr:nvCxnSpPr>
        <xdr:cNvPr id="905" name="Straight Connector 904"/>
        <xdr:cNvCxnSpPr/>
      </xdr:nvCxnSpPr>
      <xdr:spPr>
        <a:xfrm flipV="1">
          <a:off x="3003877" y="570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813</xdr:row>
      <xdr:rowOff>0</xdr:rowOff>
    </xdr:from>
    <xdr:to>
      <xdr:col>4</xdr:col>
      <xdr:colOff>601265</xdr:colOff>
      <xdr:row>813</xdr:row>
      <xdr:rowOff>187699</xdr:rowOff>
    </xdr:to>
    <xdr:cxnSp macro="">
      <xdr:nvCxnSpPr>
        <xdr:cNvPr id="906" name="Straight Connector 905"/>
        <xdr:cNvCxnSpPr/>
      </xdr:nvCxnSpPr>
      <xdr:spPr>
        <a:xfrm flipV="1">
          <a:off x="3991044" y="570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813</xdr:row>
      <xdr:rowOff>0</xdr:rowOff>
    </xdr:from>
    <xdr:to>
      <xdr:col>3</xdr:col>
      <xdr:colOff>23112</xdr:colOff>
      <xdr:row>813</xdr:row>
      <xdr:rowOff>188399</xdr:rowOff>
    </xdr:to>
    <xdr:cxnSp macro="">
      <xdr:nvCxnSpPr>
        <xdr:cNvPr id="907" name="Straight Connector 906"/>
        <xdr:cNvCxnSpPr/>
      </xdr:nvCxnSpPr>
      <xdr:spPr>
        <a:xfrm flipV="1">
          <a:off x="3003877" y="570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813</xdr:row>
      <xdr:rowOff>0</xdr:rowOff>
    </xdr:from>
    <xdr:to>
      <xdr:col>4</xdr:col>
      <xdr:colOff>601265</xdr:colOff>
      <xdr:row>813</xdr:row>
      <xdr:rowOff>187699</xdr:rowOff>
    </xdr:to>
    <xdr:cxnSp macro="">
      <xdr:nvCxnSpPr>
        <xdr:cNvPr id="908" name="Straight Connector 907"/>
        <xdr:cNvCxnSpPr/>
      </xdr:nvCxnSpPr>
      <xdr:spPr>
        <a:xfrm flipV="1">
          <a:off x="3991044" y="570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819</xdr:row>
      <xdr:rowOff>179295</xdr:rowOff>
    </xdr:from>
    <xdr:to>
      <xdr:col>5</xdr:col>
      <xdr:colOff>11206</xdr:colOff>
      <xdr:row>819</xdr:row>
      <xdr:rowOff>179295</xdr:rowOff>
    </xdr:to>
    <xdr:cxnSp macro="">
      <xdr:nvCxnSpPr>
        <xdr:cNvPr id="909" name="Straight Connector 908"/>
        <xdr:cNvCxnSpPr/>
      </xdr:nvCxnSpPr>
      <xdr:spPr>
        <a:xfrm>
          <a:off x="2980765" y="702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819</xdr:row>
      <xdr:rowOff>0</xdr:rowOff>
    </xdr:from>
    <xdr:to>
      <xdr:col>3</xdr:col>
      <xdr:colOff>23112</xdr:colOff>
      <xdr:row>819</xdr:row>
      <xdr:rowOff>188399</xdr:rowOff>
    </xdr:to>
    <xdr:cxnSp macro="">
      <xdr:nvCxnSpPr>
        <xdr:cNvPr id="910" name="Straight Connector 909"/>
        <xdr:cNvCxnSpPr/>
      </xdr:nvCxnSpPr>
      <xdr:spPr>
        <a:xfrm flipV="1">
          <a:off x="3003877" y="684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819</xdr:row>
      <xdr:rowOff>0</xdr:rowOff>
    </xdr:from>
    <xdr:to>
      <xdr:col>4</xdr:col>
      <xdr:colOff>601265</xdr:colOff>
      <xdr:row>819</xdr:row>
      <xdr:rowOff>187699</xdr:rowOff>
    </xdr:to>
    <xdr:cxnSp macro="">
      <xdr:nvCxnSpPr>
        <xdr:cNvPr id="911" name="Straight Connector 910"/>
        <xdr:cNvCxnSpPr/>
      </xdr:nvCxnSpPr>
      <xdr:spPr>
        <a:xfrm flipV="1">
          <a:off x="3991044" y="684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819</xdr:row>
      <xdr:rowOff>0</xdr:rowOff>
    </xdr:from>
    <xdr:to>
      <xdr:col>3</xdr:col>
      <xdr:colOff>23112</xdr:colOff>
      <xdr:row>819</xdr:row>
      <xdr:rowOff>188399</xdr:rowOff>
    </xdr:to>
    <xdr:cxnSp macro="">
      <xdr:nvCxnSpPr>
        <xdr:cNvPr id="912" name="Straight Connector 911"/>
        <xdr:cNvCxnSpPr/>
      </xdr:nvCxnSpPr>
      <xdr:spPr>
        <a:xfrm flipV="1">
          <a:off x="3003877" y="684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819</xdr:row>
      <xdr:rowOff>0</xdr:rowOff>
    </xdr:from>
    <xdr:to>
      <xdr:col>4</xdr:col>
      <xdr:colOff>601265</xdr:colOff>
      <xdr:row>819</xdr:row>
      <xdr:rowOff>187699</xdr:rowOff>
    </xdr:to>
    <xdr:cxnSp macro="">
      <xdr:nvCxnSpPr>
        <xdr:cNvPr id="913" name="Straight Connector 912"/>
        <xdr:cNvCxnSpPr/>
      </xdr:nvCxnSpPr>
      <xdr:spPr>
        <a:xfrm flipV="1">
          <a:off x="3991044" y="684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819</xdr:row>
      <xdr:rowOff>0</xdr:rowOff>
    </xdr:from>
    <xdr:to>
      <xdr:col>3</xdr:col>
      <xdr:colOff>23112</xdr:colOff>
      <xdr:row>819</xdr:row>
      <xdr:rowOff>188399</xdr:rowOff>
    </xdr:to>
    <xdr:cxnSp macro="">
      <xdr:nvCxnSpPr>
        <xdr:cNvPr id="914" name="Straight Connector 913"/>
        <xdr:cNvCxnSpPr/>
      </xdr:nvCxnSpPr>
      <xdr:spPr>
        <a:xfrm flipV="1">
          <a:off x="3003877" y="684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819</xdr:row>
      <xdr:rowOff>0</xdr:rowOff>
    </xdr:from>
    <xdr:to>
      <xdr:col>4</xdr:col>
      <xdr:colOff>601265</xdr:colOff>
      <xdr:row>819</xdr:row>
      <xdr:rowOff>187699</xdr:rowOff>
    </xdr:to>
    <xdr:cxnSp macro="">
      <xdr:nvCxnSpPr>
        <xdr:cNvPr id="915" name="Straight Connector 914"/>
        <xdr:cNvCxnSpPr/>
      </xdr:nvCxnSpPr>
      <xdr:spPr>
        <a:xfrm flipV="1">
          <a:off x="3991044" y="684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825</xdr:row>
      <xdr:rowOff>179295</xdr:rowOff>
    </xdr:from>
    <xdr:to>
      <xdr:col>5</xdr:col>
      <xdr:colOff>11206</xdr:colOff>
      <xdr:row>825</xdr:row>
      <xdr:rowOff>179295</xdr:rowOff>
    </xdr:to>
    <xdr:cxnSp macro="">
      <xdr:nvCxnSpPr>
        <xdr:cNvPr id="916" name="Straight Connector 915"/>
        <xdr:cNvCxnSpPr/>
      </xdr:nvCxnSpPr>
      <xdr:spPr>
        <a:xfrm>
          <a:off x="2980765" y="816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825</xdr:row>
      <xdr:rowOff>0</xdr:rowOff>
    </xdr:from>
    <xdr:to>
      <xdr:col>3</xdr:col>
      <xdr:colOff>23112</xdr:colOff>
      <xdr:row>825</xdr:row>
      <xdr:rowOff>188399</xdr:rowOff>
    </xdr:to>
    <xdr:cxnSp macro="">
      <xdr:nvCxnSpPr>
        <xdr:cNvPr id="917" name="Straight Connector 916"/>
        <xdr:cNvCxnSpPr/>
      </xdr:nvCxnSpPr>
      <xdr:spPr>
        <a:xfrm flipV="1">
          <a:off x="3003877" y="798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825</xdr:row>
      <xdr:rowOff>0</xdr:rowOff>
    </xdr:from>
    <xdr:to>
      <xdr:col>4</xdr:col>
      <xdr:colOff>601265</xdr:colOff>
      <xdr:row>825</xdr:row>
      <xdr:rowOff>187699</xdr:rowOff>
    </xdr:to>
    <xdr:cxnSp macro="">
      <xdr:nvCxnSpPr>
        <xdr:cNvPr id="918" name="Straight Connector 917"/>
        <xdr:cNvCxnSpPr/>
      </xdr:nvCxnSpPr>
      <xdr:spPr>
        <a:xfrm flipV="1">
          <a:off x="3991044" y="798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825</xdr:row>
      <xdr:rowOff>0</xdr:rowOff>
    </xdr:from>
    <xdr:to>
      <xdr:col>3</xdr:col>
      <xdr:colOff>23112</xdr:colOff>
      <xdr:row>825</xdr:row>
      <xdr:rowOff>188399</xdr:rowOff>
    </xdr:to>
    <xdr:cxnSp macro="">
      <xdr:nvCxnSpPr>
        <xdr:cNvPr id="919" name="Straight Connector 918"/>
        <xdr:cNvCxnSpPr/>
      </xdr:nvCxnSpPr>
      <xdr:spPr>
        <a:xfrm flipV="1">
          <a:off x="3003877" y="798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825</xdr:row>
      <xdr:rowOff>0</xdr:rowOff>
    </xdr:from>
    <xdr:to>
      <xdr:col>4</xdr:col>
      <xdr:colOff>601265</xdr:colOff>
      <xdr:row>825</xdr:row>
      <xdr:rowOff>187699</xdr:rowOff>
    </xdr:to>
    <xdr:cxnSp macro="">
      <xdr:nvCxnSpPr>
        <xdr:cNvPr id="920" name="Straight Connector 919"/>
        <xdr:cNvCxnSpPr/>
      </xdr:nvCxnSpPr>
      <xdr:spPr>
        <a:xfrm flipV="1">
          <a:off x="3991044" y="798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825</xdr:row>
      <xdr:rowOff>0</xdr:rowOff>
    </xdr:from>
    <xdr:to>
      <xdr:col>3</xdr:col>
      <xdr:colOff>23112</xdr:colOff>
      <xdr:row>825</xdr:row>
      <xdr:rowOff>188399</xdr:rowOff>
    </xdr:to>
    <xdr:cxnSp macro="">
      <xdr:nvCxnSpPr>
        <xdr:cNvPr id="921" name="Straight Connector 920"/>
        <xdr:cNvCxnSpPr/>
      </xdr:nvCxnSpPr>
      <xdr:spPr>
        <a:xfrm flipV="1">
          <a:off x="3003877" y="798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825</xdr:row>
      <xdr:rowOff>0</xdr:rowOff>
    </xdr:from>
    <xdr:to>
      <xdr:col>4</xdr:col>
      <xdr:colOff>601265</xdr:colOff>
      <xdr:row>825</xdr:row>
      <xdr:rowOff>187699</xdr:rowOff>
    </xdr:to>
    <xdr:cxnSp macro="">
      <xdr:nvCxnSpPr>
        <xdr:cNvPr id="922" name="Straight Connector 921"/>
        <xdr:cNvCxnSpPr/>
      </xdr:nvCxnSpPr>
      <xdr:spPr>
        <a:xfrm flipV="1">
          <a:off x="3991044" y="798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845</xdr:row>
      <xdr:rowOff>0</xdr:rowOff>
    </xdr:from>
    <xdr:to>
      <xdr:col>5</xdr:col>
      <xdr:colOff>0</xdr:colOff>
      <xdr:row>845</xdr:row>
      <xdr:rowOff>187699</xdr:rowOff>
    </xdr:to>
    <xdr:cxnSp macro="">
      <xdr:nvCxnSpPr>
        <xdr:cNvPr id="923" name="Straight Connector 922"/>
        <xdr:cNvCxnSpPr/>
      </xdr:nvCxnSpPr>
      <xdr:spPr>
        <a:xfrm flipV="1">
          <a:off x="3989294" y="1179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842</xdr:row>
      <xdr:rowOff>0</xdr:rowOff>
    </xdr:from>
    <xdr:to>
      <xdr:col>5</xdr:col>
      <xdr:colOff>0</xdr:colOff>
      <xdr:row>842</xdr:row>
      <xdr:rowOff>187699</xdr:rowOff>
    </xdr:to>
    <xdr:cxnSp macro="">
      <xdr:nvCxnSpPr>
        <xdr:cNvPr id="924" name="Straight Connector 923"/>
        <xdr:cNvCxnSpPr/>
      </xdr:nvCxnSpPr>
      <xdr:spPr>
        <a:xfrm flipV="1">
          <a:off x="3989294" y="1122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856</xdr:row>
      <xdr:rowOff>179295</xdr:rowOff>
    </xdr:from>
    <xdr:to>
      <xdr:col>5</xdr:col>
      <xdr:colOff>11206</xdr:colOff>
      <xdr:row>856</xdr:row>
      <xdr:rowOff>179295</xdr:rowOff>
    </xdr:to>
    <xdr:cxnSp macro="">
      <xdr:nvCxnSpPr>
        <xdr:cNvPr id="925" name="Straight Connector 924"/>
        <xdr:cNvCxnSpPr/>
      </xdr:nvCxnSpPr>
      <xdr:spPr>
        <a:xfrm>
          <a:off x="2980765" y="1407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856</xdr:row>
      <xdr:rowOff>0</xdr:rowOff>
    </xdr:from>
    <xdr:to>
      <xdr:col>3</xdr:col>
      <xdr:colOff>23112</xdr:colOff>
      <xdr:row>856</xdr:row>
      <xdr:rowOff>188399</xdr:rowOff>
    </xdr:to>
    <xdr:cxnSp macro="">
      <xdr:nvCxnSpPr>
        <xdr:cNvPr id="926" name="Straight Connector 925"/>
        <xdr:cNvCxnSpPr/>
      </xdr:nvCxnSpPr>
      <xdr:spPr>
        <a:xfrm flipV="1">
          <a:off x="3003877" y="1389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856</xdr:row>
      <xdr:rowOff>0</xdr:rowOff>
    </xdr:from>
    <xdr:to>
      <xdr:col>4</xdr:col>
      <xdr:colOff>601265</xdr:colOff>
      <xdr:row>856</xdr:row>
      <xdr:rowOff>187699</xdr:rowOff>
    </xdr:to>
    <xdr:cxnSp macro="">
      <xdr:nvCxnSpPr>
        <xdr:cNvPr id="927" name="Straight Connector 926"/>
        <xdr:cNvCxnSpPr/>
      </xdr:nvCxnSpPr>
      <xdr:spPr>
        <a:xfrm flipV="1">
          <a:off x="3991044" y="1389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856</xdr:row>
      <xdr:rowOff>0</xdr:rowOff>
    </xdr:from>
    <xdr:to>
      <xdr:col>3</xdr:col>
      <xdr:colOff>23112</xdr:colOff>
      <xdr:row>856</xdr:row>
      <xdr:rowOff>188399</xdr:rowOff>
    </xdr:to>
    <xdr:cxnSp macro="">
      <xdr:nvCxnSpPr>
        <xdr:cNvPr id="928" name="Straight Connector 927"/>
        <xdr:cNvCxnSpPr/>
      </xdr:nvCxnSpPr>
      <xdr:spPr>
        <a:xfrm flipV="1">
          <a:off x="3003877" y="1389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856</xdr:row>
      <xdr:rowOff>0</xdr:rowOff>
    </xdr:from>
    <xdr:to>
      <xdr:col>4</xdr:col>
      <xdr:colOff>601265</xdr:colOff>
      <xdr:row>856</xdr:row>
      <xdr:rowOff>187699</xdr:rowOff>
    </xdr:to>
    <xdr:cxnSp macro="">
      <xdr:nvCxnSpPr>
        <xdr:cNvPr id="929" name="Straight Connector 928"/>
        <xdr:cNvCxnSpPr/>
      </xdr:nvCxnSpPr>
      <xdr:spPr>
        <a:xfrm flipV="1">
          <a:off x="3991044" y="1389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856</xdr:row>
      <xdr:rowOff>0</xdr:rowOff>
    </xdr:from>
    <xdr:to>
      <xdr:col>3</xdr:col>
      <xdr:colOff>23112</xdr:colOff>
      <xdr:row>856</xdr:row>
      <xdr:rowOff>188399</xdr:rowOff>
    </xdr:to>
    <xdr:cxnSp macro="">
      <xdr:nvCxnSpPr>
        <xdr:cNvPr id="930" name="Straight Connector 929"/>
        <xdr:cNvCxnSpPr/>
      </xdr:nvCxnSpPr>
      <xdr:spPr>
        <a:xfrm flipV="1">
          <a:off x="3003877" y="1389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856</xdr:row>
      <xdr:rowOff>0</xdr:rowOff>
    </xdr:from>
    <xdr:to>
      <xdr:col>4</xdr:col>
      <xdr:colOff>601265</xdr:colOff>
      <xdr:row>856</xdr:row>
      <xdr:rowOff>187699</xdr:rowOff>
    </xdr:to>
    <xdr:cxnSp macro="">
      <xdr:nvCxnSpPr>
        <xdr:cNvPr id="931" name="Straight Connector 930"/>
        <xdr:cNvCxnSpPr/>
      </xdr:nvCxnSpPr>
      <xdr:spPr>
        <a:xfrm flipV="1">
          <a:off x="3991044" y="1389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862</xdr:row>
      <xdr:rowOff>179295</xdr:rowOff>
    </xdr:from>
    <xdr:to>
      <xdr:col>5</xdr:col>
      <xdr:colOff>11206</xdr:colOff>
      <xdr:row>862</xdr:row>
      <xdr:rowOff>179295</xdr:rowOff>
    </xdr:to>
    <xdr:cxnSp macro="">
      <xdr:nvCxnSpPr>
        <xdr:cNvPr id="932" name="Straight Connector 931"/>
        <xdr:cNvCxnSpPr/>
      </xdr:nvCxnSpPr>
      <xdr:spPr>
        <a:xfrm>
          <a:off x="2980765" y="15217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862</xdr:row>
      <xdr:rowOff>0</xdr:rowOff>
    </xdr:from>
    <xdr:to>
      <xdr:col>3</xdr:col>
      <xdr:colOff>23112</xdr:colOff>
      <xdr:row>862</xdr:row>
      <xdr:rowOff>188399</xdr:rowOff>
    </xdr:to>
    <xdr:cxnSp macro="">
      <xdr:nvCxnSpPr>
        <xdr:cNvPr id="933" name="Straight Connector 932"/>
        <xdr:cNvCxnSpPr/>
      </xdr:nvCxnSpPr>
      <xdr:spPr>
        <a:xfrm flipV="1">
          <a:off x="3003877" y="1503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862</xdr:row>
      <xdr:rowOff>0</xdr:rowOff>
    </xdr:from>
    <xdr:to>
      <xdr:col>4</xdr:col>
      <xdr:colOff>601265</xdr:colOff>
      <xdr:row>862</xdr:row>
      <xdr:rowOff>187699</xdr:rowOff>
    </xdr:to>
    <xdr:cxnSp macro="">
      <xdr:nvCxnSpPr>
        <xdr:cNvPr id="934" name="Straight Connector 933"/>
        <xdr:cNvCxnSpPr/>
      </xdr:nvCxnSpPr>
      <xdr:spPr>
        <a:xfrm flipV="1">
          <a:off x="3991044" y="1503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862</xdr:row>
      <xdr:rowOff>0</xdr:rowOff>
    </xdr:from>
    <xdr:to>
      <xdr:col>3</xdr:col>
      <xdr:colOff>23112</xdr:colOff>
      <xdr:row>862</xdr:row>
      <xdr:rowOff>188399</xdr:rowOff>
    </xdr:to>
    <xdr:cxnSp macro="">
      <xdr:nvCxnSpPr>
        <xdr:cNvPr id="935" name="Straight Connector 934"/>
        <xdr:cNvCxnSpPr/>
      </xdr:nvCxnSpPr>
      <xdr:spPr>
        <a:xfrm flipV="1">
          <a:off x="3003877" y="1503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862</xdr:row>
      <xdr:rowOff>0</xdr:rowOff>
    </xdr:from>
    <xdr:to>
      <xdr:col>4</xdr:col>
      <xdr:colOff>601265</xdr:colOff>
      <xdr:row>862</xdr:row>
      <xdr:rowOff>187699</xdr:rowOff>
    </xdr:to>
    <xdr:cxnSp macro="">
      <xdr:nvCxnSpPr>
        <xdr:cNvPr id="936" name="Straight Connector 935"/>
        <xdr:cNvCxnSpPr/>
      </xdr:nvCxnSpPr>
      <xdr:spPr>
        <a:xfrm flipV="1">
          <a:off x="3991044" y="1503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862</xdr:row>
      <xdr:rowOff>0</xdr:rowOff>
    </xdr:from>
    <xdr:to>
      <xdr:col>3</xdr:col>
      <xdr:colOff>23112</xdr:colOff>
      <xdr:row>862</xdr:row>
      <xdr:rowOff>188399</xdr:rowOff>
    </xdr:to>
    <xdr:cxnSp macro="">
      <xdr:nvCxnSpPr>
        <xdr:cNvPr id="937" name="Straight Connector 936"/>
        <xdr:cNvCxnSpPr/>
      </xdr:nvCxnSpPr>
      <xdr:spPr>
        <a:xfrm flipV="1">
          <a:off x="3003877" y="1503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862</xdr:row>
      <xdr:rowOff>0</xdr:rowOff>
    </xdr:from>
    <xdr:to>
      <xdr:col>4</xdr:col>
      <xdr:colOff>601265</xdr:colOff>
      <xdr:row>862</xdr:row>
      <xdr:rowOff>187699</xdr:rowOff>
    </xdr:to>
    <xdr:cxnSp macro="">
      <xdr:nvCxnSpPr>
        <xdr:cNvPr id="938" name="Straight Connector 937"/>
        <xdr:cNvCxnSpPr/>
      </xdr:nvCxnSpPr>
      <xdr:spPr>
        <a:xfrm flipV="1">
          <a:off x="3991044" y="1503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868</xdr:row>
      <xdr:rowOff>179295</xdr:rowOff>
    </xdr:from>
    <xdr:to>
      <xdr:col>5</xdr:col>
      <xdr:colOff>11206</xdr:colOff>
      <xdr:row>868</xdr:row>
      <xdr:rowOff>179295</xdr:rowOff>
    </xdr:to>
    <xdr:cxnSp macro="">
      <xdr:nvCxnSpPr>
        <xdr:cNvPr id="939" name="Straight Connector 938"/>
        <xdr:cNvCxnSpPr/>
      </xdr:nvCxnSpPr>
      <xdr:spPr>
        <a:xfrm>
          <a:off x="2980765" y="16360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868</xdr:row>
      <xdr:rowOff>0</xdr:rowOff>
    </xdr:from>
    <xdr:to>
      <xdr:col>3</xdr:col>
      <xdr:colOff>23112</xdr:colOff>
      <xdr:row>868</xdr:row>
      <xdr:rowOff>188399</xdr:rowOff>
    </xdr:to>
    <xdr:cxnSp macro="">
      <xdr:nvCxnSpPr>
        <xdr:cNvPr id="940" name="Straight Connector 939"/>
        <xdr:cNvCxnSpPr/>
      </xdr:nvCxnSpPr>
      <xdr:spPr>
        <a:xfrm flipV="1">
          <a:off x="3003877" y="1618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868</xdr:row>
      <xdr:rowOff>0</xdr:rowOff>
    </xdr:from>
    <xdr:to>
      <xdr:col>4</xdr:col>
      <xdr:colOff>601265</xdr:colOff>
      <xdr:row>868</xdr:row>
      <xdr:rowOff>187699</xdr:rowOff>
    </xdr:to>
    <xdr:cxnSp macro="">
      <xdr:nvCxnSpPr>
        <xdr:cNvPr id="941" name="Straight Connector 940"/>
        <xdr:cNvCxnSpPr/>
      </xdr:nvCxnSpPr>
      <xdr:spPr>
        <a:xfrm flipV="1">
          <a:off x="3991044" y="1618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868</xdr:row>
      <xdr:rowOff>0</xdr:rowOff>
    </xdr:from>
    <xdr:to>
      <xdr:col>3</xdr:col>
      <xdr:colOff>23112</xdr:colOff>
      <xdr:row>868</xdr:row>
      <xdr:rowOff>188399</xdr:rowOff>
    </xdr:to>
    <xdr:cxnSp macro="">
      <xdr:nvCxnSpPr>
        <xdr:cNvPr id="942" name="Straight Connector 941"/>
        <xdr:cNvCxnSpPr/>
      </xdr:nvCxnSpPr>
      <xdr:spPr>
        <a:xfrm flipV="1">
          <a:off x="3003877" y="1618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868</xdr:row>
      <xdr:rowOff>0</xdr:rowOff>
    </xdr:from>
    <xdr:to>
      <xdr:col>4</xdr:col>
      <xdr:colOff>601265</xdr:colOff>
      <xdr:row>868</xdr:row>
      <xdr:rowOff>187699</xdr:rowOff>
    </xdr:to>
    <xdr:cxnSp macro="">
      <xdr:nvCxnSpPr>
        <xdr:cNvPr id="943" name="Straight Connector 942"/>
        <xdr:cNvCxnSpPr/>
      </xdr:nvCxnSpPr>
      <xdr:spPr>
        <a:xfrm flipV="1">
          <a:off x="3991044" y="1618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868</xdr:row>
      <xdr:rowOff>0</xdr:rowOff>
    </xdr:from>
    <xdr:to>
      <xdr:col>3</xdr:col>
      <xdr:colOff>23112</xdr:colOff>
      <xdr:row>868</xdr:row>
      <xdr:rowOff>188399</xdr:rowOff>
    </xdr:to>
    <xdr:cxnSp macro="">
      <xdr:nvCxnSpPr>
        <xdr:cNvPr id="944" name="Straight Connector 943"/>
        <xdr:cNvCxnSpPr/>
      </xdr:nvCxnSpPr>
      <xdr:spPr>
        <a:xfrm flipV="1">
          <a:off x="3003877" y="1618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868</xdr:row>
      <xdr:rowOff>0</xdr:rowOff>
    </xdr:from>
    <xdr:to>
      <xdr:col>4</xdr:col>
      <xdr:colOff>601265</xdr:colOff>
      <xdr:row>868</xdr:row>
      <xdr:rowOff>187699</xdr:rowOff>
    </xdr:to>
    <xdr:cxnSp macro="">
      <xdr:nvCxnSpPr>
        <xdr:cNvPr id="945" name="Straight Connector 944"/>
        <xdr:cNvCxnSpPr/>
      </xdr:nvCxnSpPr>
      <xdr:spPr>
        <a:xfrm flipV="1">
          <a:off x="3991044" y="1618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874</xdr:row>
      <xdr:rowOff>179295</xdr:rowOff>
    </xdr:from>
    <xdr:to>
      <xdr:col>5</xdr:col>
      <xdr:colOff>11206</xdr:colOff>
      <xdr:row>874</xdr:row>
      <xdr:rowOff>179295</xdr:rowOff>
    </xdr:to>
    <xdr:cxnSp macro="">
      <xdr:nvCxnSpPr>
        <xdr:cNvPr id="946" name="Straight Connector 945"/>
        <xdr:cNvCxnSpPr/>
      </xdr:nvCxnSpPr>
      <xdr:spPr>
        <a:xfrm>
          <a:off x="2980765" y="17503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874</xdr:row>
      <xdr:rowOff>0</xdr:rowOff>
    </xdr:from>
    <xdr:to>
      <xdr:col>3</xdr:col>
      <xdr:colOff>23112</xdr:colOff>
      <xdr:row>874</xdr:row>
      <xdr:rowOff>188399</xdr:rowOff>
    </xdr:to>
    <xdr:cxnSp macro="">
      <xdr:nvCxnSpPr>
        <xdr:cNvPr id="947" name="Straight Connector 946"/>
        <xdr:cNvCxnSpPr/>
      </xdr:nvCxnSpPr>
      <xdr:spPr>
        <a:xfrm flipV="1">
          <a:off x="3003877" y="17324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874</xdr:row>
      <xdr:rowOff>0</xdr:rowOff>
    </xdr:from>
    <xdr:to>
      <xdr:col>4</xdr:col>
      <xdr:colOff>601265</xdr:colOff>
      <xdr:row>874</xdr:row>
      <xdr:rowOff>187699</xdr:rowOff>
    </xdr:to>
    <xdr:cxnSp macro="">
      <xdr:nvCxnSpPr>
        <xdr:cNvPr id="948" name="Straight Connector 947"/>
        <xdr:cNvCxnSpPr/>
      </xdr:nvCxnSpPr>
      <xdr:spPr>
        <a:xfrm flipV="1">
          <a:off x="3991044" y="17324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874</xdr:row>
      <xdr:rowOff>0</xdr:rowOff>
    </xdr:from>
    <xdr:to>
      <xdr:col>3</xdr:col>
      <xdr:colOff>23112</xdr:colOff>
      <xdr:row>874</xdr:row>
      <xdr:rowOff>188399</xdr:rowOff>
    </xdr:to>
    <xdr:cxnSp macro="">
      <xdr:nvCxnSpPr>
        <xdr:cNvPr id="949" name="Straight Connector 948"/>
        <xdr:cNvCxnSpPr/>
      </xdr:nvCxnSpPr>
      <xdr:spPr>
        <a:xfrm flipV="1">
          <a:off x="3003877" y="17324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874</xdr:row>
      <xdr:rowOff>0</xdr:rowOff>
    </xdr:from>
    <xdr:to>
      <xdr:col>4</xdr:col>
      <xdr:colOff>601265</xdr:colOff>
      <xdr:row>874</xdr:row>
      <xdr:rowOff>187699</xdr:rowOff>
    </xdr:to>
    <xdr:cxnSp macro="">
      <xdr:nvCxnSpPr>
        <xdr:cNvPr id="950" name="Straight Connector 949"/>
        <xdr:cNvCxnSpPr/>
      </xdr:nvCxnSpPr>
      <xdr:spPr>
        <a:xfrm flipV="1">
          <a:off x="3991044" y="17324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874</xdr:row>
      <xdr:rowOff>0</xdr:rowOff>
    </xdr:from>
    <xdr:to>
      <xdr:col>3</xdr:col>
      <xdr:colOff>23112</xdr:colOff>
      <xdr:row>874</xdr:row>
      <xdr:rowOff>188399</xdr:rowOff>
    </xdr:to>
    <xdr:cxnSp macro="">
      <xdr:nvCxnSpPr>
        <xdr:cNvPr id="951" name="Straight Connector 950"/>
        <xdr:cNvCxnSpPr/>
      </xdr:nvCxnSpPr>
      <xdr:spPr>
        <a:xfrm flipV="1">
          <a:off x="3003877" y="17324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874</xdr:row>
      <xdr:rowOff>0</xdr:rowOff>
    </xdr:from>
    <xdr:to>
      <xdr:col>4</xdr:col>
      <xdr:colOff>601265</xdr:colOff>
      <xdr:row>874</xdr:row>
      <xdr:rowOff>187699</xdr:rowOff>
    </xdr:to>
    <xdr:cxnSp macro="">
      <xdr:nvCxnSpPr>
        <xdr:cNvPr id="952" name="Straight Connector 951"/>
        <xdr:cNvCxnSpPr/>
      </xdr:nvCxnSpPr>
      <xdr:spPr>
        <a:xfrm flipV="1">
          <a:off x="3991044" y="17324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886</xdr:row>
      <xdr:rowOff>179295</xdr:rowOff>
    </xdr:from>
    <xdr:to>
      <xdr:col>5</xdr:col>
      <xdr:colOff>11206</xdr:colOff>
      <xdr:row>886</xdr:row>
      <xdr:rowOff>179295</xdr:rowOff>
    </xdr:to>
    <xdr:cxnSp macro="">
      <xdr:nvCxnSpPr>
        <xdr:cNvPr id="953" name="Straight Connector 952"/>
        <xdr:cNvCxnSpPr/>
      </xdr:nvCxnSpPr>
      <xdr:spPr>
        <a:xfrm>
          <a:off x="2980765" y="19789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886</xdr:row>
      <xdr:rowOff>0</xdr:rowOff>
    </xdr:from>
    <xdr:to>
      <xdr:col>3</xdr:col>
      <xdr:colOff>23112</xdr:colOff>
      <xdr:row>886</xdr:row>
      <xdr:rowOff>188399</xdr:rowOff>
    </xdr:to>
    <xdr:cxnSp macro="">
      <xdr:nvCxnSpPr>
        <xdr:cNvPr id="954" name="Straight Connector 953"/>
        <xdr:cNvCxnSpPr/>
      </xdr:nvCxnSpPr>
      <xdr:spPr>
        <a:xfrm flipV="1">
          <a:off x="3003877" y="19610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886</xdr:row>
      <xdr:rowOff>0</xdr:rowOff>
    </xdr:from>
    <xdr:to>
      <xdr:col>4</xdr:col>
      <xdr:colOff>601265</xdr:colOff>
      <xdr:row>886</xdr:row>
      <xdr:rowOff>187699</xdr:rowOff>
    </xdr:to>
    <xdr:cxnSp macro="">
      <xdr:nvCxnSpPr>
        <xdr:cNvPr id="955" name="Straight Connector 954"/>
        <xdr:cNvCxnSpPr/>
      </xdr:nvCxnSpPr>
      <xdr:spPr>
        <a:xfrm flipV="1">
          <a:off x="3991044" y="1961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886</xdr:row>
      <xdr:rowOff>0</xdr:rowOff>
    </xdr:from>
    <xdr:to>
      <xdr:col>3</xdr:col>
      <xdr:colOff>23112</xdr:colOff>
      <xdr:row>886</xdr:row>
      <xdr:rowOff>188399</xdr:rowOff>
    </xdr:to>
    <xdr:cxnSp macro="">
      <xdr:nvCxnSpPr>
        <xdr:cNvPr id="956" name="Straight Connector 955"/>
        <xdr:cNvCxnSpPr/>
      </xdr:nvCxnSpPr>
      <xdr:spPr>
        <a:xfrm flipV="1">
          <a:off x="3003877" y="19610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886</xdr:row>
      <xdr:rowOff>0</xdr:rowOff>
    </xdr:from>
    <xdr:to>
      <xdr:col>4</xdr:col>
      <xdr:colOff>601265</xdr:colOff>
      <xdr:row>886</xdr:row>
      <xdr:rowOff>187699</xdr:rowOff>
    </xdr:to>
    <xdr:cxnSp macro="">
      <xdr:nvCxnSpPr>
        <xdr:cNvPr id="957" name="Straight Connector 956"/>
        <xdr:cNvCxnSpPr/>
      </xdr:nvCxnSpPr>
      <xdr:spPr>
        <a:xfrm flipV="1">
          <a:off x="3991044" y="1961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886</xdr:row>
      <xdr:rowOff>0</xdr:rowOff>
    </xdr:from>
    <xdr:to>
      <xdr:col>3</xdr:col>
      <xdr:colOff>23112</xdr:colOff>
      <xdr:row>886</xdr:row>
      <xdr:rowOff>188399</xdr:rowOff>
    </xdr:to>
    <xdr:cxnSp macro="">
      <xdr:nvCxnSpPr>
        <xdr:cNvPr id="958" name="Straight Connector 957"/>
        <xdr:cNvCxnSpPr/>
      </xdr:nvCxnSpPr>
      <xdr:spPr>
        <a:xfrm flipV="1">
          <a:off x="3003877" y="19610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886</xdr:row>
      <xdr:rowOff>0</xdr:rowOff>
    </xdr:from>
    <xdr:to>
      <xdr:col>4</xdr:col>
      <xdr:colOff>601265</xdr:colOff>
      <xdr:row>886</xdr:row>
      <xdr:rowOff>187699</xdr:rowOff>
    </xdr:to>
    <xdr:cxnSp macro="">
      <xdr:nvCxnSpPr>
        <xdr:cNvPr id="959" name="Straight Connector 958"/>
        <xdr:cNvCxnSpPr/>
      </xdr:nvCxnSpPr>
      <xdr:spPr>
        <a:xfrm flipV="1">
          <a:off x="3991044" y="1961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892</xdr:row>
      <xdr:rowOff>179295</xdr:rowOff>
    </xdr:from>
    <xdr:to>
      <xdr:col>5</xdr:col>
      <xdr:colOff>11206</xdr:colOff>
      <xdr:row>892</xdr:row>
      <xdr:rowOff>179295</xdr:rowOff>
    </xdr:to>
    <xdr:cxnSp macro="">
      <xdr:nvCxnSpPr>
        <xdr:cNvPr id="960" name="Straight Connector 959"/>
        <xdr:cNvCxnSpPr/>
      </xdr:nvCxnSpPr>
      <xdr:spPr>
        <a:xfrm>
          <a:off x="2980765" y="20932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892</xdr:row>
      <xdr:rowOff>0</xdr:rowOff>
    </xdr:from>
    <xdr:to>
      <xdr:col>3</xdr:col>
      <xdr:colOff>23112</xdr:colOff>
      <xdr:row>892</xdr:row>
      <xdr:rowOff>188399</xdr:rowOff>
    </xdr:to>
    <xdr:cxnSp macro="">
      <xdr:nvCxnSpPr>
        <xdr:cNvPr id="961" name="Straight Connector 960"/>
        <xdr:cNvCxnSpPr/>
      </xdr:nvCxnSpPr>
      <xdr:spPr>
        <a:xfrm flipV="1">
          <a:off x="3003877" y="2075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892</xdr:row>
      <xdr:rowOff>0</xdr:rowOff>
    </xdr:from>
    <xdr:to>
      <xdr:col>4</xdr:col>
      <xdr:colOff>601265</xdr:colOff>
      <xdr:row>892</xdr:row>
      <xdr:rowOff>187699</xdr:rowOff>
    </xdr:to>
    <xdr:cxnSp macro="">
      <xdr:nvCxnSpPr>
        <xdr:cNvPr id="962" name="Straight Connector 961"/>
        <xdr:cNvCxnSpPr/>
      </xdr:nvCxnSpPr>
      <xdr:spPr>
        <a:xfrm flipV="1">
          <a:off x="3991044" y="2075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892</xdr:row>
      <xdr:rowOff>0</xdr:rowOff>
    </xdr:from>
    <xdr:to>
      <xdr:col>3</xdr:col>
      <xdr:colOff>23112</xdr:colOff>
      <xdr:row>892</xdr:row>
      <xdr:rowOff>188399</xdr:rowOff>
    </xdr:to>
    <xdr:cxnSp macro="">
      <xdr:nvCxnSpPr>
        <xdr:cNvPr id="963" name="Straight Connector 962"/>
        <xdr:cNvCxnSpPr/>
      </xdr:nvCxnSpPr>
      <xdr:spPr>
        <a:xfrm flipV="1">
          <a:off x="3003877" y="2075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892</xdr:row>
      <xdr:rowOff>0</xdr:rowOff>
    </xdr:from>
    <xdr:to>
      <xdr:col>4</xdr:col>
      <xdr:colOff>601265</xdr:colOff>
      <xdr:row>892</xdr:row>
      <xdr:rowOff>187699</xdr:rowOff>
    </xdr:to>
    <xdr:cxnSp macro="">
      <xdr:nvCxnSpPr>
        <xdr:cNvPr id="964" name="Straight Connector 963"/>
        <xdr:cNvCxnSpPr/>
      </xdr:nvCxnSpPr>
      <xdr:spPr>
        <a:xfrm flipV="1">
          <a:off x="3991044" y="2075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892</xdr:row>
      <xdr:rowOff>0</xdr:rowOff>
    </xdr:from>
    <xdr:to>
      <xdr:col>3</xdr:col>
      <xdr:colOff>23112</xdr:colOff>
      <xdr:row>892</xdr:row>
      <xdr:rowOff>188399</xdr:rowOff>
    </xdr:to>
    <xdr:cxnSp macro="">
      <xdr:nvCxnSpPr>
        <xdr:cNvPr id="965" name="Straight Connector 964"/>
        <xdr:cNvCxnSpPr/>
      </xdr:nvCxnSpPr>
      <xdr:spPr>
        <a:xfrm flipV="1">
          <a:off x="3003877" y="2075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892</xdr:row>
      <xdr:rowOff>0</xdr:rowOff>
    </xdr:from>
    <xdr:to>
      <xdr:col>4</xdr:col>
      <xdr:colOff>601265</xdr:colOff>
      <xdr:row>892</xdr:row>
      <xdr:rowOff>187699</xdr:rowOff>
    </xdr:to>
    <xdr:cxnSp macro="">
      <xdr:nvCxnSpPr>
        <xdr:cNvPr id="966" name="Straight Connector 965"/>
        <xdr:cNvCxnSpPr/>
      </xdr:nvCxnSpPr>
      <xdr:spPr>
        <a:xfrm flipV="1">
          <a:off x="3991044" y="2075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880</xdr:row>
      <xdr:rowOff>179295</xdr:rowOff>
    </xdr:from>
    <xdr:to>
      <xdr:col>5</xdr:col>
      <xdr:colOff>11206</xdr:colOff>
      <xdr:row>880</xdr:row>
      <xdr:rowOff>179295</xdr:rowOff>
    </xdr:to>
    <xdr:cxnSp macro="">
      <xdr:nvCxnSpPr>
        <xdr:cNvPr id="967" name="Straight Connector 966"/>
        <xdr:cNvCxnSpPr/>
      </xdr:nvCxnSpPr>
      <xdr:spPr>
        <a:xfrm>
          <a:off x="2980765" y="18646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880</xdr:row>
      <xdr:rowOff>0</xdr:rowOff>
    </xdr:from>
    <xdr:to>
      <xdr:col>3</xdr:col>
      <xdr:colOff>23112</xdr:colOff>
      <xdr:row>880</xdr:row>
      <xdr:rowOff>188399</xdr:rowOff>
    </xdr:to>
    <xdr:cxnSp macro="">
      <xdr:nvCxnSpPr>
        <xdr:cNvPr id="968" name="Straight Connector 967"/>
        <xdr:cNvCxnSpPr/>
      </xdr:nvCxnSpPr>
      <xdr:spPr>
        <a:xfrm flipV="1">
          <a:off x="3003877" y="1846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880</xdr:row>
      <xdr:rowOff>0</xdr:rowOff>
    </xdr:from>
    <xdr:to>
      <xdr:col>4</xdr:col>
      <xdr:colOff>601265</xdr:colOff>
      <xdr:row>880</xdr:row>
      <xdr:rowOff>187699</xdr:rowOff>
    </xdr:to>
    <xdr:cxnSp macro="">
      <xdr:nvCxnSpPr>
        <xdr:cNvPr id="969" name="Straight Connector 968"/>
        <xdr:cNvCxnSpPr/>
      </xdr:nvCxnSpPr>
      <xdr:spPr>
        <a:xfrm flipV="1">
          <a:off x="3991044" y="1846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880</xdr:row>
      <xdr:rowOff>0</xdr:rowOff>
    </xdr:from>
    <xdr:to>
      <xdr:col>3</xdr:col>
      <xdr:colOff>23112</xdr:colOff>
      <xdr:row>880</xdr:row>
      <xdr:rowOff>188399</xdr:rowOff>
    </xdr:to>
    <xdr:cxnSp macro="">
      <xdr:nvCxnSpPr>
        <xdr:cNvPr id="970" name="Straight Connector 969"/>
        <xdr:cNvCxnSpPr/>
      </xdr:nvCxnSpPr>
      <xdr:spPr>
        <a:xfrm flipV="1">
          <a:off x="3003877" y="1846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880</xdr:row>
      <xdr:rowOff>0</xdr:rowOff>
    </xdr:from>
    <xdr:to>
      <xdr:col>4</xdr:col>
      <xdr:colOff>601265</xdr:colOff>
      <xdr:row>880</xdr:row>
      <xdr:rowOff>187699</xdr:rowOff>
    </xdr:to>
    <xdr:cxnSp macro="">
      <xdr:nvCxnSpPr>
        <xdr:cNvPr id="971" name="Straight Connector 970"/>
        <xdr:cNvCxnSpPr/>
      </xdr:nvCxnSpPr>
      <xdr:spPr>
        <a:xfrm flipV="1">
          <a:off x="3991044" y="1846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880</xdr:row>
      <xdr:rowOff>0</xdr:rowOff>
    </xdr:from>
    <xdr:to>
      <xdr:col>3</xdr:col>
      <xdr:colOff>23112</xdr:colOff>
      <xdr:row>880</xdr:row>
      <xdr:rowOff>188399</xdr:rowOff>
    </xdr:to>
    <xdr:cxnSp macro="">
      <xdr:nvCxnSpPr>
        <xdr:cNvPr id="972" name="Straight Connector 971"/>
        <xdr:cNvCxnSpPr/>
      </xdr:nvCxnSpPr>
      <xdr:spPr>
        <a:xfrm flipV="1">
          <a:off x="3003877" y="1846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880</xdr:row>
      <xdr:rowOff>0</xdr:rowOff>
    </xdr:from>
    <xdr:to>
      <xdr:col>4</xdr:col>
      <xdr:colOff>601265</xdr:colOff>
      <xdr:row>880</xdr:row>
      <xdr:rowOff>187699</xdr:rowOff>
    </xdr:to>
    <xdr:cxnSp macro="">
      <xdr:nvCxnSpPr>
        <xdr:cNvPr id="973" name="Straight Connector 972"/>
        <xdr:cNvCxnSpPr/>
      </xdr:nvCxnSpPr>
      <xdr:spPr>
        <a:xfrm flipV="1">
          <a:off x="3991044" y="1846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859</xdr:row>
      <xdr:rowOff>179295</xdr:rowOff>
    </xdr:from>
    <xdr:to>
      <xdr:col>5</xdr:col>
      <xdr:colOff>11206</xdr:colOff>
      <xdr:row>859</xdr:row>
      <xdr:rowOff>179295</xdr:rowOff>
    </xdr:to>
    <xdr:cxnSp macro="">
      <xdr:nvCxnSpPr>
        <xdr:cNvPr id="974" name="Straight Connector 973"/>
        <xdr:cNvCxnSpPr/>
      </xdr:nvCxnSpPr>
      <xdr:spPr>
        <a:xfrm>
          <a:off x="2980765" y="1464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859</xdr:row>
      <xdr:rowOff>0</xdr:rowOff>
    </xdr:from>
    <xdr:to>
      <xdr:col>3</xdr:col>
      <xdr:colOff>23112</xdr:colOff>
      <xdr:row>859</xdr:row>
      <xdr:rowOff>188399</xdr:rowOff>
    </xdr:to>
    <xdr:cxnSp macro="">
      <xdr:nvCxnSpPr>
        <xdr:cNvPr id="975" name="Straight Connector 974"/>
        <xdr:cNvCxnSpPr/>
      </xdr:nvCxnSpPr>
      <xdr:spPr>
        <a:xfrm flipV="1">
          <a:off x="3003877" y="1446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859</xdr:row>
      <xdr:rowOff>0</xdr:rowOff>
    </xdr:from>
    <xdr:to>
      <xdr:col>4</xdr:col>
      <xdr:colOff>601265</xdr:colOff>
      <xdr:row>859</xdr:row>
      <xdr:rowOff>187699</xdr:rowOff>
    </xdr:to>
    <xdr:cxnSp macro="">
      <xdr:nvCxnSpPr>
        <xdr:cNvPr id="976" name="Straight Connector 975"/>
        <xdr:cNvCxnSpPr/>
      </xdr:nvCxnSpPr>
      <xdr:spPr>
        <a:xfrm flipV="1">
          <a:off x="3991044" y="1446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859</xdr:row>
      <xdr:rowOff>0</xdr:rowOff>
    </xdr:from>
    <xdr:to>
      <xdr:col>3</xdr:col>
      <xdr:colOff>23112</xdr:colOff>
      <xdr:row>859</xdr:row>
      <xdr:rowOff>188399</xdr:rowOff>
    </xdr:to>
    <xdr:cxnSp macro="">
      <xdr:nvCxnSpPr>
        <xdr:cNvPr id="977" name="Straight Connector 976"/>
        <xdr:cNvCxnSpPr/>
      </xdr:nvCxnSpPr>
      <xdr:spPr>
        <a:xfrm flipV="1">
          <a:off x="3003877" y="1446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859</xdr:row>
      <xdr:rowOff>0</xdr:rowOff>
    </xdr:from>
    <xdr:to>
      <xdr:col>4</xdr:col>
      <xdr:colOff>601265</xdr:colOff>
      <xdr:row>859</xdr:row>
      <xdr:rowOff>187699</xdr:rowOff>
    </xdr:to>
    <xdr:cxnSp macro="">
      <xdr:nvCxnSpPr>
        <xdr:cNvPr id="978" name="Straight Connector 977"/>
        <xdr:cNvCxnSpPr/>
      </xdr:nvCxnSpPr>
      <xdr:spPr>
        <a:xfrm flipV="1">
          <a:off x="3991044" y="1446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859</xdr:row>
      <xdr:rowOff>0</xdr:rowOff>
    </xdr:from>
    <xdr:to>
      <xdr:col>3</xdr:col>
      <xdr:colOff>23112</xdr:colOff>
      <xdr:row>859</xdr:row>
      <xdr:rowOff>188399</xdr:rowOff>
    </xdr:to>
    <xdr:cxnSp macro="">
      <xdr:nvCxnSpPr>
        <xdr:cNvPr id="979" name="Straight Connector 978"/>
        <xdr:cNvCxnSpPr/>
      </xdr:nvCxnSpPr>
      <xdr:spPr>
        <a:xfrm flipV="1">
          <a:off x="3003877" y="1446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859</xdr:row>
      <xdr:rowOff>0</xdr:rowOff>
    </xdr:from>
    <xdr:to>
      <xdr:col>4</xdr:col>
      <xdr:colOff>601265</xdr:colOff>
      <xdr:row>859</xdr:row>
      <xdr:rowOff>187699</xdr:rowOff>
    </xdr:to>
    <xdr:cxnSp macro="">
      <xdr:nvCxnSpPr>
        <xdr:cNvPr id="980" name="Straight Connector 979"/>
        <xdr:cNvCxnSpPr/>
      </xdr:nvCxnSpPr>
      <xdr:spPr>
        <a:xfrm flipV="1">
          <a:off x="3991044" y="1446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865</xdr:row>
      <xdr:rowOff>179295</xdr:rowOff>
    </xdr:from>
    <xdr:to>
      <xdr:col>5</xdr:col>
      <xdr:colOff>11206</xdr:colOff>
      <xdr:row>865</xdr:row>
      <xdr:rowOff>179295</xdr:rowOff>
    </xdr:to>
    <xdr:cxnSp macro="">
      <xdr:nvCxnSpPr>
        <xdr:cNvPr id="981" name="Straight Connector 980"/>
        <xdr:cNvCxnSpPr/>
      </xdr:nvCxnSpPr>
      <xdr:spPr>
        <a:xfrm>
          <a:off x="2980765" y="1578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865</xdr:row>
      <xdr:rowOff>0</xdr:rowOff>
    </xdr:from>
    <xdr:to>
      <xdr:col>3</xdr:col>
      <xdr:colOff>23112</xdr:colOff>
      <xdr:row>865</xdr:row>
      <xdr:rowOff>188399</xdr:rowOff>
    </xdr:to>
    <xdr:cxnSp macro="">
      <xdr:nvCxnSpPr>
        <xdr:cNvPr id="982" name="Straight Connector 981"/>
        <xdr:cNvCxnSpPr/>
      </xdr:nvCxnSpPr>
      <xdr:spPr>
        <a:xfrm flipV="1">
          <a:off x="3003877" y="1560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865</xdr:row>
      <xdr:rowOff>0</xdr:rowOff>
    </xdr:from>
    <xdr:to>
      <xdr:col>4</xdr:col>
      <xdr:colOff>601265</xdr:colOff>
      <xdr:row>865</xdr:row>
      <xdr:rowOff>187699</xdr:rowOff>
    </xdr:to>
    <xdr:cxnSp macro="">
      <xdr:nvCxnSpPr>
        <xdr:cNvPr id="983" name="Straight Connector 982"/>
        <xdr:cNvCxnSpPr/>
      </xdr:nvCxnSpPr>
      <xdr:spPr>
        <a:xfrm flipV="1">
          <a:off x="3991044" y="1560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865</xdr:row>
      <xdr:rowOff>0</xdr:rowOff>
    </xdr:from>
    <xdr:to>
      <xdr:col>3</xdr:col>
      <xdr:colOff>23112</xdr:colOff>
      <xdr:row>865</xdr:row>
      <xdr:rowOff>188399</xdr:rowOff>
    </xdr:to>
    <xdr:cxnSp macro="">
      <xdr:nvCxnSpPr>
        <xdr:cNvPr id="984" name="Straight Connector 983"/>
        <xdr:cNvCxnSpPr/>
      </xdr:nvCxnSpPr>
      <xdr:spPr>
        <a:xfrm flipV="1">
          <a:off x="3003877" y="1560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865</xdr:row>
      <xdr:rowOff>0</xdr:rowOff>
    </xdr:from>
    <xdr:to>
      <xdr:col>4</xdr:col>
      <xdr:colOff>601265</xdr:colOff>
      <xdr:row>865</xdr:row>
      <xdr:rowOff>187699</xdr:rowOff>
    </xdr:to>
    <xdr:cxnSp macro="">
      <xdr:nvCxnSpPr>
        <xdr:cNvPr id="985" name="Straight Connector 984"/>
        <xdr:cNvCxnSpPr/>
      </xdr:nvCxnSpPr>
      <xdr:spPr>
        <a:xfrm flipV="1">
          <a:off x="3991044" y="1560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865</xdr:row>
      <xdr:rowOff>0</xdr:rowOff>
    </xdr:from>
    <xdr:to>
      <xdr:col>3</xdr:col>
      <xdr:colOff>23112</xdr:colOff>
      <xdr:row>865</xdr:row>
      <xdr:rowOff>188399</xdr:rowOff>
    </xdr:to>
    <xdr:cxnSp macro="">
      <xdr:nvCxnSpPr>
        <xdr:cNvPr id="986" name="Straight Connector 985"/>
        <xdr:cNvCxnSpPr/>
      </xdr:nvCxnSpPr>
      <xdr:spPr>
        <a:xfrm flipV="1">
          <a:off x="3003877" y="1560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865</xdr:row>
      <xdr:rowOff>0</xdr:rowOff>
    </xdr:from>
    <xdr:to>
      <xdr:col>4</xdr:col>
      <xdr:colOff>601265</xdr:colOff>
      <xdr:row>865</xdr:row>
      <xdr:rowOff>187699</xdr:rowOff>
    </xdr:to>
    <xdr:cxnSp macro="">
      <xdr:nvCxnSpPr>
        <xdr:cNvPr id="987" name="Straight Connector 986"/>
        <xdr:cNvCxnSpPr/>
      </xdr:nvCxnSpPr>
      <xdr:spPr>
        <a:xfrm flipV="1">
          <a:off x="3991044" y="1560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871</xdr:row>
      <xdr:rowOff>179295</xdr:rowOff>
    </xdr:from>
    <xdr:to>
      <xdr:col>5</xdr:col>
      <xdr:colOff>11206</xdr:colOff>
      <xdr:row>871</xdr:row>
      <xdr:rowOff>179295</xdr:rowOff>
    </xdr:to>
    <xdr:cxnSp macro="">
      <xdr:nvCxnSpPr>
        <xdr:cNvPr id="988" name="Straight Connector 987"/>
        <xdr:cNvCxnSpPr/>
      </xdr:nvCxnSpPr>
      <xdr:spPr>
        <a:xfrm>
          <a:off x="2980765" y="16932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871</xdr:row>
      <xdr:rowOff>0</xdr:rowOff>
    </xdr:from>
    <xdr:to>
      <xdr:col>3</xdr:col>
      <xdr:colOff>23112</xdr:colOff>
      <xdr:row>871</xdr:row>
      <xdr:rowOff>188399</xdr:rowOff>
    </xdr:to>
    <xdr:cxnSp macro="">
      <xdr:nvCxnSpPr>
        <xdr:cNvPr id="989" name="Straight Connector 988"/>
        <xdr:cNvCxnSpPr/>
      </xdr:nvCxnSpPr>
      <xdr:spPr>
        <a:xfrm flipV="1">
          <a:off x="3003877" y="1675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871</xdr:row>
      <xdr:rowOff>0</xdr:rowOff>
    </xdr:from>
    <xdr:to>
      <xdr:col>4</xdr:col>
      <xdr:colOff>601265</xdr:colOff>
      <xdr:row>871</xdr:row>
      <xdr:rowOff>187699</xdr:rowOff>
    </xdr:to>
    <xdr:cxnSp macro="">
      <xdr:nvCxnSpPr>
        <xdr:cNvPr id="990" name="Straight Connector 989"/>
        <xdr:cNvCxnSpPr/>
      </xdr:nvCxnSpPr>
      <xdr:spPr>
        <a:xfrm flipV="1">
          <a:off x="3991044" y="1675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871</xdr:row>
      <xdr:rowOff>0</xdr:rowOff>
    </xdr:from>
    <xdr:to>
      <xdr:col>3</xdr:col>
      <xdr:colOff>23112</xdr:colOff>
      <xdr:row>871</xdr:row>
      <xdr:rowOff>188399</xdr:rowOff>
    </xdr:to>
    <xdr:cxnSp macro="">
      <xdr:nvCxnSpPr>
        <xdr:cNvPr id="991" name="Straight Connector 990"/>
        <xdr:cNvCxnSpPr/>
      </xdr:nvCxnSpPr>
      <xdr:spPr>
        <a:xfrm flipV="1">
          <a:off x="3003877" y="1675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871</xdr:row>
      <xdr:rowOff>0</xdr:rowOff>
    </xdr:from>
    <xdr:to>
      <xdr:col>4</xdr:col>
      <xdr:colOff>601265</xdr:colOff>
      <xdr:row>871</xdr:row>
      <xdr:rowOff>187699</xdr:rowOff>
    </xdr:to>
    <xdr:cxnSp macro="">
      <xdr:nvCxnSpPr>
        <xdr:cNvPr id="992" name="Straight Connector 991"/>
        <xdr:cNvCxnSpPr/>
      </xdr:nvCxnSpPr>
      <xdr:spPr>
        <a:xfrm flipV="1">
          <a:off x="3991044" y="1675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871</xdr:row>
      <xdr:rowOff>0</xdr:rowOff>
    </xdr:from>
    <xdr:to>
      <xdr:col>3</xdr:col>
      <xdr:colOff>23112</xdr:colOff>
      <xdr:row>871</xdr:row>
      <xdr:rowOff>188399</xdr:rowOff>
    </xdr:to>
    <xdr:cxnSp macro="">
      <xdr:nvCxnSpPr>
        <xdr:cNvPr id="993" name="Straight Connector 992"/>
        <xdr:cNvCxnSpPr/>
      </xdr:nvCxnSpPr>
      <xdr:spPr>
        <a:xfrm flipV="1">
          <a:off x="3003877" y="1675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871</xdr:row>
      <xdr:rowOff>0</xdr:rowOff>
    </xdr:from>
    <xdr:to>
      <xdr:col>4</xdr:col>
      <xdr:colOff>601265</xdr:colOff>
      <xdr:row>871</xdr:row>
      <xdr:rowOff>187699</xdr:rowOff>
    </xdr:to>
    <xdr:cxnSp macro="">
      <xdr:nvCxnSpPr>
        <xdr:cNvPr id="994" name="Straight Connector 993"/>
        <xdr:cNvCxnSpPr/>
      </xdr:nvCxnSpPr>
      <xdr:spPr>
        <a:xfrm flipV="1">
          <a:off x="3991044" y="1675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877</xdr:row>
      <xdr:rowOff>179295</xdr:rowOff>
    </xdr:from>
    <xdr:to>
      <xdr:col>5</xdr:col>
      <xdr:colOff>11206</xdr:colOff>
      <xdr:row>877</xdr:row>
      <xdr:rowOff>179295</xdr:rowOff>
    </xdr:to>
    <xdr:cxnSp macro="">
      <xdr:nvCxnSpPr>
        <xdr:cNvPr id="995" name="Straight Connector 994"/>
        <xdr:cNvCxnSpPr/>
      </xdr:nvCxnSpPr>
      <xdr:spPr>
        <a:xfrm>
          <a:off x="2980765" y="1807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877</xdr:row>
      <xdr:rowOff>0</xdr:rowOff>
    </xdr:from>
    <xdr:to>
      <xdr:col>3</xdr:col>
      <xdr:colOff>23112</xdr:colOff>
      <xdr:row>877</xdr:row>
      <xdr:rowOff>188399</xdr:rowOff>
    </xdr:to>
    <xdr:cxnSp macro="">
      <xdr:nvCxnSpPr>
        <xdr:cNvPr id="996" name="Straight Connector 995"/>
        <xdr:cNvCxnSpPr/>
      </xdr:nvCxnSpPr>
      <xdr:spPr>
        <a:xfrm flipV="1">
          <a:off x="3003877" y="1789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877</xdr:row>
      <xdr:rowOff>0</xdr:rowOff>
    </xdr:from>
    <xdr:to>
      <xdr:col>4</xdr:col>
      <xdr:colOff>601265</xdr:colOff>
      <xdr:row>877</xdr:row>
      <xdr:rowOff>187699</xdr:rowOff>
    </xdr:to>
    <xdr:cxnSp macro="">
      <xdr:nvCxnSpPr>
        <xdr:cNvPr id="997" name="Straight Connector 996"/>
        <xdr:cNvCxnSpPr/>
      </xdr:nvCxnSpPr>
      <xdr:spPr>
        <a:xfrm flipV="1">
          <a:off x="3991044" y="1789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877</xdr:row>
      <xdr:rowOff>0</xdr:rowOff>
    </xdr:from>
    <xdr:to>
      <xdr:col>3</xdr:col>
      <xdr:colOff>23112</xdr:colOff>
      <xdr:row>877</xdr:row>
      <xdr:rowOff>188399</xdr:rowOff>
    </xdr:to>
    <xdr:cxnSp macro="">
      <xdr:nvCxnSpPr>
        <xdr:cNvPr id="998" name="Straight Connector 997"/>
        <xdr:cNvCxnSpPr/>
      </xdr:nvCxnSpPr>
      <xdr:spPr>
        <a:xfrm flipV="1">
          <a:off x="3003877" y="1789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877</xdr:row>
      <xdr:rowOff>0</xdr:rowOff>
    </xdr:from>
    <xdr:to>
      <xdr:col>4</xdr:col>
      <xdr:colOff>601265</xdr:colOff>
      <xdr:row>877</xdr:row>
      <xdr:rowOff>187699</xdr:rowOff>
    </xdr:to>
    <xdr:cxnSp macro="">
      <xdr:nvCxnSpPr>
        <xdr:cNvPr id="999" name="Straight Connector 998"/>
        <xdr:cNvCxnSpPr/>
      </xdr:nvCxnSpPr>
      <xdr:spPr>
        <a:xfrm flipV="1">
          <a:off x="3991044" y="1789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877</xdr:row>
      <xdr:rowOff>0</xdr:rowOff>
    </xdr:from>
    <xdr:to>
      <xdr:col>3</xdr:col>
      <xdr:colOff>23112</xdr:colOff>
      <xdr:row>877</xdr:row>
      <xdr:rowOff>188399</xdr:rowOff>
    </xdr:to>
    <xdr:cxnSp macro="">
      <xdr:nvCxnSpPr>
        <xdr:cNvPr id="1000" name="Straight Connector 999"/>
        <xdr:cNvCxnSpPr/>
      </xdr:nvCxnSpPr>
      <xdr:spPr>
        <a:xfrm flipV="1">
          <a:off x="3003877" y="1789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877</xdr:row>
      <xdr:rowOff>0</xdr:rowOff>
    </xdr:from>
    <xdr:to>
      <xdr:col>4</xdr:col>
      <xdr:colOff>601265</xdr:colOff>
      <xdr:row>877</xdr:row>
      <xdr:rowOff>187699</xdr:rowOff>
    </xdr:to>
    <xdr:cxnSp macro="">
      <xdr:nvCxnSpPr>
        <xdr:cNvPr id="1001" name="Straight Connector 1000"/>
        <xdr:cNvCxnSpPr/>
      </xdr:nvCxnSpPr>
      <xdr:spPr>
        <a:xfrm flipV="1">
          <a:off x="3991044" y="1789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883</xdr:row>
      <xdr:rowOff>179295</xdr:rowOff>
    </xdr:from>
    <xdr:to>
      <xdr:col>5</xdr:col>
      <xdr:colOff>11206</xdr:colOff>
      <xdr:row>883</xdr:row>
      <xdr:rowOff>179295</xdr:rowOff>
    </xdr:to>
    <xdr:cxnSp macro="">
      <xdr:nvCxnSpPr>
        <xdr:cNvPr id="1002" name="Straight Connector 1001"/>
        <xdr:cNvCxnSpPr/>
      </xdr:nvCxnSpPr>
      <xdr:spPr>
        <a:xfrm>
          <a:off x="2980765" y="1921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883</xdr:row>
      <xdr:rowOff>0</xdr:rowOff>
    </xdr:from>
    <xdr:to>
      <xdr:col>3</xdr:col>
      <xdr:colOff>23112</xdr:colOff>
      <xdr:row>883</xdr:row>
      <xdr:rowOff>188399</xdr:rowOff>
    </xdr:to>
    <xdr:cxnSp macro="">
      <xdr:nvCxnSpPr>
        <xdr:cNvPr id="1003" name="Straight Connector 1002"/>
        <xdr:cNvCxnSpPr/>
      </xdr:nvCxnSpPr>
      <xdr:spPr>
        <a:xfrm flipV="1">
          <a:off x="3003877" y="1903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883</xdr:row>
      <xdr:rowOff>0</xdr:rowOff>
    </xdr:from>
    <xdr:to>
      <xdr:col>4</xdr:col>
      <xdr:colOff>601265</xdr:colOff>
      <xdr:row>883</xdr:row>
      <xdr:rowOff>187699</xdr:rowOff>
    </xdr:to>
    <xdr:cxnSp macro="">
      <xdr:nvCxnSpPr>
        <xdr:cNvPr id="1004" name="Straight Connector 1003"/>
        <xdr:cNvCxnSpPr/>
      </xdr:nvCxnSpPr>
      <xdr:spPr>
        <a:xfrm flipV="1">
          <a:off x="3991044" y="1903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883</xdr:row>
      <xdr:rowOff>0</xdr:rowOff>
    </xdr:from>
    <xdr:to>
      <xdr:col>3</xdr:col>
      <xdr:colOff>23112</xdr:colOff>
      <xdr:row>883</xdr:row>
      <xdr:rowOff>188399</xdr:rowOff>
    </xdr:to>
    <xdr:cxnSp macro="">
      <xdr:nvCxnSpPr>
        <xdr:cNvPr id="1005" name="Straight Connector 1004"/>
        <xdr:cNvCxnSpPr/>
      </xdr:nvCxnSpPr>
      <xdr:spPr>
        <a:xfrm flipV="1">
          <a:off x="3003877" y="1903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883</xdr:row>
      <xdr:rowOff>0</xdr:rowOff>
    </xdr:from>
    <xdr:to>
      <xdr:col>4</xdr:col>
      <xdr:colOff>601265</xdr:colOff>
      <xdr:row>883</xdr:row>
      <xdr:rowOff>187699</xdr:rowOff>
    </xdr:to>
    <xdr:cxnSp macro="">
      <xdr:nvCxnSpPr>
        <xdr:cNvPr id="1006" name="Straight Connector 1005"/>
        <xdr:cNvCxnSpPr/>
      </xdr:nvCxnSpPr>
      <xdr:spPr>
        <a:xfrm flipV="1">
          <a:off x="3991044" y="1903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883</xdr:row>
      <xdr:rowOff>0</xdr:rowOff>
    </xdr:from>
    <xdr:to>
      <xdr:col>3</xdr:col>
      <xdr:colOff>23112</xdr:colOff>
      <xdr:row>883</xdr:row>
      <xdr:rowOff>188399</xdr:rowOff>
    </xdr:to>
    <xdr:cxnSp macro="">
      <xdr:nvCxnSpPr>
        <xdr:cNvPr id="1007" name="Straight Connector 1006"/>
        <xdr:cNvCxnSpPr/>
      </xdr:nvCxnSpPr>
      <xdr:spPr>
        <a:xfrm flipV="1">
          <a:off x="3003877" y="1903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883</xdr:row>
      <xdr:rowOff>0</xdr:rowOff>
    </xdr:from>
    <xdr:to>
      <xdr:col>4</xdr:col>
      <xdr:colOff>601265</xdr:colOff>
      <xdr:row>883</xdr:row>
      <xdr:rowOff>187699</xdr:rowOff>
    </xdr:to>
    <xdr:cxnSp macro="">
      <xdr:nvCxnSpPr>
        <xdr:cNvPr id="1008" name="Straight Connector 1007"/>
        <xdr:cNvCxnSpPr/>
      </xdr:nvCxnSpPr>
      <xdr:spPr>
        <a:xfrm flipV="1">
          <a:off x="3991044" y="1903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889</xdr:row>
      <xdr:rowOff>179295</xdr:rowOff>
    </xdr:from>
    <xdr:to>
      <xdr:col>5</xdr:col>
      <xdr:colOff>11206</xdr:colOff>
      <xdr:row>889</xdr:row>
      <xdr:rowOff>179295</xdr:rowOff>
    </xdr:to>
    <xdr:cxnSp macro="">
      <xdr:nvCxnSpPr>
        <xdr:cNvPr id="1009" name="Straight Connector 1008"/>
        <xdr:cNvCxnSpPr/>
      </xdr:nvCxnSpPr>
      <xdr:spPr>
        <a:xfrm>
          <a:off x="2980765" y="20361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889</xdr:row>
      <xdr:rowOff>0</xdr:rowOff>
    </xdr:from>
    <xdr:to>
      <xdr:col>3</xdr:col>
      <xdr:colOff>23112</xdr:colOff>
      <xdr:row>889</xdr:row>
      <xdr:rowOff>188399</xdr:rowOff>
    </xdr:to>
    <xdr:cxnSp macro="">
      <xdr:nvCxnSpPr>
        <xdr:cNvPr id="1010" name="Straight Connector 1009"/>
        <xdr:cNvCxnSpPr/>
      </xdr:nvCxnSpPr>
      <xdr:spPr>
        <a:xfrm flipV="1">
          <a:off x="3003877" y="2018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889</xdr:row>
      <xdr:rowOff>0</xdr:rowOff>
    </xdr:from>
    <xdr:to>
      <xdr:col>4</xdr:col>
      <xdr:colOff>601265</xdr:colOff>
      <xdr:row>889</xdr:row>
      <xdr:rowOff>187699</xdr:rowOff>
    </xdr:to>
    <xdr:cxnSp macro="">
      <xdr:nvCxnSpPr>
        <xdr:cNvPr id="1011" name="Straight Connector 1010"/>
        <xdr:cNvCxnSpPr/>
      </xdr:nvCxnSpPr>
      <xdr:spPr>
        <a:xfrm flipV="1">
          <a:off x="3991044" y="2018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889</xdr:row>
      <xdr:rowOff>0</xdr:rowOff>
    </xdr:from>
    <xdr:to>
      <xdr:col>3</xdr:col>
      <xdr:colOff>23112</xdr:colOff>
      <xdr:row>889</xdr:row>
      <xdr:rowOff>188399</xdr:rowOff>
    </xdr:to>
    <xdr:cxnSp macro="">
      <xdr:nvCxnSpPr>
        <xdr:cNvPr id="1012" name="Straight Connector 1011"/>
        <xdr:cNvCxnSpPr/>
      </xdr:nvCxnSpPr>
      <xdr:spPr>
        <a:xfrm flipV="1">
          <a:off x="3003877" y="2018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889</xdr:row>
      <xdr:rowOff>0</xdr:rowOff>
    </xdr:from>
    <xdr:to>
      <xdr:col>4</xdr:col>
      <xdr:colOff>601265</xdr:colOff>
      <xdr:row>889</xdr:row>
      <xdr:rowOff>187699</xdr:rowOff>
    </xdr:to>
    <xdr:cxnSp macro="">
      <xdr:nvCxnSpPr>
        <xdr:cNvPr id="1013" name="Straight Connector 1012"/>
        <xdr:cNvCxnSpPr/>
      </xdr:nvCxnSpPr>
      <xdr:spPr>
        <a:xfrm flipV="1">
          <a:off x="3991044" y="2018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889</xdr:row>
      <xdr:rowOff>0</xdr:rowOff>
    </xdr:from>
    <xdr:to>
      <xdr:col>3</xdr:col>
      <xdr:colOff>23112</xdr:colOff>
      <xdr:row>889</xdr:row>
      <xdr:rowOff>188399</xdr:rowOff>
    </xdr:to>
    <xdr:cxnSp macro="">
      <xdr:nvCxnSpPr>
        <xdr:cNvPr id="1014" name="Straight Connector 1013"/>
        <xdr:cNvCxnSpPr/>
      </xdr:nvCxnSpPr>
      <xdr:spPr>
        <a:xfrm flipV="1">
          <a:off x="3003877" y="2018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889</xdr:row>
      <xdr:rowOff>0</xdr:rowOff>
    </xdr:from>
    <xdr:to>
      <xdr:col>4</xdr:col>
      <xdr:colOff>601265</xdr:colOff>
      <xdr:row>889</xdr:row>
      <xdr:rowOff>187699</xdr:rowOff>
    </xdr:to>
    <xdr:cxnSp macro="">
      <xdr:nvCxnSpPr>
        <xdr:cNvPr id="1015" name="Straight Connector 1014"/>
        <xdr:cNvCxnSpPr/>
      </xdr:nvCxnSpPr>
      <xdr:spPr>
        <a:xfrm flipV="1">
          <a:off x="3991044" y="2018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915</xdr:row>
      <xdr:rowOff>179295</xdr:rowOff>
    </xdr:from>
    <xdr:to>
      <xdr:col>5</xdr:col>
      <xdr:colOff>11206</xdr:colOff>
      <xdr:row>915</xdr:row>
      <xdr:rowOff>179295</xdr:rowOff>
    </xdr:to>
    <xdr:cxnSp macro="">
      <xdr:nvCxnSpPr>
        <xdr:cNvPr id="1016" name="Straight Connector 1015"/>
        <xdr:cNvCxnSpPr/>
      </xdr:nvCxnSpPr>
      <xdr:spPr>
        <a:xfrm>
          <a:off x="2980765" y="25314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915</xdr:row>
      <xdr:rowOff>0</xdr:rowOff>
    </xdr:from>
    <xdr:to>
      <xdr:col>3</xdr:col>
      <xdr:colOff>23112</xdr:colOff>
      <xdr:row>915</xdr:row>
      <xdr:rowOff>188399</xdr:rowOff>
    </xdr:to>
    <xdr:cxnSp macro="">
      <xdr:nvCxnSpPr>
        <xdr:cNvPr id="1017" name="Straight Connector 1016"/>
        <xdr:cNvCxnSpPr/>
      </xdr:nvCxnSpPr>
      <xdr:spPr>
        <a:xfrm flipV="1">
          <a:off x="3003877" y="2513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915</xdr:row>
      <xdr:rowOff>0</xdr:rowOff>
    </xdr:from>
    <xdr:to>
      <xdr:col>4</xdr:col>
      <xdr:colOff>601265</xdr:colOff>
      <xdr:row>915</xdr:row>
      <xdr:rowOff>187699</xdr:rowOff>
    </xdr:to>
    <xdr:cxnSp macro="">
      <xdr:nvCxnSpPr>
        <xdr:cNvPr id="1018" name="Straight Connector 1017"/>
        <xdr:cNvCxnSpPr/>
      </xdr:nvCxnSpPr>
      <xdr:spPr>
        <a:xfrm flipV="1">
          <a:off x="3991044" y="2513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915</xdr:row>
      <xdr:rowOff>0</xdr:rowOff>
    </xdr:from>
    <xdr:to>
      <xdr:col>3</xdr:col>
      <xdr:colOff>23112</xdr:colOff>
      <xdr:row>915</xdr:row>
      <xdr:rowOff>188399</xdr:rowOff>
    </xdr:to>
    <xdr:cxnSp macro="">
      <xdr:nvCxnSpPr>
        <xdr:cNvPr id="1019" name="Straight Connector 1018"/>
        <xdr:cNvCxnSpPr/>
      </xdr:nvCxnSpPr>
      <xdr:spPr>
        <a:xfrm flipV="1">
          <a:off x="3003877" y="2513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915</xdr:row>
      <xdr:rowOff>0</xdr:rowOff>
    </xdr:from>
    <xdr:to>
      <xdr:col>4</xdr:col>
      <xdr:colOff>601265</xdr:colOff>
      <xdr:row>915</xdr:row>
      <xdr:rowOff>187699</xdr:rowOff>
    </xdr:to>
    <xdr:cxnSp macro="">
      <xdr:nvCxnSpPr>
        <xdr:cNvPr id="1020" name="Straight Connector 1019"/>
        <xdr:cNvCxnSpPr/>
      </xdr:nvCxnSpPr>
      <xdr:spPr>
        <a:xfrm flipV="1">
          <a:off x="3991044" y="2513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915</xdr:row>
      <xdr:rowOff>0</xdr:rowOff>
    </xdr:from>
    <xdr:to>
      <xdr:col>3</xdr:col>
      <xdr:colOff>23112</xdr:colOff>
      <xdr:row>915</xdr:row>
      <xdr:rowOff>188399</xdr:rowOff>
    </xdr:to>
    <xdr:cxnSp macro="">
      <xdr:nvCxnSpPr>
        <xdr:cNvPr id="1021" name="Straight Connector 1020"/>
        <xdr:cNvCxnSpPr/>
      </xdr:nvCxnSpPr>
      <xdr:spPr>
        <a:xfrm flipV="1">
          <a:off x="3003877" y="2513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915</xdr:row>
      <xdr:rowOff>0</xdr:rowOff>
    </xdr:from>
    <xdr:to>
      <xdr:col>4</xdr:col>
      <xdr:colOff>601265</xdr:colOff>
      <xdr:row>915</xdr:row>
      <xdr:rowOff>187699</xdr:rowOff>
    </xdr:to>
    <xdr:cxnSp macro="">
      <xdr:nvCxnSpPr>
        <xdr:cNvPr id="1022" name="Straight Connector 1021"/>
        <xdr:cNvCxnSpPr/>
      </xdr:nvCxnSpPr>
      <xdr:spPr>
        <a:xfrm flipV="1">
          <a:off x="3991044" y="2513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912</xdr:row>
      <xdr:rowOff>179295</xdr:rowOff>
    </xdr:from>
    <xdr:to>
      <xdr:col>5</xdr:col>
      <xdr:colOff>11206</xdr:colOff>
      <xdr:row>912</xdr:row>
      <xdr:rowOff>179295</xdr:rowOff>
    </xdr:to>
    <xdr:cxnSp macro="">
      <xdr:nvCxnSpPr>
        <xdr:cNvPr id="1023" name="Straight Connector 1022"/>
        <xdr:cNvCxnSpPr/>
      </xdr:nvCxnSpPr>
      <xdr:spPr>
        <a:xfrm>
          <a:off x="2980765" y="24742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912</xdr:row>
      <xdr:rowOff>0</xdr:rowOff>
    </xdr:from>
    <xdr:to>
      <xdr:col>3</xdr:col>
      <xdr:colOff>23112</xdr:colOff>
      <xdr:row>912</xdr:row>
      <xdr:rowOff>188399</xdr:rowOff>
    </xdr:to>
    <xdr:cxnSp macro="">
      <xdr:nvCxnSpPr>
        <xdr:cNvPr id="1024" name="Straight Connector 1023"/>
        <xdr:cNvCxnSpPr/>
      </xdr:nvCxnSpPr>
      <xdr:spPr>
        <a:xfrm flipV="1">
          <a:off x="3003877" y="2456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912</xdr:row>
      <xdr:rowOff>0</xdr:rowOff>
    </xdr:from>
    <xdr:to>
      <xdr:col>4</xdr:col>
      <xdr:colOff>601265</xdr:colOff>
      <xdr:row>912</xdr:row>
      <xdr:rowOff>187699</xdr:rowOff>
    </xdr:to>
    <xdr:cxnSp macro="">
      <xdr:nvCxnSpPr>
        <xdr:cNvPr id="1025" name="Straight Connector 1024"/>
        <xdr:cNvCxnSpPr/>
      </xdr:nvCxnSpPr>
      <xdr:spPr>
        <a:xfrm flipV="1">
          <a:off x="3991044" y="2456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912</xdr:row>
      <xdr:rowOff>0</xdr:rowOff>
    </xdr:from>
    <xdr:to>
      <xdr:col>3</xdr:col>
      <xdr:colOff>23112</xdr:colOff>
      <xdr:row>912</xdr:row>
      <xdr:rowOff>188399</xdr:rowOff>
    </xdr:to>
    <xdr:cxnSp macro="">
      <xdr:nvCxnSpPr>
        <xdr:cNvPr id="1026" name="Straight Connector 1025"/>
        <xdr:cNvCxnSpPr/>
      </xdr:nvCxnSpPr>
      <xdr:spPr>
        <a:xfrm flipV="1">
          <a:off x="3003877" y="2456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912</xdr:row>
      <xdr:rowOff>0</xdr:rowOff>
    </xdr:from>
    <xdr:to>
      <xdr:col>4</xdr:col>
      <xdr:colOff>601265</xdr:colOff>
      <xdr:row>912</xdr:row>
      <xdr:rowOff>187699</xdr:rowOff>
    </xdr:to>
    <xdr:cxnSp macro="">
      <xdr:nvCxnSpPr>
        <xdr:cNvPr id="1027" name="Straight Connector 1026"/>
        <xdr:cNvCxnSpPr/>
      </xdr:nvCxnSpPr>
      <xdr:spPr>
        <a:xfrm flipV="1">
          <a:off x="3991044" y="2456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912</xdr:row>
      <xdr:rowOff>0</xdr:rowOff>
    </xdr:from>
    <xdr:to>
      <xdr:col>3</xdr:col>
      <xdr:colOff>23112</xdr:colOff>
      <xdr:row>912</xdr:row>
      <xdr:rowOff>188399</xdr:rowOff>
    </xdr:to>
    <xdr:cxnSp macro="">
      <xdr:nvCxnSpPr>
        <xdr:cNvPr id="1028" name="Straight Connector 1027"/>
        <xdr:cNvCxnSpPr/>
      </xdr:nvCxnSpPr>
      <xdr:spPr>
        <a:xfrm flipV="1">
          <a:off x="3003877" y="2456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912</xdr:row>
      <xdr:rowOff>0</xdr:rowOff>
    </xdr:from>
    <xdr:to>
      <xdr:col>4</xdr:col>
      <xdr:colOff>601265</xdr:colOff>
      <xdr:row>912</xdr:row>
      <xdr:rowOff>187699</xdr:rowOff>
    </xdr:to>
    <xdr:cxnSp macro="">
      <xdr:nvCxnSpPr>
        <xdr:cNvPr id="1029" name="Straight Connector 1028"/>
        <xdr:cNvCxnSpPr/>
      </xdr:nvCxnSpPr>
      <xdr:spPr>
        <a:xfrm flipV="1">
          <a:off x="3991044" y="2456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909</xdr:row>
      <xdr:rowOff>179295</xdr:rowOff>
    </xdr:from>
    <xdr:to>
      <xdr:col>5</xdr:col>
      <xdr:colOff>11206</xdr:colOff>
      <xdr:row>909</xdr:row>
      <xdr:rowOff>179295</xdr:rowOff>
    </xdr:to>
    <xdr:cxnSp macro="">
      <xdr:nvCxnSpPr>
        <xdr:cNvPr id="1030" name="Straight Connector 1029"/>
        <xdr:cNvCxnSpPr/>
      </xdr:nvCxnSpPr>
      <xdr:spPr>
        <a:xfrm>
          <a:off x="2980765" y="24171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906</xdr:row>
      <xdr:rowOff>179295</xdr:rowOff>
    </xdr:from>
    <xdr:to>
      <xdr:col>5</xdr:col>
      <xdr:colOff>11206</xdr:colOff>
      <xdr:row>906</xdr:row>
      <xdr:rowOff>179295</xdr:rowOff>
    </xdr:to>
    <xdr:cxnSp macro="">
      <xdr:nvCxnSpPr>
        <xdr:cNvPr id="1031" name="Straight Connector 1030"/>
        <xdr:cNvCxnSpPr/>
      </xdr:nvCxnSpPr>
      <xdr:spPr>
        <a:xfrm>
          <a:off x="2980765" y="23599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900</xdr:row>
      <xdr:rowOff>179295</xdr:rowOff>
    </xdr:from>
    <xdr:to>
      <xdr:col>5</xdr:col>
      <xdr:colOff>11206</xdr:colOff>
      <xdr:row>900</xdr:row>
      <xdr:rowOff>179295</xdr:rowOff>
    </xdr:to>
    <xdr:cxnSp macro="">
      <xdr:nvCxnSpPr>
        <xdr:cNvPr id="1032" name="Straight Connector 1031"/>
        <xdr:cNvCxnSpPr/>
      </xdr:nvCxnSpPr>
      <xdr:spPr>
        <a:xfrm>
          <a:off x="2980765" y="22456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3" name="Straight Connector 1032"/>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4" name="Straight Connector 1033"/>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5" name="Straight Connector 1034"/>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900</xdr:row>
      <xdr:rowOff>179295</xdr:rowOff>
    </xdr:from>
    <xdr:to>
      <xdr:col>5</xdr:col>
      <xdr:colOff>11206</xdr:colOff>
      <xdr:row>900</xdr:row>
      <xdr:rowOff>179295</xdr:rowOff>
    </xdr:to>
    <xdr:cxnSp macro="">
      <xdr:nvCxnSpPr>
        <xdr:cNvPr id="1036" name="Straight Connector 1035"/>
        <xdr:cNvCxnSpPr/>
      </xdr:nvCxnSpPr>
      <xdr:spPr>
        <a:xfrm>
          <a:off x="2980765" y="22456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7" name="Straight Connector 1036"/>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900</xdr:row>
      <xdr:rowOff>0</xdr:rowOff>
    </xdr:from>
    <xdr:to>
      <xdr:col>4</xdr:col>
      <xdr:colOff>601265</xdr:colOff>
      <xdr:row>900</xdr:row>
      <xdr:rowOff>187699</xdr:rowOff>
    </xdr:to>
    <xdr:cxnSp macro="">
      <xdr:nvCxnSpPr>
        <xdr:cNvPr id="1038" name="Straight Connector 1037"/>
        <xdr:cNvCxnSpPr/>
      </xdr:nvCxnSpPr>
      <xdr:spPr>
        <a:xfrm flipV="1">
          <a:off x="3991044" y="2227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9" name="Straight Connector 1038"/>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900</xdr:row>
      <xdr:rowOff>0</xdr:rowOff>
    </xdr:from>
    <xdr:to>
      <xdr:col>4</xdr:col>
      <xdr:colOff>601265</xdr:colOff>
      <xdr:row>900</xdr:row>
      <xdr:rowOff>187699</xdr:rowOff>
    </xdr:to>
    <xdr:cxnSp macro="">
      <xdr:nvCxnSpPr>
        <xdr:cNvPr id="1040" name="Straight Connector 1039"/>
        <xdr:cNvCxnSpPr/>
      </xdr:nvCxnSpPr>
      <xdr:spPr>
        <a:xfrm flipV="1">
          <a:off x="3991044" y="2227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41" name="Straight Connector 1040"/>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900</xdr:row>
      <xdr:rowOff>0</xdr:rowOff>
    </xdr:from>
    <xdr:to>
      <xdr:col>4</xdr:col>
      <xdr:colOff>601265</xdr:colOff>
      <xdr:row>900</xdr:row>
      <xdr:rowOff>187699</xdr:rowOff>
    </xdr:to>
    <xdr:cxnSp macro="">
      <xdr:nvCxnSpPr>
        <xdr:cNvPr id="1042" name="Straight Connector 1041"/>
        <xdr:cNvCxnSpPr/>
      </xdr:nvCxnSpPr>
      <xdr:spPr>
        <a:xfrm flipV="1">
          <a:off x="3991044" y="2227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897</xdr:row>
      <xdr:rowOff>179295</xdr:rowOff>
    </xdr:from>
    <xdr:to>
      <xdr:col>5</xdr:col>
      <xdr:colOff>11206</xdr:colOff>
      <xdr:row>897</xdr:row>
      <xdr:rowOff>179295</xdr:rowOff>
    </xdr:to>
    <xdr:cxnSp macro="">
      <xdr:nvCxnSpPr>
        <xdr:cNvPr id="1043" name="Straight Connector 1042"/>
        <xdr:cNvCxnSpPr/>
      </xdr:nvCxnSpPr>
      <xdr:spPr>
        <a:xfrm>
          <a:off x="2980765" y="2188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4" name="Straight Connector 1043"/>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5" name="Straight Connector 1044"/>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6" name="Straight Connector 1045"/>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897</xdr:row>
      <xdr:rowOff>179295</xdr:rowOff>
    </xdr:from>
    <xdr:to>
      <xdr:col>5</xdr:col>
      <xdr:colOff>11206</xdr:colOff>
      <xdr:row>897</xdr:row>
      <xdr:rowOff>179295</xdr:rowOff>
    </xdr:to>
    <xdr:cxnSp macro="">
      <xdr:nvCxnSpPr>
        <xdr:cNvPr id="1047" name="Straight Connector 1046"/>
        <xdr:cNvCxnSpPr/>
      </xdr:nvCxnSpPr>
      <xdr:spPr>
        <a:xfrm>
          <a:off x="2980765" y="2188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8" name="Straight Connector 1047"/>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897</xdr:row>
      <xdr:rowOff>0</xdr:rowOff>
    </xdr:from>
    <xdr:to>
      <xdr:col>4</xdr:col>
      <xdr:colOff>601265</xdr:colOff>
      <xdr:row>897</xdr:row>
      <xdr:rowOff>187699</xdr:rowOff>
    </xdr:to>
    <xdr:cxnSp macro="">
      <xdr:nvCxnSpPr>
        <xdr:cNvPr id="1049" name="Straight Connector 1048"/>
        <xdr:cNvCxnSpPr/>
      </xdr:nvCxnSpPr>
      <xdr:spPr>
        <a:xfrm flipV="1">
          <a:off x="3991044" y="2170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50" name="Straight Connector 1049"/>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897</xdr:row>
      <xdr:rowOff>0</xdr:rowOff>
    </xdr:from>
    <xdr:to>
      <xdr:col>4</xdr:col>
      <xdr:colOff>601265</xdr:colOff>
      <xdr:row>897</xdr:row>
      <xdr:rowOff>187699</xdr:rowOff>
    </xdr:to>
    <xdr:cxnSp macro="">
      <xdr:nvCxnSpPr>
        <xdr:cNvPr id="1051" name="Straight Connector 1050"/>
        <xdr:cNvCxnSpPr/>
      </xdr:nvCxnSpPr>
      <xdr:spPr>
        <a:xfrm flipV="1">
          <a:off x="3991044" y="2170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52" name="Straight Connector 1051"/>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897</xdr:row>
      <xdr:rowOff>0</xdr:rowOff>
    </xdr:from>
    <xdr:to>
      <xdr:col>4</xdr:col>
      <xdr:colOff>601265</xdr:colOff>
      <xdr:row>897</xdr:row>
      <xdr:rowOff>187699</xdr:rowOff>
    </xdr:to>
    <xdr:cxnSp macro="">
      <xdr:nvCxnSpPr>
        <xdr:cNvPr id="1053" name="Straight Connector 1052"/>
        <xdr:cNvCxnSpPr/>
      </xdr:nvCxnSpPr>
      <xdr:spPr>
        <a:xfrm flipV="1">
          <a:off x="3991044" y="2170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903</xdr:row>
      <xdr:rowOff>179295</xdr:rowOff>
    </xdr:from>
    <xdr:to>
      <xdr:col>5</xdr:col>
      <xdr:colOff>11206</xdr:colOff>
      <xdr:row>903</xdr:row>
      <xdr:rowOff>179295</xdr:rowOff>
    </xdr:to>
    <xdr:cxnSp macro="">
      <xdr:nvCxnSpPr>
        <xdr:cNvPr id="1054" name="Straight Connector 1053"/>
        <xdr:cNvCxnSpPr/>
      </xdr:nvCxnSpPr>
      <xdr:spPr>
        <a:xfrm>
          <a:off x="2980765" y="2302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5" name="Straight Connector 1054"/>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6" name="Straight Connector 1055"/>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7" name="Straight Connector 1056"/>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903</xdr:row>
      <xdr:rowOff>179295</xdr:rowOff>
    </xdr:from>
    <xdr:to>
      <xdr:col>5</xdr:col>
      <xdr:colOff>11206</xdr:colOff>
      <xdr:row>903</xdr:row>
      <xdr:rowOff>179295</xdr:rowOff>
    </xdr:to>
    <xdr:cxnSp macro="">
      <xdr:nvCxnSpPr>
        <xdr:cNvPr id="1058" name="Straight Connector 1057"/>
        <xdr:cNvCxnSpPr/>
      </xdr:nvCxnSpPr>
      <xdr:spPr>
        <a:xfrm>
          <a:off x="2980765" y="2302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9" name="Straight Connector 1058"/>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903</xdr:row>
      <xdr:rowOff>0</xdr:rowOff>
    </xdr:from>
    <xdr:to>
      <xdr:col>4</xdr:col>
      <xdr:colOff>601265</xdr:colOff>
      <xdr:row>903</xdr:row>
      <xdr:rowOff>187699</xdr:rowOff>
    </xdr:to>
    <xdr:cxnSp macro="">
      <xdr:nvCxnSpPr>
        <xdr:cNvPr id="1060" name="Straight Connector 1059"/>
        <xdr:cNvCxnSpPr/>
      </xdr:nvCxnSpPr>
      <xdr:spPr>
        <a:xfrm flipV="1">
          <a:off x="3991044" y="2284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61" name="Straight Connector 1060"/>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903</xdr:row>
      <xdr:rowOff>0</xdr:rowOff>
    </xdr:from>
    <xdr:to>
      <xdr:col>4</xdr:col>
      <xdr:colOff>601265</xdr:colOff>
      <xdr:row>903</xdr:row>
      <xdr:rowOff>187699</xdr:rowOff>
    </xdr:to>
    <xdr:cxnSp macro="">
      <xdr:nvCxnSpPr>
        <xdr:cNvPr id="1062" name="Straight Connector 1061"/>
        <xdr:cNvCxnSpPr/>
      </xdr:nvCxnSpPr>
      <xdr:spPr>
        <a:xfrm flipV="1">
          <a:off x="3991044" y="2284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63" name="Straight Connector 1062"/>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903</xdr:row>
      <xdr:rowOff>0</xdr:rowOff>
    </xdr:from>
    <xdr:to>
      <xdr:col>4</xdr:col>
      <xdr:colOff>601265</xdr:colOff>
      <xdr:row>903</xdr:row>
      <xdr:rowOff>187699</xdr:rowOff>
    </xdr:to>
    <xdr:cxnSp macro="">
      <xdr:nvCxnSpPr>
        <xdr:cNvPr id="1064" name="Straight Connector 1063"/>
        <xdr:cNvCxnSpPr/>
      </xdr:nvCxnSpPr>
      <xdr:spPr>
        <a:xfrm flipV="1">
          <a:off x="3991044" y="2284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909</xdr:row>
      <xdr:rowOff>0</xdr:rowOff>
    </xdr:from>
    <xdr:to>
      <xdr:col>5</xdr:col>
      <xdr:colOff>0</xdr:colOff>
      <xdr:row>909</xdr:row>
      <xdr:rowOff>187699</xdr:rowOff>
    </xdr:to>
    <xdr:cxnSp macro="">
      <xdr:nvCxnSpPr>
        <xdr:cNvPr id="1065" name="Straight Connector 1064"/>
        <xdr:cNvCxnSpPr/>
      </xdr:nvCxnSpPr>
      <xdr:spPr>
        <a:xfrm flipV="1">
          <a:off x="3989294" y="2399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906</xdr:row>
      <xdr:rowOff>0</xdr:rowOff>
    </xdr:from>
    <xdr:to>
      <xdr:col>5</xdr:col>
      <xdr:colOff>0</xdr:colOff>
      <xdr:row>906</xdr:row>
      <xdr:rowOff>187699</xdr:rowOff>
    </xdr:to>
    <xdr:cxnSp macro="">
      <xdr:nvCxnSpPr>
        <xdr:cNvPr id="1066" name="Straight Connector 1065"/>
        <xdr:cNvCxnSpPr/>
      </xdr:nvCxnSpPr>
      <xdr:spPr>
        <a:xfrm flipV="1">
          <a:off x="3989294" y="2342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937</xdr:row>
      <xdr:rowOff>0</xdr:rowOff>
    </xdr:from>
    <xdr:to>
      <xdr:col>5</xdr:col>
      <xdr:colOff>0</xdr:colOff>
      <xdr:row>937</xdr:row>
      <xdr:rowOff>188399</xdr:rowOff>
    </xdr:to>
    <xdr:cxnSp macro="">
      <xdr:nvCxnSpPr>
        <xdr:cNvPr id="1067" name="Straight Connector 1066"/>
        <xdr:cNvCxnSpPr/>
      </xdr:nvCxnSpPr>
      <xdr:spPr>
        <a:xfrm flipV="1">
          <a:off x="3989294" y="2932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939</xdr:row>
      <xdr:rowOff>179295</xdr:rowOff>
    </xdr:from>
    <xdr:to>
      <xdr:col>5</xdr:col>
      <xdr:colOff>11206</xdr:colOff>
      <xdr:row>939</xdr:row>
      <xdr:rowOff>179295</xdr:rowOff>
    </xdr:to>
    <xdr:cxnSp macro="">
      <xdr:nvCxnSpPr>
        <xdr:cNvPr id="1068" name="Straight Connector 1067"/>
        <xdr:cNvCxnSpPr/>
      </xdr:nvCxnSpPr>
      <xdr:spPr>
        <a:xfrm>
          <a:off x="2980765" y="2988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939</xdr:row>
      <xdr:rowOff>0</xdr:rowOff>
    </xdr:from>
    <xdr:to>
      <xdr:col>5</xdr:col>
      <xdr:colOff>0</xdr:colOff>
      <xdr:row>939</xdr:row>
      <xdr:rowOff>188399</xdr:rowOff>
    </xdr:to>
    <xdr:cxnSp macro="">
      <xdr:nvCxnSpPr>
        <xdr:cNvPr id="1069" name="Straight Connector 1068"/>
        <xdr:cNvCxnSpPr/>
      </xdr:nvCxnSpPr>
      <xdr:spPr>
        <a:xfrm flipV="1">
          <a:off x="3989294" y="2970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941</xdr:row>
      <xdr:rowOff>179295</xdr:rowOff>
    </xdr:from>
    <xdr:to>
      <xdr:col>5</xdr:col>
      <xdr:colOff>11206</xdr:colOff>
      <xdr:row>941</xdr:row>
      <xdr:rowOff>179295</xdr:rowOff>
    </xdr:to>
    <xdr:cxnSp macro="">
      <xdr:nvCxnSpPr>
        <xdr:cNvPr id="1070" name="Straight Connector 1069"/>
        <xdr:cNvCxnSpPr/>
      </xdr:nvCxnSpPr>
      <xdr:spPr>
        <a:xfrm>
          <a:off x="2980765" y="3026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941</xdr:row>
      <xdr:rowOff>0</xdr:rowOff>
    </xdr:from>
    <xdr:to>
      <xdr:col>3</xdr:col>
      <xdr:colOff>23112</xdr:colOff>
      <xdr:row>941</xdr:row>
      <xdr:rowOff>188399</xdr:rowOff>
    </xdr:to>
    <xdr:cxnSp macro="">
      <xdr:nvCxnSpPr>
        <xdr:cNvPr id="1071" name="Straight Connector 1070"/>
        <xdr:cNvCxnSpPr/>
      </xdr:nvCxnSpPr>
      <xdr:spPr>
        <a:xfrm flipV="1">
          <a:off x="3003877" y="3008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941</xdr:row>
      <xdr:rowOff>0</xdr:rowOff>
    </xdr:from>
    <xdr:to>
      <xdr:col>4</xdr:col>
      <xdr:colOff>601265</xdr:colOff>
      <xdr:row>941</xdr:row>
      <xdr:rowOff>187699</xdr:rowOff>
    </xdr:to>
    <xdr:cxnSp macro="">
      <xdr:nvCxnSpPr>
        <xdr:cNvPr id="1072" name="Straight Connector 1071"/>
        <xdr:cNvCxnSpPr/>
      </xdr:nvCxnSpPr>
      <xdr:spPr>
        <a:xfrm flipV="1">
          <a:off x="3991044" y="3008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941</xdr:row>
      <xdr:rowOff>0</xdr:rowOff>
    </xdr:from>
    <xdr:to>
      <xdr:col>4</xdr:col>
      <xdr:colOff>601265</xdr:colOff>
      <xdr:row>941</xdr:row>
      <xdr:rowOff>187699</xdr:rowOff>
    </xdr:to>
    <xdr:cxnSp macro="">
      <xdr:nvCxnSpPr>
        <xdr:cNvPr id="1073" name="Straight Connector 1072"/>
        <xdr:cNvCxnSpPr/>
      </xdr:nvCxnSpPr>
      <xdr:spPr>
        <a:xfrm flipV="1">
          <a:off x="3991044" y="3008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941</xdr:row>
      <xdr:rowOff>0</xdr:rowOff>
    </xdr:from>
    <xdr:to>
      <xdr:col>4</xdr:col>
      <xdr:colOff>601265</xdr:colOff>
      <xdr:row>941</xdr:row>
      <xdr:rowOff>187699</xdr:rowOff>
    </xdr:to>
    <xdr:cxnSp macro="">
      <xdr:nvCxnSpPr>
        <xdr:cNvPr id="1074" name="Straight Connector 1073"/>
        <xdr:cNvCxnSpPr/>
      </xdr:nvCxnSpPr>
      <xdr:spPr>
        <a:xfrm flipV="1">
          <a:off x="3991044" y="3008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943</xdr:row>
      <xdr:rowOff>179295</xdr:rowOff>
    </xdr:from>
    <xdr:to>
      <xdr:col>5</xdr:col>
      <xdr:colOff>11206</xdr:colOff>
      <xdr:row>943</xdr:row>
      <xdr:rowOff>179295</xdr:rowOff>
    </xdr:to>
    <xdr:cxnSp macro="">
      <xdr:nvCxnSpPr>
        <xdr:cNvPr id="1075" name="Straight Connector 1074"/>
        <xdr:cNvCxnSpPr/>
      </xdr:nvCxnSpPr>
      <xdr:spPr>
        <a:xfrm>
          <a:off x="2980765" y="3064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943</xdr:row>
      <xdr:rowOff>0</xdr:rowOff>
    </xdr:from>
    <xdr:to>
      <xdr:col>3</xdr:col>
      <xdr:colOff>23112</xdr:colOff>
      <xdr:row>943</xdr:row>
      <xdr:rowOff>188399</xdr:rowOff>
    </xdr:to>
    <xdr:cxnSp macro="">
      <xdr:nvCxnSpPr>
        <xdr:cNvPr id="1076" name="Straight Connector 1075"/>
        <xdr:cNvCxnSpPr/>
      </xdr:nvCxnSpPr>
      <xdr:spPr>
        <a:xfrm flipV="1">
          <a:off x="3003877" y="3046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943</xdr:row>
      <xdr:rowOff>0</xdr:rowOff>
    </xdr:from>
    <xdr:to>
      <xdr:col>4</xdr:col>
      <xdr:colOff>601265</xdr:colOff>
      <xdr:row>943</xdr:row>
      <xdr:rowOff>187699</xdr:rowOff>
    </xdr:to>
    <xdr:cxnSp macro="">
      <xdr:nvCxnSpPr>
        <xdr:cNvPr id="1077" name="Straight Connector 1076"/>
        <xdr:cNvCxnSpPr/>
      </xdr:nvCxnSpPr>
      <xdr:spPr>
        <a:xfrm flipV="1">
          <a:off x="3991044" y="3046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943</xdr:row>
      <xdr:rowOff>0</xdr:rowOff>
    </xdr:from>
    <xdr:to>
      <xdr:col>4</xdr:col>
      <xdr:colOff>601265</xdr:colOff>
      <xdr:row>943</xdr:row>
      <xdr:rowOff>187699</xdr:rowOff>
    </xdr:to>
    <xdr:cxnSp macro="">
      <xdr:nvCxnSpPr>
        <xdr:cNvPr id="1078" name="Straight Connector 1077"/>
        <xdr:cNvCxnSpPr/>
      </xdr:nvCxnSpPr>
      <xdr:spPr>
        <a:xfrm flipV="1">
          <a:off x="3991044" y="3046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943</xdr:row>
      <xdr:rowOff>0</xdr:rowOff>
    </xdr:from>
    <xdr:to>
      <xdr:col>4</xdr:col>
      <xdr:colOff>601265</xdr:colOff>
      <xdr:row>943</xdr:row>
      <xdr:rowOff>187699</xdr:rowOff>
    </xdr:to>
    <xdr:cxnSp macro="">
      <xdr:nvCxnSpPr>
        <xdr:cNvPr id="1079" name="Straight Connector 1078"/>
        <xdr:cNvCxnSpPr/>
      </xdr:nvCxnSpPr>
      <xdr:spPr>
        <a:xfrm flipV="1">
          <a:off x="3991044" y="3046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1528</xdr:row>
      <xdr:rowOff>0</xdr:rowOff>
    </xdr:from>
    <xdr:to>
      <xdr:col>5</xdr:col>
      <xdr:colOff>10232</xdr:colOff>
      <xdr:row>1528</xdr:row>
      <xdr:rowOff>0</xdr:rowOff>
    </xdr:to>
    <xdr:cxnSp macro="">
      <xdr:nvCxnSpPr>
        <xdr:cNvPr id="1080" name="Straight Connector 1079"/>
        <xdr:cNvCxnSpPr/>
      </xdr:nvCxnSpPr>
      <xdr:spPr>
        <a:xfrm>
          <a:off x="2980765" y="141911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1531</xdr:row>
      <xdr:rowOff>0</xdr:rowOff>
    </xdr:from>
    <xdr:to>
      <xdr:col>5</xdr:col>
      <xdr:colOff>10232</xdr:colOff>
      <xdr:row>1531</xdr:row>
      <xdr:rowOff>0</xdr:rowOff>
    </xdr:to>
    <xdr:cxnSp macro="">
      <xdr:nvCxnSpPr>
        <xdr:cNvPr id="1081" name="Straight Connector 1080"/>
        <xdr:cNvCxnSpPr/>
      </xdr:nvCxnSpPr>
      <xdr:spPr>
        <a:xfrm>
          <a:off x="2980765" y="142482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1534</xdr:row>
      <xdr:rowOff>0</xdr:rowOff>
    </xdr:from>
    <xdr:to>
      <xdr:col>5</xdr:col>
      <xdr:colOff>10232</xdr:colOff>
      <xdr:row>1534</xdr:row>
      <xdr:rowOff>0</xdr:rowOff>
    </xdr:to>
    <xdr:cxnSp macro="">
      <xdr:nvCxnSpPr>
        <xdr:cNvPr id="1082" name="Straight Connector 1081"/>
        <xdr:cNvCxnSpPr/>
      </xdr:nvCxnSpPr>
      <xdr:spPr>
        <a:xfrm>
          <a:off x="2980765" y="143054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1537</xdr:row>
      <xdr:rowOff>0</xdr:rowOff>
    </xdr:from>
    <xdr:to>
      <xdr:col>5</xdr:col>
      <xdr:colOff>10232</xdr:colOff>
      <xdr:row>1537</xdr:row>
      <xdr:rowOff>0</xdr:rowOff>
    </xdr:to>
    <xdr:cxnSp macro="">
      <xdr:nvCxnSpPr>
        <xdr:cNvPr id="1083" name="Straight Connector 1082"/>
        <xdr:cNvCxnSpPr/>
      </xdr:nvCxnSpPr>
      <xdr:spPr>
        <a:xfrm>
          <a:off x="2980765" y="143625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1540</xdr:row>
      <xdr:rowOff>0</xdr:rowOff>
    </xdr:from>
    <xdr:to>
      <xdr:col>5</xdr:col>
      <xdr:colOff>10232</xdr:colOff>
      <xdr:row>1540</xdr:row>
      <xdr:rowOff>0</xdr:rowOff>
    </xdr:to>
    <xdr:cxnSp macro="">
      <xdr:nvCxnSpPr>
        <xdr:cNvPr id="1084" name="Straight Connector 1083"/>
        <xdr:cNvCxnSpPr/>
      </xdr:nvCxnSpPr>
      <xdr:spPr>
        <a:xfrm>
          <a:off x="2980765" y="144197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1543</xdr:row>
      <xdr:rowOff>0</xdr:rowOff>
    </xdr:from>
    <xdr:to>
      <xdr:col>5</xdr:col>
      <xdr:colOff>10232</xdr:colOff>
      <xdr:row>1543</xdr:row>
      <xdr:rowOff>0</xdr:rowOff>
    </xdr:to>
    <xdr:cxnSp macro="">
      <xdr:nvCxnSpPr>
        <xdr:cNvPr id="1085" name="Straight Connector 1084"/>
        <xdr:cNvCxnSpPr/>
      </xdr:nvCxnSpPr>
      <xdr:spPr>
        <a:xfrm>
          <a:off x="2980765" y="144768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1546</xdr:row>
      <xdr:rowOff>0</xdr:rowOff>
    </xdr:from>
    <xdr:to>
      <xdr:col>5</xdr:col>
      <xdr:colOff>10232</xdr:colOff>
      <xdr:row>1546</xdr:row>
      <xdr:rowOff>0</xdr:rowOff>
    </xdr:to>
    <xdr:cxnSp macro="">
      <xdr:nvCxnSpPr>
        <xdr:cNvPr id="1086" name="Straight Connector 1085"/>
        <xdr:cNvCxnSpPr/>
      </xdr:nvCxnSpPr>
      <xdr:spPr>
        <a:xfrm>
          <a:off x="2980765" y="145340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1549</xdr:row>
      <xdr:rowOff>0</xdr:rowOff>
    </xdr:from>
    <xdr:to>
      <xdr:col>5</xdr:col>
      <xdr:colOff>10232</xdr:colOff>
      <xdr:row>1549</xdr:row>
      <xdr:rowOff>0</xdr:rowOff>
    </xdr:to>
    <xdr:cxnSp macro="">
      <xdr:nvCxnSpPr>
        <xdr:cNvPr id="1087" name="Straight Connector 1086"/>
        <xdr:cNvCxnSpPr/>
      </xdr:nvCxnSpPr>
      <xdr:spPr>
        <a:xfrm>
          <a:off x="2980765" y="145911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1552</xdr:row>
      <xdr:rowOff>0</xdr:rowOff>
    </xdr:from>
    <xdr:to>
      <xdr:col>5</xdr:col>
      <xdr:colOff>10232</xdr:colOff>
      <xdr:row>1552</xdr:row>
      <xdr:rowOff>0</xdr:rowOff>
    </xdr:to>
    <xdr:cxnSp macro="">
      <xdr:nvCxnSpPr>
        <xdr:cNvPr id="1088" name="Straight Connector 1087"/>
        <xdr:cNvCxnSpPr/>
      </xdr:nvCxnSpPr>
      <xdr:spPr>
        <a:xfrm>
          <a:off x="2980765" y="146483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1555</xdr:row>
      <xdr:rowOff>0</xdr:rowOff>
    </xdr:from>
    <xdr:to>
      <xdr:col>5</xdr:col>
      <xdr:colOff>10232</xdr:colOff>
      <xdr:row>1555</xdr:row>
      <xdr:rowOff>0</xdr:rowOff>
    </xdr:to>
    <xdr:cxnSp macro="">
      <xdr:nvCxnSpPr>
        <xdr:cNvPr id="1089" name="Straight Connector 1088"/>
        <xdr:cNvCxnSpPr/>
      </xdr:nvCxnSpPr>
      <xdr:spPr>
        <a:xfrm>
          <a:off x="2980765" y="147054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1558</xdr:row>
      <xdr:rowOff>0</xdr:rowOff>
    </xdr:from>
    <xdr:to>
      <xdr:col>5</xdr:col>
      <xdr:colOff>10232</xdr:colOff>
      <xdr:row>1558</xdr:row>
      <xdr:rowOff>0</xdr:rowOff>
    </xdr:to>
    <xdr:cxnSp macro="">
      <xdr:nvCxnSpPr>
        <xdr:cNvPr id="1090" name="Straight Connector 1089"/>
        <xdr:cNvCxnSpPr/>
      </xdr:nvCxnSpPr>
      <xdr:spPr>
        <a:xfrm>
          <a:off x="2980765" y="147626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1561</xdr:row>
      <xdr:rowOff>0</xdr:rowOff>
    </xdr:from>
    <xdr:to>
      <xdr:col>5</xdr:col>
      <xdr:colOff>10232</xdr:colOff>
      <xdr:row>1561</xdr:row>
      <xdr:rowOff>0</xdr:rowOff>
    </xdr:to>
    <xdr:cxnSp macro="">
      <xdr:nvCxnSpPr>
        <xdr:cNvPr id="1091" name="Straight Connector 1090"/>
        <xdr:cNvCxnSpPr/>
      </xdr:nvCxnSpPr>
      <xdr:spPr>
        <a:xfrm>
          <a:off x="2980765" y="148197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1564</xdr:row>
      <xdr:rowOff>0</xdr:rowOff>
    </xdr:from>
    <xdr:to>
      <xdr:col>5</xdr:col>
      <xdr:colOff>10232</xdr:colOff>
      <xdr:row>1564</xdr:row>
      <xdr:rowOff>0</xdr:rowOff>
    </xdr:to>
    <xdr:cxnSp macro="">
      <xdr:nvCxnSpPr>
        <xdr:cNvPr id="1092" name="Straight Connector 1091"/>
        <xdr:cNvCxnSpPr/>
      </xdr:nvCxnSpPr>
      <xdr:spPr>
        <a:xfrm>
          <a:off x="2980765" y="148769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1368</xdr:row>
      <xdr:rowOff>74935</xdr:rowOff>
    </xdr:from>
    <xdr:to>
      <xdr:col>5</xdr:col>
      <xdr:colOff>2924</xdr:colOff>
      <xdr:row>1368</xdr:row>
      <xdr:rowOff>74935</xdr:rowOff>
    </xdr:to>
    <xdr:cxnSp macro="">
      <xdr:nvCxnSpPr>
        <xdr:cNvPr id="1093" name="Straight Connector 1092"/>
        <xdr:cNvCxnSpPr/>
      </xdr:nvCxnSpPr>
      <xdr:spPr>
        <a:xfrm>
          <a:off x="2973457" y="11150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1371</xdr:row>
      <xdr:rowOff>74935</xdr:rowOff>
    </xdr:from>
    <xdr:to>
      <xdr:col>5</xdr:col>
      <xdr:colOff>2924</xdr:colOff>
      <xdr:row>1371</xdr:row>
      <xdr:rowOff>74935</xdr:rowOff>
    </xdr:to>
    <xdr:cxnSp macro="">
      <xdr:nvCxnSpPr>
        <xdr:cNvPr id="1094" name="Straight Connector 1093"/>
        <xdr:cNvCxnSpPr/>
      </xdr:nvCxnSpPr>
      <xdr:spPr>
        <a:xfrm>
          <a:off x="2973457" y="11207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1374</xdr:row>
      <xdr:rowOff>74935</xdr:rowOff>
    </xdr:from>
    <xdr:to>
      <xdr:col>5</xdr:col>
      <xdr:colOff>2924</xdr:colOff>
      <xdr:row>1374</xdr:row>
      <xdr:rowOff>74935</xdr:rowOff>
    </xdr:to>
    <xdr:cxnSp macro="">
      <xdr:nvCxnSpPr>
        <xdr:cNvPr id="1095" name="Straight Connector 1094"/>
        <xdr:cNvCxnSpPr/>
      </xdr:nvCxnSpPr>
      <xdr:spPr>
        <a:xfrm>
          <a:off x="2973457" y="11264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1377</xdr:row>
      <xdr:rowOff>74935</xdr:rowOff>
    </xdr:from>
    <xdr:to>
      <xdr:col>5</xdr:col>
      <xdr:colOff>2924</xdr:colOff>
      <xdr:row>1377</xdr:row>
      <xdr:rowOff>74935</xdr:rowOff>
    </xdr:to>
    <xdr:cxnSp macro="">
      <xdr:nvCxnSpPr>
        <xdr:cNvPr id="1096" name="Straight Connector 1095"/>
        <xdr:cNvCxnSpPr/>
      </xdr:nvCxnSpPr>
      <xdr:spPr>
        <a:xfrm>
          <a:off x="2973457" y="11322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1380</xdr:row>
      <xdr:rowOff>74935</xdr:rowOff>
    </xdr:from>
    <xdr:to>
      <xdr:col>5</xdr:col>
      <xdr:colOff>2924</xdr:colOff>
      <xdr:row>1380</xdr:row>
      <xdr:rowOff>74935</xdr:rowOff>
    </xdr:to>
    <xdr:cxnSp macro="">
      <xdr:nvCxnSpPr>
        <xdr:cNvPr id="1097" name="Straight Connector 1096"/>
        <xdr:cNvCxnSpPr/>
      </xdr:nvCxnSpPr>
      <xdr:spPr>
        <a:xfrm>
          <a:off x="2973457" y="11379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1383</xdr:row>
      <xdr:rowOff>74935</xdr:rowOff>
    </xdr:from>
    <xdr:to>
      <xdr:col>5</xdr:col>
      <xdr:colOff>2924</xdr:colOff>
      <xdr:row>1383</xdr:row>
      <xdr:rowOff>74935</xdr:rowOff>
    </xdr:to>
    <xdr:cxnSp macro="">
      <xdr:nvCxnSpPr>
        <xdr:cNvPr id="1098" name="Straight Connector 1097"/>
        <xdr:cNvCxnSpPr/>
      </xdr:nvCxnSpPr>
      <xdr:spPr>
        <a:xfrm>
          <a:off x="2973457" y="11436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1386</xdr:row>
      <xdr:rowOff>74935</xdr:rowOff>
    </xdr:from>
    <xdr:to>
      <xdr:col>5</xdr:col>
      <xdr:colOff>2924</xdr:colOff>
      <xdr:row>1386</xdr:row>
      <xdr:rowOff>74935</xdr:rowOff>
    </xdr:to>
    <xdr:cxnSp macro="">
      <xdr:nvCxnSpPr>
        <xdr:cNvPr id="1099" name="Straight Connector 1098"/>
        <xdr:cNvCxnSpPr/>
      </xdr:nvCxnSpPr>
      <xdr:spPr>
        <a:xfrm>
          <a:off x="2973457" y="11493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1389</xdr:row>
      <xdr:rowOff>74935</xdr:rowOff>
    </xdr:from>
    <xdr:to>
      <xdr:col>5</xdr:col>
      <xdr:colOff>2924</xdr:colOff>
      <xdr:row>1389</xdr:row>
      <xdr:rowOff>74935</xdr:rowOff>
    </xdr:to>
    <xdr:cxnSp macro="">
      <xdr:nvCxnSpPr>
        <xdr:cNvPr id="1100" name="Straight Connector 1099"/>
        <xdr:cNvCxnSpPr/>
      </xdr:nvCxnSpPr>
      <xdr:spPr>
        <a:xfrm>
          <a:off x="2973457" y="11550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1392</xdr:row>
      <xdr:rowOff>74935</xdr:rowOff>
    </xdr:from>
    <xdr:to>
      <xdr:col>5</xdr:col>
      <xdr:colOff>2924</xdr:colOff>
      <xdr:row>1392</xdr:row>
      <xdr:rowOff>74935</xdr:rowOff>
    </xdr:to>
    <xdr:cxnSp macro="">
      <xdr:nvCxnSpPr>
        <xdr:cNvPr id="1101" name="Straight Connector 1100"/>
        <xdr:cNvCxnSpPr/>
      </xdr:nvCxnSpPr>
      <xdr:spPr>
        <a:xfrm>
          <a:off x="2973457" y="11607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1395</xdr:row>
      <xdr:rowOff>74935</xdr:rowOff>
    </xdr:from>
    <xdr:to>
      <xdr:col>5</xdr:col>
      <xdr:colOff>2924</xdr:colOff>
      <xdr:row>1395</xdr:row>
      <xdr:rowOff>74935</xdr:rowOff>
    </xdr:to>
    <xdr:cxnSp macro="">
      <xdr:nvCxnSpPr>
        <xdr:cNvPr id="1102" name="Straight Connector 1101"/>
        <xdr:cNvCxnSpPr/>
      </xdr:nvCxnSpPr>
      <xdr:spPr>
        <a:xfrm>
          <a:off x="2973457" y="11664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1365</xdr:row>
      <xdr:rowOff>74935</xdr:rowOff>
    </xdr:from>
    <xdr:to>
      <xdr:col>5</xdr:col>
      <xdr:colOff>2924</xdr:colOff>
      <xdr:row>1365</xdr:row>
      <xdr:rowOff>74935</xdr:rowOff>
    </xdr:to>
    <xdr:cxnSp macro="">
      <xdr:nvCxnSpPr>
        <xdr:cNvPr id="1103" name="Straight Connector 1102"/>
        <xdr:cNvCxnSpPr/>
      </xdr:nvCxnSpPr>
      <xdr:spPr>
        <a:xfrm>
          <a:off x="2973457" y="11093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1362</xdr:row>
      <xdr:rowOff>74935</xdr:rowOff>
    </xdr:from>
    <xdr:to>
      <xdr:col>5</xdr:col>
      <xdr:colOff>2924</xdr:colOff>
      <xdr:row>1362</xdr:row>
      <xdr:rowOff>74935</xdr:rowOff>
    </xdr:to>
    <xdr:cxnSp macro="">
      <xdr:nvCxnSpPr>
        <xdr:cNvPr id="1104" name="Straight Connector 1103"/>
        <xdr:cNvCxnSpPr/>
      </xdr:nvCxnSpPr>
      <xdr:spPr>
        <a:xfrm>
          <a:off x="2973457" y="11036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1398</xdr:row>
      <xdr:rowOff>74935</xdr:rowOff>
    </xdr:from>
    <xdr:to>
      <xdr:col>5</xdr:col>
      <xdr:colOff>2924</xdr:colOff>
      <xdr:row>1398</xdr:row>
      <xdr:rowOff>74935</xdr:rowOff>
    </xdr:to>
    <xdr:cxnSp macro="">
      <xdr:nvCxnSpPr>
        <xdr:cNvPr id="1105" name="Straight Connector 1104"/>
        <xdr:cNvCxnSpPr/>
      </xdr:nvCxnSpPr>
      <xdr:spPr>
        <a:xfrm>
          <a:off x="2973457" y="11722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1578</xdr:row>
      <xdr:rowOff>179295</xdr:rowOff>
    </xdr:from>
    <xdr:to>
      <xdr:col>5</xdr:col>
      <xdr:colOff>11206</xdr:colOff>
      <xdr:row>1578</xdr:row>
      <xdr:rowOff>179295</xdr:rowOff>
    </xdr:to>
    <xdr:cxnSp macro="">
      <xdr:nvCxnSpPr>
        <xdr:cNvPr id="1106" name="Straight Connector 1105"/>
        <xdr:cNvCxnSpPr/>
      </xdr:nvCxnSpPr>
      <xdr:spPr>
        <a:xfrm>
          <a:off x="2980765" y="1522991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1581</xdr:row>
      <xdr:rowOff>179295</xdr:rowOff>
    </xdr:from>
    <xdr:to>
      <xdr:col>5</xdr:col>
      <xdr:colOff>11206</xdr:colOff>
      <xdr:row>1581</xdr:row>
      <xdr:rowOff>179295</xdr:rowOff>
    </xdr:to>
    <xdr:cxnSp macro="">
      <xdr:nvCxnSpPr>
        <xdr:cNvPr id="1127" name="Straight Connector 1126"/>
        <xdr:cNvCxnSpPr/>
      </xdr:nvCxnSpPr>
      <xdr:spPr>
        <a:xfrm>
          <a:off x="2980765" y="3020321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1584</xdr:row>
      <xdr:rowOff>179295</xdr:rowOff>
    </xdr:from>
    <xdr:to>
      <xdr:col>5</xdr:col>
      <xdr:colOff>11206</xdr:colOff>
      <xdr:row>1584</xdr:row>
      <xdr:rowOff>179295</xdr:rowOff>
    </xdr:to>
    <xdr:cxnSp macro="">
      <xdr:nvCxnSpPr>
        <xdr:cNvPr id="1128" name="Straight Connector 1127"/>
        <xdr:cNvCxnSpPr/>
      </xdr:nvCxnSpPr>
      <xdr:spPr>
        <a:xfrm>
          <a:off x="2980765" y="3020321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1587</xdr:row>
      <xdr:rowOff>179295</xdr:rowOff>
    </xdr:from>
    <xdr:to>
      <xdr:col>5</xdr:col>
      <xdr:colOff>11206</xdr:colOff>
      <xdr:row>1587</xdr:row>
      <xdr:rowOff>179295</xdr:rowOff>
    </xdr:to>
    <xdr:cxnSp macro="">
      <xdr:nvCxnSpPr>
        <xdr:cNvPr id="1129" name="Straight Connector 1128"/>
        <xdr:cNvCxnSpPr/>
      </xdr:nvCxnSpPr>
      <xdr:spPr>
        <a:xfrm>
          <a:off x="2980765" y="3026036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1598</xdr:row>
      <xdr:rowOff>179295</xdr:rowOff>
    </xdr:from>
    <xdr:to>
      <xdr:col>5</xdr:col>
      <xdr:colOff>11206</xdr:colOff>
      <xdr:row>1598</xdr:row>
      <xdr:rowOff>179295</xdr:rowOff>
    </xdr:to>
    <xdr:cxnSp macro="">
      <xdr:nvCxnSpPr>
        <xdr:cNvPr id="1130" name="Straight Connector 1129"/>
        <xdr:cNvCxnSpPr/>
      </xdr:nvCxnSpPr>
      <xdr:spPr>
        <a:xfrm>
          <a:off x="2980765" y="302043354"/>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385081</xdr:colOff>
      <xdr:row>4</xdr:row>
      <xdr:rowOff>297027</xdr:rowOff>
    </xdr:from>
    <xdr:to>
      <xdr:col>3</xdr:col>
      <xdr:colOff>392907</xdr:colOff>
      <xdr:row>8</xdr:row>
      <xdr:rowOff>154781</xdr:rowOff>
    </xdr:to>
    <xdr:cxnSp macro="">
      <xdr:nvCxnSpPr>
        <xdr:cNvPr id="2" name="Straight Connector 1"/>
        <xdr:cNvCxnSpPr/>
      </xdr:nvCxnSpPr>
      <xdr:spPr>
        <a:xfrm>
          <a:off x="3166381" y="1116177"/>
          <a:ext cx="7826" cy="753104"/>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8</xdr:row>
      <xdr:rowOff>142875</xdr:rowOff>
    </xdr:from>
    <xdr:to>
      <xdr:col>4</xdr:col>
      <xdr:colOff>11908</xdr:colOff>
      <xdr:row>8</xdr:row>
      <xdr:rowOff>154782</xdr:rowOff>
    </xdr:to>
    <xdr:cxnSp macro="">
      <xdr:nvCxnSpPr>
        <xdr:cNvPr id="3" name="Straight Connector 2"/>
        <xdr:cNvCxnSpPr/>
      </xdr:nvCxnSpPr>
      <xdr:spPr>
        <a:xfrm flipH="1" flipV="1">
          <a:off x="3150395" y="1857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xdr:row>
      <xdr:rowOff>305147</xdr:rowOff>
    </xdr:from>
    <xdr:to>
      <xdr:col>3</xdr:col>
      <xdr:colOff>130969</xdr:colOff>
      <xdr:row>6</xdr:row>
      <xdr:rowOff>11906</xdr:rowOff>
    </xdr:to>
    <xdr:cxnSp macro="">
      <xdr:nvCxnSpPr>
        <xdr:cNvPr id="4" name="Straight Arrow Connector 3"/>
        <xdr:cNvCxnSpPr/>
      </xdr:nvCxnSpPr>
      <xdr:spPr>
        <a:xfrm flipH="1" flipV="1">
          <a:off x="2904995" y="1124297"/>
          <a:ext cx="7274" cy="2211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7</xdr:row>
      <xdr:rowOff>11907</xdr:rowOff>
    </xdr:from>
    <xdr:to>
      <xdr:col>3</xdr:col>
      <xdr:colOff>130969</xdr:colOff>
      <xdr:row>8</xdr:row>
      <xdr:rowOff>154782</xdr:rowOff>
    </xdr:to>
    <xdr:cxnSp macro="">
      <xdr:nvCxnSpPr>
        <xdr:cNvPr id="5" name="Straight Arrow Connector 4"/>
        <xdr:cNvCxnSpPr/>
      </xdr:nvCxnSpPr>
      <xdr:spPr>
        <a:xfrm>
          <a:off x="2912269" y="153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11</xdr:row>
      <xdr:rowOff>89297</xdr:rowOff>
    </xdr:from>
    <xdr:to>
      <xdr:col>3</xdr:col>
      <xdr:colOff>178594</xdr:colOff>
      <xdr:row>12</xdr:row>
      <xdr:rowOff>59531</xdr:rowOff>
    </xdr:to>
    <xdr:cxnSp macro="">
      <xdr:nvCxnSpPr>
        <xdr:cNvPr id="6" name="Straight Connector 5"/>
        <xdr:cNvCxnSpPr/>
      </xdr:nvCxnSpPr>
      <xdr:spPr>
        <a:xfrm>
          <a:off x="2840831" y="237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xdr:row>
      <xdr:rowOff>35719</xdr:rowOff>
    </xdr:from>
    <xdr:to>
      <xdr:col>3</xdr:col>
      <xdr:colOff>285750</xdr:colOff>
      <xdr:row>11</xdr:row>
      <xdr:rowOff>154781</xdr:rowOff>
    </xdr:to>
    <xdr:cxnSp macro="">
      <xdr:nvCxnSpPr>
        <xdr:cNvPr id="7" name="Straight Connector 6"/>
        <xdr:cNvCxnSpPr/>
      </xdr:nvCxnSpPr>
      <xdr:spPr>
        <a:xfrm>
          <a:off x="2876550" y="232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20</xdr:row>
      <xdr:rowOff>124558</xdr:rowOff>
    </xdr:from>
    <xdr:to>
      <xdr:col>3</xdr:col>
      <xdr:colOff>381000</xdr:colOff>
      <xdr:row>23</xdr:row>
      <xdr:rowOff>124558</xdr:rowOff>
    </xdr:to>
    <xdr:cxnSp macro="">
      <xdr:nvCxnSpPr>
        <xdr:cNvPr id="8" name="Straight Connector 7"/>
        <xdr:cNvCxnSpPr/>
      </xdr:nvCxnSpPr>
      <xdr:spPr>
        <a:xfrm flipH="1">
          <a:off x="2713986" y="4125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20</xdr:row>
      <xdr:rowOff>139212</xdr:rowOff>
    </xdr:from>
    <xdr:to>
      <xdr:col>4</xdr:col>
      <xdr:colOff>116773</xdr:colOff>
      <xdr:row>23</xdr:row>
      <xdr:rowOff>117231</xdr:rowOff>
    </xdr:to>
    <xdr:cxnSp macro="">
      <xdr:nvCxnSpPr>
        <xdr:cNvPr id="9" name="Straight Connector 8"/>
        <xdr:cNvCxnSpPr/>
      </xdr:nvCxnSpPr>
      <xdr:spPr>
        <a:xfrm>
          <a:off x="3162300" y="4139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23</xdr:row>
      <xdr:rowOff>118956</xdr:rowOff>
    </xdr:from>
    <xdr:to>
      <xdr:col>4</xdr:col>
      <xdr:colOff>134902</xdr:colOff>
      <xdr:row>23</xdr:row>
      <xdr:rowOff>118956</xdr:rowOff>
    </xdr:to>
    <xdr:cxnSp macro="">
      <xdr:nvCxnSpPr>
        <xdr:cNvPr id="10" name="Straight Connector 9"/>
        <xdr:cNvCxnSpPr/>
      </xdr:nvCxnSpPr>
      <xdr:spPr>
        <a:xfrm>
          <a:off x="2706955" y="4690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21</xdr:row>
      <xdr:rowOff>36635</xdr:rowOff>
    </xdr:from>
    <xdr:to>
      <xdr:col>3</xdr:col>
      <xdr:colOff>300404</xdr:colOff>
      <xdr:row>22</xdr:row>
      <xdr:rowOff>45337</xdr:rowOff>
    </xdr:to>
    <xdr:cxnSp macro="">
      <xdr:nvCxnSpPr>
        <xdr:cNvPr id="11" name="Straight Connector 10"/>
        <xdr:cNvCxnSpPr/>
      </xdr:nvCxnSpPr>
      <xdr:spPr>
        <a:xfrm flipH="1">
          <a:off x="3076209" y="4227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21</xdr:row>
      <xdr:rowOff>25749</xdr:rowOff>
    </xdr:from>
    <xdr:to>
      <xdr:col>3</xdr:col>
      <xdr:colOff>472128</xdr:colOff>
      <xdr:row>22</xdr:row>
      <xdr:rowOff>36635</xdr:rowOff>
    </xdr:to>
    <xdr:cxnSp macro="">
      <xdr:nvCxnSpPr>
        <xdr:cNvPr id="12" name="Straight Connector 11"/>
        <xdr:cNvCxnSpPr/>
      </xdr:nvCxnSpPr>
      <xdr:spPr>
        <a:xfrm>
          <a:off x="3235569" y="4216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xdr:row>
      <xdr:rowOff>44824</xdr:rowOff>
    </xdr:from>
    <xdr:to>
      <xdr:col>3</xdr:col>
      <xdr:colOff>67235</xdr:colOff>
      <xdr:row>13</xdr:row>
      <xdr:rowOff>156883</xdr:rowOff>
    </xdr:to>
    <xdr:cxnSp macro="">
      <xdr:nvCxnSpPr>
        <xdr:cNvPr id="13" name="Straight Connector 12"/>
        <xdr:cNvCxnSpPr/>
      </xdr:nvCxnSpPr>
      <xdr:spPr>
        <a:xfrm>
          <a:off x="2848535" y="233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13</xdr:row>
      <xdr:rowOff>166690</xdr:rowOff>
    </xdr:from>
    <xdr:to>
      <xdr:col>3</xdr:col>
      <xdr:colOff>712867</xdr:colOff>
      <xdr:row>13</xdr:row>
      <xdr:rowOff>168519</xdr:rowOff>
    </xdr:to>
    <xdr:cxnSp macro="">
      <xdr:nvCxnSpPr>
        <xdr:cNvPr id="14" name="Straight Connector 13"/>
        <xdr:cNvCxnSpPr/>
      </xdr:nvCxnSpPr>
      <xdr:spPr>
        <a:xfrm>
          <a:off x="2816179" y="283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xdr:row>
      <xdr:rowOff>41673</xdr:rowOff>
    </xdr:from>
    <xdr:to>
      <xdr:col>4</xdr:col>
      <xdr:colOff>12211</xdr:colOff>
      <xdr:row>14</xdr:row>
      <xdr:rowOff>0</xdr:rowOff>
    </xdr:to>
    <xdr:cxnSp macro="">
      <xdr:nvCxnSpPr>
        <xdr:cNvPr id="15" name="Straight Connector 14"/>
        <xdr:cNvCxnSpPr/>
      </xdr:nvCxnSpPr>
      <xdr:spPr>
        <a:xfrm flipH="1" flipV="1">
          <a:off x="3495675" y="232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xdr:row>
      <xdr:rowOff>32918</xdr:rowOff>
    </xdr:from>
    <xdr:to>
      <xdr:col>4</xdr:col>
      <xdr:colOff>17861</xdr:colOff>
      <xdr:row>11</xdr:row>
      <xdr:rowOff>35719</xdr:rowOff>
    </xdr:to>
    <xdr:cxnSp macro="">
      <xdr:nvCxnSpPr>
        <xdr:cNvPr id="16" name="Straight Connector 15"/>
        <xdr:cNvCxnSpPr/>
      </xdr:nvCxnSpPr>
      <xdr:spPr>
        <a:xfrm flipH="1">
          <a:off x="2840831" y="231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xdr:row>
      <xdr:rowOff>89297</xdr:rowOff>
    </xdr:from>
    <xdr:to>
      <xdr:col>3</xdr:col>
      <xdr:colOff>178594</xdr:colOff>
      <xdr:row>17</xdr:row>
      <xdr:rowOff>59531</xdr:rowOff>
    </xdr:to>
    <xdr:cxnSp macro="">
      <xdr:nvCxnSpPr>
        <xdr:cNvPr id="17" name="Straight Connector 16"/>
        <xdr:cNvCxnSpPr/>
      </xdr:nvCxnSpPr>
      <xdr:spPr>
        <a:xfrm>
          <a:off x="2840831" y="332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xdr:row>
      <xdr:rowOff>35719</xdr:rowOff>
    </xdr:from>
    <xdr:to>
      <xdr:col>3</xdr:col>
      <xdr:colOff>285750</xdr:colOff>
      <xdr:row>16</xdr:row>
      <xdr:rowOff>154781</xdr:rowOff>
    </xdr:to>
    <xdr:cxnSp macro="">
      <xdr:nvCxnSpPr>
        <xdr:cNvPr id="18" name="Straight Connector 17"/>
        <xdr:cNvCxnSpPr/>
      </xdr:nvCxnSpPr>
      <xdr:spPr>
        <a:xfrm>
          <a:off x="2876550" y="327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xdr:row>
      <xdr:rowOff>44824</xdr:rowOff>
    </xdr:from>
    <xdr:to>
      <xdr:col>3</xdr:col>
      <xdr:colOff>67235</xdr:colOff>
      <xdr:row>18</xdr:row>
      <xdr:rowOff>156883</xdr:rowOff>
    </xdr:to>
    <xdr:cxnSp macro="">
      <xdr:nvCxnSpPr>
        <xdr:cNvPr id="19" name="Straight Connector 18"/>
        <xdr:cNvCxnSpPr/>
      </xdr:nvCxnSpPr>
      <xdr:spPr>
        <a:xfrm>
          <a:off x="2848535" y="328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xdr:row>
      <xdr:rowOff>166690</xdr:rowOff>
    </xdr:from>
    <xdr:to>
      <xdr:col>4</xdr:col>
      <xdr:colOff>29308</xdr:colOff>
      <xdr:row>18</xdr:row>
      <xdr:rowOff>168519</xdr:rowOff>
    </xdr:to>
    <xdr:cxnSp macro="">
      <xdr:nvCxnSpPr>
        <xdr:cNvPr id="20" name="Straight Connector 19"/>
        <xdr:cNvCxnSpPr/>
      </xdr:nvCxnSpPr>
      <xdr:spPr>
        <a:xfrm>
          <a:off x="2840831" y="378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xdr:row>
      <xdr:rowOff>41673</xdr:rowOff>
    </xdr:from>
    <xdr:to>
      <xdr:col>4</xdr:col>
      <xdr:colOff>12211</xdr:colOff>
      <xdr:row>19</xdr:row>
      <xdr:rowOff>0</xdr:rowOff>
    </xdr:to>
    <xdr:cxnSp macro="">
      <xdr:nvCxnSpPr>
        <xdr:cNvPr id="21" name="Straight Connector 20"/>
        <xdr:cNvCxnSpPr/>
      </xdr:nvCxnSpPr>
      <xdr:spPr>
        <a:xfrm flipH="1" flipV="1">
          <a:off x="3495675" y="328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xdr:row>
      <xdr:rowOff>32918</xdr:rowOff>
    </xdr:from>
    <xdr:to>
      <xdr:col>4</xdr:col>
      <xdr:colOff>17861</xdr:colOff>
      <xdr:row>16</xdr:row>
      <xdr:rowOff>35719</xdr:rowOff>
    </xdr:to>
    <xdr:cxnSp macro="">
      <xdr:nvCxnSpPr>
        <xdr:cNvPr id="22" name="Straight Connector 21"/>
        <xdr:cNvCxnSpPr/>
      </xdr:nvCxnSpPr>
      <xdr:spPr>
        <a:xfrm flipH="1">
          <a:off x="2840831" y="327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25</xdr:row>
      <xdr:rowOff>124558</xdr:rowOff>
    </xdr:from>
    <xdr:to>
      <xdr:col>3</xdr:col>
      <xdr:colOff>381000</xdr:colOff>
      <xdr:row>28</xdr:row>
      <xdr:rowOff>124558</xdr:rowOff>
    </xdr:to>
    <xdr:cxnSp macro="">
      <xdr:nvCxnSpPr>
        <xdr:cNvPr id="23" name="Straight Connector 22"/>
        <xdr:cNvCxnSpPr/>
      </xdr:nvCxnSpPr>
      <xdr:spPr>
        <a:xfrm flipH="1">
          <a:off x="2713986" y="5077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25</xdr:row>
      <xdr:rowOff>139212</xdr:rowOff>
    </xdr:from>
    <xdr:to>
      <xdr:col>4</xdr:col>
      <xdr:colOff>116773</xdr:colOff>
      <xdr:row>28</xdr:row>
      <xdr:rowOff>117231</xdr:rowOff>
    </xdr:to>
    <xdr:cxnSp macro="">
      <xdr:nvCxnSpPr>
        <xdr:cNvPr id="24" name="Straight Connector 23"/>
        <xdr:cNvCxnSpPr/>
      </xdr:nvCxnSpPr>
      <xdr:spPr>
        <a:xfrm>
          <a:off x="3162300" y="5092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28</xdr:row>
      <xdr:rowOff>118956</xdr:rowOff>
    </xdr:from>
    <xdr:to>
      <xdr:col>4</xdr:col>
      <xdr:colOff>134902</xdr:colOff>
      <xdr:row>28</xdr:row>
      <xdr:rowOff>118956</xdr:rowOff>
    </xdr:to>
    <xdr:cxnSp macro="">
      <xdr:nvCxnSpPr>
        <xdr:cNvPr id="25" name="Straight Connector 24"/>
        <xdr:cNvCxnSpPr/>
      </xdr:nvCxnSpPr>
      <xdr:spPr>
        <a:xfrm>
          <a:off x="2706955" y="5643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26</xdr:row>
      <xdr:rowOff>36635</xdr:rowOff>
    </xdr:from>
    <xdr:to>
      <xdr:col>3</xdr:col>
      <xdr:colOff>300404</xdr:colOff>
      <xdr:row>27</xdr:row>
      <xdr:rowOff>45337</xdr:rowOff>
    </xdr:to>
    <xdr:cxnSp macro="">
      <xdr:nvCxnSpPr>
        <xdr:cNvPr id="26" name="Straight Connector 25"/>
        <xdr:cNvCxnSpPr/>
      </xdr:nvCxnSpPr>
      <xdr:spPr>
        <a:xfrm flipH="1">
          <a:off x="3076209" y="5180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26</xdr:row>
      <xdr:rowOff>25749</xdr:rowOff>
    </xdr:from>
    <xdr:to>
      <xdr:col>3</xdr:col>
      <xdr:colOff>472128</xdr:colOff>
      <xdr:row>27</xdr:row>
      <xdr:rowOff>36635</xdr:rowOff>
    </xdr:to>
    <xdr:cxnSp macro="">
      <xdr:nvCxnSpPr>
        <xdr:cNvPr id="27" name="Straight Connector 26"/>
        <xdr:cNvCxnSpPr/>
      </xdr:nvCxnSpPr>
      <xdr:spPr>
        <a:xfrm>
          <a:off x="3235569" y="5169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30</xdr:row>
      <xdr:rowOff>297027</xdr:rowOff>
    </xdr:from>
    <xdr:to>
      <xdr:col>3</xdr:col>
      <xdr:colOff>392907</xdr:colOff>
      <xdr:row>34</xdr:row>
      <xdr:rowOff>154781</xdr:rowOff>
    </xdr:to>
    <xdr:cxnSp macro="">
      <xdr:nvCxnSpPr>
        <xdr:cNvPr id="28" name="Straight Connector 27"/>
        <xdr:cNvCxnSpPr/>
      </xdr:nvCxnSpPr>
      <xdr:spPr>
        <a:xfrm>
          <a:off x="3166381" y="609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34</xdr:row>
      <xdr:rowOff>142875</xdr:rowOff>
    </xdr:from>
    <xdr:to>
      <xdr:col>4</xdr:col>
      <xdr:colOff>11908</xdr:colOff>
      <xdr:row>34</xdr:row>
      <xdr:rowOff>154782</xdr:rowOff>
    </xdr:to>
    <xdr:cxnSp macro="">
      <xdr:nvCxnSpPr>
        <xdr:cNvPr id="29" name="Straight Connector 28"/>
        <xdr:cNvCxnSpPr/>
      </xdr:nvCxnSpPr>
      <xdr:spPr>
        <a:xfrm flipH="1" flipV="1">
          <a:off x="3150395" y="6810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30</xdr:row>
      <xdr:rowOff>305147</xdr:rowOff>
    </xdr:from>
    <xdr:to>
      <xdr:col>3</xdr:col>
      <xdr:colOff>130969</xdr:colOff>
      <xdr:row>32</xdr:row>
      <xdr:rowOff>11906</xdr:rowOff>
    </xdr:to>
    <xdr:cxnSp macro="">
      <xdr:nvCxnSpPr>
        <xdr:cNvPr id="30" name="Straight Arrow Connector 29"/>
        <xdr:cNvCxnSpPr/>
      </xdr:nvCxnSpPr>
      <xdr:spPr>
        <a:xfrm flipH="1" flipV="1">
          <a:off x="2904995"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33</xdr:row>
      <xdr:rowOff>11907</xdr:rowOff>
    </xdr:from>
    <xdr:to>
      <xdr:col>3</xdr:col>
      <xdr:colOff>130969</xdr:colOff>
      <xdr:row>34</xdr:row>
      <xdr:rowOff>154782</xdr:rowOff>
    </xdr:to>
    <xdr:cxnSp macro="">
      <xdr:nvCxnSpPr>
        <xdr:cNvPr id="31" name="Straight Arrow Connector 30"/>
        <xdr:cNvCxnSpPr/>
      </xdr:nvCxnSpPr>
      <xdr:spPr>
        <a:xfrm>
          <a:off x="2912269" y="648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37</xdr:row>
      <xdr:rowOff>89297</xdr:rowOff>
    </xdr:from>
    <xdr:to>
      <xdr:col>3</xdr:col>
      <xdr:colOff>178594</xdr:colOff>
      <xdr:row>38</xdr:row>
      <xdr:rowOff>59531</xdr:rowOff>
    </xdr:to>
    <xdr:cxnSp macro="">
      <xdr:nvCxnSpPr>
        <xdr:cNvPr id="32" name="Straight Connector 31"/>
        <xdr:cNvCxnSpPr/>
      </xdr:nvCxnSpPr>
      <xdr:spPr>
        <a:xfrm>
          <a:off x="2840831" y="7328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37</xdr:row>
      <xdr:rowOff>35719</xdr:rowOff>
    </xdr:from>
    <xdr:to>
      <xdr:col>3</xdr:col>
      <xdr:colOff>285750</xdr:colOff>
      <xdr:row>37</xdr:row>
      <xdr:rowOff>154781</xdr:rowOff>
    </xdr:to>
    <xdr:cxnSp macro="">
      <xdr:nvCxnSpPr>
        <xdr:cNvPr id="33" name="Straight Connector 32"/>
        <xdr:cNvCxnSpPr/>
      </xdr:nvCxnSpPr>
      <xdr:spPr>
        <a:xfrm>
          <a:off x="2876550" y="7274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46</xdr:row>
      <xdr:rowOff>124558</xdr:rowOff>
    </xdr:from>
    <xdr:to>
      <xdr:col>3</xdr:col>
      <xdr:colOff>381000</xdr:colOff>
      <xdr:row>49</xdr:row>
      <xdr:rowOff>124558</xdr:rowOff>
    </xdr:to>
    <xdr:cxnSp macro="">
      <xdr:nvCxnSpPr>
        <xdr:cNvPr id="34" name="Straight Connector 33"/>
        <xdr:cNvCxnSpPr/>
      </xdr:nvCxnSpPr>
      <xdr:spPr>
        <a:xfrm flipH="1">
          <a:off x="2713986" y="9078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46</xdr:row>
      <xdr:rowOff>139212</xdr:rowOff>
    </xdr:from>
    <xdr:to>
      <xdr:col>4</xdr:col>
      <xdr:colOff>116773</xdr:colOff>
      <xdr:row>49</xdr:row>
      <xdr:rowOff>117231</xdr:rowOff>
    </xdr:to>
    <xdr:cxnSp macro="">
      <xdr:nvCxnSpPr>
        <xdr:cNvPr id="35" name="Straight Connector 34"/>
        <xdr:cNvCxnSpPr/>
      </xdr:nvCxnSpPr>
      <xdr:spPr>
        <a:xfrm>
          <a:off x="3162300" y="9092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49</xdr:row>
      <xdr:rowOff>118956</xdr:rowOff>
    </xdr:from>
    <xdr:to>
      <xdr:col>4</xdr:col>
      <xdr:colOff>134902</xdr:colOff>
      <xdr:row>49</xdr:row>
      <xdr:rowOff>118956</xdr:rowOff>
    </xdr:to>
    <xdr:cxnSp macro="">
      <xdr:nvCxnSpPr>
        <xdr:cNvPr id="36" name="Straight Connector 35"/>
        <xdr:cNvCxnSpPr/>
      </xdr:nvCxnSpPr>
      <xdr:spPr>
        <a:xfrm>
          <a:off x="2706955" y="9643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47</xdr:row>
      <xdr:rowOff>36635</xdr:rowOff>
    </xdr:from>
    <xdr:to>
      <xdr:col>3</xdr:col>
      <xdr:colOff>300404</xdr:colOff>
      <xdr:row>48</xdr:row>
      <xdr:rowOff>45337</xdr:rowOff>
    </xdr:to>
    <xdr:cxnSp macro="">
      <xdr:nvCxnSpPr>
        <xdr:cNvPr id="37" name="Straight Connector 36"/>
        <xdr:cNvCxnSpPr/>
      </xdr:nvCxnSpPr>
      <xdr:spPr>
        <a:xfrm flipH="1">
          <a:off x="3076209" y="9180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47</xdr:row>
      <xdr:rowOff>25749</xdr:rowOff>
    </xdr:from>
    <xdr:to>
      <xdr:col>3</xdr:col>
      <xdr:colOff>472128</xdr:colOff>
      <xdr:row>48</xdr:row>
      <xdr:rowOff>36635</xdr:rowOff>
    </xdr:to>
    <xdr:cxnSp macro="">
      <xdr:nvCxnSpPr>
        <xdr:cNvPr id="38" name="Straight Connector 37"/>
        <xdr:cNvCxnSpPr/>
      </xdr:nvCxnSpPr>
      <xdr:spPr>
        <a:xfrm>
          <a:off x="3235569" y="9169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37</xdr:row>
      <xdr:rowOff>44824</xdr:rowOff>
    </xdr:from>
    <xdr:to>
      <xdr:col>3</xdr:col>
      <xdr:colOff>67235</xdr:colOff>
      <xdr:row>39</xdr:row>
      <xdr:rowOff>156883</xdr:rowOff>
    </xdr:to>
    <xdr:cxnSp macro="">
      <xdr:nvCxnSpPr>
        <xdr:cNvPr id="39" name="Straight Connector 38"/>
        <xdr:cNvCxnSpPr/>
      </xdr:nvCxnSpPr>
      <xdr:spPr>
        <a:xfrm>
          <a:off x="2848535" y="7283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xdr:row>
      <xdr:rowOff>166690</xdr:rowOff>
    </xdr:from>
    <xdr:to>
      <xdr:col>4</xdr:col>
      <xdr:colOff>29308</xdr:colOff>
      <xdr:row>39</xdr:row>
      <xdr:rowOff>168519</xdr:rowOff>
    </xdr:to>
    <xdr:cxnSp macro="">
      <xdr:nvCxnSpPr>
        <xdr:cNvPr id="40" name="Straight Connector 39"/>
        <xdr:cNvCxnSpPr/>
      </xdr:nvCxnSpPr>
      <xdr:spPr>
        <a:xfrm>
          <a:off x="2840831" y="7786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37</xdr:row>
      <xdr:rowOff>41673</xdr:rowOff>
    </xdr:from>
    <xdr:to>
      <xdr:col>4</xdr:col>
      <xdr:colOff>12211</xdr:colOff>
      <xdr:row>40</xdr:row>
      <xdr:rowOff>0</xdr:rowOff>
    </xdr:to>
    <xdr:cxnSp macro="">
      <xdr:nvCxnSpPr>
        <xdr:cNvPr id="41" name="Straight Connector 40"/>
        <xdr:cNvCxnSpPr/>
      </xdr:nvCxnSpPr>
      <xdr:spPr>
        <a:xfrm flipH="1" flipV="1">
          <a:off x="3495675" y="7280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xdr:row>
      <xdr:rowOff>32918</xdr:rowOff>
    </xdr:from>
    <xdr:to>
      <xdr:col>4</xdr:col>
      <xdr:colOff>17861</xdr:colOff>
      <xdr:row>37</xdr:row>
      <xdr:rowOff>35719</xdr:rowOff>
    </xdr:to>
    <xdr:cxnSp macro="">
      <xdr:nvCxnSpPr>
        <xdr:cNvPr id="42" name="Straight Connector 41"/>
        <xdr:cNvCxnSpPr/>
      </xdr:nvCxnSpPr>
      <xdr:spPr>
        <a:xfrm flipH="1">
          <a:off x="2840831" y="7271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xdr:row>
      <xdr:rowOff>89297</xdr:rowOff>
    </xdr:from>
    <xdr:to>
      <xdr:col>3</xdr:col>
      <xdr:colOff>178594</xdr:colOff>
      <xdr:row>43</xdr:row>
      <xdr:rowOff>59531</xdr:rowOff>
    </xdr:to>
    <xdr:cxnSp macro="">
      <xdr:nvCxnSpPr>
        <xdr:cNvPr id="43" name="Straight Connector 42"/>
        <xdr:cNvCxnSpPr/>
      </xdr:nvCxnSpPr>
      <xdr:spPr>
        <a:xfrm>
          <a:off x="2840831" y="828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42</xdr:row>
      <xdr:rowOff>35719</xdr:rowOff>
    </xdr:from>
    <xdr:to>
      <xdr:col>3</xdr:col>
      <xdr:colOff>285750</xdr:colOff>
      <xdr:row>42</xdr:row>
      <xdr:rowOff>154781</xdr:rowOff>
    </xdr:to>
    <xdr:cxnSp macro="">
      <xdr:nvCxnSpPr>
        <xdr:cNvPr id="44" name="Straight Connector 43"/>
        <xdr:cNvCxnSpPr/>
      </xdr:nvCxnSpPr>
      <xdr:spPr>
        <a:xfrm>
          <a:off x="2876550" y="822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42</xdr:row>
      <xdr:rowOff>44824</xdr:rowOff>
    </xdr:from>
    <xdr:to>
      <xdr:col>3</xdr:col>
      <xdr:colOff>67235</xdr:colOff>
      <xdr:row>44</xdr:row>
      <xdr:rowOff>156883</xdr:rowOff>
    </xdr:to>
    <xdr:cxnSp macro="">
      <xdr:nvCxnSpPr>
        <xdr:cNvPr id="45" name="Straight Connector 44"/>
        <xdr:cNvCxnSpPr/>
      </xdr:nvCxnSpPr>
      <xdr:spPr>
        <a:xfrm>
          <a:off x="2848535" y="823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xdr:row>
      <xdr:rowOff>166690</xdr:rowOff>
    </xdr:from>
    <xdr:to>
      <xdr:col>4</xdr:col>
      <xdr:colOff>29308</xdr:colOff>
      <xdr:row>44</xdr:row>
      <xdr:rowOff>168519</xdr:rowOff>
    </xdr:to>
    <xdr:cxnSp macro="">
      <xdr:nvCxnSpPr>
        <xdr:cNvPr id="46" name="Straight Connector 45"/>
        <xdr:cNvCxnSpPr/>
      </xdr:nvCxnSpPr>
      <xdr:spPr>
        <a:xfrm>
          <a:off x="2840831" y="8739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42</xdr:row>
      <xdr:rowOff>41673</xdr:rowOff>
    </xdr:from>
    <xdr:to>
      <xdr:col>4</xdr:col>
      <xdr:colOff>12211</xdr:colOff>
      <xdr:row>45</xdr:row>
      <xdr:rowOff>0</xdr:rowOff>
    </xdr:to>
    <xdr:cxnSp macro="">
      <xdr:nvCxnSpPr>
        <xdr:cNvPr id="47" name="Straight Connector 46"/>
        <xdr:cNvCxnSpPr/>
      </xdr:nvCxnSpPr>
      <xdr:spPr>
        <a:xfrm flipH="1" flipV="1">
          <a:off x="3495675" y="823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xdr:row>
      <xdr:rowOff>32918</xdr:rowOff>
    </xdr:from>
    <xdr:to>
      <xdr:col>4</xdr:col>
      <xdr:colOff>17861</xdr:colOff>
      <xdr:row>42</xdr:row>
      <xdr:rowOff>35719</xdr:rowOff>
    </xdr:to>
    <xdr:cxnSp macro="">
      <xdr:nvCxnSpPr>
        <xdr:cNvPr id="48" name="Straight Connector 47"/>
        <xdr:cNvCxnSpPr/>
      </xdr:nvCxnSpPr>
      <xdr:spPr>
        <a:xfrm flipH="1">
          <a:off x="2840831" y="8224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51</xdr:row>
      <xdr:rowOff>124558</xdr:rowOff>
    </xdr:from>
    <xdr:to>
      <xdr:col>3</xdr:col>
      <xdr:colOff>381000</xdr:colOff>
      <xdr:row>54</xdr:row>
      <xdr:rowOff>124558</xdr:rowOff>
    </xdr:to>
    <xdr:cxnSp macro="">
      <xdr:nvCxnSpPr>
        <xdr:cNvPr id="49" name="Straight Connector 48"/>
        <xdr:cNvCxnSpPr/>
      </xdr:nvCxnSpPr>
      <xdr:spPr>
        <a:xfrm flipH="1">
          <a:off x="2713986" y="10030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51</xdr:row>
      <xdr:rowOff>139212</xdr:rowOff>
    </xdr:from>
    <xdr:to>
      <xdr:col>4</xdr:col>
      <xdr:colOff>116773</xdr:colOff>
      <xdr:row>54</xdr:row>
      <xdr:rowOff>117231</xdr:rowOff>
    </xdr:to>
    <xdr:cxnSp macro="">
      <xdr:nvCxnSpPr>
        <xdr:cNvPr id="50" name="Straight Connector 49"/>
        <xdr:cNvCxnSpPr/>
      </xdr:nvCxnSpPr>
      <xdr:spPr>
        <a:xfrm>
          <a:off x="3162300" y="10045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54</xdr:row>
      <xdr:rowOff>118956</xdr:rowOff>
    </xdr:from>
    <xdr:to>
      <xdr:col>4</xdr:col>
      <xdr:colOff>134902</xdr:colOff>
      <xdr:row>54</xdr:row>
      <xdr:rowOff>118956</xdr:rowOff>
    </xdr:to>
    <xdr:cxnSp macro="">
      <xdr:nvCxnSpPr>
        <xdr:cNvPr id="51" name="Straight Connector 50"/>
        <xdr:cNvCxnSpPr/>
      </xdr:nvCxnSpPr>
      <xdr:spPr>
        <a:xfrm>
          <a:off x="2706955" y="10596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52</xdr:row>
      <xdr:rowOff>36635</xdr:rowOff>
    </xdr:from>
    <xdr:to>
      <xdr:col>3</xdr:col>
      <xdr:colOff>300404</xdr:colOff>
      <xdr:row>53</xdr:row>
      <xdr:rowOff>45337</xdr:rowOff>
    </xdr:to>
    <xdr:cxnSp macro="">
      <xdr:nvCxnSpPr>
        <xdr:cNvPr id="52" name="Straight Connector 51"/>
        <xdr:cNvCxnSpPr/>
      </xdr:nvCxnSpPr>
      <xdr:spPr>
        <a:xfrm flipH="1">
          <a:off x="3076209" y="1013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52</xdr:row>
      <xdr:rowOff>25749</xdr:rowOff>
    </xdr:from>
    <xdr:to>
      <xdr:col>3</xdr:col>
      <xdr:colOff>472128</xdr:colOff>
      <xdr:row>53</xdr:row>
      <xdr:rowOff>36635</xdr:rowOff>
    </xdr:to>
    <xdr:cxnSp macro="">
      <xdr:nvCxnSpPr>
        <xdr:cNvPr id="53" name="Straight Connector 52"/>
        <xdr:cNvCxnSpPr/>
      </xdr:nvCxnSpPr>
      <xdr:spPr>
        <a:xfrm>
          <a:off x="3235569" y="1012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56</xdr:row>
      <xdr:rowOff>297027</xdr:rowOff>
    </xdr:from>
    <xdr:to>
      <xdr:col>3</xdr:col>
      <xdr:colOff>392907</xdr:colOff>
      <xdr:row>60</xdr:row>
      <xdr:rowOff>154781</xdr:rowOff>
    </xdr:to>
    <xdr:cxnSp macro="">
      <xdr:nvCxnSpPr>
        <xdr:cNvPr id="54" name="Straight Connector 53"/>
        <xdr:cNvCxnSpPr/>
      </xdr:nvCxnSpPr>
      <xdr:spPr>
        <a:xfrm>
          <a:off x="3166381" y="1105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60</xdr:row>
      <xdr:rowOff>142875</xdr:rowOff>
    </xdr:from>
    <xdr:to>
      <xdr:col>4</xdr:col>
      <xdr:colOff>11908</xdr:colOff>
      <xdr:row>60</xdr:row>
      <xdr:rowOff>154782</xdr:rowOff>
    </xdr:to>
    <xdr:cxnSp macro="">
      <xdr:nvCxnSpPr>
        <xdr:cNvPr id="55" name="Straight Connector 54"/>
        <xdr:cNvCxnSpPr/>
      </xdr:nvCxnSpPr>
      <xdr:spPr>
        <a:xfrm flipH="1" flipV="1">
          <a:off x="3150395" y="11763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56</xdr:row>
      <xdr:rowOff>305147</xdr:rowOff>
    </xdr:from>
    <xdr:to>
      <xdr:col>3</xdr:col>
      <xdr:colOff>130969</xdr:colOff>
      <xdr:row>58</xdr:row>
      <xdr:rowOff>11906</xdr:rowOff>
    </xdr:to>
    <xdr:cxnSp macro="">
      <xdr:nvCxnSpPr>
        <xdr:cNvPr id="56" name="Straight Arrow Connector 55"/>
        <xdr:cNvCxnSpPr/>
      </xdr:nvCxnSpPr>
      <xdr:spPr>
        <a:xfrm flipH="1" flipV="1">
          <a:off x="2904995"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59</xdr:row>
      <xdr:rowOff>11907</xdr:rowOff>
    </xdr:from>
    <xdr:to>
      <xdr:col>3</xdr:col>
      <xdr:colOff>130969</xdr:colOff>
      <xdr:row>60</xdr:row>
      <xdr:rowOff>154782</xdr:rowOff>
    </xdr:to>
    <xdr:cxnSp macro="">
      <xdr:nvCxnSpPr>
        <xdr:cNvPr id="57" name="Straight Arrow Connector 56"/>
        <xdr:cNvCxnSpPr/>
      </xdr:nvCxnSpPr>
      <xdr:spPr>
        <a:xfrm>
          <a:off x="2912269" y="1144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63</xdr:row>
      <xdr:rowOff>89297</xdr:rowOff>
    </xdr:from>
    <xdr:to>
      <xdr:col>3</xdr:col>
      <xdr:colOff>178594</xdr:colOff>
      <xdr:row>64</xdr:row>
      <xdr:rowOff>59531</xdr:rowOff>
    </xdr:to>
    <xdr:cxnSp macro="">
      <xdr:nvCxnSpPr>
        <xdr:cNvPr id="58" name="Straight Connector 57"/>
        <xdr:cNvCxnSpPr/>
      </xdr:nvCxnSpPr>
      <xdr:spPr>
        <a:xfrm>
          <a:off x="2840831" y="1228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63</xdr:row>
      <xdr:rowOff>35719</xdr:rowOff>
    </xdr:from>
    <xdr:to>
      <xdr:col>3</xdr:col>
      <xdr:colOff>285750</xdr:colOff>
      <xdr:row>63</xdr:row>
      <xdr:rowOff>154781</xdr:rowOff>
    </xdr:to>
    <xdr:cxnSp macro="">
      <xdr:nvCxnSpPr>
        <xdr:cNvPr id="59" name="Straight Connector 58"/>
        <xdr:cNvCxnSpPr/>
      </xdr:nvCxnSpPr>
      <xdr:spPr>
        <a:xfrm>
          <a:off x="2876550" y="1222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72</xdr:row>
      <xdr:rowOff>124558</xdr:rowOff>
    </xdr:from>
    <xdr:to>
      <xdr:col>3</xdr:col>
      <xdr:colOff>381000</xdr:colOff>
      <xdr:row>75</xdr:row>
      <xdr:rowOff>124558</xdr:rowOff>
    </xdr:to>
    <xdr:cxnSp macro="">
      <xdr:nvCxnSpPr>
        <xdr:cNvPr id="60" name="Straight Connector 59"/>
        <xdr:cNvCxnSpPr/>
      </xdr:nvCxnSpPr>
      <xdr:spPr>
        <a:xfrm flipH="1">
          <a:off x="2713986" y="14031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72</xdr:row>
      <xdr:rowOff>139212</xdr:rowOff>
    </xdr:from>
    <xdr:to>
      <xdr:col>4</xdr:col>
      <xdr:colOff>116773</xdr:colOff>
      <xdr:row>75</xdr:row>
      <xdr:rowOff>117231</xdr:rowOff>
    </xdr:to>
    <xdr:cxnSp macro="">
      <xdr:nvCxnSpPr>
        <xdr:cNvPr id="61" name="Straight Connector 60"/>
        <xdr:cNvCxnSpPr/>
      </xdr:nvCxnSpPr>
      <xdr:spPr>
        <a:xfrm>
          <a:off x="3162300" y="14045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75</xdr:row>
      <xdr:rowOff>118956</xdr:rowOff>
    </xdr:from>
    <xdr:to>
      <xdr:col>4</xdr:col>
      <xdr:colOff>134902</xdr:colOff>
      <xdr:row>75</xdr:row>
      <xdr:rowOff>118956</xdr:rowOff>
    </xdr:to>
    <xdr:cxnSp macro="">
      <xdr:nvCxnSpPr>
        <xdr:cNvPr id="62" name="Straight Connector 61"/>
        <xdr:cNvCxnSpPr/>
      </xdr:nvCxnSpPr>
      <xdr:spPr>
        <a:xfrm>
          <a:off x="2706955" y="14596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73</xdr:row>
      <xdr:rowOff>36635</xdr:rowOff>
    </xdr:from>
    <xdr:to>
      <xdr:col>3</xdr:col>
      <xdr:colOff>300404</xdr:colOff>
      <xdr:row>74</xdr:row>
      <xdr:rowOff>45337</xdr:rowOff>
    </xdr:to>
    <xdr:cxnSp macro="">
      <xdr:nvCxnSpPr>
        <xdr:cNvPr id="63" name="Straight Connector 62"/>
        <xdr:cNvCxnSpPr/>
      </xdr:nvCxnSpPr>
      <xdr:spPr>
        <a:xfrm flipH="1">
          <a:off x="3076209" y="14133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73</xdr:row>
      <xdr:rowOff>25749</xdr:rowOff>
    </xdr:from>
    <xdr:to>
      <xdr:col>3</xdr:col>
      <xdr:colOff>472128</xdr:colOff>
      <xdr:row>74</xdr:row>
      <xdr:rowOff>36635</xdr:rowOff>
    </xdr:to>
    <xdr:cxnSp macro="">
      <xdr:nvCxnSpPr>
        <xdr:cNvPr id="64" name="Straight Connector 63"/>
        <xdr:cNvCxnSpPr/>
      </xdr:nvCxnSpPr>
      <xdr:spPr>
        <a:xfrm>
          <a:off x="3235569" y="14122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63</xdr:row>
      <xdr:rowOff>44824</xdr:rowOff>
    </xdr:from>
    <xdr:to>
      <xdr:col>3</xdr:col>
      <xdr:colOff>67235</xdr:colOff>
      <xdr:row>65</xdr:row>
      <xdr:rowOff>156883</xdr:rowOff>
    </xdr:to>
    <xdr:cxnSp macro="">
      <xdr:nvCxnSpPr>
        <xdr:cNvPr id="65" name="Straight Connector 64"/>
        <xdr:cNvCxnSpPr/>
      </xdr:nvCxnSpPr>
      <xdr:spPr>
        <a:xfrm>
          <a:off x="2848535" y="1223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xdr:row>
      <xdr:rowOff>166690</xdr:rowOff>
    </xdr:from>
    <xdr:to>
      <xdr:col>4</xdr:col>
      <xdr:colOff>29308</xdr:colOff>
      <xdr:row>65</xdr:row>
      <xdr:rowOff>168519</xdr:rowOff>
    </xdr:to>
    <xdr:cxnSp macro="">
      <xdr:nvCxnSpPr>
        <xdr:cNvPr id="66" name="Straight Connector 65"/>
        <xdr:cNvCxnSpPr/>
      </xdr:nvCxnSpPr>
      <xdr:spPr>
        <a:xfrm>
          <a:off x="2840831" y="1273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63</xdr:row>
      <xdr:rowOff>41673</xdr:rowOff>
    </xdr:from>
    <xdr:to>
      <xdr:col>4</xdr:col>
      <xdr:colOff>12211</xdr:colOff>
      <xdr:row>66</xdr:row>
      <xdr:rowOff>0</xdr:rowOff>
    </xdr:to>
    <xdr:cxnSp macro="">
      <xdr:nvCxnSpPr>
        <xdr:cNvPr id="67" name="Straight Connector 66"/>
        <xdr:cNvCxnSpPr/>
      </xdr:nvCxnSpPr>
      <xdr:spPr>
        <a:xfrm flipH="1" flipV="1">
          <a:off x="3495675" y="1223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xdr:row>
      <xdr:rowOff>32918</xdr:rowOff>
    </xdr:from>
    <xdr:to>
      <xdr:col>4</xdr:col>
      <xdr:colOff>17861</xdr:colOff>
      <xdr:row>63</xdr:row>
      <xdr:rowOff>35719</xdr:rowOff>
    </xdr:to>
    <xdr:cxnSp macro="">
      <xdr:nvCxnSpPr>
        <xdr:cNvPr id="68" name="Straight Connector 67"/>
        <xdr:cNvCxnSpPr/>
      </xdr:nvCxnSpPr>
      <xdr:spPr>
        <a:xfrm flipH="1">
          <a:off x="2840831" y="1222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68</xdr:row>
      <xdr:rowOff>89297</xdr:rowOff>
    </xdr:from>
    <xdr:to>
      <xdr:col>3</xdr:col>
      <xdr:colOff>178594</xdr:colOff>
      <xdr:row>69</xdr:row>
      <xdr:rowOff>59531</xdr:rowOff>
    </xdr:to>
    <xdr:cxnSp macro="">
      <xdr:nvCxnSpPr>
        <xdr:cNvPr id="69" name="Straight Connector 68"/>
        <xdr:cNvCxnSpPr/>
      </xdr:nvCxnSpPr>
      <xdr:spPr>
        <a:xfrm>
          <a:off x="2840831" y="1323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68</xdr:row>
      <xdr:rowOff>35719</xdr:rowOff>
    </xdr:from>
    <xdr:to>
      <xdr:col>3</xdr:col>
      <xdr:colOff>285750</xdr:colOff>
      <xdr:row>68</xdr:row>
      <xdr:rowOff>154781</xdr:rowOff>
    </xdr:to>
    <xdr:cxnSp macro="">
      <xdr:nvCxnSpPr>
        <xdr:cNvPr id="70" name="Straight Connector 69"/>
        <xdr:cNvCxnSpPr/>
      </xdr:nvCxnSpPr>
      <xdr:spPr>
        <a:xfrm>
          <a:off x="2876550" y="1318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68</xdr:row>
      <xdr:rowOff>44824</xdr:rowOff>
    </xdr:from>
    <xdr:to>
      <xdr:col>3</xdr:col>
      <xdr:colOff>67235</xdr:colOff>
      <xdr:row>70</xdr:row>
      <xdr:rowOff>156883</xdr:rowOff>
    </xdr:to>
    <xdr:cxnSp macro="">
      <xdr:nvCxnSpPr>
        <xdr:cNvPr id="71" name="Straight Connector 70"/>
        <xdr:cNvCxnSpPr/>
      </xdr:nvCxnSpPr>
      <xdr:spPr>
        <a:xfrm>
          <a:off x="2848535" y="1318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70</xdr:row>
      <xdr:rowOff>166690</xdr:rowOff>
    </xdr:from>
    <xdr:to>
      <xdr:col>4</xdr:col>
      <xdr:colOff>29308</xdr:colOff>
      <xdr:row>70</xdr:row>
      <xdr:rowOff>168519</xdr:rowOff>
    </xdr:to>
    <xdr:cxnSp macro="">
      <xdr:nvCxnSpPr>
        <xdr:cNvPr id="72" name="Straight Connector 71"/>
        <xdr:cNvCxnSpPr/>
      </xdr:nvCxnSpPr>
      <xdr:spPr>
        <a:xfrm>
          <a:off x="2840831" y="13692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68</xdr:row>
      <xdr:rowOff>41673</xdr:rowOff>
    </xdr:from>
    <xdr:to>
      <xdr:col>4</xdr:col>
      <xdr:colOff>12211</xdr:colOff>
      <xdr:row>71</xdr:row>
      <xdr:rowOff>0</xdr:rowOff>
    </xdr:to>
    <xdr:cxnSp macro="">
      <xdr:nvCxnSpPr>
        <xdr:cNvPr id="73" name="Straight Connector 72"/>
        <xdr:cNvCxnSpPr/>
      </xdr:nvCxnSpPr>
      <xdr:spPr>
        <a:xfrm flipH="1" flipV="1">
          <a:off x="3495675" y="1318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68</xdr:row>
      <xdr:rowOff>32918</xdr:rowOff>
    </xdr:from>
    <xdr:to>
      <xdr:col>4</xdr:col>
      <xdr:colOff>17861</xdr:colOff>
      <xdr:row>68</xdr:row>
      <xdr:rowOff>35719</xdr:rowOff>
    </xdr:to>
    <xdr:cxnSp macro="">
      <xdr:nvCxnSpPr>
        <xdr:cNvPr id="74" name="Straight Connector 73"/>
        <xdr:cNvCxnSpPr/>
      </xdr:nvCxnSpPr>
      <xdr:spPr>
        <a:xfrm flipH="1">
          <a:off x="2840831" y="13177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77</xdr:row>
      <xdr:rowOff>124558</xdr:rowOff>
    </xdr:from>
    <xdr:to>
      <xdr:col>3</xdr:col>
      <xdr:colOff>381000</xdr:colOff>
      <xdr:row>80</xdr:row>
      <xdr:rowOff>124558</xdr:rowOff>
    </xdr:to>
    <xdr:cxnSp macro="">
      <xdr:nvCxnSpPr>
        <xdr:cNvPr id="75" name="Straight Connector 74"/>
        <xdr:cNvCxnSpPr/>
      </xdr:nvCxnSpPr>
      <xdr:spPr>
        <a:xfrm flipH="1">
          <a:off x="2713986" y="14983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77</xdr:row>
      <xdr:rowOff>139212</xdr:rowOff>
    </xdr:from>
    <xdr:to>
      <xdr:col>4</xdr:col>
      <xdr:colOff>116773</xdr:colOff>
      <xdr:row>80</xdr:row>
      <xdr:rowOff>117231</xdr:rowOff>
    </xdr:to>
    <xdr:cxnSp macro="">
      <xdr:nvCxnSpPr>
        <xdr:cNvPr id="76" name="Straight Connector 75"/>
        <xdr:cNvCxnSpPr/>
      </xdr:nvCxnSpPr>
      <xdr:spPr>
        <a:xfrm>
          <a:off x="3162300" y="14998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80</xdr:row>
      <xdr:rowOff>118956</xdr:rowOff>
    </xdr:from>
    <xdr:to>
      <xdr:col>4</xdr:col>
      <xdr:colOff>134902</xdr:colOff>
      <xdr:row>80</xdr:row>
      <xdr:rowOff>118956</xdr:rowOff>
    </xdr:to>
    <xdr:cxnSp macro="">
      <xdr:nvCxnSpPr>
        <xdr:cNvPr id="77" name="Straight Connector 76"/>
        <xdr:cNvCxnSpPr/>
      </xdr:nvCxnSpPr>
      <xdr:spPr>
        <a:xfrm>
          <a:off x="2706955" y="15549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78</xdr:row>
      <xdr:rowOff>36635</xdr:rowOff>
    </xdr:from>
    <xdr:to>
      <xdr:col>3</xdr:col>
      <xdr:colOff>300404</xdr:colOff>
      <xdr:row>79</xdr:row>
      <xdr:rowOff>45337</xdr:rowOff>
    </xdr:to>
    <xdr:cxnSp macro="">
      <xdr:nvCxnSpPr>
        <xdr:cNvPr id="78" name="Straight Connector 77"/>
        <xdr:cNvCxnSpPr/>
      </xdr:nvCxnSpPr>
      <xdr:spPr>
        <a:xfrm flipH="1">
          <a:off x="3076209" y="15086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78</xdr:row>
      <xdr:rowOff>25749</xdr:rowOff>
    </xdr:from>
    <xdr:to>
      <xdr:col>3</xdr:col>
      <xdr:colOff>472128</xdr:colOff>
      <xdr:row>79</xdr:row>
      <xdr:rowOff>36635</xdr:rowOff>
    </xdr:to>
    <xdr:cxnSp macro="">
      <xdr:nvCxnSpPr>
        <xdr:cNvPr id="79" name="Straight Connector 78"/>
        <xdr:cNvCxnSpPr/>
      </xdr:nvCxnSpPr>
      <xdr:spPr>
        <a:xfrm>
          <a:off x="3235569" y="15075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82</xdr:row>
      <xdr:rowOff>297027</xdr:rowOff>
    </xdr:from>
    <xdr:to>
      <xdr:col>3</xdr:col>
      <xdr:colOff>392907</xdr:colOff>
      <xdr:row>86</xdr:row>
      <xdr:rowOff>154781</xdr:rowOff>
    </xdr:to>
    <xdr:cxnSp macro="">
      <xdr:nvCxnSpPr>
        <xdr:cNvPr id="80" name="Straight Connector 79"/>
        <xdr:cNvCxnSpPr/>
      </xdr:nvCxnSpPr>
      <xdr:spPr>
        <a:xfrm>
          <a:off x="3166381" y="16003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86</xdr:row>
      <xdr:rowOff>142875</xdr:rowOff>
    </xdr:from>
    <xdr:to>
      <xdr:col>4</xdr:col>
      <xdr:colOff>11908</xdr:colOff>
      <xdr:row>86</xdr:row>
      <xdr:rowOff>154782</xdr:rowOff>
    </xdr:to>
    <xdr:cxnSp macro="">
      <xdr:nvCxnSpPr>
        <xdr:cNvPr id="81" name="Straight Connector 80"/>
        <xdr:cNvCxnSpPr/>
      </xdr:nvCxnSpPr>
      <xdr:spPr>
        <a:xfrm flipH="1" flipV="1">
          <a:off x="3150395" y="16716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82</xdr:row>
      <xdr:rowOff>305147</xdr:rowOff>
    </xdr:from>
    <xdr:to>
      <xdr:col>3</xdr:col>
      <xdr:colOff>130969</xdr:colOff>
      <xdr:row>84</xdr:row>
      <xdr:rowOff>11906</xdr:rowOff>
    </xdr:to>
    <xdr:cxnSp macro="">
      <xdr:nvCxnSpPr>
        <xdr:cNvPr id="82" name="Straight Arrow Connector 81"/>
        <xdr:cNvCxnSpPr/>
      </xdr:nvCxnSpPr>
      <xdr:spPr>
        <a:xfrm flipH="1" flipV="1">
          <a:off x="2904995"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85</xdr:row>
      <xdr:rowOff>11907</xdr:rowOff>
    </xdr:from>
    <xdr:to>
      <xdr:col>3</xdr:col>
      <xdr:colOff>130969</xdr:colOff>
      <xdr:row>86</xdr:row>
      <xdr:rowOff>154782</xdr:rowOff>
    </xdr:to>
    <xdr:cxnSp macro="">
      <xdr:nvCxnSpPr>
        <xdr:cNvPr id="83" name="Straight Arrow Connector 82"/>
        <xdr:cNvCxnSpPr/>
      </xdr:nvCxnSpPr>
      <xdr:spPr>
        <a:xfrm>
          <a:off x="2912269" y="16394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90</xdr:row>
      <xdr:rowOff>89297</xdr:rowOff>
    </xdr:from>
    <xdr:to>
      <xdr:col>3</xdr:col>
      <xdr:colOff>178594</xdr:colOff>
      <xdr:row>91</xdr:row>
      <xdr:rowOff>59531</xdr:rowOff>
    </xdr:to>
    <xdr:cxnSp macro="">
      <xdr:nvCxnSpPr>
        <xdr:cNvPr id="84" name="Straight Connector 83"/>
        <xdr:cNvCxnSpPr/>
      </xdr:nvCxnSpPr>
      <xdr:spPr>
        <a:xfrm>
          <a:off x="2840831" y="1742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90</xdr:row>
      <xdr:rowOff>35719</xdr:rowOff>
    </xdr:from>
    <xdr:to>
      <xdr:col>3</xdr:col>
      <xdr:colOff>285750</xdr:colOff>
      <xdr:row>90</xdr:row>
      <xdr:rowOff>154781</xdr:rowOff>
    </xdr:to>
    <xdr:cxnSp macro="">
      <xdr:nvCxnSpPr>
        <xdr:cNvPr id="85" name="Straight Connector 84"/>
        <xdr:cNvCxnSpPr/>
      </xdr:nvCxnSpPr>
      <xdr:spPr>
        <a:xfrm>
          <a:off x="2876550" y="1737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99</xdr:row>
      <xdr:rowOff>124558</xdr:rowOff>
    </xdr:from>
    <xdr:to>
      <xdr:col>3</xdr:col>
      <xdr:colOff>381000</xdr:colOff>
      <xdr:row>102</xdr:row>
      <xdr:rowOff>124558</xdr:rowOff>
    </xdr:to>
    <xdr:cxnSp macro="">
      <xdr:nvCxnSpPr>
        <xdr:cNvPr id="86" name="Straight Connector 85"/>
        <xdr:cNvCxnSpPr/>
      </xdr:nvCxnSpPr>
      <xdr:spPr>
        <a:xfrm flipH="1">
          <a:off x="2713986" y="19174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99</xdr:row>
      <xdr:rowOff>139212</xdr:rowOff>
    </xdr:from>
    <xdr:to>
      <xdr:col>4</xdr:col>
      <xdr:colOff>116773</xdr:colOff>
      <xdr:row>102</xdr:row>
      <xdr:rowOff>117231</xdr:rowOff>
    </xdr:to>
    <xdr:cxnSp macro="">
      <xdr:nvCxnSpPr>
        <xdr:cNvPr id="87" name="Straight Connector 86"/>
        <xdr:cNvCxnSpPr/>
      </xdr:nvCxnSpPr>
      <xdr:spPr>
        <a:xfrm>
          <a:off x="3162300" y="19189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102</xdr:row>
      <xdr:rowOff>118956</xdr:rowOff>
    </xdr:from>
    <xdr:to>
      <xdr:col>4</xdr:col>
      <xdr:colOff>134902</xdr:colOff>
      <xdr:row>102</xdr:row>
      <xdr:rowOff>118956</xdr:rowOff>
    </xdr:to>
    <xdr:cxnSp macro="">
      <xdr:nvCxnSpPr>
        <xdr:cNvPr id="88" name="Straight Connector 87"/>
        <xdr:cNvCxnSpPr/>
      </xdr:nvCxnSpPr>
      <xdr:spPr>
        <a:xfrm>
          <a:off x="2706955" y="19740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100</xdr:row>
      <xdr:rowOff>36635</xdr:rowOff>
    </xdr:from>
    <xdr:to>
      <xdr:col>3</xdr:col>
      <xdr:colOff>300404</xdr:colOff>
      <xdr:row>101</xdr:row>
      <xdr:rowOff>45337</xdr:rowOff>
    </xdr:to>
    <xdr:cxnSp macro="">
      <xdr:nvCxnSpPr>
        <xdr:cNvPr id="89" name="Straight Connector 88"/>
        <xdr:cNvCxnSpPr/>
      </xdr:nvCxnSpPr>
      <xdr:spPr>
        <a:xfrm flipH="1">
          <a:off x="3076209" y="19277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100</xdr:row>
      <xdr:rowOff>25749</xdr:rowOff>
    </xdr:from>
    <xdr:to>
      <xdr:col>3</xdr:col>
      <xdr:colOff>472128</xdr:colOff>
      <xdr:row>101</xdr:row>
      <xdr:rowOff>36635</xdr:rowOff>
    </xdr:to>
    <xdr:cxnSp macro="">
      <xdr:nvCxnSpPr>
        <xdr:cNvPr id="90" name="Straight Connector 89"/>
        <xdr:cNvCxnSpPr/>
      </xdr:nvCxnSpPr>
      <xdr:spPr>
        <a:xfrm>
          <a:off x="3235569" y="19266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90</xdr:row>
      <xdr:rowOff>44824</xdr:rowOff>
    </xdr:from>
    <xdr:to>
      <xdr:col>3</xdr:col>
      <xdr:colOff>67235</xdr:colOff>
      <xdr:row>92</xdr:row>
      <xdr:rowOff>156883</xdr:rowOff>
    </xdr:to>
    <xdr:cxnSp macro="">
      <xdr:nvCxnSpPr>
        <xdr:cNvPr id="91" name="Straight Connector 90"/>
        <xdr:cNvCxnSpPr/>
      </xdr:nvCxnSpPr>
      <xdr:spPr>
        <a:xfrm>
          <a:off x="2848535" y="1738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92</xdr:row>
      <xdr:rowOff>166690</xdr:rowOff>
    </xdr:from>
    <xdr:to>
      <xdr:col>4</xdr:col>
      <xdr:colOff>29308</xdr:colOff>
      <xdr:row>92</xdr:row>
      <xdr:rowOff>168519</xdr:rowOff>
    </xdr:to>
    <xdr:cxnSp macro="">
      <xdr:nvCxnSpPr>
        <xdr:cNvPr id="92" name="Straight Connector 91"/>
        <xdr:cNvCxnSpPr/>
      </xdr:nvCxnSpPr>
      <xdr:spPr>
        <a:xfrm>
          <a:off x="2840831" y="1788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90</xdr:row>
      <xdr:rowOff>41673</xdr:rowOff>
    </xdr:from>
    <xdr:to>
      <xdr:col>4</xdr:col>
      <xdr:colOff>12211</xdr:colOff>
      <xdr:row>93</xdr:row>
      <xdr:rowOff>0</xdr:rowOff>
    </xdr:to>
    <xdr:cxnSp macro="">
      <xdr:nvCxnSpPr>
        <xdr:cNvPr id="93" name="Straight Connector 92"/>
        <xdr:cNvCxnSpPr/>
      </xdr:nvCxnSpPr>
      <xdr:spPr>
        <a:xfrm flipH="1" flipV="1">
          <a:off x="3495675" y="1737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90</xdr:row>
      <xdr:rowOff>32918</xdr:rowOff>
    </xdr:from>
    <xdr:to>
      <xdr:col>4</xdr:col>
      <xdr:colOff>17861</xdr:colOff>
      <xdr:row>90</xdr:row>
      <xdr:rowOff>35719</xdr:rowOff>
    </xdr:to>
    <xdr:cxnSp macro="">
      <xdr:nvCxnSpPr>
        <xdr:cNvPr id="94" name="Straight Connector 93"/>
        <xdr:cNvCxnSpPr/>
      </xdr:nvCxnSpPr>
      <xdr:spPr>
        <a:xfrm flipH="1">
          <a:off x="2840831" y="1736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95</xdr:row>
      <xdr:rowOff>89297</xdr:rowOff>
    </xdr:from>
    <xdr:to>
      <xdr:col>3</xdr:col>
      <xdr:colOff>178594</xdr:colOff>
      <xdr:row>96</xdr:row>
      <xdr:rowOff>59531</xdr:rowOff>
    </xdr:to>
    <xdr:cxnSp macro="">
      <xdr:nvCxnSpPr>
        <xdr:cNvPr id="95" name="Straight Connector 94"/>
        <xdr:cNvCxnSpPr/>
      </xdr:nvCxnSpPr>
      <xdr:spPr>
        <a:xfrm>
          <a:off x="2840831" y="1837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95</xdr:row>
      <xdr:rowOff>35719</xdr:rowOff>
    </xdr:from>
    <xdr:to>
      <xdr:col>3</xdr:col>
      <xdr:colOff>285750</xdr:colOff>
      <xdr:row>95</xdr:row>
      <xdr:rowOff>154781</xdr:rowOff>
    </xdr:to>
    <xdr:cxnSp macro="">
      <xdr:nvCxnSpPr>
        <xdr:cNvPr id="96" name="Straight Connector 95"/>
        <xdr:cNvCxnSpPr/>
      </xdr:nvCxnSpPr>
      <xdr:spPr>
        <a:xfrm>
          <a:off x="2876550" y="1832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95</xdr:row>
      <xdr:rowOff>44824</xdr:rowOff>
    </xdr:from>
    <xdr:to>
      <xdr:col>3</xdr:col>
      <xdr:colOff>67235</xdr:colOff>
      <xdr:row>97</xdr:row>
      <xdr:rowOff>156883</xdr:rowOff>
    </xdr:to>
    <xdr:cxnSp macro="">
      <xdr:nvCxnSpPr>
        <xdr:cNvPr id="97" name="Straight Connector 96"/>
        <xdr:cNvCxnSpPr/>
      </xdr:nvCxnSpPr>
      <xdr:spPr>
        <a:xfrm>
          <a:off x="2848535" y="1833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xdr:row>
      <xdr:rowOff>166690</xdr:rowOff>
    </xdr:from>
    <xdr:to>
      <xdr:col>4</xdr:col>
      <xdr:colOff>29308</xdr:colOff>
      <xdr:row>97</xdr:row>
      <xdr:rowOff>168519</xdr:rowOff>
    </xdr:to>
    <xdr:cxnSp macro="">
      <xdr:nvCxnSpPr>
        <xdr:cNvPr id="98" name="Straight Connector 97"/>
        <xdr:cNvCxnSpPr/>
      </xdr:nvCxnSpPr>
      <xdr:spPr>
        <a:xfrm>
          <a:off x="2840831" y="1883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95</xdr:row>
      <xdr:rowOff>41673</xdr:rowOff>
    </xdr:from>
    <xdr:to>
      <xdr:col>4</xdr:col>
      <xdr:colOff>12211</xdr:colOff>
      <xdr:row>98</xdr:row>
      <xdr:rowOff>0</xdr:rowOff>
    </xdr:to>
    <xdr:cxnSp macro="">
      <xdr:nvCxnSpPr>
        <xdr:cNvPr id="99" name="Straight Connector 98"/>
        <xdr:cNvCxnSpPr/>
      </xdr:nvCxnSpPr>
      <xdr:spPr>
        <a:xfrm flipH="1" flipV="1">
          <a:off x="3495675" y="1832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95</xdr:row>
      <xdr:rowOff>32918</xdr:rowOff>
    </xdr:from>
    <xdr:to>
      <xdr:col>4</xdr:col>
      <xdr:colOff>17861</xdr:colOff>
      <xdr:row>95</xdr:row>
      <xdr:rowOff>35719</xdr:rowOff>
    </xdr:to>
    <xdr:cxnSp macro="">
      <xdr:nvCxnSpPr>
        <xdr:cNvPr id="100" name="Straight Connector 99"/>
        <xdr:cNvCxnSpPr/>
      </xdr:nvCxnSpPr>
      <xdr:spPr>
        <a:xfrm flipH="1">
          <a:off x="2840831" y="1832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104</xdr:row>
      <xdr:rowOff>124558</xdr:rowOff>
    </xdr:from>
    <xdr:to>
      <xdr:col>3</xdr:col>
      <xdr:colOff>381000</xdr:colOff>
      <xdr:row>107</xdr:row>
      <xdr:rowOff>124558</xdr:rowOff>
    </xdr:to>
    <xdr:cxnSp macro="">
      <xdr:nvCxnSpPr>
        <xdr:cNvPr id="101" name="Straight Connector 100"/>
        <xdr:cNvCxnSpPr/>
      </xdr:nvCxnSpPr>
      <xdr:spPr>
        <a:xfrm flipH="1">
          <a:off x="2713986" y="20127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104</xdr:row>
      <xdr:rowOff>139212</xdr:rowOff>
    </xdr:from>
    <xdr:to>
      <xdr:col>4</xdr:col>
      <xdr:colOff>116773</xdr:colOff>
      <xdr:row>107</xdr:row>
      <xdr:rowOff>117231</xdr:rowOff>
    </xdr:to>
    <xdr:cxnSp macro="">
      <xdr:nvCxnSpPr>
        <xdr:cNvPr id="102" name="Straight Connector 101"/>
        <xdr:cNvCxnSpPr/>
      </xdr:nvCxnSpPr>
      <xdr:spPr>
        <a:xfrm>
          <a:off x="3162300" y="20141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107</xdr:row>
      <xdr:rowOff>118956</xdr:rowOff>
    </xdr:from>
    <xdr:to>
      <xdr:col>4</xdr:col>
      <xdr:colOff>134902</xdr:colOff>
      <xdr:row>107</xdr:row>
      <xdr:rowOff>118956</xdr:rowOff>
    </xdr:to>
    <xdr:cxnSp macro="">
      <xdr:nvCxnSpPr>
        <xdr:cNvPr id="103" name="Straight Connector 102"/>
        <xdr:cNvCxnSpPr/>
      </xdr:nvCxnSpPr>
      <xdr:spPr>
        <a:xfrm>
          <a:off x="2706955" y="20692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105</xdr:row>
      <xdr:rowOff>36635</xdr:rowOff>
    </xdr:from>
    <xdr:to>
      <xdr:col>3</xdr:col>
      <xdr:colOff>300404</xdr:colOff>
      <xdr:row>106</xdr:row>
      <xdr:rowOff>45337</xdr:rowOff>
    </xdr:to>
    <xdr:cxnSp macro="">
      <xdr:nvCxnSpPr>
        <xdr:cNvPr id="104" name="Straight Connector 103"/>
        <xdr:cNvCxnSpPr/>
      </xdr:nvCxnSpPr>
      <xdr:spPr>
        <a:xfrm flipH="1">
          <a:off x="3076209" y="2022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105</xdr:row>
      <xdr:rowOff>25749</xdr:rowOff>
    </xdr:from>
    <xdr:to>
      <xdr:col>3</xdr:col>
      <xdr:colOff>472128</xdr:colOff>
      <xdr:row>106</xdr:row>
      <xdr:rowOff>36635</xdr:rowOff>
    </xdr:to>
    <xdr:cxnSp macro="">
      <xdr:nvCxnSpPr>
        <xdr:cNvPr id="105" name="Straight Connector 104"/>
        <xdr:cNvCxnSpPr/>
      </xdr:nvCxnSpPr>
      <xdr:spPr>
        <a:xfrm>
          <a:off x="3235569" y="2021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110</xdr:row>
      <xdr:rowOff>35719</xdr:rowOff>
    </xdr:from>
    <xdr:to>
      <xdr:col>3</xdr:col>
      <xdr:colOff>428625</xdr:colOff>
      <xdr:row>112</xdr:row>
      <xdr:rowOff>178594</xdr:rowOff>
    </xdr:to>
    <xdr:cxnSp macro="">
      <xdr:nvCxnSpPr>
        <xdr:cNvPr id="106" name="Straight Connector 105"/>
        <xdr:cNvCxnSpPr/>
      </xdr:nvCxnSpPr>
      <xdr:spPr>
        <a:xfrm>
          <a:off x="3209925" y="21181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112</xdr:row>
      <xdr:rowOff>95249</xdr:rowOff>
    </xdr:from>
    <xdr:to>
      <xdr:col>3</xdr:col>
      <xdr:colOff>571500</xdr:colOff>
      <xdr:row>112</xdr:row>
      <xdr:rowOff>154780</xdr:rowOff>
    </xdr:to>
    <xdr:cxnSp macro="">
      <xdr:nvCxnSpPr>
        <xdr:cNvPr id="107" name="Straight Connector 106"/>
        <xdr:cNvCxnSpPr/>
      </xdr:nvCxnSpPr>
      <xdr:spPr>
        <a:xfrm flipH="1">
          <a:off x="3209925" y="21621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110</xdr:row>
      <xdr:rowOff>47625</xdr:rowOff>
    </xdr:from>
    <xdr:to>
      <xdr:col>3</xdr:col>
      <xdr:colOff>595313</xdr:colOff>
      <xdr:row>110</xdr:row>
      <xdr:rowOff>119062</xdr:rowOff>
    </xdr:to>
    <xdr:cxnSp macro="">
      <xdr:nvCxnSpPr>
        <xdr:cNvPr id="108" name="Straight Connector 107"/>
        <xdr:cNvCxnSpPr/>
      </xdr:nvCxnSpPr>
      <xdr:spPr>
        <a:xfrm>
          <a:off x="3209925" y="21193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114</xdr:row>
      <xdr:rowOff>297027</xdr:rowOff>
    </xdr:from>
    <xdr:to>
      <xdr:col>3</xdr:col>
      <xdr:colOff>392907</xdr:colOff>
      <xdr:row>118</xdr:row>
      <xdr:rowOff>154781</xdr:rowOff>
    </xdr:to>
    <xdr:cxnSp macro="">
      <xdr:nvCxnSpPr>
        <xdr:cNvPr id="109" name="Straight Connector 108"/>
        <xdr:cNvCxnSpPr/>
      </xdr:nvCxnSpPr>
      <xdr:spPr>
        <a:xfrm>
          <a:off x="3166381" y="220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118</xdr:row>
      <xdr:rowOff>142875</xdr:rowOff>
    </xdr:from>
    <xdr:to>
      <xdr:col>4</xdr:col>
      <xdr:colOff>11908</xdr:colOff>
      <xdr:row>118</xdr:row>
      <xdr:rowOff>154782</xdr:rowOff>
    </xdr:to>
    <xdr:cxnSp macro="">
      <xdr:nvCxnSpPr>
        <xdr:cNvPr id="110" name="Straight Connector 109"/>
        <xdr:cNvCxnSpPr/>
      </xdr:nvCxnSpPr>
      <xdr:spPr>
        <a:xfrm flipH="1" flipV="1">
          <a:off x="3150395" y="2281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114</xdr:row>
      <xdr:rowOff>305147</xdr:rowOff>
    </xdr:from>
    <xdr:to>
      <xdr:col>3</xdr:col>
      <xdr:colOff>130969</xdr:colOff>
      <xdr:row>116</xdr:row>
      <xdr:rowOff>11906</xdr:rowOff>
    </xdr:to>
    <xdr:cxnSp macro="">
      <xdr:nvCxnSpPr>
        <xdr:cNvPr id="111" name="Straight Arrow Connector 110"/>
        <xdr:cNvCxnSpPr/>
      </xdr:nvCxnSpPr>
      <xdr:spPr>
        <a:xfrm flipH="1" flipV="1">
          <a:off x="2904995"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117</xdr:row>
      <xdr:rowOff>11907</xdr:rowOff>
    </xdr:from>
    <xdr:to>
      <xdr:col>3</xdr:col>
      <xdr:colOff>130969</xdr:colOff>
      <xdr:row>118</xdr:row>
      <xdr:rowOff>154782</xdr:rowOff>
    </xdr:to>
    <xdr:cxnSp macro="">
      <xdr:nvCxnSpPr>
        <xdr:cNvPr id="112" name="Straight Arrow Connector 111"/>
        <xdr:cNvCxnSpPr/>
      </xdr:nvCxnSpPr>
      <xdr:spPr>
        <a:xfrm>
          <a:off x="2912269" y="224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122</xdr:row>
      <xdr:rowOff>89297</xdr:rowOff>
    </xdr:from>
    <xdr:to>
      <xdr:col>3</xdr:col>
      <xdr:colOff>178594</xdr:colOff>
      <xdr:row>123</xdr:row>
      <xdr:rowOff>59531</xdr:rowOff>
    </xdr:to>
    <xdr:cxnSp macro="">
      <xdr:nvCxnSpPr>
        <xdr:cNvPr id="113" name="Straight Connector 112"/>
        <xdr:cNvCxnSpPr/>
      </xdr:nvCxnSpPr>
      <xdr:spPr>
        <a:xfrm>
          <a:off x="2840831" y="2352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122</xdr:row>
      <xdr:rowOff>35719</xdr:rowOff>
    </xdr:from>
    <xdr:to>
      <xdr:col>3</xdr:col>
      <xdr:colOff>285750</xdr:colOff>
      <xdr:row>122</xdr:row>
      <xdr:rowOff>154781</xdr:rowOff>
    </xdr:to>
    <xdr:cxnSp macro="">
      <xdr:nvCxnSpPr>
        <xdr:cNvPr id="114" name="Straight Connector 113"/>
        <xdr:cNvCxnSpPr/>
      </xdr:nvCxnSpPr>
      <xdr:spPr>
        <a:xfrm>
          <a:off x="2876550" y="2346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131</xdr:row>
      <xdr:rowOff>124558</xdr:rowOff>
    </xdr:from>
    <xdr:to>
      <xdr:col>3</xdr:col>
      <xdr:colOff>381000</xdr:colOff>
      <xdr:row>134</xdr:row>
      <xdr:rowOff>124558</xdr:rowOff>
    </xdr:to>
    <xdr:cxnSp macro="">
      <xdr:nvCxnSpPr>
        <xdr:cNvPr id="115" name="Straight Connector 114"/>
        <xdr:cNvCxnSpPr/>
      </xdr:nvCxnSpPr>
      <xdr:spPr>
        <a:xfrm flipH="1">
          <a:off x="2713986" y="25270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131</xdr:row>
      <xdr:rowOff>139212</xdr:rowOff>
    </xdr:from>
    <xdr:to>
      <xdr:col>4</xdr:col>
      <xdr:colOff>116773</xdr:colOff>
      <xdr:row>134</xdr:row>
      <xdr:rowOff>117231</xdr:rowOff>
    </xdr:to>
    <xdr:cxnSp macro="">
      <xdr:nvCxnSpPr>
        <xdr:cNvPr id="116" name="Straight Connector 115"/>
        <xdr:cNvCxnSpPr/>
      </xdr:nvCxnSpPr>
      <xdr:spPr>
        <a:xfrm>
          <a:off x="3162300" y="25285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134</xdr:row>
      <xdr:rowOff>118956</xdr:rowOff>
    </xdr:from>
    <xdr:to>
      <xdr:col>4</xdr:col>
      <xdr:colOff>134902</xdr:colOff>
      <xdr:row>134</xdr:row>
      <xdr:rowOff>118956</xdr:rowOff>
    </xdr:to>
    <xdr:cxnSp macro="">
      <xdr:nvCxnSpPr>
        <xdr:cNvPr id="117" name="Straight Connector 116"/>
        <xdr:cNvCxnSpPr/>
      </xdr:nvCxnSpPr>
      <xdr:spPr>
        <a:xfrm>
          <a:off x="2706955" y="25836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132</xdr:row>
      <xdr:rowOff>36635</xdr:rowOff>
    </xdr:from>
    <xdr:to>
      <xdr:col>3</xdr:col>
      <xdr:colOff>300404</xdr:colOff>
      <xdr:row>133</xdr:row>
      <xdr:rowOff>45337</xdr:rowOff>
    </xdr:to>
    <xdr:cxnSp macro="">
      <xdr:nvCxnSpPr>
        <xdr:cNvPr id="118" name="Straight Connector 117"/>
        <xdr:cNvCxnSpPr/>
      </xdr:nvCxnSpPr>
      <xdr:spPr>
        <a:xfrm flipH="1">
          <a:off x="3076209" y="2537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132</xdr:row>
      <xdr:rowOff>25749</xdr:rowOff>
    </xdr:from>
    <xdr:to>
      <xdr:col>3</xdr:col>
      <xdr:colOff>472128</xdr:colOff>
      <xdr:row>133</xdr:row>
      <xdr:rowOff>36635</xdr:rowOff>
    </xdr:to>
    <xdr:cxnSp macro="">
      <xdr:nvCxnSpPr>
        <xdr:cNvPr id="119" name="Straight Connector 118"/>
        <xdr:cNvCxnSpPr/>
      </xdr:nvCxnSpPr>
      <xdr:spPr>
        <a:xfrm>
          <a:off x="3235569" y="2536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122</xdr:row>
      <xdr:rowOff>44824</xdr:rowOff>
    </xdr:from>
    <xdr:to>
      <xdr:col>3</xdr:col>
      <xdr:colOff>67235</xdr:colOff>
      <xdr:row>124</xdr:row>
      <xdr:rowOff>156883</xdr:rowOff>
    </xdr:to>
    <xdr:cxnSp macro="">
      <xdr:nvCxnSpPr>
        <xdr:cNvPr id="120" name="Straight Connector 119"/>
        <xdr:cNvCxnSpPr/>
      </xdr:nvCxnSpPr>
      <xdr:spPr>
        <a:xfrm>
          <a:off x="2848535" y="2347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xdr:row>
      <xdr:rowOff>166690</xdr:rowOff>
    </xdr:from>
    <xdr:to>
      <xdr:col>4</xdr:col>
      <xdr:colOff>29308</xdr:colOff>
      <xdr:row>124</xdr:row>
      <xdr:rowOff>168519</xdr:rowOff>
    </xdr:to>
    <xdr:cxnSp macro="">
      <xdr:nvCxnSpPr>
        <xdr:cNvPr id="121" name="Straight Connector 120"/>
        <xdr:cNvCxnSpPr/>
      </xdr:nvCxnSpPr>
      <xdr:spPr>
        <a:xfrm>
          <a:off x="2840831" y="23979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122</xdr:row>
      <xdr:rowOff>41673</xdr:rowOff>
    </xdr:from>
    <xdr:to>
      <xdr:col>4</xdr:col>
      <xdr:colOff>12211</xdr:colOff>
      <xdr:row>125</xdr:row>
      <xdr:rowOff>0</xdr:rowOff>
    </xdr:to>
    <xdr:cxnSp macro="">
      <xdr:nvCxnSpPr>
        <xdr:cNvPr id="122" name="Straight Connector 121"/>
        <xdr:cNvCxnSpPr/>
      </xdr:nvCxnSpPr>
      <xdr:spPr>
        <a:xfrm flipH="1" flipV="1">
          <a:off x="3495675" y="2347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xdr:row>
      <xdr:rowOff>32918</xdr:rowOff>
    </xdr:from>
    <xdr:to>
      <xdr:col>4</xdr:col>
      <xdr:colOff>17861</xdr:colOff>
      <xdr:row>122</xdr:row>
      <xdr:rowOff>35719</xdr:rowOff>
    </xdr:to>
    <xdr:cxnSp macro="">
      <xdr:nvCxnSpPr>
        <xdr:cNvPr id="123" name="Straight Connector 122"/>
        <xdr:cNvCxnSpPr/>
      </xdr:nvCxnSpPr>
      <xdr:spPr>
        <a:xfrm flipH="1">
          <a:off x="2840831" y="23464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127</xdr:row>
      <xdr:rowOff>89297</xdr:rowOff>
    </xdr:from>
    <xdr:to>
      <xdr:col>3</xdr:col>
      <xdr:colOff>178594</xdr:colOff>
      <xdr:row>128</xdr:row>
      <xdr:rowOff>59531</xdr:rowOff>
    </xdr:to>
    <xdr:cxnSp macro="">
      <xdr:nvCxnSpPr>
        <xdr:cNvPr id="124" name="Straight Connector 123"/>
        <xdr:cNvCxnSpPr/>
      </xdr:nvCxnSpPr>
      <xdr:spPr>
        <a:xfrm>
          <a:off x="2840831" y="2447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127</xdr:row>
      <xdr:rowOff>35719</xdr:rowOff>
    </xdr:from>
    <xdr:to>
      <xdr:col>3</xdr:col>
      <xdr:colOff>285750</xdr:colOff>
      <xdr:row>127</xdr:row>
      <xdr:rowOff>154781</xdr:rowOff>
    </xdr:to>
    <xdr:cxnSp macro="">
      <xdr:nvCxnSpPr>
        <xdr:cNvPr id="125" name="Straight Connector 124"/>
        <xdr:cNvCxnSpPr/>
      </xdr:nvCxnSpPr>
      <xdr:spPr>
        <a:xfrm>
          <a:off x="2876550" y="2441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127</xdr:row>
      <xdr:rowOff>44824</xdr:rowOff>
    </xdr:from>
    <xdr:to>
      <xdr:col>3</xdr:col>
      <xdr:colOff>67235</xdr:colOff>
      <xdr:row>129</xdr:row>
      <xdr:rowOff>156883</xdr:rowOff>
    </xdr:to>
    <xdr:cxnSp macro="">
      <xdr:nvCxnSpPr>
        <xdr:cNvPr id="126" name="Straight Connector 125"/>
        <xdr:cNvCxnSpPr/>
      </xdr:nvCxnSpPr>
      <xdr:spPr>
        <a:xfrm>
          <a:off x="2848535" y="2442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xdr:row>
      <xdr:rowOff>166690</xdr:rowOff>
    </xdr:from>
    <xdr:to>
      <xdr:col>4</xdr:col>
      <xdr:colOff>29308</xdr:colOff>
      <xdr:row>129</xdr:row>
      <xdr:rowOff>168519</xdr:rowOff>
    </xdr:to>
    <xdr:cxnSp macro="">
      <xdr:nvCxnSpPr>
        <xdr:cNvPr id="127" name="Straight Connector 126"/>
        <xdr:cNvCxnSpPr/>
      </xdr:nvCxnSpPr>
      <xdr:spPr>
        <a:xfrm>
          <a:off x="2840831" y="24931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127</xdr:row>
      <xdr:rowOff>41673</xdr:rowOff>
    </xdr:from>
    <xdr:to>
      <xdr:col>4</xdr:col>
      <xdr:colOff>12211</xdr:colOff>
      <xdr:row>130</xdr:row>
      <xdr:rowOff>0</xdr:rowOff>
    </xdr:to>
    <xdr:cxnSp macro="">
      <xdr:nvCxnSpPr>
        <xdr:cNvPr id="128" name="Straight Connector 127"/>
        <xdr:cNvCxnSpPr/>
      </xdr:nvCxnSpPr>
      <xdr:spPr>
        <a:xfrm flipH="1" flipV="1">
          <a:off x="3495675" y="2442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127</xdr:row>
      <xdr:rowOff>32918</xdr:rowOff>
    </xdr:from>
    <xdr:to>
      <xdr:col>4</xdr:col>
      <xdr:colOff>17861</xdr:colOff>
      <xdr:row>127</xdr:row>
      <xdr:rowOff>35719</xdr:rowOff>
    </xdr:to>
    <xdr:cxnSp macro="">
      <xdr:nvCxnSpPr>
        <xdr:cNvPr id="129" name="Straight Connector 128"/>
        <xdr:cNvCxnSpPr/>
      </xdr:nvCxnSpPr>
      <xdr:spPr>
        <a:xfrm flipH="1">
          <a:off x="2840831" y="24416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136</xdr:row>
      <xdr:rowOff>124558</xdr:rowOff>
    </xdr:from>
    <xdr:to>
      <xdr:col>3</xdr:col>
      <xdr:colOff>381000</xdr:colOff>
      <xdr:row>139</xdr:row>
      <xdr:rowOff>124558</xdr:rowOff>
    </xdr:to>
    <xdr:cxnSp macro="">
      <xdr:nvCxnSpPr>
        <xdr:cNvPr id="130" name="Straight Connector 129"/>
        <xdr:cNvCxnSpPr/>
      </xdr:nvCxnSpPr>
      <xdr:spPr>
        <a:xfrm flipH="1">
          <a:off x="2713986" y="26223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136</xdr:row>
      <xdr:rowOff>139212</xdr:rowOff>
    </xdr:from>
    <xdr:to>
      <xdr:col>4</xdr:col>
      <xdr:colOff>116773</xdr:colOff>
      <xdr:row>139</xdr:row>
      <xdr:rowOff>117231</xdr:rowOff>
    </xdr:to>
    <xdr:cxnSp macro="">
      <xdr:nvCxnSpPr>
        <xdr:cNvPr id="131" name="Straight Connector 130"/>
        <xdr:cNvCxnSpPr/>
      </xdr:nvCxnSpPr>
      <xdr:spPr>
        <a:xfrm>
          <a:off x="3162300" y="26237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139</xdr:row>
      <xdr:rowOff>118956</xdr:rowOff>
    </xdr:from>
    <xdr:to>
      <xdr:col>4</xdr:col>
      <xdr:colOff>134902</xdr:colOff>
      <xdr:row>139</xdr:row>
      <xdr:rowOff>118956</xdr:rowOff>
    </xdr:to>
    <xdr:cxnSp macro="">
      <xdr:nvCxnSpPr>
        <xdr:cNvPr id="132" name="Straight Connector 131"/>
        <xdr:cNvCxnSpPr/>
      </xdr:nvCxnSpPr>
      <xdr:spPr>
        <a:xfrm>
          <a:off x="2706955" y="26788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137</xdr:row>
      <xdr:rowOff>36635</xdr:rowOff>
    </xdr:from>
    <xdr:to>
      <xdr:col>3</xdr:col>
      <xdr:colOff>300404</xdr:colOff>
      <xdr:row>138</xdr:row>
      <xdr:rowOff>45337</xdr:rowOff>
    </xdr:to>
    <xdr:cxnSp macro="">
      <xdr:nvCxnSpPr>
        <xdr:cNvPr id="133" name="Straight Connector 132"/>
        <xdr:cNvCxnSpPr/>
      </xdr:nvCxnSpPr>
      <xdr:spPr>
        <a:xfrm flipH="1">
          <a:off x="3076209" y="26325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137</xdr:row>
      <xdr:rowOff>25749</xdr:rowOff>
    </xdr:from>
    <xdr:to>
      <xdr:col>3</xdr:col>
      <xdr:colOff>472128</xdr:colOff>
      <xdr:row>138</xdr:row>
      <xdr:rowOff>36635</xdr:rowOff>
    </xdr:to>
    <xdr:cxnSp macro="">
      <xdr:nvCxnSpPr>
        <xdr:cNvPr id="134" name="Straight Connector 133"/>
        <xdr:cNvCxnSpPr/>
      </xdr:nvCxnSpPr>
      <xdr:spPr>
        <a:xfrm>
          <a:off x="3235569" y="26314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xdr:row>
      <xdr:rowOff>35719</xdr:rowOff>
    </xdr:from>
    <xdr:to>
      <xdr:col>3</xdr:col>
      <xdr:colOff>428625</xdr:colOff>
      <xdr:row>144</xdr:row>
      <xdr:rowOff>178594</xdr:rowOff>
    </xdr:to>
    <xdr:cxnSp macro="">
      <xdr:nvCxnSpPr>
        <xdr:cNvPr id="135" name="Straight Connector 134"/>
        <xdr:cNvCxnSpPr/>
      </xdr:nvCxnSpPr>
      <xdr:spPr>
        <a:xfrm>
          <a:off x="3209925" y="27277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144</xdr:row>
      <xdr:rowOff>95249</xdr:rowOff>
    </xdr:from>
    <xdr:to>
      <xdr:col>3</xdr:col>
      <xdr:colOff>571500</xdr:colOff>
      <xdr:row>144</xdr:row>
      <xdr:rowOff>154780</xdr:rowOff>
    </xdr:to>
    <xdr:cxnSp macro="">
      <xdr:nvCxnSpPr>
        <xdr:cNvPr id="136" name="Straight Connector 135"/>
        <xdr:cNvCxnSpPr/>
      </xdr:nvCxnSpPr>
      <xdr:spPr>
        <a:xfrm flipH="1">
          <a:off x="3209925" y="27717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xdr:row>
      <xdr:rowOff>47625</xdr:rowOff>
    </xdr:from>
    <xdr:to>
      <xdr:col>3</xdr:col>
      <xdr:colOff>595313</xdr:colOff>
      <xdr:row>142</xdr:row>
      <xdr:rowOff>119062</xdr:rowOff>
    </xdr:to>
    <xdr:cxnSp macro="">
      <xdr:nvCxnSpPr>
        <xdr:cNvPr id="137" name="Straight Connector 136"/>
        <xdr:cNvCxnSpPr/>
      </xdr:nvCxnSpPr>
      <xdr:spPr>
        <a:xfrm>
          <a:off x="3209925" y="27289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145</xdr:row>
      <xdr:rowOff>297027</xdr:rowOff>
    </xdr:from>
    <xdr:to>
      <xdr:col>3</xdr:col>
      <xdr:colOff>392907</xdr:colOff>
      <xdr:row>149</xdr:row>
      <xdr:rowOff>154781</xdr:rowOff>
    </xdr:to>
    <xdr:cxnSp macro="">
      <xdr:nvCxnSpPr>
        <xdr:cNvPr id="138" name="Straight Connector 137"/>
        <xdr:cNvCxnSpPr/>
      </xdr:nvCxnSpPr>
      <xdr:spPr>
        <a:xfrm>
          <a:off x="3166381" y="28005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149</xdr:row>
      <xdr:rowOff>142875</xdr:rowOff>
    </xdr:from>
    <xdr:to>
      <xdr:col>4</xdr:col>
      <xdr:colOff>11908</xdr:colOff>
      <xdr:row>149</xdr:row>
      <xdr:rowOff>154782</xdr:rowOff>
    </xdr:to>
    <xdr:cxnSp macro="">
      <xdr:nvCxnSpPr>
        <xdr:cNvPr id="139" name="Straight Connector 138"/>
        <xdr:cNvCxnSpPr/>
      </xdr:nvCxnSpPr>
      <xdr:spPr>
        <a:xfrm flipH="1" flipV="1">
          <a:off x="3150395" y="287178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145</xdr:row>
      <xdr:rowOff>305147</xdr:rowOff>
    </xdr:from>
    <xdr:to>
      <xdr:col>3</xdr:col>
      <xdr:colOff>130969</xdr:colOff>
      <xdr:row>147</xdr:row>
      <xdr:rowOff>11906</xdr:rowOff>
    </xdr:to>
    <xdr:cxnSp macro="">
      <xdr:nvCxnSpPr>
        <xdr:cNvPr id="140" name="Straight Arrow Connector 139"/>
        <xdr:cNvCxnSpPr/>
      </xdr:nvCxnSpPr>
      <xdr:spPr>
        <a:xfrm flipH="1" flipV="1">
          <a:off x="2904995"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148</xdr:row>
      <xdr:rowOff>11907</xdr:rowOff>
    </xdr:from>
    <xdr:to>
      <xdr:col>3</xdr:col>
      <xdr:colOff>130969</xdr:colOff>
      <xdr:row>149</xdr:row>
      <xdr:rowOff>154782</xdr:rowOff>
    </xdr:to>
    <xdr:cxnSp macro="">
      <xdr:nvCxnSpPr>
        <xdr:cNvPr id="141" name="Straight Arrow Connector 140"/>
        <xdr:cNvCxnSpPr/>
      </xdr:nvCxnSpPr>
      <xdr:spPr>
        <a:xfrm>
          <a:off x="2912269" y="28396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153</xdr:row>
      <xdr:rowOff>89297</xdr:rowOff>
    </xdr:from>
    <xdr:to>
      <xdr:col>3</xdr:col>
      <xdr:colOff>178594</xdr:colOff>
      <xdr:row>154</xdr:row>
      <xdr:rowOff>59531</xdr:rowOff>
    </xdr:to>
    <xdr:cxnSp macro="">
      <xdr:nvCxnSpPr>
        <xdr:cNvPr id="142" name="Straight Connector 141"/>
        <xdr:cNvCxnSpPr/>
      </xdr:nvCxnSpPr>
      <xdr:spPr>
        <a:xfrm>
          <a:off x="2840831" y="2942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153</xdr:row>
      <xdr:rowOff>35719</xdr:rowOff>
    </xdr:from>
    <xdr:to>
      <xdr:col>3</xdr:col>
      <xdr:colOff>285750</xdr:colOff>
      <xdr:row>153</xdr:row>
      <xdr:rowOff>154781</xdr:rowOff>
    </xdr:to>
    <xdr:cxnSp macro="">
      <xdr:nvCxnSpPr>
        <xdr:cNvPr id="143" name="Straight Connector 142"/>
        <xdr:cNvCxnSpPr/>
      </xdr:nvCxnSpPr>
      <xdr:spPr>
        <a:xfrm>
          <a:off x="2876550" y="2937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162</xdr:row>
      <xdr:rowOff>124558</xdr:rowOff>
    </xdr:from>
    <xdr:to>
      <xdr:col>3</xdr:col>
      <xdr:colOff>381000</xdr:colOff>
      <xdr:row>165</xdr:row>
      <xdr:rowOff>124558</xdr:rowOff>
    </xdr:to>
    <xdr:cxnSp macro="">
      <xdr:nvCxnSpPr>
        <xdr:cNvPr id="144" name="Straight Connector 143"/>
        <xdr:cNvCxnSpPr/>
      </xdr:nvCxnSpPr>
      <xdr:spPr>
        <a:xfrm flipH="1">
          <a:off x="2713986" y="31176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162</xdr:row>
      <xdr:rowOff>139212</xdr:rowOff>
    </xdr:from>
    <xdr:to>
      <xdr:col>4</xdr:col>
      <xdr:colOff>116773</xdr:colOff>
      <xdr:row>165</xdr:row>
      <xdr:rowOff>117231</xdr:rowOff>
    </xdr:to>
    <xdr:cxnSp macro="">
      <xdr:nvCxnSpPr>
        <xdr:cNvPr id="145" name="Straight Connector 144"/>
        <xdr:cNvCxnSpPr/>
      </xdr:nvCxnSpPr>
      <xdr:spPr>
        <a:xfrm>
          <a:off x="3162300" y="31190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165</xdr:row>
      <xdr:rowOff>118956</xdr:rowOff>
    </xdr:from>
    <xdr:to>
      <xdr:col>4</xdr:col>
      <xdr:colOff>134902</xdr:colOff>
      <xdr:row>165</xdr:row>
      <xdr:rowOff>118956</xdr:rowOff>
    </xdr:to>
    <xdr:cxnSp macro="">
      <xdr:nvCxnSpPr>
        <xdr:cNvPr id="146" name="Straight Connector 145"/>
        <xdr:cNvCxnSpPr/>
      </xdr:nvCxnSpPr>
      <xdr:spPr>
        <a:xfrm>
          <a:off x="2706955" y="31741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163</xdr:row>
      <xdr:rowOff>36635</xdr:rowOff>
    </xdr:from>
    <xdr:to>
      <xdr:col>3</xdr:col>
      <xdr:colOff>300404</xdr:colOff>
      <xdr:row>164</xdr:row>
      <xdr:rowOff>45337</xdr:rowOff>
    </xdr:to>
    <xdr:cxnSp macro="">
      <xdr:nvCxnSpPr>
        <xdr:cNvPr id="147" name="Straight Connector 146"/>
        <xdr:cNvCxnSpPr/>
      </xdr:nvCxnSpPr>
      <xdr:spPr>
        <a:xfrm flipH="1">
          <a:off x="3076209" y="31278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163</xdr:row>
      <xdr:rowOff>25749</xdr:rowOff>
    </xdr:from>
    <xdr:to>
      <xdr:col>3</xdr:col>
      <xdr:colOff>472128</xdr:colOff>
      <xdr:row>164</xdr:row>
      <xdr:rowOff>36635</xdr:rowOff>
    </xdr:to>
    <xdr:cxnSp macro="">
      <xdr:nvCxnSpPr>
        <xdr:cNvPr id="148" name="Straight Connector 147"/>
        <xdr:cNvCxnSpPr/>
      </xdr:nvCxnSpPr>
      <xdr:spPr>
        <a:xfrm>
          <a:off x="3235569" y="31267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153</xdr:row>
      <xdr:rowOff>44824</xdr:rowOff>
    </xdr:from>
    <xdr:to>
      <xdr:col>3</xdr:col>
      <xdr:colOff>67235</xdr:colOff>
      <xdr:row>155</xdr:row>
      <xdr:rowOff>156883</xdr:rowOff>
    </xdr:to>
    <xdr:cxnSp macro="">
      <xdr:nvCxnSpPr>
        <xdr:cNvPr id="149" name="Straight Connector 148"/>
        <xdr:cNvCxnSpPr/>
      </xdr:nvCxnSpPr>
      <xdr:spPr>
        <a:xfrm>
          <a:off x="2848535" y="2938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155</xdr:row>
      <xdr:rowOff>166690</xdr:rowOff>
    </xdr:from>
    <xdr:to>
      <xdr:col>4</xdr:col>
      <xdr:colOff>29308</xdr:colOff>
      <xdr:row>155</xdr:row>
      <xdr:rowOff>168519</xdr:rowOff>
    </xdr:to>
    <xdr:cxnSp macro="">
      <xdr:nvCxnSpPr>
        <xdr:cNvPr id="150" name="Straight Connector 149"/>
        <xdr:cNvCxnSpPr/>
      </xdr:nvCxnSpPr>
      <xdr:spPr>
        <a:xfrm>
          <a:off x="2840831" y="29884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xdr:row>
      <xdr:rowOff>41673</xdr:rowOff>
    </xdr:from>
    <xdr:to>
      <xdr:col>4</xdr:col>
      <xdr:colOff>12211</xdr:colOff>
      <xdr:row>156</xdr:row>
      <xdr:rowOff>0</xdr:rowOff>
    </xdr:to>
    <xdr:cxnSp macro="">
      <xdr:nvCxnSpPr>
        <xdr:cNvPr id="151" name="Straight Connector 150"/>
        <xdr:cNvCxnSpPr/>
      </xdr:nvCxnSpPr>
      <xdr:spPr>
        <a:xfrm flipH="1" flipV="1">
          <a:off x="3495675" y="2937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xdr:row>
      <xdr:rowOff>32918</xdr:rowOff>
    </xdr:from>
    <xdr:to>
      <xdr:col>4</xdr:col>
      <xdr:colOff>17861</xdr:colOff>
      <xdr:row>153</xdr:row>
      <xdr:rowOff>35719</xdr:rowOff>
    </xdr:to>
    <xdr:cxnSp macro="">
      <xdr:nvCxnSpPr>
        <xdr:cNvPr id="152" name="Straight Connector 151"/>
        <xdr:cNvCxnSpPr/>
      </xdr:nvCxnSpPr>
      <xdr:spPr>
        <a:xfrm flipH="1">
          <a:off x="2840831" y="29369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xdr:row>
      <xdr:rowOff>89297</xdr:rowOff>
    </xdr:from>
    <xdr:to>
      <xdr:col>3</xdr:col>
      <xdr:colOff>178594</xdr:colOff>
      <xdr:row>159</xdr:row>
      <xdr:rowOff>59531</xdr:rowOff>
    </xdr:to>
    <xdr:cxnSp macro="">
      <xdr:nvCxnSpPr>
        <xdr:cNvPr id="153" name="Straight Connector 152"/>
        <xdr:cNvCxnSpPr/>
      </xdr:nvCxnSpPr>
      <xdr:spPr>
        <a:xfrm>
          <a:off x="2840831" y="3037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158</xdr:row>
      <xdr:rowOff>35719</xdr:rowOff>
    </xdr:from>
    <xdr:to>
      <xdr:col>3</xdr:col>
      <xdr:colOff>285750</xdr:colOff>
      <xdr:row>158</xdr:row>
      <xdr:rowOff>154781</xdr:rowOff>
    </xdr:to>
    <xdr:cxnSp macro="">
      <xdr:nvCxnSpPr>
        <xdr:cNvPr id="154" name="Straight Connector 153"/>
        <xdr:cNvCxnSpPr/>
      </xdr:nvCxnSpPr>
      <xdr:spPr>
        <a:xfrm>
          <a:off x="2876550" y="3032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158</xdr:row>
      <xdr:rowOff>44824</xdr:rowOff>
    </xdr:from>
    <xdr:to>
      <xdr:col>3</xdr:col>
      <xdr:colOff>67235</xdr:colOff>
      <xdr:row>160</xdr:row>
      <xdr:rowOff>156883</xdr:rowOff>
    </xdr:to>
    <xdr:cxnSp macro="">
      <xdr:nvCxnSpPr>
        <xdr:cNvPr id="155" name="Straight Connector 154"/>
        <xdr:cNvCxnSpPr/>
      </xdr:nvCxnSpPr>
      <xdr:spPr>
        <a:xfrm>
          <a:off x="2848535" y="3033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xdr:row>
      <xdr:rowOff>166690</xdr:rowOff>
    </xdr:from>
    <xdr:to>
      <xdr:col>4</xdr:col>
      <xdr:colOff>29308</xdr:colOff>
      <xdr:row>160</xdr:row>
      <xdr:rowOff>168519</xdr:rowOff>
    </xdr:to>
    <xdr:cxnSp macro="">
      <xdr:nvCxnSpPr>
        <xdr:cNvPr id="156" name="Straight Connector 155"/>
        <xdr:cNvCxnSpPr/>
      </xdr:nvCxnSpPr>
      <xdr:spPr>
        <a:xfrm>
          <a:off x="2840831" y="3083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xdr:row>
      <xdr:rowOff>41673</xdr:rowOff>
    </xdr:from>
    <xdr:to>
      <xdr:col>4</xdr:col>
      <xdr:colOff>12211</xdr:colOff>
      <xdr:row>161</xdr:row>
      <xdr:rowOff>0</xdr:rowOff>
    </xdr:to>
    <xdr:cxnSp macro="">
      <xdr:nvCxnSpPr>
        <xdr:cNvPr id="157" name="Straight Connector 156"/>
        <xdr:cNvCxnSpPr/>
      </xdr:nvCxnSpPr>
      <xdr:spPr>
        <a:xfrm flipH="1" flipV="1">
          <a:off x="3495675" y="3033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xdr:row>
      <xdr:rowOff>32918</xdr:rowOff>
    </xdr:from>
    <xdr:to>
      <xdr:col>4</xdr:col>
      <xdr:colOff>17861</xdr:colOff>
      <xdr:row>158</xdr:row>
      <xdr:rowOff>35719</xdr:rowOff>
    </xdr:to>
    <xdr:cxnSp macro="">
      <xdr:nvCxnSpPr>
        <xdr:cNvPr id="158" name="Straight Connector 157"/>
        <xdr:cNvCxnSpPr/>
      </xdr:nvCxnSpPr>
      <xdr:spPr>
        <a:xfrm flipH="1">
          <a:off x="2840831" y="3032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167</xdr:row>
      <xdr:rowOff>124558</xdr:rowOff>
    </xdr:from>
    <xdr:to>
      <xdr:col>3</xdr:col>
      <xdr:colOff>381000</xdr:colOff>
      <xdr:row>170</xdr:row>
      <xdr:rowOff>124558</xdr:rowOff>
    </xdr:to>
    <xdr:cxnSp macro="">
      <xdr:nvCxnSpPr>
        <xdr:cNvPr id="159" name="Straight Connector 158"/>
        <xdr:cNvCxnSpPr/>
      </xdr:nvCxnSpPr>
      <xdr:spPr>
        <a:xfrm flipH="1">
          <a:off x="2713986" y="32128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167</xdr:row>
      <xdr:rowOff>139212</xdr:rowOff>
    </xdr:from>
    <xdr:to>
      <xdr:col>4</xdr:col>
      <xdr:colOff>116773</xdr:colOff>
      <xdr:row>170</xdr:row>
      <xdr:rowOff>117231</xdr:rowOff>
    </xdr:to>
    <xdr:cxnSp macro="">
      <xdr:nvCxnSpPr>
        <xdr:cNvPr id="160" name="Straight Connector 159"/>
        <xdr:cNvCxnSpPr/>
      </xdr:nvCxnSpPr>
      <xdr:spPr>
        <a:xfrm>
          <a:off x="3162300" y="32143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170</xdr:row>
      <xdr:rowOff>118956</xdr:rowOff>
    </xdr:from>
    <xdr:to>
      <xdr:col>4</xdr:col>
      <xdr:colOff>134902</xdr:colOff>
      <xdr:row>170</xdr:row>
      <xdr:rowOff>118956</xdr:rowOff>
    </xdr:to>
    <xdr:cxnSp macro="">
      <xdr:nvCxnSpPr>
        <xdr:cNvPr id="161" name="Straight Connector 160"/>
        <xdr:cNvCxnSpPr/>
      </xdr:nvCxnSpPr>
      <xdr:spPr>
        <a:xfrm>
          <a:off x="2706955" y="32694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168</xdr:row>
      <xdr:rowOff>36635</xdr:rowOff>
    </xdr:from>
    <xdr:to>
      <xdr:col>3</xdr:col>
      <xdr:colOff>300404</xdr:colOff>
      <xdr:row>169</xdr:row>
      <xdr:rowOff>45337</xdr:rowOff>
    </xdr:to>
    <xdr:cxnSp macro="">
      <xdr:nvCxnSpPr>
        <xdr:cNvPr id="162" name="Straight Connector 161"/>
        <xdr:cNvCxnSpPr/>
      </xdr:nvCxnSpPr>
      <xdr:spPr>
        <a:xfrm flipH="1">
          <a:off x="3076209" y="32231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168</xdr:row>
      <xdr:rowOff>25749</xdr:rowOff>
    </xdr:from>
    <xdr:to>
      <xdr:col>3</xdr:col>
      <xdr:colOff>472128</xdr:colOff>
      <xdr:row>169</xdr:row>
      <xdr:rowOff>36635</xdr:rowOff>
    </xdr:to>
    <xdr:cxnSp macro="">
      <xdr:nvCxnSpPr>
        <xdr:cNvPr id="163" name="Straight Connector 162"/>
        <xdr:cNvCxnSpPr/>
      </xdr:nvCxnSpPr>
      <xdr:spPr>
        <a:xfrm>
          <a:off x="3235569" y="32220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173</xdr:row>
      <xdr:rowOff>35719</xdr:rowOff>
    </xdr:from>
    <xdr:to>
      <xdr:col>3</xdr:col>
      <xdr:colOff>428625</xdr:colOff>
      <xdr:row>175</xdr:row>
      <xdr:rowOff>178594</xdr:rowOff>
    </xdr:to>
    <xdr:cxnSp macro="">
      <xdr:nvCxnSpPr>
        <xdr:cNvPr id="164" name="Straight Connector 163"/>
        <xdr:cNvCxnSpPr/>
      </xdr:nvCxnSpPr>
      <xdr:spPr>
        <a:xfrm>
          <a:off x="3209925" y="331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175</xdr:row>
      <xdr:rowOff>95249</xdr:rowOff>
    </xdr:from>
    <xdr:to>
      <xdr:col>3</xdr:col>
      <xdr:colOff>571500</xdr:colOff>
      <xdr:row>175</xdr:row>
      <xdr:rowOff>154780</xdr:rowOff>
    </xdr:to>
    <xdr:cxnSp macro="">
      <xdr:nvCxnSpPr>
        <xdr:cNvPr id="165" name="Straight Connector 164"/>
        <xdr:cNvCxnSpPr/>
      </xdr:nvCxnSpPr>
      <xdr:spPr>
        <a:xfrm flipH="1">
          <a:off x="3209925" y="336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173</xdr:row>
      <xdr:rowOff>47625</xdr:rowOff>
    </xdr:from>
    <xdr:to>
      <xdr:col>3</xdr:col>
      <xdr:colOff>595313</xdr:colOff>
      <xdr:row>173</xdr:row>
      <xdr:rowOff>119062</xdr:rowOff>
    </xdr:to>
    <xdr:cxnSp macro="">
      <xdr:nvCxnSpPr>
        <xdr:cNvPr id="166" name="Straight Connector 165"/>
        <xdr:cNvCxnSpPr/>
      </xdr:nvCxnSpPr>
      <xdr:spPr>
        <a:xfrm>
          <a:off x="3209925" y="331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176</xdr:row>
      <xdr:rowOff>297027</xdr:rowOff>
    </xdr:from>
    <xdr:to>
      <xdr:col>3</xdr:col>
      <xdr:colOff>392907</xdr:colOff>
      <xdr:row>180</xdr:row>
      <xdr:rowOff>154781</xdr:rowOff>
    </xdr:to>
    <xdr:cxnSp macro="">
      <xdr:nvCxnSpPr>
        <xdr:cNvPr id="167" name="Straight Connector 166"/>
        <xdr:cNvCxnSpPr/>
      </xdr:nvCxnSpPr>
      <xdr:spPr>
        <a:xfrm>
          <a:off x="3166381" y="3391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180</xdr:row>
      <xdr:rowOff>142875</xdr:rowOff>
    </xdr:from>
    <xdr:to>
      <xdr:col>4</xdr:col>
      <xdr:colOff>11908</xdr:colOff>
      <xdr:row>180</xdr:row>
      <xdr:rowOff>154782</xdr:rowOff>
    </xdr:to>
    <xdr:cxnSp macro="">
      <xdr:nvCxnSpPr>
        <xdr:cNvPr id="168" name="Straight Connector 167"/>
        <xdr:cNvCxnSpPr/>
      </xdr:nvCxnSpPr>
      <xdr:spPr>
        <a:xfrm flipH="1" flipV="1">
          <a:off x="3150395" y="34623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176</xdr:row>
      <xdr:rowOff>305147</xdr:rowOff>
    </xdr:from>
    <xdr:to>
      <xdr:col>3</xdr:col>
      <xdr:colOff>130969</xdr:colOff>
      <xdr:row>178</xdr:row>
      <xdr:rowOff>11906</xdr:rowOff>
    </xdr:to>
    <xdr:cxnSp macro="">
      <xdr:nvCxnSpPr>
        <xdr:cNvPr id="169" name="Straight Arrow Connector 168"/>
        <xdr:cNvCxnSpPr/>
      </xdr:nvCxnSpPr>
      <xdr:spPr>
        <a:xfrm flipH="1" flipV="1">
          <a:off x="2904995"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179</xdr:row>
      <xdr:rowOff>11907</xdr:rowOff>
    </xdr:from>
    <xdr:to>
      <xdr:col>3</xdr:col>
      <xdr:colOff>130969</xdr:colOff>
      <xdr:row>180</xdr:row>
      <xdr:rowOff>154782</xdr:rowOff>
    </xdr:to>
    <xdr:cxnSp macro="">
      <xdr:nvCxnSpPr>
        <xdr:cNvPr id="170" name="Straight Arrow Connector 169"/>
        <xdr:cNvCxnSpPr/>
      </xdr:nvCxnSpPr>
      <xdr:spPr>
        <a:xfrm>
          <a:off x="2912269" y="3430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184</xdr:row>
      <xdr:rowOff>89297</xdr:rowOff>
    </xdr:from>
    <xdr:to>
      <xdr:col>3</xdr:col>
      <xdr:colOff>178594</xdr:colOff>
      <xdr:row>185</xdr:row>
      <xdr:rowOff>59531</xdr:rowOff>
    </xdr:to>
    <xdr:cxnSp macro="">
      <xdr:nvCxnSpPr>
        <xdr:cNvPr id="171" name="Straight Connector 170"/>
        <xdr:cNvCxnSpPr/>
      </xdr:nvCxnSpPr>
      <xdr:spPr>
        <a:xfrm>
          <a:off x="2840831" y="3533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184</xdr:row>
      <xdr:rowOff>35719</xdr:rowOff>
    </xdr:from>
    <xdr:to>
      <xdr:col>3</xdr:col>
      <xdr:colOff>285750</xdr:colOff>
      <xdr:row>184</xdr:row>
      <xdr:rowOff>154781</xdr:rowOff>
    </xdr:to>
    <xdr:cxnSp macro="">
      <xdr:nvCxnSpPr>
        <xdr:cNvPr id="172" name="Straight Connector 171"/>
        <xdr:cNvCxnSpPr/>
      </xdr:nvCxnSpPr>
      <xdr:spPr>
        <a:xfrm>
          <a:off x="2876550" y="3527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198</xdr:row>
      <xdr:rowOff>124558</xdr:rowOff>
    </xdr:from>
    <xdr:to>
      <xdr:col>3</xdr:col>
      <xdr:colOff>381000</xdr:colOff>
      <xdr:row>201</xdr:row>
      <xdr:rowOff>124558</xdr:rowOff>
    </xdr:to>
    <xdr:cxnSp macro="">
      <xdr:nvCxnSpPr>
        <xdr:cNvPr id="173" name="Straight Connector 172"/>
        <xdr:cNvCxnSpPr/>
      </xdr:nvCxnSpPr>
      <xdr:spPr>
        <a:xfrm flipH="1">
          <a:off x="2713986" y="38034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198</xdr:row>
      <xdr:rowOff>139212</xdr:rowOff>
    </xdr:from>
    <xdr:to>
      <xdr:col>4</xdr:col>
      <xdr:colOff>116773</xdr:colOff>
      <xdr:row>201</xdr:row>
      <xdr:rowOff>117231</xdr:rowOff>
    </xdr:to>
    <xdr:cxnSp macro="">
      <xdr:nvCxnSpPr>
        <xdr:cNvPr id="174" name="Straight Connector 173"/>
        <xdr:cNvCxnSpPr/>
      </xdr:nvCxnSpPr>
      <xdr:spPr>
        <a:xfrm>
          <a:off x="3162300" y="38048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201</xdr:row>
      <xdr:rowOff>118956</xdr:rowOff>
    </xdr:from>
    <xdr:to>
      <xdr:col>4</xdr:col>
      <xdr:colOff>134902</xdr:colOff>
      <xdr:row>201</xdr:row>
      <xdr:rowOff>118956</xdr:rowOff>
    </xdr:to>
    <xdr:cxnSp macro="">
      <xdr:nvCxnSpPr>
        <xdr:cNvPr id="175" name="Straight Connector 174"/>
        <xdr:cNvCxnSpPr/>
      </xdr:nvCxnSpPr>
      <xdr:spPr>
        <a:xfrm>
          <a:off x="2706955" y="38599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199</xdr:row>
      <xdr:rowOff>36635</xdr:rowOff>
    </xdr:from>
    <xdr:to>
      <xdr:col>3</xdr:col>
      <xdr:colOff>300404</xdr:colOff>
      <xdr:row>200</xdr:row>
      <xdr:rowOff>45337</xdr:rowOff>
    </xdr:to>
    <xdr:cxnSp macro="">
      <xdr:nvCxnSpPr>
        <xdr:cNvPr id="176" name="Straight Connector 175"/>
        <xdr:cNvCxnSpPr/>
      </xdr:nvCxnSpPr>
      <xdr:spPr>
        <a:xfrm flipH="1">
          <a:off x="3076209" y="38136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199</xdr:row>
      <xdr:rowOff>25749</xdr:rowOff>
    </xdr:from>
    <xdr:to>
      <xdr:col>3</xdr:col>
      <xdr:colOff>472128</xdr:colOff>
      <xdr:row>200</xdr:row>
      <xdr:rowOff>36635</xdr:rowOff>
    </xdr:to>
    <xdr:cxnSp macro="">
      <xdr:nvCxnSpPr>
        <xdr:cNvPr id="177" name="Straight Connector 176"/>
        <xdr:cNvCxnSpPr/>
      </xdr:nvCxnSpPr>
      <xdr:spPr>
        <a:xfrm>
          <a:off x="3235569" y="38125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184</xdr:row>
      <xdr:rowOff>44824</xdr:rowOff>
    </xdr:from>
    <xdr:to>
      <xdr:col>3</xdr:col>
      <xdr:colOff>67235</xdr:colOff>
      <xdr:row>186</xdr:row>
      <xdr:rowOff>156883</xdr:rowOff>
    </xdr:to>
    <xdr:cxnSp macro="">
      <xdr:nvCxnSpPr>
        <xdr:cNvPr id="178" name="Straight Connector 177"/>
        <xdr:cNvCxnSpPr/>
      </xdr:nvCxnSpPr>
      <xdr:spPr>
        <a:xfrm>
          <a:off x="2848535" y="3528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186</xdr:row>
      <xdr:rowOff>166690</xdr:rowOff>
    </xdr:from>
    <xdr:to>
      <xdr:col>4</xdr:col>
      <xdr:colOff>29308</xdr:colOff>
      <xdr:row>186</xdr:row>
      <xdr:rowOff>168519</xdr:rowOff>
    </xdr:to>
    <xdr:cxnSp macro="">
      <xdr:nvCxnSpPr>
        <xdr:cNvPr id="179" name="Straight Connector 178"/>
        <xdr:cNvCxnSpPr/>
      </xdr:nvCxnSpPr>
      <xdr:spPr>
        <a:xfrm>
          <a:off x="2840831" y="35790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184</xdr:row>
      <xdr:rowOff>41673</xdr:rowOff>
    </xdr:from>
    <xdr:to>
      <xdr:col>4</xdr:col>
      <xdr:colOff>12211</xdr:colOff>
      <xdr:row>187</xdr:row>
      <xdr:rowOff>0</xdr:rowOff>
    </xdr:to>
    <xdr:cxnSp macro="">
      <xdr:nvCxnSpPr>
        <xdr:cNvPr id="180" name="Straight Connector 179"/>
        <xdr:cNvCxnSpPr/>
      </xdr:nvCxnSpPr>
      <xdr:spPr>
        <a:xfrm flipH="1" flipV="1">
          <a:off x="3495675" y="3528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184</xdr:row>
      <xdr:rowOff>32918</xdr:rowOff>
    </xdr:from>
    <xdr:to>
      <xdr:col>4</xdr:col>
      <xdr:colOff>17861</xdr:colOff>
      <xdr:row>184</xdr:row>
      <xdr:rowOff>35719</xdr:rowOff>
    </xdr:to>
    <xdr:cxnSp macro="">
      <xdr:nvCxnSpPr>
        <xdr:cNvPr id="181" name="Straight Connector 180"/>
        <xdr:cNvCxnSpPr/>
      </xdr:nvCxnSpPr>
      <xdr:spPr>
        <a:xfrm flipH="1">
          <a:off x="2840831" y="35275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189</xdr:row>
      <xdr:rowOff>89297</xdr:rowOff>
    </xdr:from>
    <xdr:to>
      <xdr:col>3</xdr:col>
      <xdr:colOff>178594</xdr:colOff>
      <xdr:row>190</xdr:row>
      <xdr:rowOff>59531</xdr:rowOff>
    </xdr:to>
    <xdr:cxnSp macro="">
      <xdr:nvCxnSpPr>
        <xdr:cNvPr id="182" name="Straight Connector 181"/>
        <xdr:cNvCxnSpPr/>
      </xdr:nvCxnSpPr>
      <xdr:spPr>
        <a:xfrm>
          <a:off x="2840831" y="362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189</xdr:row>
      <xdr:rowOff>35719</xdr:rowOff>
    </xdr:from>
    <xdr:to>
      <xdr:col>3</xdr:col>
      <xdr:colOff>285750</xdr:colOff>
      <xdr:row>189</xdr:row>
      <xdr:rowOff>154781</xdr:rowOff>
    </xdr:to>
    <xdr:cxnSp macro="">
      <xdr:nvCxnSpPr>
        <xdr:cNvPr id="183" name="Straight Connector 182"/>
        <xdr:cNvCxnSpPr/>
      </xdr:nvCxnSpPr>
      <xdr:spPr>
        <a:xfrm>
          <a:off x="2876550" y="362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189</xdr:row>
      <xdr:rowOff>44824</xdr:rowOff>
    </xdr:from>
    <xdr:to>
      <xdr:col>3</xdr:col>
      <xdr:colOff>67235</xdr:colOff>
      <xdr:row>191</xdr:row>
      <xdr:rowOff>156883</xdr:rowOff>
    </xdr:to>
    <xdr:cxnSp macro="">
      <xdr:nvCxnSpPr>
        <xdr:cNvPr id="184" name="Straight Connector 183"/>
        <xdr:cNvCxnSpPr/>
      </xdr:nvCxnSpPr>
      <xdr:spPr>
        <a:xfrm>
          <a:off x="2848535" y="362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191</xdr:row>
      <xdr:rowOff>166690</xdr:rowOff>
    </xdr:from>
    <xdr:to>
      <xdr:col>4</xdr:col>
      <xdr:colOff>29308</xdr:colOff>
      <xdr:row>191</xdr:row>
      <xdr:rowOff>168519</xdr:rowOff>
    </xdr:to>
    <xdr:cxnSp macro="">
      <xdr:nvCxnSpPr>
        <xdr:cNvPr id="185" name="Straight Connector 184"/>
        <xdr:cNvCxnSpPr/>
      </xdr:nvCxnSpPr>
      <xdr:spPr>
        <a:xfrm>
          <a:off x="2840831" y="36742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189</xdr:row>
      <xdr:rowOff>41673</xdr:rowOff>
    </xdr:from>
    <xdr:to>
      <xdr:col>4</xdr:col>
      <xdr:colOff>12211</xdr:colOff>
      <xdr:row>192</xdr:row>
      <xdr:rowOff>0</xdr:rowOff>
    </xdr:to>
    <xdr:cxnSp macro="">
      <xdr:nvCxnSpPr>
        <xdr:cNvPr id="186" name="Straight Connector 185"/>
        <xdr:cNvCxnSpPr/>
      </xdr:nvCxnSpPr>
      <xdr:spPr>
        <a:xfrm flipH="1" flipV="1">
          <a:off x="3495675" y="362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189</xdr:row>
      <xdr:rowOff>32918</xdr:rowOff>
    </xdr:from>
    <xdr:to>
      <xdr:col>4</xdr:col>
      <xdr:colOff>17861</xdr:colOff>
      <xdr:row>189</xdr:row>
      <xdr:rowOff>35719</xdr:rowOff>
    </xdr:to>
    <xdr:cxnSp macro="">
      <xdr:nvCxnSpPr>
        <xdr:cNvPr id="187" name="Straight Connector 186"/>
        <xdr:cNvCxnSpPr/>
      </xdr:nvCxnSpPr>
      <xdr:spPr>
        <a:xfrm flipH="1">
          <a:off x="2840831" y="36227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203</xdr:row>
      <xdr:rowOff>124558</xdr:rowOff>
    </xdr:from>
    <xdr:to>
      <xdr:col>3</xdr:col>
      <xdr:colOff>381000</xdr:colOff>
      <xdr:row>206</xdr:row>
      <xdr:rowOff>124558</xdr:rowOff>
    </xdr:to>
    <xdr:cxnSp macro="">
      <xdr:nvCxnSpPr>
        <xdr:cNvPr id="188" name="Straight Connector 187"/>
        <xdr:cNvCxnSpPr/>
      </xdr:nvCxnSpPr>
      <xdr:spPr>
        <a:xfrm flipH="1">
          <a:off x="2713986" y="38986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203</xdr:row>
      <xdr:rowOff>139212</xdr:rowOff>
    </xdr:from>
    <xdr:to>
      <xdr:col>4</xdr:col>
      <xdr:colOff>116773</xdr:colOff>
      <xdr:row>206</xdr:row>
      <xdr:rowOff>117231</xdr:rowOff>
    </xdr:to>
    <xdr:cxnSp macro="">
      <xdr:nvCxnSpPr>
        <xdr:cNvPr id="189" name="Straight Connector 188"/>
        <xdr:cNvCxnSpPr/>
      </xdr:nvCxnSpPr>
      <xdr:spPr>
        <a:xfrm>
          <a:off x="3162300" y="39001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206</xdr:row>
      <xdr:rowOff>118956</xdr:rowOff>
    </xdr:from>
    <xdr:to>
      <xdr:col>4</xdr:col>
      <xdr:colOff>134902</xdr:colOff>
      <xdr:row>206</xdr:row>
      <xdr:rowOff>118956</xdr:rowOff>
    </xdr:to>
    <xdr:cxnSp macro="">
      <xdr:nvCxnSpPr>
        <xdr:cNvPr id="190" name="Straight Connector 189"/>
        <xdr:cNvCxnSpPr/>
      </xdr:nvCxnSpPr>
      <xdr:spPr>
        <a:xfrm>
          <a:off x="2706955" y="39552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204</xdr:row>
      <xdr:rowOff>36635</xdr:rowOff>
    </xdr:from>
    <xdr:to>
      <xdr:col>3</xdr:col>
      <xdr:colOff>300404</xdr:colOff>
      <xdr:row>205</xdr:row>
      <xdr:rowOff>45337</xdr:rowOff>
    </xdr:to>
    <xdr:cxnSp macro="">
      <xdr:nvCxnSpPr>
        <xdr:cNvPr id="191" name="Straight Connector 190"/>
        <xdr:cNvCxnSpPr/>
      </xdr:nvCxnSpPr>
      <xdr:spPr>
        <a:xfrm flipH="1">
          <a:off x="3076209" y="39089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204</xdr:row>
      <xdr:rowOff>25749</xdr:rowOff>
    </xdr:from>
    <xdr:to>
      <xdr:col>3</xdr:col>
      <xdr:colOff>472128</xdr:colOff>
      <xdr:row>205</xdr:row>
      <xdr:rowOff>36635</xdr:rowOff>
    </xdr:to>
    <xdr:cxnSp macro="">
      <xdr:nvCxnSpPr>
        <xdr:cNvPr id="192" name="Straight Connector 191"/>
        <xdr:cNvCxnSpPr/>
      </xdr:nvCxnSpPr>
      <xdr:spPr>
        <a:xfrm>
          <a:off x="3235569" y="39078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194</xdr:row>
      <xdr:rowOff>89297</xdr:rowOff>
    </xdr:from>
    <xdr:to>
      <xdr:col>3</xdr:col>
      <xdr:colOff>178594</xdr:colOff>
      <xdr:row>195</xdr:row>
      <xdr:rowOff>59531</xdr:rowOff>
    </xdr:to>
    <xdr:cxnSp macro="">
      <xdr:nvCxnSpPr>
        <xdr:cNvPr id="193" name="Straight Connector 192"/>
        <xdr:cNvCxnSpPr/>
      </xdr:nvCxnSpPr>
      <xdr:spPr>
        <a:xfrm>
          <a:off x="2840831" y="372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194</xdr:row>
      <xdr:rowOff>35719</xdr:rowOff>
    </xdr:from>
    <xdr:to>
      <xdr:col>3</xdr:col>
      <xdr:colOff>285750</xdr:colOff>
      <xdr:row>194</xdr:row>
      <xdr:rowOff>154781</xdr:rowOff>
    </xdr:to>
    <xdr:cxnSp macro="">
      <xdr:nvCxnSpPr>
        <xdr:cNvPr id="194" name="Straight Connector 193"/>
        <xdr:cNvCxnSpPr/>
      </xdr:nvCxnSpPr>
      <xdr:spPr>
        <a:xfrm>
          <a:off x="2876550" y="371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194</xdr:row>
      <xdr:rowOff>44824</xdr:rowOff>
    </xdr:from>
    <xdr:to>
      <xdr:col>3</xdr:col>
      <xdr:colOff>67235</xdr:colOff>
      <xdr:row>196</xdr:row>
      <xdr:rowOff>156883</xdr:rowOff>
    </xdr:to>
    <xdr:cxnSp macro="">
      <xdr:nvCxnSpPr>
        <xdr:cNvPr id="195" name="Straight Connector 194"/>
        <xdr:cNvCxnSpPr/>
      </xdr:nvCxnSpPr>
      <xdr:spPr>
        <a:xfrm>
          <a:off x="2848535" y="371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196</xdr:row>
      <xdr:rowOff>166690</xdr:rowOff>
    </xdr:from>
    <xdr:to>
      <xdr:col>4</xdr:col>
      <xdr:colOff>29308</xdr:colOff>
      <xdr:row>196</xdr:row>
      <xdr:rowOff>168519</xdr:rowOff>
    </xdr:to>
    <xdr:cxnSp macro="">
      <xdr:nvCxnSpPr>
        <xdr:cNvPr id="196" name="Straight Connector 195"/>
        <xdr:cNvCxnSpPr/>
      </xdr:nvCxnSpPr>
      <xdr:spPr>
        <a:xfrm>
          <a:off x="2840831" y="37695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194</xdr:row>
      <xdr:rowOff>41673</xdr:rowOff>
    </xdr:from>
    <xdr:to>
      <xdr:col>4</xdr:col>
      <xdr:colOff>12211</xdr:colOff>
      <xdr:row>197</xdr:row>
      <xdr:rowOff>0</xdr:rowOff>
    </xdr:to>
    <xdr:cxnSp macro="">
      <xdr:nvCxnSpPr>
        <xdr:cNvPr id="197" name="Straight Connector 196"/>
        <xdr:cNvCxnSpPr/>
      </xdr:nvCxnSpPr>
      <xdr:spPr>
        <a:xfrm flipH="1" flipV="1">
          <a:off x="3495675" y="371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194</xdr:row>
      <xdr:rowOff>32918</xdr:rowOff>
    </xdr:from>
    <xdr:to>
      <xdr:col>4</xdr:col>
      <xdr:colOff>17861</xdr:colOff>
      <xdr:row>194</xdr:row>
      <xdr:rowOff>35719</xdr:rowOff>
    </xdr:to>
    <xdr:cxnSp macro="">
      <xdr:nvCxnSpPr>
        <xdr:cNvPr id="198" name="Straight Connector 197"/>
        <xdr:cNvCxnSpPr/>
      </xdr:nvCxnSpPr>
      <xdr:spPr>
        <a:xfrm flipH="1">
          <a:off x="2840831" y="37180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208</xdr:row>
      <xdr:rowOff>297027</xdr:rowOff>
    </xdr:from>
    <xdr:to>
      <xdr:col>3</xdr:col>
      <xdr:colOff>392907</xdr:colOff>
      <xdr:row>212</xdr:row>
      <xdr:rowOff>154781</xdr:rowOff>
    </xdr:to>
    <xdr:cxnSp macro="">
      <xdr:nvCxnSpPr>
        <xdr:cNvPr id="199" name="Straight Connector 198"/>
        <xdr:cNvCxnSpPr/>
      </xdr:nvCxnSpPr>
      <xdr:spPr>
        <a:xfrm>
          <a:off x="3166381" y="40006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212</xdr:row>
      <xdr:rowOff>142875</xdr:rowOff>
    </xdr:from>
    <xdr:to>
      <xdr:col>4</xdr:col>
      <xdr:colOff>11908</xdr:colOff>
      <xdr:row>212</xdr:row>
      <xdr:rowOff>154782</xdr:rowOff>
    </xdr:to>
    <xdr:cxnSp macro="">
      <xdr:nvCxnSpPr>
        <xdr:cNvPr id="200" name="Straight Connector 199"/>
        <xdr:cNvCxnSpPr/>
      </xdr:nvCxnSpPr>
      <xdr:spPr>
        <a:xfrm flipH="1" flipV="1">
          <a:off x="3150395" y="40719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208</xdr:row>
      <xdr:rowOff>305147</xdr:rowOff>
    </xdr:from>
    <xdr:to>
      <xdr:col>3</xdr:col>
      <xdr:colOff>130969</xdr:colOff>
      <xdr:row>210</xdr:row>
      <xdr:rowOff>11906</xdr:rowOff>
    </xdr:to>
    <xdr:cxnSp macro="">
      <xdr:nvCxnSpPr>
        <xdr:cNvPr id="201" name="Straight Arrow Connector 200"/>
        <xdr:cNvCxnSpPr/>
      </xdr:nvCxnSpPr>
      <xdr:spPr>
        <a:xfrm flipH="1" flipV="1">
          <a:off x="2904995" y="40005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211</xdr:row>
      <xdr:rowOff>11907</xdr:rowOff>
    </xdr:from>
    <xdr:to>
      <xdr:col>3</xdr:col>
      <xdr:colOff>130969</xdr:colOff>
      <xdr:row>212</xdr:row>
      <xdr:rowOff>154782</xdr:rowOff>
    </xdr:to>
    <xdr:cxnSp macro="">
      <xdr:nvCxnSpPr>
        <xdr:cNvPr id="202" name="Straight Arrow Connector 201"/>
        <xdr:cNvCxnSpPr/>
      </xdr:nvCxnSpPr>
      <xdr:spPr>
        <a:xfrm>
          <a:off x="2912269" y="40397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215</xdr:row>
      <xdr:rowOff>89297</xdr:rowOff>
    </xdr:from>
    <xdr:to>
      <xdr:col>3</xdr:col>
      <xdr:colOff>178594</xdr:colOff>
      <xdr:row>216</xdr:row>
      <xdr:rowOff>59531</xdr:rowOff>
    </xdr:to>
    <xdr:cxnSp macro="">
      <xdr:nvCxnSpPr>
        <xdr:cNvPr id="203" name="Straight Connector 202"/>
        <xdr:cNvCxnSpPr/>
      </xdr:nvCxnSpPr>
      <xdr:spPr>
        <a:xfrm>
          <a:off x="2840831" y="4123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215</xdr:row>
      <xdr:rowOff>35719</xdr:rowOff>
    </xdr:from>
    <xdr:to>
      <xdr:col>3</xdr:col>
      <xdr:colOff>285750</xdr:colOff>
      <xdr:row>215</xdr:row>
      <xdr:rowOff>154781</xdr:rowOff>
    </xdr:to>
    <xdr:cxnSp macro="">
      <xdr:nvCxnSpPr>
        <xdr:cNvPr id="204" name="Straight Connector 203"/>
        <xdr:cNvCxnSpPr/>
      </xdr:nvCxnSpPr>
      <xdr:spPr>
        <a:xfrm>
          <a:off x="2876550" y="4118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224</xdr:row>
      <xdr:rowOff>124558</xdr:rowOff>
    </xdr:from>
    <xdr:to>
      <xdr:col>3</xdr:col>
      <xdr:colOff>381000</xdr:colOff>
      <xdr:row>227</xdr:row>
      <xdr:rowOff>124558</xdr:rowOff>
    </xdr:to>
    <xdr:cxnSp macro="">
      <xdr:nvCxnSpPr>
        <xdr:cNvPr id="205" name="Straight Connector 204"/>
        <xdr:cNvCxnSpPr/>
      </xdr:nvCxnSpPr>
      <xdr:spPr>
        <a:xfrm flipH="1">
          <a:off x="2713986" y="42987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224</xdr:row>
      <xdr:rowOff>139212</xdr:rowOff>
    </xdr:from>
    <xdr:to>
      <xdr:col>4</xdr:col>
      <xdr:colOff>116773</xdr:colOff>
      <xdr:row>227</xdr:row>
      <xdr:rowOff>117231</xdr:rowOff>
    </xdr:to>
    <xdr:cxnSp macro="">
      <xdr:nvCxnSpPr>
        <xdr:cNvPr id="206" name="Straight Connector 205"/>
        <xdr:cNvCxnSpPr/>
      </xdr:nvCxnSpPr>
      <xdr:spPr>
        <a:xfrm>
          <a:off x="3162300" y="43001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227</xdr:row>
      <xdr:rowOff>118956</xdr:rowOff>
    </xdr:from>
    <xdr:to>
      <xdr:col>4</xdr:col>
      <xdr:colOff>134902</xdr:colOff>
      <xdr:row>227</xdr:row>
      <xdr:rowOff>118956</xdr:rowOff>
    </xdr:to>
    <xdr:cxnSp macro="">
      <xdr:nvCxnSpPr>
        <xdr:cNvPr id="207" name="Straight Connector 206"/>
        <xdr:cNvCxnSpPr/>
      </xdr:nvCxnSpPr>
      <xdr:spPr>
        <a:xfrm>
          <a:off x="2706955" y="43552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225</xdr:row>
      <xdr:rowOff>36635</xdr:rowOff>
    </xdr:from>
    <xdr:to>
      <xdr:col>3</xdr:col>
      <xdr:colOff>300404</xdr:colOff>
      <xdr:row>226</xdr:row>
      <xdr:rowOff>45337</xdr:rowOff>
    </xdr:to>
    <xdr:cxnSp macro="">
      <xdr:nvCxnSpPr>
        <xdr:cNvPr id="208" name="Straight Connector 207"/>
        <xdr:cNvCxnSpPr/>
      </xdr:nvCxnSpPr>
      <xdr:spPr>
        <a:xfrm flipH="1">
          <a:off x="3076209" y="4308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225</xdr:row>
      <xdr:rowOff>25749</xdr:rowOff>
    </xdr:from>
    <xdr:to>
      <xdr:col>3</xdr:col>
      <xdr:colOff>472128</xdr:colOff>
      <xdr:row>226</xdr:row>
      <xdr:rowOff>36635</xdr:rowOff>
    </xdr:to>
    <xdr:cxnSp macro="">
      <xdr:nvCxnSpPr>
        <xdr:cNvPr id="209" name="Straight Connector 208"/>
        <xdr:cNvCxnSpPr/>
      </xdr:nvCxnSpPr>
      <xdr:spPr>
        <a:xfrm>
          <a:off x="3235569" y="4307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215</xdr:row>
      <xdr:rowOff>44824</xdr:rowOff>
    </xdr:from>
    <xdr:to>
      <xdr:col>3</xdr:col>
      <xdr:colOff>67235</xdr:colOff>
      <xdr:row>217</xdr:row>
      <xdr:rowOff>156883</xdr:rowOff>
    </xdr:to>
    <xdr:cxnSp macro="">
      <xdr:nvCxnSpPr>
        <xdr:cNvPr id="210" name="Straight Connector 209"/>
        <xdr:cNvCxnSpPr/>
      </xdr:nvCxnSpPr>
      <xdr:spPr>
        <a:xfrm>
          <a:off x="2848535" y="4119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217</xdr:row>
      <xdr:rowOff>166690</xdr:rowOff>
    </xdr:from>
    <xdr:to>
      <xdr:col>4</xdr:col>
      <xdr:colOff>29308</xdr:colOff>
      <xdr:row>217</xdr:row>
      <xdr:rowOff>168519</xdr:rowOff>
    </xdr:to>
    <xdr:cxnSp macro="">
      <xdr:nvCxnSpPr>
        <xdr:cNvPr id="211" name="Straight Connector 210"/>
        <xdr:cNvCxnSpPr/>
      </xdr:nvCxnSpPr>
      <xdr:spPr>
        <a:xfrm>
          <a:off x="2840831" y="4169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215</xdr:row>
      <xdr:rowOff>41673</xdr:rowOff>
    </xdr:from>
    <xdr:to>
      <xdr:col>4</xdr:col>
      <xdr:colOff>12211</xdr:colOff>
      <xdr:row>218</xdr:row>
      <xdr:rowOff>0</xdr:rowOff>
    </xdr:to>
    <xdr:cxnSp macro="">
      <xdr:nvCxnSpPr>
        <xdr:cNvPr id="212" name="Straight Connector 211"/>
        <xdr:cNvCxnSpPr/>
      </xdr:nvCxnSpPr>
      <xdr:spPr>
        <a:xfrm flipH="1" flipV="1">
          <a:off x="3495675" y="4118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215</xdr:row>
      <xdr:rowOff>32918</xdr:rowOff>
    </xdr:from>
    <xdr:to>
      <xdr:col>4</xdr:col>
      <xdr:colOff>17861</xdr:colOff>
      <xdr:row>215</xdr:row>
      <xdr:rowOff>35719</xdr:rowOff>
    </xdr:to>
    <xdr:cxnSp macro="">
      <xdr:nvCxnSpPr>
        <xdr:cNvPr id="213" name="Straight Connector 212"/>
        <xdr:cNvCxnSpPr/>
      </xdr:nvCxnSpPr>
      <xdr:spPr>
        <a:xfrm flipH="1">
          <a:off x="2840831" y="4118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220</xdr:row>
      <xdr:rowOff>89297</xdr:rowOff>
    </xdr:from>
    <xdr:to>
      <xdr:col>3</xdr:col>
      <xdr:colOff>178594</xdr:colOff>
      <xdr:row>221</xdr:row>
      <xdr:rowOff>59531</xdr:rowOff>
    </xdr:to>
    <xdr:cxnSp macro="">
      <xdr:nvCxnSpPr>
        <xdr:cNvPr id="214" name="Straight Connector 213"/>
        <xdr:cNvCxnSpPr/>
      </xdr:nvCxnSpPr>
      <xdr:spPr>
        <a:xfrm>
          <a:off x="2840831" y="4218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220</xdr:row>
      <xdr:rowOff>35719</xdr:rowOff>
    </xdr:from>
    <xdr:to>
      <xdr:col>3</xdr:col>
      <xdr:colOff>285750</xdr:colOff>
      <xdr:row>220</xdr:row>
      <xdr:rowOff>154781</xdr:rowOff>
    </xdr:to>
    <xdr:cxnSp macro="">
      <xdr:nvCxnSpPr>
        <xdr:cNvPr id="215" name="Straight Connector 214"/>
        <xdr:cNvCxnSpPr/>
      </xdr:nvCxnSpPr>
      <xdr:spPr>
        <a:xfrm>
          <a:off x="2876550" y="4213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220</xdr:row>
      <xdr:rowOff>44824</xdr:rowOff>
    </xdr:from>
    <xdr:to>
      <xdr:col>3</xdr:col>
      <xdr:colOff>67235</xdr:colOff>
      <xdr:row>222</xdr:row>
      <xdr:rowOff>156883</xdr:rowOff>
    </xdr:to>
    <xdr:cxnSp macro="">
      <xdr:nvCxnSpPr>
        <xdr:cNvPr id="216" name="Straight Connector 215"/>
        <xdr:cNvCxnSpPr/>
      </xdr:nvCxnSpPr>
      <xdr:spPr>
        <a:xfrm>
          <a:off x="2848535" y="4214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222</xdr:row>
      <xdr:rowOff>166690</xdr:rowOff>
    </xdr:from>
    <xdr:to>
      <xdr:col>4</xdr:col>
      <xdr:colOff>29308</xdr:colOff>
      <xdr:row>222</xdr:row>
      <xdr:rowOff>168519</xdr:rowOff>
    </xdr:to>
    <xdr:cxnSp macro="">
      <xdr:nvCxnSpPr>
        <xdr:cNvPr id="217" name="Straight Connector 216"/>
        <xdr:cNvCxnSpPr/>
      </xdr:nvCxnSpPr>
      <xdr:spPr>
        <a:xfrm>
          <a:off x="2840831" y="42648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220</xdr:row>
      <xdr:rowOff>41673</xdr:rowOff>
    </xdr:from>
    <xdr:to>
      <xdr:col>4</xdr:col>
      <xdr:colOff>12211</xdr:colOff>
      <xdr:row>223</xdr:row>
      <xdr:rowOff>0</xdr:rowOff>
    </xdr:to>
    <xdr:cxnSp macro="">
      <xdr:nvCxnSpPr>
        <xdr:cNvPr id="218" name="Straight Connector 217"/>
        <xdr:cNvCxnSpPr/>
      </xdr:nvCxnSpPr>
      <xdr:spPr>
        <a:xfrm flipH="1" flipV="1">
          <a:off x="3495675" y="4214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220</xdr:row>
      <xdr:rowOff>32918</xdr:rowOff>
    </xdr:from>
    <xdr:to>
      <xdr:col>4</xdr:col>
      <xdr:colOff>17861</xdr:colOff>
      <xdr:row>220</xdr:row>
      <xdr:rowOff>35719</xdr:rowOff>
    </xdr:to>
    <xdr:cxnSp macro="">
      <xdr:nvCxnSpPr>
        <xdr:cNvPr id="219" name="Straight Connector 218"/>
        <xdr:cNvCxnSpPr/>
      </xdr:nvCxnSpPr>
      <xdr:spPr>
        <a:xfrm flipH="1">
          <a:off x="2840831" y="42133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229</xdr:row>
      <xdr:rowOff>124558</xdr:rowOff>
    </xdr:from>
    <xdr:to>
      <xdr:col>3</xdr:col>
      <xdr:colOff>381000</xdr:colOff>
      <xdr:row>232</xdr:row>
      <xdr:rowOff>124558</xdr:rowOff>
    </xdr:to>
    <xdr:cxnSp macro="">
      <xdr:nvCxnSpPr>
        <xdr:cNvPr id="220" name="Straight Connector 219"/>
        <xdr:cNvCxnSpPr/>
      </xdr:nvCxnSpPr>
      <xdr:spPr>
        <a:xfrm flipH="1">
          <a:off x="2713986" y="43939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229</xdr:row>
      <xdr:rowOff>139212</xdr:rowOff>
    </xdr:from>
    <xdr:to>
      <xdr:col>4</xdr:col>
      <xdr:colOff>116773</xdr:colOff>
      <xdr:row>232</xdr:row>
      <xdr:rowOff>117231</xdr:rowOff>
    </xdr:to>
    <xdr:cxnSp macro="">
      <xdr:nvCxnSpPr>
        <xdr:cNvPr id="221" name="Straight Connector 220"/>
        <xdr:cNvCxnSpPr/>
      </xdr:nvCxnSpPr>
      <xdr:spPr>
        <a:xfrm>
          <a:off x="3162300" y="43954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232</xdr:row>
      <xdr:rowOff>118956</xdr:rowOff>
    </xdr:from>
    <xdr:to>
      <xdr:col>4</xdr:col>
      <xdr:colOff>134902</xdr:colOff>
      <xdr:row>232</xdr:row>
      <xdr:rowOff>118956</xdr:rowOff>
    </xdr:to>
    <xdr:cxnSp macro="">
      <xdr:nvCxnSpPr>
        <xdr:cNvPr id="222" name="Straight Connector 221"/>
        <xdr:cNvCxnSpPr/>
      </xdr:nvCxnSpPr>
      <xdr:spPr>
        <a:xfrm>
          <a:off x="2706955" y="44505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230</xdr:row>
      <xdr:rowOff>36635</xdr:rowOff>
    </xdr:from>
    <xdr:to>
      <xdr:col>3</xdr:col>
      <xdr:colOff>300404</xdr:colOff>
      <xdr:row>231</xdr:row>
      <xdr:rowOff>45337</xdr:rowOff>
    </xdr:to>
    <xdr:cxnSp macro="">
      <xdr:nvCxnSpPr>
        <xdr:cNvPr id="223" name="Straight Connector 222"/>
        <xdr:cNvCxnSpPr/>
      </xdr:nvCxnSpPr>
      <xdr:spPr>
        <a:xfrm flipH="1">
          <a:off x="3076209" y="44042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230</xdr:row>
      <xdr:rowOff>25749</xdr:rowOff>
    </xdr:from>
    <xdr:to>
      <xdr:col>3</xdr:col>
      <xdr:colOff>472128</xdr:colOff>
      <xdr:row>231</xdr:row>
      <xdr:rowOff>36635</xdr:rowOff>
    </xdr:to>
    <xdr:cxnSp macro="">
      <xdr:nvCxnSpPr>
        <xdr:cNvPr id="224" name="Straight Connector 223"/>
        <xdr:cNvCxnSpPr/>
      </xdr:nvCxnSpPr>
      <xdr:spPr>
        <a:xfrm>
          <a:off x="3235569" y="44031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176</xdr:row>
      <xdr:rowOff>305147</xdr:rowOff>
    </xdr:from>
    <xdr:to>
      <xdr:col>3</xdr:col>
      <xdr:colOff>130969</xdr:colOff>
      <xdr:row>178</xdr:row>
      <xdr:rowOff>11906</xdr:rowOff>
    </xdr:to>
    <xdr:cxnSp macro="">
      <xdr:nvCxnSpPr>
        <xdr:cNvPr id="225" name="Straight Arrow Connector 224"/>
        <xdr:cNvCxnSpPr/>
      </xdr:nvCxnSpPr>
      <xdr:spPr>
        <a:xfrm flipH="1" flipV="1">
          <a:off x="2904995"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145</xdr:row>
      <xdr:rowOff>305147</xdr:rowOff>
    </xdr:from>
    <xdr:to>
      <xdr:col>3</xdr:col>
      <xdr:colOff>130969</xdr:colOff>
      <xdr:row>147</xdr:row>
      <xdr:rowOff>11906</xdr:rowOff>
    </xdr:to>
    <xdr:cxnSp macro="">
      <xdr:nvCxnSpPr>
        <xdr:cNvPr id="226" name="Straight Arrow Connector 225"/>
        <xdr:cNvCxnSpPr/>
      </xdr:nvCxnSpPr>
      <xdr:spPr>
        <a:xfrm flipH="1" flipV="1">
          <a:off x="2904995"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114</xdr:row>
      <xdr:rowOff>305147</xdr:rowOff>
    </xdr:from>
    <xdr:to>
      <xdr:col>3</xdr:col>
      <xdr:colOff>130969</xdr:colOff>
      <xdr:row>116</xdr:row>
      <xdr:rowOff>11906</xdr:rowOff>
    </xdr:to>
    <xdr:cxnSp macro="">
      <xdr:nvCxnSpPr>
        <xdr:cNvPr id="227" name="Straight Arrow Connector 226"/>
        <xdr:cNvCxnSpPr/>
      </xdr:nvCxnSpPr>
      <xdr:spPr>
        <a:xfrm flipH="1" flipV="1">
          <a:off x="2904995"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4</xdr:row>
      <xdr:rowOff>305147</xdr:rowOff>
    </xdr:from>
    <xdr:to>
      <xdr:col>3</xdr:col>
      <xdr:colOff>130969</xdr:colOff>
      <xdr:row>6</xdr:row>
      <xdr:rowOff>11906</xdr:rowOff>
    </xdr:to>
    <xdr:cxnSp macro="">
      <xdr:nvCxnSpPr>
        <xdr:cNvPr id="228" name="Straight Arrow Connector 227"/>
        <xdr:cNvCxnSpPr/>
      </xdr:nvCxnSpPr>
      <xdr:spPr>
        <a:xfrm flipH="1" flipV="1">
          <a:off x="2904995" y="1124297"/>
          <a:ext cx="7274" cy="2211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4</xdr:row>
      <xdr:rowOff>305147</xdr:rowOff>
    </xdr:from>
    <xdr:to>
      <xdr:col>3</xdr:col>
      <xdr:colOff>130969</xdr:colOff>
      <xdr:row>6</xdr:row>
      <xdr:rowOff>11906</xdr:rowOff>
    </xdr:to>
    <xdr:cxnSp macro="">
      <xdr:nvCxnSpPr>
        <xdr:cNvPr id="229" name="Straight Arrow Connector 228"/>
        <xdr:cNvCxnSpPr/>
      </xdr:nvCxnSpPr>
      <xdr:spPr>
        <a:xfrm flipH="1" flipV="1">
          <a:off x="2904995" y="1124297"/>
          <a:ext cx="7274" cy="2211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30</xdr:row>
      <xdr:rowOff>305147</xdr:rowOff>
    </xdr:from>
    <xdr:to>
      <xdr:col>3</xdr:col>
      <xdr:colOff>130969</xdr:colOff>
      <xdr:row>32</xdr:row>
      <xdr:rowOff>11906</xdr:rowOff>
    </xdr:to>
    <xdr:cxnSp macro="">
      <xdr:nvCxnSpPr>
        <xdr:cNvPr id="230" name="Straight Arrow Connector 229"/>
        <xdr:cNvCxnSpPr/>
      </xdr:nvCxnSpPr>
      <xdr:spPr>
        <a:xfrm flipH="1" flipV="1">
          <a:off x="2904995"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56</xdr:row>
      <xdr:rowOff>305147</xdr:rowOff>
    </xdr:from>
    <xdr:to>
      <xdr:col>3</xdr:col>
      <xdr:colOff>130969</xdr:colOff>
      <xdr:row>58</xdr:row>
      <xdr:rowOff>11906</xdr:rowOff>
    </xdr:to>
    <xdr:cxnSp macro="">
      <xdr:nvCxnSpPr>
        <xdr:cNvPr id="231" name="Straight Arrow Connector 230"/>
        <xdr:cNvCxnSpPr/>
      </xdr:nvCxnSpPr>
      <xdr:spPr>
        <a:xfrm flipH="1" flipV="1">
          <a:off x="2904995"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82</xdr:row>
      <xdr:rowOff>305147</xdr:rowOff>
    </xdr:from>
    <xdr:to>
      <xdr:col>3</xdr:col>
      <xdr:colOff>130969</xdr:colOff>
      <xdr:row>84</xdr:row>
      <xdr:rowOff>11906</xdr:rowOff>
    </xdr:to>
    <xdr:cxnSp macro="">
      <xdr:nvCxnSpPr>
        <xdr:cNvPr id="232" name="Straight Arrow Connector 231"/>
        <xdr:cNvCxnSpPr/>
      </xdr:nvCxnSpPr>
      <xdr:spPr>
        <a:xfrm flipH="1" flipV="1">
          <a:off x="2904995"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385081</xdr:colOff>
      <xdr:row>234</xdr:row>
      <xdr:rowOff>297027</xdr:rowOff>
    </xdr:from>
    <xdr:to>
      <xdr:col>3</xdr:col>
      <xdr:colOff>392907</xdr:colOff>
      <xdr:row>238</xdr:row>
      <xdr:rowOff>154781</xdr:rowOff>
    </xdr:to>
    <xdr:cxnSp macro="">
      <xdr:nvCxnSpPr>
        <xdr:cNvPr id="233" name="Straight Connector 232"/>
        <xdr:cNvCxnSpPr/>
      </xdr:nvCxnSpPr>
      <xdr:spPr>
        <a:xfrm>
          <a:off x="3166381" y="4495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238</xdr:row>
      <xdr:rowOff>142875</xdr:rowOff>
    </xdr:from>
    <xdr:to>
      <xdr:col>4</xdr:col>
      <xdr:colOff>11908</xdr:colOff>
      <xdr:row>238</xdr:row>
      <xdr:rowOff>154782</xdr:rowOff>
    </xdr:to>
    <xdr:cxnSp macro="">
      <xdr:nvCxnSpPr>
        <xdr:cNvPr id="234" name="Straight Connector 233"/>
        <xdr:cNvCxnSpPr/>
      </xdr:nvCxnSpPr>
      <xdr:spPr>
        <a:xfrm flipH="1" flipV="1">
          <a:off x="3150395" y="4567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234</xdr:row>
      <xdr:rowOff>305147</xdr:rowOff>
    </xdr:from>
    <xdr:to>
      <xdr:col>3</xdr:col>
      <xdr:colOff>130969</xdr:colOff>
      <xdr:row>236</xdr:row>
      <xdr:rowOff>11906</xdr:rowOff>
    </xdr:to>
    <xdr:cxnSp macro="">
      <xdr:nvCxnSpPr>
        <xdr:cNvPr id="235" name="Straight Arrow Connector 234"/>
        <xdr:cNvCxnSpPr/>
      </xdr:nvCxnSpPr>
      <xdr:spPr>
        <a:xfrm flipH="1" flipV="1">
          <a:off x="2904995" y="4495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237</xdr:row>
      <xdr:rowOff>11907</xdr:rowOff>
    </xdr:from>
    <xdr:to>
      <xdr:col>3</xdr:col>
      <xdr:colOff>130969</xdr:colOff>
      <xdr:row>238</xdr:row>
      <xdr:rowOff>154782</xdr:rowOff>
    </xdr:to>
    <xdr:cxnSp macro="">
      <xdr:nvCxnSpPr>
        <xdr:cNvPr id="236" name="Straight Arrow Connector 235"/>
        <xdr:cNvCxnSpPr/>
      </xdr:nvCxnSpPr>
      <xdr:spPr>
        <a:xfrm>
          <a:off x="2912269" y="4535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241</xdr:row>
      <xdr:rowOff>89297</xdr:rowOff>
    </xdr:from>
    <xdr:to>
      <xdr:col>3</xdr:col>
      <xdr:colOff>178594</xdr:colOff>
      <xdr:row>242</xdr:row>
      <xdr:rowOff>59531</xdr:rowOff>
    </xdr:to>
    <xdr:cxnSp macro="">
      <xdr:nvCxnSpPr>
        <xdr:cNvPr id="237" name="Straight Connector 236"/>
        <xdr:cNvCxnSpPr/>
      </xdr:nvCxnSpPr>
      <xdr:spPr>
        <a:xfrm>
          <a:off x="2840831" y="4619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241</xdr:row>
      <xdr:rowOff>35719</xdr:rowOff>
    </xdr:from>
    <xdr:to>
      <xdr:col>3</xdr:col>
      <xdr:colOff>285750</xdr:colOff>
      <xdr:row>241</xdr:row>
      <xdr:rowOff>154781</xdr:rowOff>
    </xdr:to>
    <xdr:cxnSp macro="">
      <xdr:nvCxnSpPr>
        <xdr:cNvPr id="238" name="Straight Connector 237"/>
        <xdr:cNvCxnSpPr/>
      </xdr:nvCxnSpPr>
      <xdr:spPr>
        <a:xfrm>
          <a:off x="2876550" y="4613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241</xdr:row>
      <xdr:rowOff>44824</xdr:rowOff>
    </xdr:from>
    <xdr:to>
      <xdr:col>3</xdr:col>
      <xdr:colOff>67235</xdr:colOff>
      <xdr:row>243</xdr:row>
      <xdr:rowOff>156883</xdr:rowOff>
    </xdr:to>
    <xdr:cxnSp macro="">
      <xdr:nvCxnSpPr>
        <xdr:cNvPr id="239" name="Straight Connector 238"/>
        <xdr:cNvCxnSpPr/>
      </xdr:nvCxnSpPr>
      <xdr:spPr>
        <a:xfrm>
          <a:off x="2848535" y="4614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243</xdr:row>
      <xdr:rowOff>166690</xdr:rowOff>
    </xdr:from>
    <xdr:to>
      <xdr:col>4</xdr:col>
      <xdr:colOff>29308</xdr:colOff>
      <xdr:row>243</xdr:row>
      <xdr:rowOff>168519</xdr:rowOff>
    </xdr:to>
    <xdr:cxnSp macro="">
      <xdr:nvCxnSpPr>
        <xdr:cNvPr id="240" name="Straight Connector 239"/>
        <xdr:cNvCxnSpPr/>
      </xdr:nvCxnSpPr>
      <xdr:spPr>
        <a:xfrm>
          <a:off x="2840831" y="4664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241</xdr:row>
      <xdr:rowOff>41673</xdr:rowOff>
    </xdr:from>
    <xdr:to>
      <xdr:col>4</xdr:col>
      <xdr:colOff>12211</xdr:colOff>
      <xdr:row>244</xdr:row>
      <xdr:rowOff>0</xdr:rowOff>
    </xdr:to>
    <xdr:cxnSp macro="">
      <xdr:nvCxnSpPr>
        <xdr:cNvPr id="241" name="Straight Connector 240"/>
        <xdr:cNvCxnSpPr/>
      </xdr:nvCxnSpPr>
      <xdr:spPr>
        <a:xfrm flipH="1" flipV="1">
          <a:off x="3495675" y="4614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241</xdr:row>
      <xdr:rowOff>32918</xdr:rowOff>
    </xdr:from>
    <xdr:to>
      <xdr:col>4</xdr:col>
      <xdr:colOff>17861</xdr:colOff>
      <xdr:row>241</xdr:row>
      <xdr:rowOff>35719</xdr:rowOff>
    </xdr:to>
    <xdr:cxnSp macro="">
      <xdr:nvCxnSpPr>
        <xdr:cNvPr id="242" name="Straight Connector 241"/>
        <xdr:cNvCxnSpPr/>
      </xdr:nvCxnSpPr>
      <xdr:spPr>
        <a:xfrm flipH="1">
          <a:off x="2840831" y="4613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251</xdr:row>
      <xdr:rowOff>89297</xdr:rowOff>
    </xdr:from>
    <xdr:to>
      <xdr:col>3</xdr:col>
      <xdr:colOff>178594</xdr:colOff>
      <xdr:row>252</xdr:row>
      <xdr:rowOff>59531</xdr:rowOff>
    </xdr:to>
    <xdr:cxnSp macro="">
      <xdr:nvCxnSpPr>
        <xdr:cNvPr id="243" name="Straight Connector 242"/>
        <xdr:cNvCxnSpPr/>
      </xdr:nvCxnSpPr>
      <xdr:spPr>
        <a:xfrm>
          <a:off x="2840831" y="4809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251</xdr:row>
      <xdr:rowOff>35719</xdr:rowOff>
    </xdr:from>
    <xdr:to>
      <xdr:col>3</xdr:col>
      <xdr:colOff>285750</xdr:colOff>
      <xdr:row>251</xdr:row>
      <xdr:rowOff>154781</xdr:rowOff>
    </xdr:to>
    <xdr:cxnSp macro="">
      <xdr:nvCxnSpPr>
        <xdr:cNvPr id="244" name="Straight Connector 243"/>
        <xdr:cNvCxnSpPr/>
      </xdr:nvCxnSpPr>
      <xdr:spPr>
        <a:xfrm>
          <a:off x="2876550" y="4804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251</xdr:row>
      <xdr:rowOff>44824</xdr:rowOff>
    </xdr:from>
    <xdr:to>
      <xdr:col>3</xdr:col>
      <xdr:colOff>67235</xdr:colOff>
      <xdr:row>253</xdr:row>
      <xdr:rowOff>156883</xdr:rowOff>
    </xdr:to>
    <xdr:cxnSp macro="">
      <xdr:nvCxnSpPr>
        <xdr:cNvPr id="245" name="Straight Connector 244"/>
        <xdr:cNvCxnSpPr/>
      </xdr:nvCxnSpPr>
      <xdr:spPr>
        <a:xfrm>
          <a:off x="2848535" y="4805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253</xdr:row>
      <xdr:rowOff>166690</xdr:rowOff>
    </xdr:from>
    <xdr:to>
      <xdr:col>4</xdr:col>
      <xdr:colOff>29308</xdr:colOff>
      <xdr:row>253</xdr:row>
      <xdr:rowOff>168519</xdr:rowOff>
    </xdr:to>
    <xdr:cxnSp macro="">
      <xdr:nvCxnSpPr>
        <xdr:cNvPr id="246" name="Straight Connector 245"/>
        <xdr:cNvCxnSpPr/>
      </xdr:nvCxnSpPr>
      <xdr:spPr>
        <a:xfrm>
          <a:off x="2840831" y="48553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251</xdr:row>
      <xdr:rowOff>41673</xdr:rowOff>
    </xdr:from>
    <xdr:to>
      <xdr:col>4</xdr:col>
      <xdr:colOff>12211</xdr:colOff>
      <xdr:row>254</xdr:row>
      <xdr:rowOff>0</xdr:rowOff>
    </xdr:to>
    <xdr:cxnSp macro="">
      <xdr:nvCxnSpPr>
        <xdr:cNvPr id="247" name="Straight Connector 246"/>
        <xdr:cNvCxnSpPr/>
      </xdr:nvCxnSpPr>
      <xdr:spPr>
        <a:xfrm flipH="1" flipV="1">
          <a:off x="3495675" y="4804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251</xdr:row>
      <xdr:rowOff>32918</xdr:rowOff>
    </xdr:from>
    <xdr:to>
      <xdr:col>4</xdr:col>
      <xdr:colOff>17861</xdr:colOff>
      <xdr:row>251</xdr:row>
      <xdr:rowOff>35719</xdr:rowOff>
    </xdr:to>
    <xdr:cxnSp macro="">
      <xdr:nvCxnSpPr>
        <xdr:cNvPr id="248" name="Straight Connector 247"/>
        <xdr:cNvCxnSpPr/>
      </xdr:nvCxnSpPr>
      <xdr:spPr>
        <a:xfrm flipH="1">
          <a:off x="2840831" y="4803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234</xdr:row>
      <xdr:rowOff>171450</xdr:rowOff>
    </xdr:from>
    <xdr:to>
      <xdr:col>3</xdr:col>
      <xdr:colOff>504825</xdr:colOff>
      <xdr:row>239</xdr:row>
      <xdr:rowOff>47625</xdr:rowOff>
    </xdr:to>
    <xdr:pic>
      <xdr:nvPicPr>
        <xdr:cNvPr id="249"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4493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342900</xdr:colOff>
      <xdr:row>208</xdr:row>
      <xdr:rowOff>171450</xdr:rowOff>
    </xdr:from>
    <xdr:to>
      <xdr:col>3</xdr:col>
      <xdr:colOff>495300</xdr:colOff>
      <xdr:row>213</xdr:row>
      <xdr:rowOff>47625</xdr:rowOff>
    </xdr:to>
    <xdr:pic>
      <xdr:nvPicPr>
        <xdr:cNvPr id="25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39985950"/>
          <a:ext cx="152400"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246</xdr:row>
      <xdr:rowOff>89297</xdr:rowOff>
    </xdr:from>
    <xdr:to>
      <xdr:col>3</xdr:col>
      <xdr:colOff>178594</xdr:colOff>
      <xdr:row>247</xdr:row>
      <xdr:rowOff>59531</xdr:rowOff>
    </xdr:to>
    <xdr:cxnSp macro="">
      <xdr:nvCxnSpPr>
        <xdr:cNvPr id="251" name="Straight Connector 250"/>
        <xdr:cNvCxnSpPr/>
      </xdr:nvCxnSpPr>
      <xdr:spPr>
        <a:xfrm>
          <a:off x="2840831" y="4714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246</xdr:row>
      <xdr:rowOff>35719</xdr:rowOff>
    </xdr:from>
    <xdr:to>
      <xdr:col>3</xdr:col>
      <xdr:colOff>285750</xdr:colOff>
      <xdr:row>246</xdr:row>
      <xdr:rowOff>154781</xdr:rowOff>
    </xdr:to>
    <xdr:cxnSp macro="">
      <xdr:nvCxnSpPr>
        <xdr:cNvPr id="252" name="Straight Connector 251"/>
        <xdr:cNvCxnSpPr/>
      </xdr:nvCxnSpPr>
      <xdr:spPr>
        <a:xfrm>
          <a:off x="2876550" y="4708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246</xdr:row>
      <xdr:rowOff>44824</xdr:rowOff>
    </xdr:from>
    <xdr:to>
      <xdr:col>3</xdr:col>
      <xdr:colOff>67235</xdr:colOff>
      <xdr:row>248</xdr:row>
      <xdr:rowOff>156883</xdr:rowOff>
    </xdr:to>
    <xdr:cxnSp macro="">
      <xdr:nvCxnSpPr>
        <xdr:cNvPr id="253" name="Straight Connector 252"/>
        <xdr:cNvCxnSpPr/>
      </xdr:nvCxnSpPr>
      <xdr:spPr>
        <a:xfrm>
          <a:off x="2848535" y="4709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248</xdr:row>
      <xdr:rowOff>166690</xdr:rowOff>
    </xdr:from>
    <xdr:to>
      <xdr:col>4</xdr:col>
      <xdr:colOff>29308</xdr:colOff>
      <xdr:row>248</xdr:row>
      <xdr:rowOff>168519</xdr:rowOff>
    </xdr:to>
    <xdr:cxnSp macro="">
      <xdr:nvCxnSpPr>
        <xdr:cNvPr id="254" name="Straight Connector 253"/>
        <xdr:cNvCxnSpPr/>
      </xdr:nvCxnSpPr>
      <xdr:spPr>
        <a:xfrm>
          <a:off x="2840831" y="4760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246</xdr:row>
      <xdr:rowOff>41673</xdr:rowOff>
    </xdr:from>
    <xdr:to>
      <xdr:col>4</xdr:col>
      <xdr:colOff>12211</xdr:colOff>
      <xdr:row>249</xdr:row>
      <xdr:rowOff>0</xdr:rowOff>
    </xdr:to>
    <xdr:cxnSp macro="">
      <xdr:nvCxnSpPr>
        <xdr:cNvPr id="255" name="Straight Connector 254"/>
        <xdr:cNvCxnSpPr/>
      </xdr:nvCxnSpPr>
      <xdr:spPr>
        <a:xfrm flipH="1" flipV="1">
          <a:off x="3495675" y="4709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246</xdr:row>
      <xdr:rowOff>32918</xdr:rowOff>
    </xdr:from>
    <xdr:to>
      <xdr:col>4</xdr:col>
      <xdr:colOff>17861</xdr:colOff>
      <xdr:row>246</xdr:row>
      <xdr:rowOff>35719</xdr:rowOff>
    </xdr:to>
    <xdr:cxnSp macro="">
      <xdr:nvCxnSpPr>
        <xdr:cNvPr id="256" name="Straight Connector 255"/>
        <xdr:cNvCxnSpPr/>
      </xdr:nvCxnSpPr>
      <xdr:spPr>
        <a:xfrm flipH="1">
          <a:off x="2840831" y="4708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256</xdr:row>
      <xdr:rowOff>89297</xdr:rowOff>
    </xdr:from>
    <xdr:to>
      <xdr:col>3</xdr:col>
      <xdr:colOff>178594</xdr:colOff>
      <xdr:row>257</xdr:row>
      <xdr:rowOff>59531</xdr:rowOff>
    </xdr:to>
    <xdr:cxnSp macro="">
      <xdr:nvCxnSpPr>
        <xdr:cNvPr id="257" name="Straight Connector 256"/>
        <xdr:cNvCxnSpPr/>
      </xdr:nvCxnSpPr>
      <xdr:spPr>
        <a:xfrm>
          <a:off x="2840831" y="4904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256</xdr:row>
      <xdr:rowOff>35719</xdr:rowOff>
    </xdr:from>
    <xdr:to>
      <xdr:col>3</xdr:col>
      <xdr:colOff>285750</xdr:colOff>
      <xdr:row>256</xdr:row>
      <xdr:rowOff>154781</xdr:rowOff>
    </xdr:to>
    <xdr:cxnSp macro="">
      <xdr:nvCxnSpPr>
        <xdr:cNvPr id="258" name="Straight Connector 257"/>
        <xdr:cNvCxnSpPr/>
      </xdr:nvCxnSpPr>
      <xdr:spPr>
        <a:xfrm>
          <a:off x="2876550" y="4899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256</xdr:row>
      <xdr:rowOff>44824</xdr:rowOff>
    </xdr:from>
    <xdr:to>
      <xdr:col>3</xdr:col>
      <xdr:colOff>67235</xdr:colOff>
      <xdr:row>258</xdr:row>
      <xdr:rowOff>156883</xdr:rowOff>
    </xdr:to>
    <xdr:cxnSp macro="">
      <xdr:nvCxnSpPr>
        <xdr:cNvPr id="259" name="Straight Connector 258"/>
        <xdr:cNvCxnSpPr/>
      </xdr:nvCxnSpPr>
      <xdr:spPr>
        <a:xfrm>
          <a:off x="2848535" y="4900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258</xdr:row>
      <xdr:rowOff>166690</xdr:rowOff>
    </xdr:from>
    <xdr:to>
      <xdr:col>4</xdr:col>
      <xdr:colOff>29308</xdr:colOff>
      <xdr:row>258</xdr:row>
      <xdr:rowOff>168519</xdr:rowOff>
    </xdr:to>
    <xdr:cxnSp macro="">
      <xdr:nvCxnSpPr>
        <xdr:cNvPr id="260" name="Straight Connector 259"/>
        <xdr:cNvCxnSpPr/>
      </xdr:nvCxnSpPr>
      <xdr:spPr>
        <a:xfrm>
          <a:off x="2840831" y="4950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256</xdr:row>
      <xdr:rowOff>41673</xdr:rowOff>
    </xdr:from>
    <xdr:to>
      <xdr:col>4</xdr:col>
      <xdr:colOff>12211</xdr:colOff>
      <xdr:row>259</xdr:row>
      <xdr:rowOff>0</xdr:rowOff>
    </xdr:to>
    <xdr:cxnSp macro="">
      <xdr:nvCxnSpPr>
        <xdr:cNvPr id="261" name="Straight Connector 260"/>
        <xdr:cNvCxnSpPr/>
      </xdr:nvCxnSpPr>
      <xdr:spPr>
        <a:xfrm flipH="1" flipV="1">
          <a:off x="3495675" y="4900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256</xdr:row>
      <xdr:rowOff>32918</xdr:rowOff>
    </xdr:from>
    <xdr:to>
      <xdr:col>4</xdr:col>
      <xdr:colOff>17861</xdr:colOff>
      <xdr:row>256</xdr:row>
      <xdr:rowOff>35719</xdr:rowOff>
    </xdr:to>
    <xdr:cxnSp macro="">
      <xdr:nvCxnSpPr>
        <xdr:cNvPr id="262" name="Straight Connector 261"/>
        <xdr:cNvCxnSpPr/>
      </xdr:nvCxnSpPr>
      <xdr:spPr>
        <a:xfrm flipH="1">
          <a:off x="2840831" y="4899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261</xdr:row>
      <xdr:rowOff>89297</xdr:rowOff>
    </xdr:from>
    <xdr:to>
      <xdr:col>3</xdr:col>
      <xdr:colOff>178594</xdr:colOff>
      <xdr:row>262</xdr:row>
      <xdr:rowOff>59531</xdr:rowOff>
    </xdr:to>
    <xdr:cxnSp macro="">
      <xdr:nvCxnSpPr>
        <xdr:cNvPr id="263" name="Straight Connector 262"/>
        <xdr:cNvCxnSpPr/>
      </xdr:nvCxnSpPr>
      <xdr:spPr>
        <a:xfrm>
          <a:off x="2840831" y="5000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261</xdr:row>
      <xdr:rowOff>35719</xdr:rowOff>
    </xdr:from>
    <xdr:to>
      <xdr:col>3</xdr:col>
      <xdr:colOff>285750</xdr:colOff>
      <xdr:row>261</xdr:row>
      <xdr:rowOff>154781</xdr:rowOff>
    </xdr:to>
    <xdr:cxnSp macro="">
      <xdr:nvCxnSpPr>
        <xdr:cNvPr id="264" name="Straight Connector 263"/>
        <xdr:cNvCxnSpPr/>
      </xdr:nvCxnSpPr>
      <xdr:spPr>
        <a:xfrm>
          <a:off x="2876550" y="4994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261</xdr:row>
      <xdr:rowOff>44824</xdr:rowOff>
    </xdr:from>
    <xdr:to>
      <xdr:col>3</xdr:col>
      <xdr:colOff>67235</xdr:colOff>
      <xdr:row>263</xdr:row>
      <xdr:rowOff>156883</xdr:rowOff>
    </xdr:to>
    <xdr:cxnSp macro="">
      <xdr:nvCxnSpPr>
        <xdr:cNvPr id="265" name="Straight Connector 264"/>
        <xdr:cNvCxnSpPr/>
      </xdr:nvCxnSpPr>
      <xdr:spPr>
        <a:xfrm>
          <a:off x="2848535" y="4995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263</xdr:row>
      <xdr:rowOff>166690</xdr:rowOff>
    </xdr:from>
    <xdr:to>
      <xdr:col>4</xdr:col>
      <xdr:colOff>29308</xdr:colOff>
      <xdr:row>263</xdr:row>
      <xdr:rowOff>168519</xdr:rowOff>
    </xdr:to>
    <xdr:cxnSp macro="">
      <xdr:nvCxnSpPr>
        <xdr:cNvPr id="266" name="Straight Connector 265"/>
        <xdr:cNvCxnSpPr/>
      </xdr:nvCxnSpPr>
      <xdr:spPr>
        <a:xfrm>
          <a:off x="2840831" y="5045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261</xdr:row>
      <xdr:rowOff>41673</xdr:rowOff>
    </xdr:from>
    <xdr:to>
      <xdr:col>4</xdr:col>
      <xdr:colOff>12211</xdr:colOff>
      <xdr:row>264</xdr:row>
      <xdr:rowOff>0</xdr:rowOff>
    </xdr:to>
    <xdr:cxnSp macro="">
      <xdr:nvCxnSpPr>
        <xdr:cNvPr id="267" name="Straight Connector 266"/>
        <xdr:cNvCxnSpPr/>
      </xdr:nvCxnSpPr>
      <xdr:spPr>
        <a:xfrm flipH="1" flipV="1">
          <a:off x="3495675" y="4995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261</xdr:row>
      <xdr:rowOff>32918</xdr:rowOff>
    </xdr:from>
    <xdr:to>
      <xdr:col>4</xdr:col>
      <xdr:colOff>17861</xdr:colOff>
      <xdr:row>261</xdr:row>
      <xdr:rowOff>35719</xdr:rowOff>
    </xdr:to>
    <xdr:cxnSp macro="">
      <xdr:nvCxnSpPr>
        <xdr:cNvPr id="268" name="Straight Connector 267"/>
        <xdr:cNvCxnSpPr/>
      </xdr:nvCxnSpPr>
      <xdr:spPr>
        <a:xfrm flipH="1">
          <a:off x="2840831" y="4994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266</xdr:row>
      <xdr:rowOff>89297</xdr:rowOff>
    </xdr:from>
    <xdr:to>
      <xdr:col>3</xdr:col>
      <xdr:colOff>178594</xdr:colOff>
      <xdr:row>267</xdr:row>
      <xdr:rowOff>59531</xdr:rowOff>
    </xdr:to>
    <xdr:cxnSp macro="">
      <xdr:nvCxnSpPr>
        <xdr:cNvPr id="269" name="Straight Connector 268"/>
        <xdr:cNvCxnSpPr/>
      </xdr:nvCxnSpPr>
      <xdr:spPr>
        <a:xfrm>
          <a:off x="2840831" y="509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266</xdr:row>
      <xdr:rowOff>35719</xdr:rowOff>
    </xdr:from>
    <xdr:to>
      <xdr:col>3</xdr:col>
      <xdr:colOff>285750</xdr:colOff>
      <xdr:row>266</xdr:row>
      <xdr:rowOff>154781</xdr:rowOff>
    </xdr:to>
    <xdr:cxnSp macro="">
      <xdr:nvCxnSpPr>
        <xdr:cNvPr id="270" name="Straight Connector 269"/>
        <xdr:cNvCxnSpPr/>
      </xdr:nvCxnSpPr>
      <xdr:spPr>
        <a:xfrm>
          <a:off x="2876550" y="508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266</xdr:row>
      <xdr:rowOff>44824</xdr:rowOff>
    </xdr:from>
    <xdr:to>
      <xdr:col>3</xdr:col>
      <xdr:colOff>67235</xdr:colOff>
      <xdr:row>268</xdr:row>
      <xdr:rowOff>156883</xdr:rowOff>
    </xdr:to>
    <xdr:cxnSp macro="">
      <xdr:nvCxnSpPr>
        <xdr:cNvPr id="271" name="Straight Connector 270"/>
        <xdr:cNvCxnSpPr/>
      </xdr:nvCxnSpPr>
      <xdr:spPr>
        <a:xfrm>
          <a:off x="2848535" y="509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268</xdr:row>
      <xdr:rowOff>166690</xdr:rowOff>
    </xdr:from>
    <xdr:to>
      <xdr:col>4</xdr:col>
      <xdr:colOff>29308</xdr:colOff>
      <xdr:row>268</xdr:row>
      <xdr:rowOff>168519</xdr:rowOff>
    </xdr:to>
    <xdr:cxnSp macro="">
      <xdr:nvCxnSpPr>
        <xdr:cNvPr id="272" name="Straight Connector 271"/>
        <xdr:cNvCxnSpPr/>
      </xdr:nvCxnSpPr>
      <xdr:spPr>
        <a:xfrm>
          <a:off x="2840831" y="5141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266</xdr:row>
      <xdr:rowOff>41673</xdr:rowOff>
    </xdr:from>
    <xdr:to>
      <xdr:col>4</xdr:col>
      <xdr:colOff>12211</xdr:colOff>
      <xdr:row>269</xdr:row>
      <xdr:rowOff>0</xdr:rowOff>
    </xdr:to>
    <xdr:cxnSp macro="">
      <xdr:nvCxnSpPr>
        <xdr:cNvPr id="273" name="Straight Connector 272"/>
        <xdr:cNvCxnSpPr/>
      </xdr:nvCxnSpPr>
      <xdr:spPr>
        <a:xfrm flipH="1" flipV="1">
          <a:off x="3495675" y="509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266</xdr:row>
      <xdr:rowOff>32918</xdr:rowOff>
    </xdr:from>
    <xdr:to>
      <xdr:col>4</xdr:col>
      <xdr:colOff>17861</xdr:colOff>
      <xdr:row>266</xdr:row>
      <xdr:rowOff>35719</xdr:rowOff>
    </xdr:to>
    <xdr:cxnSp macro="">
      <xdr:nvCxnSpPr>
        <xdr:cNvPr id="274" name="Straight Connector 273"/>
        <xdr:cNvCxnSpPr/>
      </xdr:nvCxnSpPr>
      <xdr:spPr>
        <a:xfrm flipH="1">
          <a:off x="2840831" y="5089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271</xdr:row>
      <xdr:rowOff>35719</xdr:rowOff>
    </xdr:from>
    <xdr:to>
      <xdr:col>3</xdr:col>
      <xdr:colOff>428625</xdr:colOff>
      <xdr:row>273</xdr:row>
      <xdr:rowOff>178594</xdr:rowOff>
    </xdr:to>
    <xdr:cxnSp macro="">
      <xdr:nvCxnSpPr>
        <xdr:cNvPr id="275" name="Straight Connector 274"/>
        <xdr:cNvCxnSpPr/>
      </xdr:nvCxnSpPr>
      <xdr:spPr>
        <a:xfrm>
          <a:off x="3209925" y="51851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273</xdr:row>
      <xdr:rowOff>95249</xdr:rowOff>
    </xdr:from>
    <xdr:to>
      <xdr:col>3</xdr:col>
      <xdr:colOff>571500</xdr:colOff>
      <xdr:row>273</xdr:row>
      <xdr:rowOff>154780</xdr:rowOff>
    </xdr:to>
    <xdr:cxnSp macro="">
      <xdr:nvCxnSpPr>
        <xdr:cNvPr id="276" name="Straight Connector 275"/>
        <xdr:cNvCxnSpPr/>
      </xdr:nvCxnSpPr>
      <xdr:spPr>
        <a:xfrm flipH="1">
          <a:off x="3209925" y="52292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271</xdr:row>
      <xdr:rowOff>47625</xdr:rowOff>
    </xdr:from>
    <xdr:to>
      <xdr:col>3</xdr:col>
      <xdr:colOff>595313</xdr:colOff>
      <xdr:row>271</xdr:row>
      <xdr:rowOff>119062</xdr:rowOff>
    </xdr:to>
    <xdr:cxnSp macro="">
      <xdr:nvCxnSpPr>
        <xdr:cNvPr id="277" name="Straight Connector 276"/>
        <xdr:cNvCxnSpPr/>
      </xdr:nvCxnSpPr>
      <xdr:spPr>
        <a:xfrm>
          <a:off x="3209925" y="51863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274</xdr:row>
      <xdr:rowOff>297027</xdr:rowOff>
    </xdr:from>
    <xdr:to>
      <xdr:col>3</xdr:col>
      <xdr:colOff>392907</xdr:colOff>
      <xdr:row>278</xdr:row>
      <xdr:rowOff>154781</xdr:rowOff>
    </xdr:to>
    <xdr:cxnSp macro="">
      <xdr:nvCxnSpPr>
        <xdr:cNvPr id="278" name="Straight Connector 277"/>
        <xdr:cNvCxnSpPr/>
      </xdr:nvCxnSpPr>
      <xdr:spPr>
        <a:xfrm>
          <a:off x="3166381" y="5257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278</xdr:row>
      <xdr:rowOff>142875</xdr:rowOff>
    </xdr:from>
    <xdr:to>
      <xdr:col>4</xdr:col>
      <xdr:colOff>11908</xdr:colOff>
      <xdr:row>278</xdr:row>
      <xdr:rowOff>154782</xdr:rowOff>
    </xdr:to>
    <xdr:cxnSp macro="">
      <xdr:nvCxnSpPr>
        <xdr:cNvPr id="279" name="Straight Connector 278"/>
        <xdr:cNvCxnSpPr/>
      </xdr:nvCxnSpPr>
      <xdr:spPr>
        <a:xfrm flipH="1" flipV="1">
          <a:off x="3150395" y="5329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274</xdr:row>
      <xdr:rowOff>305147</xdr:rowOff>
    </xdr:from>
    <xdr:to>
      <xdr:col>3</xdr:col>
      <xdr:colOff>130969</xdr:colOff>
      <xdr:row>276</xdr:row>
      <xdr:rowOff>11906</xdr:rowOff>
    </xdr:to>
    <xdr:cxnSp macro="">
      <xdr:nvCxnSpPr>
        <xdr:cNvPr id="280" name="Straight Arrow Connector 279"/>
        <xdr:cNvCxnSpPr/>
      </xdr:nvCxnSpPr>
      <xdr:spPr>
        <a:xfrm flipH="1" flipV="1">
          <a:off x="2904995" y="5257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277</xdr:row>
      <xdr:rowOff>11907</xdr:rowOff>
    </xdr:from>
    <xdr:to>
      <xdr:col>3</xdr:col>
      <xdr:colOff>130969</xdr:colOff>
      <xdr:row>278</xdr:row>
      <xdr:rowOff>154782</xdr:rowOff>
    </xdr:to>
    <xdr:cxnSp macro="">
      <xdr:nvCxnSpPr>
        <xdr:cNvPr id="281" name="Straight Arrow Connector 280"/>
        <xdr:cNvCxnSpPr/>
      </xdr:nvCxnSpPr>
      <xdr:spPr>
        <a:xfrm>
          <a:off x="2912269" y="5297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281</xdr:row>
      <xdr:rowOff>89297</xdr:rowOff>
    </xdr:from>
    <xdr:to>
      <xdr:col>3</xdr:col>
      <xdr:colOff>178594</xdr:colOff>
      <xdr:row>282</xdr:row>
      <xdr:rowOff>59531</xdr:rowOff>
    </xdr:to>
    <xdr:cxnSp macro="">
      <xdr:nvCxnSpPr>
        <xdr:cNvPr id="282" name="Straight Connector 281"/>
        <xdr:cNvCxnSpPr/>
      </xdr:nvCxnSpPr>
      <xdr:spPr>
        <a:xfrm>
          <a:off x="2840831" y="5381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281</xdr:row>
      <xdr:rowOff>35719</xdr:rowOff>
    </xdr:from>
    <xdr:to>
      <xdr:col>3</xdr:col>
      <xdr:colOff>285750</xdr:colOff>
      <xdr:row>281</xdr:row>
      <xdr:rowOff>154781</xdr:rowOff>
    </xdr:to>
    <xdr:cxnSp macro="">
      <xdr:nvCxnSpPr>
        <xdr:cNvPr id="283" name="Straight Connector 282"/>
        <xdr:cNvCxnSpPr/>
      </xdr:nvCxnSpPr>
      <xdr:spPr>
        <a:xfrm>
          <a:off x="2876550" y="5375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281</xdr:row>
      <xdr:rowOff>44824</xdr:rowOff>
    </xdr:from>
    <xdr:to>
      <xdr:col>3</xdr:col>
      <xdr:colOff>67235</xdr:colOff>
      <xdr:row>283</xdr:row>
      <xdr:rowOff>156883</xdr:rowOff>
    </xdr:to>
    <xdr:cxnSp macro="">
      <xdr:nvCxnSpPr>
        <xdr:cNvPr id="284" name="Straight Connector 283"/>
        <xdr:cNvCxnSpPr/>
      </xdr:nvCxnSpPr>
      <xdr:spPr>
        <a:xfrm>
          <a:off x="2848535" y="5376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283</xdr:row>
      <xdr:rowOff>166690</xdr:rowOff>
    </xdr:from>
    <xdr:to>
      <xdr:col>4</xdr:col>
      <xdr:colOff>29308</xdr:colOff>
      <xdr:row>283</xdr:row>
      <xdr:rowOff>168519</xdr:rowOff>
    </xdr:to>
    <xdr:cxnSp macro="">
      <xdr:nvCxnSpPr>
        <xdr:cNvPr id="285" name="Straight Connector 284"/>
        <xdr:cNvCxnSpPr/>
      </xdr:nvCxnSpPr>
      <xdr:spPr>
        <a:xfrm>
          <a:off x="2840831" y="5426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281</xdr:row>
      <xdr:rowOff>41673</xdr:rowOff>
    </xdr:from>
    <xdr:to>
      <xdr:col>4</xdr:col>
      <xdr:colOff>12211</xdr:colOff>
      <xdr:row>284</xdr:row>
      <xdr:rowOff>0</xdr:rowOff>
    </xdr:to>
    <xdr:cxnSp macro="">
      <xdr:nvCxnSpPr>
        <xdr:cNvPr id="286" name="Straight Connector 285"/>
        <xdr:cNvCxnSpPr/>
      </xdr:nvCxnSpPr>
      <xdr:spPr>
        <a:xfrm flipH="1" flipV="1">
          <a:off x="3495675" y="5376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281</xdr:row>
      <xdr:rowOff>32918</xdr:rowOff>
    </xdr:from>
    <xdr:to>
      <xdr:col>4</xdr:col>
      <xdr:colOff>17861</xdr:colOff>
      <xdr:row>281</xdr:row>
      <xdr:rowOff>35719</xdr:rowOff>
    </xdr:to>
    <xdr:cxnSp macro="">
      <xdr:nvCxnSpPr>
        <xdr:cNvPr id="287" name="Straight Connector 286"/>
        <xdr:cNvCxnSpPr/>
      </xdr:nvCxnSpPr>
      <xdr:spPr>
        <a:xfrm flipH="1">
          <a:off x="2840831" y="5375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291</xdr:row>
      <xdr:rowOff>89297</xdr:rowOff>
    </xdr:from>
    <xdr:to>
      <xdr:col>3</xdr:col>
      <xdr:colOff>178594</xdr:colOff>
      <xdr:row>292</xdr:row>
      <xdr:rowOff>59531</xdr:rowOff>
    </xdr:to>
    <xdr:cxnSp macro="">
      <xdr:nvCxnSpPr>
        <xdr:cNvPr id="288" name="Straight Connector 287"/>
        <xdr:cNvCxnSpPr/>
      </xdr:nvCxnSpPr>
      <xdr:spPr>
        <a:xfrm>
          <a:off x="2840831" y="5571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291</xdr:row>
      <xdr:rowOff>35719</xdr:rowOff>
    </xdr:from>
    <xdr:to>
      <xdr:col>3</xdr:col>
      <xdr:colOff>285750</xdr:colOff>
      <xdr:row>291</xdr:row>
      <xdr:rowOff>154781</xdr:rowOff>
    </xdr:to>
    <xdr:cxnSp macro="">
      <xdr:nvCxnSpPr>
        <xdr:cNvPr id="289" name="Straight Connector 288"/>
        <xdr:cNvCxnSpPr/>
      </xdr:nvCxnSpPr>
      <xdr:spPr>
        <a:xfrm>
          <a:off x="2876550" y="5566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291</xdr:row>
      <xdr:rowOff>44824</xdr:rowOff>
    </xdr:from>
    <xdr:to>
      <xdr:col>3</xdr:col>
      <xdr:colOff>67235</xdr:colOff>
      <xdr:row>293</xdr:row>
      <xdr:rowOff>156883</xdr:rowOff>
    </xdr:to>
    <xdr:cxnSp macro="">
      <xdr:nvCxnSpPr>
        <xdr:cNvPr id="290" name="Straight Connector 289"/>
        <xdr:cNvCxnSpPr/>
      </xdr:nvCxnSpPr>
      <xdr:spPr>
        <a:xfrm>
          <a:off x="2848535" y="5567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293</xdr:row>
      <xdr:rowOff>166690</xdr:rowOff>
    </xdr:from>
    <xdr:to>
      <xdr:col>4</xdr:col>
      <xdr:colOff>29308</xdr:colOff>
      <xdr:row>293</xdr:row>
      <xdr:rowOff>168519</xdr:rowOff>
    </xdr:to>
    <xdr:cxnSp macro="">
      <xdr:nvCxnSpPr>
        <xdr:cNvPr id="291" name="Straight Connector 290"/>
        <xdr:cNvCxnSpPr/>
      </xdr:nvCxnSpPr>
      <xdr:spPr>
        <a:xfrm>
          <a:off x="2840831" y="56173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291</xdr:row>
      <xdr:rowOff>41673</xdr:rowOff>
    </xdr:from>
    <xdr:to>
      <xdr:col>4</xdr:col>
      <xdr:colOff>12211</xdr:colOff>
      <xdr:row>294</xdr:row>
      <xdr:rowOff>0</xdr:rowOff>
    </xdr:to>
    <xdr:cxnSp macro="">
      <xdr:nvCxnSpPr>
        <xdr:cNvPr id="292" name="Straight Connector 291"/>
        <xdr:cNvCxnSpPr/>
      </xdr:nvCxnSpPr>
      <xdr:spPr>
        <a:xfrm flipH="1" flipV="1">
          <a:off x="3495675" y="5566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291</xdr:row>
      <xdr:rowOff>32918</xdr:rowOff>
    </xdr:from>
    <xdr:to>
      <xdr:col>4</xdr:col>
      <xdr:colOff>17861</xdr:colOff>
      <xdr:row>291</xdr:row>
      <xdr:rowOff>35719</xdr:rowOff>
    </xdr:to>
    <xdr:cxnSp macro="">
      <xdr:nvCxnSpPr>
        <xdr:cNvPr id="293" name="Straight Connector 292"/>
        <xdr:cNvCxnSpPr/>
      </xdr:nvCxnSpPr>
      <xdr:spPr>
        <a:xfrm flipH="1">
          <a:off x="2840831" y="5565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274</xdr:row>
      <xdr:rowOff>171450</xdr:rowOff>
    </xdr:from>
    <xdr:to>
      <xdr:col>3</xdr:col>
      <xdr:colOff>504825</xdr:colOff>
      <xdr:row>279</xdr:row>
      <xdr:rowOff>47625</xdr:rowOff>
    </xdr:to>
    <xdr:pic>
      <xdr:nvPicPr>
        <xdr:cNvPr id="294"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5255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286</xdr:row>
      <xdr:rowOff>89297</xdr:rowOff>
    </xdr:from>
    <xdr:to>
      <xdr:col>3</xdr:col>
      <xdr:colOff>178594</xdr:colOff>
      <xdr:row>287</xdr:row>
      <xdr:rowOff>59531</xdr:rowOff>
    </xdr:to>
    <xdr:cxnSp macro="">
      <xdr:nvCxnSpPr>
        <xdr:cNvPr id="295" name="Straight Connector 294"/>
        <xdr:cNvCxnSpPr/>
      </xdr:nvCxnSpPr>
      <xdr:spPr>
        <a:xfrm>
          <a:off x="2840831" y="5476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286</xdr:row>
      <xdr:rowOff>35719</xdr:rowOff>
    </xdr:from>
    <xdr:to>
      <xdr:col>3</xdr:col>
      <xdr:colOff>285750</xdr:colOff>
      <xdr:row>286</xdr:row>
      <xdr:rowOff>154781</xdr:rowOff>
    </xdr:to>
    <xdr:cxnSp macro="">
      <xdr:nvCxnSpPr>
        <xdr:cNvPr id="296" name="Straight Connector 295"/>
        <xdr:cNvCxnSpPr/>
      </xdr:nvCxnSpPr>
      <xdr:spPr>
        <a:xfrm>
          <a:off x="2876550" y="5470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286</xdr:row>
      <xdr:rowOff>44824</xdr:rowOff>
    </xdr:from>
    <xdr:to>
      <xdr:col>3</xdr:col>
      <xdr:colOff>67235</xdr:colOff>
      <xdr:row>288</xdr:row>
      <xdr:rowOff>156883</xdr:rowOff>
    </xdr:to>
    <xdr:cxnSp macro="">
      <xdr:nvCxnSpPr>
        <xdr:cNvPr id="297" name="Straight Connector 296"/>
        <xdr:cNvCxnSpPr/>
      </xdr:nvCxnSpPr>
      <xdr:spPr>
        <a:xfrm>
          <a:off x="2848535" y="5471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288</xdr:row>
      <xdr:rowOff>166690</xdr:rowOff>
    </xdr:from>
    <xdr:to>
      <xdr:col>4</xdr:col>
      <xdr:colOff>29308</xdr:colOff>
      <xdr:row>288</xdr:row>
      <xdr:rowOff>168519</xdr:rowOff>
    </xdr:to>
    <xdr:cxnSp macro="">
      <xdr:nvCxnSpPr>
        <xdr:cNvPr id="298" name="Straight Connector 297"/>
        <xdr:cNvCxnSpPr/>
      </xdr:nvCxnSpPr>
      <xdr:spPr>
        <a:xfrm>
          <a:off x="2840831" y="5522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286</xdr:row>
      <xdr:rowOff>41673</xdr:rowOff>
    </xdr:from>
    <xdr:to>
      <xdr:col>4</xdr:col>
      <xdr:colOff>12211</xdr:colOff>
      <xdr:row>289</xdr:row>
      <xdr:rowOff>0</xdr:rowOff>
    </xdr:to>
    <xdr:cxnSp macro="">
      <xdr:nvCxnSpPr>
        <xdr:cNvPr id="299" name="Straight Connector 298"/>
        <xdr:cNvCxnSpPr/>
      </xdr:nvCxnSpPr>
      <xdr:spPr>
        <a:xfrm flipH="1" flipV="1">
          <a:off x="3495675" y="5471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286</xdr:row>
      <xdr:rowOff>32918</xdr:rowOff>
    </xdr:from>
    <xdr:to>
      <xdr:col>4</xdr:col>
      <xdr:colOff>17861</xdr:colOff>
      <xdr:row>286</xdr:row>
      <xdr:rowOff>35719</xdr:rowOff>
    </xdr:to>
    <xdr:cxnSp macro="">
      <xdr:nvCxnSpPr>
        <xdr:cNvPr id="300" name="Straight Connector 299"/>
        <xdr:cNvCxnSpPr/>
      </xdr:nvCxnSpPr>
      <xdr:spPr>
        <a:xfrm flipH="1">
          <a:off x="2840831" y="5470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296</xdr:row>
      <xdr:rowOff>89297</xdr:rowOff>
    </xdr:from>
    <xdr:to>
      <xdr:col>3</xdr:col>
      <xdr:colOff>178594</xdr:colOff>
      <xdr:row>297</xdr:row>
      <xdr:rowOff>59531</xdr:rowOff>
    </xdr:to>
    <xdr:cxnSp macro="">
      <xdr:nvCxnSpPr>
        <xdr:cNvPr id="301" name="Straight Connector 300"/>
        <xdr:cNvCxnSpPr/>
      </xdr:nvCxnSpPr>
      <xdr:spPr>
        <a:xfrm>
          <a:off x="2840831" y="5666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296</xdr:row>
      <xdr:rowOff>35719</xdr:rowOff>
    </xdr:from>
    <xdr:to>
      <xdr:col>3</xdr:col>
      <xdr:colOff>285750</xdr:colOff>
      <xdr:row>296</xdr:row>
      <xdr:rowOff>154781</xdr:rowOff>
    </xdr:to>
    <xdr:cxnSp macro="">
      <xdr:nvCxnSpPr>
        <xdr:cNvPr id="302" name="Straight Connector 301"/>
        <xdr:cNvCxnSpPr/>
      </xdr:nvCxnSpPr>
      <xdr:spPr>
        <a:xfrm>
          <a:off x="2876550" y="5661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296</xdr:row>
      <xdr:rowOff>44824</xdr:rowOff>
    </xdr:from>
    <xdr:to>
      <xdr:col>3</xdr:col>
      <xdr:colOff>67235</xdr:colOff>
      <xdr:row>298</xdr:row>
      <xdr:rowOff>156883</xdr:rowOff>
    </xdr:to>
    <xdr:cxnSp macro="">
      <xdr:nvCxnSpPr>
        <xdr:cNvPr id="303" name="Straight Connector 302"/>
        <xdr:cNvCxnSpPr/>
      </xdr:nvCxnSpPr>
      <xdr:spPr>
        <a:xfrm>
          <a:off x="2848535" y="5662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298</xdr:row>
      <xdr:rowOff>166690</xdr:rowOff>
    </xdr:from>
    <xdr:to>
      <xdr:col>4</xdr:col>
      <xdr:colOff>29308</xdr:colOff>
      <xdr:row>298</xdr:row>
      <xdr:rowOff>168519</xdr:rowOff>
    </xdr:to>
    <xdr:cxnSp macro="">
      <xdr:nvCxnSpPr>
        <xdr:cNvPr id="304" name="Straight Connector 303"/>
        <xdr:cNvCxnSpPr/>
      </xdr:nvCxnSpPr>
      <xdr:spPr>
        <a:xfrm>
          <a:off x="2840831" y="5712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296</xdr:row>
      <xdr:rowOff>41673</xdr:rowOff>
    </xdr:from>
    <xdr:to>
      <xdr:col>4</xdr:col>
      <xdr:colOff>12211</xdr:colOff>
      <xdr:row>299</xdr:row>
      <xdr:rowOff>0</xdr:rowOff>
    </xdr:to>
    <xdr:cxnSp macro="">
      <xdr:nvCxnSpPr>
        <xdr:cNvPr id="305" name="Straight Connector 304"/>
        <xdr:cNvCxnSpPr/>
      </xdr:nvCxnSpPr>
      <xdr:spPr>
        <a:xfrm flipH="1" flipV="1">
          <a:off x="3495675" y="5662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296</xdr:row>
      <xdr:rowOff>32918</xdr:rowOff>
    </xdr:from>
    <xdr:to>
      <xdr:col>4</xdr:col>
      <xdr:colOff>17861</xdr:colOff>
      <xdr:row>296</xdr:row>
      <xdr:rowOff>35719</xdr:rowOff>
    </xdr:to>
    <xdr:cxnSp macro="">
      <xdr:nvCxnSpPr>
        <xdr:cNvPr id="306" name="Straight Connector 305"/>
        <xdr:cNvCxnSpPr/>
      </xdr:nvCxnSpPr>
      <xdr:spPr>
        <a:xfrm flipH="1">
          <a:off x="2840831" y="5661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301</xdr:row>
      <xdr:rowOff>89297</xdr:rowOff>
    </xdr:from>
    <xdr:to>
      <xdr:col>3</xdr:col>
      <xdr:colOff>178594</xdr:colOff>
      <xdr:row>302</xdr:row>
      <xdr:rowOff>59531</xdr:rowOff>
    </xdr:to>
    <xdr:cxnSp macro="">
      <xdr:nvCxnSpPr>
        <xdr:cNvPr id="307" name="Straight Connector 306"/>
        <xdr:cNvCxnSpPr/>
      </xdr:nvCxnSpPr>
      <xdr:spPr>
        <a:xfrm>
          <a:off x="2840831" y="5762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301</xdr:row>
      <xdr:rowOff>35719</xdr:rowOff>
    </xdr:from>
    <xdr:to>
      <xdr:col>3</xdr:col>
      <xdr:colOff>285750</xdr:colOff>
      <xdr:row>301</xdr:row>
      <xdr:rowOff>154781</xdr:rowOff>
    </xdr:to>
    <xdr:cxnSp macro="">
      <xdr:nvCxnSpPr>
        <xdr:cNvPr id="308" name="Straight Connector 307"/>
        <xdr:cNvCxnSpPr/>
      </xdr:nvCxnSpPr>
      <xdr:spPr>
        <a:xfrm>
          <a:off x="2876550" y="5756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301</xdr:row>
      <xdr:rowOff>44824</xdr:rowOff>
    </xdr:from>
    <xdr:to>
      <xdr:col>3</xdr:col>
      <xdr:colOff>67235</xdr:colOff>
      <xdr:row>303</xdr:row>
      <xdr:rowOff>156883</xdr:rowOff>
    </xdr:to>
    <xdr:cxnSp macro="">
      <xdr:nvCxnSpPr>
        <xdr:cNvPr id="309" name="Straight Connector 308"/>
        <xdr:cNvCxnSpPr/>
      </xdr:nvCxnSpPr>
      <xdr:spPr>
        <a:xfrm>
          <a:off x="2848535" y="5757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303</xdr:row>
      <xdr:rowOff>166690</xdr:rowOff>
    </xdr:from>
    <xdr:to>
      <xdr:col>4</xdr:col>
      <xdr:colOff>29308</xdr:colOff>
      <xdr:row>303</xdr:row>
      <xdr:rowOff>168519</xdr:rowOff>
    </xdr:to>
    <xdr:cxnSp macro="">
      <xdr:nvCxnSpPr>
        <xdr:cNvPr id="310" name="Straight Connector 309"/>
        <xdr:cNvCxnSpPr/>
      </xdr:nvCxnSpPr>
      <xdr:spPr>
        <a:xfrm>
          <a:off x="2840831" y="5807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301</xdr:row>
      <xdr:rowOff>41673</xdr:rowOff>
    </xdr:from>
    <xdr:to>
      <xdr:col>4</xdr:col>
      <xdr:colOff>12211</xdr:colOff>
      <xdr:row>304</xdr:row>
      <xdr:rowOff>0</xdr:rowOff>
    </xdr:to>
    <xdr:cxnSp macro="">
      <xdr:nvCxnSpPr>
        <xdr:cNvPr id="311" name="Straight Connector 310"/>
        <xdr:cNvCxnSpPr/>
      </xdr:nvCxnSpPr>
      <xdr:spPr>
        <a:xfrm flipH="1" flipV="1">
          <a:off x="3495675" y="5757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301</xdr:row>
      <xdr:rowOff>32918</xdr:rowOff>
    </xdr:from>
    <xdr:to>
      <xdr:col>4</xdr:col>
      <xdr:colOff>17861</xdr:colOff>
      <xdr:row>301</xdr:row>
      <xdr:rowOff>35719</xdr:rowOff>
    </xdr:to>
    <xdr:cxnSp macro="">
      <xdr:nvCxnSpPr>
        <xdr:cNvPr id="312" name="Straight Connector 311"/>
        <xdr:cNvCxnSpPr/>
      </xdr:nvCxnSpPr>
      <xdr:spPr>
        <a:xfrm flipH="1">
          <a:off x="2840831" y="5756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306</xdr:row>
      <xdr:rowOff>89297</xdr:rowOff>
    </xdr:from>
    <xdr:to>
      <xdr:col>3</xdr:col>
      <xdr:colOff>178594</xdr:colOff>
      <xdr:row>307</xdr:row>
      <xdr:rowOff>59531</xdr:rowOff>
    </xdr:to>
    <xdr:cxnSp macro="">
      <xdr:nvCxnSpPr>
        <xdr:cNvPr id="313" name="Straight Connector 312"/>
        <xdr:cNvCxnSpPr/>
      </xdr:nvCxnSpPr>
      <xdr:spPr>
        <a:xfrm>
          <a:off x="2840831" y="5857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306</xdr:row>
      <xdr:rowOff>35719</xdr:rowOff>
    </xdr:from>
    <xdr:to>
      <xdr:col>3</xdr:col>
      <xdr:colOff>285750</xdr:colOff>
      <xdr:row>306</xdr:row>
      <xdr:rowOff>154781</xdr:rowOff>
    </xdr:to>
    <xdr:cxnSp macro="">
      <xdr:nvCxnSpPr>
        <xdr:cNvPr id="314" name="Straight Connector 313"/>
        <xdr:cNvCxnSpPr/>
      </xdr:nvCxnSpPr>
      <xdr:spPr>
        <a:xfrm>
          <a:off x="2876550" y="5851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306</xdr:row>
      <xdr:rowOff>44824</xdr:rowOff>
    </xdr:from>
    <xdr:to>
      <xdr:col>3</xdr:col>
      <xdr:colOff>67235</xdr:colOff>
      <xdr:row>308</xdr:row>
      <xdr:rowOff>156883</xdr:rowOff>
    </xdr:to>
    <xdr:cxnSp macro="">
      <xdr:nvCxnSpPr>
        <xdr:cNvPr id="315" name="Straight Connector 314"/>
        <xdr:cNvCxnSpPr/>
      </xdr:nvCxnSpPr>
      <xdr:spPr>
        <a:xfrm>
          <a:off x="2848535" y="5852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308</xdr:row>
      <xdr:rowOff>166690</xdr:rowOff>
    </xdr:from>
    <xdr:to>
      <xdr:col>4</xdr:col>
      <xdr:colOff>29308</xdr:colOff>
      <xdr:row>308</xdr:row>
      <xdr:rowOff>168519</xdr:rowOff>
    </xdr:to>
    <xdr:cxnSp macro="">
      <xdr:nvCxnSpPr>
        <xdr:cNvPr id="316" name="Straight Connector 315"/>
        <xdr:cNvCxnSpPr/>
      </xdr:nvCxnSpPr>
      <xdr:spPr>
        <a:xfrm>
          <a:off x="2840831" y="5903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306</xdr:row>
      <xdr:rowOff>41673</xdr:rowOff>
    </xdr:from>
    <xdr:to>
      <xdr:col>4</xdr:col>
      <xdr:colOff>12211</xdr:colOff>
      <xdr:row>309</xdr:row>
      <xdr:rowOff>0</xdr:rowOff>
    </xdr:to>
    <xdr:cxnSp macro="">
      <xdr:nvCxnSpPr>
        <xdr:cNvPr id="317" name="Straight Connector 316"/>
        <xdr:cNvCxnSpPr/>
      </xdr:nvCxnSpPr>
      <xdr:spPr>
        <a:xfrm flipH="1" flipV="1">
          <a:off x="3495675" y="5852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306</xdr:row>
      <xdr:rowOff>32918</xdr:rowOff>
    </xdr:from>
    <xdr:to>
      <xdr:col>4</xdr:col>
      <xdr:colOff>17861</xdr:colOff>
      <xdr:row>306</xdr:row>
      <xdr:rowOff>35719</xdr:rowOff>
    </xdr:to>
    <xdr:cxnSp macro="">
      <xdr:nvCxnSpPr>
        <xdr:cNvPr id="318" name="Straight Connector 317"/>
        <xdr:cNvCxnSpPr/>
      </xdr:nvCxnSpPr>
      <xdr:spPr>
        <a:xfrm flipH="1">
          <a:off x="2840831" y="5851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311</xdr:row>
      <xdr:rowOff>35719</xdr:rowOff>
    </xdr:from>
    <xdr:to>
      <xdr:col>3</xdr:col>
      <xdr:colOff>428625</xdr:colOff>
      <xdr:row>313</xdr:row>
      <xdr:rowOff>178594</xdr:rowOff>
    </xdr:to>
    <xdr:cxnSp macro="">
      <xdr:nvCxnSpPr>
        <xdr:cNvPr id="319" name="Straight Connector 318"/>
        <xdr:cNvCxnSpPr/>
      </xdr:nvCxnSpPr>
      <xdr:spPr>
        <a:xfrm>
          <a:off x="3209925" y="59471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313</xdr:row>
      <xdr:rowOff>95249</xdr:rowOff>
    </xdr:from>
    <xdr:to>
      <xdr:col>3</xdr:col>
      <xdr:colOff>571500</xdr:colOff>
      <xdr:row>313</xdr:row>
      <xdr:rowOff>154780</xdr:rowOff>
    </xdr:to>
    <xdr:cxnSp macro="">
      <xdr:nvCxnSpPr>
        <xdr:cNvPr id="320" name="Straight Connector 319"/>
        <xdr:cNvCxnSpPr/>
      </xdr:nvCxnSpPr>
      <xdr:spPr>
        <a:xfrm flipH="1">
          <a:off x="3209925" y="59912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311</xdr:row>
      <xdr:rowOff>47625</xdr:rowOff>
    </xdr:from>
    <xdr:to>
      <xdr:col>3</xdr:col>
      <xdr:colOff>595313</xdr:colOff>
      <xdr:row>311</xdr:row>
      <xdr:rowOff>119062</xdr:rowOff>
    </xdr:to>
    <xdr:cxnSp macro="">
      <xdr:nvCxnSpPr>
        <xdr:cNvPr id="321" name="Straight Connector 320"/>
        <xdr:cNvCxnSpPr/>
      </xdr:nvCxnSpPr>
      <xdr:spPr>
        <a:xfrm>
          <a:off x="3209925" y="59483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314</xdr:row>
      <xdr:rowOff>297027</xdr:rowOff>
    </xdr:from>
    <xdr:to>
      <xdr:col>3</xdr:col>
      <xdr:colOff>392907</xdr:colOff>
      <xdr:row>318</xdr:row>
      <xdr:rowOff>154781</xdr:rowOff>
    </xdr:to>
    <xdr:cxnSp macro="">
      <xdr:nvCxnSpPr>
        <xdr:cNvPr id="322" name="Straight Connector 321"/>
        <xdr:cNvCxnSpPr/>
      </xdr:nvCxnSpPr>
      <xdr:spPr>
        <a:xfrm>
          <a:off x="3166381" y="601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318</xdr:row>
      <xdr:rowOff>142875</xdr:rowOff>
    </xdr:from>
    <xdr:to>
      <xdr:col>4</xdr:col>
      <xdr:colOff>11908</xdr:colOff>
      <xdr:row>318</xdr:row>
      <xdr:rowOff>154782</xdr:rowOff>
    </xdr:to>
    <xdr:cxnSp macro="">
      <xdr:nvCxnSpPr>
        <xdr:cNvPr id="323" name="Straight Connector 322"/>
        <xdr:cNvCxnSpPr/>
      </xdr:nvCxnSpPr>
      <xdr:spPr>
        <a:xfrm flipH="1" flipV="1">
          <a:off x="3150395" y="6091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314</xdr:row>
      <xdr:rowOff>305147</xdr:rowOff>
    </xdr:from>
    <xdr:to>
      <xdr:col>3</xdr:col>
      <xdr:colOff>130969</xdr:colOff>
      <xdr:row>316</xdr:row>
      <xdr:rowOff>11906</xdr:rowOff>
    </xdr:to>
    <xdr:cxnSp macro="">
      <xdr:nvCxnSpPr>
        <xdr:cNvPr id="324" name="Straight Arrow Connector 323"/>
        <xdr:cNvCxnSpPr/>
      </xdr:nvCxnSpPr>
      <xdr:spPr>
        <a:xfrm flipH="1" flipV="1">
          <a:off x="2904995" y="601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317</xdr:row>
      <xdr:rowOff>11907</xdr:rowOff>
    </xdr:from>
    <xdr:to>
      <xdr:col>3</xdr:col>
      <xdr:colOff>130969</xdr:colOff>
      <xdr:row>318</xdr:row>
      <xdr:rowOff>154782</xdr:rowOff>
    </xdr:to>
    <xdr:cxnSp macro="">
      <xdr:nvCxnSpPr>
        <xdr:cNvPr id="325" name="Straight Arrow Connector 324"/>
        <xdr:cNvCxnSpPr/>
      </xdr:nvCxnSpPr>
      <xdr:spPr>
        <a:xfrm>
          <a:off x="2912269" y="605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321</xdr:row>
      <xdr:rowOff>89297</xdr:rowOff>
    </xdr:from>
    <xdr:to>
      <xdr:col>3</xdr:col>
      <xdr:colOff>178594</xdr:colOff>
      <xdr:row>322</xdr:row>
      <xdr:rowOff>59531</xdr:rowOff>
    </xdr:to>
    <xdr:cxnSp macro="">
      <xdr:nvCxnSpPr>
        <xdr:cNvPr id="326" name="Straight Connector 325"/>
        <xdr:cNvCxnSpPr/>
      </xdr:nvCxnSpPr>
      <xdr:spPr>
        <a:xfrm>
          <a:off x="2840831" y="6143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321</xdr:row>
      <xdr:rowOff>35719</xdr:rowOff>
    </xdr:from>
    <xdr:to>
      <xdr:col>3</xdr:col>
      <xdr:colOff>285750</xdr:colOff>
      <xdr:row>321</xdr:row>
      <xdr:rowOff>154781</xdr:rowOff>
    </xdr:to>
    <xdr:cxnSp macro="">
      <xdr:nvCxnSpPr>
        <xdr:cNvPr id="327" name="Straight Connector 326"/>
        <xdr:cNvCxnSpPr/>
      </xdr:nvCxnSpPr>
      <xdr:spPr>
        <a:xfrm>
          <a:off x="2876550" y="6137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321</xdr:row>
      <xdr:rowOff>44824</xdr:rowOff>
    </xdr:from>
    <xdr:to>
      <xdr:col>3</xdr:col>
      <xdr:colOff>67235</xdr:colOff>
      <xdr:row>323</xdr:row>
      <xdr:rowOff>156883</xdr:rowOff>
    </xdr:to>
    <xdr:cxnSp macro="">
      <xdr:nvCxnSpPr>
        <xdr:cNvPr id="328" name="Straight Connector 327"/>
        <xdr:cNvCxnSpPr/>
      </xdr:nvCxnSpPr>
      <xdr:spPr>
        <a:xfrm>
          <a:off x="2848535" y="6138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323</xdr:row>
      <xdr:rowOff>166690</xdr:rowOff>
    </xdr:from>
    <xdr:to>
      <xdr:col>4</xdr:col>
      <xdr:colOff>29308</xdr:colOff>
      <xdr:row>323</xdr:row>
      <xdr:rowOff>168519</xdr:rowOff>
    </xdr:to>
    <xdr:cxnSp macro="">
      <xdr:nvCxnSpPr>
        <xdr:cNvPr id="329" name="Straight Connector 328"/>
        <xdr:cNvCxnSpPr/>
      </xdr:nvCxnSpPr>
      <xdr:spPr>
        <a:xfrm>
          <a:off x="2840831" y="6188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321</xdr:row>
      <xdr:rowOff>41673</xdr:rowOff>
    </xdr:from>
    <xdr:to>
      <xdr:col>4</xdr:col>
      <xdr:colOff>12211</xdr:colOff>
      <xdr:row>324</xdr:row>
      <xdr:rowOff>0</xdr:rowOff>
    </xdr:to>
    <xdr:cxnSp macro="">
      <xdr:nvCxnSpPr>
        <xdr:cNvPr id="330" name="Straight Connector 329"/>
        <xdr:cNvCxnSpPr/>
      </xdr:nvCxnSpPr>
      <xdr:spPr>
        <a:xfrm flipH="1" flipV="1">
          <a:off x="3495675" y="6138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321</xdr:row>
      <xdr:rowOff>32918</xdr:rowOff>
    </xdr:from>
    <xdr:to>
      <xdr:col>4</xdr:col>
      <xdr:colOff>17861</xdr:colOff>
      <xdr:row>321</xdr:row>
      <xdr:rowOff>35719</xdr:rowOff>
    </xdr:to>
    <xdr:cxnSp macro="">
      <xdr:nvCxnSpPr>
        <xdr:cNvPr id="331" name="Straight Connector 330"/>
        <xdr:cNvCxnSpPr/>
      </xdr:nvCxnSpPr>
      <xdr:spPr>
        <a:xfrm flipH="1">
          <a:off x="2840831" y="6137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326</xdr:row>
      <xdr:rowOff>89297</xdr:rowOff>
    </xdr:from>
    <xdr:to>
      <xdr:col>3</xdr:col>
      <xdr:colOff>178594</xdr:colOff>
      <xdr:row>327</xdr:row>
      <xdr:rowOff>59531</xdr:rowOff>
    </xdr:to>
    <xdr:cxnSp macro="">
      <xdr:nvCxnSpPr>
        <xdr:cNvPr id="332" name="Straight Connector 331"/>
        <xdr:cNvCxnSpPr/>
      </xdr:nvCxnSpPr>
      <xdr:spPr>
        <a:xfrm>
          <a:off x="2840831" y="6238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326</xdr:row>
      <xdr:rowOff>35719</xdr:rowOff>
    </xdr:from>
    <xdr:to>
      <xdr:col>3</xdr:col>
      <xdr:colOff>285750</xdr:colOff>
      <xdr:row>326</xdr:row>
      <xdr:rowOff>154781</xdr:rowOff>
    </xdr:to>
    <xdr:cxnSp macro="">
      <xdr:nvCxnSpPr>
        <xdr:cNvPr id="333" name="Straight Connector 332"/>
        <xdr:cNvCxnSpPr/>
      </xdr:nvCxnSpPr>
      <xdr:spPr>
        <a:xfrm>
          <a:off x="2876550" y="6232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326</xdr:row>
      <xdr:rowOff>44824</xdr:rowOff>
    </xdr:from>
    <xdr:to>
      <xdr:col>3</xdr:col>
      <xdr:colOff>67235</xdr:colOff>
      <xdr:row>328</xdr:row>
      <xdr:rowOff>156883</xdr:rowOff>
    </xdr:to>
    <xdr:cxnSp macro="">
      <xdr:nvCxnSpPr>
        <xdr:cNvPr id="334" name="Straight Connector 333"/>
        <xdr:cNvCxnSpPr/>
      </xdr:nvCxnSpPr>
      <xdr:spPr>
        <a:xfrm>
          <a:off x="2848535" y="6233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328</xdr:row>
      <xdr:rowOff>166690</xdr:rowOff>
    </xdr:from>
    <xdr:to>
      <xdr:col>4</xdr:col>
      <xdr:colOff>29308</xdr:colOff>
      <xdr:row>328</xdr:row>
      <xdr:rowOff>168519</xdr:rowOff>
    </xdr:to>
    <xdr:cxnSp macro="">
      <xdr:nvCxnSpPr>
        <xdr:cNvPr id="335" name="Straight Connector 334"/>
        <xdr:cNvCxnSpPr/>
      </xdr:nvCxnSpPr>
      <xdr:spPr>
        <a:xfrm>
          <a:off x="2840831" y="6284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326</xdr:row>
      <xdr:rowOff>41673</xdr:rowOff>
    </xdr:from>
    <xdr:to>
      <xdr:col>4</xdr:col>
      <xdr:colOff>12211</xdr:colOff>
      <xdr:row>329</xdr:row>
      <xdr:rowOff>0</xdr:rowOff>
    </xdr:to>
    <xdr:cxnSp macro="">
      <xdr:nvCxnSpPr>
        <xdr:cNvPr id="336" name="Straight Connector 335"/>
        <xdr:cNvCxnSpPr/>
      </xdr:nvCxnSpPr>
      <xdr:spPr>
        <a:xfrm flipH="1" flipV="1">
          <a:off x="3495675" y="6233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326</xdr:row>
      <xdr:rowOff>32918</xdr:rowOff>
    </xdr:from>
    <xdr:to>
      <xdr:col>4</xdr:col>
      <xdr:colOff>17861</xdr:colOff>
      <xdr:row>326</xdr:row>
      <xdr:rowOff>35719</xdr:rowOff>
    </xdr:to>
    <xdr:cxnSp macro="">
      <xdr:nvCxnSpPr>
        <xdr:cNvPr id="337" name="Straight Connector 336"/>
        <xdr:cNvCxnSpPr/>
      </xdr:nvCxnSpPr>
      <xdr:spPr>
        <a:xfrm flipH="1">
          <a:off x="2840831" y="6232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314</xdr:row>
      <xdr:rowOff>171450</xdr:rowOff>
    </xdr:from>
    <xdr:to>
      <xdr:col>3</xdr:col>
      <xdr:colOff>504825</xdr:colOff>
      <xdr:row>319</xdr:row>
      <xdr:rowOff>47625</xdr:rowOff>
    </xdr:to>
    <xdr:pic>
      <xdr:nvPicPr>
        <xdr:cNvPr id="338"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6017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330</xdr:row>
      <xdr:rowOff>297027</xdr:rowOff>
    </xdr:from>
    <xdr:to>
      <xdr:col>3</xdr:col>
      <xdr:colOff>392907</xdr:colOff>
      <xdr:row>334</xdr:row>
      <xdr:rowOff>154781</xdr:rowOff>
    </xdr:to>
    <xdr:cxnSp macro="">
      <xdr:nvCxnSpPr>
        <xdr:cNvPr id="339" name="Straight Connector 338"/>
        <xdr:cNvCxnSpPr/>
      </xdr:nvCxnSpPr>
      <xdr:spPr>
        <a:xfrm>
          <a:off x="3166381" y="6324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334</xdr:row>
      <xdr:rowOff>142875</xdr:rowOff>
    </xdr:from>
    <xdr:to>
      <xdr:col>4</xdr:col>
      <xdr:colOff>11908</xdr:colOff>
      <xdr:row>334</xdr:row>
      <xdr:rowOff>154782</xdr:rowOff>
    </xdr:to>
    <xdr:cxnSp macro="">
      <xdr:nvCxnSpPr>
        <xdr:cNvPr id="340" name="Straight Connector 339"/>
        <xdr:cNvCxnSpPr/>
      </xdr:nvCxnSpPr>
      <xdr:spPr>
        <a:xfrm flipH="1" flipV="1">
          <a:off x="3150395" y="63960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330</xdr:row>
      <xdr:rowOff>305147</xdr:rowOff>
    </xdr:from>
    <xdr:to>
      <xdr:col>3</xdr:col>
      <xdr:colOff>130969</xdr:colOff>
      <xdr:row>332</xdr:row>
      <xdr:rowOff>11906</xdr:rowOff>
    </xdr:to>
    <xdr:cxnSp macro="">
      <xdr:nvCxnSpPr>
        <xdr:cNvPr id="341" name="Straight Arrow Connector 340"/>
        <xdr:cNvCxnSpPr/>
      </xdr:nvCxnSpPr>
      <xdr:spPr>
        <a:xfrm flipH="1" flipV="1">
          <a:off x="2904995" y="6324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333</xdr:row>
      <xdr:rowOff>11907</xdr:rowOff>
    </xdr:from>
    <xdr:to>
      <xdr:col>3</xdr:col>
      <xdr:colOff>130969</xdr:colOff>
      <xdr:row>334</xdr:row>
      <xdr:rowOff>154782</xdr:rowOff>
    </xdr:to>
    <xdr:cxnSp macro="">
      <xdr:nvCxnSpPr>
        <xdr:cNvPr id="342" name="Straight Arrow Connector 341"/>
        <xdr:cNvCxnSpPr/>
      </xdr:nvCxnSpPr>
      <xdr:spPr>
        <a:xfrm>
          <a:off x="2912269" y="6363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339</xdr:row>
      <xdr:rowOff>89297</xdr:rowOff>
    </xdr:from>
    <xdr:to>
      <xdr:col>3</xdr:col>
      <xdr:colOff>178594</xdr:colOff>
      <xdr:row>340</xdr:row>
      <xdr:rowOff>59531</xdr:rowOff>
    </xdr:to>
    <xdr:cxnSp macro="">
      <xdr:nvCxnSpPr>
        <xdr:cNvPr id="343" name="Straight Connector 342"/>
        <xdr:cNvCxnSpPr/>
      </xdr:nvCxnSpPr>
      <xdr:spPr>
        <a:xfrm>
          <a:off x="2840831" y="64859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339</xdr:row>
      <xdr:rowOff>35719</xdr:rowOff>
    </xdr:from>
    <xdr:to>
      <xdr:col>3</xdr:col>
      <xdr:colOff>285750</xdr:colOff>
      <xdr:row>339</xdr:row>
      <xdr:rowOff>154781</xdr:rowOff>
    </xdr:to>
    <xdr:cxnSp macro="">
      <xdr:nvCxnSpPr>
        <xdr:cNvPr id="344" name="Straight Connector 343"/>
        <xdr:cNvCxnSpPr/>
      </xdr:nvCxnSpPr>
      <xdr:spPr>
        <a:xfrm>
          <a:off x="2876550" y="64805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339</xdr:row>
      <xdr:rowOff>44824</xdr:rowOff>
    </xdr:from>
    <xdr:to>
      <xdr:col>3</xdr:col>
      <xdr:colOff>67235</xdr:colOff>
      <xdr:row>341</xdr:row>
      <xdr:rowOff>156883</xdr:rowOff>
    </xdr:to>
    <xdr:cxnSp macro="">
      <xdr:nvCxnSpPr>
        <xdr:cNvPr id="345" name="Straight Connector 344"/>
        <xdr:cNvCxnSpPr/>
      </xdr:nvCxnSpPr>
      <xdr:spPr>
        <a:xfrm>
          <a:off x="2848535" y="64814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341</xdr:row>
      <xdr:rowOff>166690</xdr:rowOff>
    </xdr:from>
    <xdr:to>
      <xdr:col>4</xdr:col>
      <xdr:colOff>29308</xdr:colOff>
      <xdr:row>341</xdr:row>
      <xdr:rowOff>168519</xdr:rowOff>
    </xdr:to>
    <xdr:cxnSp macro="">
      <xdr:nvCxnSpPr>
        <xdr:cNvPr id="346" name="Straight Connector 345"/>
        <xdr:cNvCxnSpPr/>
      </xdr:nvCxnSpPr>
      <xdr:spPr>
        <a:xfrm>
          <a:off x="2840831" y="65317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339</xdr:row>
      <xdr:rowOff>41673</xdr:rowOff>
    </xdr:from>
    <xdr:to>
      <xdr:col>4</xdr:col>
      <xdr:colOff>12211</xdr:colOff>
      <xdr:row>342</xdr:row>
      <xdr:rowOff>0</xdr:rowOff>
    </xdr:to>
    <xdr:cxnSp macro="">
      <xdr:nvCxnSpPr>
        <xdr:cNvPr id="347" name="Straight Connector 346"/>
        <xdr:cNvCxnSpPr/>
      </xdr:nvCxnSpPr>
      <xdr:spPr>
        <a:xfrm flipH="1" flipV="1">
          <a:off x="3495675" y="64811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339</xdr:row>
      <xdr:rowOff>32918</xdr:rowOff>
    </xdr:from>
    <xdr:to>
      <xdr:col>4</xdr:col>
      <xdr:colOff>17861</xdr:colOff>
      <xdr:row>339</xdr:row>
      <xdr:rowOff>35719</xdr:rowOff>
    </xdr:to>
    <xdr:cxnSp macro="">
      <xdr:nvCxnSpPr>
        <xdr:cNvPr id="348" name="Straight Connector 347"/>
        <xdr:cNvCxnSpPr/>
      </xdr:nvCxnSpPr>
      <xdr:spPr>
        <a:xfrm flipH="1">
          <a:off x="2840831" y="64802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344</xdr:row>
      <xdr:rowOff>89297</xdr:rowOff>
    </xdr:from>
    <xdr:to>
      <xdr:col>3</xdr:col>
      <xdr:colOff>178594</xdr:colOff>
      <xdr:row>345</xdr:row>
      <xdr:rowOff>59531</xdr:rowOff>
    </xdr:to>
    <xdr:cxnSp macro="">
      <xdr:nvCxnSpPr>
        <xdr:cNvPr id="349" name="Straight Connector 348"/>
        <xdr:cNvCxnSpPr/>
      </xdr:nvCxnSpPr>
      <xdr:spPr>
        <a:xfrm>
          <a:off x="2840831" y="6581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344</xdr:row>
      <xdr:rowOff>35719</xdr:rowOff>
    </xdr:from>
    <xdr:to>
      <xdr:col>3</xdr:col>
      <xdr:colOff>285750</xdr:colOff>
      <xdr:row>344</xdr:row>
      <xdr:rowOff>154781</xdr:rowOff>
    </xdr:to>
    <xdr:cxnSp macro="">
      <xdr:nvCxnSpPr>
        <xdr:cNvPr id="350" name="Straight Connector 349"/>
        <xdr:cNvCxnSpPr/>
      </xdr:nvCxnSpPr>
      <xdr:spPr>
        <a:xfrm>
          <a:off x="2876550" y="6575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344</xdr:row>
      <xdr:rowOff>44824</xdr:rowOff>
    </xdr:from>
    <xdr:to>
      <xdr:col>3</xdr:col>
      <xdr:colOff>67235</xdr:colOff>
      <xdr:row>346</xdr:row>
      <xdr:rowOff>156883</xdr:rowOff>
    </xdr:to>
    <xdr:cxnSp macro="">
      <xdr:nvCxnSpPr>
        <xdr:cNvPr id="351" name="Straight Connector 350"/>
        <xdr:cNvCxnSpPr/>
      </xdr:nvCxnSpPr>
      <xdr:spPr>
        <a:xfrm>
          <a:off x="2848535" y="6576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346</xdr:row>
      <xdr:rowOff>166690</xdr:rowOff>
    </xdr:from>
    <xdr:to>
      <xdr:col>4</xdr:col>
      <xdr:colOff>29308</xdr:colOff>
      <xdr:row>346</xdr:row>
      <xdr:rowOff>168519</xdr:rowOff>
    </xdr:to>
    <xdr:cxnSp macro="">
      <xdr:nvCxnSpPr>
        <xdr:cNvPr id="352" name="Straight Connector 351"/>
        <xdr:cNvCxnSpPr/>
      </xdr:nvCxnSpPr>
      <xdr:spPr>
        <a:xfrm>
          <a:off x="2840831" y="66270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344</xdr:row>
      <xdr:rowOff>41673</xdr:rowOff>
    </xdr:from>
    <xdr:to>
      <xdr:col>4</xdr:col>
      <xdr:colOff>12211</xdr:colOff>
      <xdr:row>347</xdr:row>
      <xdr:rowOff>0</xdr:rowOff>
    </xdr:to>
    <xdr:cxnSp macro="">
      <xdr:nvCxnSpPr>
        <xdr:cNvPr id="353" name="Straight Connector 352"/>
        <xdr:cNvCxnSpPr/>
      </xdr:nvCxnSpPr>
      <xdr:spPr>
        <a:xfrm flipH="1" flipV="1">
          <a:off x="3495675" y="6576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344</xdr:row>
      <xdr:rowOff>32918</xdr:rowOff>
    </xdr:from>
    <xdr:to>
      <xdr:col>4</xdr:col>
      <xdr:colOff>17861</xdr:colOff>
      <xdr:row>344</xdr:row>
      <xdr:rowOff>35719</xdr:rowOff>
    </xdr:to>
    <xdr:cxnSp macro="">
      <xdr:nvCxnSpPr>
        <xdr:cNvPr id="354" name="Straight Connector 353"/>
        <xdr:cNvCxnSpPr/>
      </xdr:nvCxnSpPr>
      <xdr:spPr>
        <a:xfrm flipH="1">
          <a:off x="2840831" y="65755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330</xdr:row>
      <xdr:rowOff>171450</xdr:rowOff>
    </xdr:from>
    <xdr:to>
      <xdr:col>3</xdr:col>
      <xdr:colOff>504825</xdr:colOff>
      <xdr:row>335</xdr:row>
      <xdr:rowOff>47625</xdr:rowOff>
    </xdr:to>
    <xdr:pic>
      <xdr:nvPicPr>
        <xdr:cNvPr id="35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63226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349</xdr:row>
      <xdr:rowOff>35719</xdr:rowOff>
    </xdr:from>
    <xdr:to>
      <xdr:col>3</xdr:col>
      <xdr:colOff>428625</xdr:colOff>
      <xdr:row>351</xdr:row>
      <xdr:rowOff>178594</xdr:rowOff>
    </xdr:to>
    <xdr:cxnSp macro="">
      <xdr:nvCxnSpPr>
        <xdr:cNvPr id="356" name="Straight Connector 355"/>
        <xdr:cNvCxnSpPr/>
      </xdr:nvCxnSpPr>
      <xdr:spPr>
        <a:xfrm>
          <a:off x="3209925" y="66710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351</xdr:row>
      <xdr:rowOff>95249</xdr:rowOff>
    </xdr:from>
    <xdr:to>
      <xdr:col>3</xdr:col>
      <xdr:colOff>571500</xdr:colOff>
      <xdr:row>351</xdr:row>
      <xdr:rowOff>154780</xdr:rowOff>
    </xdr:to>
    <xdr:cxnSp macro="">
      <xdr:nvCxnSpPr>
        <xdr:cNvPr id="357" name="Straight Connector 356"/>
        <xdr:cNvCxnSpPr/>
      </xdr:nvCxnSpPr>
      <xdr:spPr>
        <a:xfrm flipH="1">
          <a:off x="3209925" y="67151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349</xdr:row>
      <xdr:rowOff>47625</xdr:rowOff>
    </xdr:from>
    <xdr:to>
      <xdr:col>3</xdr:col>
      <xdr:colOff>595313</xdr:colOff>
      <xdr:row>349</xdr:row>
      <xdr:rowOff>119062</xdr:rowOff>
    </xdr:to>
    <xdr:cxnSp macro="">
      <xdr:nvCxnSpPr>
        <xdr:cNvPr id="358" name="Straight Connector 357"/>
        <xdr:cNvCxnSpPr/>
      </xdr:nvCxnSpPr>
      <xdr:spPr>
        <a:xfrm>
          <a:off x="3209925" y="66722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352</xdr:row>
      <xdr:rowOff>297027</xdr:rowOff>
    </xdr:from>
    <xdr:to>
      <xdr:col>3</xdr:col>
      <xdr:colOff>392907</xdr:colOff>
      <xdr:row>356</xdr:row>
      <xdr:rowOff>154781</xdr:rowOff>
    </xdr:to>
    <xdr:cxnSp macro="">
      <xdr:nvCxnSpPr>
        <xdr:cNvPr id="359" name="Straight Connector 358"/>
        <xdr:cNvCxnSpPr/>
      </xdr:nvCxnSpPr>
      <xdr:spPr>
        <a:xfrm>
          <a:off x="3166381" y="67438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356</xdr:row>
      <xdr:rowOff>142875</xdr:rowOff>
    </xdr:from>
    <xdr:to>
      <xdr:col>4</xdr:col>
      <xdr:colOff>11908</xdr:colOff>
      <xdr:row>356</xdr:row>
      <xdr:rowOff>154782</xdr:rowOff>
    </xdr:to>
    <xdr:cxnSp macro="">
      <xdr:nvCxnSpPr>
        <xdr:cNvPr id="360" name="Straight Connector 359"/>
        <xdr:cNvCxnSpPr/>
      </xdr:nvCxnSpPr>
      <xdr:spPr>
        <a:xfrm flipH="1" flipV="1">
          <a:off x="3150395" y="68151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352</xdr:row>
      <xdr:rowOff>305147</xdr:rowOff>
    </xdr:from>
    <xdr:to>
      <xdr:col>3</xdr:col>
      <xdr:colOff>130969</xdr:colOff>
      <xdr:row>354</xdr:row>
      <xdr:rowOff>11906</xdr:rowOff>
    </xdr:to>
    <xdr:cxnSp macro="">
      <xdr:nvCxnSpPr>
        <xdr:cNvPr id="361" name="Straight Arrow Connector 360"/>
        <xdr:cNvCxnSpPr/>
      </xdr:nvCxnSpPr>
      <xdr:spPr>
        <a:xfrm flipH="1" flipV="1">
          <a:off x="2904995" y="67437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355</xdr:row>
      <xdr:rowOff>11907</xdr:rowOff>
    </xdr:from>
    <xdr:to>
      <xdr:col>3</xdr:col>
      <xdr:colOff>130969</xdr:colOff>
      <xdr:row>356</xdr:row>
      <xdr:rowOff>154782</xdr:rowOff>
    </xdr:to>
    <xdr:cxnSp macro="">
      <xdr:nvCxnSpPr>
        <xdr:cNvPr id="362" name="Straight Arrow Connector 361"/>
        <xdr:cNvCxnSpPr/>
      </xdr:nvCxnSpPr>
      <xdr:spPr>
        <a:xfrm>
          <a:off x="2912269" y="67829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362</xdr:row>
      <xdr:rowOff>89297</xdr:rowOff>
    </xdr:from>
    <xdr:to>
      <xdr:col>3</xdr:col>
      <xdr:colOff>178594</xdr:colOff>
      <xdr:row>363</xdr:row>
      <xdr:rowOff>59531</xdr:rowOff>
    </xdr:to>
    <xdr:cxnSp macro="">
      <xdr:nvCxnSpPr>
        <xdr:cNvPr id="363" name="Straight Connector 362"/>
        <xdr:cNvCxnSpPr/>
      </xdr:nvCxnSpPr>
      <xdr:spPr>
        <a:xfrm>
          <a:off x="2840831" y="6924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362</xdr:row>
      <xdr:rowOff>35719</xdr:rowOff>
    </xdr:from>
    <xdr:to>
      <xdr:col>3</xdr:col>
      <xdr:colOff>285750</xdr:colOff>
      <xdr:row>362</xdr:row>
      <xdr:rowOff>154781</xdr:rowOff>
    </xdr:to>
    <xdr:cxnSp macro="">
      <xdr:nvCxnSpPr>
        <xdr:cNvPr id="364" name="Straight Connector 363"/>
        <xdr:cNvCxnSpPr/>
      </xdr:nvCxnSpPr>
      <xdr:spPr>
        <a:xfrm>
          <a:off x="2876550" y="6918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362</xdr:row>
      <xdr:rowOff>44824</xdr:rowOff>
    </xdr:from>
    <xdr:to>
      <xdr:col>3</xdr:col>
      <xdr:colOff>67235</xdr:colOff>
      <xdr:row>364</xdr:row>
      <xdr:rowOff>156883</xdr:rowOff>
    </xdr:to>
    <xdr:cxnSp macro="">
      <xdr:nvCxnSpPr>
        <xdr:cNvPr id="365" name="Straight Connector 364"/>
        <xdr:cNvCxnSpPr/>
      </xdr:nvCxnSpPr>
      <xdr:spPr>
        <a:xfrm>
          <a:off x="2848535" y="6919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364</xdr:row>
      <xdr:rowOff>166690</xdr:rowOff>
    </xdr:from>
    <xdr:to>
      <xdr:col>4</xdr:col>
      <xdr:colOff>29308</xdr:colOff>
      <xdr:row>364</xdr:row>
      <xdr:rowOff>168519</xdr:rowOff>
    </xdr:to>
    <xdr:cxnSp macro="">
      <xdr:nvCxnSpPr>
        <xdr:cNvPr id="366" name="Straight Connector 365"/>
        <xdr:cNvCxnSpPr/>
      </xdr:nvCxnSpPr>
      <xdr:spPr>
        <a:xfrm>
          <a:off x="2840831" y="69699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362</xdr:row>
      <xdr:rowOff>41673</xdr:rowOff>
    </xdr:from>
    <xdr:to>
      <xdr:col>4</xdr:col>
      <xdr:colOff>12211</xdr:colOff>
      <xdr:row>365</xdr:row>
      <xdr:rowOff>0</xdr:rowOff>
    </xdr:to>
    <xdr:cxnSp macro="">
      <xdr:nvCxnSpPr>
        <xdr:cNvPr id="367" name="Straight Connector 366"/>
        <xdr:cNvCxnSpPr/>
      </xdr:nvCxnSpPr>
      <xdr:spPr>
        <a:xfrm flipH="1" flipV="1">
          <a:off x="3495675" y="6919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362</xdr:row>
      <xdr:rowOff>32918</xdr:rowOff>
    </xdr:from>
    <xdr:to>
      <xdr:col>4</xdr:col>
      <xdr:colOff>17861</xdr:colOff>
      <xdr:row>362</xdr:row>
      <xdr:rowOff>35719</xdr:rowOff>
    </xdr:to>
    <xdr:cxnSp macro="">
      <xdr:nvCxnSpPr>
        <xdr:cNvPr id="368" name="Straight Connector 367"/>
        <xdr:cNvCxnSpPr/>
      </xdr:nvCxnSpPr>
      <xdr:spPr>
        <a:xfrm flipH="1">
          <a:off x="2840831" y="69184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367</xdr:row>
      <xdr:rowOff>89297</xdr:rowOff>
    </xdr:from>
    <xdr:to>
      <xdr:col>3</xdr:col>
      <xdr:colOff>178594</xdr:colOff>
      <xdr:row>368</xdr:row>
      <xdr:rowOff>59531</xdr:rowOff>
    </xdr:to>
    <xdr:cxnSp macro="">
      <xdr:nvCxnSpPr>
        <xdr:cNvPr id="369" name="Straight Connector 368"/>
        <xdr:cNvCxnSpPr/>
      </xdr:nvCxnSpPr>
      <xdr:spPr>
        <a:xfrm>
          <a:off x="2840831" y="7019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367</xdr:row>
      <xdr:rowOff>35719</xdr:rowOff>
    </xdr:from>
    <xdr:to>
      <xdr:col>3</xdr:col>
      <xdr:colOff>285750</xdr:colOff>
      <xdr:row>367</xdr:row>
      <xdr:rowOff>154781</xdr:rowOff>
    </xdr:to>
    <xdr:cxnSp macro="">
      <xdr:nvCxnSpPr>
        <xdr:cNvPr id="370" name="Straight Connector 369"/>
        <xdr:cNvCxnSpPr/>
      </xdr:nvCxnSpPr>
      <xdr:spPr>
        <a:xfrm>
          <a:off x="2876550" y="7013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367</xdr:row>
      <xdr:rowOff>44824</xdr:rowOff>
    </xdr:from>
    <xdr:to>
      <xdr:col>3</xdr:col>
      <xdr:colOff>67235</xdr:colOff>
      <xdr:row>369</xdr:row>
      <xdr:rowOff>156883</xdr:rowOff>
    </xdr:to>
    <xdr:cxnSp macro="">
      <xdr:nvCxnSpPr>
        <xdr:cNvPr id="371" name="Straight Connector 370"/>
        <xdr:cNvCxnSpPr/>
      </xdr:nvCxnSpPr>
      <xdr:spPr>
        <a:xfrm>
          <a:off x="2848535" y="7014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369</xdr:row>
      <xdr:rowOff>166690</xdr:rowOff>
    </xdr:from>
    <xdr:to>
      <xdr:col>4</xdr:col>
      <xdr:colOff>29308</xdr:colOff>
      <xdr:row>369</xdr:row>
      <xdr:rowOff>168519</xdr:rowOff>
    </xdr:to>
    <xdr:cxnSp macro="">
      <xdr:nvCxnSpPr>
        <xdr:cNvPr id="372" name="Straight Connector 371"/>
        <xdr:cNvCxnSpPr/>
      </xdr:nvCxnSpPr>
      <xdr:spPr>
        <a:xfrm>
          <a:off x="2840831" y="70651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367</xdr:row>
      <xdr:rowOff>41673</xdr:rowOff>
    </xdr:from>
    <xdr:to>
      <xdr:col>4</xdr:col>
      <xdr:colOff>12211</xdr:colOff>
      <xdr:row>370</xdr:row>
      <xdr:rowOff>0</xdr:rowOff>
    </xdr:to>
    <xdr:cxnSp macro="">
      <xdr:nvCxnSpPr>
        <xdr:cNvPr id="373" name="Straight Connector 372"/>
        <xdr:cNvCxnSpPr/>
      </xdr:nvCxnSpPr>
      <xdr:spPr>
        <a:xfrm flipH="1" flipV="1">
          <a:off x="3495675" y="7014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367</xdr:row>
      <xdr:rowOff>32918</xdr:rowOff>
    </xdr:from>
    <xdr:to>
      <xdr:col>4</xdr:col>
      <xdr:colOff>17861</xdr:colOff>
      <xdr:row>367</xdr:row>
      <xdr:rowOff>35719</xdr:rowOff>
    </xdr:to>
    <xdr:cxnSp macro="">
      <xdr:nvCxnSpPr>
        <xdr:cNvPr id="374" name="Straight Connector 373"/>
        <xdr:cNvCxnSpPr/>
      </xdr:nvCxnSpPr>
      <xdr:spPr>
        <a:xfrm flipH="1">
          <a:off x="2840831" y="70136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352</xdr:row>
      <xdr:rowOff>171450</xdr:rowOff>
    </xdr:from>
    <xdr:to>
      <xdr:col>3</xdr:col>
      <xdr:colOff>504825</xdr:colOff>
      <xdr:row>357</xdr:row>
      <xdr:rowOff>47625</xdr:rowOff>
    </xdr:to>
    <xdr:pic>
      <xdr:nvPicPr>
        <xdr:cNvPr id="37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67417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377</xdr:row>
      <xdr:rowOff>35719</xdr:rowOff>
    </xdr:from>
    <xdr:to>
      <xdr:col>3</xdr:col>
      <xdr:colOff>428625</xdr:colOff>
      <xdr:row>379</xdr:row>
      <xdr:rowOff>178594</xdr:rowOff>
    </xdr:to>
    <xdr:cxnSp macro="">
      <xdr:nvCxnSpPr>
        <xdr:cNvPr id="376" name="Straight Connector 375"/>
        <xdr:cNvCxnSpPr/>
      </xdr:nvCxnSpPr>
      <xdr:spPr>
        <a:xfrm>
          <a:off x="3209925" y="72044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379</xdr:row>
      <xdr:rowOff>95249</xdr:rowOff>
    </xdr:from>
    <xdr:to>
      <xdr:col>3</xdr:col>
      <xdr:colOff>571500</xdr:colOff>
      <xdr:row>379</xdr:row>
      <xdr:rowOff>154780</xdr:rowOff>
    </xdr:to>
    <xdr:cxnSp macro="">
      <xdr:nvCxnSpPr>
        <xdr:cNvPr id="377" name="Straight Connector 376"/>
        <xdr:cNvCxnSpPr/>
      </xdr:nvCxnSpPr>
      <xdr:spPr>
        <a:xfrm flipH="1">
          <a:off x="3209925" y="72485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377</xdr:row>
      <xdr:rowOff>47625</xdr:rowOff>
    </xdr:from>
    <xdr:to>
      <xdr:col>3</xdr:col>
      <xdr:colOff>595313</xdr:colOff>
      <xdr:row>377</xdr:row>
      <xdr:rowOff>119062</xdr:rowOff>
    </xdr:to>
    <xdr:cxnSp macro="">
      <xdr:nvCxnSpPr>
        <xdr:cNvPr id="378" name="Straight Connector 377"/>
        <xdr:cNvCxnSpPr/>
      </xdr:nvCxnSpPr>
      <xdr:spPr>
        <a:xfrm>
          <a:off x="3209925" y="72056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372</xdr:row>
      <xdr:rowOff>89297</xdr:rowOff>
    </xdr:from>
    <xdr:to>
      <xdr:col>3</xdr:col>
      <xdr:colOff>178594</xdr:colOff>
      <xdr:row>373</xdr:row>
      <xdr:rowOff>59531</xdr:rowOff>
    </xdr:to>
    <xdr:cxnSp macro="">
      <xdr:nvCxnSpPr>
        <xdr:cNvPr id="379" name="Straight Connector 378"/>
        <xdr:cNvCxnSpPr/>
      </xdr:nvCxnSpPr>
      <xdr:spPr>
        <a:xfrm>
          <a:off x="2840831" y="71145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372</xdr:row>
      <xdr:rowOff>35719</xdr:rowOff>
    </xdr:from>
    <xdr:to>
      <xdr:col>3</xdr:col>
      <xdr:colOff>285750</xdr:colOff>
      <xdr:row>372</xdr:row>
      <xdr:rowOff>154781</xdr:rowOff>
    </xdr:to>
    <xdr:cxnSp macro="">
      <xdr:nvCxnSpPr>
        <xdr:cNvPr id="380" name="Straight Connector 379"/>
        <xdr:cNvCxnSpPr/>
      </xdr:nvCxnSpPr>
      <xdr:spPr>
        <a:xfrm>
          <a:off x="2876550" y="71092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372</xdr:row>
      <xdr:rowOff>44824</xdr:rowOff>
    </xdr:from>
    <xdr:to>
      <xdr:col>3</xdr:col>
      <xdr:colOff>67235</xdr:colOff>
      <xdr:row>374</xdr:row>
      <xdr:rowOff>156883</xdr:rowOff>
    </xdr:to>
    <xdr:cxnSp macro="">
      <xdr:nvCxnSpPr>
        <xdr:cNvPr id="381" name="Straight Connector 380"/>
        <xdr:cNvCxnSpPr/>
      </xdr:nvCxnSpPr>
      <xdr:spPr>
        <a:xfrm>
          <a:off x="2848535" y="71101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374</xdr:row>
      <xdr:rowOff>166690</xdr:rowOff>
    </xdr:from>
    <xdr:to>
      <xdr:col>4</xdr:col>
      <xdr:colOff>29308</xdr:colOff>
      <xdr:row>374</xdr:row>
      <xdr:rowOff>168519</xdr:rowOff>
    </xdr:to>
    <xdr:cxnSp macro="">
      <xdr:nvCxnSpPr>
        <xdr:cNvPr id="382" name="Straight Connector 381"/>
        <xdr:cNvCxnSpPr/>
      </xdr:nvCxnSpPr>
      <xdr:spPr>
        <a:xfrm>
          <a:off x="2840831" y="71604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372</xdr:row>
      <xdr:rowOff>41673</xdr:rowOff>
    </xdr:from>
    <xdr:to>
      <xdr:col>4</xdr:col>
      <xdr:colOff>12211</xdr:colOff>
      <xdr:row>375</xdr:row>
      <xdr:rowOff>0</xdr:rowOff>
    </xdr:to>
    <xdr:cxnSp macro="">
      <xdr:nvCxnSpPr>
        <xdr:cNvPr id="383" name="Straight Connector 382"/>
        <xdr:cNvCxnSpPr/>
      </xdr:nvCxnSpPr>
      <xdr:spPr>
        <a:xfrm flipH="1" flipV="1">
          <a:off x="3495675" y="71098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372</xdr:row>
      <xdr:rowOff>32918</xdr:rowOff>
    </xdr:from>
    <xdr:to>
      <xdr:col>4</xdr:col>
      <xdr:colOff>17861</xdr:colOff>
      <xdr:row>372</xdr:row>
      <xdr:rowOff>35719</xdr:rowOff>
    </xdr:to>
    <xdr:cxnSp macro="">
      <xdr:nvCxnSpPr>
        <xdr:cNvPr id="384" name="Straight Connector 383"/>
        <xdr:cNvCxnSpPr/>
      </xdr:nvCxnSpPr>
      <xdr:spPr>
        <a:xfrm flipH="1">
          <a:off x="2840831" y="71089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380</xdr:row>
      <xdr:rowOff>297027</xdr:rowOff>
    </xdr:from>
    <xdr:to>
      <xdr:col>3</xdr:col>
      <xdr:colOff>392907</xdr:colOff>
      <xdr:row>384</xdr:row>
      <xdr:rowOff>154781</xdr:rowOff>
    </xdr:to>
    <xdr:cxnSp macro="">
      <xdr:nvCxnSpPr>
        <xdr:cNvPr id="385" name="Straight Connector 384"/>
        <xdr:cNvCxnSpPr/>
      </xdr:nvCxnSpPr>
      <xdr:spPr>
        <a:xfrm>
          <a:off x="3166381" y="72772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384</xdr:row>
      <xdr:rowOff>142875</xdr:rowOff>
    </xdr:from>
    <xdr:to>
      <xdr:col>4</xdr:col>
      <xdr:colOff>11908</xdr:colOff>
      <xdr:row>384</xdr:row>
      <xdr:rowOff>154782</xdr:rowOff>
    </xdr:to>
    <xdr:cxnSp macro="">
      <xdr:nvCxnSpPr>
        <xdr:cNvPr id="386" name="Straight Connector 385"/>
        <xdr:cNvCxnSpPr/>
      </xdr:nvCxnSpPr>
      <xdr:spPr>
        <a:xfrm flipH="1" flipV="1">
          <a:off x="3150395" y="73485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380</xdr:row>
      <xdr:rowOff>305147</xdr:rowOff>
    </xdr:from>
    <xdr:to>
      <xdr:col>3</xdr:col>
      <xdr:colOff>130969</xdr:colOff>
      <xdr:row>382</xdr:row>
      <xdr:rowOff>11906</xdr:rowOff>
    </xdr:to>
    <xdr:cxnSp macro="">
      <xdr:nvCxnSpPr>
        <xdr:cNvPr id="387" name="Straight Arrow Connector 386"/>
        <xdr:cNvCxnSpPr/>
      </xdr:nvCxnSpPr>
      <xdr:spPr>
        <a:xfrm flipH="1" flipV="1">
          <a:off x="2904995" y="72771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383</xdr:row>
      <xdr:rowOff>11907</xdr:rowOff>
    </xdr:from>
    <xdr:to>
      <xdr:col>3</xdr:col>
      <xdr:colOff>130969</xdr:colOff>
      <xdr:row>384</xdr:row>
      <xdr:rowOff>154782</xdr:rowOff>
    </xdr:to>
    <xdr:cxnSp macro="">
      <xdr:nvCxnSpPr>
        <xdr:cNvPr id="388" name="Straight Arrow Connector 387"/>
        <xdr:cNvCxnSpPr/>
      </xdr:nvCxnSpPr>
      <xdr:spPr>
        <a:xfrm>
          <a:off x="2912269" y="73163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389</xdr:row>
      <xdr:rowOff>89297</xdr:rowOff>
    </xdr:from>
    <xdr:to>
      <xdr:col>3</xdr:col>
      <xdr:colOff>178594</xdr:colOff>
      <xdr:row>390</xdr:row>
      <xdr:rowOff>59531</xdr:rowOff>
    </xdr:to>
    <xdr:cxnSp macro="">
      <xdr:nvCxnSpPr>
        <xdr:cNvPr id="389" name="Straight Connector 388"/>
        <xdr:cNvCxnSpPr/>
      </xdr:nvCxnSpPr>
      <xdr:spPr>
        <a:xfrm>
          <a:off x="2840831" y="743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389</xdr:row>
      <xdr:rowOff>35719</xdr:rowOff>
    </xdr:from>
    <xdr:to>
      <xdr:col>3</xdr:col>
      <xdr:colOff>285750</xdr:colOff>
      <xdr:row>389</xdr:row>
      <xdr:rowOff>154781</xdr:rowOff>
    </xdr:to>
    <xdr:cxnSp macro="">
      <xdr:nvCxnSpPr>
        <xdr:cNvPr id="390" name="Straight Connector 389"/>
        <xdr:cNvCxnSpPr/>
      </xdr:nvCxnSpPr>
      <xdr:spPr>
        <a:xfrm>
          <a:off x="2876550" y="743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389</xdr:row>
      <xdr:rowOff>44824</xdr:rowOff>
    </xdr:from>
    <xdr:to>
      <xdr:col>3</xdr:col>
      <xdr:colOff>67235</xdr:colOff>
      <xdr:row>391</xdr:row>
      <xdr:rowOff>156883</xdr:rowOff>
    </xdr:to>
    <xdr:cxnSp macro="">
      <xdr:nvCxnSpPr>
        <xdr:cNvPr id="391" name="Straight Connector 390"/>
        <xdr:cNvCxnSpPr/>
      </xdr:nvCxnSpPr>
      <xdr:spPr>
        <a:xfrm>
          <a:off x="2848535" y="743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391</xdr:row>
      <xdr:rowOff>166690</xdr:rowOff>
    </xdr:from>
    <xdr:to>
      <xdr:col>4</xdr:col>
      <xdr:colOff>29308</xdr:colOff>
      <xdr:row>391</xdr:row>
      <xdr:rowOff>168519</xdr:rowOff>
    </xdr:to>
    <xdr:cxnSp macro="">
      <xdr:nvCxnSpPr>
        <xdr:cNvPr id="392" name="Straight Connector 391"/>
        <xdr:cNvCxnSpPr/>
      </xdr:nvCxnSpPr>
      <xdr:spPr>
        <a:xfrm>
          <a:off x="2840831" y="74842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389</xdr:row>
      <xdr:rowOff>41673</xdr:rowOff>
    </xdr:from>
    <xdr:to>
      <xdr:col>4</xdr:col>
      <xdr:colOff>12211</xdr:colOff>
      <xdr:row>392</xdr:row>
      <xdr:rowOff>0</xdr:rowOff>
    </xdr:to>
    <xdr:cxnSp macro="">
      <xdr:nvCxnSpPr>
        <xdr:cNvPr id="393" name="Straight Connector 392"/>
        <xdr:cNvCxnSpPr/>
      </xdr:nvCxnSpPr>
      <xdr:spPr>
        <a:xfrm flipH="1" flipV="1">
          <a:off x="3495675" y="743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389</xdr:row>
      <xdr:rowOff>32918</xdr:rowOff>
    </xdr:from>
    <xdr:to>
      <xdr:col>4</xdr:col>
      <xdr:colOff>17861</xdr:colOff>
      <xdr:row>389</xdr:row>
      <xdr:rowOff>35719</xdr:rowOff>
    </xdr:to>
    <xdr:cxnSp macro="">
      <xdr:nvCxnSpPr>
        <xdr:cNvPr id="394" name="Straight Connector 393"/>
        <xdr:cNvCxnSpPr/>
      </xdr:nvCxnSpPr>
      <xdr:spPr>
        <a:xfrm flipH="1">
          <a:off x="2840831" y="74327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394</xdr:row>
      <xdr:rowOff>89297</xdr:rowOff>
    </xdr:from>
    <xdr:to>
      <xdr:col>3</xdr:col>
      <xdr:colOff>178594</xdr:colOff>
      <xdr:row>395</xdr:row>
      <xdr:rowOff>59531</xdr:rowOff>
    </xdr:to>
    <xdr:cxnSp macro="">
      <xdr:nvCxnSpPr>
        <xdr:cNvPr id="395" name="Straight Connector 394"/>
        <xdr:cNvCxnSpPr/>
      </xdr:nvCxnSpPr>
      <xdr:spPr>
        <a:xfrm>
          <a:off x="2840831" y="753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394</xdr:row>
      <xdr:rowOff>35719</xdr:rowOff>
    </xdr:from>
    <xdr:to>
      <xdr:col>3</xdr:col>
      <xdr:colOff>285750</xdr:colOff>
      <xdr:row>394</xdr:row>
      <xdr:rowOff>154781</xdr:rowOff>
    </xdr:to>
    <xdr:cxnSp macro="">
      <xdr:nvCxnSpPr>
        <xdr:cNvPr id="396" name="Straight Connector 395"/>
        <xdr:cNvCxnSpPr/>
      </xdr:nvCxnSpPr>
      <xdr:spPr>
        <a:xfrm>
          <a:off x="2876550" y="752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394</xdr:row>
      <xdr:rowOff>44824</xdr:rowOff>
    </xdr:from>
    <xdr:to>
      <xdr:col>3</xdr:col>
      <xdr:colOff>67235</xdr:colOff>
      <xdr:row>396</xdr:row>
      <xdr:rowOff>156883</xdr:rowOff>
    </xdr:to>
    <xdr:cxnSp macro="">
      <xdr:nvCxnSpPr>
        <xdr:cNvPr id="397" name="Straight Connector 396"/>
        <xdr:cNvCxnSpPr/>
      </xdr:nvCxnSpPr>
      <xdr:spPr>
        <a:xfrm>
          <a:off x="2848535" y="752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396</xdr:row>
      <xdr:rowOff>166690</xdr:rowOff>
    </xdr:from>
    <xdr:to>
      <xdr:col>4</xdr:col>
      <xdr:colOff>29308</xdr:colOff>
      <xdr:row>396</xdr:row>
      <xdr:rowOff>168519</xdr:rowOff>
    </xdr:to>
    <xdr:cxnSp macro="">
      <xdr:nvCxnSpPr>
        <xdr:cNvPr id="398" name="Straight Connector 397"/>
        <xdr:cNvCxnSpPr/>
      </xdr:nvCxnSpPr>
      <xdr:spPr>
        <a:xfrm>
          <a:off x="2840831" y="75795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394</xdr:row>
      <xdr:rowOff>41673</xdr:rowOff>
    </xdr:from>
    <xdr:to>
      <xdr:col>4</xdr:col>
      <xdr:colOff>12211</xdr:colOff>
      <xdr:row>397</xdr:row>
      <xdr:rowOff>0</xdr:rowOff>
    </xdr:to>
    <xdr:cxnSp macro="">
      <xdr:nvCxnSpPr>
        <xdr:cNvPr id="399" name="Straight Connector 398"/>
        <xdr:cNvCxnSpPr/>
      </xdr:nvCxnSpPr>
      <xdr:spPr>
        <a:xfrm flipH="1" flipV="1">
          <a:off x="3495675" y="752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394</xdr:row>
      <xdr:rowOff>32918</xdr:rowOff>
    </xdr:from>
    <xdr:to>
      <xdr:col>4</xdr:col>
      <xdr:colOff>17861</xdr:colOff>
      <xdr:row>394</xdr:row>
      <xdr:rowOff>35719</xdr:rowOff>
    </xdr:to>
    <xdr:cxnSp macro="">
      <xdr:nvCxnSpPr>
        <xdr:cNvPr id="400" name="Straight Connector 399"/>
        <xdr:cNvCxnSpPr/>
      </xdr:nvCxnSpPr>
      <xdr:spPr>
        <a:xfrm flipH="1">
          <a:off x="2840831" y="75280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380</xdr:row>
      <xdr:rowOff>171450</xdr:rowOff>
    </xdr:from>
    <xdr:to>
      <xdr:col>3</xdr:col>
      <xdr:colOff>504825</xdr:colOff>
      <xdr:row>385</xdr:row>
      <xdr:rowOff>47625</xdr:rowOff>
    </xdr:to>
    <xdr:pic>
      <xdr:nvPicPr>
        <xdr:cNvPr id="401"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2751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398</xdr:row>
      <xdr:rowOff>297027</xdr:rowOff>
    </xdr:from>
    <xdr:to>
      <xdr:col>3</xdr:col>
      <xdr:colOff>392907</xdr:colOff>
      <xdr:row>402</xdr:row>
      <xdr:rowOff>154781</xdr:rowOff>
    </xdr:to>
    <xdr:cxnSp macro="">
      <xdr:nvCxnSpPr>
        <xdr:cNvPr id="402" name="Straight Connector 401"/>
        <xdr:cNvCxnSpPr/>
      </xdr:nvCxnSpPr>
      <xdr:spPr>
        <a:xfrm>
          <a:off x="3166381" y="7620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402</xdr:row>
      <xdr:rowOff>142875</xdr:rowOff>
    </xdr:from>
    <xdr:to>
      <xdr:col>4</xdr:col>
      <xdr:colOff>11908</xdr:colOff>
      <xdr:row>402</xdr:row>
      <xdr:rowOff>154782</xdr:rowOff>
    </xdr:to>
    <xdr:cxnSp macro="">
      <xdr:nvCxnSpPr>
        <xdr:cNvPr id="403" name="Straight Connector 402"/>
        <xdr:cNvCxnSpPr/>
      </xdr:nvCxnSpPr>
      <xdr:spPr>
        <a:xfrm flipH="1" flipV="1">
          <a:off x="3150395" y="7691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398</xdr:row>
      <xdr:rowOff>305147</xdr:rowOff>
    </xdr:from>
    <xdr:to>
      <xdr:col>3</xdr:col>
      <xdr:colOff>130969</xdr:colOff>
      <xdr:row>400</xdr:row>
      <xdr:rowOff>11906</xdr:rowOff>
    </xdr:to>
    <xdr:cxnSp macro="">
      <xdr:nvCxnSpPr>
        <xdr:cNvPr id="404" name="Straight Arrow Connector 403"/>
        <xdr:cNvCxnSpPr/>
      </xdr:nvCxnSpPr>
      <xdr:spPr>
        <a:xfrm flipH="1" flipV="1">
          <a:off x="2904995" y="7620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401</xdr:row>
      <xdr:rowOff>11907</xdr:rowOff>
    </xdr:from>
    <xdr:to>
      <xdr:col>3</xdr:col>
      <xdr:colOff>130969</xdr:colOff>
      <xdr:row>402</xdr:row>
      <xdr:rowOff>154782</xdr:rowOff>
    </xdr:to>
    <xdr:cxnSp macro="">
      <xdr:nvCxnSpPr>
        <xdr:cNvPr id="405" name="Straight Arrow Connector 404"/>
        <xdr:cNvCxnSpPr/>
      </xdr:nvCxnSpPr>
      <xdr:spPr>
        <a:xfrm>
          <a:off x="2912269" y="7659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409</xdr:row>
      <xdr:rowOff>89297</xdr:rowOff>
    </xdr:from>
    <xdr:to>
      <xdr:col>3</xdr:col>
      <xdr:colOff>178594</xdr:colOff>
      <xdr:row>410</xdr:row>
      <xdr:rowOff>59531</xdr:rowOff>
    </xdr:to>
    <xdr:cxnSp macro="">
      <xdr:nvCxnSpPr>
        <xdr:cNvPr id="406" name="Straight Connector 405"/>
        <xdr:cNvCxnSpPr/>
      </xdr:nvCxnSpPr>
      <xdr:spPr>
        <a:xfrm>
          <a:off x="2840831" y="7819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409</xdr:row>
      <xdr:rowOff>35719</xdr:rowOff>
    </xdr:from>
    <xdr:to>
      <xdr:col>3</xdr:col>
      <xdr:colOff>285750</xdr:colOff>
      <xdr:row>409</xdr:row>
      <xdr:rowOff>154781</xdr:rowOff>
    </xdr:to>
    <xdr:cxnSp macro="">
      <xdr:nvCxnSpPr>
        <xdr:cNvPr id="407" name="Straight Connector 406"/>
        <xdr:cNvCxnSpPr/>
      </xdr:nvCxnSpPr>
      <xdr:spPr>
        <a:xfrm>
          <a:off x="2876550" y="7814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409</xdr:row>
      <xdr:rowOff>44824</xdr:rowOff>
    </xdr:from>
    <xdr:to>
      <xdr:col>3</xdr:col>
      <xdr:colOff>67235</xdr:colOff>
      <xdr:row>411</xdr:row>
      <xdr:rowOff>156883</xdr:rowOff>
    </xdr:to>
    <xdr:cxnSp macro="">
      <xdr:nvCxnSpPr>
        <xdr:cNvPr id="408" name="Straight Connector 407"/>
        <xdr:cNvCxnSpPr/>
      </xdr:nvCxnSpPr>
      <xdr:spPr>
        <a:xfrm>
          <a:off x="2848535" y="7814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411</xdr:row>
      <xdr:rowOff>166690</xdr:rowOff>
    </xdr:from>
    <xdr:to>
      <xdr:col>4</xdr:col>
      <xdr:colOff>29308</xdr:colOff>
      <xdr:row>411</xdr:row>
      <xdr:rowOff>168519</xdr:rowOff>
    </xdr:to>
    <xdr:cxnSp macro="">
      <xdr:nvCxnSpPr>
        <xdr:cNvPr id="409" name="Straight Connector 408"/>
        <xdr:cNvCxnSpPr/>
      </xdr:nvCxnSpPr>
      <xdr:spPr>
        <a:xfrm>
          <a:off x="2840831" y="78652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409</xdr:row>
      <xdr:rowOff>41673</xdr:rowOff>
    </xdr:from>
    <xdr:to>
      <xdr:col>4</xdr:col>
      <xdr:colOff>12211</xdr:colOff>
      <xdr:row>412</xdr:row>
      <xdr:rowOff>0</xdr:rowOff>
    </xdr:to>
    <xdr:cxnSp macro="">
      <xdr:nvCxnSpPr>
        <xdr:cNvPr id="410" name="Straight Connector 409"/>
        <xdr:cNvCxnSpPr/>
      </xdr:nvCxnSpPr>
      <xdr:spPr>
        <a:xfrm flipH="1" flipV="1">
          <a:off x="3495675" y="7814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409</xdr:row>
      <xdr:rowOff>32918</xdr:rowOff>
    </xdr:from>
    <xdr:to>
      <xdr:col>4</xdr:col>
      <xdr:colOff>17861</xdr:colOff>
      <xdr:row>409</xdr:row>
      <xdr:rowOff>35719</xdr:rowOff>
    </xdr:to>
    <xdr:cxnSp macro="">
      <xdr:nvCxnSpPr>
        <xdr:cNvPr id="411" name="Straight Connector 410"/>
        <xdr:cNvCxnSpPr/>
      </xdr:nvCxnSpPr>
      <xdr:spPr>
        <a:xfrm flipH="1">
          <a:off x="2840831" y="78137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414</xdr:row>
      <xdr:rowOff>89297</xdr:rowOff>
    </xdr:from>
    <xdr:to>
      <xdr:col>3</xdr:col>
      <xdr:colOff>178594</xdr:colOff>
      <xdr:row>415</xdr:row>
      <xdr:rowOff>59531</xdr:rowOff>
    </xdr:to>
    <xdr:cxnSp macro="">
      <xdr:nvCxnSpPr>
        <xdr:cNvPr id="412" name="Straight Connector 411"/>
        <xdr:cNvCxnSpPr/>
      </xdr:nvCxnSpPr>
      <xdr:spPr>
        <a:xfrm>
          <a:off x="2840831" y="7914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414</xdr:row>
      <xdr:rowOff>35719</xdr:rowOff>
    </xdr:from>
    <xdr:to>
      <xdr:col>3</xdr:col>
      <xdr:colOff>285750</xdr:colOff>
      <xdr:row>414</xdr:row>
      <xdr:rowOff>154781</xdr:rowOff>
    </xdr:to>
    <xdr:cxnSp macro="">
      <xdr:nvCxnSpPr>
        <xdr:cNvPr id="413" name="Straight Connector 412"/>
        <xdr:cNvCxnSpPr/>
      </xdr:nvCxnSpPr>
      <xdr:spPr>
        <a:xfrm>
          <a:off x="2876550" y="7909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414</xdr:row>
      <xdr:rowOff>44824</xdr:rowOff>
    </xdr:from>
    <xdr:to>
      <xdr:col>3</xdr:col>
      <xdr:colOff>67235</xdr:colOff>
      <xdr:row>416</xdr:row>
      <xdr:rowOff>156883</xdr:rowOff>
    </xdr:to>
    <xdr:cxnSp macro="">
      <xdr:nvCxnSpPr>
        <xdr:cNvPr id="414" name="Straight Connector 413"/>
        <xdr:cNvCxnSpPr/>
      </xdr:nvCxnSpPr>
      <xdr:spPr>
        <a:xfrm>
          <a:off x="2848535" y="7910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416</xdr:row>
      <xdr:rowOff>166690</xdr:rowOff>
    </xdr:from>
    <xdr:to>
      <xdr:col>4</xdr:col>
      <xdr:colOff>29308</xdr:colOff>
      <xdr:row>416</xdr:row>
      <xdr:rowOff>168519</xdr:rowOff>
    </xdr:to>
    <xdr:cxnSp macro="">
      <xdr:nvCxnSpPr>
        <xdr:cNvPr id="415" name="Straight Connector 414"/>
        <xdr:cNvCxnSpPr/>
      </xdr:nvCxnSpPr>
      <xdr:spPr>
        <a:xfrm>
          <a:off x="2840831" y="79605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414</xdr:row>
      <xdr:rowOff>41673</xdr:rowOff>
    </xdr:from>
    <xdr:to>
      <xdr:col>4</xdr:col>
      <xdr:colOff>12211</xdr:colOff>
      <xdr:row>417</xdr:row>
      <xdr:rowOff>0</xdr:rowOff>
    </xdr:to>
    <xdr:cxnSp macro="">
      <xdr:nvCxnSpPr>
        <xdr:cNvPr id="416" name="Straight Connector 415"/>
        <xdr:cNvCxnSpPr/>
      </xdr:nvCxnSpPr>
      <xdr:spPr>
        <a:xfrm flipH="1" flipV="1">
          <a:off x="3495675" y="7909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414</xdr:row>
      <xdr:rowOff>32918</xdr:rowOff>
    </xdr:from>
    <xdr:to>
      <xdr:col>4</xdr:col>
      <xdr:colOff>17861</xdr:colOff>
      <xdr:row>414</xdr:row>
      <xdr:rowOff>35719</xdr:rowOff>
    </xdr:to>
    <xdr:cxnSp macro="">
      <xdr:nvCxnSpPr>
        <xdr:cNvPr id="417" name="Straight Connector 416"/>
        <xdr:cNvCxnSpPr/>
      </xdr:nvCxnSpPr>
      <xdr:spPr>
        <a:xfrm flipH="1">
          <a:off x="2840831" y="79090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398</xdr:row>
      <xdr:rowOff>171450</xdr:rowOff>
    </xdr:from>
    <xdr:to>
      <xdr:col>3</xdr:col>
      <xdr:colOff>504825</xdr:colOff>
      <xdr:row>403</xdr:row>
      <xdr:rowOff>47625</xdr:rowOff>
    </xdr:to>
    <xdr:pic>
      <xdr:nvPicPr>
        <xdr:cNvPr id="418"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618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418</xdr:row>
      <xdr:rowOff>297027</xdr:rowOff>
    </xdr:from>
    <xdr:to>
      <xdr:col>3</xdr:col>
      <xdr:colOff>392907</xdr:colOff>
      <xdr:row>422</xdr:row>
      <xdr:rowOff>154781</xdr:rowOff>
    </xdr:to>
    <xdr:cxnSp macro="">
      <xdr:nvCxnSpPr>
        <xdr:cNvPr id="419" name="Straight Connector 418"/>
        <xdr:cNvCxnSpPr/>
      </xdr:nvCxnSpPr>
      <xdr:spPr>
        <a:xfrm>
          <a:off x="3166381"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422</xdr:row>
      <xdr:rowOff>142875</xdr:rowOff>
    </xdr:from>
    <xdr:to>
      <xdr:col>4</xdr:col>
      <xdr:colOff>11908</xdr:colOff>
      <xdr:row>422</xdr:row>
      <xdr:rowOff>154782</xdr:rowOff>
    </xdr:to>
    <xdr:cxnSp macro="">
      <xdr:nvCxnSpPr>
        <xdr:cNvPr id="420" name="Straight Connector 419"/>
        <xdr:cNvCxnSpPr/>
      </xdr:nvCxnSpPr>
      <xdr:spPr>
        <a:xfrm flipH="1" flipV="1">
          <a:off x="3150395" y="8072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418</xdr:row>
      <xdr:rowOff>305147</xdr:rowOff>
    </xdr:from>
    <xdr:to>
      <xdr:col>3</xdr:col>
      <xdr:colOff>130969</xdr:colOff>
      <xdr:row>420</xdr:row>
      <xdr:rowOff>11906</xdr:rowOff>
    </xdr:to>
    <xdr:cxnSp macro="">
      <xdr:nvCxnSpPr>
        <xdr:cNvPr id="421" name="Straight Arrow Connector 420"/>
        <xdr:cNvCxnSpPr/>
      </xdr:nvCxnSpPr>
      <xdr:spPr>
        <a:xfrm flipH="1" flipV="1">
          <a:off x="2904995"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421</xdr:row>
      <xdr:rowOff>11907</xdr:rowOff>
    </xdr:from>
    <xdr:to>
      <xdr:col>3</xdr:col>
      <xdr:colOff>130969</xdr:colOff>
      <xdr:row>422</xdr:row>
      <xdr:rowOff>154782</xdr:rowOff>
    </xdr:to>
    <xdr:cxnSp macro="">
      <xdr:nvCxnSpPr>
        <xdr:cNvPr id="422" name="Straight Arrow Connector 421"/>
        <xdr:cNvCxnSpPr/>
      </xdr:nvCxnSpPr>
      <xdr:spPr>
        <a:xfrm>
          <a:off x="2912269"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425</xdr:row>
      <xdr:rowOff>89297</xdr:rowOff>
    </xdr:from>
    <xdr:to>
      <xdr:col>3</xdr:col>
      <xdr:colOff>178594</xdr:colOff>
      <xdr:row>426</xdr:row>
      <xdr:rowOff>59531</xdr:rowOff>
    </xdr:to>
    <xdr:cxnSp macro="">
      <xdr:nvCxnSpPr>
        <xdr:cNvPr id="423" name="Straight Connector 422"/>
        <xdr:cNvCxnSpPr/>
      </xdr:nvCxnSpPr>
      <xdr:spPr>
        <a:xfrm>
          <a:off x="2840831" y="8124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425</xdr:row>
      <xdr:rowOff>35719</xdr:rowOff>
    </xdr:from>
    <xdr:to>
      <xdr:col>3</xdr:col>
      <xdr:colOff>285750</xdr:colOff>
      <xdr:row>425</xdr:row>
      <xdr:rowOff>154781</xdr:rowOff>
    </xdr:to>
    <xdr:cxnSp macro="">
      <xdr:nvCxnSpPr>
        <xdr:cNvPr id="424" name="Straight Connector 423"/>
        <xdr:cNvCxnSpPr/>
      </xdr:nvCxnSpPr>
      <xdr:spPr>
        <a:xfrm>
          <a:off x="2876550" y="8118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425</xdr:row>
      <xdr:rowOff>44824</xdr:rowOff>
    </xdr:from>
    <xdr:to>
      <xdr:col>3</xdr:col>
      <xdr:colOff>67235</xdr:colOff>
      <xdr:row>427</xdr:row>
      <xdr:rowOff>156883</xdr:rowOff>
    </xdr:to>
    <xdr:cxnSp macro="">
      <xdr:nvCxnSpPr>
        <xdr:cNvPr id="425" name="Straight Connector 424"/>
        <xdr:cNvCxnSpPr/>
      </xdr:nvCxnSpPr>
      <xdr:spPr>
        <a:xfrm>
          <a:off x="2848535" y="8119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427</xdr:row>
      <xdr:rowOff>166690</xdr:rowOff>
    </xdr:from>
    <xdr:to>
      <xdr:col>4</xdr:col>
      <xdr:colOff>29308</xdr:colOff>
      <xdr:row>427</xdr:row>
      <xdr:rowOff>168519</xdr:rowOff>
    </xdr:to>
    <xdr:cxnSp macro="">
      <xdr:nvCxnSpPr>
        <xdr:cNvPr id="426" name="Straight Connector 425"/>
        <xdr:cNvCxnSpPr/>
      </xdr:nvCxnSpPr>
      <xdr:spPr>
        <a:xfrm>
          <a:off x="2840831" y="8170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425</xdr:row>
      <xdr:rowOff>41673</xdr:rowOff>
    </xdr:from>
    <xdr:to>
      <xdr:col>4</xdr:col>
      <xdr:colOff>12211</xdr:colOff>
      <xdr:row>428</xdr:row>
      <xdr:rowOff>0</xdr:rowOff>
    </xdr:to>
    <xdr:cxnSp macro="">
      <xdr:nvCxnSpPr>
        <xdr:cNvPr id="427" name="Straight Connector 426"/>
        <xdr:cNvCxnSpPr/>
      </xdr:nvCxnSpPr>
      <xdr:spPr>
        <a:xfrm flipH="1" flipV="1">
          <a:off x="3495675" y="8119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425</xdr:row>
      <xdr:rowOff>32918</xdr:rowOff>
    </xdr:from>
    <xdr:to>
      <xdr:col>4</xdr:col>
      <xdr:colOff>17861</xdr:colOff>
      <xdr:row>425</xdr:row>
      <xdr:rowOff>35719</xdr:rowOff>
    </xdr:to>
    <xdr:cxnSp macro="">
      <xdr:nvCxnSpPr>
        <xdr:cNvPr id="428" name="Straight Connector 427"/>
        <xdr:cNvCxnSpPr/>
      </xdr:nvCxnSpPr>
      <xdr:spPr>
        <a:xfrm flipH="1">
          <a:off x="2840831" y="8118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89297</xdr:rowOff>
    </xdr:from>
    <xdr:to>
      <xdr:col>3</xdr:col>
      <xdr:colOff>178594</xdr:colOff>
      <xdr:row>436</xdr:row>
      <xdr:rowOff>59531</xdr:rowOff>
    </xdr:to>
    <xdr:cxnSp macro="">
      <xdr:nvCxnSpPr>
        <xdr:cNvPr id="429" name="Straight Connector 428"/>
        <xdr:cNvCxnSpPr/>
      </xdr:nvCxnSpPr>
      <xdr:spPr>
        <a:xfrm>
          <a:off x="2840831" y="8314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435</xdr:row>
      <xdr:rowOff>35719</xdr:rowOff>
    </xdr:from>
    <xdr:to>
      <xdr:col>3</xdr:col>
      <xdr:colOff>285750</xdr:colOff>
      <xdr:row>435</xdr:row>
      <xdr:rowOff>154781</xdr:rowOff>
    </xdr:to>
    <xdr:cxnSp macro="">
      <xdr:nvCxnSpPr>
        <xdr:cNvPr id="430" name="Straight Connector 429"/>
        <xdr:cNvCxnSpPr/>
      </xdr:nvCxnSpPr>
      <xdr:spPr>
        <a:xfrm>
          <a:off x="2876550" y="8309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435</xdr:row>
      <xdr:rowOff>44824</xdr:rowOff>
    </xdr:from>
    <xdr:to>
      <xdr:col>3</xdr:col>
      <xdr:colOff>67235</xdr:colOff>
      <xdr:row>437</xdr:row>
      <xdr:rowOff>156883</xdr:rowOff>
    </xdr:to>
    <xdr:cxnSp macro="">
      <xdr:nvCxnSpPr>
        <xdr:cNvPr id="431" name="Straight Connector 430"/>
        <xdr:cNvCxnSpPr/>
      </xdr:nvCxnSpPr>
      <xdr:spPr>
        <a:xfrm>
          <a:off x="2848535" y="8310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437</xdr:row>
      <xdr:rowOff>166690</xdr:rowOff>
    </xdr:from>
    <xdr:to>
      <xdr:col>4</xdr:col>
      <xdr:colOff>29308</xdr:colOff>
      <xdr:row>437</xdr:row>
      <xdr:rowOff>168519</xdr:rowOff>
    </xdr:to>
    <xdr:cxnSp macro="">
      <xdr:nvCxnSpPr>
        <xdr:cNvPr id="432" name="Straight Connector 431"/>
        <xdr:cNvCxnSpPr/>
      </xdr:nvCxnSpPr>
      <xdr:spPr>
        <a:xfrm>
          <a:off x="2840831" y="8360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435</xdr:row>
      <xdr:rowOff>41673</xdr:rowOff>
    </xdr:from>
    <xdr:to>
      <xdr:col>4</xdr:col>
      <xdr:colOff>12211</xdr:colOff>
      <xdr:row>438</xdr:row>
      <xdr:rowOff>0</xdr:rowOff>
    </xdr:to>
    <xdr:cxnSp macro="">
      <xdr:nvCxnSpPr>
        <xdr:cNvPr id="433" name="Straight Connector 432"/>
        <xdr:cNvCxnSpPr/>
      </xdr:nvCxnSpPr>
      <xdr:spPr>
        <a:xfrm flipH="1" flipV="1">
          <a:off x="3495675" y="8309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32918</xdr:rowOff>
    </xdr:from>
    <xdr:to>
      <xdr:col>4</xdr:col>
      <xdr:colOff>17861</xdr:colOff>
      <xdr:row>435</xdr:row>
      <xdr:rowOff>35719</xdr:rowOff>
    </xdr:to>
    <xdr:cxnSp macro="">
      <xdr:nvCxnSpPr>
        <xdr:cNvPr id="434" name="Straight Connector 433"/>
        <xdr:cNvCxnSpPr/>
      </xdr:nvCxnSpPr>
      <xdr:spPr>
        <a:xfrm flipH="1">
          <a:off x="2840831" y="8309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418</xdr:row>
      <xdr:rowOff>171450</xdr:rowOff>
    </xdr:from>
    <xdr:to>
      <xdr:col>3</xdr:col>
      <xdr:colOff>504825</xdr:colOff>
      <xdr:row>423</xdr:row>
      <xdr:rowOff>47625</xdr:rowOff>
    </xdr:to>
    <xdr:pic>
      <xdr:nvPicPr>
        <xdr:cNvPr id="43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430</xdr:row>
      <xdr:rowOff>89297</xdr:rowOff>
    </xdr:from>
    <xdr:to>
      <xdr:col>3</xdr:col>
      <xdr:colOff>178594</xdr:colOff>
      <xdr:row>431</xdr:row>
      <xdr:rowOff>59531</xdr:rowOff>
    </xdr:to>
    <xdr:cxnSp macro="">
      <xdr:nvCxnSpPr>
        <xdr:cNvPr id="436" name="Straight Connector 435"/>
        <xdr:cNvCxnSpPr/>
      </xdr:nvCxnSpPr>
      <xdr:spPr>
        <a:xfrm>
          <a:off x="2840831" y="8219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430</xdr:row>
      <xdr:rowOff>35719</xdr:rowOff>
    </xdr:from>
    <xdr:to>
      <xdr:col>3</xdr:col>
      <xdr:colOff>285750</xdr:colOff>
      <xdr:row>430</xdr:row>
      <xdr:rowOff>154781</xdr:rowOff>
    </xdr:to>
    <xdr:cxnSp macro="">
      <xdr:nvCxnSpPr>
        <xdr:cNvPr id="437" name="Straight Connector 436"/>
        <xdr:cNvCxnSpPr/>
      </xdr:nvCxnSpPr>
      <xdr:spPr>
        <a:xfrm>
          <a:off x="2876550" y="8214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430</xdr:row>
      <xdr:rowOff>44824</xdr:rowOff>
    </xdr:from>
    <xdr:to>
      <xdr:col>3</xdr:col>
      <xdr:colOff>67235</xdr:colOff>
      <xdr:row>432</xdr:row>
      <xdr:rowOff>156883</xdr:rowOff>
    </xdr:to>
    <xdr:cxnSp macro="">
      <xdr:nvCxnSpPr>
        <xdr:cNvPr id="438" name="Straight Connector 437"/>
        <xdr:cNvCxnSpPr/>
      </xdr:nvCxnSpPr>
      <xdr:spPr>
        <a:xfrm>
          <a:off x="2848535" y="8215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432</xdr:row>
      <xdr:rowOff>166690</xdr:rowOff>
    </xdr:from>
    <xdr:to>
      <xdr:col>4</xdr:col>
      <xdr:colOff>29308</xdr:colOff>
      <xdr:row>432</xdr:row>
      <xdr:rowOff>168519</xdr:rowOff>
    </xdr:to>
    <xdr:cxnSp macro="">
      <xdr:nvCxnSpPr>
        <xdr:cNvPr id="439" name="Straight Connector 438"/>
        <xdr:cNvCxnSpPr/>
      </xdr:nvCxnSpPr>
      <xdr:spPr>
        <a:xfrm>
          <a:off x="2840831" y="8265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430</xdr:row>
      <xdr:rowOff>41673</xdr:rowOff>
    </xdr:from>
    <xdr:to>
      <xdr:col>4</xdr:col>
      <xdr:colOff>12211</xdr:colOff>
      <xdr:row>433</xdr:row>
      <xdr:rowOff>0</xdr:rowOff>
    </xdr:to>
    <xdr:cxnSp macro="">
      <xdr:nvCxnSpPr>
        <xdr:cNvPr id="440" name="Straight Connector 439"/>
        <xdr:cNvCxnSpPr/>
      </xdr:nvCxnSpPr>
      <xdr:spPr>
        <a:xfrm flipH="1" flipV="1">
          <a:off x="3495675" y="8214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430</xdr:row>
      <xdr:rowOff>32918</xdr:rowOff>
    </xdr:from>
    <xdr:to>
      <xdr:col>4</xdr:col>
      <xdr:colOff>17861</xdr:colOff>
      <xdr:row>430</xdr:row>
      <xdr:rowOff>35719</xdr:rowOff>
    </xdr:to>
    <xdr:cxnSp macro="">
      <xdr:nvCxnSpPr>
        <xdr:cNvPr id="441" name="Straight Connector 440"/>
        <xdr:cNvCxnSpPr/>
      </xdr:nvCxnSpPr>
      <xdr:spPr>
        <a:xfrm flipH="1">
          <a:off x="2840831" y="8213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89297</xdr:rowOff>
    </xdr:from>
    <xdr:to>
      <xdr:col>3</xdr:col>
      <xdr:colOff>178594</xdr:colOff>
      <xdr:row>441</xdr:row>
      <xdr:rowOff>59531</xdr:rowOff>
    </xdr:to>
    <xdr:cxnSp macro="">
      <xdr:nvCxnSpPr>
        <xdr:cNvPr id="442" name="Straight Connector 441"/>
        <xdr:cNvCxnSpPr/>
      </xdr:nvCxnSpPr>
      <xdr:spPr>
        <a:xfrm>
          <a:off x="2840831" y="8409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440</xdr:row>
      <xdr:rowOff>35719</xdr:rowOff>
    </xdr:from>
    <xdr:to>
      <xdr:col>3</xdr:col>
      <xdr:colOff>285750</xdr:colOff>
      <xdr:row>440</xdr:row>
      <xdr:rowOff>154781</xdr:rowOff>
    </xdr:to>
    <xdr:cxnSp macro="">
      <xdr:nvCxnSpPr>
        <xdr:cNvPr id="443" name="Straight Connector 442"/>
        <xdr:cNvCxnSpPr/>
      </xdr:nvCxnSpPr>
      <xdr:spPr>
        <a:xfrm>
          <a:off x="2876550" y="8404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440</xdr:row>
      <xdr:rowOff>44824</xdr:rowOff>
    </xdr:from>
    <xdr:to>
      <xdr:col>3</xdr:col>
      <xdr:colOff>67235</xdr:colOff>
      <xdr:row>442</xdr:row>
      <xdr:rowOff>156883</xdr:rowOff>
    </xdr:to>
    <xdr:cxnSp macro="">
      <xdr:nvCxnSpPr>
        <xdr:cNvPr id="444" name="Straight Connector 443"/>
        <xdr:cNvCxnSpPr/>
      </xdr:nvCxnSpPr>
      <xdr:spPr>
        <a:xfrm>
          <a:off x="2848535" y="8405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442</xdr:row>
      <xdr:rowOff>166690</xdr:rowOff>
    </xdr:from>
    <xdr:to>
      <xdr:col>4</xdr:col>
      <xdr:colOff>29308</xdr:colOff>
      <xdr:row>442</xdr:row>
      <xdr:rowOff>168519</xdr:rowOff>
    </xdr:to>
    <xdr:cxnSp macro="">
      <xdr:nvCxnSpPr>
        <xdr:cNvPr id="445" name="Straight Connector 444"/>
        <xdr:cNvCxnSpPr/>
      </xdr:nvCxnSpPr>
      <xdr:spPr>
        <a:xfrm>
          <a:off x="2840831" y="84558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440</xdr:row>
      <xdr:rowOff>41673</xdr:rowOff>
    </xdr:from>
    <xdr:to>
      <xdr:col>4</xdr:col>
      <xdr:colOff>12211</xdr:colOff>
      <xdr:row>443</xdr:row>
      <xdr:rowOff>0</xdr:rowOff>
    </xdr:to>
    <xdr:cxnSp macro="">
      <xdr:nvCxnSpPr>
        <xdr:cNvPr id="446" name="Straight Connector 445"/>
        <xdr:cNvCxnSpPr/>
      </xdr:nvCxnSpPr>
      <xdr:spPr>
        <a:xfrm flipH="1" flipV="1">
          <a:off x="3495675" y="8405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32918</xdr:rowOff>
    </xdr:from>
    <xdr:to>
      <xdr:col>4</xdr:col>
      <xdr:colOff>17861</xdr:colOff>
      <xdr:row>440</xdr:row>
      <xdr:rowOff>35719</xdr:rowOff>
    </xdr:to>
    <xdr:cxnSp macro="">
      <xdr:nvCxnSpPr>
        <xdr:cNvPr id="447" name="Straight Connector 446"/>
        <xdr:cNvCxnSpPr/>
      </xdr:nvCxnSpPr>
      <xdr:spPr>
        <a:xfrm flipH="1">
          <a:off x="2840831" y="84043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89297</xdr:rowOff>
    </xdr:from>
    <xdr:to>
      <xdr:col>3</xdr:col>
      <xdr:colOff>178594</xdr:colOff>
      <xdr:row>446</xdr:row>
      <xdr:rowOff>59531</xdr:rowOff>
    </xdr:to>
    <xdr:cxnSp macro="">
      <xdr:nvCxnSpPr>
        <xdr:cNvPr id="448" name="Straight Connector 447"/>
        <xdr:cNvCxnSpPr/>
      </xdr:nvCxnSpPr>
      <xdr:spPr>
        <a:xfrm>
          <a:off x="2840831" y="8505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445</xdr:row>
      <xdr:rowOff>35719</xdr:rowOff>
    </xdr:from>
    <xdr:to>
      <xdr:col>3</xdr:col>
      <xdr:colOff>285750</xdr:colOff>
      <xdr:row>445</xdr:row>
      <xdr:rowOff>154781</xdr:rowOff>
    </xdr:to>
    <xdr:cxnSp macro="">
      <xdr:nvCxnSpPr>
        <xdr:cNvPr id="449" name="Straight Connector 448"/>
        <xdr:cNvCxnSpPr/>
      </xdr:nvCxnSpPr>
      <xdr:spPr>
        <a:xfrm>
          <a:off x="2876550" y="8499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445</xdr:row>
      <xdr:rowOff>44824</xdr:rowOff>
    </xdr:from>
    <xdr:to>
      <xdr:col>3</xdr:col>
      <xdr:colOff>67235</xdr:colOff>
      <xdr:row>447</xdr:row>
      <xdr:rowOff>156883</xdr:rowOff>
    </xdr:to>
    <xdr:cxnSp macro="">
      <xdr:nvCxnSpPr>
        <xdr:cNvPr id="450" name="Straight Connector 449"/>
        <xdr:cNvCxnSpPr/>
      </xdr:nvCxnSpPr>
      <xdr:spPr>
        <a:xfrm>
          <a:off x="2848535" y="8500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447</xdr:row>
      <xdr:rowOff>166690</xdr:rowOff>
    </xdr:from>
    <xdr:to>
      <xdr:col>4</xdr:col>
      <xdr:colOff>29308</xdr:colOff>
      <xdr:row>447</xdr:row>
      <xdr:rowOff>168519</xdr:rowOff>
    </xdr:to>
    <xdr:cxnSp macro="">
      <xdr:nvCxnSpPr>
        <xdr:cNvPr id="451" name="Straight Connector 450"/>
        <xdr:cNvCxnSpPr/>
      </xdr:nvCxnSpPr>
      <xdr:spPr>
        <a:xfrm>
          <a:off x="2840831" y="8551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445</xdr:row>
      <xdr:rowOff>41673</xdr:rowOff>
    </xdr:from>
    <xdr:to>
      <xdr:col>4</xdr:col>
      <xdr:colOff>12211</xdr:colOff>
      <xdr:row>448</xdr:row>
      <xdr:rowOff>0</xdr:rowOff>
    </xdr:to>
    <xdr:cxnSp macro="">
      <xdr:nvCxnSpPr>
        <xdr:cNvPr id="452" name="Straight Connector 451"/>
        <xdr:cNvCxnSpPr/>
      </xdr:nvCxnSpPr>
      <xdr:spPr>
        <a:xfrm flipH="1" flipV="1">
          <a:off x="3495675" y="8500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32918</xdr:rowOff>
    </xdr:from>
    <xdr:to>
      <xdr:col>4</xdr:col>
      <xdr:colOff>17861</xdr:colOff>
      <xdr:row>445</xdr:row>
      <xdr:rowOff>35719</xdr:rowOff>
    </xdr:to>
    <xdr:cxnSp macro="">
      <xdr:nvCxnSpPr>
        <xdr:cNvPr id="453" name="Straight Connector 452"/>
        <xdr:cNvCxnSpPr/>
      </xdr:nvCxnSpPr>
      <xdr:spPr>
        <a:xfrm flipH="1">
          <a:off x="2840831" y="8499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89297</xdr:rowOff>
    </xdr:from>
    <xdr:to>
      <xdr:col>3</xdr:col>
      <xdr:colOff>178594</xdr:colOff>
      <xdr:row>451</xdr:row>
      <xdr:rowOff>59531</xdr:rowOff>
    </xdr:to>
    <xdr:cxnSp macro="">
      <xdr:nvCxnSpPr>
        <xdr:cNvPr id="454" name="Straight Connector 453"/>
        <xdr:cNvCxnSpPr/>
      </xdr:nvCxnSpPr>
      <xdr:spPr>
        <a:xfrm>
          <a:off x="2840831" y="8600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450</xdr:row>
      <xdr:rowOff>35719</xdr:rowOff>
    </xdr:from>
    <xdr:to>
      <xdr:col>3</xdr:col>
      <xdr:colOff>285750</xdr:colOff>
      <xdr:row>450</xdr:row>
      <xdr:rowOff>154781</xdr:rowOff>
    </xdr:to>
    <xdr:cxnSp macro="">
      <xdr:nvCxnSpPr>
        <xdr:cNvPr id="455" name="Straight Connector 454"/>
        <xdr:cNvCxnSpPr/>
      </xdr:nvCxnSpPr>
      <xdr:spPr>
        <a:xfrm>
          <a:off x="2876550" y="8595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450</xdr:row>
      <xdr:rowOff>44824</xdr:rowOff>
    </xdr:from>
    <xdr:to>
      <xdr:col>3</xdr:col>
      <xdr:colOff>67235</xdr:colOff>
      <xdr:row>452</xdr:row>
      <xdr:rowOff>156883</xdr:rowOff>
    </xdr:to>
    <xdr:cxnSp macro="">
      <xdr:nvCxnSpPr>
        <xdr:cNvPr id="456" name="Straight Connector 455"/>
        <xdr:cNvCxnSpPr/>
      </xdr:nvCxnSpPr>
      <xdr:spPr>
        <a:xfrm>
          <a:off x="2848535" y="8596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452</xdr:row>
      <xdr:rowOff>166690</xdr:rowOff>
    </xdr:from>
    <xdr:to>
      <xdr:col>4</xdr:col>
      <xdr:colOff>29308</xdr:colOff>
      <xdr:row>452</xdr:row>
      <xdr:rowOff>168519</xdr:rowOff>
    </xdr:to>
    <xdr:cxnSp macro="">
      <xdr:nvCxnSpPr>
        <xdr:cNvPr id="457" name="Straight Connector 456"/>
        <xdr:cNvCxnSpPr/>
      </xdr:nvCxnSpPr>
      <xdr:spPr>
        <a:xfrm>
          <a:off x="2840831" y="8646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450</xdr:row>
      <xdr:rowOff>41673</xdr:rowOff>
    </xdr:from>
    <xdr:to>
      <xdr:col>4</xdr:col>
      <xdr:colOff>12211</xdr:colOff>
      <xdr:row>453</xdr:row>
      <xdr:rowOff>0</xdr:rowOff>
    </xdr:to>
    <xdr:cxnSp macro="">
      <xdr:nvCxnSpPr>
        <xdr:cNvPr id="458" name="Straight Connector 457"/>
        <xdr:cNvCxnSpPr/>
      </xdr:nvCxnSpPr>
      <xdr:spPr>
        <a:xfrm flipH="1" flipV="1">
          <a:off x="3495675" y="8595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32918</xdr:rowOff>
    </xdr:from>
    <xdr:to>
      <xdr:col>4</xdr:col>
      <xdr:colOff>17861</xdr:colOff>
      <xdr:row>450</xdr:row>
      <xdr:rowOff>35719</xdr:rowOff>
    </xdr:to>
    <xdr:cxnSp macro="">
      <xdr:nvCxnSpPr>
        <xdr:cNvPr id="459" name="Straight Connector 458"/>
        <xdr:cNvCxnSpPr/>
      </xdr:nvCxnSpPr>
      <xdr:spPr>
        <a:xfrm flipH="1">
          <a:off x="2840831" y="8594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35719</xdr:rowOff>
    </xdr:from>
    <xdr:to>
      <xdr:col>3</xdr:col>
      <xdr:colOff>428625</xdr:colOff>
      <xdr:row>457</xdr:row>
      <xdr:rowOff>178594</xdr:rowOff>
    </xdr:to>
    <xdr:cxnSp macro="">
      <xdr:nvCxnSpPr>
        <xdr:cNvPr id="460" name="Straight Connector 459"/>
        <xdr:cNvCxnSpPr/>
      </xdr:nvCxnSpPr>
      <xdr:spPr>
        <a:xfrm>
          <a:off x="3209925" y="86903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457</xdr:row>
      <xdr:rowOff>95249</xdr:rowOff>
    </xdr:from>
    <xdr:to>
      <xdr:col>3</xdr:col>
      <xdr:colOff>571500</xdr:colOff>
      <xdr:row>457</xdr:row>
      <xdr:rowOff>154780</xdr:rowOff>
    </xdr:to>
    <xdr:cxnSp macro="">
      <xdr:nvCxnSpPr>
        <xdr:cNvPr id="461" name="Straight Connector 460"/>
        <xdr:cNvCxnSpPr/>
      </xdr:nvCxnSpPr>
      <xdr:spPr>
        <a:xfrm flipH="1">
          <a:off x="3209925" y="87344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47625</xdr:rowOff>
    </xdr:from>
    <xdr:to>
      <xdr:col>3</xdr:col>
      <xdr:colOff>595313</xdr:colOff>
      <xdr:row>455</xdr:row>
      <xdr:rowOff>119062</xdr:rowOff>
    </xdr:to>
    <xdr:cxnSp macro="">
      <xdr:nvCxnSpPr>
        <xdr:cNvPr id="462" name="Straight Connector 461"/>
        <xdr:cNvCxnSpPr/>
      </xdr:nvCxnSpPr>
      <xdr:spPr>
        <a:xfrm>
          <a:off x="3209925" y="86915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418</xdr:row>
      <xdr:rowOff>297027</xdr:rowOff>
    </xdr:from>
    <xdr:to>
      <xdr:col>3</xdr:col>
      <xdr:colOff>392907</xdr:colOff>
      <xdr:row>422</xdr:row>
      <xdr:rowOff>154781</xdr:rowOff>
    </xdr:to>
    <xdr:cxnSp macro="">
      <xdr:nvCxnSpPr>
        <xdr:cNvPr id="463" name="Straight Connector 462"/>
        <xdr:cNvCxnSpPr/>
      </xdr:nvCxnSpPr>
      <xdr:spPr>
        <a:xfrm>
          <a:off x="3166381"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422</xdr:row>
      <xdr:rowOff>142875</xdr:rowOff>
    </xdr:from>
    <xdr:to>
      <xdr:col>4</xdr:col>
      <xdr:colOff>11908</xdr:colOff>
      <xdr:row>422</xdr:row>
      <xdr:rowOff>154782</xdr:rowOff>
    </xdr:to>
    <xdr:cxnSp macro="">
      <xdr:nvCxnSpPr>
        <xdr:cNvPr id="464" name="Straight Connector 463"/>
        <xdr:cNvCxnSpPr/>
      </xdr:nvCxnSpPr>
      <xdr:spPr>
        <a:xfrm flipH="1" flipV="1">
          <a:off x="3150395" y="8072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418</xdr:row>
      <xdr:rowOff>305147</xdr:rowOff>
    </xdr:from>
    <xdr:to>
      <xdr:col>3</xdr:col>
      <xdr:colOff>130969</xdr:colOff>
      <xdr:row>420</xdr:row>
      <xdr:rowOff>11906</xdr:rowOff>
    </xdr:to>
    <xdr:cxnSp macro="">
      <xdr:nvCxnSpPr>
        <xdr:cNvPr id="465" name="Straight Arrow Connector 464"/>
        <xdr:cNvCxnSpPr/>
      </xdr:nvCxnSpPr>
      <xdr:spPr>
        <a:xfrm flipH="1" flipV="1">
          <a:off x="2904995"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421</xdr:row>
      <xdr:rowOff>11907</xdr:rowOff>
    </xdr:from>
    <xdr:to>
      <xdr:col>3</xdr:col>
      <xdr:colOff>130969</xdr:colOff>
      <xdr:row>422</xdr:row>
      <xdr:rowOff>154782</xdr:rowOff>
    </xdr:to>
    <xdr:cxnSp macro="">
      <xdr:nvCxnSpPr>
        <xdr:cNvPr id="466" name="Straight Arrow Connector 465"/>
        <xdr:cNvCxnSpPr/>
      </xdr:nvCxnSpPr>
      <xdr:spPr>
        <a:xfrm>
          <a:off x="2912269"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425</xdr:row>
      <xdr:rowOff>89297</xdr:rowOff>
    </xdr:from>
    <xdr:to>
      <xdr:col>3</xdr:col>
      <xdr:colOff>178594</xdr:colOff>
      <xdr:row>426</xdr:row>
      <xdr:rowOff>59531</xdr:rowOff>
    </xdr:to>
    <xdr:cxnSp macro="">
      <xdr:nvCxnSpPr>
        <xdr:cNvPr id="467" name="Straight Connector 466"/>
        <xdr:cNvCxnSpPr/>
      </xdr:nvCxnSpPr>
      <xdr:spPr>
        <a:xfrm>
          <a:off x="2840831" y="8124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425</xdr:row>
      <xdr:rowOff>35719</xdr:rowOff>
    </xdr:from>
    <xdr:to>
      <xdr:col>3</xdr:col>
      <xdr:colOff>285750</xdr:colOff>
      <xdr:row>425</xdr:row>
      <xdr:rowOff>154781</xdr:rowOff>
    </xdr:to>
    <xdr:cxnSp macro="">
      <xdr:nvCxnSpPr>
        <xdr:cNvPr id="468" name="Straight Connector 467"/>
        <xdr:cNvCxnSpPr/>
      </xdr:nvCxnSpPr>
      <xdr:spPr>
        <a:xfrm>
          <a:off x="2876550" y="8118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425</xdr:row>
      <xdr:rowOff>44824</xdr:rowOff>
    </xdr:from>
    <xdr:to>
      <xdr:col>3</xdr:col>
      <xdr:colOff>67235</xdr:colOff>
      <xdr:row>427</xdr:row>
      <xdr:rowOff>156883</xdr:rowOff>
    </xdr:to>
    <xdr:cxnSp macro="">
      <xdr:nvCxnSpPr>
        <xdr:cNvPr id="469" name="Straight Connector 468"/>
        <xdr:cNvCxnSpPr/>
      </xdr:nvCxnSpPr>
      <xdr:spPr>
        <a:xfrm>
          <a:off x="2848535" y="8119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427</xdr:row>
      <xdr:rowOff>166690</xdr:rowOff>
    </xdr:from>
    <xdr:to>
      <xdr:col>4</xdr:col>
      <xdr:colOff>29308</xdr:colOff>
      <xdr:row>427</xdr:row>
      <xdr:rowOff>168519</xdr:rowOff>
    </xdr:to>
    <xdr:cxnSp macro="">
      <xdr:nvCxnSpPr>
        <xdr:cNvPr id="470" name="Straight Connector 469"/>
        <xdr:cNvCxnSpPr/>
      </xdr:nvCxnSpPr>
      <xdr:spPr>
        <a:xfrm>
          <a:off x="2840831" y="8170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425</xdr:row>
      <xdr:rowOff>41673</xdr:rowOff>
    </xdr:from>
    <xdr:to>
      <xdr:col>4</xdr:col>
      <xdr:colOff>12211</xdr:colOff>
      <xdr:row>428</xdr:row>
      <xdr:rowOff>0</xdr:rowOff>
    </xdr:to>
    <xdr:cxnSp macro="">
      <xdr:nvCxnSpPr>
        <xdr:cNvPr id="471" name="Straight Connector 470"/>
        <xdr:cNvCxnSpPr/>
      </xdr:nvCxnSpPr>
      <xdr:spPr>
        <a:xfrm flipH="1" flipV="1">
          <a:off x="3495675" y="8119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425</xdr:row>
      <xdr:rowOff>32918</xdr:rowOff>
    </xdr:from>
    <xdr:to>
      <xdr:col>4</xdr:col>
      <xdr:colOff>17861</xdr:colOff>
      <xdr:row>425</xdr:row>
      <xdr:rowOff>35719</xdr:rowOff>
    </xdr:to>
    <xdr:cxnSp macro="">
      <xdr:nvCxnSpPr>
        <xdr:cNvPr id="472" name="Straight Connector 471"/>
        <xdr:cNvCxnSpPr/>
      </xdr:nvCxnSpPr>
      <xdr:spPr>
        <a:xfrm flipH="1">
          <a:off x="2840831" y="8118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89297</xdr:rowOff>
    </xdr:from>
    <xdr:to>
      <xdr:col>3</xdr:col>
      <xdr:colOff>178594</xdr:colOff>
      <xdr:row>436</xdr:row>
      <xdr:rowOff>59531</xdr:rowOff>
    </xdr:to>
    <xdr:cxnSp macro="">
      <xdr:nvCxnSpPr>
        <xdr:cNvPr id="473" name="Straight Connector 472"/>
        <xdr:cNvCxnSpPr/>
      </xdr:nvCxnSpPr>
      <xdr:spPr>
        <a:xfrm>
          <a:off x="2840831" y="8314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435</xdr:row>
      <xdr:rowOff>35719</xdr:rowOff>
    </xdr:from>
    <xdr:to>
      <xdr:col>3</xdr:col>
      <xdr:colOff>285750</xdr:colOff>
      <xdr:row>435</xdr:row>
      <xdr:rowOff>154781</xdr:rowOff>
    </xdr:to>
    <xdr:cxnSp macro="">
      <xdr:nvCxnSpPr>
        <xdr:cNvPr id="474" name="Straight Connector 473"/>
        <xdr:cNvCxnSpPr/>
      </xdr:nvCxnSpPr>
      <xdr:spPr>
        <a:xfrm>
          <a:off x="2876550" y="8309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435</xdr:row>
      <xdr:rowOff>44824</xdr:rowOff>
    </xdr:from>
    <xdr:to>
      <xdr:col>3</xdr:col>
      <xdr:colOff>67235</xdr:colOff>
      <xdr:row>437</xdr:row>
      <xdr:rowOff>156883</xdr:rowOff>
    </xdr:to>
    <xdr:cxnSp macro="">
      <xdr:nvCxnSpPr>
        <xdr:cNvPr id="475" name="Straight Connector 474"/>
        <xdr:cNvCxnSpPr/>
      </xdr:nvCxnSpPr>
      <xdr:spPr>
        <a:xfrm>
          <a:off x="2848535" y="8310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437</xdr:row>
      <xdr:rowOff>166690</xdr:rowOff>
    </xdr:from>
    <xdr:to>
      <xdr:col>4</xdr:col>
      <xdr:colOff>29308</xdr:colOff>
      <xdr:row>437</xdr:row>
      <xdr:rowOff>168519</xdr:rowOff>
    </xdr:to>
    <xdr:cxnSp macro="">
      <xdr:nvCxnSpPr>
        <xdr:cNvPr id="476" name="Straight Connector 475"/>
        <xdr:cNvCxnSpPr/>
      </xdr:nvCxnSpPr>
      <xdr:spPr>
        <a:xfrm>
          <a:off x="2840831" y="8360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435</xdr:row>
      <xdr:rowOff>41673</xdr:rowOff>
    </xdr:from>
    <xdr:to>
      <xdr:col>4</xdr:col>
      <xdr:colOff>12211</xdr:colOff>
      <xdr:row>438</xdr:row>
      <xdr:rowOff>0</xdr:rowOff>
    </xdr:to>
    <xdr:cxnSp macro="">
      <xdr:nvCxnSpPr>
        <xdr:cNvPr id="477" name="Straight Connector 476"/>
        <xdr:cNvCxnSpPr/>
      </xdr:nvCxnSpPr>
      <xdr:spPr>
        <a:xfrm flipH="1" flipV="1">
          <a:off x="3495675" y="8309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32918</xdr:rowOff>
    </xdr:from>
    <xdr:to>
      <xdr:col>4</xdr:col>
      <xdr:colOff>17861</xdr:colOff>
      <xdr:row>435</xdr:row>
      <xdr:rowOff>35719</xdr:rowOff>
    </xdr:to>
    <xdr:cxnSp macro="">
      <xdr:nvCxnSpPr>
        <xdr:cNvPr id="478" name="Straight Connector 477"/>
        <xdr:cNvCxnSpPr/>
      </xdr:nvCxnSpPr>
      <xdr:spPr>
        <a:xfrm flipH="1">
          <a:off x="2840831" y="8309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418</xdr:row>
      <xdr:rowOff>171450</xdr:rowOff>
    </xdr:from>
    <xdr:to>
      <xdr:col>3</xdr:col>
      <xdr:colOff>504825</xdr:colOff>
      <xdr:row>423</xdr:row>
      <xdr:rowOff>47625</xdr:rowOff>
    </xdr:to>
    <xdr:pic>
      <xdr:nvPicPr>
        <xdr:cNvPr id="479"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430</xdr:row>
      <xdr:rowOff>89297</xdr:rowOff>
    </xdr:from>
    <xdr:to>
      <xdr:col>3</xdr:col>
      <xdr:colOff>178594</xdr:colOff>
      <xdr:row>431</xdr:row>
      <xdr:rowOff>59531</xdr:rowOff>
    </xdr:to>
    <xdr:cxnSp macro="">
      <xdr:nvCxnSpPr>
        <xdr:cNvPr id="480" name="Straight Connector 479"/>
        <xdr:cNvCxnSpPr/>
      </xdr:nvCxnSpPr>
      <xdr:spPr>
        <a:xfrm>
          <a:off x="2840831" y="8219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430</xdr:row>
      <xdr:rowOff>35719</xdr:rowOff>
    </xdr:from>
    <xdr:to>
      <xdr:col>3</xdr:col>
      <xdr:colOff>285750</xdr:colOff>
      <xdr:row>430</xdr:row>
      <xdr:rowOff>154781</xdr:rowOff>
    </xdr:to>
    <xdr:cxnSp macro="">
      <xdr:nvCxnSpPr>
        <xdr:cNvPr id="481" name="Straight Connector 480"/>
        <xdr:cNvCxnSpPr/>
      </xdr:nvCxnSpPr>
      <xdr:spPr>
        <a:xfrm>
          <a:off x="2876550" y="8214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430</xdr:row>
      <xdr:rowOff>44824</xdr:rowOff>
    </xdr:from>
    <xdr:to>
      <xdr:col>3</xdr:col>
      <xdr:colOff>67235</xdr:colOff>
      <xdr:row>432</xdr:row>
      <xdr:rowOff>156883</xdr:rowOff>
    </xdr:to>
    <xdr:cxnSp macro="">
      <xdr:nvCxnSpPr>
        <xdr:cNvPr id="482" name="Straight Connector 481"/>
        <xdr:cNvCxnSpPr/>
      </xdr:nvCxnSpPr>
      <xdr:spPr>
        <a:xfrm>
          <a:off x="2848535" y="8215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432</xdr:row>
      <xdr:rowOff>166690</xdr:rowOff>
    </xdr:from>
    <xdr:to>
      <xdr:col>4</xdr:col>
      <xdr:colOff>29308</xdr:colOff>
      <xdr:row>432</xdr:row>
      <xdr:rowOff>168519</xdr:rowOff>
    </xdr:to>
    <xdr:cxnSp macro="">
      <xdr:nvCxnSpPr>
        <xdr:cNvPr id="483" name="Straight Connector 482"/>
        <xdr:cNvCxnSpPr/>
      </xdr:nvCxnSpPr>
      <xdr:spPr>
        <a:xfrm>
          <a:off x="2840831" y="8265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430</xdr:row>
      <xdr:rowOff>41673</xdr:rowOff>
    </xdr:from>
    <xdr:to>
      <xdr:col>4</xdr:col>
      <xdr:colOff>12211</xdr:colOff>
      <xdr:row>433</xdr:row>
      <xdr:rowOff>0</xdr:rowOff>
    </xdr:to>
    <xdr:cxnSp macro="">
      <xdr:nvCxnSpPr>
        <xdr:cNvPr id="484" name="Straight Connector 483"/>
        <xdr:cNvCxnSpPr/>
      </xdr:nvCxnSpPr>
      <xdr:spPr>
        <a:xfrm flipH="1" flipV="1">
          <a:off x="3495675" y="8214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430</xdr:row>
      <xdr:rowOff>32918</xdr:rowOff>
    </xdr:from>
    <xdr:to>
      <xdr:col>4</xdr:col>
      <xdr:colOff>17861</xdr:colOff>
      <xdr:row>430</xdr:row>
      <xdr:rowOff>35719</xdr:rowOff>
    </xdr:to>
    <xdr:cxnSp macro="">
      <xdr:nvCxnSpPr>
        <xdr:cNvPr id="485" name="Straight Connector 484"/>
        <xdr:cNvCxnSpPr/>
      </xdr:nvCxnSpPr>
      <xdr:spPr>
        <a:xfrm flipH="1">
          <a:off x="2840831" y="8213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89297</xdr:rowOff>
    </xdr:from>
    <xdr:to>
      <xdr:col>3</xdr:col>
      <xdr:colOff>178594</xdr:colOff>
      <xdr:row>441</xdr:row>
      <xdr:rowOff>59531</xdr:rowOff>
    </xdr:to>
    <xdr:cxnSp macro="">
      <xdr:nvCxnSpPr>
        <xdr:cNvPr id="486" name="Straight Connector 485"/>
        <xdr:cNvCxnSpPr/>
      </xdr:nvCxnSpPr>
      <xdr:spPr>
        <a:xfrm>
          <a:off x="2840831" y="8409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440</xdr:row>
      <xdr:rowOff>35719</xdr:rowOff>
    </xdr:from>
    <xdr:to>
      <xdr:col>3</xdr:col>
      <xdr:colOff>285750</xdr:colOff>
      <xdr:row>440</xdr:row>
      <xdr:rowOff>154781</xdr:rowOff>
    </xdr:to>
    <xdr:cxnSp macro="">
      <xdr:nvCxnSpPr>
        <xdr:cNvPr id="487" name="Straight Connector 486"/>
        <xdr:cNvCxnSpPr/>
      </xdr:nvCxnSpPr>
      <xdr:spPr>
        <a:xfrm>
          <a:off x="2876550" y="8404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440</xdr:row>
      <xdr:rowOff>44824</xdr:rowOff>
    </xdr:from>
    <xdr:to>
      <xdr:col>3</xdr:col>
      <xdr:colOff>67235</xdr:colOff>
      <xdr:row>442</xdr:row>
      <xdr:rowOff>156883</xdr:rowOff>
    </xdr:to>
    <xdr:cxnSp macro="">
      <xdr:nvCxnSpPr>
        <xdr:cNvPr id="488" name="Straight Connector 487"/>
        <xdr:cNvCxnSpPr/>
      </xdr:nvCxnSpPr>
      <xdr:spPr>
        <a:xfrm>
          <a:off x="2848535" y="8405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442</xdr:row>
      <xdr:rowOff>166690</xdr:rowOff>
    </xdr:from>
    <xdr:to>
      <xdr:col>4</xdr:col>
      <xdr:colOff>29308</xdr:colOff>
      <xdr:row>442</xdr:row>
      <xdr:rowOff>168519</xdr:rowOff>
    </xdr:to>
    <xdr:cxnSp macro="">
      <xdr:nvCxnSpPr>
        <xdr:cNvPr id="489" name="Straight Connector 488"/>
        <xdr:cNvCxnSpPr/>
      </xdr:nvCxnSpPr>
      <xdr:spPr>
        <a:xfrm>
          <a:off x="2840831" y="84558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440</xdr:row>
      <xdr:rowOff>41673</xdr:rowOff>
    </xdr:from>
    <xdr:to>
      <xdr:col>4</xdr:col>
      <xdr:colOff>12211</xdr:colOff>
      <xdr:row>443</xdr:row>
      <xdr:rowOff>0</xdr:rowOff>
    </xdr:to>
    <xdr:cxnSp macro="">
      <xdr:nvCxnSpPr>
        <xdr:cNvPr id="490" name="Straight Connector 489"/>
        <xdr:cNvCxnSpPr/>
      </xdr:nvCxnSpPr>
      <xdr:spPr>
        <a:xfrm flipH="1" flipV="1">
          <a:off x="3495675" y="8405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32918</xdr:rowOff>
    </xdr:from>
    <xdr:to>
      <xdr:col>4</xdr:col>
      <xdr:colOff>17861</xdr:colOff>
      <xdr:row>440</xdr:row>
      <xdr:rowOff>35719</xdr:rowOff>
    </xdr:to>
    <xdr:cxnSp macro="">
      <xdr:nvCxnSpPr>
        <xdr:cNvPr id="491" name="Straight Connector 490"/>
        <xdr:cNvCxnSpPr/>
      </xdr:nvCxnSpPr>
      <xdr:spPr>
        <a:xfrm flipH="1">
          <a:off x="2840831" y="84043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89297</xdr:rowOff>
    </xdr:from>
    <xdr:to>
      <xdr:col>3</xdr:col>
      <xdr:colOff>178594</xdr:colOff>
      <xdr:row>446</xdr:row>
      <xdr:rowOff>59531</xdr:rowOff>
    </xdr:to>
    <xdr:cxnSp macro="">
      <xdr:nvCxnSpPr>
        <xdr:cNvPr id="492" name="Straight Connector 491"/>
        <xdr:cNvCxnSpPr/>
      </xdr:nvCxnSpPr>
      <xdr:spPr>
        <a:xfrm>
          <a:off x="2840831" y="8505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445</xdr:row>
      <xdr:rowOff>35719</xdr:rowOff>
    </xdr:from>
    <xdr:to>
      <xdr:col>3</xdr:col>
      <xdr:colOff>285750</xdr:colOff>
      <xdr:row>445</xdr:row>
      <xdr:rowOff>154781</xdr:rowOff>
    </xdr:to>
    <xdr:cxnSp macro="">
      <xdr:nvCxnSpPr>
        <xdr:cNvPr id="493" name="Straight Connector 492"/>
        <xdr:cNvCxnSpPr/>
      </xdr:nvCxnSpPr>
      <xdr:spPr>
        <a:xfrm>
          <a:off x="2876550" y="8499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445</xdr:row>
      <xdr:rowOff>44824</xdr:rowOff>
    </xdr:from>
    <xdr:to>
      <xdr:col>3</xdr:col>
      <xdr:colOff>67235</xdr:colOff>
      <xdr:row>447</xdr:row>
      <xdr:rowOff>156883</xdr:rowOff>
    </xdr:to>
    <xdr:cxnSp macro="">
      <xdr:nvCxnSpPr>
        <xdr:cNvPr id="494" name="Straight Connector 493"/>
        <xdr:cNvCxnSpPr/>
      </xdr:nvCxnSpPr>
      <xdr:spPr>
        <a:xfrm>
          <a:off x="2848535" y="8500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447</xdr:row>
      <xdr:rowOff>166690</xdr:rowOff>
    </xdr:from>
    <xdr:to>
      <xdr:col>4</xdr:col>
      <xdr:colOff>29308</xdr:colOff>
      <xdr:row>447</xdr:row>
      <xdr:rowOff>168519</xdr:rowOff>
    </xdr:to>
    <xdr:cxnSp macro="">
      <xdr:nvCxnSpPr>
        <xdr:cNvPr id="495" name="Straight Connector 494"/>
        <xdr:cNvCxnSpPr/>
      </xdr:nvCxnSpPr>
      <xdr:spPr>
        <a:xfrm>
          <a:off x="2840831" y="8551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445</xdr:row>
      <xdr:rowOff>41673</xdr:rowOff>
    </xdr:from>
    <xdr:to>
      <xdr:col>4</xdr:col>
      <xdr:colOff>12211</xdr:colOff>
      <xdr:row>448</xdr:row>
      <xdr:rowOff>0</xdr:rowOff>
    </xdr:to>
    <xdr:cxnSp macro="">
      <xdr:nvCxnSpPr>
        <xdr:cNvPr id="496" name="Straight Connector 495"/>
        <xdr:cNvCxnSpPr/>
      </xdr:nvCxnSpPr>
      <xdr:spPr>
        <a:xfrm flipH="1" flipV="1">
          <a:off x="3495675" y="8500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32918</xdr:rowOff>
    </xdr:from>
    <xdr:to>
      <xdr:col>4</xdr:col>
      <xdr:colOff>17861</xdr:colOff>
      <xdr:row>445</xdr:row>
      <xdr:rowOff>35719</xdr:rowOff>
    </xdr:to>
    <xdr:cxnSp macro="">
      <xdr:nvCxnSpPr>
        <xdr:cNvPr id="497" name="Straight Connector 496"/>
        <xdr:cNvCxnSpPr/>
      </xdr:nvCxnSpPr>
      <xdr:spPr>
        <a:xfrm flipH="1">
          <a:off x="2840831" y="8499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89297</xdr:rowOff>
    </xdr:from>
    <xdr:to>
      <xdr:col>3</xdr:col>
      <xdr:colOff>178594</xdr:colOff>
      <xdr:row>451</xdr:row>
      <xdr:rowOff>59531</xdr:rowOff>
    </xdr:to>
    <xdr:cxnSp macro="">
      <xdr:nvCxnSpPr>
        <xdr:cNvPr id="498" name="Straight Connector 497"/>
        <xdr:cNvCxnSpPr/>
      </xdr:nvCxnSpPr>
      <xdr:spPr>
        <a:xfrm>
          <a:off x="2840831" y="8600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450</xdr:row>
      <xdr:rowOff>35719</xdr:rowOff>
    </xdr:from>
    <xdr:to>
      <xdr:col>3</xdr:col>
      <xdr:colOff>285750</xdr:colOff>
      <xdr:row>450</xdr:row>
      <xdr:rowOff>154781</xdr:rowOff>
    </xdr:to>
    <xdr:cxnSp macro="">
      <xdr:nvCxnSpPr>
        <xdr:cNvPr id="499" name="Straight Connector 498"/>
        <xdr:cNvCxnSpPr/>
      </xdr:nvCxnSpPr>
      <xdr:spPr>
        <a:xfrm>
          <a:off x="2876550" y="8595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450</xdr:row>
      <xdr:rowOff>44824</xdr:rowOff>
    </xdr:from>
    <xdr:to>
      <xdr:col>3</xdr:col>
      <xdr:colOff>67235</xdr:colOff>
      <xdr:row>452</xdr:row>
      <xdr:rowOff>156883</xdr:rowOff>
    </xdr:to>
    <xdr:cxnSp macro="">
      <xdr:nvCxnSpPr>
        <xdr:cNvPr id="500" name="Straight Connector 499"/>
        <xdr:cNvCxnSpPr/>
      </xdr:nvCxnSpPr>
      <xdr:spPr>
        <a:xfrm>
          <a:off x="2848535" y="8596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452</xdr:row>
      <xdr:rowOff>166690</xdr:rowOff>
    </xdr:from>
    <xdr:to>
      <xdr:col>4</xdr:col>
      <xdr:colOff>29308</xdr:colOff>
      <xdr:row>452</xdr:row>
      <xdr:rowOff>168519</xdr:rowOff>
    </xdr:to>
    <xdr:cxnSp macro="">
      <xdr:nvCxnSpPr>
        <xdr:cNvPr id="501" name="Straight Connector 500"/>
        <xdr:cNvCxnSpPr/>
      </xdr:nvCxnSpPr>
      <xdr:spPr>
        <a:xfrm>
          <a:off x="2840831" y="8646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450</xdr:row>
      <xdr:rowOff>41673</xdr:rowOff>
    </xdr:from>
    <xdr:to>
      <xdr:col>4</xdr:col>
      <xdr:colOff>12211</xdr:colOff>
      <xdr:row>453</xdr:row>
      <xdr:rowOff>0</xdr:rowOff>
    </xdr:to>
    <xdr:cxnSp macro="">
      <xdr:nvCxnSpPr>
        <xdr:cNvPr id="502" name="Straight Connector 501"/>
        <xdr:cNvCxnSpPr/>
      </xdr:nvCxnSpPr>
      <xdr:spPr>
        <a:xfrm flipH="1" flipV="1">
          <a:off x="3495675" y="8595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32918</xdr:rowOff>
    </xdr:from>
    <xdr:to>
      <xdr:col>4</xdr:col>
      <xdr:colOff>17861</xdr:colOff>
      <xdr:row>450</xdr:row>
      <xdr:rowOff>35719</xdr:rowOff>
    </xdr:to>
    <xdr:cxnSp macro="">
      <xdr:nvCxnSpPr>
        <xdr:cNvPr id="503" name="Straight Connector 502"/>
        <xdr:cNvCxnSpPr/>
      </xdr:nvCxnSpPr>
      <xdr:spPr>
        <a:xfrm flipH="1">
          <a:off x="2840831" y="8594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35719</xdr:rowOff>
    </xdr:from>
    <xdr:to>
      <xdr:col>3</xdr:col>
      <xdr:colOff>428625</xdr:colOff>
      <xdr:row>457</xdr:row>
      <xdr:rowOff>178594</xdr:rowOff>
    </xdr:to>
    <xdr:cxnSp macro="">
      <xdr:nvCxnSpPr>
        <xdr:cNvPr id="504" name="Straight Connector 503"/>
        <xdr:cNvCxnSpPr/>
      </xdr:nvCxnSpPr>
      <xdr:spPr>
        <a:xfrm>
          <a:off x="3209925" y="86903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457</xdr:row>
      <xdr:rowOff>95249</xdr:rowOff>
    </xdr:from>
    <xdr:to>
      <xdr:col>3</xdr:col>
      <xdr:colOff>571500</xdr:colOff>
      <xdr:row>457</xdr:row>
      <xdr:rowOff>154780</xdr:rowOff>
    </xdr:to>
    <xdr:cxnSp macro="">
      <xdr:nvCxnSpPr>
        <xdr:cNvPr id="505" name="Straight Connector 504"/>
        <xdr:cNvCxnSpPr/>
      </xdr:nvCxnSpPr>
      <xdr:spPr>
        <a:xfrm flipH="1">
          <a:off x="3209925" y="87344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47625</xdr:rowOff>
    </xdr:from>
    <xdr:to>
      <xdr:col>3</xdr:col>
      <xdr:colOff>595313</xdr:colOff>
      <xdr:row>455</xdr:row>
      <xdr:rowOff>119062</xdr:rowOff>
    </xdr:to>
    <xdr:cxnSp macro="">
      <xdr:nvCxnSpPr>
        <xdr:cNvPr id="506" name="Straight Connector 505"/>
        <xdr:cNvCxnSpPr/>
      </xdr:nvCxnSpPr>
      <xdr:spPr>
        <a:xfrm>
          <a:off x="3209925" y="86915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458</xdr:row>
      <xdr:rowOff>297027</xdr:rowOff>
    </xdr:from>
    <xdr:to>
      <xdr:col>3</xdr:col>
      <xdr:colOff>392907</xdr:colOff>
      <xdr:row>462</xdr:row>
      <xdr:rowOff>154781</xdr:rowOff>
    </xdr:to>
    <xdr:cxnSp macro="">
      <xdr:nvCxnSpPr>
        <xdr:cNvPr id="507" name="Straight Connector 506"/>
        <xdr:cNvCxnSpPr/>
      </xdr:nvCxnSpPr>
      <xdr:spPr>
        <a:xfrm>
          <a:off x="3166381" y="8763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462</xdr:row>
      <xdr:rowOff>142875</xdr:rowOff>
    </xdr:from>
    <xdr:to>
      <xdr:col>4</xdr:col>
      <xdr:colOff>11908</xdr:colOff>
      <xdr:row>462</xdr:row>
      <xdr:rowOff>154782</xdr:rowOff>
    </xdr:to>
    <xdr:cxnSp macro="">
      <xdr:nvCxnSpPr>
        <xdr:cNvPr id="508" name="Straight Connector 507"/>
        <xdr:cNvCxnSpPr/>
      </xdr:nvCxnSpPr>
      <xdr:spPr>
        <a:xfrm flipH="1" flipV="1">
          <a:off x="3150395" y="8834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458</xdr:row>
      <xdr:rowOff>305147</xdr:rowOff>
    </xdr:from>
    <xdr:to>
      <xdr:col>3</xdr:col>
      <xdr:colOff>130969</xdr:colOff>
      <xdr:row>460</xdr:row>
      <xdr:rowOff>11906</xdr:rowOff>
    </xdr:to>
    <xdr:cxnSp macro="">
      <xdr:nvCxnSpPr>
        <xdr:cNvPr id="509" name="Straight Arrow Connector 508"/>
        <xdr:cNvCxnSpPr/>
      </xdr:nvCxnSpPr>
      <xdr:spPr>
        <a:xfrm flipH="1" flipV="1">
          <a:off x="2904995" y="8763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461</xdr:row>
      <xdr:rowOff>11907</xdr:rowOff>
    </xdr:from>
    <xdr:to>
      <xdr:col>3</xdr:col>
      <xdr:colOff>130969</xdr:colOff>
      <xdr:row>462</xdr:row>
      <xdr:rowOff>154782</xdr:rowOff>
    </xdr:to>
    <xdr:cxnSp macro="">
      <xdr:nvCxnSpPr>
        <xdr:cNvPr id="510" name="Straight Arrow Connector 509"/>
        <xdr:cNvCxnSpPr/>
      </xdr:nvCxnSpPr>
      <xdr:spPr>
        <a:xfrm>
          <a:off x="2912269" y="8802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466</xdr:row>
      <xdr:rowOff>89297</xdr:rowOff>
    </xdr:from>
    <xdr:to>
      <xdr:col>3</xdr:col>
      <xdr:colOff>178594</xdr:colOff>
      <xdr:row>467</xdr:row>
      <xdr:rowOff>59531</xdr:rowOff>
    </xdr:to>
    <xdr:cxnSp macro="">
      <xdr:nvCxnSpPr>
        <xdr:cNvPr id="511" name="Straight Connector 510"/>
        <xdr:cNvCxnSpPr/>
      </xdr:nvCxnSpPr>
      <xdr:spPr>
        <a:xfrm>
          <a:off x="2840831" y="890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466</xdr:row>
      <xdr:rowOff>35719</xdr:rowOff>
    </xdr:from>
    <xdr:to>
      <xdr:col>3</xdr:col>
      <xdr:colOff>285750</xdr:colOff>
      <xdr:row>466</xdr:row>
      <xdr:rowOff>154781</xdr:rowOff>
    </xdr:to>
    <xdr:cxnSp macro="">
      <xdr:nvCxnSpPr>
        <xdr:cNvPr id="512" name="Straight Connector 511"/>
        <xdr:cNvCxnSpPr/>
      </xdr:nvCxnSpPr>
      <xdr:spPr>
        <a:xfrm>
          <a:off x="2876550" y="889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466</xdr:row>
      <xdr:rowOff>44824</xdr:rowOff>
    </xdr:from>
    <xdr:to>
      <xdr:col>3</xdr:col>
      <xdr:colOff>67235</xdr:colOff>
      <xdr:row>468</xdr:row>
      <xdr:rowOff>156883</xdr:rowOff>
    </xdr:to>
    <xdr:cxnSp macro="">
      <xdr:nvCxnSpPr>
        <xdr:cNvPr id="513" name="Straight Connector 512"/>
        <xdr:cNvCxnSpPr/>
      </xdr:nvCxnSpPr>
      <xdr:spPr>
        <a:xfrm>
          <a:off x="2848535" y="890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468</xdr:row>
      <xdr:rowOff>166690</xdr:rowOff>
    </xdr:from>
    <xdr:to>
      <xdr:col>4</xdr:col>
      <xdr:colOff>29308</xdr:colOff>
      <xdr:row>468</xdr:row>
      <xdr:rowOff>168519</xdr:rowOff>
    </xdr:to>
    <xdr:cxnSp macro="">
      <xdr:nvCxnSpPr>
        <xdr:cNvPr id="514" name="Straight Connector 513"/>
        <xdr:cNvCxnSpPr/>
      </xdr:nvCxnSpPr>
      <xdr:spPr>
        <a:xfrm>
          <a:off x="2840831" y="8951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466</xdr:row>
      <xdr:rowOff>41673</xdr:rowOff>
    </xdr:from>
    <xdr:to>
      <xdr:col>4</xdr:col>
      <xdr:colOff>12211</xdr:colOff>
      <xdr:row>469</xdr:row>
      <xdr:rowOff>0</xdr:rowOff>
    </xdr:to>
    <xdr:cxnSp macro="">
      <xdr:nvCxnSpPr>
        <xdr:cNvPr id="515" name="Straight Connector 514"/>
        <xdr:cNvCxnSpPr/>
      </xdr:nvCxnSpPr>
      <xdr:spPr>
        <a:xfrm flipH="1" flipV="1">
          <a:off x="3495675" y="890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466</xdr:row>
      <xdr:rowOff>32918</xdr:rowOff>
    </xdr:from>
    <xdr:to>
      <xdr:col>4</xdr:col>
      <xdr:colOff>17861</xdr:colOff>
      <xdr:row>466</xdr:row>
      <xdr:rowOff>35719</xdr:rowOff>
    </xdr:to>
    <xdr:cxnSp macro="">
      <xdr:nvCxnSpPr>
        <xdr:cNvPr id="516" name="Straight Connector 515"/>
        <xdr:cNvCxnSpPr/>
      </xdr:nvCxnSpPr>
      <xdr:spPr>
        <a:xfrm flipH="1">
          <a:off x="2840831" y="8899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458</xdr:row>
      <xdr:rowOff>171450</xdr:rowOff>
    </xdr:from>
    <xdr:to>
      <xdr:col>3</xdr:col>
      <xdr:colOff>504825</xdr:colOff>
      <xdr:row>463</xdr:row>
      <xdr:rowOff>47625</xdr:rowOff>
    </xdr:to>
    <xdr:pic>
      <xdr:nvPicPr>
        <xdr:cNvPr id="51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8761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471</xdr:row>
      <xdr:rowOff>89297</xdr:rowOff>
    </xdr:from>
    <xdr:to>
      <xdr:col>3</xdr:col>
      <xdr:colOff>178594</xdr:colOff>
      <xdr:row>472</xdr:row>
      <xdr:rowOff>59531</xdr:rowOff>
    </xdr:to>
    <xdr:cxnSp macro="">
      <xdr:nvCxnSpPr>
        <xdr:cNvPr id="518" name="Straight Connector 517"/>
        <xdr:cNvCxnSpPr/>
      </xdr:nvCxnSpPr>
      <xdr:spPr>
        <a:xfrm>
          <a:off x="2840831" y="9000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471</xdr:row>
      <xdr:rowOff>35719</xdr:rowOff>
    </xdr:from>
    <xdr:to>
      <xdr:col>3</xdr:col>
      <xdr:colOff>285750</xdr:colOff>
      <xdr:row>471</xdr:row>
      <xdr:rowOff>154781</xdr:rowOff>
    </xdr:to>
    <xdr:cxnSp macro="">
      <xdr:nvCxnSpPr>
        <xdr:cNvPr id="519" name="Straight Connector 518"/>
        <xdr:cNvCxnSpPr/>
      </xdr:nvCxnSpPr>
      <xdr:spPr>
        <a:xfrm>
          <a:off x="2876550" y="8995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471</xdr:row>
      <xdr:rowOff>44824</xdr:rowOff>
    </xdr:from>
    <xdr:to>
      <xdr:col>3</xdr:col>
      <xdr:colOff>67235</xdr:colOff>
      <xdr:row>473</xdr:row>
      <xdr:rowOff>156883</xdr:rowOff>
    </xdr:to>
    <xdr:cxnSp macro="">
      <xdr:nvCxnSpPr>
        <xdr:cNvPr id="520" name="Straight Connector 519"/>
        <xdr:cNvCxnSpPr/>
      </xdr:nvCxnSpPr>
      <xdr:spPr>
        <a:xfrm>
          <a:off x="2848535" y="8996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473</xdr:row>
      <xdr:rowOff>166690</xdr:rowOff>
    </xdr:from>
    <xdr:to>
      <xdr:col>4</xdr:col>
      <xdr:colOff>29308</xdr:colOff>
      <xdr:row>473</xdr:row>
      <xdr:rowOff>168519</xdr:rowOff>
    </xdr:to>
    <xdr:cxnSp macro="">
      <xdr:nvCxnSpPr>
        <xdr:cNvPr id="521" name="Straight Connector 520"/>
        <xdr:cNvCxnSpPr/>
      </xdr:nvCxnSpPr>
      <xdr:spPr>
        <a:xfrm>
          <a:off x="2840831" y="90463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471</xdr:row>
      <xdr:rowOff>41673</xdr:rowOff>
    </xdr:from>
    <xdr:to>
      <xdr:col>4</xdr:col>
      <xdr:colOff>12211</xdr:colOff>
      <xdr:row>474</xdr:row>
      <xdr:rowOff>0</xdr:rowOff>
    </xdr:to>
    <xdr:cxnSp macro="">
      <xdr:nvCxnSpPr>
        <xdr:cNvPr id="522" name="Straight Connector 521"/>
        <xdr:cNvCxnSpPr/>
      </xdr:nvCxnSpPr>
      <xdr:spPr>
        <a:xfrm flipH="1" flipV="1">
          <a:off x="3495675" y="8995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471</xdr:row>
      <xdr:rowOff>32918</xdr:rowOff>
    </xdr:from>
    <xdr:to>
      <xdr:col>4</xdr:col>
      <xdr:colOff>17861</xdr:colOff>
      <xdr:row>471</xdr:row>
      <xdr:rowOff>35719</xdr:rowOff>
    </xdr:to>
    <xdr:cxnSp macro="">
      <xdr:nvCxnSpPr>
        <xdr:cNvPr id="523" name="Straight Connector 522"/>
        <xdr:cNvCxnSpPr/>
      </xdr:nvCxnSpPr>
      <xdr:spPr>
        <a:xfrm flipH="1">
          <a:off x="2840831" y="8994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476</xdr:row>
      <xdr:rowOff>89297</xdr:rowOff>
    </xdr:from>
    <xdr:to>
      <xdr:col>3</xdr:col>
      <xdr:colOff>178594</xdr:colOff>
      <xdr:row>477</xdr:row>
      <xdr:rowOff>59531</xdr:rowOff>
    </xdr:to>
    <xdr:cxnSp macro="">
      <xdr:nvCxnSpPr>
        <xdr:cNvPr id="524" name="Straight Connector 523"/>
        <xdr:cNvCxnSpPr/>
      </xdr:nvCxnSpPr>
      <xdr:spPr>
        <a:xfrm>
          <a:off x="2840831" y="9095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476</xdr:row>
      <xdr:rowOff>35719</xdr:rowOff>
    </xdr:from>
    <xdr:to>
      <xdr:col>3</xdr:col>
      <xdr:colOff>285750</xdr:colOff>
      <xdr:row>476</xdr:row>
      <xdr:rowOff>154781</xdr:rowOff>
    </xdr:to>
    <xdr:cxnSp macro="">
      <xdr:nvCxnSpPr>
        <xdr:cNvPr id="525" name="Straight Connector 524"/>
        <xdr:cNvCxnSpPr/>
      </xdr:nvCxnSpPr>
      <xdr:spPr>
        <a:xfrm>
          <a:off x="2876550" y="9090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476</xdr:row>
      <xdr:rowOff>44824</xdr:rowOff>
    </xdr:from>
    <xdr:to>
      <xdr:col>3</xdr:col>
      <xdr:colOff>67235</xdr:colOff>
      <xdr:row>478</xdr:row>
      <xdr:rowOff>156883</xdr:rowOff>
    </xdr:to>
    <xdr:cxnSp macro="">
      <xdr:nvCxnSpPr>
        <xdr:cNvPr id="526" name="Straight Connector 525"/>
        <xdr:cNvCxnSpPr/>
      </xdr:nvCxnSpPr>
      <xdr:spPr>
        <a:xfrm>
          <a:off x="2848535" y="9091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478</xdr:row>
      <xdr:rowOff>166690</xdr:rowOff>
    </xdr:from>
    <xdr:to>
      <xdr:col>4</xdr:col>
      <xdr:colOff>29308</xdr:colOff>
      <xdr:row>478</xdr:row>
      <xdr:rowOff>168519</xdr:rowOff>
    </xdr:to>
    <xdr:cxnSp macro="">
      <xdr:nvCxnSpPr>
        <xdr:cNvPr id="527" name="Straight Connector 526"/>
        <xdr:cNvCxnSpPr/>
      </xdr:nvCxnSpPr>
      <xdr:spPr>
        <a:xfrm>
          <a:off x="2840831" y="9141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476</xdr:row>
      <xdr:rowOff>41673</xdr:rowOff>
    </xdr:from>
    <xdr:to>
      <xdr:col>4</xdr:col>
      <xdr:colOff>12211</xdr:colOff>
      <xdr:row>479</xdr:row>
      <xdr:rowOff>0</xdr:rowOff>
    </xdr:to>
    <xdr:cxnSp macro="">
      <xdr:nvCxnSpPr>
        <xdr:cNvPr id="528" name="Straight Connector 527"/>
        <xdr:cNvCxnSpPr/>
      </xdr:nvCxnSpPr>
      <xdr:spPr>
        <a:xfrm flipH="1" flipV="1">
          <a:off x="3495675" y="9091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476</xdr:row>
      <xdr:rowOff>32918</xdr:rowOff>
    </xdr:from>
    <xdr:to>
      <xdr:col>4</xdr:col>
      <xdr:colOff>17861</xdr:colOff>
      <xdr:row>476</xdr:row>
      <xdr:rowOff>35719</xdr:rowOff>
    </xdr:to>
    <xdr:cxnSp macro="">
      <xdr:nvCxnSpPr>
        <xdr:cNvPr id="529" name="Straight Connector 528"/>
        <xdr:cNvCxnSpPr/>
      </xdr:nvCxnSpPr>
      <xdr:spPr>
        <a:xfrm flipH="1">
          <a:off x="2840831" y="9090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35719</xdr:rowOff>
    </xdr:from>
    <xdr:to>
      <xdr:col>3</xdr:col>
      <xdr:colOff>428625</xdr:colOff>
      <xdr:row>483</xdr:row>
      <xdr:rowOff>178594</xdr:rowOff>
    </xdr:to>
    <xdr:cxnSp macro="">
      <xdr:nvCxnSpPr>
        <xdr:cNvPr id="530" name="Straight Connector 529"/>
        <xdr:cNvCxnSpPr/>
      </xdr:nvCxnSpPr>
      <xdr:spPr>
        <a:xfrm>
          <a:off x="3209925"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483</xdr:row>
      <xdr:rowOff>95249</xdr:rowOff>
    </xdr:from>
    <xdr:to>
      <xdr:col>3</xdr:col>
      <xdr:colOff>571500</xdr:colOff>
      <xdr:row>483</xdr:row>
      <xdr:rowOff>154780</xdr:rowOff>
    </xdr:to>
    <xdr:cxnSp macro="">
      <xdr:nvCxnSpPr>
        <xdr:cNvPr id="531" name="Straight Connector 530"/>
        <xdr:cNvCxnSpPr/>
      </xdr:nvCxnSpPr>
      <xdr:spPr>
        <a:xfrm flipH="1">
          <a:off x="3209925"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47625</xdr:rowOff>
    </xdr:from>
    <xdr:to>
      <xdr:col>3</xdr:col>
      <xdr:colOff>595313</xdr:colOff>
      <xdr:row>481</xdr:row>
      <xdr:rowOff>119062</xdr:rowOff>
    </xdr:to>
    <xdr:cxnSp macro="">
      <xdr:nvCxnSpPr>
        <xdr:cNvPr id="532" name="Straight Connector 531"/>
        <xdr:cNvCxnSpPr/>
      </xdr:nvCxnSpPr>
      <xdr:spPr>
        <a:xfrm>
          <a:off x="3209925"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35719</xdr:rowOff>
    </xdr:from>
    <xdr:to>
      <xdr:col>3</xdr:col>
      <xdr:colOff>428625</xdr:colOff>
      <xdr:row>483</xdr:row>
      <xdr:rowOff>178594</xdr:rowOff>
    </xdr:to>
    <xdr:cxnSp macro="">
      <xdr:nvCxnSpPr>
        <xdr:cNvPr id="533" name="Straight Connector 532"/>
        <xdr:cNvCxnSpPr/>
      </xdr:nvCxnSpPr>
      <xdr:spPr>
        <a:xfrm>
          <a:off x="3209925"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483</xdr:row>
      <xdr:rowOff>95249</xdr:rowOff>
    </xdr:from>
    <xdr:to>
      <xdr:col>3</xdr:col>
      <xdr:colOff>571500</xdr:colOff>
      <xdr:row>483</xdr:row>
      <xdr:rowOff>154780</xdr:rowOff>
    </xdr:to>
    <xdr:cxnSp macro="">
      <xdr:nvCxnSpPr>
        <xdr:cNvPr id="534" name="Straight Connector 533"/>
        <xdr:cNvCxnSpPr/>
      </xdr:nvCxnSpPr>
      <xdr:spPr>
        <a:xfrm flipH="1">
          <a:off x="3209925"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47625</xdr:rowOff>
    </xdr:from>
    <xdr:to>
      <xdr:col>3</xdr:col>
      <xdr:colOff>595313</xdr:colOff>
      <xdr:row>481</xdr:row>
      <xdr:rowOff>119062</xdr:rowOff>
    </xdr:to>
    <xdr:cxnSp macro="">
      <xdr:nvCxnSpPr>
        <xdr:cNvPr id="535" name="Straight Connector 534"/>
        <xdr:cNvCxnSpPr/>
      </xdr:nvCxnSpPr>
      <xdr:spPr>
        <a:xfrm>
          <a:off x="3209925"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484</xdr:row>
      <xdr:rowOff>297027</xdr:rowOff>
    </xdr:from>
    <xdr:to>
      <xdr:col>3</xdr:col>
      <xdr:colOff>392907</xdr:colOff>
      <xdr:row>488</xdr:row>
      <xdr:rowOff>154781</xdr:rowOff>
    </xdr:to>
    <xdr:cxnSp macro="">
      <xdr:nvCxnSpPr>
        <xdr:cNvPr id="536" name="Straight Connector 535"/>
        <xdr:cNvCxnSpPr/>
      </xdr:nvCxnSpPr>
      <xdr:spPr>
        <a:xfrm>
          <a:off x="3166381" y="92584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488</xdr:row>
      <xdr:rowOff>142875</xdr:rowOff>
    </xdr:from>
    <xdr:to>
      <xdr:col>4</xdr:col>
      <xdr:colOff>11908</xdr:colOff>
      <xdr:row>488</xdr:row>
      <xdr:rowOff>154782</xdr:rowOff>
    </xdr:to>
    <xdr:cxnSp macro="">
      <xdr:nvCxnSpPr>
        <xdr:cNvPr id="537" name="Straight Connector 536"/>
        <xdr:cNvCxnSpPr/>
      </xdr:nvCxnSpPr>
      <xdr:spPr>
        <a:xfrm flipH="1" flipV="1">
          <a:off x="3150395" y="93297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484</xdr:row>
      <xdr:rowOff>305147</xdr:rowOff>
    </xdr:from>
    <xdr:to>
      <xdr:col>3</xdr:col>
      <xdr:colOff>130969</xdr:colOff>
      <xdr:row>486</xdr:row>
      <xdr:rowOff>11906</xdr:rowOff>
    </xdr:to>
    <xdr:cxnSp macro="">
      <xdr:nvCxnSpPr>
        <xdr:cNvPr id="538" name="Straight Arrow Connector 537"/>
        <xdr:cNvCxnSpPr/>
      </xdr:nvCxnSpPr>
      <xdr:spPr>
        <a:xfrm flipH="1" flipV="1">
          <a:off x="2904995" y="92583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487</xdr:row>
      <xdr:rowOff>11907</xdr:rowOff>
    </xdr:from>
    <xdr:to>
      <xdr:col>3</xdr:col>
      <xdr:colOff>130969</xdr:colOff>
      <xdr:row>488</xdr:row>
      <xdr:rowOff>154782</xdr:rowOff>
    </xdr:to>
    <xdr:cxnSp macro="">
      <xdr:nvCxnSpPr>
        <xdr:cNvPr id="539" name="Straight Arrow Connector 538"/>
        <xdr:cNvCxnSpPr/>
      </xdr:nvCxnSpPr>
      <xdr:spPr>
        <a:xfrm>
          <a:off x="2912269" y="9297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493</xdr:row>
      <xdr:rowOff>89297</xdr:rowOff>
    </xdr:from>
    <xdr:to>
      <xdr:col>3</xdr:col>
      <xdr:colOff>178594</xdr:colOff>
      <xdr:row>494</xdr:row>
      <xdr:rowOff>59531</xdr:rowOff>
    </xdr:to>
    <xdr:cxnSp macro="">
      <xdr:nvCxnSpPr>
        <xdr:cNvPr id="540" name="Straight Connector 539"/>
        <xdr:cNvCxnSpPr/>
      </xdr:nvCxnSpPr>
      <xdr:spPr>
        <a:xfrm>
          <a:off x="2840831" y="9419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493</xdr:row>
      <xdr:rowOff>35719</xdr:rowOff>
    </xdr:from>
    <xdr:to>
      <xdr:col>3</xdr:col>
      <xdr:colOff>285750</xdr:colOff>
      <xdr:row>493</xdr:row>
      <xdr:rowOff>154781</xdr:rowOff>
    </xdr:to>
    <xdr:cxnSp macro="">
      <xdr:nvCxnSpPr>
        <xdr:cNvPr id="541" name="Straight Connector 540"/>
        <xdr:cNvCxnSpPr/>
      </xdr:nvCxnSpPr>
      <xdr:spPr>
        <a:xfrm>
          <a:off x="2876550" y="9414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493</xdr:row>
      <xdr:rowOff>44824</xdr:rowOff>
    </xdr:from>
    <xdr:to>
      <xdr:col>3</xdr:col>
      <xdr:colOff>67235</xdr:colOff>
      <xdr:row>495</xdr:row>
      <xdr:rowOff>156883</xdr:rowOff>
    </xdr:to>
    <xdr:cxnSp macro="">
      <xdr:nvCxnSpPr>
        <xdr:cNvPr id="542" name="Straight Connector 541"/>
        <xdr:cNvCxnSpPr/>
      </xdr:nvCxnSpPr>
      <xdr:spPr>
        <a:xfrm>
          <a:off x="2848535" y="9415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495</xdr:row>
      <xdr:rowOff>166690</xdr:rowOff>
    </xdr:from>
    <xdr:to>
      <xdr:col>4</xdr:col>
      <xdr:colOff>29308</xdr:colOff>
      <xdr:row>495</xdr:row>
      <xdr:rowOff>168519</xdr:rowOff>
    </xdr:to>
    <xdr:cxnSp macro="">
      <xdr:nvCxnSpPr>
        <xdr:cNvPr id="543" name="Straight Connector 542"/>
        <xdr:cNvCxnSpPr/>
      </xdr:nvCxnSpPr>
      <xdr:spPr>
        <a:xfrm>
          <a:off x="2840831" y="94654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493</xdr:row>
      <xdr:rowOff>41673</xdr:rowOff>
    </xdr:from>
    <xdr:to>
      <xdr:col>4</xdr:col>
      <xdr:colOff>12211</xdr:colOff>
      <xdr:row>496</xdr:row>
      <xdr:rowOff>0</xdr:rowOff>
    </xdr:to>
    <xdr:cxnSp macro="">
      <xdr:nvCxnSpPr>
        <xdr:cNvPr id="544" name="Straight Connector 543"/>
        <xdr:cNvCxnSpPr/>
      </xdr:nvCxnSpPr>
      <xdr:spPr>
        <a:xfrm flipH="1" flipV="1">
          <a:off x="3495675" y="9414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493</xdr:row>
      <xdr:rowOff>32918</xdr:rowOff>
    </xdr:from>
    <xdr:to>
      <xdr:col>4</xdr:col>
      <xdr:colOff>17861</xdr:colOff>
      <xdr:row>493</xdr:row>
      <xdr:rowOff>35719</xdr:rowOff>
    </xdr:to>
    <xdr:cxnSp macro="">
      <xdr:nvCxnSpPr>
        <xdr:cNvPr id="545" name="Straight Connector 544"/>
        <xdr:cNvCxnSpPr/>
      </xdr:nvCxnSpPr>
      <xdr:spPr>
        <a:xfrm flipH="1">
          <a:off x="2840831" y="94139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484</xdr:row>
      <xdr:rowOff>171450</xdr:rowOff>
    </xdr:from>
    <xdr:to>
      <xdr:col>3</xdr:col>
      <xdr:colOff>504825</xdr:colOff>
      <xdr:row>489</xdr:row>
      <xdr:rowOff>47625</xdr:rowOff>
    </xdr:to>
    <xdr:pic>
      <xdr:nvPicPr>
        <xdr:cNvPr id="546"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92563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498</xdr:row>
      <xdr:rowOff>89297</xdr:rowOff>
    </xdr:from>
    <xdr:to>
      <xdr:col>3</xdr:col>
      <xdr:colOff>178594</xdr:colOff>
      <xdr:row>499</xdr:row>
      <xdr:rowOff>59531</xdr:rowOff>
    </xdr:to>
    <xdr:cxnSp macro="">
      <xdr:nvCxnSpPr>
        <xdr:cNvPr id="547" name="Straight Connector 546"/>
        <xdr:cNvCxnSpPr/>
      </xdr:nvCxnSpPr>
      <xdr:spPr>
        <a:xfrm>
          <a:off x="2840831" y="9514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498</xdr:row>
      <xdr:rowOff>35719</xdr:rowOff>
    </xdr:from>
    <xdr:to>
      <xdr:col>3</xdr:col>
      <xdr:colOff>285750</xdr:colOff>
      <xdr:row>498</xdr:row>
      <xdr:rowOff>154781</xdr:rowOff>
    </xdr:to>
    <xdr:cxnSp macro="">
      <xdr:nvCxnSpPr>
        <xdr:cNvPr id="548" name="Straight Connector 547"/>
        <xdr:cNvCxnSpPr/>
      </xdr:nvCxnSpPr>
      <xdr:spPr>
        <a:xfrm>
          <a:off x="2876550" y="9509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498</xdr:row>
      <xdr:rowOff>44824</xdr:rowOff>
    </xdr:from>
    <xdr:to>
      <xdr:col>3</xdr:col>
      <xdr:colOff>67235</xdr:colOff>
      <xdr:row>500</xdr:row>
      <xdr:rowOff>156883</xdr:rowOff>
    </xdr:to>
    <xdr:cxnSp macro="">
      <xdr:nvCxnSpPr>
        <xdr:cNvPr id="549" name="Straight Connector 548"/>
        <xdr:cNvCxnSpPr/>
      </xdr:nvCxnSpPr>
      <xdr:spPr>
        <a:xfrm>
          <a:off x="2848535" y="9510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500</xdr:row>
      <xdr:rowOff>166690</xdr:rowOff>
    </xdr:from>
    <xdr:to>
      <xdr:col>4</xdr:col>
      <xdr:colOff>29308</xdr:colOff>
      <xdr:row>500</xdr:row>
      <xdr:rowOff>168519</xdr:rowOff>
    </xdr:to>
    <xdr:cxnSp macro="">
      <xdr:nvCxnSpPr>
        <xdr:cNvPr id="550" name="Straight Connector 549"/>
        <xdr:cNvCxnSpPr/>
      </xdr:nvCxnSpPr>
      <xdr:spPr>
        <a:xfrm>
          <a:off x="2840831" y="9560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498</xdr:row>
      <xdr:rowOff>41673</xdr:rowOff>
    </xdr:from>
    <xdr:to>
      <xdr:col>4</xdr:col>
      <xdr:colOff>12211</xdr:colOff>
      <xdr:row>501</xdr:row>
      <xdr:rowOff>0</xdr:rowOff>
    </xdr:to>
    <xdr:cxnSp macro="">
      <xdr:nvCxnSpPr>
        <xdr:cNvPr id="551" name="Straight Connector 550"/>
        <xdr:cNvCxnSpPr/>
      </xdr:nvCxnSpPr>
      <xdr:spPr>
        <a:xfrm flipH="1" flipV="1">
          <a:off x="3495675" y="9510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498</xdr:row>
      <xdr:rowOff>32918</xdr:rowOff>
    </xdr:from>
    <xdr:to>
      <xdr:col>4</xdr:col>
      <xdr:colOff>17861</xdr:colOff>
      <xdr:row>498</xdr:row>
      <xdr:rowOff>35719</xdr:rowOff>
    </xdr:to>
    <xdr:cxnSp macro="">
      <xdr:nvCxnSpPr>
        <xdr:cNvPr id="552" name="Straight Connector 551"/>
        <xdr:cNvCxnSpPr/>
      </xdr:nvCxnSpPr>
      <xdr:spPr>
        <a:xfrm flipH="1">
          <a:off x="2840831" y="9509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503</xdr:row>
      <xdr:rowOff>89297</xdr:rowOff>
    </xdr:from>
    <xdr:to>
      <xdr:col>3</xdr:col>
      <xdr:colOff>178594</xdr:colOff>
      <xdr:row>504</xdr:row>
      <xdr:rowOff>59531</xdr:rowOff>
    </xdr:to>
    <xdr:cxnSp macro="">
      <xdr:nvCxnSpPr>
        <xdr:cNvPr id="553" name="Straight Connector 552"/>
        <xdr:cNvCxnSpPr/>
      </xdr:nvCxnSpPr>
      <xdr:spPr>
        <a:xfrm>
          <a:off x="2840831" y="9610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503</xdr:row>
      <xdr:rowOff>35719</xdr:rowOff>
    </xdr:from>
    <xdr:to>
      <xdr:col>3</xdr:col>
      <xdr:colOff>285750</xdr:colOff>
      <xdr:row>503</xdr:row>
      <xdr:rowOff>154781</xdr:rowOff>
    </xdr:to>
    <xdr:cxnSp macro="">
      <xdr:nvCxnSpPr>
        <xdr:cNvPr id="554" name="Straight Connector 553"/>
        <xdr:cNvCxnSpPr/>
      </xdr:nvCxnSpPr>
      <xdr:spPr>
        <a:xfrm>
          <a:off x="2876550" y="9604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503</xdr:row>
      <xdr:rowOff>44824</xdr:rowOff>
    </xdr:from>
    <xdr:to>
      <xdr:col>3</xdr:col>
      <xdr:colOff>67235</xdr:colOff>
      <xdr:row>505</xdr:row>
      <xdr:rowOff>156883</xdr:rowOff>
    </xdr:to>
    <xdr:cxnSp macro="">
      <xdr:nvCxnSpPr>
        <xdr:cNvPr id="555" name="Straight Connector 554"/>
        <xdr:cNvCxnSpPr/>
      </xdr:nvCxnSpPr>
      <xdr:spPr>
        <a:xfrm>
          <a:off x="2848535" y="9605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505</xdr:row>
      <xdr:rowOff>166690</xdr:rowOff>
    </xdr:from>
    <xdr:to>
      <xdr:col>4</xdr:col>
      <xdr:colOff>29308</xdr:colOff>
      <xdr:row>505</xdr:row>
      <xdr:rowOff>168519</xdr:rowOff>
    </xdr:to>
    <xdr:cxnSp macro="">
      <xdr:nvCxnSpPr>
        <xdr:cNvPr id="556" name="Straight Connector 555"/>
        <xdr:cNvCxnSpPr/>
      </xdr:nvCxnSpPr>
      <xdr:spPr>
        <a:xfrm>
          <a:off x="2840831" y="9655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503</xdr:row>
      <xdr:rowOff>41673</xdr:rowOff>
    </xdr:from>
    <xdr:to>
      <xdr:col>4</xdr:col>
      <xdr:colOff>12211</xdr:colOff>
      <xdr:row>506</xdr:row>
      <xdr:rowOff>0</xdr:rowOff>
    </xdr:to>
    <xdr:cxnSp macro="">
      <xdr:nvCxnSpPr>
        <xdr:cNvPr id="557" name="Straight Connector 556"/>
        <xdr:cNvCxnSpPr/>
      </xdr:nvCxnSpPr>
      <xdr:spPr>
        <a:xfrm flipH="1" flipV="1">
          <a:off x="3495675" y="9605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503</xdr:row>
      <xdr:rowOff>32918</xdr:rowOff>
    </xdr:from>
    <xdr:to>
      <xdr:col>4</xdr:col>
      <xdr:colOff>17861</xdr:colOff>
      <xdr:row>503</xdr:row>
      <xdr:rowOff>35719</xdr:rowOff>
    </xdr:to>
    <xdr:cxnSp macro="">
      <xdr:nvCxnSpPr>
        <xdr:cNvPr id="558" name="Straight Connector 557"/>
        <xdr:cNvCxnSpPr/>
      </xdr:nvCxnSpPr>
      <xdr:spPr>
        <a:xfrm flipH="1">
          <a:off x="2840831" y="9604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35719</xdr:rowOff>
    </xdr:from>
    <xdr:to>
      <xdr:col>3</xdr:col>
      <xdr:colOff>428625</xdr:colOff>
      <xdr:row>510</xdr:row>
      <xdr:rowOff>178594</xdr:rowOff>
    </xdr:to>
    <xdr:cxnSp macro="">
      <xdr:nvCxnSpPr>
        <xdr:cNvPr id="559" name="Straight Connector 558"/>
        <xdr:cNvCxnSpPr/>
      </xdr:nvCxnSpPr>
      <xdr:spPr>
        <a:xfrm>
          <a:off x="3209925" y="97000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510</xdr:row>
      <xdr:rowOff>95249</xdr:rowOff>
    </xdr:from>
    <xdr:to>
      <xdr:col>3</xdr:col>
      <xdr:colOff>571500</xdr:colOff>
      <xdr:row>510</xdr:row>
      <xdr:rowOff>154780</xdr:rowOff>
    </xdr:to>
    <xdr:cxnSp macro="">
      <xdr:nvCxnSpPr>
        <xdr:cNvPr id="560" name="Straight Connector 559"/>
        <xdr:cNvCxnSpPr/>
      </xdr:nvCxnSpPr>
      <xdr:spPr>
        <a:xfrm flipH="1">
          <a:off x="3209925" y="97440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47625</xdr:rowOff>
    </xdr:from>
    <xdr:to>
      <xdr:col>3</xdr:col>
      <xdr:colOff>595313</xdr:colOff>
      <xdr:row>508</xdr:row>
      <xdr:rowOff>119062</xdr:rowOff>
    </xdr:to>
    <xdr:cxnSp macro="">
      <xdr:nvCxnSpPr>
        <xdr:cNvPr id="561" name="Straight Connector 560"/>
        <xdr:cNvCxnSpPr/>
      </xdr:nvCxnSpPr>
      <xdr:spPr>
        <a:xfrm>
          <a:off x="3209925" y="97012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35719</xdr:rowOff>
    </xdr:from>
    <xdr:to>
      <xdr:col>3</xdr:col>
      <xdr:colOff>428625</xdr:colOff>
      <xdr:row>510</xdr:row>
      <xdr:rowOff>178594</xdr:rowOff>
    </xdr:to>
    <xdr:cxnSp macro="">
      <xdr:nvCxnSpPr>
        <xdr:cNvPr id="562" name="Straight Connector 561"/>
        <xdr:cNvCxnSpPr/>
      </xdr:nvCxnSpPr>
      <xdr:spPr>
        <a:xfrm>
          <a:off x="3209925" y="97000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510</xdr:row>
      <xdr:rowOff>95249</xdr:rowOff>
    </xdr:from>
    <xdr:to>
      <xdr:col>3</xdr:col>
      <xdr:colOff>571500</xdr:colOff>
      <xdr:row>510</xdr:row>
      <xdr:rowOff>154780</xdr:rowOff>
    </xdr:to>
    <xdr:cxnSp macro="">
      <xdr:nvCxnSpPr>
        <xdr:cNvPr id="563" name="Straight Connector 562"/>
        <xdr:cNvCxnSpPr/>
      </xdr:nvCxnSpPr>
      <xdr:spPr>
        <a:xfrm flipH="1">
          <a:off x="3209925" y="97440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47625</xdr:rowOff>
    </xdr:from>
    <xdr:to>
      <xdr:col>3</xdr:col>
      <xdr:colOff>595313</xdr:colOff>
      <xdr:row>508</xdr:row>
      <xdr:rowOff>119062</xdr:rowOff>
    </xdr:to>
    <xdr:cxnSp macro="">
      <xdr:nvCxnSpPr>
        <xdr:cNvPr id="564" name="Straight Connector 563"/>
        <xdr:cNvCxnSpPr/>
      </xdr:nvCxnSpPr>
      <xdr:spPr>
        <a:xfrm>
          <a:off x="3209925" y="97012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551</xdr:row>
      <xdr:rowOff>297027</xdr:rowOff>
    </xdr:from>
    <xdr:to>
      <xdr:col>3</xdr:col>
      <xdr:colOff>392907</xdr:colOff>
      <xdr:row>555</xdr:row>
      <xdr:rowOff>154781</xdr:rowOff>
    </xdr:to>
    <xdr:cxnSp macro="">
      <xdr:nvCxnSpPr>
        <xdr:cNvPr id="565" name="Straight Connector 564"/>
        <xdr:cNvCxnSpPr/>
      </xdr:nvCxnSpPr>
      <xdr:spPr>
        <a:xfrm>
          <a:off x="3166381" y="10534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555</xdr:row>
      <xdr:rowOff>142875</xdr:rowOff>
    </xdr:from>
    <xdr:to>
      <xdr:col>4</xdr:col>
      <xdr:colOff>11908</xdr:colOff>
      <xdr:row>555</xdr:row>
      <xdr:rowOff>154782</xdr:rowOff>
    </xdr:to>
    <xdr:cxnSp macro="">
      <xdr:nvCxnSpPr>
        <xdr:cNvPr id="566" name="Straight Connector 565"/>
        <xdr:cNvCxnSpPr/>
      </xdr:nvCxnSpPr>
      <xdr:spPr>
        <a:xfrm flipH="1" flipV="1">
          <a:off x="3150395" y="1060608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551</xdr:row>
      <xdr:rowOff>305147</xdr:rowOff>
    </xdr:from>
    <xdr:to>
      <xdr:col>3</xdr:col>
      <xdr:colOff>130969</xdr:colOff>
      <xdr:row>553</xdr:row>
      <xdr:rowOff>11906</xdr:rowOff>
    </xdr:to>
    <xdr:cxnSp macro="">
      <xdr:nvCxnSpPr>
        <xdr:cNvPr id="567" name="Straight Arrow Connector 566"/>
        <xdr:cNvCxnSpPr/>
      </xdr:nvCxnSpPr>
      <xdr:spPr>
        <a:xfrm flipH="1" flipV="1">
          <a:off x="2904995" y="10534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554</xdr:row>
      <xdr:rowOff>11907</xdr:rowOff>
    </xdr:from>
    <xdr:to>
      <xdr:col>3</xdr:col>
      <xdr:colOff>130969</xdr:colOff>
      <xdr:row>555</xdr:row>
      <xdr:rowOff>154782</xdr:rowOff>
    </xdr:to>
    <xdr:cxnSp macro="">
      <xdr:nvCxnSpPr>
        <xdr:cNvPr id="568" name="Straight Arrow Connector 567"/>
        <xdr:cNvCxnSpPr/>
      </xdr:nvCxnSpPr>
      <xdr:spPr>
        <a:xfrm>
          <a:off x="2912269" y="10573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558</xdr:row>
      <xdr:rowOff>89297</xdr:rowOff>
    </xdr:from>
    <xdr:to>
      <xdr:col>3</xdr:col>
      <xdr:colOff>178594</xdr:colOff>
      <xdr:row>559</xdr:row>
      <xdr:rowOff>59531</xdr:rowOff>
    </xdr:to>
    <xdr:cxnSp macro="">
      <xdr:nvCxnSpPr>
        <xdr:cNvPr id="569" name="Straight Connector 568"/>
        <xdr:cNvCxnSpPr/>
      </xdr:nvCxnSpPr>
      <xdr:spPr>
        <a:xfrm>
          <a:off x="2840831" y="10657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558</xdr:row>
      <xdr:rowOff>35719</xdr:rowOff>
    </xdr:from>
    <xdr:to>
      <xdr:col>3</xdr:col>
      <xdr:colOff>285750</xdr:colOff>
      <xdr:row>558</xdr:row>
      <xdr:rowOff>154781</xdr:rowOff>
    </xdr:to>
    <xdr:cxnSp macro="">
      <xdr:nvCxnSpPr>
        <xdr:cNvPr id="570" name="Straight Connector 569"/>
        <xdr:cNvCxnSpPr/>
      </xdr:nvCxnSpPr>
      <xdr:spPr>
        <a:xfrm>
          <a:off x="2876550" y="10652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558</xdr:row>
      <xdr:rowOff>44824</xdr:rowOff>
    </xdr:from>
    <xdr:to>
      <xdr:col>3</xdr:col>
      <xdr:colOff>67235</xdr:colOff>
      <xdr:row>560</xdr:row>
      <xdr:rowOff>156883</xdr:rowOff>
    </xdr:to>
    <xdr:cxnSp macro="">
      <xdr:nvCxnSpPr>
        <xdr:cNvPr id="571" name="Straight Connector 570"/>
        <xdr:cNvCxnSpPr/>
      </xdr:nvCxnSpPr>
      <xdr:spPr>
        <a:xfrm>
          <a:off x="2848535" y="10653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560</xdr:row>
      <xdr:rowOff>166690</xdr:rowOff>
    </xdr:from>
    <xdr:to>
      <xdr:col>4</xdr:col>
      <xdr:colOff>29308</xdr:colOff>
      <xdr:row>560</xdr:row>
      <xdr:rowOff>168519</xdr:rowOff>
    </xdr:to>
    <xdr:cxnSp macro="">
      <xdr:nvCxnSpPr>
        <xdr:cNvPr id="572" name="Straight Connector 571"/>
        <xdr:cNvCxnSpPr/>
      </xdr:nvCxnSpPr>
      <xdr:spPr>
        <a:xfrm>
          <a:off x="2840831" y="10703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558</xdr:row>
      <xdr:rowOff>41673</xdr:rowOff>
    </xdr:from>
    <xdr:to>
      <xdr:col>4</xdr:col>
      <xdr:colOff>12211</xdr:colOff>
      <xdr:row>561</xdr:row>
      <xdr:rowOff>0</xdr:rowOff>
    </xdr:to>
    <xdr:cxnSp macro="">
      <xdr:nvCxnSpPr>
        <xdr:cNvPr id="573" name="Straight Connector 572"/>
        <xdr:cNvCxnSpPr/>
      </xdr:nvCxnSpPr>
      <xdr:spPr>
        <a:xfrm flipH="1" flipV="1">
          <a:off x="3495675" y="10653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558</xdr:row>
      <xdr:rowOff>32918</xdr:rowOff>
    </xdr:from>
    <xdr:to>
      <xdr:col>4</xdr:col>
      <xdr:colOff>17861</xdr:colOff>
      <xdr:row>558</xdr:row>
      <xdr:rowOff>35719</xdr:rowOff>
    </xdr:to>
    <xdr:cxnSp macro="">
      <xdr:nvCxnSpPr>
        <xdr:cNvPr id="574" name="Straight Connector 573"/>
        <xdr:cNvCxnSpPr/>
      </xdr:nvCxnSpPr>
      <xdr:spPr>
        <a:xfrm flipH="1">
          <a:off x="2840831" y="10652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551</xdr:row>
      <xdr:rowOff>171450</xdr:rowOff>
    </xdr:from>
    <xdr:to>
      <xdr:col>3</xdr:col>
      <xdr:colOff>504825</xdr:colOff>
      <xdr:row>556</xdr:row>
      <xdr:rowOff>47625</xdr:rowOff>
    </xdr:to>
    <xdr:pic>
      <xdr:nvPicPr>
        <xdr:cNvPr id="57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10532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563</xdr:row>
      <xdr:rowOff>89297</xdr:rowOff>
    </xdr:from>
    <xdr:to>
      <xdr:col>3</xdr:col>
      <xdr:colOff>178594</xdr:colOff>
      <xdr:row>564</xdr:row>
      <xdr:rowOff>59531</xdr:rowOff>
    </xdr:to>
    <xdr:cxnSp macro="">
      <xdr:nvCxnSpPr>
        <xdr:cNvPr id="576" name="Straight Connector 575"/>
        <xdr:cNvCxnSpPr/>
      </xdr:nvCxnSpPr>
      <xdr:spPr>
        <a:xfrm>
          <a:off x="2840831" y="10753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563</xdr:row>
      <xdr:rowOff>35719</xdr:rowOff>
    </xdr:from>
    <xdr:to>
      <xdr:col>3</xdr:col>
      <xdr:colOff>285750</xdr:colOff>
      <xdr:row>563</xdr:row>
      <xdr:rowOff>154781</xdr:rowOff>
    </xdr:to>
    <xdr:cxnSp macro="">
      <xdr:nvCxnSpPr>
        <xdr:cNvPr id="577" name="Straight Connector 576"/>
        <xdr:cNvCxnSpPr/>
      </xdr:nvCxnSpPr>
      <xdr:spPr>
        <a:xfrm>
          <a:off x="2876550" y="10747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563</xdr:row>
      <xdr:rowOff>44824</xdr:rowOff>
    </xdr:from>
    <xdr:to>
      <xdr:col>3</xdr:col>
      <xdr:colOff>67235</xdr:colOff>
      <xdr:row>565</xdr:row>
      <xdr:rowOff>156883</xdr:rowOff>
    </xdr:to>
    <xdr:cxnSp macro="">
      <xdr:nvCxnSpPr>
        <xdr:cNvPr id="578" name="Straight Connector 577"/>
        <xdr:cNvCxnSpPr/>
      </xdr:nvCxnSpPr>
      <xdr:spPr>
        <a:xfrm>
          <a:off x="2848535" y="10748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565</xdr:row>
      <xdr:rowOff>166690</xdr:rowOff>
    </xdr:from>
    <xdr:to>
      <xdr:col>4</xdr:col>
      <xdr:colOff>29308</xdr:colOff>
      <xdr:row>565</xdr:row>
      <xdr:rowOff>168519</xdr:rowOff>
    </xdr:to>
    <xdr:cxnSp macro="">
      <xdr:nvCxnSpPr>
        <xdr:cNvPr id="579" name="Straight Connector 578"/>
        <xdr:cNvCxnSpPr/>
      </xdr:nvCxnSpPr>
      <xdr:spPr>
        <a:xfrm>
          <a:off x="2840831" y="10798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563</xdr:row>
      <xdr:rowOff>41673</xdr:rowOff>
    </xdr:from>
    <xdr:to>
      <xdr:col>4</xdr:col>
      <xdr:colOff>12211</xdr:colOff>
      <xdr:row>566</xdr:row>
      <xdr:rowOff>0</xdr:rowOff>
    </xdr:to>
    <xdr:cxnSp macro="">
      <xdr:nvCxnSpPr>
        <xdr:cNvPr id="580" name="Straight Connector 579"/>
        <xdr:cNvCxnSpPr/>
      </xdr:nvCxnSpPr>
      <xdr:spPr>
        <a:xfrm flipH="1" flipV="1">
          <a:off x="3495675" y="10748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563</xdr:row>
      <xdr:rowOff>32918</xdr:rowOff>
    </xdr:from>
    <xdr:to>
      <xdr:col>4</xdr:col>
      <xdr:colOff>17861</xdr:colOff>
      <xdr:row>563</xdr:row>
      <xdr:rowOff>35719</xdr:rowOff>
    </xdr:to>
    <xdr:cxnSp macro="">
      <xdr:nvCxnSpPr>
        <xdr:cNvPr id="581" name="Straight Connector 580"/>
        <xdr:cNvCxnSpPr/>
      </xdr:nvCxnSpPr>
      <xdr:spPr>
        <a:xfrm flipH="1">
          <a:off x="2840831" y="10747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568</xdr:row>
      <xdr:rowOff>89297</xdr:rowOff>
    </xdr:from>
    <xdr:to>
      <xdr:col>3</xdr:col>
      <xdr:colOff>178594</xdr:colOff>
      <xdr:row>569</xdr:row>
      <xdr:rowOff>59531</xdr:rowOff>
    </xdr:to>
    <xdr:cxnSp macro="">
      <xdr:nvCxnSpPr>
        <xdr:cNvPr id="582" name="Straight Connector 581"/>
        <xdr:cNvCxnSpPr/>
      </xdr:nvCxnSpPr>
      <xdr:spPr>
        <a:xfrm>
          <a:off x="2840831" y="10848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568</xdr:row>
      <xdr:rowOff>35719</xdr:rowOff>
    </xdr:from>
    <xdr:to>
      <xdr:col>3</xdr:col>
      <xdr:colOff>285750</xdr:colOff>
      <xdr:row>568</xdr:row>
      <xdr:rowOff>154781</xdr:rowOff>
    </xdr:to>
    <xdr:cxnSp macro="">
      <xdr:nvCxnSpPr>
        <xdr:cNvPr id="583" name="Straight Connector 582"/>
        <xdr:cNvCxnSpPr/>
      </xdr:nvCxnSpPr>
      <xdr:spPr>
        <a:xfrm>
          <a:off x="2876550" y="10843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568</xdr:row>
      <xdr:rowOff>44824</xdr:rowOff>
    </xdr:from>
    <xdr:to>
      <xdr:col>3</xdr:col>
      <xdr:colOff>67235</xdr:colOff>
      <xdr:row>570</xdr:row>
      <xdr:rowOff>156883</xdr:rowOff>
    </xdr:to>
    <xdr:cxnSp macro="">
      <xdr:nvCxnSpPr>
        <xdr:cNvPr id="584" name="Straight Connector 583"/>
        <xdr:cNvCxnSpPr/>
      </xdr:nvCxnSpPr>
      <xdr:spPr>
        <a:xfrm>
          <a:off x="2848535" y="10843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570</xdr:row>
      <xdr:rowOff>166690</xdr:rowOff>
    </xdr:from>
    <xdr:to>
      <xdr:col>4</xdr:col>
      <xdr:colOff>29308</xdr:colOff>
      <xdr:row>570</xdr:row>
      <xdr:rowOff>168519</xdr:rowOff>
    </xdr:to>
    <xdr:cxnSp macro="">
      <xdr:nvCxnSpPr>
        <xdr:cNvPr id="585" name="Straight Connector 584"/>
        <xdr:cNvCxnSpPr/>
      </xdr:nvCxnSpPr>
      <xdr:spPr>
        <a:xfrm>
          <a:off x="2840831" y="108942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568</xdr:row>
      <xdr:rowOff>41673</xdr:rowOff>
    </xdr:from>
    <xdr:to>
      <xdr:col>4</xdr:col>
      <xdr:colOff>12211</xdr:colOff>
      <xdr:row>571</xdr:row>
      <xdr:rowOff>0</xdr:rowOff>
    </xdr:to>
    <xdr:cxnSp macro="">
      <xdr:nvCxnSpPr>
        <xdr:cNvPr id="586" name="Straight Connector 585"/>
        <xdr:cNvCxnSpPr/>
      </xdr:nvCxnSpPr>
      <xdr:spPr>
        <a:xfrm flipH="1" flipV="1">
          <a:off x="3495675" y="10843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568</xdr:row>
      <xdr:rowOff>32918</xdr:rowOff>
    </xdr:from>
    <xdr:to>
      <xdr:col>4</xdr:col>
      <xdr:colOff>17861</xdr:colOff>
      <xdr:row>568</xdr:row>
      <xdr:rowOff>35719</xdr:rowOff>
    </xdr:to>
    <xdr:cxnSp macro="">
      <xdr:nvCxnSpPr>
        <xdr:cNvPr id="587" name="Straight Connector 586"/>
        <xdr:cNvCxnSpPr/>
      </xdr:nvCxnSpPr>
      <xdr:spPr>
        <a:xfrm flipH="1">
          <a:off x="2840831" y="108427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35719</xdr:rowOff>
    </xdr:from>
    <xdr:to>
      <xdr:col>3</xdr:col>
      <xdr:colOff>428625</xdr:colOff>
      <xdr:row>575</xdr:row>
      <xdr:rowOff>178594</xdr:rowOff>
    </xdr:to>
    <xdr:cxnSp macro="">
      <xdr:nvCxnSpPr>
        <xdr:cNvPr id="588" name="Straight Connector 587"/>
        <xdr:cNvCxnSpPr/>
      </xdr:nvCxnSpPr>
      <xdr:spPr>
        <a:xfrm>
          <a:off x="3209925" y="1093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575</xdr:row>
      <xdr:rowOff>95249</xdr:rowOff>
    </xdr:from>
    <xdr:to>
      <xdr:col>3</xdr:col>
      <xdr:colOff>571500</xdr:colOff>
      <xdr:row>575</xdr:row>
      <xdr:rowOff>154780</xdr:rowOff>
    </xdr:to>
    <xdr:cxnSp macro="">
      <xdr:nvCxnSpPr>
        <xdr:cNvPr id="589" name="Straight Connector 588"/>
        <xdr:cNvCxnSpPr/>
      </xdr:nvCxnSpPr>
      <xdr:spPr>
        <a:xfrm flipH="1">
          <a:off x="3209925" y="1098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47625</xdr:rowOff>
    </xdr:from>
    <xdr:to>
      <xdr:col>3</xdr:col>
      <xdr:colOff>595313</xdr:colOff>
      <xdr:row>573</xdr:row>
      <xdr:rowOff>119062</xdr:rowOff>
    </xdr:to>
    <xdr:cxnSp macro="">
      <xdr:nvCxnSpPr>
        <xdr:cNvPr id="590" name="Straight Connector 589"/>
        <xdr:cNvCxnSpPr/>
      </xdr:nvCxnSpPr>
      <xdr:spPr>
        <a:xfrm>
          <a:off x="3209925" y="1093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35719</xdr:rowOff>
    </xdr:from>
    <xdr:to>
      <xdr:col>3</xdr:col>
      <xdr:colOff>428625</xdr:colOff>
      <xdr:row>575</xdr:row>
      <xdr:rowOff>178594</xdr:rowOff>
    </xdr:to>
    <xdr:cxnSp macro="">
      <xdr:nvCxnSpPr>
        <xdr:cNvPr id="591" name="Straight Connector 590"/>
        <xdr:cNvCxnSpPr/>
      </xdr:nvCxnSpPr>
      <xdr:spPr>
        <a:xfrm>
          <a:off x="3209925" y="1093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575</xdr:row>
      <xdr:rowOff>95249</xdr:rowOff>
    </xdr:from>
    <xdr:to>
      <xdr:col>3</xdr:col>
      <xdr:colOff>571500</xdr:colOff>
      <xdr:row>575</xdr:row>
      <xdr:rowOff>154780</xdr:rowOff>
    </xdr:to>
    <xdr:cxnSp macro="">
      <xdr:nvCxnSpPr>
        <xdr:cNvPr id="592" name="Straight Connector 591"/>
        <xdr:cNvCxnSpPr/>
      </xdr:nvCxnSpPr>
      <xdr:spPr>
        <a:xfrm flipH="1">
          <a:off x="3209925" y="1098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47625</xdr:rowOff>
    </xdr:from>
    <xdr:to>
      <xdr:col>3</xdr:col>
      <xdr:colOff>595313</xdr:colOff>
      <xdr:row>573</xdr:row>
      <xdr:rowOff>119062</xdr:rowOff>
    </xdr:to>
    <xdr:cxnSp macro="">
      <xdr:nvCxnSpPr>
        <xdr:cNvPr id="593" name="Straight Connector 592"/>
        <xdr:cNvCxnSpPr/>
      </xdr:nvCxnSpPr>
      <xdr:spPr>
        <a:xfrm>
          <a:off x="3209925" y="1093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511</xdr:row>
      <xdr:rowOff>297027</xdr:rowOff>
    </xdr:from>
    <xdr:to>
      <xdr:col>3</xdr:col>
      <xdr:colOff>392907</xdr:colOff>
      <xdr:row>515</xdr:row>
      <xdr:rowOff>154781</xdr:rowOff>
    </xdr:to>
    <xdr:cxnSp macro="">
      <xdr:nvCxnSpPr>
        <xdr:cNvPr id="594" name="Straight Connector 593"/>
        <xdr:cNvCxnSpPr/>
      </xdr:nvCxnSpPr>
      <xdr:spPr>
        <a:xfrm>
          <a:off x="3166381" y="9772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515</xdr:row>
      <xdr:rowOff>142875</xdr:rowOff>
    </xdr:from>
    <xdr:to>
      <xdr:col>4</xdr:col>
      <xdr:colOff>11908</xdr:colOff>
      <xdr:row>515</xdr:row>
      <xdr:rowOff>154782</xdr:rowOff>
    </xdr:to>
    <xdr:cxnSp macro="">
      <xdr:nvCxnSpPr>
        <xdr:cNvPr id="595" name="Straight Connector 594"/>
        <xdr:cNvCxnSpPr/>
      </xdr:nvCxnSpPr>
      <xdr:spPr>
        <a:xfrm flipH="1" flipV="1">
          <a:off x="3150395" y="984408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511</xdr:row>
      <xdr:rowOff>305147</xdr:rowOff>
    </xdr:from>
    <xdr:to>
      <xdr:col>3</xdr:col>
      <xdr:colOff>130969</xdr:colOff>
      <xdr:row>513</xdr:row>
      <xdr:rowOff>11906</xdr:rowOff>
    </xdr:to>
    <xdr:cxnSp macro="">
      <xdr:nvCxnSpPr>
        <xdr:cNvPr id="596" name="Straight Arrow Connector 595"/>
        <xdr:cNvCxnSpPr/>
      </xdr:nvCxnSpPr>
      <xdr:spPr>
        <a:xfrm flipH="1" flipV="1">
          <a:off x="2904995" y="9772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514</xdr:row>
      <xdr:rowOff>11907</xdr:rowOff>
    </xdr:from>
    <xdr:to>
      <xdr:col>3</xdr:col>
      <xdr:colOff>130969</xdr:colOff>
      <xdr:row>515</xdr:row>
      <xdr:rowOff>154782</xdr:rowOff>
    </xdr:to>
    <xdr:cxnSp macro="">
      <xdr:nvCxnSpPr>
        <xdr:cNvPr id="597" name="Straight Arrow Connector 596"/>
        <xdr:cNvCxnSpPr/>
      </xdr:nvCxnSpPr>
      <xdr:spPr>
        <a:xfrm>
          <a:off x="2912269" y="9811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518</xdr:row>
      <xdr:rowOff>89297</xdr:rowOff>
    </xdr:from>
    <xdr:to>
      <xdr:col>3</xdr:col>
      <xdr:colOff>178594</xdr:colOff>
      <xdr:row>519</xdr:row>
      <xdr:rowOff>59531</xdr:rowOff>
    </xdr:to>
    <xdr:cxnSp macro="">
      <xdr:nvCxnSpPr>
        <xdr:cNvPr id="598" name="Straight Connector 597"/>
        <xdr:cNvCxnSpPr/>
      </xdr:nvCxnSpPr>
      <xdr:spPr>
        <a:xfrm>
          <a:off x="2840831" y="9895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518</xdr:row>
      <xdr:rowOff>35719</xdr:rowOff>
    </xdr:from>
    <xdr:to>
      <xdr:col>3</xdr:col>
      <xdr:colOff>285750</xdr:colOff>
      <xdr:row>518</xdr:row>
      <xdr:rowOff>154781</xdr:rowOff>
    </xdr:to>
    <xdr:cxnSp macro="">
      <xdr:nvCxnSpPr>
        <xdr:cNvPr id="599" name="Straight Connector 598"/>
        <xdr:cNvCxnSpPr/>
      </xdr:nvCxnSpPr>
      <xdr:spPr>
        <a:xfrm>
          <a:off x="2876550" y="9890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518</xdr:row>
      <xdr:rowOff>44824</xdr:rowOff>
    </xdr:from>
    <xdr:to>
      <xdr:col>3</xdr:col>
      <xdr:colOff>67235</xdr:colOff>
      <xdr:row>520</xdr:row>
      <xdr:rowOff>156883</xdr:rowOff>
    </xdr:to>
    <xdr:cxnSp macro="">
      <xdr:nvCxnSpPr>
        <xdr:cNvPr id="600" name="Straight Connector 599"/>
        <xdr:cNvCxnSpPr/>
      </xdr:nvCxnSpPr>
      <xdr:spPr>
        <a:xfrm>
          <a:off x="2848535" y="9891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520</xdr:row>
      <xdr:rowOff>166690</xdr:rowOff>
    </xdr:from>
    <xdr:to>
      <xdr:col>4</xdr:col>
      <xdr:colOff>29308</xdr:colOff>
      <xdr:row>520</xdr:row>
      <xdr:rowOff>168519</xdr:rowOff>
    </xdr:to>
    <xdr:cxnSp macro="">
      <xdr:nvCxnSpPr>
        <xdr:cNvPr id="601" name="Straight Connector 600"/>
        <xdr:cNvCxnSpPr/>
      </xdr:nvCxnSpPr>
      <xdr:spPr>
        <a:xfrm>
          <a:off x="2840831" y="9941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518</xdr:row>
      <xdr:rowOff>41673</xdr:rowOff>
    </xdr:from>
    <xdr:to>
      <xdr:col>4</xdr:col>
      <xdr:colOff>12211</xdr:colOff>
      <xdr:row>521</xdr:row>
      <xdr:rowOff>0</xdr:rowOff>
    </xdr:to>
    <xdr:cxnSp macro="">
      <xdr:nvCxnSpPr>
        <xdr:cNvPr id="602" name="Straight Connector 601"/>
        <xdr:cNvCxnSpPr/>
      </xdr:nvCxnSpPr>
      <xdr:spPr>
        <a:xfrm flipH="1" flipV="1">
          <a:off x="3495675" y="9891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518</xdr:row>
      <xdr:rowOff>32918</xdr:rowOff>
    </xdr:from>
    <xdr:to>
      <xdr:col>4</xdr:col>
      <xdr:colOff>17861</xdr:colOff>
      <xdr:row>518</xdr:row>
      <xdr:rowOff>35719</xdr:rowOff>
    </xdr:to>
    <xdr:cxnSp macro="">
      <xdr:nvCxnSpPr>
        <xdr:cNvPr id="603" name="Straight Connector 602"/>
        <xdr:cNvCxnSpPr/>
      </xdr:nvCxnSpPr>
      <xdr:spPr>
        <a:xfrm flipH="1">
          <a:off x="2840831" y="9890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528</xdr:row>
      <xdr:rowOff>89297</xdr:rowOff>
    </xdr:from>
    <xdr:to>
      <xdr:col>3</xdr:col>
      <xdr:colOff>178594</xdr:colOff>
      <xdr:row>529</xdr:row>
      <xdr:rowOff>59531</xdr:rowOff>
    </xdr:to>
    <xdr:cxnSp macro="">
      <xdr:nvCxnSpPr>
        <xdr:cNvPr id="604" name="Straight Connector 603"/>
        <xdr:cNvCxnSpPr/>
      </xdr:nvCxnSpPr>
      <xdr:spPr>
        <a:xfrm>
          <a:off x="2840831" y="10086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528</xdr:row>
      <xdr:rowOff>35719</xdr:rowOff>
    </xdr:from>
    <xdr:to>
      <xdr:col>3</xdr:col>
      <xdr:colOff>285750</xdr:colOff>
      <xdr:row>528</xdr:row>
      <xdr:rowOff>154781</xdr:rowOff>
    </xdr:to>
    <xdr:cxnSp macro="">
      <xdr:nvCxnSpPr>
        <xdr:cNvPr id="605" name="Straight Connector 604"/>
        <xdr:cNvCxnSpPr/>
      </xdr:nvCxnSpPr>
      <xdr:spPr>
        <a:xfrm>
          <a:off x="2876550" y="10081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528</xdr:row>
      <xdr:rowOff>44824</xdr:rowOff>
    </xdr:from>
    <xdr:to>
      <xdr:col>3</xdr:col>
      <xdr:colOff>67235</xdr:colOff>
      <xdr:row>530</xdr:row>
      <xdr:rowOff>156883</xdr:rowOff>
    </xdr:to>
    <xdr:cxnSp macro="">
      <xdr:nvCxnSpPr>
        <xdr:cNvPr id="606" name="Straight Connector 605"/>
        <xdr:cNvCxnSpPr/>
      </xdr:nvCxnSpPr>
      <xdr:spPr>
        <a:xfrm>
          <a:off x="2848535" y="10081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530</xdr:row>
      <xdr:rowOff>166690</xdr:rowOff>
    </xdr:from>
    <xdr:to>
      <xdr:col>4</xdr:col>
      <xdr:colOff>29308</xdr:colOff>
      <xdr:row>530</xdr:row>
      <xdr:rowOff>168519</xdr:rowOff>
    </xdr:to>
    <xdr:cxnSp macro="">
      <xdr:nvCxnSpPr>
        <xdr:cNvPr id="607" name="Straight Connector 606"/>
        <xdr:cNvCxnSpPr/>
      </xdr:nvCxnSpPr>
      <xdr:spPr>
        <a:xfrm>
          <a:off x="2840831" y="101322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528</xdr:row>
      <xdr:rowOff>41673</xdr:rowOff>
    </xdr:from>
    <xdr:to>
      <xdr:col>4</xdr:col>
      <xdr:colOff>12211</xdr:colOff>
      <xdr:row>531</xdr:row>
      <xdr:rowOff>0</xdr:rowOff>
    </xdr:to>
    <xdr:cxnSp macro="">
      <xdr:nvCxnSpPr>
        <xdr:cNvPr id="608" name="Straight Connector 607"/>
        <xdr:cNvCxnSpPr/>
      </xdr:nvCxnSpPr>
      <xdr:spPr>
        <a:xfrm flipH="1" flipV="1">
          <a:off x="3495675" y="10081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528</xdr:row>
      <xdr:rowOff>32918</xdr:rowOff>
    </xdr:from>
    <xdr:to>
      <xdr:col>4</xdr:col>
      <xdr:colOff>17861</xdr:colOff>
      <xdr:row>528</xdr:row>
      <xdr:rowOff>35719</xdr:rowOff>
    </xdr:to>
    <xdr:cxnSp macro="">
      <xdr:nvCxnSpPr>
        <xdr:cNvPr id="609" name="Straight Connector 608"/>
        <xdr:cNvCxnSpPr/>
      </xdr:nvCxnSpPr>
      <xdr:spPr>
        <a:xfrm flipH="1">
          <a:off x="2840831" y="100807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511</xdr:row>
      <xdr:rowOff>171450</xdr:rowOff>
    </xdr:from>
    <xdr:to>
      <xdr:col>3</xdr:col>
      <xdr:colOff>504825</xdr:colOff>
      <xdr:row>516</xdr:row>
      <xdr:rowOff>47625</xdr:rowOff>
    </xdr:to>
    <xdr:pic>
      <xdr:nvPicPr>
        <xdr:cNvPr id="61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9770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523</xdr:row>
      <xdr:rowOff>89297</xdr:rowOff>
    </xdr:from>
    <xdr:to>
      <xdr:col>3</xdr:col>
      <xdr:colOff>178594</xdr:colOff>
      <xdr:row>524</xdr:row>
      <xdr:rowOff>59531</xdr:rowOff>
    </xdr:to>
    <xdr:cxnSp macro="">
      <xdr:nvCxnSpPr>
        <xdr:cNvPr id="611" name="Straight Connector 610"/>
        <xdr:cNvCxnSpPr/>
      </xdr:nvCxnSpPr>
      <xdr:spPr>
        <a:xfrm>
          <a:off x="2840831" y="9991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523</xdr:row>
      <xdr:rowOff>35719</xdr:rowOff>
    </xdr:from>
    <xdr:to>
      <xdr:col>3</xdr:col>
      <xdr:colOff>285750</xdr:colOff>
      <xdr:row>523</xdr:row>
      <xdr:rowOff>154781</xdr:rowOff>
    </xdr:to>
    <xdr:cxnSp macro="">
      <xdr:nvCxnSpPr>
        <xdr:cNvPr id="612" name="Straight Connector 611"/>
        <xdr:cNvCxnSpPr/>
      </xdr:nvCxnSpPr>
      <xdr:spPr>
        <a:xfrm>
          <a:off x="2876550" y="9985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523</xdr:row>
      <xdr:rowOff>44824</xdr:rowOff>
    </xdr:from>
    <xdr:to>
      <xdr:col>3</xdr:col>
      <xdr:colOff>67235</xdr:colOff>
      <xdr:row>525</xdr:row>
      <xdr:rowOff>156883</xdr:rowOff>
    </xdr:to>
    <xdr:cxnSp macro="">
      <xdr:nvCxnSpPr>
        <xdr:cNvPr id="613" name="Straight Connector 612"/>
        <xdr:cNvCxnSpPr/>
      </xdr:nvCxnSpPr>
      <xdr:spPr>
        <a:xfrm>
          <a:off x="2848535" y="9986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525</xdr:row>
      <xdr:rowOff>166690</xdr:rowOff>
    </xdr:from>
    <xdr:to>
      <xdr:col>4</xdr:col>
      <xdr:colOff>29308</xdr:colOff>
      <xdr:row>525</xdr:row>
      <xdr:rowOff>168519</xdr:rowOff>
    </xdr:to>
    <xdr:cxnSp macro="">
      <xdr:nvCxnSpPr>
        <xdr:cNvPr id="614" name="Straight Connector 613"/>
        <xdr:cNvCxnSpPr/>
      </xdr:nvCxnSpPr>
      <xdr:spPr>
        <a:xfrm>
          <a:off x="2840831" y="10036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523</xdr:row>
      <xdr:rowOff>41673</xdr:rowOff>
    </xdr:from>
    <xdr:to>
      <xdr:col>4</xdr:col>
      <xdr:colOff>12211</xdr:colOff>
      <xdr:row>526</xdr:row>
      <xdr:rowOff>0</xdr:rowOff>
    </xdr:to>
    <xdr:cxnSp macro="">
      <xdr:nvCxnSpPr>
        <xdr:cNvPr id="615" name="Straight Connector 614"/>
        <xdr:cNvCxnSpPr/>
      </xdr:nvCxnSpPr>
      <xdr:spPr>
        <a:xfrm flipH="1" flipV="1">
          <a:off x="3495675" y="9986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523</xdr:row>
      <xdr:rowOff>32918</xdr:rowOff>
    </xdr:from>
    <xdr:to>
      <xdr:col>4</xdr:col>
      <xdr:colOff>17861</xdr:colOff>
      <xdr:row>523</xdr:row>
      <xdr:rowOff>35719</xdr:rowOff>
    </xdr:to>
    <xdr:cxnSp macro="">
      <xdr:nvCxnSpPr>
        <xdr:cNvPr id="616" name="Straight Connector 615"/>
        <xdr:cNvCxnSpPr/>
      </xdr:nvCxnSpPr>
      <xdr:spPr>
        <a:xfrm flipH="1">
          <a:off x="2840831" y="9985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533</xdr:row>
      <xdr:rowOff>89297</xdr:rowOff>
    </xdr:from>
    <xdr:to>
      <xdr:col>3</xdr:col>
      <xdr:colOff>178594</xdr:colOff>
      <xdr:row>534</xdr:row>
      <xdr:rowOff>59531</xdr:rowOff>
    </xdr:to>
    <xdr:cxnSp macro="">
      <xdr:nvCxnSpPr>
        <xdr:cNvPr id="617" name="Straight Connector 616"/>
        <xdr:cNvCxnSpPr/>
      </xdr:nvCxnSpPr>
      <xdr:spPr>
        <a:xfrm>
          <a:off x="2840831" y="10181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533</xdr:row>
      <xdr:rowOff>35719</xdr:rowOff>
    </xdr:from>
    <xdr:to>
      <xdr:col>3</xdr:col>
      <xdr:colOff>285750</xdr:colOff>
      <xdr:row>533</xdr:row>
      <xdr:rowOff>154781</xdr:rowOff>
    </xdr:to>
    <xdr:cxnSp macro="">
      <xdr:nvCxnSpPr>
        <xdr:cNvPr id="618" name="Straight Connector 617"/>
        <xdr:cNvCxnSpPr/>
      </xdr:nvCxnSpPr>
      <xdr:spPr>
        <a:xfrm>
          <a:off x="2876550" y="10176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533</xdr:row>
      <xdr:rowOff>44824</xdr:rowOff>
    </xdr:from>
    <xdr:to>
      <xdr:col>3</xdr:col>
      <xdr:colOff>67235</xdr:colOff>
      <xdr:row>535</xdr:row>
      <xdr:rowOff>156883</xdr:rowOff>
    </xdr:to>
    <xdr:cxnSp macro="">
      <xdr:nvCxnSpPr>
        <xdr:cNvPr id="619" name="Straight Connector 618"/>
        <xdr:cNvCxnSpPr/>
      </xdr:nvCxnSpPr>
      <xdr:spPr>
        <a:xfrm>
          <a:off x="2848535" y="10177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535</xdr:row>
      <xdr:rowOff>166690</xdr:rowOff>
    </xdr:from>
    <xdr:to>
      <xdr:col>4</xdr:col>
      <xdr:colOff>29308</xdr:colOff>
      <xdr:row>535</xdr:row>
      <xdr:rowOff>168519</xdr:rowOff>
    </xdr:to>
    <xdr:cxnSp macro="">
      <xdr:nvCxnSpPr>
        <xdr:cNvPr id="620" name="Straight Connector 619"/>
        <xdr:cNvCxnSpPr/>
      </xdr:nvCxnSpPr>
      <xdr:spPr>
        <a:xfrm>
          <a:off x="2840831" y="102274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533</xdr:row>
      <xdr:rowOff>41673</xdr:rowOff>
    </xdr:from>
    <xdr:to>
      <xdr:col>4</xdr:col>
      <xdr:colOff>12211</xdr:colOff>
      <xdr:row>536</xdr:row>
      <xdr:rowOff>0</xdr:rowOff>
    </xdr:to>
    <xdr:cxnSp macro="">
      <xdr:nvCxnSpPr>
        <xdr:cNvPr id="621" name="Straight Connector 620"/>
        <xdr:cNvCxnSpPr/>
      </xdr:nvCxnSpPr>
      <xdr:spPr>
        <a:xfrm flipH="1" flipV="1">
          <a:off x="3495675" y="10176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533</xdr:row>
      <xdr:rowOff>32918</xdr:rowOff>
    </xdr:from>
    <xdr:to>
      <xdr:col>4</xdr:col>
      <xdr:colOff>17861</xdr:colOff>
      <xdr:row>533</xdr:row>
      <xdr:rowOff>35719</xdr:rowOff>
    </xdr:to>
    <xdr:cxnSp macro="">
      <xdr:nvCxnSpPr>
        <xdr:cNvPr id="622" name="Straight Connector 621"/>
        <xdr:cNvCxnSpPr/>
      </xdr:nvCxnSpPr>
      <xdr:spPr>
        <a:xfrm flipH="1">
          <a:off x="2840831" y="101759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538</xdr:row>
      <xdr:rowOff>89297</xdr:rowOff>
    </xdr:from>
    <xdr:to>
      <xdr:col>3</xdr:col>
      <xdr:colOff>178594</xdr:colOff>
      <xdr:row>539</xdr:row>
      <xdr:rowOff>59531</xdr:rowOff>
    </xdr:to>
    <xdr:cxnSp macro="">
      <xdr:nvCxnSpPr>
        <xdr:cNvPr id="623" name="Straight Connector 622"/>
        <xdr:cNvCxnSpPr/>
      </xdr:nvCxnSpPr>
      <xdr:spPr>
        <a:xfrm>
          <a:off x="2840831" y="10276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538</xdr:row>
      <xdr:rowOff>35719</xdr:rowOff>
    </xdr:from>
    <xdr:to>
      <xdr:col>3</xdr:col>
      <xdr:colOff>285750</xdr:colOff>
      <xdr:row>538</xdr:row>
      <xdr:rowOff>154781</xdr:rowOff>
    </xdr:to>
    <xdr:cxnSp macro="">
      <xdr:nvCxnSpPr>
        <xdr:cNvPr id="624" name="Straight Connector 623"/>
        <xdr:cNvCxnSpPr/>
      </xdr:nvCxnSpPr>
      <xdr:spPr>
        <a:xfrm>
          <a:off x="2876550" y="10271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538</xdr:row>
      <xdr:rowOff>44824</xdr:rowOff>
    </xdr:from>
    <xdr:to>
      <xdr:col>3</xdr:col>
      <xdr:colOff>67235</xdr:colOff>
      <xdr:row>540</xdr:row>
      <xdr:rowOff>156883</xdr:rowOff>
    </xdr:to>
    <xdr:cxnSp macro="">
      <xdr:nvCxnSpPr>
        <xdr:cNvPr id="625" name="Straight Connector 624"/>
        <xdr:cNvCxnSpPr/>
      </xdr:nvCxnSpPr>
      <xdr:spPr>
        <a:xfrm>
          <a:off x="2848535" y="10272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540</xdr:row>
      <xdr:rowOff>166690</xdr:rowOff>
    </xdr:from>
    <xdr:to>
      <xdr:col>4</xdr:col>
      <xdr:colOff>29308</xdr:colOff>
      <xdr:row>540</xdr:row>
      <xdr:rowOff>168519</xdr:rowOff>
    </xdr:to>
    <xdr:cxnSp macro="">
      <xdr:nvCxnSpPr>
        <xdr:cNvPr id="626" name="Straight Connector 625"/>
        <xdr:cNvCxnSpPr/>
      </xdr:nvCxnSpPr>
      <xdr:spPr>
        <a:xfrm>
          <a:off x="2840831" y="10322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538</xdr:row>
      <xdr:rowOff>41673</xdr:rowOff>
    </xdr:from>
    <xdr:to>
      <xdr:col>4</xdr:col>
      <xdr:colOff>12211</xdr:colOff>
      <xdr:row>541</xdr:row>
      <xdr:rowOff>0</xdr:rowOff>
    </xdr:to>
    <xdr:cxnSp macro="">
      <xdr:nvCxnSpPr>
        <xdr:cNvPr id="627" name="Straight Connector 626"/>
        <xdr:cNvCxnSpPr/>
      </xdr:nvCxnSpPr>
      <xdr:spPr>
        <a:xfrm flipH="1" flipV="1">
          <a:off x="3495675" y="10272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538</xdr:row>
      <xdr:rowOff>32918</xdr:rowOff>
    </xdr:from>
    <xdr:to>
      <xdr:col>4</xdr:col>
      <xdr:colOff>17861</xdr:colOff>
      <xdr:row>538</xdr:row>
      <xdr:rowOff>35719</xdr:rowOff>
    </xdr:to>
    <xdr:cxnSp macro="">
      <xdr:nvCxnSpPr>
        <xdr:cNvPr id="628" name="Straight Connector 627"/>
        <xdr:cNvCxnSpPr/>
      </xdr:nvCxnSpPr>
      <xdr:spPr>
        <a:xfrm flipH="1">
          <a:off x="2840831" y="10271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543</xdr:row>
      <xdr:rowOff>89297</xdr:rowOff>
    </xdr:from>
    <xdr:to>
      <xdr:col>3</xdr:col>
      <xdr:colOff>178594</xdr:colOff>
      <xdr:row>544</xdr:row>
      <xdr:rowOff>59531</xdr:rowOff>
    </xdr:to>
    <xdr:cxnSp macro="">
      <xdr:nvCxnSpPr>
        <xdr:cNvPr id="629" name="Straight Connector 628"/>
        <xdr:cNvCxnSpPr/>
      </xdr:nvCxnSpPr>
      <xdr:spPr>
        <a:xfrm>
          <a:off x="2840831" y="10372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543</xdr:row>
      <xdr:rowOff>35719</xdr:rowOff>
    </xdr:from>
    <xdr:to>
      <xdr:col>3</xdr:col>
      <xdr:colOff>285750</xdr:colOff>
      <xdr:row>543</xdr:row>
      <xdr:rowOff>154781</xdr:rowOff>
    </xdr:to>
    <xdr:cxnSp macro="">
      <xdr:nvCxnSpPr>
        <xdr:cNvPr id="630" name="Straight Connector 629"/>
        <xdr:cNvCxnSpPr/>
      </xdr:nvCxnSpPr>
      <xdr:spPr>
        <a:xfrm>
          <a:off x="2876550" y="10366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543</xdr:row>
      <xdr:rowOff>44824</xdr:rowOff>
    </xdr:from>
    <xdr:to>
      <xdr:col>3</xdr:col>
      <xdr:colOff>67235</xdr:colOff>
      <xdr:row>545</xdr:row>
      <xdr:rowOff>156883</xdr:rowOff>
    </xdr:to>
    <xdr:cxnSp macro="">
      <xdr:nvCxnSpPr>
        <xdr:cNvPr id="631" name="Straight Connector 630"/>
        <xdr:cNvCxnSpPr/>
      </xdr:nvCxnSpPr>
      <xdr:spPr>
        <a:xfrm>
          <a:off x="2848535" y="10367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545</xdr:row>
      <xdr:rowOff>166690</xdr:rowOff>
    </xdr:from>
    <xdr:to>
      <xdr:col>4</xdr:col>
      <xdr:colOff>29308</xdr:colOff>
      <xdr:row>545</xdr:row>
      <xdr:rowOff>168519</xdr:rowOff>
    </xdr:to>
    <xdr:cxnSp macro="">
      <xdr:nvCxnSpPr>
        <xdr:cNvPr id="632" name="Straight Connector 631"/>
        <xdr:cNvCxnSpPr/>
      </xdr:nvCxnSpPr>
      <xdr:spPr>
        <a:xfrm>
          <a:off x="2840831" y="10417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543</xdr:row>
      <xdr:rowOff>41673</xdr:rowOff>
    </xdr:from>
    <xdr:to>
      <xdr:col>4</xdr:col>
      <xdr:colOff>12211</xdr:colOff>
      <xdr:row>546</xdr:row>
      <xdr:rowOff>0</xdr:rowOff>
    </xdr:to>
    <xdr:cxnSp macro="">
      <xdr:nvCxnSpPr>
        <xdr:cNvPr id="633" name="Straight Connector 632"/>
        <xdr:cNvCxnSpPr/>
      </xdr:nvCxnSpPr>
      <xdr:spPr>
        <a:xfrm flipH="1" flipV="1">
          <a:off x="3495675" y="10367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543</xdr:row>
      <xdr:rowOff>32918</xdr:rowOff>
    </xdr:from>
    <xdr:to>
      <xdr:col>4</xdr:col>
      <xdr:colOff>17861</xdr:colOff>
      <xdr:row>543</xdr:row>
      <xdr:rowOff>35719</xdr:rowOff>
    </xdr:to>
    <xdr:cxnSp macro="">
      <xdr:nvCxnSpPr>
        <xdr:cNvPr id="634" name="Straight Connector 633"/>
        <xdr:cNvCxnSpPr/>
      </xdr:nvCxnSpPr>
      <xdr:spPr>
        <a:xfrm flipH="1">
          <a:off x="2840831" y="10366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548</xdr:row>
      <xdr:rowOff>35719</xdr:rowOff>
    </xdr:from>
    <xdr:to>
      <xdr:col>3</xdr:col>
      <xdr:colOff>428625</xdr:colOff>
      <xdr:row>550</xdr:row>
      <xdr:rowOff>178594</xdr:rowOff>
    </xdr:to>
    <xdr:cxnSp macro="">
      <xdr:nvCxnSpPr>
        <xdr:cNvPr id="635" name="Straight Connector 634"/>
        <xdr:cNvCxnSpPr/>
      </xdr:nvCxnSpPr>
      <xdr:spPr>
        <a:xfrm>
          <a:off x="3209925" y="104620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550</xdr:row>
      <xdr:rowOff>95249</xdr:rowOff>
    </xdr:from>
    <xdr:to>
      <xdr:col>3</xdr:col>
      <xdr:colOff>571500</xdr:colOff>
      <xdr:row>550</xdr:row>
      <xdr:rowOff>154780</xdr:rowOff>
    </xdr:to>
    <xdr:cxnSp macro="">
      <xdr:nvCxnSpPr>
        <xdr:cNvPr id="636" name="Straight Connector 635"/>
        <xdr:cNvCxnSpPr/>
      </xdr:nvCxnSpPr>
      <xdr:spPr>
        <a:xfrm flipH="1">
          <a:off x="3209925" y="105060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548</xdr:row>
      <xdr:rowOff>47625</xdr:rowOff>
    </xdr:from>
    <xdr:to>
      <xdr:col>3</xdr:col>
      <xdr:colOff>595313</xdr:colOff>
      <xdr:row>548</xdr:row>
      <xdr:rowOff>119062</xdr:rowOff>
    </xdr:to>
    <xdr:cxnSp macro="">
      <xdr:nvCxnSpPr>
        <xdr:cNvPr id="637" name="Straight Connector 636"/>
        <xdr:cNvCxnSpPr/>
      </xdr:nvCxnSpPr>
      <xdr:spPr>
        <a:xfrm>
          <a:off x="3209925" y="104632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576</xdr:row>
      <xdr:rowOff>297027</xdr:rowOff>
    </xdr:from>
    <xdr:to>
      <xdr:col>3</xdr:col>
      <xdr:colOff>392907</xdr:colOff>
      <xdr:row>580</xdr:row>
      <xdr:rowOff>154781</xdr:rowOff>
    </xdr:to>
    <xdr:cxnSp macro="">
      <xdr:nvCxnSpPr>
        <xdr:cNvPr id="638" name="Straight Connector 637"/>
        <xdr:cNvCxnSpPr/>
      </xdr:nvCxnSpPr>
      <xdr:spPr>
        <a:xfrm>
          <a:off x="3253787" y="104100253"/>
          <a:ext cx="7826" cy="71746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576</xdr:row>
      <xdr:rowOff>305147</xdr:rowOff>
    </xdr:from>
    <xdr:to>
      <xdr:col>3</xdr:col>
      <xdr:colOff>130969</xdr:colOff>
      <xdr:row>578</xdr:row>
      <xdr:rowOff>11906</xdr:rowOff>
    </xdr:to>
    <xdr:cxnSp macro="">
      <xdr:nvCxnSpPr>
        <xdr:cNvPr id="640" name="Straight Arrow Connector 639"/>
        <xdr:cNvCxnSpPr/>
      </xdr:nvCxnSpPr>
      <xdr:spPr>
        <a:xfrm flipH="1" flipV="1">
          <a:off x="2992401" y="104100753"/>
          <a:ext cx="7274" cy="197577"/>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579</xdr:row>
      <xdr:rowOff>11907</xdr:rowOff>
    </xdr:from>
    <xdr:to>
      <xdr:col>3</xdr:col>
      <xdr:colOff>130969</xdr:colOff>
      <xdr:row>580</xdr:row>
      <xdr:rowOff>154782</xdr:rowOff>
    </xdr:to>
    <xdr:cxnSp macro="">
      <xdr:nvCxnSpPr>
        <xdr:cNvPr id="641" name="Straight Arrow Connector 640"/>
        <xdr:cNvCxnSpPr/>
      </xdr:nvCxnSpPr>
      <xdr:spPr>
        <a:xfrm>
          <a:off x="2999675" y="104486589"/>
          <a:ext cx="0" cy="331134"/>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342900</xdr:colOff>
      <xdr:row>576</xdr:row>
      <xdr:rowOff>171450</xdr:rowOff>
    </xdr:from>
    <xdr:ext cx="161925" cy="817469"/>
    <xdr:pic>
      <xdr:nvPicPr>
        <xdr:cNvPr id="642"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11606" y="104081356"/>
          <a:ext cx="161925" cy="8174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385483</xdr:colOff>
      <xdr:row>577</xdr:row>
      <xdr:rowOff>17930</xdr:rowOff>
    </xdr:from>
    <xdr:to>
      <xdr:col>3</xdr:col>
      <xdr:colOff>636494</xdr:colOff>
      <xdr:row>577</xdr:row>
      <xdr:rowOff>17930</xdr:rowOff>
    </xdr:to>
    <xdr:cxnSp macro="">
      <xdr:nvCxnSpPr>
        <xdr:cNvPr id="644" name="Straight Connector 643"/>
        <xdr:cNvCxnSpPr/>
      </xdr:nvCxnSpPr>
      <xdr:spPr>
        <a:xfrm>
          <a:off x="3254189" y="108822565"/>
          <a:ext cx="251011"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581</xdr:row>
      <xdr:rowOff>297027</xdr:rowOff>
    </xdr:from>
    <xdr:to>
      <xdr:col>3</xdr:col>
      <xdr:colOff>392907</xdr:colOff>
      <xdr:row>585</xdr:row>
      <xdr:rowOff>154781</xdr:rowOff>
    </xdr:to>
    <xdr:cxnSp macro="">
      <xdr:nvCxnSpPr>
        <xdr:cNvPr id="645" name="Straight Connector 644"/>
        <xdr:cNvCxnSpPr/>
      </xdr:nvCxnSpPr>
      <xdr:spPr>
        <a:xfrm>
          <a:off x="3175346" y="8763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585</xdr:row>
      <xdr:rowOff>142875</xdr:rowOff>
    </xdr:from>
    <xdr:to>
      <xdr:col>4</xdr:col>
      <xdr:colOff>11908</xdr:colOff>
      <xdr:row>585</xdr:row>
      <xdr:rowOff>154782</xdr:rowOff>
    </xdr:to>
    <xdr:cxnSp macro="">
      <xdr:nvCxnSpPr>
        <xdr:cNvPr id="646" name="Straight Connector 645"/>
        <xdr:cNvCxnSpPr/>
      </xdr:nvCxnSpPr>
      <xdr:spPr>
        <a:xfrm flipH="1" flipV="1">
          <a:off x="3159360" y="88344375"/>
          <a:ext cx="359989"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581</xdr:row>
      <xdr:rowOff>305147</xdr:rowOff>
    </xdr:from>
    <xdr:to>
      <xdr:col>3</xdr:col>
      <xdr:colOff>130969</xdr:colOff>
      <xdr:row>583</xdr:row>
      <xdr:rowOff>11906</xdr:rowOff>
    </xdr:to>
    <xdr:cxnSp macro="">
      <xdr:nvCxnSpPr>
        <xdr:cNvPr id="647" name="Straight Arrow Connector 646"/>
        <xdr:cNvCxnSpPr/>
      </xdr:nvCxnSpPr>
      <xdr:spPr>
        <a:xfrm flipH="1" flipV="1">
          <a:off x="2913960" y="8763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584</xdr:row>
      <xdr:rowOff>11907</xdr:rowOff>
    </xdr:from>
    <xdr:to>
      <xdr:col>3</xdr:col>
      <xdr:colOff>130969</xdr:colOff>
      <xdr:row>585</xdr:row>
      <xdr:rowOff>154782</xdr:rowOff>
    </xdr:to>
    <xdr:cxnSp macro="">
      <xdr:nvCxnSpPr>
        <xdr:cNvPr id="648" name="Straight Arrow Connector 647"/>
        <xdr:cNvCxnSpPr/>
      </xdr:nvCxnSpPr>
      <xdr:spPr>
        <a:xfrm>
          <a:off x="2921234" y="8802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591</xdr:row>
      <xdr:rowOff>89297</xdr:rowOff>
    </xdr:from>
    <xdr:to>
      <xdr:col>3</xdr:col>
      <xdr:colOff>178594</xdr:colOff>
      <xdr:row>592</xdr:row>
      <xdr:rowOff>59531</xdr:rowOff>
    </xdr:to>
    <xdr:cxnSp macro="">
      <xdr:nvCxnSpPr>
        <xdr:cNvPr id="649" name="Straight Connector 648"/>
        <xdr:cNvCxnSpPr/>
      </xdr:nvCxnSpPr>
      <xdr:spPr>
        <a:xfrm>
          <a:off x="2849796" y="890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591</xdr:row>
      <xdr:rowOff>35719</xdr:rowOff>
    </xdr:from>
    <xdr:to>
      <xdr:col>3</xdr:col>
      <xdr:colOff>285750</xdr:colOff>
      <xdr:row>591</xdr:row>
      <xdr:rowOff>154781</xdr:rowOff>
    </xdr:to>
    <xdr:cxnSp macro="">
      <xdr:nvCxnSpPr>
        <xdr:cNvPr id="650" name="Straight Connector 649"/>
        <xdr:cNvCxnSpPr/>
      </xdr:nvCxnSpPr>
      <xdr:spPr>
        <a:xfrm>
          <a:off x="2885515" y="889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591</xdr:row>
      <xdr:rowOff>44824</xdr:rowOff>
    </xdr:from>
    <xdr:to>
      <xdr:col>3</xdr:col>
      <xdr:colOff>67235</xdr:colOff>
      <xdr:row>593</xdr:row>
      <xdr:rowOff>156883</xdr:rowOff>
    </xdr:to>
    <xdr:cxnSp macro="">
      <xdr:nvCxnSpPr>
        <xdr:cNvPr id="651" name="Straight Connector 650"/>
        <xdr:cNvCxnSpPr/>
      </xdr:nvCxnSpPr>
      <xdr:spPr>
        <a:xfrm>
          <a:off x="2857500" y="890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593</xdr:row>
      <xdr:rowOff>166690</xdr:rowOff>
    </xdr:from>
    <xdr:to>
      <xdr:col>4</xdr:col>
      <xdr:colOff>29308</xdr:colOff>
      <xdr:row>593</xdr:row>
      <xdr:rowOff>168519</xdr:rowOff>
    </xdr:to>
    <xdr:cxnSp macro="">
      <xdr:nvCxnSpPr>
        <xdr:cNvPr id="652" name="Straight Connector 651"/>
        <xdr:cNvCxnSpPr/>
      </xdr:nvCxnSpPr>
      <xdr:spPr>
        <a:xfrm>
          <a:off x="2849796" y="8951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591</xdr:row>
      <xdr:rowOff>41673</xdr:rowOff>
    </xdr:from>
    <xdr:to>
      <xdr:col>4</xdr:col>
      <xdr:colOff>12211</xdr:colOff>
      <xdr:row>594</xdr:row>
      <xdr:rowOff>0</xdr:rowOff>
    </xdr:to>
    <xdr:cxnSp macro="">
      <xdr:nvCxnSpPr>
        <xdr:cNvPr id="653" name="Straight Connector 652"/>
        <xdr:cNvCxnSpPr/>
      </xdr:nvCxnSpPr>
      <xdr:spPr>
        <a:xfrm flipH="1" flipV="1">
          <a:off x="3507441" y="890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591</xdr:row>
      <xdr:rowOff>32918</xdr:rowOff>
    </xdr:from>
    <xdr:to>
      <xdr:col>4</xdr:col>
      <xdr:colOff>17861</xdr:colOff>
      <xdr:row>591</xdr:row>
      <xdr:rowOff>35719</xdr:rowOff>
    </xdr:to>
    <xdr:cxnSp macro="">
      <xdr:nvCxnSpPr>
        <xdr:cNvPr id="654" name="Straight Connector 653"/>
        <xdr:cNvCxnSpPr/>
      </xdr:nvCxnSpPr>
      <xdr:spPr>
        <a:xfrm flipH="1">
          <a:off x="2849796" y="8899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581</xdr:row>
      <xdr:rowOff>171450</xdr:rowOff>
    </xdr:from>
    <xdr:to>
      <xdr:col>3</xdr:col>
      <xdr:colOff>504825</xdr:colOff>
      <xdr:row>586</xdr:row>
      <xdr:rowOff>47625</xdr:rowOff>
    </xdr:to>
    <xdr:pic>
      <xdr:nvPicPr>
        <xdr:cNvPr id="65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8761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596</xdr:row>
      <xdr:rowOff>89297</xdr:rowOff>
    </xdr:from>
    <xdr:to>
      <xdr:col>3</xdr:col>
      <xdr:colOff>178594</xdr:colOff>
      <xdr:row>597</xdr:row>
      <xdr:rowOff>59531</xdr:rowOff>
    </xdr:to>
    <xdr:cxnSp macro="">
      <xdr:nvCxnSpPr>
        <xdr:cNvPr id="656" name="Straight Connector 655"/>
        <xdr:cNvCxnSpPr/>
      </xdr:nvCxnSpPr>
      <xdr:spPr>
        <a:xfrm>
          <a:off x="2849796" y="9000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596</xdr:row>
      <xdr:rowOff>35719</xdr:rowOff>
    </xdr:from>
    <xdr:to>
      <xdr:col>3</xdr:col>
      <xdr:colOff>285750</xdr:colOff>
      <xdr:row>596</xdr:row>
      <xdr:rowOff>154781</xdr:rowOff>
    </xdr:to>
    <xdr:cxnSp macro="">
      <xdr:nvCxnSpPr>
        <xdr:cNvPr id="657" name="Straight Connector 656"/>
        <xdr:cNvCxnSpPr/>
      </xdr:nvCxnSpPr>
      <xdr:spPr>
        <a:xfrm>
          <a:off x="2885515" y="8995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596</xdr:row>
      <xdr:rowOff>44824</xdr:rowOff>
    </xdr:from>
    <xdr:to>
      <xdr:col>3</xdr:col>
      <xdr:colOff>67235</xdr:colOff>
      <xdr:row>598</xdr:row>
      <xdr:rowOff>156883</xdr:rowOff>
    </xdr:to>
    <xdr:cxnSp macro="">
      <xdr:nvCxnSpPr>
        <xdr:cNvPr id="658" name="Straight Connector 657"/>
        <xdr:cNvCxnSpPr/>
      </xdr:nvCxnSpPr>
      <xdr:spPr>
        <a:xfrm>
          <a:off x="2857500" y="8996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598</xdr:row>
      <xdr:rowOff>166690</xdr:rowOff>
    </xdr:from>
    <xdr:to>
      <xdr:col>4</xdr:col>
      <xdr:colOff>29308</xdr:colOff>
      <xdr:row>598</xdr:row>
      <xdr:rowOff>168519</xdr:rowOff>
    </xdr:to>
    <xdr:cxnSp macro="">
      <xdr:nvCxnSpPr>
        <xdr:cNvPr id="659" name="Straight Connector 658"/>
        <xdr:cNvCxnSpPr/>
      </xdr:nvCxnSpPr>
      <xdr:spPr>
        <a:xfrm>
          <a:off x="2849796" y="9046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596</xdr:row>
      <xdr:rowOff>41673</xdr:rowOff>
    </xdr:from>
    <xdr:to>
      <xdr:col>4</xdr:col>
      <xdr:colOff>12211</xdr:colOff>
      <xdr:row>599</xdr:row>
      <xdr:rowOff>0</xdr:rowOff>
    </xdr:to>
    <xdr:cxnSp macro="">
      <xdr:nvCxnSpPr>
        <xdr:cNvPr id="660" name="Straight Connector 659"/>
        <xdr:cNvCxnSpPr/>
      </xdr:nvCxnSpPr>
      <xdr:spPr>
        <a:xfrm flipH="1" flipV="1">
          <a:off x="3507441" y="8995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596</xdr:row>
      <xdr:rowOff>32918</xdr:rowOff>
    </xdr:from>
    <xdr:to>
      <xdr:col>4</xdr:col>
      <xdr:colOff>17861</xdr:colOff>
      <xdr:row>596</xdr:row>
      <xdr:rowOff>35719</xdr:rowOff>
    </xdr:to>
    <xdr:cxnSp macro="">
      <xdr:nvCxnSpPr>
        <xdr:cNvPr id="661" name="Straight Connector 660"/>
        <xdr:cNvCxnSpPr/>
      </xdr:nvCxnSpPr>
      <xdr:spPr>
        <a:xfrm flipH="1">
          <a:off x="2849796" y="8994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601</xdr:row>
      <xdr:rowOff>89297</xdr:rowOff>
    </xdr:from>
    <xdr:to>
      <xdr:col>3</xdr:col>
      <xdr:colOff>178594</xdr:colOff>
      <xdr:row>602</xdr:row>
      <xdr:rowOff>59531</xdr:rowOff>
    </xdr:to>
    <xdr:cxnSp macro="">
      <xdr:nvCxnSpPr>
        <xdr:cNvPr id="662" name="Straight Connector 661"/>
        <xdr:cNvCxnSpPr/>
      </xdr:nvCxnSpPr>
      <xdr:spPr>
        <a:xfrm>
          <a:off x="2849796" y="9095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601</xdr:row>
      <xdr:rowOff>35719</xdr:rowOff>
    </xdr:from>
    <xdr:to>
      <xdr:col>3</xdr:col>
      <xdr:colOff>285750</xdr:colOff>
      <xdr:row>601</xdr:row>
      <xdr:rowOff>154781</xdr:rowOff>
    </xdr:to>
    <xdr:cxnSp macro="">
      <xdr:nvCxnSpPr>
        <xdr:cNvPr id="663" name="Straight Connector 662"/>
        <xdr:cNvCxnSpPr/>
      </xdr:nvCxnSpPr>
      <xdr:spPr>
        <a:xfrm>
          <a:off x="2885515" y="9090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601</xdr:row>
      <xdr:rowOff>44824</xdr:rowOff>
    </xdr:from>
    <xdr:to>
      <xdr:col>3</xdr:col>
      <xdr:colOff>67235</xdr:colOff>
      <xdr:row>603</xdr:row>
      <xdr:rowOff>156883</xdr:rowOff>
    </xdr:to>
    <xdr:cxnSp macro="">
      <xdr:nvCxnSpPr>
        <xdr:cNvPr id="664" name="Straight Connector 663"/>
        <xdr:cNvCxnSpPr/>
      </xdr:nvCxnSpPr>
      <xdr:spPr>
        <a:xfrm>
          <a:off x="2857500" y="9091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603</xdr:row>
      <xdr:rowOff>166690</xdr:rowOff>
    </xdr:from>
    <xdr:to>
      <xdr:col>4</xdr:col>
      <xdr:colOff>29308</xdr:colOff>
      <xdr:row>603</xdr:row>
      <xdr:rowOff>168519</xdr:rowOff>
    </xdr:to>
    <xdr:cxnSp macro="">
      <xdr:nvCxnSpPr>
        <xdr:cNvPr id="665" name="Straight Connector 664"/>
        <xdr:cNvCxnSpPr/>
      </xdr:nvCxnSpPr>
      <xdr:spPr>
        <a:xfrm>
          <a:off x="2849796" y="9141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601</xdr:row>
      <xdr:rowOff>41673</xdr:rowOff>
    </xdr:from>
    <xdr:to>
      <xdr:col>4</xdr:col>
      <xdr:colOff>12211</xdr:colOff>
      <xdr:row>604</xdr:row>
      <xdr:rowOff>0</xdr:rowOff>
    </xdr:to>
    <xdr:cxnSp macro="">
      <xdr:nvCxnSpPr>
        <xdr:cNvPr id="666" name="Straight Connector 665"/>
        <xdr:cNvCxnSpPr/>
      </xdr:nvCxnSpPr>
      <xdr:spPr>
        <a:xfrm flipH="1" flipV="1">
          <a:off x="3507441" y="9091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601</xdr:row>
      <xdr:rowOff>32918</xdr:rowOff>
    </xdr:from>
    <xdr:to>
      <xdr:col>4</xdr:col>
      <xdr:colOff>17861</xdr:colOff>
      <xdr:row>601</xdr:row>
      <xdr:rowOff>35719</xdr:rowOff>
    </xdr:to>
    <xdr:cxnSp macro="">
      <xdr:nvCxnSpPr>
        <xdr:cNvPr id="667" name="Straight Connector 666"/>
        <xdr:cNvCxnSpPr/>
      </xdr:nvCxnSpPr>
      <xdr:spPr>
        <a:xfrm flipH="1">
          <a:off x="2849796" y="9090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35719</xdr:rowOff>
    </xdr:from>
    <xdr:to>
      <xdr:col>3</xdr:col>
      <xdr:colOff>428625</xdr:colOff>
      <xdr:row>608</xdr:row>
      <xdr:rowOff>178594</xdr:rowOff>
    </xdr:to>
    <xdr:cxnSp macro="">
      <xdr:nvCxnSpPr>
        <xdr:cNvPr id="668" name="Straight Connector 667"/>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608</xdr:row>
      <xdr:rowOff>95249</xdr:rowOff>
    </xdr:from>
    <xdr:to>
      <xdr:col>3</xdr:col>
      <xdr:colOff>571500</xdr:colOff>
      <xdr:row>608</xdr:row>
      <xdr:rowOff>154780</xdr:rowOff>
    </xdr:to>
    <xdr:cxnSp macro="">
      <xdr:nvCxnSpPr>
        <xdr:cNvPr id="669" name="Straight Connector 668"/>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47625</xdr:rowOff>
    </xdr:from>
    <xdr:to>
      <xdr:col>3</xdr:col>
      <xdr:colOff>595313</xdr:colOff>
      <xdr:row>606</xdr:row>
      <xdr:rowOff>119062</xdr:rowOff>
    </xdr:to>
    <xdr:cxnSp macro="">
      <xdr:nvCxnSpPr>
        <xdr:cNvPr id="670" name="Straight Connector 669"/>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35719</xdr:rowOff>
    </xdr:from>
    <xdr:to>
      <xdr:col>3</xdr:col>
      <xdr:colOff>428625</xdr:colOff>
      <xdr:row>608</xdr:row>
      <xdr:rowOff>178594</xdr:rowOff>
    </xdr:to>
    <xdr:cxnSp macro="">
      <xdr:nvCxnSpPr>
        <xdr:cNvPr id="671" name="Straight Connector 670"/>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608</xdr:row>
      <xdr:rowOff>95249</xdr:rowOff>
    </xdr:from>
    <xdr:to>
      <xdr:col>3</xdr:col>
      <xdr:colOff>571500</xdr:colOff>
      <xdr:row>608</xdr:row>
      <xdr:rowOff>154780</xdr:rowOff>
    </xdr:to>
    <xdr:cxnSp macro="">
      <xdr:nvCxnSpPr>
        <xdr:cNvPr id="672" name="Straight Connector 671"/>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47625</xdr:rowOff>
    </xdr:from>
    <xdr:to>
      <xdr:col>3</xdr:col>
      <xdr:colOff>595313</xdr:colOff>
      <xdr:row>606</xdr:row>
      <xdr:rowOff>119062</xdr:rowOff>
    </xdr:to>
    <xdr:cxnSp macro="">
      <xdr:nvCxnSpPr>
        <xdr:cNvPr id="673" name="Straight Connector 672"/>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619</xdr:row>
      <xdr:rowOff>297027</xdr:rowOff>
    </xdr:from>
    <xdr:to>
      <xdr:col>3</xdr:col>
      <xdr:colOff>392907</xdr:colOff>
      <xdr:row>623</xdr:row>
      <xdr:rowOff>154781</xdr:rowOff>
    </xdr:to>
    <xdr:cxnSp macro="">
      <xdr:nvCxnSpPr>
        <xdr:cNvPr id="674" name="Straight Connector 673"/>
        <xdr:cNvCxnSpPr/>
      </xdr:nvCxnSpPr>
      <xdr:spPr>
        <a:xfrm>
          <a:off x="3175346" y="1115056"/>
          <a:ext cx="7826" cy="754225"/>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619</xdr:row>
      <xdr:rowOff>305147</xdr:rowOff>
    </xdr:from>
    <xdr:to>
      <xdr:col>3</xdr:col>
      <xdr:colOff>130969</xdr:colOff>
      <xdr:row>621</xdr:row>
      <xdr:rowOff>11906</xdr:rowOff>
    </xdr:to>
    <xdr:cxnSp macro="">
      <xdr:nvCxnSpPr>
        <xdr:cNvPr id="676" name="Straight Arrow Connector 675"/>
        <xdr:cNvCxnSpPr/>
      </xdr:nvCxnSpPr>
      <xdr:spPr>
        <a:xfrm flipH="1" flipV="1">
          <a:off x="2913960" y="1123176"/>
          <a:ext cx="7274" cy="22223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622</xdr:row>
      <xdr:rowOff>11907</xdr:rowOff>
    </xdr:from>
    <xdr:to>
      <xdr:col>3</xdr:col>
      <xdr:colOff>130969</xdr:colOff>
      <xdr:row>623</xdr:row>
      <xdr:rowOff>154782</xdr:rowOff>
    </xdr:to>
    <xdr:cxnSp macro="">
      <xdr:nvCxnSpPr>
        <xdr:cNvPr id="677" name="Straight Arrow Connector 676"/>
        <xdr:cNvCxnSpPr/>
      </xdr:nvCxnSpPr>
      <xdr:spPr>
        <a:xfrm>
          <a:off x="2921234" y="153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626</xdr:row>
      <xdr:rowOff>89297</xdr:rowOff>
    </xdr:from>
    <xdr:to>
      <xdr:col>3</xdr:col>
      <xdr:colOff>178594</xdr:colOff>
      <xdr:row>627</xdr:row>
      <xdr:rowOff>59531</xdr:rowOff>
    </xdr:to>
    <xdr:cxnSp macro="">
      <xdr:nvCxnSpPr>
        <xdr:cNvPr id="678" name="Straight Connector 677"/>
        <xdr:cNvCxnSpPr/>
      </xdr:nvCxnSpPr>
      <xdr:spPr>
        <a:xfrm>
          <a:off x="2849796" y="237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626</xdr:row>
      <xdr:rowOff>35719</xdr:rowOff>
    </xdr:from>
    <xdr:to>
      <xdr:col>3</xdr:col>
      <xdr:colOff>285750</xdr:colOff>
      <xdr:row>626</xdr:row>
      <xdr:rowOff>154781</xdr:rowOff>
    </xdr:to>
    <xdr:cxnSp macro="">
      <xdr:nvCxnSpPr>
        <xdr:cNvPr id="679" name="Straight Connector 678"/>
        <xdr:cNvCxnSpPr/>
      </xdr:nvCxnSpPr>
      <xdr:spPr>
        <a:xfrm>
          <a:off x="2885515" y="232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635</xdr:row>
      <xdr:rowOff>124558</xdr:rowOff>
    </xdr:from>
    <xdr:to>
      <xdr:col>3</xdr:col>
      <xdr:colOff>381000</xdr:colOff>
      <xdr:row>638</xdr:row>
      <xdr:rowOff>124558</xdr:rowOff>
    </xdr:to>
    <xdr:cxnSp macro="">
      <xdr:nvCxnSpPr>
        <xdr:cNvPr id="680" name="Straight Connector 679"/>
        <xdr:cNvCxnSpPr/>
      </xdr:nvCxnSpPr>
      <xdr:spPr>
        <a:xfrm flipH="1">
          <a:off x="2720149" y="4125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635</xdr:row>
      <xdr:rowOff>139212</xdr:rowOff>
    </xdr:from>
    <xdr:to>
      <xdr:col>4</xdr:col>
      <xdr:colOff>116773</xdr:colOff>
      <xdr:row>638</xdr:row>
      <xdr:rowOff>117231</xdr:rowOff>
    </xdr:to>
    <xdr:cxnSp macro="">
      <xdr:nvCxnSpPr>
        <xdr:cNvPr id="681" name="Straight Connector 680"/>
        <xdr:cNvCxnSpPr/>
      </xdr:nvCxnSpPr>
      <xdr:spPr>
        <a:xfrm>
          <a:off x="3171265" y="4139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638</xdr:row>
      <xdr:rowOff>118956</xdr:rowOff>
    </xdr:from>
    <xdr:to>
      <xdr:col>4</xdr:col>
      <xdr:colOff>134902</xdr:colOff>
      <xdr:row>638</xdr:row>
      <xdr:rowOff>118956</xdr:rowOff>
    </xdr:to>
    <xdr:cxnSp macro="">
      <xdr:nvCxnSpPr>
        <xdr:cNvPr id="682" name="Straight Connector 681"/>
        <xdr:cNvCxnSpPr/>
      </xdr:nvCxnSpPr>
      <xdr:spPr>
        <a:xfrm>
          <a:off x="2713118" y="4690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636</xdr:row>
      <xdr:rowOff>36635</xdr:rowOff>
    </xdr:from>
    <xdr:to>
      <xdr:col>3</xdr:col>
      <xdr:colOff>300404</xdr:colOff>
      <xdr:row>637</xdr:row>
      <xdr:rowOff>45337</xdr:rowOff>
    </xdr:to>
    <xdr:cxnSp macro="">
      <xdr:nvCxnSpPr>
        <xdr:cNvPr id="683" name="Straight Connector 682"/>
        <xdr:cNvCxnSpPr/>
      </xdr:nvCxnSpPr>
      <xdr:spPr>
        <a:xfrm flipH="1">
          <a:off x="3085174" y="4227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636</xdr:row>
      <xdr:rowOff>25749</xdr:rowOff>
    </xdr:from>
    <xdr:to>
      <xdr:col>3</xdr:col>
      <xdr:colOff>472128</xdr:colOff>
      <xdr:row>637</xdr:row>
      <xdr:rowOff>36635</xdr:rowOff>
    </xdr:to>
    <xdr:cxnSp macro="">
      <xdr:nvCxnSpPr>
        <xdr:cNvPr id="684" name="Straight Connector 683"/>
        <xdr:cNvCxnSpPr/>
      </xdr:nvCxnSpPr>
      <xdr:spPr>
        <a:xfrm>
          <a:off x="3244534" y="4216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626</xdr:row>
      <xdr:rowOff>44824</xdr:rowOff>
    </xdr:from>
    <xdr:to>
      <xdr:col>3</xdr:col>
      <xdr:colOff>67235</xdr:colOff>
      <xdr:row>628</xdr:row>
      <xdr:rowOff>156883</xdr:rowOff>
    </xdr:to>
    <xdr:cxnSp macro="">
      <xdr:nvCxnSpPr>
        <xdr:cNvPr id="685" name="Straight Connector 684"/>
        <xdr:cNvCxnSpPr/>
      </xdr:nvCxnSpPr>
      <xdr:spPr>
        <a:xfrm>
          <a:off x="2857500" y="233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628</xdr:row>
      <xdr:rowOff>166690</xdr:rowOff>
    </xdr:from>
    <xdr:to>
      <xdr:col>3</xdr:col>
      <xdr:colOff>712867</xdr:colOff>
      <xdr:row>628</xdr:row>
      <xdr:rowOff>168519</xdr:rowOff>
    </xdr:to>
    <xdr:cxnSp macro="">
      <xdr:nvCxnSpPr>
        <xdr:cNvPr id="686" name="Straight Connector 685"/>
        <xdr:cNvCxnSpPr/>
      </xdr:nvCxnSpPr>
      <xdr:spPr>
        <a:xfrm>
          <a:off x="2816179" y="283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626</xdr:row>
      <xdr:rowOff>41673</xdr:rowOff>
    </xdr:from>
    <xdr:to>
      <xdr:col>4</xdr:col>
      <xdr:colOff>12211</xdr:colOff>
      <xdr:row>629</xdr:row>
      <xdr:rowOff>0</xdr:rowOff>
    </xdr:to>
    <xdr:cxnSp macro="">
      <xdr:nvCxnSpPr>
        <xdr:cNvPr id="687" name="Straight Connector 686"/>
        <xdr:cNvCxnSpPr/>
      </xdr:nvCxnSpPr>
      <xdr:spPr>
        <a:xfrm flipH="1" flipV="1">
          <a:off x="3507441" y="232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626</xdr:row>
      <xdr:rowOff>32918</xdr:rowOff>
    </xdr:from>
    <xdr:to>
      <xdr:col>4</xdr:col>
      <xdr:colOff>17861</xdr:colOff>
      <xdr:row>626</xdr:row>
      <xdr:rowOff>35719</xdr:rowOff>
    </xdr:to>
    <xdr:cxnSp macro="">
      <xdr:nvCxnSpPr>
        <xdr:cNvPr id="688" name="Straight Connector 687"/>
        <xdr:cNvCxnSpPr/>
      </xdr:nvCxnSpPr>
      <xdr:spPr>
        <a:xfrm flipH="1">
          <a:off x="2849796" y="231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631</xdr:row>
      <xdr:rowOff>89297</xdr:rowOff>
    </xdr:from>
    <xdr:to>
      <xdr:col>3</xdr:col>
      <xdr:colOff>178594</xdr:colOff>
      <xdr:row>632</xdr:row>
      <xdr:rowOff>59531</xdr:rowOff>
    </xdr:to>
    <xdr:cxnSp macro="">
      <xdr:nvCxnSpPr>
        <xdr:cNvPr id="689" name="Straight Connector 688"/>
        <xdr:cNvCxnSpPr/>
      </xdr:nvCxnSpPr>
      <xdr:spPr>
        <a:xfrm>
          <a:off x="2849796" y="332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631</xdr:row>
      <xdr:rowOff>35719</xdr:rowOff>
    </xdr:from>
    <xdr:to>
      <xdr:col>3</xdr:col>
      <xdr:colOff>285750</xdr:colOff>
      <xdr:row>631</xdr:row>
      <xdr:rowOff>154781</xdr:rowOff>
    </xdr:to>
    <xdr:cxnSp macro="">
      <xdr:nvCxnSpPr>
        <xdr:cNvPr id="690" name="Straight Connector 689"/>
        <xdr:cNvCxnSpPr/>
      </xdr:nvCxnSpPr>
      <xdr:spPr>
        <a:xfrm>
          <a:off x="2885515" y="327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631</xdr:row>
      <xdr:rowOff>44824</xdr:rowOff>
    </xdr:from>
    <xdr:to>
      <xdr:col>3</xdr:col>
      <xdr:colOff>67235</xdr:colOff>
      <xdr:row>633</xdr:row>
      <xdr:rowOff>156883</xdr:rowOff>
    </xdr:to>
    <xdr:cxnSp macro="">
      <xdr:nvCxnSpPr>
        <xdr:cNvPr id="691" name="Straight Connector 690"/>
        <xdr:cNvCxnSpPr/>
      </xdr:nvCxnSpPr>
      <xdr:spPr>
        <a:xfrm>
          <a:off x="2857500" y="328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633</xdr:row>
      <xdr:rowOff>166690</xdr:rowOff>
    </xdr:from>
    <xdr:to>
      <xdr:col>4</xdr:col>
      <xdr:colOff>29308</xdr:colOff>
      <xdr:row>633</xdr:row>
      <xdr:rowOff>168519</xdr:rowOff>
    </xdr:to>
    <xdr:cxnSp macro="">
      <xdr:nvCxnSpPr>
        <xdr:cNvPr id="692" name="Straight Connector 691"/>
        <xdr:cNvCxnSpPr/>
      </xdr:nvCxnSpPr>
      <xdr:spPr>
        <a:xfrm>
          <a:off x="2849796" y="378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631</xdr:row>
      <xdr:rowOff>41673</xdr:rowOff>
    </xdr:from>
    <xdr:to>
      <xdr:col>4</xdr:col>
      <xdr:colOff>12211</xdr:colOff>
      <xdr:row>634</xdr:row>
      <xdr:rowOff>0</xdr:rowOff>
    </xdr:to>
    <xdr:cxnSp macro="">
      <xdr:nvCxnSpPr>
        <xdr:cNvPr id="693" name="Straight Connector 692"/>
        <xdr:cNvCxnSpPr/>
      </xdr:nvCxnSpPr>
      <xdr:spPr>
        <a:xfrm flipH="1" flipV="1">
          <a:off x="3507441" y="328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631</xdr:row>
      <xdr:rowOff>32918</xdr:rowOff>
    </xdr:from>
    <xdr:to>
      <xdr:col>4</xdr:col>
      <xdr:colOff>17861</xdr:colOff>
      <xdr:row>631</xdr:row>
      <xdr:rowOff>35719</xdr:rowOff>
    </xdr:to>
    <xdr:cxnSp macro="">
      <xdr:nvCxnSpPr>
        <xdr:cNvPr id="694" name="Straight Connector 693"/>
        <xdr:cNvCxnSpPr/>
      </xdr:nvCxnSpPr>
      <xdr:spPr>
        <a:xfrm flipH="1">
          <a:off x="2849796" y="327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640</xdr:row>
      <xdr:rowOff>124558</xdr:rowOff>
    </xdr:from>
    <xdr:to>
      <xdr:col>3</xdr:col>
      <xdr:colOff>381000</xdr:colOff>
      <xdr:row>643</xdr:row>
      <xdr:rowOff>124558</xdr:rowOff>
    </xdr:to>
    <xdr:cxnSp macro="">
      <xdr:nvCxnSpPr>
        <xdr:cNvPr id="695" name="Straight Connector 694"/>
        <xdr:cNvCxnSpPr/>
      </xdr:nvCxnSpPr>
      <xdr:spPr>
        <a:xfrm flipH="1">
          <a:off x="2720149" y="5077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640</xdr:row>
      <xdr:rowOff>139212</xdr:rowOff>
    </xdr:from>
    <xdr:to>
      <xdr:col>4</xdr:col>
      <xdr:colOff>116773</xdr:colOff>
      <xdr:row>643</xdr:row>
      <xdr:rowOff>117231</xdr:rowOff>
    </xdr:to>
    <xdr:cxnSp macro="">
      <xdr:nvCxnSpPr>
        <xdr:cNvPr id="696" name="Straight Connector 695"/>
        <xdr:cNvCxnSpPr/>
      </xdr:nvCxnSpPr>
      <xdr:spPr>
        <a:xfrm>
          <a:off x="3171265" y="5092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643</xdr:row>
      <xdr:rowOff>118956</xdr:rowOff>
    </xdr:from>
    <xdr:to>
      <xdr:col>4</xdr:col>
      <xdr:colOff>134902</xdr:colOff>
      <xdr:row>643</xdr:row>
      <xdr:rowOff>118956</xdr:rowOff>
    </xdr:to>
    <xdr:cxnSp macro="">
      <xdr:nvCxnSpPr>
        <xdr:cNvPr id="697" name="Straight Connector 696"/>
        <xdr:cNvCxnSpPr/>
      </xdr:nvCxnSpPr>
      <xdr:spPr>
        <a:xfrm>
          <a:off x="2713118" y="5643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641</xdr:row>
      <xdr:rowOff>36635</xdr:rowOff>
    </xdr:from>
    <xdr:to>
      <xdr:col>3</xdr:col>
      <xdr:colOff>300404</xdr:colOff>
      <xdr:row>642</xdr:row>
      <xdr:rowOff>45337</xdr:rowOff>
    </xdr:to>
    <xdr:cxnSp macro="">
      <xdr:nvCxnSpPr>
        <xdr:cNvPr id="698" name="Straight Connector 697"/>
        <xdr:cNvCxnSpPr/>
      </xdr:nvCxnSpPr>
      <xdr:spPr>
        <a:xfrm flipH="1">
          <a:off x="3085174" y="5180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641</xdr:row>
      <xdr:rowOff>25749</xdr:rowOff>
    </xdr:from>
    <xdr:to>
      <xdr:col>3</xdr:col>
      <xdr:colOff>472128</xdr:colOff>
      <xdr:row>642</xdr:row>
      <xdr:rowOff>36635</xdr:rowOff>
    </xdr:to>
    <xdr:cxnSp macro="">
      <xdr:nvCxnSpPr>
        <xdr:cNvPr id="699" name="Straight Connector 698"/>
        <xdr:cNvCxnSpPr/>
      </xdr:nvCxnSpPr>
      <xdr:spPr>
        <a:xfrm>
          <a:off x="3244534" y="5169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708</xdr:row>
      <xdr:rowOff>297027</xdr:rowOff>
    </xdr:from>
    <xdr:to>
      <xdr:col>3</xdr:col>
      <xdr:colOff>392907</xdr:colOff>
      <xdr:row>712</xdr:row>
      <xdr:rowOff>154781</xdr:rowOff>
    </xdr:to>
    <xdr:cxnSp macro="">
      <xdr:nvCxnSpPr>
        <xdr:cNvPr id="700" name="Straight Connector 699"/>
        <xdr:cNvCxnSpPr/>
      </xdr:nvCxnSpPr>
      <xdr:spPr>
        <a:xfrm>
          <a:off x="3175346" y="609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708</xdr:row>
      <xdr:rowOff>305147</xdr:rowOff>
    </xdr:from>
    <xdr:to>
      <xdr:col>3</xdr:col>
      <xdr:colOff>130969</xdr:colOff>
      <xdr:row>710</xdr:row>
      <xdr:rowOff>11906</xdr:rowOff>
    </xdr:to>
    <xdr:cxnSp macro="">
      <xdr:nvCxnSpPr>
        <xdr:cNvPr id="702" name="Straight Arrow Connector 701"/>
        <xdr:cNvCxnSpPr/>
      </xdr:nvCxnSpPr>
      <xdr:spPr>
        <a:xfrm flipH="1" flipV="1">
          <a:off x="2913960"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711</xdr:row>
      <xdr:rowOff>11907</xdr:rowOff>
    </xdr:from>
    <xdr:to>
      <xdr:col>3</xdr:col>
      <xdr:colOff>130969</xdr:colOff>
      <xdr:row>712</xdr:row>
      <xdr:rowOff>154782</xdr:rowOff>
    </xdr:to>
    <xdr:cxnSp macro="">
      <xdr:nvCxnSpPr>
        <xdr:cNvPr id="703" name="Straight Arrow Connector 702"/>
        <xdr:cNvCxnSpPr/>
      </xdr:nvCxnSpPr>
      <xdr:spPr>
        <a:xfrm>
          <a:off x="2921234" y="648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715</xdr:row>
      <xdr:rowOff>89297</xdr:rowOff>
    </xdr:from>
    <xdr:to>
      <xdr:col>3</xdr:col>
      <xdr:colOff>178594</xdr:colOff>
      <xdr:row>716</xdr:row>
      <xdr:rowOff>59531</xdr:rowOff>
    </xdr:to>
    <xdr:cxnSp macro="">
      <xdr:nvCxnSpPr>
        <xdr:cNvPr id="704" name="Straight Connector 703"/>
        <xdr:cNvCxnSpPr/>
      </xdr:nvCxnSpPr>
      <xdr:spPr>
        <a:xfrm>
          <a:off x="2849796" y="7328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715</xdr:row>
      <xdr:rowOff>35719</xdr:rowOff>
    </xdr:from>
    <xdr:to>
      <xdr:col>3</xdr:col>
      <xdr:colOff>285750</xdr:colOff>
      <xdr:row>715</xdr:row>
      <xdr:rowOff>154781</xdr:rowOff>
    </xdr:to>
    <xdr:cxnSp macro="">
      <xdr:nvCxnSpPr>
        <xdr:cNvPr id="705" name="Straight Connector 704"/>
        <xdr:cNvCxnSpPr/>
      </xdr:nvCxnSpPr>
      <xdr:spPr>
        <a:xfrm>
          <a:off x="2885515" y="7274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724</xdr:row>
      <xdr:rowOff>124558</xdr:rowOff>
    </xdr:from>
    <xdr:to>
      <xdr:col>3</xdr:col>
      <xdr:colOff>381000</xdr:colOff>
      <xdr:row>727</xdr:row>
      <xdr:rowOff>124558</xdr:rowOff>
    </xdr:to>
    <xdr:cxnSp macro="">
      <xdr:nvCxnSpPr>
        <xdr:cNvPr id="706" name="Straight Connector 705"/>
        <xdr:cNvCxnSpPr/>
      </xdr:nvCxnSpPr>
      <xdr:spPr>
        <a:xfrm flipH="1">
          <a:off x="2720149" y="9078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724</xdr:row>
      <xdr:rowOff>139212</xdr:rowOff>
    </xdr:from>
    <xdr:to>
      <xdr:col>4</xdr:col>
      <xdr:colOff>116773</xdr:colOff>
      <xdr:row>727</xdr:row>
      <xdr:rowOff>117231</xdr:rowOff>
    </xdr:to>
    <xdr:cxnSp macro="">
      <xdr:nvCxnSpPr>
        <xdr:cNvPr id="707" name="Straight Connector 706"/>
        <xdr:cNvCxnSpPr/>
      </xdr:nvCxnSpPr>
      <xdr:spPr>
        <a:xfrm>
          <a:off x="3171265" y="9092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727</xdr:row>
      <xdr:rowOff>118956</xdr:rowOff>
    </xdr:from>
    <xdr:to>
      <xdr:col>4</xdr:col>
      <xdr:colOff>134902</xdr:colOff>
      <xdr:row>727</xdr:row>
      <xdr:rowOff>118956</xdr:rowOff>
    </xdr:to>
    <xdr:cxnSp macro="">
      <xdr:nvCxnSpPr>
        <xdr:cNvPr id="708" name="Straight Connector 707"/>
        <xdr:cNvCxnSpPr/>
      </xdr:nvCxnSpPr>
      <xdr:spPr>
        <a:xfrm>
          <a:off x="2713118" y="9643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725</xdr:row>
      <xdr:rowOff>36635</xdr:rowOff>
    </xdr:from>
    <xdr:to>
      <xdr:col>3</xdr:col>
      <xdr:colOff>300404</xdr:colOff>
      <xdr:row>726</xdr:row>
      <xdr:rowOff>45337</xdr:rowOff>
    </xdr:to>
    <xdr:cxnSp macro="">
      <xdr:nvCxnSpPr>
        <xdr:cNvPr id="709" name="Straight Connector 708"/>
        <xdr:cNvCxnSpPr/>
      </xdr:nvCxnSpPr>
      <xdr:spPr>
        <a:xfrm flipH="1">
          <a:off x="3085174" y="9180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725</xdr:row>
      <xdr:rowOff>25749</xdr:rowOff>
    </xdr:from>
    <xdr:to>
      <xdr:col>3</xdr:col>
      <xdr:colOff>472128</xdr:colOff>
      <xdr:row>726</xdr:row>
      <xdr:rowOff>36635</xdr:rowOff>
    </xdr:to>
    <xdr:cxnSp macro="">
      <xdr:nvCxnSpPr>
        <xdr:cNvPr id="710" name="Straight Connector 709"/>
        <xdr:cNvCxnSpPr/>
      </xdr:nvCxnSpPr>
      <xdr:spPr>
        <a:xfrm>
          <a:off x="3244534" y="9169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715</xdr:row>
      <xdr:rowOff>44824</xdr:rowOff>
    </xdr:from>
    <xdr:to>
      <xdr:col>3</xdr:col>
      <xdr:colOff>67235</xdr:colOff>
      <xdr:row>717</xdr:row>
      <xdr:rowOff>156883</xdr:rowOff>
    </xdr:to>
    <xdr:cxnSp macro="">
      <xdr:nvCxnSpPr>
        <xdr:cNvPr id="711" name="Straight Connector 710"/>
        <xdr:cNvCxnSpPr/>
      </xdr:nvCxnSpPr>
      <xdr:spPr>
        <a:xfrm>
          <a:off x="2857500" y="7283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717</xdr:row>
      <xdr:rowOff>166690</xdr:rowOff>
    </xdr:from>
    <xdr:to>
      <xdr:col>4</xdr:col>
      <xdr:colOff>29308</xdr:colOff>
      <xdr:row>717</xdr:row>
      <xdr:rowOff>168519</xdr:rowOff>
    </xdr:to>
    <xdr:cxnSp macro="">
      <xdr:nvCxnSpPr>
        <xdr:cNvPr id="712" name="Straight Connector 711"/>
        <xdr:cNvCxnSpPr/>
      </xdr:nvCxnSpPr>
      <xdr:spPr>
        <a:xfrm>
          <a:off x="2849796" y="7786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715</xdr:row>
      <xdr:rowOff>41673</xdr:rowOff>
    </xdr:from>
    <xdr:to>
      <xdr:col>4</xdr:col>
      <xdr:colOff>12211</xdr:colOff>
      <xdr:row>718</xdr:row>
      <xdr:rowOff>0</xdr:rowOff>
    </xdr:to>
    <xdr:cxnSp macro="">
      <xdr:nvCxnSpPr>
        <xdr:cNvPr id="713" name="Straight Connector 712"/>
        <xdr:cNvCxnSpPr/>
      </xdr:nvCxnSpPr>
      <xdr:spPr>
        <a:xfrm flipH="1" flipV="1">
          <a:off x="3507441" y="7280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715</xdr:row>
      <xdr:rowOff>32918</xdr:rowOff>
    </xdr:from>
    <xdr:to>
      <xdr:col>4</xdr:col>
      <xdr:colOff>17861</xdr:colOff>
      <xdr:row>715</xdr:row>
      <xdr:rowOff>35719</xdr:rowOff>
    </xdr:to>
    <xdr:cxnSp macro="">
      <xdr:nvCxnSpPr>
        <xdr:cNvPr id="714" name="Straight Connector 713"/>
        <xdr:cNvCxnSpPr/>
      </xdr:nvCxnSpPr>
      <xdr:spPr>
        <a:xfrm flipH="1">
          <a:off x="2849796" y="7271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720</xdr:row>
      <xdr:rowOff>89297</xdr:rowOff>
    </xdr:from>
    <xdr:to>
      <xdr:col>3</xdr:col>
      <xdr:colOff>178594</xdr:colOff>
      <xdr:row>721</xdr:row>
      <xdr:rowOff>59531</xdr:rowOff>
    </xdr:to>
    <xdr:cxnSp macro="">
      <xdr:nvCxnSpPr>
        <xdr:cNvPr id="715" name="Straight Connector 714"/>
        <xdr:cNvCxnSpPr/>
      </xdr:nvCxnSpPr>
      <xdr:spPr>
        <a:xfrm>
          <a:off x="2849796" y="828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720</xdr:row>
      <xdr:rowOff>35719</xdr:rowOff>
    </xdr:from>
    <xdr:to>
      <xdr:col>3</xdr:col>
      <xdr:colOff>285750</xdr:colOff>
      <xdr:row>720</xdr:row>
      <xdr:rowOff>154781</xdr:rowOff>
    </xdr:to>
    <xdr:cxnSp macro="">
      <xdr:nvCxnSpPr>
        <xdr:cNvPr id="716" name="Straight Connector 715"/>
        <xdr:cNvCxnSpPr/>
      </xdr:nvCxnSpPr>
      <xdr:spPr>
        <a:xfrm>
          <a:off x="2885515" y="822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720</xdr:row>
      <xdr:rowOff>44824</xdr:rowOff>
    </xdr:from>
    <xdr:to>
      <xdr:col>3</xdr:col>
      <xdr:colOff>67235</xdr:colOff>
      <xdr:row>722</xdr:row>
      <xdr:rowOff>156883</xdr:rowOff>
    </xdr:to>
    <xdr:cxnSp macro="">
      <xdr:nvCxnSpPr>
        <xdr:cNvPr id="717" name="Straight Connector 716"/>
        <xdr:cNvCxnSpPr/>
      </xdr:nvCxnSpPr>
      <xdr:spPr>
        <a:xfrm>
          <a:off x="2857500" y="823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722</xdr:row>
      <xdr:rowOff>166690</xdr:rowOff>
    </xdr:from>
    <xdr:to>
      <xdr:col>4</xdr:col>
      <xdr:colOff>29308</xdr:colOff>
      <xdr:row>722</xdr:row>
      <xdr:rowOff>168519</xdr:rowOff>
    </xdr:to>
    <xdr:cxnSp macro="">
      <xdr:nvCxnSpPr>
        <xdr:cNvPr id="718" name="Straight Connector 717"/>
        <xdr:cNvCxnSpPr/>
      </xdr:nvCxnSpPr>
      <xdr:spPr>
        <a:xfrm>
          <a:off x="2849796" y="8739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720</xdr:row>
      <xdr:rowOff>41673</xdr:rowOff>
    </xdr:from>
    <xdr:to>
      <xdr:col>4</xdr:col>
      <xdr:colOff>12211</xdr:colOff>
      <xdr:row>723</xdr:row>
      <xdr:rowOff>0</xdr:rowOff>
    </xdr:to>
    <xdr:cxnSp macro="">
      <xdr:nvCxnSpPr>
        <xdr:cNvPr id="719" name="Straight Connector 718"/>
        <xdr:cNvCxnSpPr/>
      </xdr:nvCxnSpPr>
      <xdr:spPr>
        <a:xfrm flipH="1" flipV="1">
          <a:off x="3507441" y="823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720</xdr:row>
      <xdr:rowOff>32918</xdr:rowOff>
    </xdr:from>
    <xdr:to>
      <xdr:col>4</xdr:col>
      <xdr:colOff>17861</xdr:colOff>
      <xdr:row>720</xdr:row>
      <xdr:rowOff>35719</xdr:rowOff>
    </xdr:to>
    <xdr:cxnSp macro="">
      <xdr:nvCxnSpPr>
        <xdr:cNvPr id="720" name="Straight Connector 719"/>
        <xdr:cNvCxnSpPr/>
      </xdr:nvCxnSpPr>
      <xdr:spPr>
        <a:xfrm flipH="1">
          <a:off x="2849796" y="8224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729</xdr:row>
      <xdr:rowOff>124558</xdr:rowOff>
    </xdr:from>
    <xdr:to>
      <xdr:col>3</xdr:col>
      <xdr:colOff>381000</xdr:colOff>
      <xdr:row>732</xdr:row>
      <xdr:rowOff>124558</xdr:rowOff>
    </xdr:to>
    <xdr:cxnSp macro="">
      <xdr:nvCxnSpPr>
        <xdr:cNvPr id="721" name="Straight Connector 720"/>
        <xdr:cNvCxnSpPr/>
      </xdr:nvCxnSpPr>
      <xdr:spPr>
        <a:xfrm flipH="1">
          <a:off x="2720149" y="10030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729</xdr:row>
      <xdr:rowOff>139212</xdr:rowOff>
    </xdr:from>
    <xdr:to>
      <xdr:col>4</xdr:col>
      <xdr:colOff>116773</xdr:colOff>
      <xdr:row>732</xdr:row>
      <xdr:rowOff>117231</xdr:rowOff>
    </xdr:to>
    <xdr:cxnSp macro="">
      <xdr:nvCxnSpPr>
        <xdr:cNvPr id="722" name="Straight Connector 721"/>
        <xdr:cNvCxnSpPr/>
      </xdr:nvCxnSpPr>
      <xdr:spPr>
        <a:xfrm>
          <a:off x="3171265" y="10045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732</xdr:row>
      <xdr:rowOff>118956</xdr:rowOff>
    </xdr:from>
    <xdr:to>
      <xdr:col>4</xdr:col>
      <xdr:colOff>134902</xdr:colOff>
      <xdr:row>732</xdr:row>
      <xdr:rowOff>118956</xdr:rowOff>
    </xdr:to>
    <xdr:cxnSp macro="">
      <xdr:nvCxnSpPr>
        <xdr:cNvPr id="723" name="Straight Connector 722"/>
        <xdr:cNvCxnSpPr/>
      </xdr:nvCxnSpPr>
      <xdr:spPr>
        <a:xfrm>
          <a:off x="2713118" y="10596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730</xdr:row>
      <xdr:rowOff>36635</xdr:rowOff>
    </xdr:from>
    <xdr:to>
      <xdr:col>3</xdr:col>
      <xdr:colOff>300404</xdr:colOff>
      <xdr:row>731</xdr:row>
      <xdr:rowOff>45337</xdr:rowOff>
    </xdr:to>
    <xdr:cxnSp macro="">
      <xdr:nvCxnSpPr>
        <xdr:cNvPr id="724" name="Straight Connector 723"/>
        <xdr:cNvCxnSpPr/>
      </xdr:nvCxnSpPr>
      <xdr:spPr>
        <a:xfrm flipH="1">
          <a:off x="3085174" y="1013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730</xdr:row>
      <xdr:rowOff>25749</xdr:rowOff>
    </xdr:from>
    <xdr:to>
      <xdr:col>3</xdr:col>
      <xdr:colOff>472128</xdr:colOff>
      <xdr:row>731</xdr:row>
      <xdr:rowOff>36635</xdr:rowOff>
    </xdr:to>
    <xdr:cxnSp macro="">
      <xdr:nvCxnSpPr>
        <xdr:cNvPr id="725" name="Straight Connector 724"/>
        <xdr:cNvCxnSpPr/>
      </xdr:nvCxnSpPr>
      <xdr:spPr>
        <a:xfrm>
          <a:off x="3244534" y="1012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800</xdr:row>
      <xdr:rowOff>297027</xdr:rowOff>
    </xdr:from>
    <xdr:to>
      <xdr:col>3</xdr:col>
      <xdr:colOff>392907</xdr:colOff>
      <xdr:row>804</xdr:row>
      <xdr:rowOff>154781</xdr:rowOff>
    </xdr:to>
    <xdr:cxnSp macro="">
      <xdr:nvCxnSpPr>
        <xdr:cNvPr id="726" name="Straight Connector 725"/>
        <xdr:cNvCxnSpPr/>
      </xdr:nvCxnSpPr>
      <xdr:spPr>
        <a:xfrm>
          <a:off x="3175346" y="1105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800</xdr:row>
      <xdr:rowOff>305147</xdr:rowOff>
    </xdr:from>
    <xdr:to>
      <xdr:col>3</xdr:col>
      <xdr:colOff>130969</xdr:colOff>
      <xdr:row>802</xdr:row>
      <xdr:rowOff>11906</xdr:rowOff>
    </xdr:to>
    <xdr:cxnSp macro="">
      <xdr:nvCxnSpPr>
        <xdr:cNvPr id="728" name="Straight Arrow Connector 727"/>
        <xdr:cNvCxnSpPr/>
      </xdr:nvCxnSpPr>
      <xdr:spPr>
        <a:xfrm flipH="1" flipV="1">
          <a:off x="2913960"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803</xdr:row>
      <xdr:rowOff>11907</xdr:rowOff>
    </xdr:from>
    <xdr:to>
      <xdr:col>3</xdr:col>
      <xdr:colOff>130969</xdr:colOff>
      <xdr:row>804</xdr:row>
      <xdr:rowOff>154782</xdr:rowOff>
    </xdr:to>
    <xdr:cxnSp macro="">
      <xdr:nvCxnSpPr>
        <xdr:cNvPr id="729" name="Straight Arrow Connector 728"/>
        <xdr:cNvCxnSpPr/>
      </xdr:nvCxnSpPr>
      <xdr:spPr>
        <a:xfrm>
          <a:off x="2921234" y="1144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807</xdr:row>
      <xdr:rowOff>89297</xdr:rowOff>
    </xdr:from>
    <xdr:to>
      <xdr:col>3</xdr:col>
      <xdr:colOff>178594</xdr:colOff>
      <xdr:row>808</xdr:row>
      <xdr:rowOff>59531</xdr:rowOff>
    </xdr:to>
    <xdr:cxnSp macro="">
      <xdr:nvCxnSpPr>
        <xdr:cNvPr id="730" name="Straight Connector 729"/>
        <xdr:cNvCxnSpPr/>
      </xdr:nvCxnSpPr>
      <xdr:spPr>
        <a:xfrm>
          <a:off x="2849796" y="1228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807</xdr:row>
      <xdr:rowOff>35719</xdr:rowOff>
    </xdr:from>
    <xdr:to>
      <xdr:col>3</xdr:col>
      <xdr:colOff>285750</xdr:colOff>
      <xdr:row>807</xdr:row>
      <xdr:rowOff>154781</xdr:rowOff>
    </xdr:to>
    <xdr:cxnSp macro="">
      <xdr:nvCxnSpPr>
        <xdr:cNvPr id="731" name="Straight Connector 730"/>
        <xdr:cNvCxnSpPr/>
      </xdr:nvCxnSpPr>
      <xdr:spPr>
        <a:xfrm>
          <a:off x="2885515" y="1222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816</xdr:row>
      <xdr:rowOff>124558</xdr:rowOff>
    </xdr:from>
    <xdr:to>
      <xdr:col>3</xdr:col>
      <xdr:colOff>381000</xdr:colOff>
      <xdr:row>819</xdr:row>
      <xdr:rowOff>124558</xdr:rowOff>
    </xdr:to>
    <xdr:cxnSp macro="">
      <xdr:nvCxnSpPr>
        <xdr:cNvPr id="732" name="Straight Connector 731"/>
        <xdr:cNvCxnSpPr/>
      </xdr:nvCxnSpPr>
      <xdr:spPr>
        <a:xfrm flipH="1">
          <a:off x="2720149" y="14031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816</xdr:row>
      <xdr:rowOff>139212</xdr:rowOff>
    </xdr:from>
    <xdr:to>
      <xdr:col>4</xdr:col>
      <xdr:colOff>116773</xdr:colOff>
      <xdr:row>819</xdr:row>
      <xdr:rowOff>117231</xdr:rowOff>
    </xdr:to>
    <xdr:cxnSp macro="">
      <xdr:nvCxnSpPr>
        <xdr:cNvPr id="733" name="Straight Connector 732"/>
        <xdr:cNvCxnSpPr/>
      </xdr:nvCxnSpPr>
      <xdr:spPr>
        <a:xfrm>
          <a:off x="3171265" y="14045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819</xdr:row>
      <xdr:rowOff>118956</xdr:rowOff>
    </xdr:from>
    <xdr:to>
      <xdr:col>4</xdr:col>
      <xdr:colOff>134902</xdr:colOff>
      <xdr:row>819</xdr:row>
      <xdr:rowOff>118956</xdr:rowOff>
    </xdr:to>
    <xdr:cxnSp macro="">
      <xdr:nvCxnSpPr>
        <xdr:cNvPr id="734" name="Straight Connector 733"/>
        <xdr:cNvCxnSpPr/>
      </xdr:nvCxnSpPr>
      <xdr:spPr>
        <a:xfrm>
          <a:off x="2713118" y="14596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817</xdr:row>
      <xdr:rowOff>36635</xdr:rowOff>
    </xdr:from>
    <xdr:to>
      <xdr:col>3</xdr:col>
      <xdr:colOff>300404</xdr:colOff>
      <xdr:row>818</xdr:row>
      <xdr:rowOff>45337</xdr:rowOff>
    </xdr:to>
    <xdr:cxnSp macro="">
      <xdr:nvCxnSpPr>
        <xdr:cNvPr id="735" name="Straight Connector 734"/>
        <xdr:cNvCxnSpPr/>
      </xdr:nvCxnSpPr>
      <xdr:spPr>
        <a:xfrm flipH="1">
          <a:off x="3085174" y="14133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817</xdr:row>
      <xdr:rowOff>25749</xdr:rowOff>
    </xdr:from>
    <xdr:to>
      <xdr:col>3</xdr:col>
      <xdr:colOff>472128</xdr:colOff>
      <xdr:row>818</xdr:row>
      <xdr:rowOff>36635</xdr:rowOff>
    </xdr:to>
    <xdr:cxnSp macro="">
      <xdr:nvCxnSpPr>
        <xdr:cNvPr id="736" name="Straight Connector 735"/>
        <xdr:cNvCxnSpPr/>
      </xdr:nvCxnSpPr>
      <xdr:spPr>
        <a:xfrm>
          <a:off x="3244534" y="14122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807</xdr:row>
      <xdr:rowOff>44824</xdr:rowOff>
    </xdr:from>
    <xdr:to>
      <xdr:col>3</xdr:col>
      <xdr:colOff>67235</xdr:colOff>
      <xdr:row>809</xdr:row>
      <xdr:rowOff>156883</xdr:rowOff>
    </xdr:to>
    <xdr:cxnSp macro="">
      <xdr:nvCxnSpPr>
        <xdr:cNvPr id="737" name="Straight Connector 736"/>
        <xdr:cNvCxnSpPr/>
      </xdr:nvCxnSpPr>
      <xdr:spPr>
        <a:xfrm>
          <a:off x="2857500" y="1223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809</xdr:row>
      <xdr:rowOff>166690</xdr:rowOff>
    </xdr:from>
    <xdr:to>
      <xdr:col>4</xdr:col>
      <xdr:colOff>29308</xdr:colOff>
      <xdr:row>809</xdr:row>
      <xdr:rowOff>168519</xdr:rowOff>
    </xdr:to>
    <xdr:cxnSp macro="">
      <xdr:nvCxnSpPr>
        <xdr:cNvPr id="738" name="Straight Connector 737"/>
        <xdr:cNvCxnSpPr/>
      </xdr:nvCxnSpPr>
      <xdr:spPr>
        <a:xfrm>
          <a:off x="2849796" y="12739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807</xdr:row>
      <xdr:rowOff>41673</xdr:rowOff>
    </xdr:from>
    <xdr:to>
      <xdr:col>4</xdr:col>
      <xdr:colOff>12211</xdr:colOff>
      <xdr:row>810</xdr:row>
      <xdr:rowOff>0</xdr:rowOff>
    </xdr:to>
    <xdr:cxnSp macro="">
      <xdr:nvCxnSpPr>
        <xdr:cNvPr id="739" name="Straight Connector 738"/>
        <xdr:cNvCxnSpPr/>
      </xdr:nvCxnSpPr>
      <xdr:spPr>
        <a:xfrm flipH="1" flipV="1">
          <a:off x="3507441" y="1223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807</xdr:row>
      <xdr:rowOff>32918</xdr:rowOff>
    </xdr:from>
    <xdr:to>
      <xdr:col>4</xdr:col>
      <xdr:colOff>17861</xdr:colOff>
      <xdr:row>807</xdr:row>
      <xdr:rowOff>35719</xdr:rowOff>
    </xdr:to>
    <xdr:cxnSp macro="">
      <xdr:nvCxnSpPr>
        <xdr:cNvPr id="740" name="Straight Connector 739"/>
        <xdr:cNvCxnSpPr/>
      </xdr:nvCxnSpPr>
      <xdr:spPr>
        <a:xfrm flipH="1">
          <a:off x="2849796" y="12224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812</xdr:row>
      <xdr:rowOff>89297</xdr:rowOff>
    </xdr:from>
    <xdr:to>
      <xdr:col>3</xdr:col>
      <xdr:colOff>178594</xdr:colOff>
      <xdr:row>813</xdr:row>
      <xdr:rowOff>59531</xdr:rowOff>
    </xdr:to>
    <xdr:cxnSp macro="">
      <xdr:nvCxnSpPr>
        <xdr:cNvPr id="741" name="Straight Connector 740"/>
        <xdr:cNvCxnSpPr/>
      </xdr:nvCxnSpPr>
      <xdr:spPr>
        <a:xfrm>
          <a:off x="2849796" y="1323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812</xdr:row>
      <xdr:rowOff>35719</xdr:rowOff>
    </xdr:from>
    <xdr:to>
      <xdr:col>3</xdr:col>
      <xdr:colOff>285750</xdr:colOff>
      <xdr:row>812</xdr:row>
      <xdr:rowOff>154781</xdr:rowOff>
    </xdr:to>
    <xdr:cxnSp macro="">
      <xdr:nvCxnSpPr>
        <xdr:cNvPr id="742" name="Straight Connector 741"/>
        <xdr:cNvCxnSpPr/>
      </xdr:nvCxnSpPr>
      <xdr:spPr>
        <a:xfrm>
          <a:off x="2885515" y="1318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812</xdr:row>
      <xdr:rowOff>44824</xdr:rowOff>
    </xdr:from>
    <xdr:to>
      <xdr:col>3</xdr:col>
      <xdr:colOff>67235</xdr:colOff>
      <xdr:row>814</xdr:row>
      <xdr:rowOff>156883</xdr:rowOff>
    </xdr:to>
    <xdr:cxnSp macro="">
      <xdr:nvCxnSpPr>
        <xdr:cNvPr id="743" name="Straight Connector 742"/>
        <xdr:cNvCxnSpPr/>
      </xdr:nvCxnSpPr>
      <xdr:spPr>
        <a:xfrm>
          <a:off x="2857500" y="1318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814</xdr:row>
      <xdr:rowOff>166690</xdr:rowOff>
    </xdr:from>
    <xdr:to>
      <xdr:col>4</xdr:col>
      <xdr:colOff>29308</xdr:colOff>
      <xdr:row>814</xdr:row>
      <xdr:rowOff>168519</xdr:rowOff>
    </xdr:to>
    <xdr:cxnSp macro="">
      <xdr:nvCxnSpPr>
        <xdr:cNvPr id="744" name="Straight Connector 743"/>
        <xdr:cNvCxnSpPr/>
      </xdr:nvCxnSpPr>
      <xdr:spPr>
        <a:xfrm>
          <a:off x="2849796" y="13692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812</xdr:row>
      <xdr:rowOff>41673</xdr:rowOff>
    </xdr:from>
    <xdr:to>
      <xdr:col>4</xdr:col>
      <xdr:colOff>12211</xdr:colOff>
      <xdr:row>815</xdr:row>
      <xdr:rowOff>0</xdr:rowOff>
    </xdr:to>
    <xdr:cxnSp macro="">
      <xdr:nvCxnSpPr>
        <xdr:cNvPr id="745" name="Straight Connector 744"/>
        <xdr:cNvCxnSpPr/>
      </xdr:nvCxnSpPr>
      <xdr:spPr>
        <a:xfrm flipH="1" flipV="1">
          <a:off x="3507441" y="1318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812</xdr:row>
      <xdr:rowOff>32918</xdr:rowOff>
    </xdr:from>
    <xdr:to>
      <xdr:col>4</xdr:col>
      <xdr:colOff>17861</xdr:colOff>
      <xdr:row>812</xdr:row>
      <xdr:rowOff>35719</xdr:rowOff>
    </xdr:to>
    <xdr:cxnSp macro="">
      <xdr:nvCxnSpPr>
        <xdr:cNvPr id="746" name="Straight Connector 745"/>
        <xdr:cNvCxnSpPr/>
      </xdr:nvCxnSpPr>
      <xdr:spPr>
        <a:xfrm flipH="1">
          <a:off x="2849796" y="13177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821</xdr:row>
      <xdr:rowOff>124558</xdr:rowOff>
    </xdr:from>
    <xdr:to>
      <xdr:col>3</xdr:col>
      <xdr:colOff>381000</xdr:colOff>
      <xdr:row>824</xdr:row>
      <xdr:rowOff>124558</xdr:rowOff>
    </xdr:to>
    <xdr:cxnSp macro="">
      <xdr:nvCxnSpPr>
        <xdr:cNvPr id="747" name="Straight Connector 746"/>
        <xdr:cNvCxnSpPr/>
      </xdr:nvCxnSpPr>
      <xdr:spPr>
        <a:xfrm flipH="1">
          <a:off x="2720149" y="14983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821</xdr:row>
      <xdr:rowOff>139212</xdr:rowOff>
    </xdr:from>
    <xdr:to>
      <xdr:col>4</xdr:col>
      <xdr:colOff>116773</xdr:colOff>
      <xdr:row>824</xdr:row>
      <xdr:rowOff>117231</xdr:rowOff>
    </xdr:to>
    <xdr:cxnSp macro="">
      <xdr:nvCxnSpPr>
        <xdr:cNvPr id="748" name="Straight Connector 747"/>
        <xdr:cNvCxnSpPr/>
      </xdr:nvCxnSpPr>
      <xdr:spPr>
        <a:xfrm>
          <a:off x="3171265" y="14998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824</xdr:row>
      <xdr:rowOff>118956</xdr:rowOff>
    </xdr:from>
    <xdr:to>
      <xdr:col>4</xdr:col>
      <xdr:colOff>134902</xdr:colOff>
      <xdr:row>824</xdr:row>
      <xdr:rowOff>118956</xdr:rowOff>
    </xdr:to>
    <xdr:cxnSp macro="">
      <xdr:nvCxnSpPr>
        <xdr:cNvPr id="749" name="Straight Connector 748"/>
        <xdr:cNvCxnSpPr/>
      </xdr:nvCxnSpPr>
      <xdr:spPr>
        <a:xfrm>
          <a:off x="2713118" y="15549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822</xdr:row>
      <xdr:rowOff>36635</xdr:rowOff>
    </xdr:from>
    <xdr:to>
      <xdr:col>3</xdr:col>
      <xdr:colOff>300404</xdr:colOff>
      <xdr:row>823</xdr:row>
      <xdr:rowOff>45337</xdr:rowOff>
    </xdr:to>
    <xdr:cxnSp macro="">
      <xdr:nvCxnSpPr>
        <xdr:cNvPr id="750" name="Straight Connector 749"/>
        <xdr:cNvCxnSpPr/>
      </xdr:nvCxnSpPr>
      <xdr:spPr>
        <a:xfrm flipH="1">
          <a:off x="3085174" y="15086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822</xdr:row>
      <xdr:rowOff>25749</xdr:rowOff>
    </xdr:from>
    <xdr:to>
      <xdr:col>3</xdr:col>
      <xdr:colOff>472128</xdr:colOff>
      <xdr:row>823</xdr:row>
      <xdr:rowOff>36635</xdr:rowOff>
    </xdr:to>
    <xdr:cxnSp macro="">
      <xdr:nvCxnSpPr>
        <xdr:cNvPr id="751" name="Straight Connector 750"/>
        <xdr:cNvCxnSpPr/>
      </xdr:nvCxnSpPr>
      <xdr:spPr>
        <a:xfrm>
          <a:off x="3244534" y="15075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846</xdr:row>
      <xdr:rowOff>297027</xdr:rowOff>
    </xdr:from>
    <xdr:to>
      <xdr:col>3</xdr:col>
      <xdr:colOff>392907</xdr:colOff>
      <xdr:row>850</xdr:row>
      <xdr:rowOff>154781</xdr:rowOff>
    </xdr:to>
    <xdr:cxnSp macro="">
      <xdr:nvCxnSpPr>
        <xdr:cNvPr id="752" name="Straight Connector 751"/>
        <xdr:cNvCxnSpPr/>
      </xdr:nvCxnSpPr>
      <xdr:spPr>
        <a:xfrm>
          <a:off x="3175346" y="16003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846</xdr:row>
      <xdr:rowOff>305147</xdr:rowOff>
    </xdr:from>
    <xdr:to>
      <xdr:col>3</xdr:col>
      <xdr:colOff>130969</xdr:colOff>
      <xdr:row>848</xdr:row>
      <xdr:rowOff>11906</xdr:rowOff>
    </xdr:to>
    <xdr:cxnSp macro="">
      <xdr:nvCxnSpPr>
        <xdr:cNvPr id="754" name="Straight Arrow Connector 753"/>
        <xdr:cNvCxnSpPr/>
      </xdr:nvCxnSpPr>
      <xdr:spPr>
        <a:xfrm flipH="1" flipV="1">
          <a:off x="2913960"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849</xdr:row>
      <xdr:rowOff>11907</xdr:rowOff>
    </xdr:from>
    <xdr:to>
      <xdr:col>3</xdr:col>
      <xdr:colOff>130969</xdr:colOff>
      <xdr:row>850</xdr:row>
      <xdr:rowOff>154782</xdr:rowOff>
    </xdr:to>
    <xdr:cxnSp macro="">
      <xdr:nvCxnSpPr>
        <xdr:cNvPr id="755" name="Straight Arrow Connector 754"/>
        <xdr:cNvCxnSpPr/>
      </xdr:nvCxnSpPr>
      <xdr:spPr>
        <a:xfrm>
          <a:off x="2921234" y="16394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854</xdr:row>
      <xdr:rowOff>89297</xdr:rowOff>
    </xdr:from>
    <xdr:to>
      <xdr:col>3</xdr:col>
      <xdr:colOff>178594</xdr:colOff>
      <xdr:row>855</xdr:row>
      <xdr:rowOff>59531</xdr:rowOff>
    </xdr:to>
    <xdr:cxnSp macro="">
      <xdr:nvCxnSpPr>
        <xdr:cNvPr id="756" name="Straight Connector 755"/>
        <xdr:cNvCxnSpPr/>
      </xdr:nvCxnSpPr>
      <xdr:spPr>
        <a:xfrm>
          <a:off x="2849796" y="1742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854</xdr:row>
      <xdr:rowOff>35719</xdr:rowOff>
    </xdr:from>
    <xdr:to>
      <xdr:col>3</xdr:col>
      <xdr:colOff>285750</xdr:colOff>
      <xdr:row>854</xdr:row>
      <xdr:rowOff>154781</xdr:rowOff>
    </xdr:to>
    <xdr:cxnSp macro="">
      <xdr:nvCxnSpPr>
        <xdr:cNvPr id="757" name="Straight Connector 756"/>
        <xdr:cNvCxnSpPr/>
      </xdr:nvCxnSpPr>
      <xdr:spPr>
        <a:xfrm>
          <a:off x="2885515" y="1737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863</xdr:row>
      <xdr:rowOff>124558</xdr:rowOff>
    </xdr:from>
    <xdr:to>
      <xdr:col>3</xdr:col>
      <xdr:colOff>381000</xdr:colOff>
      <xdr:row>866</xdr:row>
      <xdr:rowOff>124558</xdr:rowOff>
    </xdr:to>
    <xdr:cxnSp macro="">
      <xdr:nvCxnSpPr>
        <xdr:cNvPr id="758" name="Straight Connector 757"/>
        <xdr:cNvCxnSpPr/>
      </xdr:nvCxnSpPr>
      <xdr:spPr>
        <a:xfrm flipH="1">
          <a:off x="2720149" y="19174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863</xdr:row>
      <xdr:rowOff>139212</xdr:rowOff>
    </xdr:from>
    <xdr:to>
      <xdr:col>4</xdr:col>
      <xdr:colOff>116773</xdr:colOff>
      <xdr:row>866</xdr:row>
      <xdr:rowOff>117231</xdr:rowOff>
    </xdr:to>
    <xdr:cxnSp macro="">
      <xdr:nvCxnSpPr>
        <xdr:cNvPr id="759" name="Straight Connector 758"/>
        <xdr:cNvCxnSpPr/>
      </xdr:nvCxnSpPr>
      <xdr:spPr>
        <a:xfrm>
          <a:off x="3171265" y="19189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866</xdr:row>
      <xdr:rowOff>118956</xdr:rowOff>
    </xdr:from>
    <xdr:to>
      <xdr:col>4</xdr:col>
      <xdr:colOff>134902</xdr:colOff>
      <xdr:row>866</xdr:row>
      <xdr:rowOff>118956</xdr:rowOff>
    </xdr:to>
    <xdr:cxnSp macro="">
      <xdr:nvCxnSpPr>
        <xdr:cNvPr id="760" name="Straight Connector 759"/>
        <xdr:cNvCxnSpPr/>
      </xdr:nvCxnSpPr>
      <xdr:spPr>
        <a:xfrm>
          <a:off x="2713118" y="19740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864</xdr:row>
      <xdr:rowOff>36635</xdr:rowOff>
    </xdr:from>
    <xdr:to>
      <xdr:col>3</xdr:col>
      <xdr:colOff>300404</xdr:colOff>
      <xdr:row>865</xdr:row>
      <xdr:rowOff>45337</xdr:rowOff>
    </xdr:to>
    <xdr:cxnSp macro="">
      <xdr:nvCxnSpPr>
        <xdr:cNvPr id="761" name="Straight Connector 760"/>
        <xdr:cNvCxnSpPr/>
      </xdr:nvCxnSpPr>
      <xdr:spPr>
        <a:xfrm flipH="1">
          <a:off x="3085174" y="19277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864</xdr:row>
      <xdr:rowOff>25749</xdr:rowOff>
    </xdr:from>
    <xdr:to>
      <xdr:col>3</xdr:col>
      <xdr:colOff>472128</xdr:colOff>
      <xdr:row>865</xdr:row>
      <xdr:rowOff>36635</xdr:rowOff>
    </xdr:to>
    <xdr:cxnSp macro="">
      <xdr:nvCxnSpPr>
        <xdr:cNvPr id="762" name="Straight Connector 761"/>
        <xdr:cNvCxnSpPr/>
      </xdr:nvCxnSpPr>
      <xdr:spPr>
        <a:xfrm>
          <a:off x="3244534" y="19266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854</xdr:row>
      <xdr:rowOff>44824</xdr:rowOff>
    </xdr:from>
    <xdr:to>
      <xdr:col>3</xdr:col>
      <xdr:colOff>67235</xdr:colOff>
      <xdr:row>856</xdr:row>
      <xdr:rowOff>156883</xdr:rowOff>
    </xdr:to>
    <xdr:cxnSp macro="">
      <xdr:nvCxnSpPr>
        <xdr:cNvPr id="763" name="Straight Connector 762"/>
        <xdr:cNvCxnSpPr/>
      </xdr:nvCxnSpPr>
      <xdr:spPr>
        <a:xfrm>
          <a:off x="2857500" y="1738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856</xdr:row>
      <xdr:rowOff>166690</xdr:rowOff>
    </xdr:from>
    <xdr:to>
      <xdr:col>4</xdr:col>
      <xdr:colOff>29308</xdr:colOff>
      <xdr:row>856</xdr:row>
      <xdr:rowOff>168519</xdr:rowOff>
    </xdr:to>
    <xdr:cxnSp macro="">
      <xdr:nvCxnSpPr>
        <xdr:cNvPr id="764" name="Straight Connector 763"/>
        <xdr:cNvCxnSpPr/>
      </xdr:nvCxnSpPr>
      <xdr:spPr>
        <a:xfrm>
          <a:off x="2849796" y="17883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854</xdr:row>
      <xdr:rowOff>41673</xdr:rowOff>
    </xdr:from>
    <xdr:to>
      <xdr:col>4</xdr:col>
      <xdr:colOff>12211</xdr:colOff>
      <xdr:row>857</xdr:row>
      <xdr:rowOff>0</xdr:rowOff>
    </xdr:to>
    <xdr:cxnSp macro="">
      <xdr:nvCxnSpPr>
        <xdr:cNvPr id="765" name="Straight Connector 764"/>
        <xdr:cNvCxnSpPr/>
      </xdr:nvCxnSpPr>
      <xdr:spPr>
        <a:xfrm flipH="1" flipV="1">
          <a:off x="3507441" y="1737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854</xdr:row>
      <xdr:rowOff>32918</xdr:rowOff>
    </xdr:from>
    <xdr:to>
      <xdr:col>4</xdr:col>
      <xdr:colOff>17861</xdr:colOff>
      <xdr:row>854</xdr:row>
      <xdr:rowOff>35719</xdr:rowOff>
    </xdr:to>
    <xdr:cxnSp macro="">
      <xdr:nvCxnSpPr>
        <xdr:cNvPr id="766" name="Straight Connector 765"/>
        <xdr:cNvCxnSpPr/>
      </xdr:nvCxnSpPr>
      <xdr:spPr>
        <a:xfrm flipH="1">
          <a:off x="2849796" y="17368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859</xdr:row>
      <xdr:rowOff>89297</xdr:rowOff>
    </xdr:from>
    <xdr:to>
      <xdr:col>3</xdr:col>
      <xdr:colOff>178594</xdr:colOff>
      <xdr:row>860</xdr:row>
      <xdr:rowOff>59531</xdr:rowOff>
    </xdr:to>
    <xdr:cxnSp macro="">
      <xdr:nvCxnSpPr>
        <xdr:cNvPr id="767" name="Straight Connector 766"/>
        <xdr:cNvCxnSpPr/>
      </xdr:nvCxnSpPr>
      <xdr:spPr>
        <a:xfrm>
          <a:off x="2849796" y="1837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859</xdr:row>
      <xdr:rowOff>35719</xdr:rowOff>
    </xdr:from>
    <xdr:to>
      <xdr:col>3</xdr:col>
      <xdr:colOff>285750</xdr:colOff>
      <xdr:row>859</xdr:row>
      <xdr:rowOff>154781</xdr:rowOff>
    </xdr:to>
    <xdr:cxnSp macro="">
      <xdr:nvCxnSpPr>
        <xdr:cNvPr id="768" name="Straight Connector 767"/>
        <xdr:cNvCxnSpPr/>
      </xdr:nvCxnSpPr>
      <xdr:spPr>
        <a:xfrm>
          <a:off x="2885515" y="1832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859</xdr:row>
      <xdr:rowOff>44824</xdr:rowOff>
    </xdr:from>
    <xdr:to>
      <xdr:col>3</xdr:col>
      <xdr:colOff>67235</xdr:colOff>
      <xdr:row>861</xdr:row>
      <xdr:rowOff>156883</xdr:rowOff>
    </xdr:to>
    <xdr:cxnSp macro="">
      <xdr:nvCxnSpPr>
        <xdr:cNvPr id="769" name="Straight Connector 768"/>
        <xdr:cNvCxnSpPr/>
      </xdr:nvCxnSpPr>
      <xdr:spPr>
        <a:xfrm>
          <a:off x="2857500" y="1833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861</xdr:row>
      <xdr:rowOff>166690</xdr:rowOff>
    </xdr:from>
    <xdr:to>
      <xdr:col>4</xdr:col>
      <xdr:colOff>29308</xdr:colOff>
      <xdr:row>861</xdr:row>
      <xdr:rowOff>168519</xdr:rowOff>
    </xdr:to>
    <xdr:cxnSp macro="">
      <xdr:nvCxnSpPr>
        <xdr:cNvPr id="770" name="Straight Connector 769"/>
        <xdr:cNvCxnSpPr/>
      </xdr:nvCxnSpPr>
      <xdr:spPr>
        <a:xfrm>
          <a:off x="2849796" y="18835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859</xdr:row>
      <xdr:rowOff>41673</xdr:rowOff>
    </xdr:from>
    <xdr:to>
      <xdr:col>4</xdr:col>
      <xdr:colOff>12211</xdr:colOff>
      <xdr:row>862</xdr:row>
      <xdr:rowOff>0</xdr:rowOff>
    </xdr:to>
    <xdr:cxnSp macro="">
      <xdr:nvCxnSpPr>
        <xdr:cNvPr id="771" name="Straight Connector 770"/>
        <xdr:cNvCxnSpPr/>
      </xdr:nvCxnSpPr>
      <xdr:spPr>
        <a:xfrm flipH="1" flipV="1">
          <a:off x="3507441" y="1832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859</xdr:row>
      <xdr:rowOff>32918</xdr:rowOff>
    </xdr:from>
    <xdr:to>
      <xdr:col>4</xdr:col>
      <xdr:colOff>17861</xdr:colOff>
      <xdr:row>859</xdr:row>
      <xdr:rowOff>35719</xdr:rowOff>
    </xdr:to>
    <xdr:cxnSp macro="">
      <xdr:nvCxnSpPr>
        <xdr:cNvPr id="772" name="Straight Connector 771"/>
        <xdr:cNvCxnSpPr/>
      </xdr:nvCxnSpPr>
      <xdr:spPr>
        <a:xfrm flipH="1">
          <a:off x="2849796" y="18320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868</xdr:row>
      <xdr:rowOff>124558</xdr:rowOff>
    </xdr:from>
    <xdr:to>
      <xdr:col>3</xdr:col>
      <xdr:colOff>381000</xdr:colOff>
      <xdr:row>871</xdr:row>
      <xdr:rowOff>124558</xdr:rowOff>
    </xdr:to>
    <xdr:cxnSp macro="">
      <xdr:nvCxnSpPr>
        <xdr:cNvPr id="773" name="Straight Connector 772"/>
        <xdr:cNvCxnSpPr/>
      </xdr:nvCxnSpPr>
      <xdr:spPr>
        <a:xfrm flipH="1">
          <a:off x="2720149" y="20127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868</xdr:row>
      <xdr:rowOff>139212</xdr:rowOff>
    </xdr:from>
    <xdr:to>
      <xdr:col>4</xdr:col>
      <xdr:colOff>116773</xdr:colOff>
      <xdr:row>871</xdr:row>
      <xdr:rowOff>117231</xdr:rowOff>
    </xdr:to>
    <xdr:cxnSp macro="">
      <xdr:nvCxnSpPr>
        <xdr:cNvPr id="774" name="Straight Connector 773"/>
        <xdr:cNvCxnSpPr/>
      </xdr:nvCxnSpPr>
      <xdr:spPr>
        <a:xfrm>
          <a:off x="3171265" y="20141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871</xdr:row>
      <xdr:rowOff>118956</xdr:rowOff>
    </xdr:from>
    <xdr:to>
      <xdr:col>4</xdr:col>
      <xdr:colOff>134902</xdr:colOff>
      <xdr:row>871</xdr:row>
      <xdr:rowOff>118956</xdr:rowOff>
    </xdr:to>
    <xdr:cxnSp macro="">
      <xdr:nvCxnSpPr>
        <xdr:cNvPr id="775" name="Straight Connector 774"/>
        <xdr:cNvCxnSpPr/>
      </xdr:nvCxnSpPr>
      <xdr:spPr>
        <a:xfrm>
          <a:off x="2713118" y="20692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869</xdr:row>
      <xdr:rowOff>36635</xdr:rowOff>
    </xdr:from>
    <xdr:to>
      <xdr:col>3</xdr:col>
      <xdr:colOff>300404</xdr:colOff>
      <xdr:row>870</xdr:row>
      <xdr:rowOff>45337</xdr:rowOff>
    </xdr:to>
    <xdr:cxnSp macro="">
      <xdr:nvCxnSpPr>
        <xdr:cNvPr id="776" name="Straight Connector 775"/>
        <xdr:cNvCxnSpPr/>
      </xdr:nvCxnSpPr>
      <xdr:spPr>
        <a:xfrm flipH="1">
          <a:off x="3085174" y="2022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869</xdr:row>
      <xdr:rowOff>25749</xdr:rowOff>
    </xdr:from>
    <xdr:to>
      <xdr:col>3</xdr:col>
      <xdr:colOff>472128</xdr:colOff>
      <xdr:row>870</xdr:row>
      <xdr:rowOff>36635</xdr:rowOff>
    </xdr:to>
    <xdr:cxnSp macro="">
      <xdr:nvCxnSpPr>
        <xdr:cNvPr id="777" name="Straight Connector 776"/>
        <xdr:cNvCxnSpPr/>
      </xdr:nvCxnSpPr>
      <xdr:spPr>
        <a:xfrm>
          <a:off x="3244534" y="2021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874</xdr:row>
      <xdr:rowOff>35719</xdr:rowOff>
    </xdr:from>
    <xdr:to>
      <xdr:col>3</xdr:col>
      <xdr:colOff>428625</xdr:colOff>
      <xdr:row>876</xdr:row>
      <xdr:rowOff>178594</xdr:rowOff>
    </xdr:to>
    <xdr:cxnSp macro="">
      <xdr:nvCxnSpPr>
        <xdr:cNvPr id="778" name="Straight Connector 777"/>
        <xdr:cNvCxnSpPr/>
      </xdr:nvCxnSpPr>
      <xdr:spPr>
        <a:xfrm>
          <a:off x="3218890" y="21181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876</xdr:row>
      <xdr:rowOff>95249</xdr:rowOff>
    </xdr:from>
    <xdr:to>
      <xdr:col>3</xdr:col>
      <xdr:colOff>571500</xdr:colOff>
      <xdr:row>876</xdr:row>
      <xdr:rowOff>154780</xdr:rowOff>
    </xdr:to>
    <xdr:cxnSp macro="">
      <xdr:nvCxnSpPr>
        <xdr:cNvPr id="779" name="Straight Connector 778"/>
        <xdr:cNvCxnSpPr/>
      </xdr:nvCxnSpPr>
      <xdr:spPr>
        <a:xfrm flipH="1">
          <a:off x="3218890" y="21621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874</xdr:row>
      <xdr:rowOff>47625</xdr:rowOff>
    </xdr:from>
    <xdr:to>
      <xdr:col>3</xdr:col>
      <xdr:colOff>595313</xdr:colOff>
      <xdr:row>874</xdr:row>
      <xdr:rowOff>119062</xdr:rowOff>
    </xdr:to>
    <xdr:cxnSp macro="">
      <xdr:nvCxnSpPr>
        <xdr:cNvPr id="780" name="Straight Connector 779"/>
        <xdr:cNvCxnSpPr/>
      </xdr:nvCxnSpPr>
      <xdr:spPr>
        <a:xfrm>
          <a:off x="3218890" y="21193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957</xdr:row>
      <xdr:rowOff>297027</xdr:rowOff>
    </xdr:from>
    <xdr:to>
      <xdr:col>3</xdr:col>
      <xdr:colOff>392907</xdr:colOff>
      <xdr:row>961</xdr:row>
      <xdr:rowOff>154781</xdr:rowOff>
    </xdr:to>
    <xdr:cxnSp macro="">
      <xdr:nvCxnSpPr>
        <xdr:cNvPr id="781" name="Straight Connector 780"/>
        <xdr:cNvCxnSpPr/>
      </xdr:nvCxnSpPr>
      <xdr:spPr>
        <a:xfrm>
          <a:off x="3175346" y="220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957</xdr:row>
      <xdr:rowOff>305147</xdr:rowOff>
    </xdr:from>
    <xdr:to>
      <xdr:col>3</xdr:col>
      <xdr:colOff>130969</xdr:colOff>
      <xdr:row>959</xdr:row>
      <xdr:rowOff>11906</xdr:rowOff>
    </xdr:to>
    <xdr:cxnSp macro="">
      <xdr:nvCxnSpPr>
        <xdr:cNvPr id="783" name="Straight Arrow Connector 782"/>
        <xdr:cNvCxnSpPr/>
      </xdr:nvCxnSpPr>
      <xdr:spPr>
        <a:xfrm flipH="1" flipV="1">
          <a:off x="2913960"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960</xdr:row>
      <xdr:rowOff>11907</xdr:rowOff>
    </xdr:from>
    <xdr:to>
      <xdr:col>3</xdr:col>
      <xdr:colOff>130969</xdr:colOff>
      <xdr:row>961</xdr:row>
      <xdr:rowOff>154782</xdr:rowOff>
    </xdr:to>
    <xdr:cxnSp macro="">
      <xdr:nvCxnSpPr>
        <xdr:cNvPr id="784" name="Straight Arrow Connector 783"/>
        <xdr:cNvCxnSpPr/>
      </xdr:nvCxnSpPr>
      <xdr:spPr>
        <a:xfrm>
          <a:off x="2921234" y="224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965</xdr:row>
      <xdr:rowOff>89297</xdr:rowOff>
    </xdr:from>
    <xdr:to>
      <xdr:col>3</xdr:col>
      <xdr:colOff>178594</xdr:colOff>
      <xdr:row>966</xdr:row>
      <xdr:rowOff>59531</xdr:rowOff>
    </xdr:to>
    <xdr:cxnSp macro="">
      <xdr:nvCxnSpPr>
        <xdr:cNvPr id="785" name="Straight Connector 784"/>
        <xdr:cNvCxnSpPr/>
      </xdr:nvCxnSpPr>
      <xdr:spPr>
        <a:xfrm>
          <a:off x="2849796" y="2352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965</xdr:row>
      <xdr:rowOff>35719</xdr:rowOff>
    </xdr:from>
    <xdr:to>
      <xdr:col>3</xdr:col>
      <xdr:colOff>285750</xdr:colOff>
      <xdr:row>965</xdr:row>
      <xdr:rowOff>154781</xdr:rowOff>
    </xdr:to>
    <xdr:cxnSp macro="">
      <xdr:nvCxnSpPr>
        <xdr:cNvPr id="786" name="Straight Connector 785"/>
        <xdr:cNvCxnSpPr/>
      </xdr:nvCxnSpPr>
      <xdr:spPr>
        <a:xfrm>
          <a:off x="2885515" y="2346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974</xdr:row>
      <xdr:rowOff>124558</xdr:rowOff>
    </xdr:from>
    <xdr:to>
      <xdr:col>3</xdr:col>
      <xdr:colOff>381000</xdr:colOff>
      <xdr:row>977</xdr:row>
      <xdr:rowOff>124558</xdr:rowOff>
    </xdr:to>
    <xdr:cxnSp macro="">
      <xdr:nvCxnSpPr>
        <xdr:cNvPr id="787" name="Straight Connector 786"/>
        <xdr:cNvCxnSpPr/>
      </xdr:nvCxnSpPr>
      <xdr:spPr>
        <a:xfrm flipH="1">
          <a:off x="2720149" y="25270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974</xdr:row>
      <xdr:rowOff>139212</xdr:rowOff>
    </xdr:from>
    <xdr:to>
      <xdr:col>4</xdr:col>
      <xdr:colOff>116773</xdr:colOff>
      <xdr:row>977</xdr:row>
      <xdr:rowOff>117231</xdr:rowOff>
    </xdr:to>
    <xdr:cxnSp macro="">
      <xdr:nvCxnSpPr>
        <xdr:cNvPr id="788" name="Straight Connector 787"/>
        <xdr:cNvCxnSpPr/>
      </xdr:nvCxnSpPr>
      <xdr:spPr>
        <a:xfrm>
          <a:off x="3171265" y="25285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977</xdr:row>
      <xdr:rowOff>118956</xdr:rowOff>
    </xdr:from>
    <xdr:to>
      <xdr:col>4</xdr:col>
      <xdr:colOff>134902</xdr:colOff>
      <xdr:row>977</xdr:row>
      <xdr:rowOff>118956</xdr:rowOff>
    </xdr:to>
    <xdr:cxnSp macro="">
      <xdr:nvCxnSpPr>
        <xdr:cNvPr id="789" name="Straight Connector 788"/>
        <xdr:cNvCxnSpPr/>
      </xdr:nvCxnSpPr>
      <xdr:spPr>
        <a:xfrm>
          <a:off x="2713118" y="25836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975</xdr:row>
      <xdr:rowOff>36635</xdr:rowOff>
    </xdr:from>
    <xdr:to>
      <xdr:col>3</xdr:col>
      <xdr:colOff>300404</xdr:colOff>
      <xdr:row>976</xdr:row>
      <xdr:rowOff>45337</xdr:rowOff>
    </xdr:to>
    <xdr:cxnSp macro="">
      <xdr:nvCxnSpPr>
        <xdr:cNvPr id="790" name="Straight Connector 789"/>
        <xdr:cNvCxnSpPr/>
      </xdr:nvCxnSpPr>
      <xdr:spPr>
        <a:xfrm flipH="1">
          <a:off x="3085174" y="2537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975</xdr:row>
      <xdr:rowOff>25749</xdr:rowOff>
    </xdr:from>
    <xdr:to>
      <xdr:col>3</xdr:col>
      <xdr:colOff>472128</xdr:colOff>
      <xdr:row>976</xdr:row>
      <xdr:rowOff>36635</xdr:rowOff>
    </xdr:to>
    <xdr:cxnSp macro="">
      <xdr:nvCxnSpPr>
        <xdr:cNvPr id="791" name="Straight Connector 790"/>
        <xdr:cNvCxnSpPr/>
      </xdr:nvCxnSpPr>
      <xdr:spPr>
        <a:xfrm>
          <a:off x="3244534" y="2536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965</xdr:row>
      <xdr:rowOff>44824</xdr:rowOff>
    </xdr:from>
    <xdr:to>
      <xdr:col>3</xdr:col>
      <xdr:colOff>67235</xdr:colOff>
      <xdr:row>967</xdr:row>
      <xdr:rowOff>156883</xdr:rowOff>
    </xdr:to>
    <xdr:cxnSp macro="">
      <xdr:nvCxnSpPr>
        <xdr:cNvPr id="792" name="Straight Connector 791"/>
        <xdr:cNvCxnSpPr/>
      </xdr:nvCxnSpPr>
      <xdr:spPr>
        <a:xfrm>
          <a:off x="2857500" y="2347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967</xdr:row>
      <xdr:rowOff>166690</xdr:rowOff>
    </xdr:from>
    <xdr:to>
      <xdr:col>4</xdr:col>
      <xdr:colOff>29308</xdr:colOff>
      <xdr:row>967</xdr:row>
      <xdr:rowOff>168519</xdr:rowOff>
    </xdr:to>
    <xdr:cxnSp macro="">
      <xdr:nvCxnSpPr>
        <xdr:cNvPr id="793" name="Straight Connector 792"/>
        <xdr:cNvCxnSpPr/>
      </xdr:nvCxnSpPr>
      <xdr:spPr>
        <a:xfrm>
          <a:off x="2849796" y="23979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965</xdr:row>
      <xdr:rowOff>41673</xdr:rowOff>
    </xdr:from>
    <xdr:to>
      <xdr:col>4</xdr:col>
      <xdr:colOff>12211</xdr:colOff>
      <xdr:row>968</xdr:row>
      <xdr:rowOff>0</xdr:rowOff>
    </xdr:to>
    <xdr:cxnSp macro="">
      <xdr:nvCxnSpPr>
        <xdr:cNvPr id="794" name="Straight Connector 793"/>
        <xdr:cNvCxnSpPr/>
      </xdr:nvCxnSpPr>
      <xdr:spPr>
        <a:xfrm flipH="1" flipV="1">
          <a:off x="3507441" y="2347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965</xdr:row>
      <xdr:rowOff>32918</xdr:rowOff>
    </xdr:from>
    <xdr:to>
      <xdr:col>4</xdr:col>
      <xdr:colOff>17861</xdr:colOff>
      <xdr:row>965</xdr:row>
      <xdr:rowOff>35719</xdr:rowOff>
    </xdr:to>
    <xdr:cxnSp macro="">
      <xdr:nvCxnSpPr>
        <xdr:cNvPr id="795" name="Straight Connector 794"/>
        <xdr:cNvCxnSpPr/>
      </xdr:nvCxnSpPr>
      <xdr:spPr>
        <a:xfrm flipH="1">
          <a:off x="2849796" y="23464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970</xdr:row>
      <xdr:rowOff>89297</xdr:rowOff>
    </xdr:from>
    <xdr:to>
      <xdr:col>3</xdr:col>
      <xdr:colOff>178594</xdr:colOff>
      <xdr:row>971</xdr:row>
      <xdr:rowOff>59531</xdr:rowOff>
    </xdr:to>
    <xdr:cxnSp macro="">
      <xdr:nvCxnSpPr>
        <xdr:cNvPr id="796" name="Straight Connector 795"/>
        <xdr:cNvCxnSpPr/>
      </xdr:nvCxnSpPr>
      <xdr:spPr>
        <a:xfrm>
          <a:off x="2849796" y="2447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970</xdr:row>
      <xdr:rowOff>35719</xdr:rowOff>
    </xdr:from>
    <xdr:to>
      <xdr:col>3</xdr:col>
      <xdr:colOff>285750</xdr:colOff>
      <xdr:row>970</xdr:row>
      <xdr:rowOff>154781</xdr:rowOff>
    </xdr:to>
    <xdr:cxnSp macro="">
      <xdr:nvCxnSpPr>
        <xdr:cNvPr id="797" name="Straight Connector 796"/>
        <xdr:cNvCxnSpPr/>
      </xdr:nvCxnSpPr>
      <xdr:spPr>
        <a:xfrm>
          <a:off x="2885515" y="2441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970</xdr:row>
      <xdr:rowOff>44824</xdr:rowOff>
    </xdr:from>
    <xdr:to>
      <xdr:col>3</xdr:col>
      <xdr:colOff>67235</xdr:colOff>
      <xdr:row>972</xdr:row>
      <xdr:rowOff>156883</xdr:rowOff>
    </xdr:to>
    <xdr:cxnSp macro="">
      <xdr:nvCxnSpPr>
        <xdr:cNvPr id="798" name="Straight Connector 797"/>
        <xdr:cNvCxnSpPr/>
      </xdr:nvCxnSpPr>
      <xdr:spPr>
        <a:xfrm>
          <a:off x="2857500" y="2442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972</xdr:row>
      <xdr:rowOff>166690</xdr:rowOff>
    </xdr:from>
    <xdr:to>
      <xdr:col>4</xdr:col>
      <xdr:colOff>29308</xdr:colOff>
      <xdr:row>972</xdr:row>
      <xdr:rowOff>168519</xdr:rowOff>
    </xdr:to>
    <xdr:cxnSp macro="">
      <xdr:nvCxnSpPr>
        <xdr:cNvPr id="799" name="Straight Connector 798"/>
        <xdr:cNvCxnSpPr/>
      </xdr:nvCxnSpPr>
      <xdr:spPr>
        <a:xfrm>
          <a:off x="2849796" y="24931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970</xdr:row>
      <xdr:rowOff>41673</xdr:rowOff>
    </xdr:from>
    <xdr:to>
      <xdr:col>4</xdr:col>
      <xdr:colOff>12211</xdr:colOff>
      <xdr:row>973</xdr:row>
      <xdr:rowOff>0</xdr:rowOff>
    </xdr:to>
    <xdr:cxnSp macro="">
      <xdr:nvCxnSpPr>
        <xdr:cNvPr id="800" name="Straight Connector 799"/>
        <xdr:cNvCxnSpPr/>
      </xdr:nvCxnSpPr>
      <xdr:spPr>
        <a:xfrm flipH="1" flipV="1">
          <a:off x="3507441" y="2442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970</xdr:row>
      <xdr:rowOff>32918</xdr:rowOff>
    </xdr:from>
    <xdr:to>
      <xdr:col>4</xdr:col>
      <xdr:colOff>17861</xdr:colOff>
      <xdr:row>970</xdr:row>
      <xdr:rowOff>35719</xdr:rowOff>
    </xdr:to>
    <xdr:cxnSp macro="">
      <xdr:nvCxnSpPr>
        <xdr:cNvPr id="801" name="Straight Connector 800"/>
        <xdr:cNvCxnSpPr/>
      </xdr:nvCxnSpPr>
      <xdr:spPr>
        <a:xfrm flipH="1">
          <a:off x="2849796" y="24416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979</xdr:row>
      <xdr:rowOff>124558</xdr:rowOff>
    </xdr:from>
    <xdr:to>
      <xdr:col>3</xdr:col>
      <xdr:colOff>381000</xdr:colOff>
      <xdr:row>982</xdr:row>
      <xdr:rowOff>124558</xdr:rowOff>
    </xdr:to>
    <xdr:cxnSp macro="">
      <xdr:nvCxnSpPr>
        <xdr:cNvPr id="802" name="Straight Connector 801"/>
        <xdr:cNvCxnSpPr/>
      </xdr:nvCxnSpPr>
      <xdr:spPr>
        <a:xfrm flipH="1">
          <a:off x="2720149" y="26223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979</xdr:row>
      <xdr:rowOff>139212</xdr:rowOff>
    </xdr:from>
    <xdr:to>
      <xdr:col>4</xdr:col>
      <xdr:colOff>116773</xdr:colOff>
      <xdr:row>982</xdr:row>
      <xdr:rowOff>117231</xdr:rowOff>
    </xdr:to>
    <xdr:cxnSp macro="">
      <xdr:nvCxnSpPr>
        <xdr:cNvPr id="803" name="Straight Connector 802"/>
        <xdr:cNvCxnSpPr/>
      </xdr:nvCxnSpPr>
      <xdr:spPr>
        <a:xfrm>
          <a:off x="3171265" y="26237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982</xdr:row>
      <xdr:rowOff>118956</xdr:rowOff>
    </xdr:from>
    <xdr:to>
      <xdr:col>4</xdr:col>
      <xdr:colOff>134902</xdr:colOff>
      <xdr:row>982</xdr:row>
      <xdr:rowOff>118956</xdr:rowOff>
    </xdr:to>
    <xdr:cxnSp macro="">
      <xdr:nvCxnSpPr>
        <xdr:cNvPr id="804" name="Straight Connector 803"/>
        <xdr:cNvCxnSpPr/>
      </xdr:nvCxnSpPr>
      <xdr:spPr>
        <a:xfrm>
          <a:off x="2713118" y="26788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980</xdr:row>
      <xdr:rowOff>36635</xdr:rowOff>
    </xdr:from>
    <xdr:to>
      <xdr:col>3</xdr:col>
      <xdr:colOff>300404</xdr:colOff>
      <xdr:row>981</xdr:row>
      <xdr:rowOff>45337</xdr:rowOff>
    </xdr:to>
    <xdr:cxnSp macro="">
      <xdr:nvCxnSpPr>
        <xdr:cNvPr id="805" name="Straight Connector 804"/>
        <xdr:cNvCxnSpPr/>
      </xdr:nvCxnSpPr>
      <xdr:spPr>
        <a:xfrm flipH="1">
          <a:off x="3085174" y="26325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980</xdr:row>
      <xdr:rowOff>25749</xdr:rowOff>
    </xdr:from>
    <xdr:to>
      <xdr:col>3</xdr:col>
      <xdr:colOff>472128</xdr:colOff>
      <xdr:row>981</xdr:row>
      <xdr:rowOff>36635</xdr:rowOff>
    </xdr:to>
    <xdr:cxnSp macro="">
      <xdr:nvCxnSpPr>
        <xdr:cNvPr id="806" name="Straight Connector 805"/>
        <xdr:cNvCxnSpPr/>
      </xdr:nvCxnSpPr>
      <xdr:spPr>
        <a:xfrm>
          <a:off x="3244534" y="26314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985</xdr:row>
      <xdr:rowOff>35719</xdr:rowOff>
    </xdr:from>
    <xdr:to>
      <xdr:col>3</xdr:col>
      <xdr:colOff>428625</xdr:colOff>
      <xdr:row>987</xdr:row>
      <xdr:rowOff>178594</xdr:rowOff>
    </xdr:to>
    <xdr:cxnSp macro="">
      <xdr:nvCxnSpPr>
        <xdr:cNvPr id="807" name="Straight Connector 806"/>
        <xdr:cNvCxnSpPr/>
      </xdr:nvCxnSpPr>
      <xdr:spPr>
        <a:xfrm>
          <a:off x="3218890" y="27277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987</xdr:row>
      <xdr:rowOff>95249</xdr:rowOff>
    </xdr:from>
    <xdr:to>
      <xdr:col>3</xdr:col>
      <xdr:colOff>571500</xdr:colOff>
      <xdr:row>987</xdr:row>
      <xdr:rowOff>154780</xdr:rowOff>
    </xdr:to>
    <xdr:cxnSp macro="">
      <xdr:nvCxnSpPr>
        <xdr:cNvPr id="808" name="Straight Connector 807"/>
        <xdr:cNvCxnSpPr/>
      </xdr:nvCxnSpPr>
      <xdr:spPr>
        <a:xfrm flipH="1">
          <a:off x="3218890" y="27717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985</xdr:row>
      <xdr:rowOff>47625</xdr:rowOff>
    </xdr:from>
    <xdr:to>
      <xdr:col>3</xdr:col>
      <xdr:colOff>595313</xdr:colOff>
      <xdr:row>985</xdr:row>
      <xdr:rowOff>119062</xdr:rowOff>
    </xdr:to>
    <xdr:cxnSp macro="">
      <xdr:nvCxnSpPr>
        <xdr:cNvPr id="809" name="Straight Connector 808"/>
        <xdr:cNvCxnSpPr/>
      </xdr:nvCxnSpPr>
      <xdr:spPr>
        <a:xfrm>
          <a:off x="3218890" y="27289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1067</xdr:row>
      <xdr:rowOff>297027</xdr:rowOff>
    </xdr:from>
    <xdr:to>
      <xdr:col>3</xdr:col>
      <xdr:colOff>392907</xdr:colOff>
      <xdr:row>1071</xdr:row>
      <xdr:rowOff>154781</xdr:rowOff>
    </xdr:to>
    <xdr:cxnSp macro="">
      <xdr:nvCxnSpPr>
        <xdr:cNvPr id="810" name="Straight Connector 809"/>
        <xdr:cNvCxnSpPr/>
      </xdr:nvCxnSpPr>
      <xdr:spPr>
        <a:xfrm>
          <a:off x="3175346" y="28005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1067</xdr:row>
      <xdr:rowOff>305147</xdr:rowOff>
    </xdr:from>
    <xdr:to>
      <xdr:col>3</xdr:col>
      <xdr:colOff>130969</xdr:colOff>
      <xdr:row>1069</xdr:row>
      <xdr:rowOff>11906</xdr:rowOff>
    </xdr:to>
    <xdr:cxnSp macro="">
      <xdr:nvCxnSpPr>
        <xdr:cNvPr id="812" name="Straight Arrow Connector 811"/>
        <xdr:cNvCxnSpPr/>
      </xdr:nvCxnSpPr>
      <xdr:spPr>
        <a:xfrm flipH="1" flipV="1">
          <a:off x="2913960"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1070</xdr:row>
      <xdr:rowOff>11907</xdr:rowOff>
    </xdr:from>
    <xdr:to>
      <xdr:col>3</xdr:col>
      <xdr:colOff>130969</xdr:colOff>
      <xdr:row>1071</xdr:row>
      <xdr:rowOff>154782</xdr:rowOff>
    </xdr:to>
    <xdr:cxnSp macro="">
      <xdr:nvCxnSpPr>
        <xdr:cNvPr id="813" name="Straight Arrow Connector 812"/>
        <xdr:cNvCxnSpPr/>
      </xdr:nvCxnSpPr>
      <xdr:spPr>
        <a:xfrm>
          <a:off x="2921234" y="28396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1075</xdr:row>
      <xdr:rowOff>89297</xdr:rowOff>
    </xdr:from>
    <xdr:to>
      <xdr:col>3</xdr:col>
      <xdr:colOff>178594</xdr:colOff>
      <xdr:row>1076</xdr:row>
      <xdr:rowOff>59531</xdr:rowOff>
    </xdr:to>
    <xdr:cxnSp macro="">
      <xdr:nvCxnSpPr>
        <xdr:cNvPr id="814" name="Straight Connector 813"/>
        <xdr:cNvCxnSpPr/>
      </xdr:nvCxnSpPr>
      <xdr:spPr>
        <a:xfrm>
          <a:off x="2849796" y="2942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1075</xdr:row>
      <xdr:rowOff>35719</xdr:rowOff>
    </xdr:from>
    <xdr:to>
      <xdr:col>3</xdr:col>
      <xdr:colOff>285750</xdr:colOff>
      <xdr:row>1075</xdr:row>
      <xdr:rowOff>154781</xdr:rowOff>
    </xdr:to>
    <xdr:cxnSp macro="">
      <xdr:nvCxnSpPr>
        <xdr:cNvPr id="815" name="Straight Connector 814"/>
        <xdr:cNvCxnSpPr/>
      </xdr:nvCxnSpPr>
      <xdr:spPr>
        <a:xfrm>
          <a:off x="2885515" y="2937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1084</xdr:row>
      <xdr:rowOff>124558</xdr:rowOff>
    </xdr:from>
    <xdr:to>
      <xdr:col>3</xdr:col>
      <xdr:colOff>381000</xdr:colOff>
      <xdr:row>1087</xdr:row>
      <xdr:rowOff>124558</xdr:rowOff>
    </xdr:to>
    <xdr:cxnSp macro="">
      <xdr:nvCxnSpPr>
        <xdr:cNvPr id="816" name="Straight Connector 815"/>
        <xdr:cNvCxnSpPr/>
      </xdr:nvCxnSpPr>
      <xdr:spPr>
        <a:xfrm flipH="1">
          <a:off x="2720149" y="31176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1084</xdr:row>
      <xdr:rowOff>139212</xdr:rowOff>
    </xdr:from>
    <xdr:to>
      <xdr:col>4</xdr:col>
      <xdr:colOff>116773</xdr:colOff>
      <xdr:row>1087</xdr:row>
      <xdr:rowOff>117231</xdr:rowOff>
    </xdr:to>
    <xdr:cxnSp macro="">
      <xdr:nvCxnSpPr>
        <xdr:cNvPr id="817" name="Straight Connector 816"/>
        <xdr:cNvCxnSpPr/>
      </xdr:nvCxnSpPr>
      <xdr:spPr>
        <a:xfrm>
          <a:off x="3171265" y="31190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1087</xdr:row>
      <xdr:rowOff>118956</xdr:rowOff>
    </xdr:from>
    <xdr:to>
      <xdr:col>4</xdr:col>
      <xdr:colOff>134902</xdr:colOff>
      <xdr:row>1087</xdr:row>
      <xdr:rowOff>118956</xdr:rowOff>
    </xdr:to>
    <xdr:cxnSp macro="">
      <xdr:nvCxnSpPr>
        <xdr:cNvPr id="818" name="Straight Connector 817"/>
        <xdr:cNvCxnSpPr/>
      </xdr:nvCxnSpPr>
      <xdr:spPr>
        <a:xfrm>
          <a:off x="2713118" y="31741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1085</xdr:row>
      <xdr:rowOff>36635</xdr:rowOff>
    </xdr:from>
    <xdr:to>
      <xdr:col>3</xdr:col>
      <xdr:colOff>300404</xdr:colOff>
      <xdr:row>1086</xdr:row>
      <xdr:rowOff>45337</xdr:rowOff>
    </xdr:to>
    <xdr:cxnSp macro="">
      <xdr:nvCxnSpPr>
        <xdr:cNvPr id="819" name="Straight Connector 818"/>
        <xdr:cNvCxnSpPr/>
      </xdr:nvCxnSpPr>
      <xdr:spPr>
        <a:xfrm flipH="1">
          <a:off x="3085174" y="31278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1085</xdr:row>
      <xdr:rowOff>25749</xdr:rowOff>
    </xdr:from>
    <xdr:to>
      <xdr:col>3</xdr:col>
      <xdr:colOff>472128</xdr:colOff>
      <xdr:row>1086</xdr:row>
      <xdr:rowOff>36635</xdr:rowOff>
    </xdr:to>
    <xdr:cxnSp macro="">
      <xdr:nvCxnSpPr>
        <xdr:cNvPr id="820" name="Straight Connector 819"/>
        <xdr:cNvCxnSpPr/>
      </xdr:nvCxnSpPr>
      <xdr:spPr>
        <a:xfrm>
          <a:off x="3244534" y="31267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1075</xdr:row>
      <xdr:rowOff>44824</xdr:rowOff>
    </xdr:from>
    <xdr:to>
      <xdr:col>3</xdr:col>
      <xdr:colOff>67235</xdr:colOff>
      <xdr:row>1077</xdr:row>
      <xdr:rowOff>156883</xdr:rowOff>
    </xdr:to>
    <xdr:cxnSp macro="">
      <xdr:nvCxnSpPr>
        <xdr:cNvPr id="821" name="Straight Connector 820"/>
        <xdr:cNvCxnSpPr/>
      </xdr:nvCxnSpPr>
      <xdr:spPr>
        <a:xfrm>
          <a:off x="2857500" y="2938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1077</xdr:row>
      <xdr:rowOff>166690</xdr:rowOff>
    </xdr:from>
    <xdr:to>
      <xdr:col>4</xdr:col>
      <xdr:colOff>29308</xdr:colOff>
      <xdr:row>1077</xdr:row>
      <xdr:rowOff>168519</xdr:rowOff>
    </xdr:to>
    <xdr:cxnSp macro="">
      <xdr:nvCxnSpPr>
        <xdr:cNvPr id="822" name="Straight Connector 821"/>
        <xdr:cNvCxnSpPr/>
      </xdr:nvCxnSpPr>
      <xdr:spPr>
        <a:xfrm>
          <a:off x="2849796" y="29884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1075</xdr:row>
      <xdr:rowOff>41673</xdr:rowOff>
    </xdr:from>
    <xdr:to>
      <xdr:col>4</xdr:col>
      <xdr:colOff>12211</xdr:colOff>
      <xdr:row>1078</xdr:row>
      <xdr:rowOff>0</xdr:rowOff>
    </xdr:to>
    <xdr:cxnSp macro="">
      <xdr:nvCxnSpPr>
        <xdr:cNvPr id="823" name="Straight Connector 822"/>
        <xdr:cNvCxnSpPr/>
      </xdr:nvCxnSpPr>
      <xdr:spPr>
        <a:xfrm flipH="1" flipV="1">
          <a:off x="3507441" y="2937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1075</xdr:row>
      <xdr:rowOff>32918</xdr:rowOff>
    </xdr:from>
    <xdr:to>
      <xdr:col>4</xdr:col>
      <xdr:colOff>17861</xdr:colOff>
      <xdr:row>1075</xdr:row>
      <xdr:rowOff>35719</xdr:rowOff>
    </xdr:to>
    <xdr:cxnSp macro="">
      <xdr:nvCxnSpPr>
        <xdr:cNvPr id="824" name="Straight Connector 823"/>
        <xdr:cNvCxnSpPr/>
      </xdr:nvCxnSpPr>
      <xdr:spPr>
        <a:xfrm flipH="1">
          <a:off x="2849796" y="29369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1080</xdr:row>
      <xdr:rowOff>89297</xdr:rowOff>
    </xdr:from>
    <xdr:to>
      <xdr:col>3</xdr:col>
      <xdr:colOff>178594</xdr:colOff>
      <xdr:row>1081</xdr:row>
      <xdr:rowOff>59531</xdr:rowOff>
    </xdr:to>
    <xdr:cxnSp macro="">
      <xdr:nvCxnSpPr>
        <xdr:cNvPr id="825" name="Straight Connector 824"/>
        <xdr:cNvCxnSpPr/>
      </xdr:nvCxnSpPr>
      <xdr:spPr>
        <a:xfrm>
          <a:off x="2849796" y="3037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1080</xdr:row>
      <xdr:rowOff>35719</xdr:rowOff>
    </xdr:from>
    <xdr:to>
      <xdr:col>3</xdr:col>
      <xdr:colOff>285750</xdr:colOff>
      <xdr:row>1080</xdr:row>
      <xdr:rowOff>154781</xdr:rowOff>
    </xdr:to>
    <xdr:cxnSp macro="">
      <xdr:nvCxnSpPr>
        <xdr:cNvPr id="826" name="Straight Connector 825"/>
        <xdr:cNvCxnSpPr/>
      </xdr:nvCxnSpPr>
      <xdr:spPr>
        <a:xfrm>
          <a:off x="2885515" y="3032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1080</xdr:row>
      <xdr:rowOff>44824</xdr:rowOff>
    </xdr:from>
    <xdr:to>
      <xdr:col>3</xdr:col>
      <xdr:colOff>67235</xdr:colOff>
      <xdr:row>1082</xdr:row>
      <xdr:rowOff>156883</xdr:rowOff>
    </xdr:to>
    <xdr:cxnSp macro="">
      <xdr:nvCxnSpPr>
        <xdr:cNvPr id="827" name="Straight Connector 826"/>
        <xdr:cNvCxnSpPr/>
      </xdr:nvCxnSpPr>
      <xdr:spPr>
        <a:xfrm>
          <a:off x="2857500" y="3033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1082</xdr:row>
      <xdr:rowOff>166690</xdr:rowOff>
    </xdr:from>
    <xdr:to>
      <xdr:col>4</xdr:col>
      <xdr:colOff>29308</xdr:colOff>
      <xdr:row>1082</xdr:row>
      <xdr:rowOff>168519</xdr:rowOff>
    </xdr:to>
    <xdr:cxnSp macro="">
      <xdr:nvCxnSpPr>
        <xdr:cNvPr id="828" name="Straight Connector 827"/>
        <xdr:cNvCxnSpPr/>
      </xdr:nvCxnSpPr>
      <xdr:spPr>
        <a:xfrm>
          <a:off x="2849796" y="30837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1080</xdr:row>
      <xdr:rowOff>41673</xdr:rowOff>
    </xdr:from>
    <xdr:to>
      <xdr:col>4</xdr:col>
      <xdr:colOff>12211</xdr:colOff>
      <xdr:row>1083</xdr:row>
      <xdr:rowOff>0</xdr:rowOff>
    </xdr:to>
    <xdr:cxnSp macro="">
      <xdr:nvCxnSpPr>
        <xdr:cNvPr id="829" name="Straight Connector 828"/>
        <xdr:cNvCxnSpPr/>
      </xdr:nvCxnSpPr>
      <xdr:spPr>
        <a:xfrm flipH="1" flipV="1">
          <a:off x="3507441" y="3033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1080</xdr:row>
      <xdr:rowOff>32918</xdr:rowOff>
    </xdr:from>
    <xdr:to>
      <xdr:col>4</xdr:col>
      <xdr:colOff>17861</xdr:colOff>
      <xdr:row>1080</xdr:row>
      <xdr:rowOff>35719</xdr:rowOff>
    </xdr:to>
    <xdr:cxnSp macro="">
      <xdr:nvCxnSpPr>
        <xdr:cNvPr id="830" name="Straight Connector 829"/>
        <xdr:cNvCxnSpPr/>
      </xdr:nvCxnSpPr>
      <xdr:spPr>
        <a:xfrm flipH="1">
          <a:off x="2849796" y="30322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1089</xdr:row>
      <xdr:rowOff>124558</xdr:rowOff>
    </xdr:from>
    <xdr:to>
      <xdr:col>3</xdr:col>
      <xdr:colOff>381000</xdr:colOff>
      <xdr:row>1092</xdr:row>
      <xdr:rowOff>124558</xdr:rowOff>
    </xdr:to>
    <xdr:cxnSp macro="">
      <xdr:nvCxnSpPr>
        <xdr:cNvPr id="831" name="Straight Connector 830"/>
        <xdr:cNvCxnSpPr/>
      </xdr:nvCxnSpPr>
      <xdr:spPr>
        <a:xfrm flipH="1">
          <a:off x="2720149" y="32128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1089</xdr:row>
      <xdr:rowOff>139212</xdr:rowOff>
    </xdr:from>
    <xdr:to>
      <xdr:col>4</xdr:col>
      <xdr:colOff>116773</xdr:colOff>
      <xdr:row>1092</xdr:row>
      <xdr:rowOff>117231</xdr:rowOff>
    </xdr:to>
    <xdr:cxnSp macro="">
      <xdr:nvCxnSpPr>
        <xdr:cNvPr id="832" name="Straight Connector 831"/>
        <xdr:cNvCxnSpPr/>
      </xdr:nvCxnSpPr>
      <xdr:spPr>
        <a:xfrm>
          <a:off x="3171265" y="32143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1092</xdr:row>
      <xdr:rowOff>118956</xdr:rowOff>
    </xdr:from>
    <xdr:to>
      <xdr:col>4</xdr:col>
      <xdr:colOff>134902</xdr:colOff>
      <xdr:row>1092</xdr:row>
      <xdr:rowOff>118956</xdr:rowOff>
    </xdr:to>
    <xdr:cxnSp macro="">
      <xdr:nvCxnSpPr>
        <xdr:cNvPr id="833" name="Straight Connector 832"/>
        <xdr:cNvCxnSpPr/>
      </xdr:nvCxnSpPr>
      <xdr:spPr>
        <a:xfrm>
          <a:off x="2713118" y="32694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1090</xdr:row>
      <xdr:rowOff>36635</xdr:rowOff>
    </xdr:from>
    <xdr:to>
      <xdr:col>3</xdr:col>
      <xdr:colOff>300404</xdr:colOff>
      <xdr:row>1091</xdr:row>
      <xdr:rowOff>45337</xdr:rowOff>
    </xdr:to>
    <xdr:cxnSp macro="">
      <xdr:nvCxnSpPr>
        <xdr:cNvPr id="834" name="Straight Connector 833"/>
        <xdr:cNvCxnSpPr/>
      </xdr:nvCxnSpPr>
      <xdr:spPr>
        <a:xfrm flipH="1">
          <a:off x="3085174" y="32231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1090</xdr:row>
      <xdr:rowOff>25749</xdr:rowOff>
    </xdr:from>
    <xdr:to>
      <xdr:col>3</xdr:col>
      <xdr:colOff>472128</xdr:colOff>
      <xdr:row>1091</xdr:row>
      <xdr:rowOff>36635</xdr:rowOff>
    </xdr:to>
    <xdr:cxnSp macro="">
      <xdr:nvCxnSpPr>
        <xdr:cNvPr id="835" name="Straight Connector 834"/>
        <xdr:cNvCxnSpPr/>
      </xdr:nvCxnSpPr>
      <xdr:spPr>
        <a:xfrm>
          <a:off x="3244534" y="32220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1095</xdr:row>
      <xdr:rowOff>35719</xdr:rowOff>
    </xdr:from>
    <xdr:to>
      <xdr:col>3</xdr:col>
      <xdr:colOff>428625</xdr:colOff>
      <xdr:row>1097</xdr:row>
      <xdr:rowOff>178594</xdr:rowOff>
    </xdr:to>
    <xdr:cxnSp macro="">
      <xdr:nvCxnSpPr>
        <xdr:cNvPr id="836" name="Straight Connector 835"/>
        <xdr:cNvCxnSpPr/>
      </xdr:nvCxnSpPr>
      <xdr:spPr>
        <a:xfrm>
          <a:off x="3218890" y="331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1097</xdr:row>
      <xdr:rowOff>95249</xdr:rowOff>
    </xdr:from>
    <xdr:to>
      <xdr:col>3</xdr:col>
      <xdr:colOff>571500</xdr:colOff>
      <xdr:row>1097</xdr:row>
      <xdr:rowOff>154780</xdr:rowOff>
    </xdr:to>
    <xdr:cxnSp macro="">
      <xdr:nvCxnSpPr>
        <xdr:cNvPr id="837" name="Straight Connector 836"/>
        <xdr:cNvCxnSpPr/>
      </xdr:nvCxnSpPr>
      <xdr:spPr>
        <a:xfrm flipH="1">
          <a:off x="3218890" y="336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1095</xdr:row>
      <xdr:rowOff>47625</xdr:rowOff>
    </xdr:from>
    <xdr:to>
      <xdr:col>3</xdr:col>
      <xdr:colOff>595313</xdr:colOff>
      <xdr:row>1095</xdr:row>
      <xdr:rowOff>119062</xdr:rowOff>
    </xdr:to>
    <xdr:cxnSp macro="">
      <xdr:nvCxnSpPr>
        <xdr:cNvPr id="838" name="Straight Connector 837"/>
        <xdr:cNvCxnSpPr/>
      </xdr:nvCxnSpPr>
      <xdr:spPr>
        <a:xfrm>
          <a:off x="3218890" y="331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1122</xdr:row>
      <xdr:rowOff>297027</xdr:rowOff>
    </xdr:from>
    <xdr:to>
      <xdr:col>3</xdr:col>
      <xdr:colOff>392907</xdr:colOff>
      <xdr:row>1126</xdr:row>
      <xdr:rowOff>154781</xdr:rowOff>
    </xdr:to>
    <xdr:cxnSp macro="">
      <xdr:nvCxnSpPr>
        <xdr:cNvPr id="839" name="Straight Connector 838"/>
        <xdr:cNvCxnSpPr/>
      </xdr:nvCxnSpPr>
      <xdr:spPr>
        <a:xfrm>
          <a:off x="3175346" y="3391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1122</xdr:row>
      <xdr:rowOff>305147</xdr:rowOff>
    </xdr:from>
    <xdr:to>
      <xdr:col>3</xdr:col>
      <xdr:colOff>130969</xdr:colOff>
      <xdr:row>1124</xdr:row>
      <xdr:rowOff>11906</xdr:rowOff>
    </xdr:to>
    <xdr:cxnSp macro="">
      <xdr:nvCxnSpPr>
        <xdr:cNvPr id="841" name="Straight Arrow Connector 840"/>
        <xdr:cNvCxnSpPr/>
      </xdr:nvCxnSpPr>
      <xdr:spPr>
        <a:xfrm flipH="1" flipV="1">
          <a:off x="2913960"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1125</xdr:row>
      <xdr:rowOff>11907</xdr:rowOff>
    </xdr:from>
    <xdr:to>
      <xdr:col>3</xdr:col>
      <xdr:colOff>130969</xdr:colOff>
      <xdr:row>1126</xdr:row>
      <xdr:rowOff>154782</xdr:rowOff>
    </xdr:to>
    <xdr:cxnSp macro="">
      <xdr:nvCxnSpPr>
        <xdr:cNvPr id="842" name="Straight Arrow Connector 841"/>
        <xdr:cNvCxnSpPr/>
      </xdr:nvCxnSpPr>
      <xdr:spPr>
        <a:xfrm>
          <a:off x="2921234" y="3430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1130</xdr:row>
      <xdr:rowOff>89297</xdr:rowOff>
    </xdr:from>
    <xdr:to>
      <xdr:col>3</xdr:col>
      <xdr:colOff>178594</xdr:colOff>
      <xdr:row>1131</xdr:row>
      <xdr:rowOff>59531</xdr:rowOff>
    </xdr:to>
    <xdr:cxnSp macro="">
      <xdr:nvCxnSpPr>
        <xdr:cNvPr id="843" name="Straight Connector 842"/>
        <xdr:cNvCxnSpPr/>
      </xdr:nvCxnSpPr>
      <xdr:spPr>
        <a:xfrm>
          <a:off x="2849796" y="3533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1130</xdr:row>
      <xdr:rowOff>35719</xdr:rowOff>
    </xdr:from>
    <xdr:to>
      <xdr:col>3</xdr:col>
      <xdr:colOff>285750</xdr:colOff>
      <xdr:row>1130</xdr:row>
      <xdr:rowOff>154781</xdr:rowOff>
    </xdr:to>
    <xdr:cxnSp macro="">
      <xdr:nvCxnSpPr>
        <xdr:cNvPr id="844" name="Straight Connector 843"/>
        <xdr:cNvCxnSpPr/>
      </xdr:nvCxnSpPr>
      <xdr:spPr>
        <a:xfrm>
          <a:off x="2885515" y="3527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1144</xdr:row>
      <xdr:rowOff>124558</xdr:rowOff>
    </xdr:from>
    <xdr:to>
      <xdr:col>3</xdr:col>
      <xdr:colOff>381000</xdr:colOff>
      <xdr:row>1147</xdr:row>
      <xdr:rowOff>124558</xdr:rowOff>
    </xdr:to>
    <xdr:cxnSp macro="">
      <xdr:nvCxnSpPr>
        <xdr:cNvPr id="845" name="Straight Connector 844"/>
        <xdr:cNvCxnSpPr/>
      </xdr:nvCxnSpPr>
      <xdr:spPr>
        <a:xfrm flipH="1">
          <a:off x="2720149" y="38034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1144</xdr:row>
      <xdr:rowOff>139212</xdr:rowOff>
    </xdr:from>
    <xdr:to>
      <xdr:col>4</xdr:col>
      <xdr:colOff>116773</xdr:colOff>
      <xdr:row>1147</xdr:row>
      <xdr:rowOff>117231</xdr:rowOff>
    </xdr:to>
    <xdr:cxnSp macro="">
      <xdr:nvCxnSpPr>
        <xdr:cNvPr id="846" name="Straight Connector 845"/>
        <xdr:cNvCxnSpPr/>
      </xdr:nvCxnSpPr>
      <xdr:spPr>
        <a:xfrm>
          <a:off x="3171265" y="38048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1147</xdr:row>
      <xdr:rowOff>118956</xdr:rowOff>
    </xdr:from>
    <xdr:to>
      <xdr:col>4</xdr:col>
      <xdr:colOff>134902</xdr:colOff>
      <xdr:row>1147</xdr:row>
      <xdr:rowOff>118956</xdr:rowOff>
    </xdr:to>
    <xdr:cxnSp macro="">
      <xdr:nvCxnSpPr>
        <xdr:cNvPr id="847" name="Straight Connector 846"/>
        <xdr:cNvCxnSpPr/>
      </xdr:nvCxnSpPr>
      <xdr:spPr>
        <a:xfrm>
          <a:off x="2713118" y="38599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1145</xdr:row>
      <xdr:rowOff>36635</xdr:rowOff>
    </xdr:from>
    <xdr:to>
      <xdr:col>3</xdr:col>
      <xdr:colOff>300404</xdr:colOff>
      <xdr:row>1146</xdr:row>
      <xdr:rowOff>45337</xdr:rowOff>
    </xdr:to>
    <xdr:cxnSp macro="">
      <xdr:nvCxnSpPr>
        <xdr:cNvPr id="848" name="Straight Connector 847"/>
        <xdr:cNvCxnSpPr/>
      </xdr:nvCxnSpPr>
      <xdr:spPr>
        <a:xfrm flipH="1">
          <a:off x="3085174" y="38136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1145</xdr:row>
      <xdr:rowOff>25749</xdr:rowOff>
    </xdr:from>
    <xdr:to>
      <xdr:col>3</xdr:col>
      <xdr:colOff>472128</xdr:colOff>
      <xdr:row>1146</xdr:row>
      <xdr:rowOff>36635</xdr:rowOff>
    </xdr:to>
    <xdr:cxnSp macro="">
      <xdr:nvCxnSpPr>
        <xdr:cNvPr id="849" name="Straight Connector 848"/>
        <xdr:cNvCxnSpPr/>
      </xdr:nvCxnSpPr>
      <xdr:spPr>
        <a:xfrm>
          <a:off x="3244534" y="38125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1130</xdr:row>
      <xdr:rowOff>44824</xdr:rowOff>
    </xdr:from>
    <xdr:to>
      <xdr:col>3</xdr:col>
      <xdr:colOff>67235</xdr:colOff>
      <xdr:row>1132</xdr:row>
      <xdr:rowOff>156883</xdr:rowOff>
    </xdr:to>
    <xdr:cxnSp macro="">
      <xdr:nvCxnSpPr>
        <xdr:cNvPr id="850" name="Straight Connector 849"/>
        <xdr:cNvCxnSpPr/>
      </xdr:nvCxnSpPr>
      <xdr:spPr>
        <a:xfrm>
          <a:off x="2857500" y="3528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1132</xdr:row>
      <xdr:rowOff>166690</xdr:rowOff>
    </xdr:from>
    <xdr:to>
      <xdr:col>4</xdr:col>
      <xdr:colOff>29308</xdr:colOff>
      <xdr:row>1132</xdr:row>
      <xdr:rowOff>168519</xdr:rowOff>
    </xdr:to>
    <xdr:cxnSp macro="">
      <xdr:nvCxnSpPr>
        <xdr:cNvPr id="851" name="Straight Connector 850"/>
        <xdr:cNvCxnSpPr/>
      </xdr:nvCxnSpPr>
      <xdr:spPr>
        <a:xfrm>
          <a:off x="2849796" y="35790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1130</xdr:row>
      <xdr:rowOff>41673</xdr:rowOff>
    </xdr:from>
    <xdr:to>
      <xdr:col>4</xdr:col>
      <xdr:colOff>12211</xdr:colOff>
      <xdr:row>1133</xdr:row>
      <xdr:rowOff>0</xdr:rowOff>
    </xdr:to>
    <xdr:cxnSp macro="">
      <xdr:nvCxnSpPr>
        <xdr:cNvPr id="852" name="Straight Connector 851"/>
        <xdr:cNvCxnSpPr/>
      </xdr:nvCxnSpPr>
      <xdr:spPr>
        <a:xfrm flipH="1" flipV="1">
          <a:off x="3507441" y="3528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1130</xdr:row>
      <xdr:rowOff>32918</xdr:rowOff>
    </xdr:from>
    <xdr:to>
      <xdr:col>4</xdr:col>
      <xdr:colOff>17861</xdr:colOff>
      <xdr:row>1130</xdr:row>
      <xdr:rowOff>35719</xdr:rowOff>
    </xdr:to>
    <xdr:cxnSp macro="">
      <xdr:nvCxnSpPr>
        <xdr:cNvPr id="853" name="Straight Connector 852"/>
        <xdr:cNvCxnSpPr/>
      </xdr:nvCxnSpPr>
      <xdr:spPr>
        <a:xfrm flipH="1">
          <a:off x="2849796" y="35275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1135</xdr:row>
      <xdr:rowOff>89297</xdr:rowOff>
    </xdr:from>
    <xdr:to>
      <xdr:col>3</xdr:col>
      <xdr:colOff>178594</xdr:colOff>
      <xdr:row>1136</xdr:row>
      <xdr:rowOff>59531</xdr:rowOff>
    </xdr:to>
    <xdr:cxnSp macro="">
      <xdr:nvCxnSpPr>
        <xdr:cNvPr id="854" name="Straight Connector 853"/>
        <xdr:cNvCxnSpPr/>
      </xdr:nvCxnSpPr>
      <xdr:spPr>
        <a:xfrm>
          <a:off x="2849796" y="362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1135</xdr:row>
      <xdr:rowOff>35719</xdr:rowOff>
    </xdr:from>
    <xdr:to>
      <xdr:col>3</xdr:col>
      <xdr:colOff>285750</xdr:colOff>
      <xdr:row>1135</xdr:row>
      <xdr:rowOff>154781</xdr:rowOff>
    </xdr:to>
    <xdr:cxnSp macro="">
      <xdr:nvCxnSpPr>
        <xdr:cNvPr id="855" name="Straight Connector 854"/>
        <xdr:cNvCxnSpPr/>
      </xdr:nvCxnSpPr>
      <xdr:spPr>
        <a:xfrm>
          <a:off x="2885515" y="362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1135</xdr:row>
      <xdr:rowOff>44824</xdr:rowOff>
    </xdr:from>
    <xdr:to>
      <xdr:col>3</xdr:col>
      <xdr:colOff>67235</xdr:colOff>
      <xdr:row>1137</xdr:row>
      <xdr:rowOff>156883</xdr:rowOff>
    </xdr:to>
    <xdr:cxnSp macro="">
      <xdr:nvCxnSpPr>
        <xdr:cNvPr id="856" name="Straight Connector 855"/>
        <xdr:cNvCxnSpPr/>
      </xdr:nvCxnSpPr>
      <xdr:spPr>
        <a:xfrm>
          <a:off x="2857500" y="362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1137</xdr:row>
      <xdr:rowOff>166690</xdr:rowOff>
    </xdr:from>
    <xdr:to>
      <xdr:col>4</xdr:col>
      <xdr:colOff>29308</xdr:colOff>
      <xdr:row>1137</xdr:row>
      <xdr:rowOff>168519</xdr:rowOff>
    </xdr:to>
    <xdr:cxnSp macro="">
      <xdr:nvCxnSpPr>
        <xdr:cNvPr id="857" name="Straight Connector 856"/>
        <xdr:cNvCxnSpPr/>
      </xdr:nvCxnSpPr>
      <xdr:spPr>
        <a:xfrm>
          <a:off x="2849796" y="36742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1135</xdr:row>
      <xdr:rowOff>41673</xdr:rowOff>
    </xdr:from>
    <xdr:to>
      <xdr:col>4</xdr:col>
      <xdr:colOff>12211</xdr:colOff>
      <xdr:row>1138</xdr:row>
      <xdr:rowOff>0</xdr:rowOff>
    </xdr:to>
    <xdr:cxnSp macro="">
      <xdr:nvCxnSpPr>
        <xdr:cNvPr id="858" name="Straight Connector 857"/>
        <xdr:cNvCxnSpPr/>
      </xdr:nvCxnSpPr>
      <xdr:spPr>
        <a:xfrm flipH="1" flipV="1">
          <a:off x="3507441" y="362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1135</xdr:row>
      <xdr:rowOff>32918</xdr:rowOff>
    </xdr:from>
    <xdr:to>
      <xdr:col>4</xdr:col>
      <xdr:colOff>17861</xdr:colOff>
      <xdr:row>1135</xdr:row>
      <xdr:rowOff>35719</xdr:rowOff>
    </xdr:to>
    <xdr:cxnSp macro="">
      <xdr:nvCxnSpPr>
        <xdr:cNvPr id="859" name="Straight Connector 858"/>
        <xdr:cNvCxnSpPr/>
      </xdr:nvCxnSpPr>
      <xdr:spPr>
        <a:xfrm flipH="1">
          <a:off x="2849796" y="36227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1149</xdr:row>
      <xdr:rowOff>124558</xdr:rowOff>
    </xdr:from>
    <xdr:to>
      <xdr:col>3</xdr:col>
      <xdr:colOff>381000</xdr:colOff>
      <xdr:row>1152</xdr:row>
      <xdr:rowOff>124558</xdr:rowOff>
    </xdr:to>
    <xdr:cxnSp macro="">
      <xdr:nvCxnSpPr>
        <xdr:cNvPr id="860" name="Straight Connector 859"/>
        <xdr:cNvCxnSpPr/>
      </xdr:nvCxnSpPr>
      <xdr:spPr>
        <a:xfrm flipH="1">
          <a:off x="2720149" y="38986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1149</xdr:row>
      <xdr:rowOff>139212</xdr:rowOff>
    </xdr:from>
    <xdr:to>
      <xdr:col>4</xdr:col>
      <xdr:colOff>116773</xdr:colOff>
      <xdr:row>1152</xdr:row>
      <xdr:rowOff>117231</xdr:rowOff>
    </xdr:to>
    <xdr:cxnSp macro="">
      <xdr:nvCxnSpPr>
        <xdr:cNvPr id="861" name="Straight Connector 860"/>
        <xdr:cNvCxnSpPr/>
      </xdr:nvCxnSpPr>
      <xdr:spPr>
        <a:xfrm>
          <a:off x="3171265" y="39001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1152</xdr:row>
      <xdr:rowOff>118956</xdr:rowOff>
    </xdr:from>
    <xdr:to>
      <xdr:col>4</xdr:col>
      <xdr:colOff>134902</xdr:colOff>
      <xdr:row>1152</xdr:row>
      <xdr:rowOff>118956</xdr:rowOff>
    </xdr:to>
    <xdr:cxnSp macro="">
      <xdr:nvCxnSpPr>
        <xdr:cNvPr id="862" name="Straight Connector 861"/>
        <xdr:cNvCxnSpPr/>
      </xdr:nvCxnSpPr>
      <xdr:spPr>
        <a:xfrm>
          <a:off x="2713118" y="39552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1150</xdr:row>
      <xdr:rowOff>36635</xdr:rowOff>
    </xdr:from>
    <xdr:to>
      <xdr:col>3</xdr:col>
      <xdr:colOff>300404</xdr:colOff>
      <xdr:row>1151</xdr:row>
      <xdr:rowOff>45337</xdr:rowOff>
    </xdr:to>
    <xdr:cxnSp macro="">
      <xdr:nvCxnSpPr>
        <xdr:cNvPr id="863" name="Straight Connector 862"/>
        <xdr:cNvCxnSpPr/>
      </xdr:nvCxnSpPr>
      <xdr:spPr>
        <a:xfrm flipH="1">
          <a:off x="3085174" y="39089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1150</xdr:row>
      <xdr:rowOff>25749</xdr:rowOff>
    </xdr:from>
    <xdr:to>
      <xdr:col>3</xdr:col>
      <xdr:colOff>472128</xdr:colOff>
      <xdr:row>1151</xdr:row>
      <xdr:rowOff>36635</xdr:rowOff>
    </xdr:to>
    <xdr:cxnSp macro="">
      <xdr:nvCxnSpPr>
        <xdr:cNvPr id="864" name="Straight Connector 863"/>
        <xdr:cNvCxnSpPr/>
      </xdr:nvCxnSpPr>
      <xdr:spPr>
        <a:xfrm>
          <a:off x="3244534" y="39078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1140</xdr:row>
      <xdr:rowOff>89297</xdr:rowOff>
    </xdr:from>
    <xdr:to>
      <xdr:col>3</xdr:col>
      <xdr:colOff>178594</xdr:colOff>
      <xdr:row>1141</xdr:row>
      <xdr:rowOff>59531</xdr:rowOff>
    </xdr:to>
    <xdr:cxnSp macro="">
      <xdr:nvCxnSpPr>
        <xdr:cNvPr id="865" name="Straight Connector 864"/>
        <xdr:cNvCxnSpPr/>
      </xdr:nvCxnSpPr>
      <xdr:spPr>
        <a:xfrm>
          <a:off x="2849796" y="372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1140</xdr:row>
      <xdr:rowOff>35719</xdr:rowOff>
    </xdr:from>
    <xdr:to>
      <xdr:col>3</xdr:col>
      <xdr:colOff>285750</xdr:colOff>
      <xdr:row>1140</xdr:row>
      <xdr:rowOff>154781</xdr:rowOff>
    </xdr:to>
    <xdr:cxnSp macro="">
      <xdr:nvCxnSpPr>
        <xdr:cNvPr id="866" name="Straight Connector 865"/>
        <xdr:cNvCxnSpPr/>
      </xdr:nvCxnSpPr>
      <xdr:spPr>
        <a:xfrm>
          <a:off x="2885515" y="371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1140</xdr:row>
      <xdr:rowOff>44824</xdr:rowOff>
    </xdr:from>
    <xdr:to>
      <xdr:col>3</xdr:col>
      <xdr:colOff>67235</xdr:colOff>
      <xdr:row>1142</xdr:row>
      <xdr:rowOff>156883</xdr:rowOff>
    </xdr:to>
    <xdr:cxnSp macro="">
      <xdr:nvCxnSpPr>
        <xdr:cNvPr id="867" name="Straight Connector 866"/>
        <xdr:cNvCxnSpPr/>
      </xdr:nvCxnSpPr>
      <xdr:spPr>
        <a:xfrm>
          <a:off x="2857500" y="371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1142</xdr:row>
      <xdr:rowOff>166690</xdr:rowOff>
    </xdr:from>
    <xdr:to>
      <xdr:col>4</xdr:col>
      <xdr:colOff>29308</xdr:colOff>
      <xdr:row>1142</xdr:row>
      <xdr:rowOff>168519</xdr:rowOff>
    </xdr:to>
    <xdr:cxnSp macro="">
      <xdr:nvCxnSpPr>
        <xdr:cNvPr id="868" name="Straight Connector 867"/>
        <xdr:cNvCxnSpPr/>
      </xdr:nvCxnSpPr>
      <xdr:spPr>
        <a:xfrm>
          <a:off x="2849796" y="37695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1140</xdr:row>
      <xdr:rowOff>41673</xdr:rowOff>
    </xdr:from>
    <xdr:to>
      <xdr:col>4</xdr:col>
      <xdr:colOff>12211</xdr:colOff>
      <xdr:row>1143</xdr:row>
      <xdr:rowOff>0</xdr:rowOff>
    </xdr:to>
    <xdr:cxnSp macro="">
      <xdr:nvCxnSpPr>
        <xdr:cNvPr id="869" name="Straight Connector 868"/>
        <xdr:cNvCxnSpPr/>
      </xdr:nvCxnSpPr>
      <xdr:spPr>
        <a:xfrm flipH="1" flipV="1">
          <a:off x="3507441" y="371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1140</xdr:row>
      <xdr:rowOff>32918</xdr:rowOff>
    </xdr:from>
    <xdr:to>
      <xdr:col>4</xdr:col>
      <xdr:colOff>17861</xdr:colOff>
      <xdr:row>1140</xdr:row>
      <xdr:rowOff>35719</xdr:rowOff>
    </xdr:to>
    <xdr:cxnSp macro="">
      <xdr:nvCxnSpPr>
        <xdr:cNvPr id="870" name="Straight Connector 869"/>
        <xdr:cNvCxnSpPr/>
      </xdr:nvCxnSpPr>
      <xdr:spPr>
        <a:xfrm flipH="1">
          <a:off x="2849796" y="37180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1236</xdr:row>
      <xdr:rowOff>297027</xdr:rowOff>
    </xdr:from>
    <xdr:to>
      <xdr:col>3</xdr:col>
      <xdr:colOff>392907</xdr:colOff>
      <xdr:row>1240</xdr:row>
      <xdr:rowOff>154781</xdr:rowOff>
    </xdr:to>
    <xdr:cxnSp macro="">
      <xdr:nvCxnSpPr>
        <xdr:cNvPr id="871" name="Straight Connector 870"/>
        <xdr:cNvCxnSpPr/>
      </xdr:nvCxnSpPr>
      <xdr:spPr>
        <a:xfrm>
          <a:off x="3175346" y="40006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1236</xdr:row>
      <xdr:rowOff>305147</xdr:rowOff>
    </xdr:from>
    <xdr:to>
      <xdr:col>3</xdr:col>
      <xdr:colOff>130969</xdr:colOff>
      <xdr:row>1238</xdr:row>
      <xdr:rowOff>11906</xdr:rowOff>
    </xdr:to>
    <xdr:cxnSp macro="">
      <xdr:nvCxnSpPr>
        <xdr:cNvPr id="873" name="Straight Arrow Connector 872"/>
        <xdr:cNvCxnSpPr/>
      </xdr:nvCxnSpPr>
      <xdr:spPr>
        <a:xfrm flipH="1" flipV="1">
          <a:off x="2913960" y="40005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1239</xdr:row>
      <xdr:rowOff>11907</xdr:rowOff>
    </xdr:from>
    <xdr:to>
      <xdr:col>3</xdr:col>
      <xdr:colOff>130969</xdr:colOff>
      <xdr:row>1240</xdr:row>
      <xdr:rowOff>154782</xdr:rowOff>
    </xdr:to>
    <xdr:cxnSp macro="">
      <xdr:nvCxnSpPr>
        <xdr:cNvPr id="874" name="Straight Arrow Connector 873"/>
        <xdr:cNvCxnSpPr/>
      </xdr:nvCxnSpPr>
      <xdr:spPr>
        <a:xfrm>
          <a:off x="2921234" y="40397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1243</xdr:row>
      <xdr:rowOff>89297</xdr:rowOff>
    </xdr:from>
    <xdr:to>
      <xdr:col>3</xdr:col>
      <xdr:colOff>178594</xdr:colOff>
      <xdr:row>1244</xdr:row>
      <xdr:rowOff>59531</xdr:rowOff>
    </xdr:to>
    <xdr:cxnSp macro="">
      <xdr:nvCxnSpPr>
        <xdr:cNvPr id="875" name="Straight Connector 874"/>
        <xdr:cNvCxnSpPr/>
      </xdr:nvCxnSpPr>
      <xdr:spPr>
        <a:xfrm>
          <a:off x="2849796" y="4123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1243</xdr:row>
      <xdr:rowOff>35719</xdr:rowOff>
    </xdr:from>
    <xdr:to>
      <xdr:col>3</xdr:col>
      <xdr:colOff>285750</xdr:colOff>
      <xdr:row>1243</xdr:row>
      <xdr:rowOff>154781</xdr:rowOff>
    </xdr:to>
    <xdr:cxnSp macro="">
      <xdr:nvCxnSpPr>
        <xdr:cNvPr id="876" name="Straight Connector 875"/>
        <xdr:cNvCxnSpPr/>
      </xdr:nvCxnSpPr>
      <xdr:spPr>
        <a:xfrm>
          <a:off x="2885515" y="4118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1252</xdr:row>
      <xdr:rowOff>124558</xdr:rowOff>
    </xdr:from>
    <xdr:to>
      <xdr:col>3</xdr:col>
      <xdr:colOff>381000</xdr:colOff>
      <xdr:row>1255</xdr:row>
      <xdr:rowOff>124558</xdr:rowOff>
    </xdr:to>
    <xdr:cxnSp macro="">
      <xdr:nvCxnSpPr>
        <xdr:cNvPr id="877" name="Straight Connector 876"/>
        <xdr:cNvCxnSpPr/>
      </xdr:nvCxnSpPr>
      <xdr:spPr>
        <a:xfrm flipH="1">
          <a:off x="2720149" y="42987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1252</xdr:row>
      <xdr:rowOff>139212</xdr:rowOff>
    </xdr:from>
    <xdr:to>
      <xdr:col>4</xdr:col>
      <xdr:colOff>116773</xdr:colOff>
      <xdr:row>1255</xdr:row>
      <xdr:rowOff>117231</xdr:rowOff>
    </xdr:to>
    <xdr:cxnSp macro="">
      <xdr:nvCxnSpPr>
        <xdr:cNvPr id="878" name="Straight Connector 877"/>
        <xdr:cNvCxnSpPr/>
      </xdr:nvCxnSpPr>
      <xdr:spPr>
        <a:xfrm>
          <a:off x="3171265" y="43001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1255</xdr:row>
      <xdr:rowOff>118956</xdr:rowOff>
    </xdr:from>
    <xdr:to>
      <xdr:col>4</xdr:col>
      <xdr:colOff>134902</xdr:colOff>
      <xdr:row>1255</xdr:row>
      <xdr:rowOff>118956</xdr:rowOff>
    </xdr:to>
    <xdr:cxnSp macro="">
      <xdr:nvCxnSpPr>
        <xdr:cNvPr id="879" name="Straight Connector 878"/>
        <xdr:cNvCxnSpPr/>
      </xdr:nvCxnSpPr>
      <xdr:spPr>
        <a:xfrm>
          <a:off x="2713118" y="43552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1253</xdr:row>
      <xdr:rowOff>36635</xdr:rowOff>
    </xdr:from>
    <xdr:to>
      <xdr:col>3</xdr:col>
      <xdr:colOff>300404</xdr:colOff>
      <xdr:row>1254</xdr:row>
      <xdr:rowOff>45337</xdr:rowOff>
    </xdr:to>
    <xdr:cxnSp macro="">
      <xdr:nvCxnSpPr>
        <xdr:cNvPr id="880" name="Straight Connector 879"/>
        <xdr:cNvCxnSpPr/>
      </xdr:nvCxnSpPr>
      <xdr:spPr>
        <a:xfrm flipH="1">
          <a:off x="3085174" y="4308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1253</xdr:row>
      <xdr:rowOff>25749</xdr:rowOff>
    </xdr:from>
    <xdr:to>
      <xdr:col>3</xdr:col>
      <xdr:colOff>472128</xdr:colOff>
      <xdr:row>1254</xdr:row>
      <xdr:rowOff>36635</xdr:rowOff>
    </xdr:to>
    <xdr:cxnSp macro="">
      <xdr:nvCxnSpPr>
        <xdr:cNvPr id="881" name="Straight Connector 880"/>
        <xdr:cNvCxnSpPr/>
      </xdr:nvCxnSpPr>
      <xdr:spPr>
        <a:xfrm>
          <a:off x="3244534" y="4307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1243</xdr:row>
      <xdr:rowOff>44824</xdr:rowOff>
    </xdr:from>
    <xdr:to>
      <xdr:col>3</xdr:col>
      <xdr:colOff>67235</xdr:colOff>
      <xdr:row>1245</xdr:row>
      <xdr:rowOff>156883</xdr:rowOff>
    </xdr:to>
    <xdr:cxnSp macro="">
      <xdr:nvCxnSpPr>
        <xdr:cNvPr id="882" name="Straight Connector 881"/>
        <xdr:cNvCxnSpPr/>
      </xdr:nvCxnSpPr>
      <xdr:spPr>
        <a:xfrm>
          <a:off x="2857500" y="4119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1245</xdr:row>
      <xdr:rowOff>166690</xdr:rowOff>
    </xdr:from>
    <xdr:to>
      <xdr:col>4</xdr:col>
      <xdr:colOff>29308</xdr:colOff>
      <xdr:row>1245</xdr:row>
      <xdr:rowOff>168519</xdr:rowOff>
    </xdr:to>
    <xdr:cxnSp macro="">
      <xdr:nvCxnSpPr>
        <xdr:cNvPr id="883" name="Straight Connector 882"/>
        <xdr:cNvCxnSpPr/>
      </xdr:nvCxnSpPr>
      <xdr:spPr>
        <a:xfrm>
          <a:off x="2849796" y="41695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1243</xdr:row>
      <xdr:rowOff>41673</xdr:rowOff>
    </xdr:from>
    <xdr:to>
      <xdr:col>4</xdr:col>
      <xdr:colOff>12211</xdr:colOff>
      <xdr:row>1246</xdr:row>
      <xdr:rowOff>0</xdr:rowOff>
    </xdr:to>
    <xdr:cxnSp macro="">
      <xdr:nvCxnSpPr>
        <xdr:cNvPr id="884" name="Straight Connector 883"/>
        <xdr:cNvCxnSpPr/>
      </xdr:nvCxnSpPr>
      <xdr:spPr>
        <a:xfrm flipH="1" flipV="1">
          <a:off x="3507441" y="4118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1243</xdr:row>
      <xdr:rowOff>32918</xdr:rowOff>
    </xdr:from>
    <xdr:to>
      <xdr:col>4</xdr:col>
      <xdr:colOff>17861</xdr:colOff>
      <xdr:row>1243</xdr:row>
      <xdr:rowOff>35719</xdr:rowOff>
    </xdr:to>
    <xdr:cxnSp macro="">
      <xdr:nvCxnSpPr>
        <xdr:cNvPr id="885" name="Straight Connector 884"/>
        <xdr:cNvCxnSpPr/>
      </xdr:nvCxnSpPr>
      <xdr:spPr>
        <a:xfrm flipH="1">
          <a:off x="2849796" y="41180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1248</xdr:row>
      <xdr:rowOff>89297</xdr:rowOff>
    </xdr:from>
    <xdr:to>
      <xdr:col>3</xdr:col>
      <xdr:colOff>178594</xdr:colOff>
      <xdr:row>1249</xdr:row>
      <xdr:rowOff>59531</xdr:rowOff>
    </xdr:to>
    <xdr:cxnSp macro="">
      <xdr:nvCxnSpPr>
        <xdr:cNvPr id="886" name="Straight Connector 885"/>
        <xdr:cNvCxnSpPr/>
      </xdr:nvCxnSpPr>
      <xdr:spPr>
        <a:xfrm>
          <a:off x="2849796" y="4218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1248</xdr:row>
      <xdr:rowOff>35719</xdr:rowOff>
    </xdr:from>
    <xdr:to>
      <xdr:col>3</xdr:col>
      <xdr:colOff>285750</xdr:colOff>
      <xdr:row>1248</xdr:row>
      <xdr:rowOff>154781</xdr:rowOff>
    </xdr:to>
    <xdr:cxnSp macro="">
      <xdr:nvCxnSpPr>
        <xdr:cNvPr id="887" name="Straight Connector 886"/>
        <xdr:cNvCxnSpPr/>
      </xdr:nvCxnSpPr>
      <xdr:spPr>
        <a:xfrm>
          <a:off x="2885515" y="4213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1248</xdr:row>
      <xdr:rowOff>44824</xdr:rowOff>
    </xdr:from>
    <xdr:to>
      <xdr:col>3</xdr:col>
      <xdr:colOff>67235</xdr:colOff>
      <xdr:row>1250</xdr:row>
      <xdr:rowOff>156883</xdr:rowOff>
    </xdr:to>
    <xdr:cxnSp macro="">
      <xdr:nvCxnSpPr>
        <xdr:cNvPr id="888" name="Straight Connector 887"/>
        <xdr:cNvCxnSpPr/>
      </xdr:nvCxnSpPr>
      <xdr:spPr>
        <a:xfrm>
          <a:off x="2857500" y="4214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1250</xdr:row>
      <xdr:rowOff>166690</xdr:rowOff>
    </xdr:from>
    <xdr:to>
      <xdr:col>4</xdr:col>
      <xdr:colOff>29308</xdr:colOff>
      <xdr:row>1250</xdr:row>
      <xdr:rowOff>168519</xdr:rowOff>
    </xdr:to>
    <xdr:cxnSp macro="">
      <xdr:nvCxnSpPr>
        <xdr:cNvPr id="889" name="Straight Connector 888"/>
        <xdr:cNvCxnSpPr/>
      </xdr:nvCxnSpPr>
      <xdr:spPr>
        <a:xfrm>
          <a:off x="2849796" y="42648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1248</xdr:row>
      <xdr:rowOff>41673</xdr:rowOff>
    </xdr:from>
    <xdr:to>
      <xdr:col>4</xdr:col>
      <xdr:colOff>12211</xdr:colOff>
      <xdr:row>1251</xdr:row>
      <xdr:rowOff>0</xdr:rowOff>
    </xdr:to>
    <xdr:cxnSp macro="">
      <xdr:nvCxnSpPr>
        <xdr:cNvPr id="890" name="Straight Connector 889"/>
        <xdr:cNvCxnSpPr/>
      </xdr:nvCxnSpPr>
      <xdr:spPr>
        <a:xfrm flipH="1" flipV="1">
          <a:off x="3507441" y="4214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1248</xdr:row>
      <xdr:rowOff>32918</xdr:rowOff>
    </xdr:from>
    <xdr:to>
      <xdr:col>4</xdr:col>
      <xdr:colOff>17861</xdr:colOff>
      <xdr:row>1248</xdr:row>
      <xdr:rowOff>35719</xdr:rowOff>
    </xdr:to>
    <xdr:cxnSp macro="">
      <xdr:nvCxnSpPr>
        <xdr:cNvPr id="891" name="Straight Connector 890"/>
        <xdr:cNvCxnSpPr/>
      </xdr:nvCxnSpPr>
      <xdr:spPr>
        <a:xfrm flipH="1">
          <a:off x="2849796" y="42133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1257</xdr:row>
      <xdr:rowOff>124558</xdr:rowOff>
    </xdr:from>
    <xdr:to>
      <xdr:col>3</xdr:col>
      <xdr:colOff>381000</xdr:colOff>
      <xdr:row>1260</xdr:row>
      <xdr:rowOff>124558</xdr:rowOff>
    </xdr:to>
    <xdr:cxnSp macro="">
      <xdr:nvCxnSpPr>
        <xdr:cNvPr id="892" name="Straight Connector 891"/>
        <xdr:cNvCxnSpPr/>
      </xdr:nvCxnSpPr>
      <xdr:spPr>
        <a:xfrm flipH="1">
          <a:off x="2720149" y="43939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1257</xdr:row>
      <xdr:rowOff>139212</xdr:rowOff>
    </xdr:from>
    <xdr:to>
      <xdr:col>4</xdr:col>
      <xdr:colOff>116773</xdr:colOff>
      <xdr:row>1260</xdr:row>
      <xdr:rowOff>117231</xdr:rowOff>
    </xdr:to>
    <xdr:cxnSp macro="">
      <xdr:nvCxnSpPr>
        <xdr:cNvPr id="893" name="Straight Connector 892"/>
        <xdr:cNvCxnSpPr/>
      </xdr:nvCxnSpPr>
      <xdr:spPr>
        <a:xfrm>
          <a:off x="3171265" y="43954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1260</xdr:row>
      <xdr:rowOff>118956</xdr:rowOff>
    </xdr:from>
    <xdr:to>
      <xdr:col>4</xdr:col>
      <xdr:colOff>134902</xdr:colOff>
      <xdr:row>1260</xdr:row>
      <xdr:rowOff>118956</xdr:rowOff>
    </xdr:to>
    <xdr:cxnSp macro="">
      <xdr:nvCxnSpPr>
        <xdr:cNvPr id="894" name="Straight Connector 893"/>
        <xdr:cNvCxnSpPr/>
      </xdr:nvCxnSpPr>
      <xdr:spPr>
        <a:xfrm>
          <a:off x="2713118" y="44505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1258</xdr:row>
      <xdr:rowOff>36635</xdr:rowOff>
    </xdr:from>
    <xdr:to>
      <xdr:col>3</xdr:col>
      <xdr:colOff>300404</xdr:colOff>
      <xdr:row>1259</xdr:row>
      <xdr:rowOff>45337</xdr:rowOff>
    </xdr:to>
    <xdr:cxnSp macro="">
      <xdr:nvCxnSpPr>
        <xdr:cNvPr id="895" name="Straight Connector 894"/>
        <xdr:cNvCxnSpPr/>
      </xdr:nvCxnSpPr>
      <xdr:spPr>
        <a:xfrm flipH="1">
          <a:off x="3085174" y="44042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1258</xdr:row>
      <xdr:rowOff>25749</xdr:rowOff>
    </xdr:from>
    <xdr:to>
      <xdr:col>3</xdr:col>
      <xdr:colOff>472128</xdr:colOff>
      <xdr:row>1259</xdr:row>
      <xdr:rowOff>36635</xdr:rowOff>
    </xdr:to>
    <xdr:cxnSp macro="">
      <xdr:nvCxnSpPr>
        <xdr:cNvPr id="896" name="Straight Connector 895"/>
        <xdr:cNvCxnSpPr/>
      </xdr:nvCxnSpPr>
      <xdr:spPr>
        <a:xfrm>
          <a:off x="3244534" y="44031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1122</xdr:row>
      <xdr:rowOff>305147</xdr:rowOff>
    </xdr:from>
    <xdr:to>
      <xdr:col>3</xdr:col>
      <xdr:colOff>130969</xdr:colOff>
      <xdr:row>1124</xdr:row>
      <xdr:rowOff>11906</xdr:rowOff>
    </xdr:to>
    <xdr:cxnSp macro="">
      <xdr:nvCxnSpPr>
        <xdr:cNvPr id="897" name="Straight Arrow Connector 896"/>
        <xdr:cNvCxnSpPr/>
      </xdr:nvCxnSpPr>
      <xdr:spPr>
        <a:xfrm flipH="1" flipV="1">
          <a:off x="2913960"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1067</xdr:row>
      <xdr:rowOff>305147</xdr:rowOff>
    </xdr:from>
    <xdr:to>
      <xdr:col>3</xdr:col>
      <xdr:colOff>130969</xdr:colOff>
      <xdr:row>1069</xdr:row>
      <xdr:rowOff>11906</xdr:rowOff>
    </xdr:to>
    <xdr:cxnSp macro="">
      <xdr:nvCxnSpPr>
        <xdr:cNvPr id="898" name="Straight Arrow Connector 897"/>
        <xdr:cNvCxnSpPr/>
      </xdr:nvCxnSpPr>
      <xdr:spPr>
        <a:xfrm flipH="1" flipV="1">
          <a:off x="2913960"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957</xdr:row>
      <xdr:rowOff>305147</xdr:rowOff>
    </xdr:from>
    <xdr:to>
      <xdr:col>3</xdr:col>
      <xdr:colOff>130969</xdr:colOff>
      <xdr:row>959</xdr:row>
      <xdr:rowOff>11906</xdr:rowOff>
    </xdr:to>
    <xdr:cxnSp macro="">
      <xdr:nvCxnSpPr>
        <xdr:cNvPr id="899" name="Straight Arrow Connector 898"/>
        <xdr:cNvCxnSpPr/>
      </xdr:nvCxnSpPr>
      <xdr:spPr>
        <a:xfrm flipH="1" flipV="1">
          <a:off x="2913960"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619</xdr:row>
      <xdr:rowOff>305147</xdr:rowOff>
    </xdr:from>
    <xdr:to>
      <xdr:col>3</xdr:col>
      <xdr:colOff>130969</xdr:colOff>
      <xdr:row>621</xdr:row>
      <xdr:rowOff>11906</xdr:rowOff>
    </xdr:to>
    <xdr:cxnSp macro="">
      <xdr:nvCxnSpPr>
        <xdr:cNvPr id="900" name="Straight Arrow Connector 899"/>
        <xdr:cNvCxnSpPr/>
      </xdr:nvCxnSpPr>
      <xdr:spPr>
        <a:xfrm flipH="1" flipV="1">
          <a:off x="2913960" y="1123176"/>
          <a:ext cx="7274" cy="22223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619</xdr:row>
      <xdr:rowOff>305147</xdr:rowOff>
    </xdr:from>
    <xdr:to>
      <xdr:col>3</xdr:col>
      <xdr:colOff>130969</xdr:colOff>
      <xdr:row>621</xdr:row>
      <xdr:rowOff>11906</xdr:rowOff>
    </xdr:to>
    <xdr:cxnSp macro="">
      <xdr:nvCxnSpPr>
        <xdr:cNvPr id="901" name="Straight Arrow Connector 900"/>
        <xdr:cNvCxnSpPr/>
      </xdr:nvCxnSpPr>
      <xdr:spPr>
        <a:xfrm flipH="1" flipV="1">
          <a:off x="2913960" y="1123176"/>
          <a:ext cx="7274" cy="22223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708</xdr:row>
      <xdr:rowOff>305147</xdr:rowOff>
    </xdr:from>
    <xdr:to>
      <xdr:col>3</xdr:col>
      <xdr:colOff>130969</xdr:colOff>
      <xdr:row>710</xdr:row>
      <xdr:rowOff>11906</xdr:rowOff>
    </xdr:to>
    <xdr:cxnSp macro="">
      <xdr:nvCxnSpPr>
        <xdr:cNvPr id="902" name="Straight Arrow Connector 901"/>
        <xdr:cNvCxnSpPr/>
      </xdr:nvCxnSpPr>
      <xdr:spPr>
        <a:xfrm flipH="1" flipV="1">
          <a:off x="2913960"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800</xdr:row>
      <xdr:rowOff>305147</xdr:rowOff>
    </xdr:from>
    <xdr:to>
      <xdr:col>3</xdr:col>
      <xdr:colOff>130969</xdr:colOff>
      <xdr:row>802</xdr:row>
      <xdr:rowOff>11906</xdr:rowOff>
    </xdr:to>
    <xdr:cxnSp macro="">
      <xdr:nvCxnSpPr>
        <xdr:cNvPr id="903" name="Straight Arrow Connector 902"/>
        <xdr:cNvCxnSpPr/>
      </xdr:nvCxnSpPr>
      <xdr:spPr>
        <a:xfrm flipH="1" flipV="1">
          <a:off x="2913960"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846</xdr:row>
      <xdr:rowOff>305147</xdr:rowOff>
    </xdr:from>
    <xdr:to>
      <xdr:col>3</xdr:col>
      <xdr:colOff>130969</xdr:colOff>
      <xdr:row>848</xdr:row>
      <xdr:rowOff>11906</xdr:rowOff>
    </xdr:to>
    <xdr:cxnSp macro="">
      <xdr:nvCxnSpPr>
        <xdr:cNvPr id="904" name="Straight Arrow Connector 903"/>
        <xdr:cNvCxnSpPr/>
      </xdr:nvCxnSpPr>
      <xdr:spPr>
        <a:xfrm flipH="1" flipV="1">
          <a:off x="2913960"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385081</xdr:colOff>
      <xdr:row>1282</xdr:row>
      <xdr:rowOff>297027</xdr:rowOff>
    </xdr:from>
    <xdr:to>
      <xdr:col>3</xdr:col>
      <xdr:colOff>392907</xdr:colOff>
      <xdr:row>1286</xdr:row>
      <xdr:rowOff>154781</xdr:rowOff>
    </xdr:to>
    <xdr:cxnSp macro="">
      <xdr:nvCxnSpPr>
        <xdr:cNvPr id="905" name="Straight Connector 904"/>
        <xdr:cNvCxnSpPr/>
      </xdr:nvCxnSpPr>
      <xdr:spPr>
        <a:xfrm>
          <a:off x="3175346" y="4495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1282</xdr:row>
      <xdr:rowOff>305147</xdr:rowOff>
    </xdr:from>
    <xdr:to>
      <xdr:col>3</xdr:col>
      <xdr:colOff>130969</xdr:colOff>
      <xdr:row>1284</xdr:row>
      <xdr:rowOff>11906</xdr:rowOff>
    </xdr:to>
    <xdr:cxnSp macro="">
      <xdr:nvCxnSpPr>
        <xdr:cNvPr id="907" name="Straight Arrow Connector 906"/>
        <xdr:cNvCxnSpPr/>
      </xdr:nvCxnSpPr>
      <xdr:spPr>
        <a:xfrm flipH="1" flipV="1">
          <a:off x="2913960" y="4495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1285</xdr:row>
      <xdr:rowOff>11907</xdr:rowOff>
    </xdr:from>
    <xdr:to>
      <xdr:col>3</xdr:col>
      <xdr:colOff>130969</xdr:colOff>
      <xdr:row>1286</xdr:row>
      <xdr:rowOff>154782</xdr:rowOff>
    </xdr:to>
    <xdr:cxnSp macro="">
      <xdr:nvCxnSpPr>
        <xdr:cNvPr id="908" name="Straight Arrow Connector 907"/>
        <xdr:cNvCxnSpPr/>
      </xdr:nvCxnSpPr>
      <xdr:spPr>
        <a:xfrm>
          <a:off x="2921234" y="4535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1289</xdr:row>
      <xdr:rowOff>89297</xdr:rowOff>
    </xdr:from>
    <xdr:to>
      <xdr:col>3</xdr:col>
      <xdr:colOff>178594</xdr:colOff>
      <xdr:row>1290</xdr:row>
      <xdr:rowOff>59531</xdr:rowOff>
    </xdr:to>
    <xdr:cxnSp macro="">
      <xdr:nvCxnSpPr>
        <xdr:cNvPr id="909" name="Straight Connector 908"/>
        <xdr:cNvCxnSpPr/>
      </xdr:nvCxnSpPr>
      <xdr:spPr>
        <a:xfrm>
          <a:off x="2849796" y="4619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1289</xdr:row>
      <xdr:rowOff>35719</xdr:rowOff>
    </xdr:from>
    <xdr:to>
      <xdr:col>3</xdr:col>
      <xdr:colOff>285750</xdr:colOff>
      <xdr:row>1289</xdr:row>
      <xdr:rowOff>154781</xdr:rowOff>
    </xdr:to>
    <xdr:cxnSp macro="">
      <xdr:nvCxnSpPr>
        <xdr:cNvPr id="910" name="Straight Connector 909"/>
        <xdr:cNvCxnSpPr/>
      </xdr:nvCxnSpPr>
      <xdr:spPr>
        <a:xfrm>
          <a:off x="2885515" y="4613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1289</xdr:row>
      <xdr:rowOff>44824</xdr:rowOff>
    </xdr:from>
    <xdr:to>
      <xdr:col>3</xdr:col>
      <xdr:colOff>67235</xdr:colOff>
      <xdr:row>1291</xdr:row>
      <xdr:rowOff>156883</xdr:rowOff>
    </xdr:to>
    <xdr:cxnSp macro="">
      <xdr:nvCxnSpPr>
        <xdr:cNvPr id="911" name="Straight Connector 910"/>
        <xdr:cNvCxnSpPr/>
      </xdr:nvCxnSpPr>
      <xdr:spPr>
        <a:xfrm>
          <a:off x="2857500" y="4614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1291</xdr:row>
      <xdr:rowOff>166690</xdr:rowOff>
    </xdr:from>
    <xdr:to>
      <xdr:col>4</xdr:col>
      <xdr:colOff>29308</xdr:colOff>
      <xdr:row>1291</xdr:row>
      <xdr:rowOff>168519</xdr:rowOff>
    </xdr:to>
    <xdr:cxnSp macro="">
      <xdr:nvCxnSpPr>
        <xdr:cNvPr id="912" name="Straight Connector 911"/>
        <xdr:cNvCxnSpPr/>
      </xdr:nvCxnSpPr>
      <xdr:spPr>
        <a:xfrm>
          <a:off x="2849796" y="46648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1289</xdr:row>
      <xdr:rowOff>41673</xdr:rowOff>
    </xdr:from>
    <xdr:to>
      <xdr:col>4</xdr:col>
      <xdr:colOff>12211</xdr:colOff>
      <xdr:row>1292</xdr:row>
      <xdr:rowOff>0</xdr:rowOff>
    </xdr:to>
    <xdr:cxnSp macro="">
      <xdr:nvCxnSpPr>
        <xdr:cNvPr id="913" name="Straight Connector 912"/>
        <xdr:cNvCxnSpPr/>
      </xdr:nvCxnSpPr>
      <xdr:spPr>
        <a:xfrm flipH="1" flipV="1">
          <a:off x="3507441" y="4614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1289</xdr:row>
      <xdr:rowOff>32918</xdr:rowOff>
    </xdr:from>
    <xdr:to>
      <xdr:col>4</xdr:col>
      <xdr:colOff>17861</xdr:colOff>
      <xdr:row>1289</xdr:row>
      <xdr:rowOff>35719</xdr:rowOff>
    </xdr:to>
    <xdr:cxnSp macro="">
      <xdr:nvCxnSpPr>
        <xdr:cNvPr id="914" name="Straight Connector 913"/>
        <xdr:cNvCxnSpPr/>
      </xdr:nvCxnSpPr>
      <xdr:spPr>
        <a:xfrm flipH="1">
          <a:off x="2849796" y="46133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1312</xdr:row>
      <xdr:rowOff>89297</xdr:rowOff>
    </xdr:from>
    <xdr:to>
      <xdr:col>3</xdr:col>
      <xdr:colOff>178594</xdr:colOff>
      <xdr:row>1313</xdr:row>
      <xdr:rowOff>59531</xdr:rowOff>
    </xdr:to>
    <xdr:cxnSp macro="">
      <xdr:nvCxnSpPr>
        <xdr:cNvPr id="915" name="Straight Connector 914"/>
        <xdr:cNvCxnSpPr/>
      </xdr:nvCxnSpPr>
      <xdr:spPr>
        <a:xfrm>
          <a:off x="2849796" y="4809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1312</xdr:row>
      <xdr:rowOff>35719</xdr:rowOff>
    </xdr:from>
    <xdr:to>
      <xdr:col>3</xdr:col>
      <xdr:colOff>285750</xdr:colOff>
      <xdr:row>1312</xdr:row>
      <xdr:rowOff>154781</xdr:rowOff>
    </xdr:to>
    <xdr:cxnSp macro="">
      <xdr:nvCxnSpPr>
        <xdr:cNvPr id="916" name="Straight Connector 915"/>
        <xdr:cNvCxnSpPr/>
      </xdr:nvCxnSpPr>
      <xdr:spPr>
        <a:xfrm>
          <a:off x="2885515" y="4804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1312</xdr:row>
      <xdr:rowOff>44824</xdr:rowOff>
    </xdr:from>
    <xdr:to>
      <xdr:col>3</xdr:col>
      <xdr:colOff>67235</xdr:colOff>
      <xdr:row>1314</xdr:row>
      <xdr:rowOff>156883</xdr:rowOff>
    </xdr:to>
    <xdr:cxnSp macro="">
      <xdr:nvCxnSpPr>
        <xdr:cNvPr id="917" name="Straight Connector 916"/>
        <xdr:cNvCxnSpPr/>
      </xdr:nvCxnSpPr>
      <xdr:spPr>
        <a:xfrm>
          <a:off x="2857500" y="4805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1314</xdr:row>
      <xdr:rowOff>166690</xdr:rowOff>
    </xdr:from>
    <xdr:to>
      <xdr:col>4</xdr:col>
      <xdr:colOff>29308</xdr:colOff>
      <xdr:row>1314</xdr:row>
      <xdr:rowOff>168519</xdr:rowOff>
    </xdr:to>
    <xdr:cxnSp macro="">
      <xdr:nvCxnSpPr>
        <xdr:cNvPr id="918" name="Straight Connector 917"/>
        <xdr:cNvCxnSpPr/>
      </xdr:nvCxnSpPr>
      <xdr:spPr>
        <a:xfrm>
          <a:off x="2849796" y="4855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1312</xdr:row>
      <xdr:rowOff>41673</xdr:rowOff>
    </xdr:from>
    <xdr:to>
      <xdr:col>4</xdr:col>
      <xdr:colOff>12211</xdr:colOff>
      <xdr:row>1315</xdr:row>
      <xdr:rowOff>0</xdr:rowOff>
    </xdr:to>
    <xdr:cxnSp macro="">
      <xdr:nvCxnSpPr>
        <xdr:cNvPr id="919" name="Straight Connector 918"/>
        <xdr:cNvCxnSpPr/>
      </xdr:nvCxnSpPr>
      <xdr:spPr>
        <a:xfrm flipH="1" flipV="1">
          <a:off x="3507441" y="4804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1312</xdr:row>
      <xdr:rowOff>32918</xdr:rowOff>
    </xdr:from>
    <xdr:to>
      <xdr:col>4</xdr:col>
      <xdr:colOff>17861</xdr:colOff>
      <xdr:row>1312</xdr:row>
      <xdr:rowOff>35719</xdr:rowOff>
    </xdr:to>
    <xdr:cxnSp macro="">
      <xdr:nvCxnSpPr>
        <xdr:cNvPr id="920" name="Straight Connector 919"/>
        <xdr:cNvCxnSpPr/>
      </xdr:nvCxnSpPr>
      <xdr:spPr>
        <a:xfrm flipH="1">
          <a:off x="2849796" y="4803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1282</xdr:row>
      <xdr:rowOff>171450</xdr:rowOff>
    </xdr:from>
    <xdr:to>
      <xdr:col>3</xdr:col>
      <xdr:colOff>504825</xdr:colOff>
      <xdr:row>1287</xdr:row>
      <xdr:rowOff>47625</xdr:rowOff>
    </xdr:to>
    <xdr:pic>
      <xdr:nvPicPr>
        <xdr:cNvPr id="921"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4493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342900</xdr:colOff>
      <xdr:row>1236</xdr:row>
      <xdr:rowOff>171450</xdr:rowOff>
    </xdr:from>
    <xdr:to>
      <xdr:col>3</xdr:col>
      <xdr:colOff>495300</xdr:colOff>
      <xdr:row>1241</xdr:row>
      <xdr:rowOff>47625</xdr:rowOff>
    </xdr:to>
    <xdr:pic>
      <xdr:nvPicPr>
        <xdr:cNvPr id="922"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39985950"/>
          <a:ext cx="152400"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1303</xdr:row>
      <xdr:rowOff>89297</xdr:rowOff>
    </xdr:from>
    <xdr:to>
      <xdr:col>3</xdr:col>
      <xdr:colOff>178594</xdr:colOff>
      <xdr:row>1304</xdr:row>
      <xdr:rowOff>59531</xdr:rowOff>
    </xdr:to>
    <xdr:cxnSp macro="">
      <xdr:nvCxnSpPr>
        <xdr:cNvPr id="923" name="Straight Connector 922"/>
        <xdr:cNvCxnSpPr/>
      </xdr:nvCxnSpPr>
      <xdr:spPr>
        <a:xfrm>
          <a:off x="2849796" y="4714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1303</xdr:row>
      <xdr:rowOff>35719</xdr:rowOff>
    </xdr:from>
    <xdr:to>
      <xdr:col>3</xdr:col>
      <xdr:colOff>285750</xdr:colOff>
      <xdr:row>1303</xdr:row>
      <xdr:rowOff>154781</xdr:rowOff>
    </xdr:to>
    <xdr:cxnSp macro="">
      <xdr:nvCxnSpPr>
        <xdr:cNvPr id="924" name="Straight Connector 923"/>
        <xdr:cNvCxnSpPr/>
      </xdr:nvCxnSpPr>
      <xdr:spPr>
        <a:xfrm>
          <a:off x="2885515" y="4708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1303</xdr:row>
      <xdr:rowOff>44824</xdr:rowOff>
    </xdr:from>
    <xdr:to>
      <xdr:col>3</xdr:col>
      <xdr:colOff>67235</xdr:colOff>
      <xdr:row>1305</xdr:row>
      <xdr:rowOff>156883</xdr:rowOff>
    </xdr:to>
    <xdr:cxnSp macro="">
      <xdr:nvCxnSpPr>
        <xdr:cNvPr id="925" name="Straight Connector 924"/>
        <xdr:cNvCxnSpPr/>
      </xdr:nvCxnSpPr>
      <xdr:spPr>
        <a:xfrm>
          <a:off x="2857500" y="4709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1305</xdr:row>
      <xdr:rowOff>166690</xdr:rowOff>
    </xdr:from>
    <xdr:to>
      <xdr:col>4</xdr:col>
      <xdr:colOff>29308</xdr:colOff>
      <xdr:row>1305</xdr:row>
      <xdr:rowOff>168519</xdr:rowOff>
    </xdr:to>
    <xdr:cxnSp macro="">
      <xdr:nvCxnSpPr>
        <xdr:cNvPr id="926" name="Straight Connector 925"/>
        <xdr:cNvCxnSpPr/>
      </xdr:nvCxnSpPr>
      <xdr:spPr>
        <a:xfrm>
          <a:off x="2849796" y="4760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1303</xdr:row>
      <xdr:rowOff>41673</xdr:rowOff>
    </xdr:from>
    <xdr:to>
      <xdr:col>4</xdr:col>
      <xdr:colOff>12211</xdr:colOff>
      <xdr:row>1306</xdr:row>
      <xdr:rowOff>0</xdr:rowOff>
    </xdr:to>
    <xdr:cxnSp macro="">
      <xdr:nvCxnSpPr>
        <xdr:cNvPr id="927" name="Straight Connector 926"/>
        <xdr:cNvCxnSpPr/>
      </xdr:nvCxnSpPr>
      <xdr:spPr>
        <a:xfrm flipH="1" flipV="1">
          <a:off x="3507441" y="4709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1303</xdr:row>
      <xdr:rowOff>32918</xdr:rowOff>
    </xdr:from>
    <xdr:to>
      <xdr:col>4</xdr:col>
      <xdr:colOff>17861</xdr:colOff>
      <xdr:row>1303</xdr:row>
      <xdr:rowOff>35719</xdr:rowOff>
    </xdr:to>
    <xdr:cxnSp macro="">
      <xdr:nvCxnSpPr>
        <xdr:cNvPr id="928" name="Straight Connector 927"/>
        <xdr:cNvCxnSpPr/>
      </xdr:nvCxnSpPr>
      <xdr:spPr>
        <a:xfrm flipH="1">
          <a:off x="2849796" y="4708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1294</xdr:row>
      <xdr:rowOff>89297</xdr:rowOff>
    </xdr:from>
    <xdr:to>
      <xdr:col>3</xdr:col>
      <xdr:colOff>178594</xdr:colOff>
      <xdr:row>1295</xdr:row>
      <xdr:rowOff>59531</xdr:rowOff>
    </xdr:to>
    <xdr:cxnSp macro="">
      <xdr:nvCxnSpPr>
        <xdr:cNvPr id="929" name="Straight Connector 928"/>
        <xdr:cNvCxnSpPr/>
      </xdr:nvCxnSpPr>
      <xdr:spPr>
        <a:xfrm>
          <a:off x="2849796" y="4904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1294</xdr:row>
      <xdr:rowOff>35719</xdr:rowOff>
    </xdr:from>
    <xdr:to>
      <xdr:col>3</xdr:col>
      <xdr:colOff>285750</xdr:colOff>
      <xdr:row>1294</xdr:row>
      <xdr:rowOff>154781</xdr:rowOff>
    </xdr:to>
    <xdr:cxnSp macro="">
      <xdr:nvCxnSpPr>
        <xdr:cNvPr id="930" name="Straight Connector 929"/>
        <xdr:cNvCxnSpPr/>
      </xdr:nvCxnSpPr>
      <xdr:spPr>
        <a:xfrm>
          <a:off x="2885515" y="4899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1294</xdr:row>
      <xdr:rowOff>44824</xdr:rowOff>
    </xdr:from>
    <xdr:to>
      <xdr:col>3</xdr:col>
      <xdr:colOff>67235</xdr:colOff>
      <xdr:row>1296</xdr:row>
      <xdr:rowOff>156883</xdr:rowOff>
    </xdr:to>
    <xdr:cxnSp macro="">
      <xdr:nvCxnSpPr>
        <xdr:cNvPr id="931" name="Straight Connector 930"/>
        <xdr:cNvCxnSpPr/>
      </xdr:nvCxnSpPr>
      <xdr:spPr>
        <a:xfrm>
          <a:off x="2857500" y="4900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1296</xdr:row>
      <xdr:rowOff>166690</xdr:rowOff>
    </xdr:from>
    <xdr:to>
      <xdr:col>4</xdr:col>
      <xdr:colOff>29308</xdr:colOff>
      <xdr:row>1296</xdr:row>
      <xdr:rowOff>168519</xdr:rowOff>
    </xdr:to>
    <xdr:cxnSp macro="">
      <xdr:nvCxnSpPr>
        <xdr:cNvPr id="932" name="Straight Connector 931"/>
        <xdr:cNvCxnSpPr/>
      </xdr:nvCxnSpPr>
      <xdr:spPr>
        <a:xfrm>
          <a:off x="2849796" y="4950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1294</xdr:row>
      <xdr:rowOff>41673</xdr:rowOff>
    </xdr:from>
    <xdr:to>
      <xdr:col>4</xdr:col>
      <xdr:colOff>12211</xdr:colOff>
      <xdr:row>1297</xdr:row>
      <xdr:rowOff>0</xdr:rowOff>
    </xdr:to>
    <xdr:cxnSp macro="">
      <xdr:nvCxnSpPr>
        <xdr:cNvPr id="933" name="Straight Connector 932"/>
        <xdr:cNvCxnSpPr/>
      </xdr:nvCxnSpPr>
      <xdr:spPr>
        <a:xfrm flipH="1" flipV="1">
          <a:off x="3507441" y="4900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1294</xdr:row>
      <xdr:rowOff>32918</xdr:rowOff>
    </xdr:from>
    <xdr:to>
      <xdr:col>4</xdr:col>
      <xdr:colOff>17861</xdr:colOff>
      <xdr:row>1294</xdr:row>
      <xdr:rowOff>35719</xdr:rowOff>
    </xdr:to>
    <xdr:cxnSp macro="">
      <xdr:nvCxnSpPr>
        <xdr:cNvPr id="934" name="Straight Connector 933"/>
        <xdr:cNvCxnSpPr/>
      </xdr:nvCxnSpPr>
      <xdr:spPr>
        <a:xfrm flipH="1">
          <a:off x="2849796" y="4899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1317</xdr:row>
      <xdr:rowOff>35719</xdr:rowOff>
    </xdr:from>
    <xdr:to>
      <xdr:col>3</xdr:col>
      <xdr:colOff>428625</xdr:colOff>
      <xdr:row>1319</xdr:row>
      <xdr:rowOff>178594</xdr:rowOff>
    </xdr:to>
    <xdr:cxnSp macro="">
      <xdr:nvCxnSpPr>
        <xdr:cNvPr id="947" name="Straight Connector 946"/>
        <xdr:cNvCxnSpPr/>
      </xdr:nvCxnSpPr>
      <xdr:spPr>
        <a:xfrm>
          <a:off x="3218890" y="51851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1319</xdr:row>
      <xdr:rowOff>95249</xdr:rowOff>
    </xdr:from>
    <xdr:to>
      <xdr:col>3</xdr:col>
      <xdr:colOff>571500</xdr:colOff>
      <xdr:row>1319</xdr:row>
      <xdr:rowOff>154780</xdr:rowOff>
    </xdr:to>
    <xdr:cxnSp macro="">
      <xdr:nvCxnSpPr>
        <xdr:cNvPr id="948" name="Straight Connector 947"/>
        <xdr:cNvCxnSpPr/>
      </xdr:nvCxnSpPr>
      <xdr:spPr>
        <a:xfrm flipH="1">
          <a:off x="3218890" y="52292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1317</xdr:row>
      <xdr:rowOff>47625</xdr:rowOff>
    </xdr:from>
    <xdr:to>
      <xdr:col>3</xdr:col>
      <xdr:colOff>595313</xdr:colOff>
      <xdr:row>1317</xdr:row>
      <xdr:rowOff>119062</xdr:rowOff>
    </xdr:to>
    <xdr:cxnSp macro="">
      <xdr:nvCxnSpPr>
        <xdr:cNvPr id="949" name="Straight Connector 948"/>
        <xdr:cNvCxnSpPr/>
      </xdr:nvCxnSpPr>
      <xdr:spPr>
        <a:xfrm>
          <a:off x="3218890" y="51863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1320</xdr:row>
      <xdr:rowOff>297027</xdr:rowOff>
    </xdr:from>
    <xdr:to>
      <xdr:col>3</xdr:col>
      <xdr:colOff>392907</xdr:colOff>
      <xdr:row>1324</xdr:row>
      <xdr:rowOff>154781</xdr:rowOff>
    </xdr:to>
    <xdr:cxnSp macro="">
      <xdr:nvCxnSpPr>
        <xdr:cNvPr id="950" name="Straight Connector 949"/>
        <xdr:cNvCxnSpPr/>
      </xdr:nvCxnSpPr>
      <xdr:spPr>
        <a:xfrm>
          <a:off x="3175346" y="5257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1320</xdr:row>
      <xdr:rowOff>305147</xdr:rowOff>
    </xdr:from>
    <xdr:to>
      <xdr:col>3</xdr:col>
      <xdr:colOff>130969</xdr:colOff>
      <xdr:row>1322</xdr:row>
      <xdr:rowOff>11906</xdr:rowOff>
    </xdr:to>
    <xdr:cxnSp macro="">
      <xdr:nvCxnSpPr>
        <xdr:cNvPr id="952" name="Straight Arrow Connector 951"/>
        <xdr:cNvCxnSpPr/>
      </xdr:nvCxnSpPr>
      <xdr:spPr>
        <a:xfrm flipH="1" flipV="1">
          <a:off x="2913960" y="5257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1323</xdr:row>
      <xdr:rowOff>11907</xdr:rowOff>
    </xdr:from>
    <xdr:to>
      <xdr:col>3</xdr:col>
      <xdr:colOff>130969</xdr:colOff>
      <xdr:row>1324</xdr:row>
      <xdr:rowOff>154782</xdr:rowOff>
    </xdr:to>
    <xdr:cxnSp macro="">
      <xdr:nvCxnSpPr>
        <xdr:cNvPr id="953" name="Straight Arrow Connector 952"/>
        <xdr:cNvCxnSpPr/>
      </xdr:nvCxnSpPr>
      <xdr:spPr>
        <a:xfrm>
          <a:off x="2921234" y="5297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1320</xdr:row>
      <xdr:rowOff>171450</xdr:rowOff>
    </xdr:from>
    <xdr:to>
      <xdr:col>3</xdr:col>
      <xdr:colOff>504825</xdr:colOff>
      <xdr:row>1325</xdr:row>
      <xdr:rowOff>47625</xdr:rowOff>
    </xdr:to>
    <xdr:pic>
      <xdr:nvPicPr>
        <xdr:cNvPr id="966"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5255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1358</xdr:row>
      <xdr:rowOff>297027</xdr:rowOff>
    </xdr:from>
    <xdr:to>
      <xdr:col>3</xdr:col>
      <xdr:colOff>392907</xdr:colOff>
      <xdr:row>1362</xdr:row>
      <xdr:rowOff>154781</xdr:rowOff>
    </xdr:to>
    <xdr:cxnSp macro="">
      <xdr:nvCxnSpPr>
        <xdr:cNvPr id="994" name="Straight Connector 993"/>
        <xdr:cNvCxnSpPr/>
      </xdr:nvCxnSpPr>
      <xdr:spPr>
        <a:xfrm>
          <a:off x="3175346" y="601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1358</xdr:row>
      <xdr:rowOff>305147</xdr:rowOff>
    </xdr:from>
    <xdr:to>
      <xdr:col>3</xdr:col>
      <xdr:colOff>130969</xdr:colOff>
      <xdr:row>1360</xdr:row>
      <xdr:rowOff>11906</xdr:rowOff>
    </xdr:to>
    <xdr:cxnSp macro="">
      <xdr:nvCxnSpPr>
        <xdr:cNvPr id="996" name="Straight Arrow Connector 995"/>
        <xdr:cNvCxnSpPr/>
      </xdr:nvCxnSpPr>
      <xdr:spPr>
        <a:xfrm flipH="1" flipV="1">
          <a:off x="2913960" y="601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1361</xdr:row>
      <xdr:rowOff>11907</xdr:rowOff>
    </xdr:from>
    <xdr:to>
      <xdr:col>3</xdr:col>
      <xdr:colOff>130969</xdr:colOff>
      <xdr:row>1362</xdr:row>
      <xdr:rowOff>154782</xdr:rowOff>
    </xdr:to>
    <xdr:cxnSp macro="">
      <xdr:nvCxnSpPr>
        <xdr:cNvPr id="997" name="Straight Arrow Connector 996"/>
        <xdr:cNvCxnSpPr/>
      </xdr:nvCxnSpPr>
      <xdr:spPr>
        <a:xfrm>
          <a:off x="2921234" y="605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1365</xdr:row>
      <xdr:rowOff>89297</xdr:rowOff>
    </xdr:from>
    <xdr:to>
      <xdr:col>3</xdr:col>
      <xdr:colOff>178594</xdr:colOff>
      <xdr:row>1366</xdr:row>
      <xdr:rowOff>59531</xdr:rowOff>
    </xdr:to>
    <xdr:cxnSp macro="">
      <xdr:nvCxnSpPr>
        <xdr:cNvPr id="998" name="Straight Connector 997"/>
        <xdr:cNvCxnSpPr/>
      </xdr:nvCxnSpPr>
      <xdr:spPr>
        <a:xfrm>
          <a:off x="2849796" y="6143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1365</xdr:row>
      <xdr:rowOff>35719</xdr:rowOff>
    </xdr:from>
    <xdr:to>
      <xdr:col>3</xdr:col>
      <xdr:colOff>285750</xdr:colOff>
      <xdr:row>1365</xdr:row>
      <xdr:rowOff>154781</xdr:rowOff>
    </xdr:to>
    <xdr:cxnSp macro="">
      <xdr:nvCxnSpPr>
        <xdr:cNvPr id="999" name="Straight Connector 998"/>
        <xdr:cNvCxnSpPr/>
      </xdr:nvCxnSpPr>
      <xdr:spPr>
        <a:xfrm>
          <a:off x="2885515" y="6137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1365</xdr:row>
      <xdr:rowOff>44824</xdr:rowOff>
    </xdr:from>
    <xdr:to>
      <xdr:col>3</xdr:col>
      <xdr:colOff>67235</xdr:colOff>
      <xdr:row>1367</xdr:row>
      <xdr:rowOff>156883</xdr:rowOff>
    </xdr:to>
    <xdr:cxnSp macro="">
      <xdr:nvCxnSpPr>
        <xdr:cNvPr id="1000" name="Straight Connector 999"/>
        <xdr:cNvCxnSpPr/>
      </xdr:nvCxnSpPr>
      <xdr:spPr>
        <a:xfrm>
          <a:off x="2857500" y="6138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1367</xdr:row>
      <xdr:rowOff>166690</xdr:rowOff>
    </xdr:from>
    <xdr:to>
      <xdr:col>4</xdr:col>
      <xdr:colOff>29308</xdr:colOff>
      <xdr:row>1367</xdr:row>
      <xdr:rowOff>168519</xdr:rowOff>
    </xdr:to>
    <xdr:cxnSp macro="">
      <xdr:nvCxnSpPr>
        <xdr:cNvPr id="1001" name="Straight Connector 1000"/>
        <xdr:cNvCxnSpPr/>
      </xdr:nvCxnSpPr>
      <xdr:spPr>
        <a:xfrm>
          <a:off x="2849796" y="61888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1365</xdr:row>
      <xdr:rowOff>41673</xdr:rowOff>
    </xdr:from>
    <xdr:to>
      <xdr:col>4</xdr:col>
      <xdr:colOff>12211</xdr:colOff>
      <xdr:row>1368</xdr:row>
      <xdr:rowOff>0</xdr:rowOff>
    </xdr:to>
    <xdr:cxnSp macro="">
      <xdr:nvCxnSpPr>
        <xdr:cNvPr id="1002" name="Straight Connector 1001"/>
        <xdr:cNvCxnSpPr/>
      </xdr:nvCxnSpPr>
      <xdr:spPr>
        <a:xfrm flipH="1" flipV="1">
          <a:off x="3507441" y="6138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1365</xdr:row>
      <xdr:rowOff>32918</xdr:rowOff>
    </xdr:from>
    <xdr:to>
      <xdr:col>4</xdr:col>
      <xdr:colOff>17861</xdr:colOff>
      <xdr:row>1365</xdr:row>
      <xdr:rowOff>35719</xdr:rowOff>
    </xdr:to>
    <xdr:cxnSp macro="">
      <xdr:nvCxnSpPr>
        <xdr:cNvPr id="1003" name="Straight Connector 1002"/>
        <xdr:cNvCxnSpPr/>
      </xdr:nvCxnSpPr>
      <xdr:spPr>
        <a:xfrm flipH="1">
          <a:off x="2849796" y="61373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1370</xdr:row>
      <xdr:rowOff>89297</xdr:rowOff>
    </xdr:from>
    <xdr:to>
      <xdr:col>3</xdr:col>
      <xdr:colOff>178594</xdr:colOff>
      <xdr:row>1371</xdr:row>
      <xdr:rowOff>59531</xdr:rowOff>
    </xdr:to>
    <xdr:cxnSp macro="">
      <xdr:nvCxnSpPr>
        <xdr:cNvPr id="1004" name="Straight Connector 1003"/>
        <xdr:cNvCxnSpPr/>
      </xdr:nvCxnSpPr>
      <xdr:spPr>
        <a:xfrm>
          <a:off x="2849796" y="6238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1370</xdr:row>
      <xdr:rowOff>35719</xdr:rowOff>
    </xdr:from>
    <xdr:to>
      <xdr:col>3</xdr:col>
      <xdr:colOff>285750</xdr:colOff>
      <xdr:row>1370</xdr:row>
      <xdr:rowOff>154781</xdr:rowOff>
    </xdr:to>
    <xdr:cxnSp macro="">
      <xdr:nvCxnSpPr>
        <xdr:cNvPr id="1005" name="Straight Connector 1004"/>
        <xdr:cNvCxnSpPr/>
      </xdr:nvCxnSpPr>
      <xdr:spPr>
        <a:xfrm>
          <a:off x="2885515" y="6232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1370</xdr:row>
      <xdr:rowOff>44824</xdr:rowOff>
    </xdr:from>
    <xdr:to>
      <xdr:col>3</xdr:col>
      <xdr:colOff>67235</xdr:colOff>
      <xdr:row>1372</xdr:row>
      <xdr:rowOff>156883</xdr:rowOff>
    </xdr:to>
    <xdr:cxnSp macro="">
      <xdr:nvCxnSpPr>
        <xdr:cNvPr id="1006" name="Straight Connector 1005"/>
        <xdr:cNvCxnSpPr/>
      </xdr:nvCxnSpPr>
      <xdr:spPr>
        <a:xfrm>
          <a:off x="2857500" y="6233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1372</xdr:row>
      <xdr:rowOff>166690</xdr:rowOff>
    </xdr:from>
    <xdr:to>
      <xdr:col>4</xdr:col>
      <xdr:colOff>29308</xdr:colOff>
      <xdr:row>1372</xdr:row>
      <xdr:rowOff>168519</xdr:rowOff>
    </xdr:to>
    <xdr:cxnSp macro="">
      <xdr:nvCxnSpPr>
        <xdr:cNvPr id="1007" name="Straight Connector 1006"/>
        <xdr:cNvCxnSpPr/>
      </xdr:nvCxnSpPr>
      <xdr:spPr>
        <a:xfrm>
          <a:off x="2849796" y="6284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1370</xdr:row>
      <xdr:rowOff>41673</xdr:rowOff>
    </xdr:from>
    <xdr:to>
      <xdr:col>4</xdr:col>
      <xdr:colOff>12211</xdr:colOff>
      <xdr:row>1373</xdr:row>
      <xdr:rowOff>0</xdr:rowOff>
    </xdr:to>
    <xdr:cxnSp macro="">
      <xdr:nvCxnSpPr>
        <xdr:cNvPr id="1008" name="Straight Connector 1007"/>
        <xdr:cNvCxnSpPr/>
      </xdr:nvCxnSpPr>
      <xdr:spPr>
        <a:xfrm flipH="1" flipV="1">
          <a:off x="3507441" y="6233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1370</xdr:row>
      <xdr:rowOff>32918</xdr:rowOff>
    </xdr:from>
    <xdr:to>
      <xdr:col>4</xdr:col>
      <xdr:colOff>17861</xdr:colOff>
      <xdr:row>1370</xdr:row>
      <xdr:rowOff>35719</xdr:rowOff>
    </xdr:to>
    <xdr:cxnSp macro="">
      <xdr:nvCxnSpPr>
        <xdr:cNvPr id="1009" name="Straight Connector 1008"/>
        <xdr:cNvCxnSpPr/>
      </xdr:nvCxnSpPr>
      <xdr:spPr>
        <a:xfrm flipH="1">
          <a:off x="2849796" y="6232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1358</xdr:row>
      <xdr:rowOff>171450</xdr:rowOff>
    </xdr:from>
    <xdr:to>
      <xdr:col>3</xdr:col>
      <xdr:colOff>504825</xdr:colOff>
      <xdr:row>1363</xdr:row>
      <xdr:rowOff>47625</xdr:rowOff>
    </xdr:to>
    <xdr:pic>
      <xdr:nvPicPr>
        <xdr:cNvPr id="101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6017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1374</xdr:row>
      <xdr:rowOff>297027</xdr:rowOff>
    </xdr:from>
    <xdr:to>
      <xdr:col>3</xdr:col>
      <xdr:colOff>392907</xdr:colOff>
      <xdr:row>1378</xdr:row>
      <xdr:rowOff>154781</xdr:rowOff>
    </xdr:to>
    <xdr:cxnSp macro="">
      <xdr:nvCxnSpPr>
        <xdr:cNvPr id="1011" name="Straight Connector 1010"/>
        <xdr:cNvCxnSpPr/>
      </xdr:nvCxnSpPr>
      <xdr:spPr>
        <a:xfrm>
          <a:off x="3175346" y="6324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1374</xdr:row>
      <xdr:rowOff>305147</xdr:rowOff>
    </xdr:from>
    <xdr:to>
      <xdr:col>3</xdr:col>
      <xdr:colOff>130969</xdr:colOff>
      <xdr:row>1376</xdr:row>
      <xdr:rowOff>11906</xdr:rowOff>
    </xdr:to>
    <xdr:cxnSp macro="">
      <xdr:nvCxnSpPr>
        <xdr:cNvPr id="1013" name="Straight Arrow Connector 1012"/>
        <xdr:cNvCxnSpPr/>
      </xdr:nvCxnSpPr>
      <xdr:spPr>
        <a:xfrm flipH="1" flipV="1">
          <a:off x="2913960" y="6324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1377</xdr:row>
      <xdr:rowOff>11907</xdr:rowOff>
    </xdr:from>
    <xdr:to>
      <xdr:col>3</xdr:col>
      <xdr:colOff>130969</xdr:colOff>
      <xdr:row>1378</xdr:row>
      <xdr:rowOff>154782</xdr:rowOff>
    </xdr:to>
    <xdr:cxnSp macro="">
      <xdr:nvCxnSpPr>
        <xdr:cNvPr id="1014" name="Straight Arrow Connector 1013"/>
        <xdr:cNvCxnSpPr/>
      </xdr:nvCxnSpPr>
      <xdr:spPr>
        <a:xfrm>
          <a:off x="2921234" y="6363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1383</xdr:row>
      <xdr:rowOff>89297</xdr:rowOff>
    </xdr:from>
    <xdr:to>
      <xdr:col>3</xdr:col>
      <xdr:colOff>178594</xdr:colOff>
      <xdr:row>1384</xdr:row>
      <xdr:rowOff>59531</xdr:rowOff>
    </xdr:to>
    <xdr:cxnSp macro="">
      <xdr:nvCxnSpPr>
        <xdr:cNvPr id="1015" name="Straight Connector 1014"/>
        <xdr:cNvCxnSpPr/>
      </xdr:nvCxnSpPr>
      <xdr:spPr>
        <a:xfrm>
          <a:off x="2849796" y="64859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1383</xdr:row>
      <xdr:rowOff>35719</xdr:rowOff>
    </xdr:from>
    <xdr:to>
      <xdr:col>3</xdr:col>
      <xdr:colOff>285750</xdr:colOff>
      <xdr:row>1383</xdr:row>
      <xdr:rowOff>154781</xdr:rowOff>
    </xdr:to>
    <xdr:cxnSp macro="">
      <xdr:nvCxnSpPr>
        <xdr:cNvPr id="1016" name="Straight Connector 1015"/>
        <xdr:cNvCxnSpPr/>
      </xdr:nvCxnSpPr>
      <xdr:spPr>
        <a:xfrm>
          <a:off x="2885515" y="64805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1383</xdr:row>
      <xdr:rowOff>44824</xdr:rowOff>
    </xdr:from>
    <xdr:to>
      <xdr:col>3</xdr:col>
      <xdr:colOff>67235</xdr:colOff>
      <xdr:row>1385</xdr:row>
      <xdr:rowOff>156883</xdr:rowOff>
    </xdr:to>
    <xdr:cxnSp macro="">
      <xdr:nvCxnSpPr>
        <xdr:cNvPr id="1017" name="Straight Connector 1016"/>
        <xdr:cNvCxnSpPr/>
      </xdr:nvCxnSpPr>
      <xdr:spPr>
        <a:xfrm>
          <a:off x="2857500" y="64814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1385</xdr:row>
      <xdr:rowOff>166690</xdr:rowOff>
    </xdr:from>
    <xdr:to>
      <xdr:col>4</xdr:col>
      <xdr:colOff>29308</xdr:colOff>
      <xdr:row>1385</xdr:row>
      <xdr:rowOff>168519</xdr:rowOff>
    </xdr:to>
    <xdr:cxnSp macro="">
      <xdr:nvCxnSpPr>
        <xdr:cNvPr id="1018" name="Straight Connector 1017"/>
        <xdr:cNvCxnSpPr/>
      </xdr:nvCxnSpPr>
      <xdr:spPr>
        <a:xfrm>
          <a:off x="2849796" y="65317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1383</xdr:row>
      <xdr:rowOff>41673</xdr:rowOff>
    </xdr:from>
    <xdr:to>
      <xdr:col>4</xdr:col>
      <xdr:colOff>12211</xdr:colOff>
      <xdr:row>1386</xdr:row>
      <xdr:rowOff>0</xdr:rowOff>
    </xdr:to>
    <xdr:cxnSp macro="">
      <xdr:nvCxnSpPr>
        <xdr:cNvPr id="1019" name="Straight Connector 1018"/>
        <xdr:cNvCxnSpPr/>
      </xdr:nvCxnSpPr>
      <xdr:spPr>
        <a:xfrm flipH="1" flipV="1">
          <a:off x="3507441" y="64811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1383</xdr:row>
      <xdr:rowOff>32918</xdr:rowOff>
    </xdr:from>
    <xdr:to>
      <xdr:col>4</xdr:col>
      <xdr:colOff>17861</xdr:colOff>
      <xdr:row>1383</xdr:row>
      <xdr:rowOff>35719</xdr:rowOff>
    </xdr:to>
    <xdr:cxnSp macro="">
      <xdr:nvCxnSpPr>
        <xdr:cNvPr id="1020" name="Straight Connector 1019"/>
        <xdr:cNvCxnSpPr/>
      </xdr:nvCxnSpPr>
      <xdr:spPr>
        <a:xfrm flipH="1">
          <a:off x="2849796" y="64802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1388</xdr:row>
      <xdr:rowOff>89297</xdr:rowOff>
    </xdr:from>
    <xdr:to>
      <xdr:col>3</xdr:col>
      <xdr:colOff>178594</xdr:colOff>
      <xdr:row>1389</xdr:row>
      <xdr:rowOff>59531</xdr:rowOff>
    </xdr:to>
    <xdr:cxnSp macro="">
      <xdr:nvCxnSpPr>
        <xdr:cNvPr id="1021" name="Straight Connector 1020"/>
        <xdr:cNvCxnSpPr/>
      </xdr:nvCxnSpPr>
      <xdr:spPr>
        <a:xfrm>
          <a:off x="2849796" y="6581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1388</xdr:row>
      <xdr:rowOff>35719</xdr:rowOff>
    </xdr:from>
    <xdr:to>
      <xdr:col>3</xdr:col>
      <xdr:colOff>285750</xdr:colOff>
      <xdr:row>1388</xdr:row>
      <xdr:rowOff>154781</xdr:rowOff>
    </xdr:to>
    <xdr:cxnSp macro="">
      <xdr:nvCxnSpPr>
        <xdr:cNvPr id="1022" name="Straight Connector 1021"/>
        <xdr:cNvCxnSpPr/>
      </xdr:nvCxnSpPr>
      <xdr:spPr>
        <a:xfrm>
          <a:off x="2885515" y="6575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1388</xdr:row>
      <xdr:rowOff>44824</xdr:rowOff>
    </xdr:from>
    <xdr:to>
      <xdr:col>3</xdr:col>
      <xdr:colOff>67235</xdr:colOff>
      <xdr:row>1390</xdr:row>
      <xdr:rowOff>156883</xdr:rowOff>
    </xdr:to>
    <xdr:cxnSp macro="">
      <xdr:nvCxnSpPr>
        <xdr:cNvPr id="1023" name="Straight Connector 1022"/>
        <xdr:cNvCxnSpPr/>
      </xdr:nvCxnSpPr>
      <xdr:spPr>
        <a:xfrm>
          <a:off x="2857500" y="6576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1390</xdr:row>
      <xdr:rowOff>166690</xdr:rowOff>
    </xdr:from>
    <xdr:to>
      <xdr:col>4</xdr:col>
      <xdr:colOff>29308</xdr:colOff>
      <xdr:row>1390</xdr:row>
      <xdr:rowOff>168519</xdr:rowOff>
    </xdr:to>
    <xdr:cxnSp macro="">
      <xdr:nvCxnSpPr>
        <xdr:cNvPr id="1024" name="Straight Connector 1023"/>
        <xdr:cNvCxnSpPr/>
      </xdr:nvCxnSpPr>
      <xdr:spPr>
        <a:xfrm>
          <a:off x="2849796" y="66270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1388</xdr:row>
      <xdr:rowOff>41673</xdr:rowOff>
    </xdr:from>
    <xdr:to>
      <xdr:col>4</xdr:col>
      <xdr:colOff>12211</xdr:colOff>
      <xdr:row>1391</xdr:row>
      <xdr:rowOff>0</xdr:rowOff>
    </xdr:to>
    <xdr:cxnSp macro="">
      <xdr:nvCxnSpPr>
        <xdr:cNvPr id="1025" name="Straight Connector 1024"/>
        <xdr:cNvCxnSpPr/>
      </xdr:nvCxnSpPr>
      <xdr:spPr>
        <a:xfrm flipH="1" flipV="1">
          <a:off x="3507441" y="6576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1388</xdr:row>
      <xdr:rowOff>32918</xdr:rowOff>
    </xdr:from>
    <xdr:to>
      <xdr:col>4</xdr:col>
      <xdr:colOff>17861</xdr:colOff>
      <xdr:row>1388</xdr:row>
      <xdr:rowOff>35719</xdr:rowOff>
    </xdr:to>
    <xdr:cxnSp macro="">
      <xdr:nvCxnSpPr>
        <xdr:cNvPr id="1026" name="Straight Connector 1025"/>
        <xdr:cNvCxnSpPr/>
      </xdr:nvCxnSpPr>
      <xdr:spPr>
        <a:xfrm flipH="1">
          <a:off x="2849796" y="65755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1374</xdr:row>
      <xdr:rowOff>171450</xdr:rowOff>
    </xdr:from>
    <xdr:to>
      <xdr:col>3</xdr:col>
      <xdr:colOff>504825</xdr:colOff>
      <xdr:row>1379</xdr:row>
      <xdr:rowOff>47625</xdr:rowOff>
    </xdr:to>
    <xdr:pic>
      <xdr:nvPicPr>
        <xdr:cNvPr id="102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63226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1393</xdr:row>
      <xdr:rowOff>35719</xdr:rowOff>
    </xdr:from>
    <xdr:to>
      <xdr:col>3</xdr:col>
      <xdr:colOff>428625</xdr:colOff>
      <xdr:row>1395</xdr:row>
      <xdr:rowOff>178594</xdr:rowOff>
    </xdr:to>
    <xdr:cxnSp macro="">
      <xdr:nvCxnSpPr>
        <xdr:cNvPr id="1028" name="Straight Connector 1027"/>
        <xdr:cNvCxnSpPr/>
      </xdr:nvCxnSpPr>
      <xdr:spPr>
        <a:xfrm>
          <a:off x="3218890" y="66710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1395</xdr:row>
      <xdr:rowOff>95249</xdr:rowOff>
    </xdr:from>
    <xdr:to>
      <xdr:col>3</xdr:col>
      <xdr:colOff>571500</xdr:colOff>
      <xdr:row>1395</xdr:row>
      <xdr:rowOff>154780</xdr:rowOff>
    </xdr:to>
    <xdr:cxnSp macro="">
      <xdr:nvCxnSpPr>
        <xdr:cNvPr id="1029" name="Straight Connector 1028"/>
        <xdr:cNvCxnSpPr/>
      </xdr:nvCxnSpPr>
      <xdr:spPr>
        <a:xfrm flipH="1">
          <a:off x="3218890" y="67151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1393</xdr:row>
      <xdr:rowOff>47625</xdr:rowOff>
    </xdr:from>
    <xdr:to>
      <xdr:col>3</xdr:col>
      <xdr:colOff>595313</xdr:colOff>
      <xdr:row>1393</xdr:row>
      <xdr:rowOff>119062</xdr:rowOff>
    </xdr:to>
    <xdr:cxnSp macro="">
      <xdr:nvCxnSpPr>
        <xdr:cNvPr id="1030" name="Straight Connector 1029"/>
        <xdr:cNvCxnSpPr/>
      </xdr:nvCxnSpPr>
      <xdr:spPr>
        <a:xfrm>
          <a:off x="3218890" y="66722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1396</xdr:row>
      <xdr:rowOff>297027</xdr:rowOff>
    </xdr:from>
    <xdr:to>
      <xdr:col>3</xdr:col>
      <xdr:colOff>392907</xdr:colOff>
      <xdr:row>1400</xdr:row>
      <xdr:rowOff>154781</xdr:rowOff>
    </xdr:to>
    <xdr:cxnSp macro="">
      <xdr:nvCxnSpPr>
        <xdr:cNvPr id="1031" name="Straight Connector 1030"/>
        <xdr:cNvCxnSpPr/>
      </xdr:nvCxnSpPr>
      <xdr:spPr>
        <a:xfrm>
          <a:off x="3175346" y="67438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1396</xdr:row>
      <xdr:rowOff>305147</xdr:rowOff>
    </xdr:from>
    <xdr:to>
      <xdr:col>3</xdr:col>
      <xdr:colOff>130969</xdr:colOff>
      <xdr:row>1398</xdr:row>
      <xdr:rowOff>11906</xdr:rowOff>
    </xdr:to>
    <xdr:cxnSp macro="">
      <xdr:nvCxnSpPr>
        <xdr:cNvPr id="1033" name="Straight Arrow Connector 1032"/>
        <xdr:cNvCxnSpPr/>
      </xdr:nvCxnSpPr>
      <xdr:spPr>
        <a:xfrm flipH="1" flipV="1">
          <a:off x="2913960" y="67437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1399</xdr:row>
      <xdr:rowOff>11907</xdr:rowOff>
    </xdr:from>
    <xdr:to>
      <xdr:col>3</xdr:col>
      <xdr:colOff>130969</xdr:colOff>
      <xdr:row>1400</xdr:row>
      <xdr:rowOff>154782</xdr:rowOff>
    </xdr:to>
    <xdr:cxnSp macro="">
      <xdr:nvCxnSpPr>
        <xdr:cNvPr id="1034" name="Straight Arrow Connector 1033"/>
        <xdr:cNvCxnSpPr/>
      </xdr:nvCxnSpPr>
      <xdr:spPr>
        <a:xfrm>
          <a:off x="2921234" y="67829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1406</xdr:row>
      <xdr:rowOff>89297</xdr:rowOff>
    </xdr:from>
    <xdr:to>
      <xdr:col>3</xdr:col>
      <xdr:colOff>178594</xdr:colOff>
      <xdr:row>1407</xdr:row>
      <xdr:rowOff>59531</xdr:rowOff>
    </xdr:to>
    <xdr:cxnSp macro="">
      <xdr:nvCxnSpPr>
        <xdr:cNvPr id="1035" name="Straight Connector 1034"/>
        <xdr:cNvCxnSpPr/>
      </xdr:nvCxnSpPr>
      <xdr:spPr>
        <a:xfrm>
          <a:off x="2849796" y="6924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1406</xdr:row>
      <xdr:rowOff>35719</xdr:rowOff>
    </xdr:from>
    <xdr:to>
      <xdr:col>3</xdr:col>
      <xdr:colOff>285750</xdr:colOff>
      <xdr:row>1406</xdr:row>
      <xdr:rowOff>154781</xdr:rowOff>
    </xdr:to>
    <xdr:cxnSp macro="">
      <xdr:nvCxnSpPr>
        <xdr:cNvPr id="1036" name="Straight Connector 1035"/>
        <xdr:cNvCxnSpPr/>
      </xdr:nvCxnSpPr>
      <xdr:spPr>
        <a:xfrm>
          <a:off x="2885515" y="6918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1406</xdr:row>
      <xdr:rowOff>44824</xdr:rowOff>
    </xdr:from>
    <xdr:to>
      <xdr:col>3</xdr:col>
      <xdr:colOff>67235</xdr:colOff>
      <xdr:row>1408</xdr:row>
      <xdr:rowOff>156883</xdr:rowOff>
    </xdr:to>
    <xdr:cxnSp macro="">
      <xdr:nvCxnSpPr>
        <xdr:cNvPr id="1037" name="Straight Connector 1036"/>
        <xdr:cNvCxnSpPr/>
      </xdr:nvCxnSpPr>
      <xdr:spPr>
        <a:xfrm>
          <a:off x="2857500" y="6919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1408</xdr:row>
      <xdr:rowOff>166690</xdr:rowOff>
    </xdr:from>
    <xdr:to>
      <xdr:col>4</xdr:col>
      <xdr:colOff>29308</xdr:colOff>
      <xdr:row>1408</xdr:row>
      <xdr:rowOff>168519</xdr:rowOff>
    </xdr:to>
    <xdr:cxnSp macro="">
      <xdr:nvCxnSpPr>
        <xdr:cNvPr id="1038" name="Straight Connector 1037"/>
        <xdr:cNvCxnSpPr/>
      </xdr:nvCxnSpPr>
      <xdr:spPr>
        <a:xfrm>
          <a:off x="2849796" y="69699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1406</xdr:row>
      <xdr:rowOff>41673</xdr:rowOff>
    </xdr:from>
    <xdr:to>
      <xdr:col>4</xdr:col>
      <xdr:colOff>12211</xdr:colOff>
      <xdr:row>1409</xdr:row>
      <xdr:rowOff>0</xdr:rowOff>
    </xdr:to>
    <xdr:cxnSp macro="">
      <xdr:nvCxnSpPr>
        <xdr:cNvPr id="1039" name="Straight Connector 1038"/>
        <xdr:cNvCxnSpPr/>
      </xdr:nvCxnSpPr>
      <xdr:spPr>
        <a:xfrm flipH="1" flipV="1">
          <a:off x="3507441" y="6919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1406</xdr:row>
      <xdr:rowOff>32918</xdr:rowOff>
    </xdr:from>
    <xdr:to>
      <xdr:col>4</xdr:col>
      <xdr:colOff>17861</xdr:colOff>
      <xdr:row>1406</xdr:row>
      <xdr:rowOff>35719</xdr:rowOff>
    </xdr:to>
    <xdr:cxnSp macro="">
      <xdr:nvCxnSpPr>
        <xdr:cNvPr id="1040" name="Straight Connector 1039"/>
        <xdr:cNvCxnSpPr/>
      </xdr:nvCxnSpPr>
      <xdr:spPr>
        <a:xfrm flipH="1">
          <a:off x="2849796" y="69184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1411</xdr:row>
      <xdr:rowOff>89297</xdr:rowOff>
    </xdr:from>
    <xdr:to>
      <xdr:col>3</xdr:col>
      <xdr:colOff>178594</xdr:colOff>
      <xdr:row>1412</xdr:row>
      <xdr:rowOff>59531</xdr:rowOff>
    </xdr:to>
    <xdr:cxnSp macro="">
      <xdr:nvCxnSpPr>
        <xdr:cNvPr id="1041" name="Straight Connector 1040"/>
        <xdr:cNvCxnSpPr/>
      </xdr:nvCxnSpPr>
      <xdr:spPr>
        <a:xfrm>
          <a:off x="2849796" y="7019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1411</xdr:row>
      <xdr:rowOff>35719</xdr:rowOff>
    </xdr:from>
    <xdr:to>
      <xdr:col>3</xdr:col>
      <xdr:colOff>285750</xdr:colOff>
      <xdr:row>1411</xdr:row>
      <xdr:rowOff>154781</xdr:rowOff>
    </xdr:to>
    <xdr:cxnSp macro="">
      <xdr:nvCxnSpPr>
        <xdr:cNvPr id="1042" name="Straight Connector 1041"/>
        <xdr:cNvCxnSpPr/>
      </xdr:nvCxnSpPr>
      <xdr:spPr>
        <a:xfrm>
          <a:off x="2885515" y="7013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1411</xdr:row>
      <xdr:rowOff>44824</xdr:rowOff>
    </xdr:from>
    <xdr:to>
      <xdr:col>3</xdr:col>
      <xdr:colOff>67235</xdr:colOff>
      <xdr:row>1413</xdr:row>
      <xdr:rowOff>156883</xdr:rowOff>
    </xdr:to>
    <xdr:cxnSp macro="">
      <xdr:nvCxnSpPr>
        <xdr:cNvPr id="1043" name="Straight Connector 1042"/>
        <xdr:cNvCxnSpPr/>
      </xdr:nvCxnSpPr>
      <xdr:spPr>
        <a:xfrm>
          <a:off x="2857500" y="7014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1413</xdr:row>
      <xdr:rowOff>166690</xdr:rowOff>
    </xdr:from>
    <xdr:to>
      <xdr:col>4</xdr:col>
      <xdr:colOff>29308</xdr:colOff>
      <xdr:row>1413</xdr:row>
      <xdr:rowOff>168519</xdr:rowOff>
    </xdr:to>
    <xdr:cxnSp macro="">
      <xdr:nvCxnSpPr>
        <xdr:cNvPr id="1044" name="Straight Connector 1043"/>
        <xdr:cNvCxnSpPr/>
      </xdr:nvCxnSpPr>
      <xdr:spPr>
        <a:xfrm>
          <a:off x="2849796" y="70651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1411</xdr:row>
      <xdr:rowOff>41673</xdr:rowOff>
    </xdr:from>
    <xdr:to>
      <xdr:col>4</xdr:col>
      <xdr:colOff>12211</xdr:colOff>
      <xdr:row>1414</xdr:row>
      <xdr:rowOff>0</xdr:rowOff>
    </xdr:to>
    <xdr:cxnSp macro="">
      <xdr:nvCxnSpPr>
        <xdr:cNvPr id="1045" name="Straight Connector 1044"/>
        <xdr:cNvCxnSpPr/>
      </xdr:nvCxnSpPr>
      <xdr:spPr>
        <a:xfrm flipH="1" flipV="1">
          <a:off x="3507441" y="7014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1411</xdr:row>
      <xdr:rowOff>32918</xdr:rowOff>
    </xdr:from>
    <xdr:to>
      <xdr:col>4</xdr:col>
      <xdr:colOff>17861</xdr:colOff>
      <xdr:row>1411</xdr:row>
      <xdr:rowOff>35719</xdr:rowOff>
    </xdr:to>
    <xdr:cxnSp macro="">
      <xdr:nvCxnSpPr>
        <xdr:cNvPr id="1046" name="Straight Connector 1045"/>
        <xdr:cNvCxnSpPr/>
      </xdr:nvCxnSpPr>
      <xdr:spPr>
        <a:xfrm flipH="1">
          <a:off x="2849796" y="70136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1396</xdr:row>
      <xdr:rowOff>171450</xdr:rowOff>
    </xdr:from>
    <xdr:to>
      <xdr:col>3</xdr:col>
      <xdr:colOff>504825</xdr:colOff>
      <xdr:row>1401</xdr:row>
      <xdr:rowOff>47625</xdr:rowOff>
    </xdr:to>
    <xdr:pic>
      <xdr:nvPicPr>
        <xdr:cNvPr id="104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67417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1421</xdr:row>
      <xdr:rowOff>35719</xdr:rowOff>
    </xdr:from>
    <xdr:to>
      <xdr:col>3</xdr:col>
      <xdr:colOff>428625</xdr:colOff>
      <xdr:row>1423</xdr:row>
      <xdr:rowOff>178594</xdr:rowOff>
    </xdr:to>
    <xdr:cxnSp macro="">
      <xdr:nvCxnSpPr>
        <xdr:cNvPr id="1048" name="Straight Connector 1047"/>
        <xdr:cNvCxnSpPr/>
      </xdr:nvCxnSpPr>
      <xdr:spPr>
        <a:xfrm>
          <a:off x="3218890" y="72044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1423</xdr:row>
      <xdr:rowOff>95249</xdr:rowOff>
    </xdr:from>
    <xdr:to>
      <xdr:col>3</xdr:col>
      <xdr:colOff>571500</xdr:colOff>
      <xdr:row>1423</xdr:row>
      <xdr:rowOff>154780</xdr:rowOff>
    </xdr:to>
    <xdr:cxnSp macro="">
      <xdr:nvCxnSpPr>
        <xdr:cNvPr id="1049" name="Straight Connector 1048"/>
        <xdr:cNvCxnSpPr/>
      </xdr:nvCxnSpPr>
      <xdr:spPr>
        <a:xfrm flipH="1">
          <a:off x="3218890" y="72485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1421</xdr:row>
      <xdr:rowOff>47625</xdr:rowOff>
    </xdr:from>
    <xdr:to>
      <xdr:col>3</xdr:col>
      <xdr:colOff>595313</xdr:colOff>
      <xdr:row>1421</xdr:row>
      <xdr:rowOff>119062</xdr:rowOff>
    </xdr:to>
    <xdr:cxnSp macro="">
      <xdr:nvCxnSpPr>
        <xdr:cNvPr id="1050" name="Straight Connector 1049"/>
        <xdr:cNvCxnSpPr/>
      </xdr:nvCxnSpPr>
      <xdr:spPr>
        <a:xfrm>
          <a:off x="3218890" y="72056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1416</xdr:row>
      <xdr:rowOff>89297</xdr:rowOff>
    </xdr:from>
    <xdr:to>
      <xdr:col>3</xdr:col>
      <xdr:colOff>178594</xdr:colOff>
      <xdr:row>1417</xdr:row>
      <xdr:rowOff>59531</xdr:rowOff>
    </xdr:to>
    <xdr:cxnSp macro="">
      <xdr:nvCxnSpPr>
        <xdr:cNvPr id="1051" name="Straight Connector 1050"/>
        <xdr:cNvCxnSpPr/>
      </xdr:nvCxnSpPr>
      <xdr:spPr>
        <a:xfrm>
          <a:off x="2849796" y="71145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1416</xdr:row>
      <xdr:rowOff>35719</xdr:rowOff>
    </xdr:from>
    <xdr:to>
      <xdr:col>3</xdr:col>
      <xdr:colOff>285750</xdr:colOff>
      <xdr:row>1416</xdr:row>
      <xdr:rowOff>154781</xdr:rowOff>
    </xdr:to>
    <xdr:cxnSp macro="">
      <xdr:nvCxnSpPr>
        <xdr:cNvPr id="1052" name="Straight Connector 1051"/>
        <xdr:cNvCxnSpPr/>
      </xdr:nvCxnSpPr>
      <xdr:spPr>
        <a:xfrm>
          <a:off x="2885515" y="71092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1416</xdr:row>
      <xdr:rowOff>44824</xdr:rowOff>
    </xdr:from>
    <xdr:to>
      <xdr:col>3</xdr:col>
      <xdr:colOff>67235</xdr:colOff>
      <xdr:row>1418</xdr:row>
      <xdr:rowOff>156883</xdr:rowOff>
    </xdr:to>
    <xdr:cxnSp macro="">
      <xdr:nvCxnSpPr>
        <xdr:cNvPr id="1053" name="Straight Connector 1052"/>
        <xdr:cNvCxnSpPr/>
      </xdr:nvCxnSpPr>
      <xdr:spPr>
        <a:xfrm>
          <a:off x="2857500" y="71101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1418</xdr:row>
      <xdr:rowOff>166690</xdr:rowOff>
    </xdr:from>
    <xdr:to>
      <xdr:col>4</xdr:col>
      <xdr:colOff>29308</xdr:colOff>
      <xdr:row>1418</xdr:row>
      <xdr:rowOff>168519</xdr:rowOff>
    </xdr:to>
    <xdr:cxnSp macro="">
      <xdr:nvCxnSpPr>
        <xdr:cNvPr id="1054" name="Straight Connector 1053"/>
        <xdr:cNvCxnSpPr/>
      </xdr:nvCxnSpPr>
      <xdr:spPr>
        <a:xfrm>
          <a:off x="2849796" y="71604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1416</xdr:row>
      <xdr:rowOff>41673</xdr:rowOff>
    </xdr:from>
    <xdr:to>
      <xdr:col>4</xdr:col>
      <xdr:colOff>12211</xdr:colOff>
      <xdr:row>1419</xdr:row>
      <xdr:rowOff>0</xdr:rowOff>
    </xdr:to>
    <xdr:cxnSp macro="">
      <xdr:nvCxnSpPr>
        <xdr:cNvPr id="1055" name="Straight Connector 1054"/>
        <xdr:cNvCxnSpPr/>
      </xdr:nvCxnSpPr>
      <xdr:spPr>
        <a:xfrm flipH="1" flipV="1">
          <a:off x="3507441" y="71098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1416</xdr:row>
      <xdr:rowOff>32918</xdr:rowOff>
    </xdr:from>
    <xdr:to>
      <xdr:col>4</xdr:col>
      <xdr:colOff>17861</xdr:colOff>
      <xdr:row>1416</xdr:row>
      <xdr:rowOff>35719</xdr:rowOff>
    </xdr:to>
    <xdr:cxnSp macro="">
      <xdr:nvCxnSpPr>
        <xdr:cNvPr id="1056" name="Straight Connector 1055"/>
        <xdr:cNvCxnSpPr/>
      </xdr:nvCxnSpPr>
      <xdr:spPr>
        <a:xfrm flipH="1">
          <a:off x="2849796" y="71089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1424</xdr:row>
      <xdr:rowOff>297027</xdr:rowOff>
    </xdr:from>
    <xdr:to>
      <xdr:col>3</xdr:col>
      <xdr:colOff>392907</xdr:colOff>
      <xdr:row>1428</xdr:row>
      <xdr:rowOff>154781</xdr:rowOff>
    </xdr:to>
    <xdr:cxnSp macro="">
      <xdr:nvCxnSpPr>
        <xdr:cNvPr id="1057" name="Straight Connector 1056"/>
        <xdr:cNvCxnSpPr/>
      </xdr:nvCxnSpPr>
      <xdr:spPr>
        <a:xfrm>
          <a:off x="3175346" y="72772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1424</xdr:row>
      <xdr:rowOff>305147</xdr:rowOff>
    </xdr:from>
    <xdr:to>
      <xdr:col>3</xdr:col>
      <xdr:colOff>130969</xdr:colOff>
      <xdr:row>1426</xdr:row>
      <xdr:rowOff>11906</xdr:rowOff>
    </xdr:to>
    <xdr:cxnSp macro="">
      <xdr:nvCxnSpPr>
        <xdr:cNvPr id="1059" name="Straight Arrow Connector 1058"/>
        <xdr:cNvCxnSpPr/>
      </xdr:nvCxnSpPr>
      <xdr:spPr>
        <a:xfrm flipH="1" flipV="1">
          <a:off x="2913960" y="72771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1427</xdr:row>
      <xdr:rowOff>11907</xdr:rowOff>
    </xdr:from>
    <xdr:to>
      <xdr:col>3</xdr:col>
      <xdr:colOff>130969</xdr:colOff>
      <xdr:row>1428</xdr:row>
      <xdr:rowOff>154782</xdr:rowOff>
    </xdr:to>
    <xdr:cxnSp macro="">
      <xdr:nvCxnSpPr>
        <xdr:cNvPr id="1060" name="Straight Arrow Connector 1059"/>
        <xdr:cNvCxnSpPr/>
      </xdr:nvCxnSpPr>
      <xdr:spPr>
        <a:xfrm>
          <a:off x="2921234" y="73163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1433</xdr:row>
      <xdr:rowOff>89297</xdr:rowOff>
    </xdr:from>
    <xdr:to>
      <xdr:col>3</xdr:col>
      <xdr:colOff>178594</xdr:colOff>
      <xdr:row>1434</xdr:row>
      <xdr:rowOff>59531</xdr:rowOff>
    </xdr:to>
    <xdr:cxnSp macro="">
      <xdr:nvCxnSpPr>
        <xdr:cNvPr id="1061" name="Straight Connector 1060"/>
        <xdr:cNvCxnSpPr/>
      </xdr:nvCxnSpPr>
      <xdr:spPr>
        <a:xfrm>
          <a:off x="2849796" y="743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1433</xdr:row>
      <xdr:rowOff>35719</xdr:rowOff>
    </xdr:from>
    <xdr:to>
      <xdr:col>3</xdr:col>
      <xdr:colOff>285750</xdr:colOff>
      <xdr:row>1433</xdr:row>
      <xdr:rowOff>154781</xdr:rowOff>
    </xdr:to>
    <xdr:cxnSp macro="">
      <xdr:nvCxnSpPr>
        <xdr:cNvPr id="1062" name="Straight Connector 1061"/>
        <xdr:cNvCxnSpPr/>
      </xdr:nvCxnSpPr>
      <xdr:spPr>
        <a:xfrm>
          <a:off x="2885515" y="743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1433</xdr:row>
      <xdr:rowOff>44824</xdr:rowOff>
    </xdr:from>
    <xdr:to>
      <xdr:col>3</xdr:col>
      <xdr:colOff>67235</xdr:colOff>
      <xdr:row>1435</xdr:row>
      <xdr:rowOff>156883</xdr:rowOff>
    </xdr:to>
    <xdr:cxnSp macro="">
      <xdr:nvCxnSpPr>
        <xdr:cNvPr id="1063" name="Straight Connector 1062"/>
        <xdr:cNvCxnSpPr/>
      </xdr:nvCxnSpPr>
      <xdr:spPr>
        <a:xfrm>
          <a:off x="2857500" y="743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1435</xdr:row>
      <xdr:rowOff>166690</xdr:rowOff>
    </xdr:from>
    <xdr:to>
      <xdr:col>4</xdr:col>
      <xdr:colOff>29308</xdr:colOff>
      <xdr:row>1435</xdr:row>
      <xdr:rowOff>168519</xdr:rowOff>
    </xdr:to>
    <xdr:cxnSp macro="">
      <xdr:nvCxnSpPr>
        <xdr:cNvPr id="1064" name="Straight Connector 1063"/>
        <xdr:cNvCxnSpPr/>
      </xdr:nvCxnSpPr>
      <xdr:spPr>
        <a:xfrm>
          <a:off x="2849796" y="74842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1433</xdr:row>
      <xdr:rowOff>41673</xdr:rowOff>
    </xdr:from>
    <xdr:to>
      <xdr:col>4</xdr:col>
      <xdr:colOff>12211</xdr:colOff>
      <xdr:row>1436</xdr:row>
      <xdr:rowOff>0</xdr:rowOff>
    </xdr:to>
    <xdr:cxnSp macro="">
      <xdr:nvCxnSpPr>
        <xdr:cNvPr id="1065" name="Straight Connector 1064"/>
        <xdr:cNvCxnSpPr/>
      </xdr:nvCxnSpPr>
      <xdr:spPr>
        <a:xfrm flipH="1" flipV="1">
          <a:off x="3507441" y="743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1433</xdr:row>
      <xdr:rowOff>32918</xdr:rowOff>
    </xdr:from>
    <xdr:to>
      <xdr:col>4</xdr:col>
      <xdr:colOff>17861</xdr:colOff>
      <xdr:row>1433</xdr:row>
      <xdr:rowOff>35719</xdr:rowOff>
    </xdr:to>
    <xdr:cxnSp macro="">
      <xdr:nvCxnSpPr>
        <xdr:cNvPr id="1066" name="Straight Connector 1065"/>
        <xdr:cNvCxnSpPr/>
      </xdr:nvCxnSpPr>
      <xdr:spPr>
        <a:xfrm flipH="1">
          <a:off x="2849796" y="74327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1438</xdr:row>
      <xdr:rowOff>89297</xdr:rowOff>
    </xdr:from>
    <xdr:to>
      <xdr:col>3</xdr:col>
      <xdr:colOff>178594</xdr:colOff>
      <xdr:row>1439</xdr:row>
      <xdr:rowOff>59531</xdr:rowOff>
    </xdr:to>
    <xdr:cxnSp macro="">
      <xdr:nvCxnSpPr>
        <xdr:cNvPr id="1067" name="Straight Connector 1066"/>
        <xdr:cNvCxnSpPr/>
      </xdr:nvCxnSpPr>
      <xdr:spPr>
        <a:xfrm>
          <a:off x="2849796" y="753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1438</xdr:row>
      <xdr:rowOff>35719</xdr:rowOff>
    </xdr:from>
    <xdr:to>
      <xdr:col>3</xdr:col>
      <xdr:colOff>285750</xdr:colOff>
      <xdr:row>1438</xdr:row>
      <xdr:rowOff>154781</xdr:rowOff>
    </xdr:to>
    <xdr:cxnSp macro="">
      <xdr:nvCxnSpPr>
        <xdr:cNvPr id="1068" name="Straight Connector 1067"/>
        <xdr:cNvCxnSpPr/>
      </xdr:nvCxnSpPr>
      <xdr:spPr>
        <a:xfrm>
          <a:off x="2885515" y="752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1438</xdr:row>
      <xdr:rowOff>44824</xdr:rowOff>
    </xdr:from>
    <xdr:to>
      <xdr:col>3</xdr:col>
      <xdr:colOff>67235</xdr:colOff>
      <xdr:row>1440</xdr:row>
      <xdr:rowOff>156883</xdr:rowOff>
    </xdr:to>
    <xdr:cxnSp macro="">
      <xdr:nvCxnSpPr>
        <xdr:cNvPr id="1069" name="Straight Connector 1068"/>
        <xdr:cNvCxnSpPr/>
      </xdr:nvCxnSpPr>
      <xdr:spPr>
        <a:xfrm>
          <a:off x="2857500" y="752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1440</xdr:row>
      <xdr:rowOff>166690</xdr:rowOff>
    </xdr:from>
    <xdr:to>
      <xdr:col>4</xdr:col>
      <xdr:colOff>29308</xdr:colOff>
      <xdr:row>1440</xdr:row>
      <xdr:rowOff>168519</xdr:rowOff>
    </xdr:to>
    <xdr:cxnSp macro="">
      <xdr:nvCxnSpPr>
        <xdr:cNvPr id="1070" name="Straight Connector 1069"/>
        <xdr:cNvCxnSpPr/>
      </xdr:nvCxnSpPr>
      <xdr:spPr>
        <a:xfrm>
          <a:off x="2849796" y="75795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1438</xdr:row>
      <xdr:rowOff>41673</xdr:rowOff>
    </xdr:from>
    <xdr:to>
      <xdr:col>4</xdr:col>
      <xdr:colOff>12211</xdr:colOff>
      <xdr:row>1441</xdr:row>
      <xdr:rowOff>0</xdr:rowOff>
    </xdr:to>
    <xdr:cxnSp macro="">
      <xdr:nvCxnSpPr>
        <xdr:cNvPr id="1071" name="Straight Connector 1070"/>
        <xdr:cNvCxnSpPr/>
      </xdr:nvCxnSpPr>
      <xdr:spPr>
        <a:xfrm flipH="1" flipV="1">
          <a:off x="3507441" y="752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1438</xdr:row>
      <xdr:rowOff>32918</xdr:rowOff>
    </xdr:from>
    <xdr:to>
      <xdr:col>4</xdr:col>
      <xdr:colOff>17861</xdr:colOff>
      <xdr:row>1438</xdr:row>
      <xdr:rowOff>35719</xdr:rowOff>
    </xdr:to>
    <xdr:cxnSp macro="">
      <xdr:nvCxnSpPr>
        <xdr:cNvPr id="1072" name="Straight Connector 1071"/>
        <xdr:cNvCxnSpPr/>
      </xdr:nvCxnSpPr>
      <xdr:spPr>
        <a:xfrm flipH="1">
          <a:off x="2849796" y="75280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1424</xdr:row>
      <xdr:rowOff>171450</xdr:rowOff>
    </xdr:from>
    <xdr:to>
      <xdr:col>3</xdr:col>
      <xdr:colOff>504825</xdr:colOff>
      <xdr:row>1429</xdr:row>
      <xdr:rowOff>47625</xdr:rowOff>
    </xdr:to>
    <xdr:pic>
      <xdr:nvPicPr>
        <xdr:cNvPr id="1073"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2751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1460</xdr:row>
      <xdr:rowOff>297027</xdr:rowOff>
    </xdr:from>
    <xdr:to>
      <xdr:col>3</xdr:col>
      <xdr:colOff>392907</xdr:colOff>
      <xdr:row>1464</xdr:row>
      <xdr:rowOff>154781</xdr:rowOff>
    </xdr:to>
    <xdr:cxnSp macro="">
      <xdr:nvCxnSpPr>
        <xdr:cNvPr id="1074" name="Straight Connector 1073"/>
        <xdr:cNvCxnSpPr/>
      </xdr:nvCxnSpPr>
      <xdr:spPr>
        <a:xfrm>
          <a:off x="3175346" y="7620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1460</xdr:row>
      <xdr:rowOff>305147</xdr:rowOff>
    </xdr:from>
    <xdr:to>
      <xdr:col>3</xdr:col>
      <xdr:colOff>130969</xdr:colOff>
      <xdr:row>1462</xdr:row>
      <xdr:rowOff>11906</xdr:rowOff>
    </xdr:to>
    <xdr:cxnSp macro="">
      <xdr:nvCxnSpPr>
        <xdr:cNvPr id="1076" name="Straight Arrow Connector 1075"/>
        <xdr:cNvCxnSpPr/>
      </xdr:nvCxnSpPr>
      <xdr:spPr>
        <a:xfrm flipH="1" flipV="1">
          <a:off x="2913960" y="7620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1463</xdr:row>
      <xdr:rowOff>11907</xdr:rowOff>
    </xdr:from>
    <xdr:to>
      <xdr:col>3</xdr:col>
      <xdr:colOff>130969</xdr:colOff>
      <xdr:row>1464</xdr:row>
      <xdr:rowOff>154782</xdr:rowOff>
    </xdr:to>
    <xdr:cxnSp macro="">
      <xdr:nvCxnSpPr>
        <xdr:cNvPr id="1077" name="Straight Arrow Connector 1076"/>
        <xdr:cNvCxnSpPr/>
      </xdr:nvCxnSpPr>
      <xdr:spPr>
        <a:xfrm>
          <a:off x="2921234" y="7659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1471</xdr:row>
      <xdr:rowOff>89297</xdr:rowOff>
    </xdr:from>
    <xdr:to>
      <xdr:col>3</xdr:col>
      <xdr:colOff>178594</xdr:colOff>
      <xdr:row>1472</xdr:row>
      <xdr:rowOff>59531</xdr:rowOff>
    </xdr:to>
    <xdr:cxnSp macro="">
      <xdr:nvCxnSpPr>
        <xdr:cNvPr id="1078" name="Straight Connector 1077"/>
        <xdr:cNvCxnSpPr/>
      </xdr:nvCxnSpPr>
      <xdr:spPr>
        <a:xfrm>
          <a:off x="2849796" y="7819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1471</xdr:row>
      <xdr:rowOff>35719</xdr:rowOff>
    </xdr:from>
    <xdr:to>
      <xdr:col>3</xdr:col>
      <xdr:colOff>285750</xdr:colOff>
      <xdr:row>1471</xdr:row>
      <xdr:rowOff>154781</xdr:rowOff>
    </xdr:to>
    <xdr:cxnSp macro="">
      <xdr:nvCxnSpPr>
        <xdr:cNvPr id="1079" name="Straight Connector 1078"/>
        <xdr:cNvCxnSpPr/>
      </xdr:nvCxnSpPr>
      <xdr:spPr>
        <a:xfrm>
          <a:off x="2885515" y="7814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1471</xdr:row>
      <xdr:rowOff>44824</xdr:rowOff>
    </xdr:from>
    <xdr:to>
      <xdr:col>3</xdr:col>
      <xdr:colOff>67235</xdr:colOff>
      <xdr:row>1473</xdr:row>
      <xdr:rowOff>156883</xdr:rowOff>
    </xdr:to>
    <xdr:cxnSp macro="">
      <xdr:nvCxnSpPr>
        <xdr:cNvPr id="1080" name="Straight Connector 1079"/>
        <xdr:cNvCxnSpPr/>
      </xdr:nvCxnSpPr>
      <xdr:spPr>
        <a:xfrm>
          <a:off x="2857500" y="7814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1473</xdr:row>
      <xdr:rowOff>166690</xdr:rowOff>
    </xdr:from>
    <xdr:to>
      <xdr:col>4</xdr:col>
      <xdr:colOff>29308</xdr:colOff>
      <xdr:row>1473</xdr:row>
      <xdr:rowOff>168519</xdr:rowOff>
    </xdr:to>
    <xdr:cxnSp macro="">
      <xdr:nvCxnSpPr>
        <xdr:cNvPr id="1081" name="Straight Connector 1080"/>
        <xdr:cNvCxnSpPr/>
      </xdr:nvCxnSpPr>
      <xdr:spPr>
        <a:xfrm>
          <a:off x="2849796" y="78652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1471</xdr:row>
      <xdr:rowOff>41673</xdr:rowOff>
    </xdr:from>
    <xdr:to>
      <xdr:col>4</xdr:col>
      <xdr:colOff>12211</xdr:colOff>
      <xdr:row>1474</xdr:row>
      <xdr:rowOff>0</xdr:rowOff>
    </xdr:to>
    <xdr:cxnSp macro="">
      <xdr:nvCxnSpPr>
        <xdr:cNvPr id="1082" name="Straight Connector 1081"/>
        <xdr:cNvCxnSpPr/>
      </xdr:nvCxnSpPr>
      <xdr:spPr>
        <a:xfrm flipH="1" flipV="1">
          <a:off x="3507441" y="7814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1471</xdr:row>
      <xdr:rowOff>32918</xdr:rowOff>
    </xdr:from>
    <xdr:to>
      <xdr:col>4</xdr:col>
      <xdr:colOff>17861</xdr:colOff>
      <xdr:row>1471</xdr:row>
      <xdr:rowOff>35719</xdr:rowOff>
    </xdr:to>
    <xdr:cxnSp macro="">
      <xdr:nvCxnSpPr>
        <xdr:cNvPr id="1083" name="Straight Connector 1082"/>
        <xdr:cNvCxnSpPr/>
      </xdr:nvCxnSpPr>
      <xdr:spPr>
        <a:xfrm flipH="1">
          <a:off x="2849796" y="78137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1476</xdr:row>
      <xdr:rowOff>89297</xdr:rowOff>
    </xdr:from>
    <xdr:to>
      <xdr:col>3</xdr:col>
      <xdr:colOff>178594</xdr:colOff>
      <xdr:row>1477</xdr:row>
      <xdr:rowOff>59531</xdr:rowOff>
    </xdr:to>
    <xdr:cxnSp macro="">
      <xdr:nvCxnSpPr>
        <xdr:cNvPr id="1084" name="Straight Connector 1083"/>
        <xdr:cNvCxnSpPr/>
      </xdr:nvCxnSpPr>
      <xdr:spPr>
        <a:xfrm>
          <a:off x="2849796" y="7914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1476</xdr:row>
      <xdr:rowOff>35719</xdr:rowOff>
    </xdr:from>
    <xdr:to>
      <xdr:col>3</xdr:col>
      <xdr:colOff>285750</xdr:colOff>
      <xdr:row>1476</xdr:row>
      <xdr:rowOff>154781</xdr:rowOff>
    </xdr:to>
    <xdr:cxnSp macro="">
      <xdr:nvCxnSpPr>
        <xdr:cNvPr id="1085" name="Straight Connector 1084"/>
        <xdr:cNvCxnSpPr/>
      </xdr:nvCxnSpPr>
      <xdr:spPr>
        <a:xfrm>
          <a:off x="2885515" y="7909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1476</xdr:row>
      <xdr:rowOff>44824</xdr:rowOff>
    </xdr:from>
    <xdr:to>
      <xdr:col>3</xdr:col>
      <xdr:colOff>67235</xdr:colOff>
      <xdr:row>1478</xdr:row>
      <xdr:rowOff>156883</xdr:rowOff>
    </xdr:to>
    <xdr:cxnSp macro="">
      <xdr:nvCxnSpPr>
        <xdr:cNvPr id="1086" name="Straight Connector 1085"/>
        <xdr:cNvCxnSpPr/>
      </xdr:nvCxnSpPr>
      <xdr:spPr>
        <a:xfrm>
          <a:off x="2857500" y="7910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1478</xdr:row>
      <xdr:rowOff>166690</xdr:rowOff>
    </xdr:from>
    <xdr:to>
      <xdr:col>4</xdr:col>
      <xdr:colOff>29308</xdr:colOff>
      <xdr:row>1478</xdr:row>
      <xdr:rowOff>168519</xdr:rowOff>
    </xdr:to>
    <xdr:cxnSp macro="">
      <xdr:nvCxnSpPr>
        <xdr:cNvPr id="1087" name="Straight Connector 1086"/>
        <xdr:cNvCxnSpPr/>
      </xdr:nvCxnSpPr>
      <xdr:spPr>
        <a:xfrm>
          <a:off x="2849796" y="79605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1476</xdr:row>
      <xdr:rowOff>41673</xdr:rowOff>
    </xdr:from>
    <xdr:to>
      <xdr:col>4</xdr:col>
      <xdr:colOff>12211</xdr:colOff>
      <xdr:row>1479</xdr:row>
      <xdr:rowOff>0</xdr:rowOff>
    </xdr:to>
    <xdr:cxnSp macro="">
      <xdr:nvCxnSpPr>
        <xdr:cNvPr id="1088" name="Straight Connector 1087"/>
        <xdr:cNvCxnSpPr/>
      </xdr:nvCxnSpPr>
      <xdr:spPr>
        <a:xfrm flipH="1" flipV="1">
          <a:off x="3507441" y="7909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1476</xdr:row>
      <xdr:rowOff>32918</xdr:rowOff>
    </xdr:from>
    <xdr:to>
      <xdr:col>4</xdr:col>
      <xdr:colOff>17861</xdr:colOff>
      <xdr:row>1476</xdr:row>
      <xdr:rowOff>35719</xdr:rowOff>
    </xdr:to>
    <xdr:cxnSp macro="">
      <xdr:nvCxnSpPr>
        <xdr:cNvPr id="1089" name="Straight Connector 1088"/>
        <xdr:cNvCxnSpPr/>
      </xdr:nvCxnSpPr>
      <xdr:spPr>
        <a:xfrm flipH="1">
          <a:off x="2849796" y="79090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1460</xdr:row>
      <xdr:rowOff>171450</xdr:rowOff>
    </xdr:from>
    <xdr:to>
      <xdr:col>3</xdr:col>
      <xdr:colOff>504825</xdr:colOff>
      <xdr:row>1465</xdr:row>
      <xdr:rowOff>47625</xdr:rowOff>
    </xdr:to>
    <xdr:pic>
      <xdr:nvPicPr>
        <xdr:cNvPr id="109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618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1480</xdr:row>
      <xdr:rowOff>297027</xdr:rowOff>
    </xdr:from>
    <xdr:to>
      <xdr:col>3</xdr:col>
      <xdr:colOff>392907</xdr:colOff>
      <xdr:row>1484</xdr:row>
      <xdr:rowOff>154781</xdr:rowOff>
    </xdr:to>
    <xdr:cxnSp macro="">
      <xdr:nvCxnSpPr>
        <xdr:cNvPr id="1091" name="Straight Connector 1090"/>
        <xdr:cNvCxnSpPr/>
      </xdr:nvCxnSpPr>
      <xdr:spPr>
        <a:xfrm>
          <a:off x="3175346"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1480</xdr:row>
      <xdr:rowOff>305147</xdr:rowOff>
    </xdr:from>
    <xdr:to>
      <xdr:col>3</xdr:col>
      <xdr:colOff>130969</xdr:colOff>
      <xdr:row>1482</xdr:row>
      <xdr:rowOff>11906</xdr:rowOff>
    </xdr:to>
    <xdr:cxnSp macro="">
      <xdr:nvCxnSpPr>
        <xdr:cNvPr id="1093" name="Straight Arrow Connector 1092"/>
        <xdr:cNvCxnSpPr/>
      </xdr:nvCxnSpPr>
      <xdr:spPr>
        <a:xfrm flipH="1" flipV="1">
          <a:off x="2913960"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1483</xdr:row>
      <xdr:rowOff>11907</xdr:rowOff>
    </xdr:from>
    <xdr:to>
      <xdr:col>3</xdr:col>
      <xdr:colOff>130969</xdr:colOff>
      <xdr:row>1484</xdr:row>
      <xdr:rowOff>154782</xdr:rowOff>
    </xdr:to>
    <xdr:cxnSp macro="">
      <xdr:nvCxnSpPr>
        <xdr:cNvPr id="1094" name="Straight Arrow Connector 1093"/>
        <xdr:cNvCxnSpPr/>
      </xdr:nvCxnSpPr>
      <xdr:spPr>
        <a:xfrm>
          <a:off x="2921234"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1480</xdr:row>
      <xdr:rowOff>171450</xdr:rowOff>
    </xdr:from>
    <xdr:to>
      <xdr:col>3</xdr:col>
      <xdr:colOff>504825</xdr:colOff>
      <xdr:row>1485</xdr:row>
      <xdr:rowOff>47625</xdr:rowOff>
    </xdr:to>
    <xdr:pic>
      <xdr:nvPicPr>
        <xdr:cNvPr id="110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1480</xdr:row>
      <xdr:rowOff>297027</xdr:rowOff>
    </xdr:from>
    <xdr:to>
      <xdr:col>3</xdr:col>
      <xdr:colOff>392907</xdr:colOff>
      <xdr:row>1484</xdr:row>
      <xdr:rowOff>154781</xdr:rowOff>
    </xdr:to>
    <xdr:cxnSp macro="">
      <xdr:nvCxnSpPr>
        <xdr:cNvPr id="1135" name="Straight Connector 1134"/>
        <xdr:cNvCxnSpPr/>
      </xdr:nvCxnSpPr>
      <xdr:spPr>
        <a:xfrm>
          <a:off x="3175346"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1480</xdr:row>
      <xdr:rowOff>305147</xdr:rowOff>
    </xdr:from>
    <xdr:to>
      <xdr:col>3</xdr:col>
      <xdr:colOff>130969</xdr:colOff>
      <xdr:row>1482</xdr:row>
      <xdr:rowOff>11906</xdr:rowOff>
    </xdr:to>
    <xdr:cxnSp macro="">
      <xdr:nvCxnSpPr>
        <xdr:cNvPr id="1137" name="Straight Arrow Connector 1136"/>
        <xdr:cNvCxnSpPr/>
      </xdr:nvCxnSpPr>
      <xdr:spPr>
        <a:xfrm flipH="1" flipV="1">
          <a:off x="2913960"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1483</xdr:row>
      <xdr:rowOff>11907</xdr:rowOff>
    </xdr:from>
    <xdr:to>
      <xdr:col>3</xdr:col>
      <xdr:colOff>130969</xdr:colOff>
      <xdr:row>1484</xdr:row>
      <xdr:rowOff>154782</xdr:rowOff>
    </xdr:to>
    <xdr:cxnSp macro="">
      <xdr:nvCxnSpPr>
        <xdr:cNvPr id="1138" name="Straight Arrow Connector 1137"/>
        <xdr:cNvCxnSpPr/>
      </xdr:nvCxnSpPr>
      <xdr:spPr>
        <a:xfrm>
          <a:off x="2921234"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1480</xdr:row>
      <xdr:rowOff>171450</xdr:rowOff>
    </xdr:from>
    <xdr:to>
      <xdr:col>3</xdr:col>
      <xdr:colOff>504825</xdr:colOff>
      <xdr:row>1485</xdr:row>
      <xdr:rowOff>47625</xdr:rowOff>
    </xdr:to>
    <xdr:pic>
      <xdr:nvPicPr>
        <xdr:cNvPr id="1151"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1519</xdr:row>
      <xdr:rowOff>297027</xdr:rowOff>
    </xdr:from>
    <xdr:to>
      <xdr:col>3</xdr:col>
      <xdr:colOff>392907</xdr:colOff>
      <xdr:row>1523</xdr:row>
      <xdr:rowOff>154781</xdr:rowOff>
    </xdr:to>
    <xdr:cxnSp macro="">
      <xdr:nvCxnSpPr>
        <xdr:cNvPr id="1179" name="Straight Connector 1178"/>
        <xdr:cNvCxnSpPr/>
      </xdr:nvCxnSpPr>
      <xdr:spPr>
        <a:xfrm>
          <a:off x="3175346" y="8763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1519</xdr:row>
      <xdr:rowOff>305147</xdr:rowOff>
    </xdr:from>
    <xdr:to>
      <xdr:col>3</xdr:col>
      <xdr:colOff>130969</xdr:colOff>
      <xdr:row>1521</xdr:row>
      <xdr:rowOff>11906</xdr:rowOff>
    </xdr:to>
    <xdr:cxnSp macro="">
      <xdr:nvCxnSpPr>
        <xdr:cNvPr id="1181" name="Straight Arrow Connector 1180"/>
        <xdr:cNvCxnSpPr/>
      </xdr:nvCxnSpPr>
      <xdr:spPr>
        <a:xfrm flipH="1" flipV="1">
          <a:off x="2913960" y="8763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1522</xdr:row>
      <xdr:rowOff>11907</xdr:rowOff>
    </xdr:from>
    <xdr:to>
      <xdr:col>3</xdr:col>
      <xdr:colOff>130969</xdr:colOff>
      <xdr:row>1523</xdr:row>
      <xdr:rowOff>154782</xdr:rowOff>
    </xdr:to>
    <xdr:cxnSp macro="">
      <xdr:nvCxnSpPr>
        <xdr:cNvPr id="1182" name="Straight Arrow Connector 1181"/>
        <xdr:cNvCxnSpPr/>
      </xdr:nvCxnSpPr>
      <xdr:spPr>
        <a:xfrm>
          <a:off x="2921234" y="8802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1527</xdr:row>
      <xdr:rowOff>89297</xdr:rowOff>
    </xdr:from>
    <xdr:to>
      <xdr:col>3</xdr:col>
      <xdr:colOff>178594</xdr:colOff>
      <xdr:row>1528</xdr:row>
      <xdr:rowOff>59531</xdr:rowOff>
    </xdr:to>
    <xdr:cxnSp macro="">
      <xdr:nvCxnSpPr>
        <xdr:cNvPr id="1183" name="Straight Connector 1182"/>
        <xdr:cNvCxnSpPr/>
      </xdr:nvCxnSpPr>
      <xdr:spPr>
        <a:xfrm>
          <a:off x="2849796" y="890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1527</xdr:row>
      <xdr:rowOff>35719</xdr:rowOff>
    </xdr:from>
    <xdr:to>
      <xdr:col>3</xdr:col>
      <xdr:colOff>285750</xdr:colOff>
      <xdr:row>1527</xdr:row>
      <xdr:rowOff>154781</xdr:rowOff>
    </xdr:to>
    <xdr:cxnSp macro="">
      <xdr:nvCxnSpPr>
        <xdr:cNvPr id="1184" name="Straight Connector 1183"/>
        <xdr:cNvCxnSpPr/>
      </xdr:nvCxnSpPr>
      <xdr:spPr>
        <a:xfrm>
          <a:off x="2885515" y="889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1527</xdr:row>
      <xdr:rowOff>44824</xdr:rowOff>
    </xdr:from>
    <xdr:to>
      <xdr:col>3</xdr:col>
      <xdr:colOff>67235</xdr:colOff>
      <xdr:row>1529</xdr:row>
      <xdr:rowOff>156883</xdr:rowOff>
    </xdr:to>
    <xdr:cxnSp macro="">
      <xdr:nvCxnSpPr>
        <xdr:cNvPr id="1185" name="Straight Connector 1184"/>
        <xdr:cNvCxnSpPr/>
      </xdr:nvCxnSpPr>
      <xdr:spPr>
        <a:xfrm>
          <a:off x="2857500" y="890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1529</xdr:row>
      <xdr:rowOff>166690</xdr:rowOff>
    </xdr:from>
    <xdr:to>
      <xdr:col>4</xdr:col>
      <xdr:colOff>29308</xdr:colOff>
      <xdr:row>1529</xdr:row>
      <xdr:rowOff>168519</xdr:rowOff>
    </xdr:to>
    <xdr:cxnSp macro="">
      <xdr:nvCxnSpPr>
        <xdr:cNvPr id="1186" name="Straight Connector 1185"/>
        <xdr:cNvCxnSpPr/>
      </xdr:nvCxnSpPr>
      <xdr:spPr>
        <a:xfrm>
          <a:off x="2849796" y="8951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1527</xdr:row>
      <xdr:rowOff>41673</xdr:rowOff>
    </xdr:from>
    <xdr:to>
      <xdr:col>4</xdr:col>
      <xdr:colOff>12211</xdr:colOff>
      <xdr:row>1530</xdr:row>
      <xdr:rowOff>0</xdr:rowOff>
    </xdr:to>
    <xdr:cxnSp macro="">
      <xdr:nvCxnSpPr>
        <xdr:cNvPr id="1187" name="Straight Connector 1186"/>
        <xdr:cNvCxnSpPr/>
      </xdr:nvCxnSpPr>
      <xdr:spPr>
        <a:xfrm flipH="1" flipV="1">
          <a:off x="3507441" y="890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1527</xdr:row>
      <xdr:rowOff>32918</xdr:rowOff>
    </xdr:from>
    <xdr:to>
      <xdr:col>4</xdr:col>
      <xdr:colOff>17861</xdr:colOff>
      <xdr:row>1527</xdr:row>
      <xdr:rowOff>35719</xdr:rowOff>
    </xdr:to>
    <xdr:cxnSp macro="">
      <xdr:nvCxnSpPr>
        <xdr:cNvPr id="1188" name="Straight Connector 1187"/>
        <xdr:cNvCxnSpPr/>
      </xdr:nvCxnSpPr>
      <xdr:spPr>
        <a:xfrm flipH="1">
          <a:off x="2849796" y="8899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1519</xdr:row>
      <xdr:rowOff>171450</xdr:rowOff>
    </xdr:from>
    <xdr:to>
      <xdr:col>3</xdr:col>
      <xdr:colOff>504825</xdr:colOff>
      <xdr:row>1524</xdr:row>
      <xdr:rowOff>47625</xdr:rowOff>
    </xdr:to>
    <xdr:pic>
      <xdr:nvPicPr>
        <xdr:cNvPr id="1189"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8761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1532</xdr:row>
      <xdr:rowOff>89297</xdr:rowOff>
    </xdr:from>
    <xdr:to>
      <xdr:col>3</xdr:col>
      <xdr:colOff>178594</xdr:colOff>
      <xdr:row>1533</xdr:row>
      <xdr:rowOff>59531</xdr:rowOff>
    </xdr:to>
    <xdr:cxnSp macro="">
      <xdr:nvCxnSpPr>
        <xdr:cNvPr id="1190" name="Straight Connector 1189"/>
        <xdr:cNvCxnSpPr/>
      </xdr:nvCxnSpPr>
      <xdr:spPr>
        <a:xfrm>
          <a:off x="2849796" y="9000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1532</xdr:row>
      <xdr:rowOff>35719</xdr:rowOff>
    </xdr:from>
    <xdr:to>
      <xdr:col>3</xdr:col>
      <xdr:colOff>285750</xdr:colOff>
      <xdr:row>1532</xdr:row>
      <xdr:rowOff>154781</xdr:rowOff>
    </xdr:to>
    <xdr:cxnSp macro="">
      <xdr:nvCxnSpPr>
        <xdr:cNvPr id="1191" name="Straight Connector 1190"/>
        <xdr:cNvCxnSpPr/>
      </xdr:nvCxnSpPr>
      <xdr:spPr>
        <a:xfrm>
          <a:off x="2885515" y="8995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1532</xdr:row>
      <xdr:rowOff>44824</xdr:rowOff>
    </xdr:from>
    <xdr:to>
      <xdr:col>3</xdr:col>
      <xdr:colOff>67235</xdr:colOff>
      <xdr:row>1534</xdr:row>
      <xdr:rowOff>156883</xdr:rowOff>
    </xdr:to>
    <xdr:cxnSp macro="">
      <xdr:nvCxnSpPr>
        <xdr:cNvPr id="1192" name="Straight Connector 1191"/>
        <xdr:cNvCxnSpPr/>
      </xdr:nvCxnSpPr>
      <xdr:spPr>
        <a:xfrm>
          <a:off x="2857500" y="8996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1534</xdr:row>
      <xdr:rowOff>166690</xdr:rowOff>
    </xdr:from>
    <xdr:to>
      <xdr:col>4</xdr:col>
      <xdr:colOff>29308</xdr:colOff>
      <xdr:row>1534</xdr:row>
      <xdr:rowOff>168519</xdr:rowOff>
    </xdr:to>
    <xdr:cxnSp macro="">
      <xdr:nvCxnSpPr>
        <xdr:cNvPr id="1193" name="Straight Connector 1192"/>
        <xdr:cNvCxnSpPr/>
      </xdr:nvCxnSpPr>
      <xdr:spPr>
        <a:xfrm>
          <a:off x="2849796" y="9046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1532</xdr:row>
      <xdr:rowOff>41673</xdr:rowOff>
    </xdr:from>
    <xdr:to>
      <xdr:col>4</xdr:col>
      <xdr:colOff>12211</xdr:colOff>
      <xdr:row>1535</xdr:row>
      <xdr:rowOff>0</xdr:rowOff>
    </xdr:to>
    <xdr:cxnSp macro="">
      <xdr:nvCxnSpPr>
        <xdr:cNvPr id="1194" name="Straight Connector 1193"/>
        <xdr:cNvCxnSpPr/>
      </xdr:nvCxnSpPr>
      <xdr:spPr>
        <a:xfrm flipH="1" flipV="1">
          <a:off x="3507441" y="8995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1532</xdr:row>
      <xdr:rowOff>32918</xdr:rowOff>
    </xdr:from>
    <xdr:to>
      <xdr:col>4</xdr:col>
      <xdr:colOff>17861</xdr:colOff>
      <xdr:row>1532</xdr:row>
      <xdr:rowOff>35719</xdr:rowOff>
    </xdr:to>
    <xdr:cxnSp macro="">
      <xdr:nvCxnSpPr>
        <xdr:cNvPr id="1195" name="Straight Connector 1194"/>
        <xdr:cNvCxnSpPr/>
      </xdr:nvCxnSpPr>
      <xdr:spPr>
        <a:xfrm flipH="1">
          <a:off x="2849796" y="8994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1537</xdr:row>
      <xdr:rowOff>89297</xdr:rowOff>
    </xdr:from>
    <xdr:to>
      <xdr:col>3</xdr:col>
      <xdr:colOff>178594</xdr:colOff>
      <xdr:row>1538</xdr:row>
      <xdr:rowOff>59531</xdr:rowOff>
    </xdr:to>
    <xdr:cxnSp macro="">
      <xdr:nvCxnSpPr>
        <xdr:cNvPr id="1196" name="Straight Connector 1195"/>
        <xdr:cNvCxnSpPr/>
      </xdr:nvCxnSpPr>
      <xdr:spPr>
        <a:xfrm>
          <a:off x="2849796" y="9095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1537</xdr:row>
      <xdr:rowOff>35719</xdr:rowOff>
    </xdr:from>
    <xdr:to>
      <xdr:col>3</xdr:col>
      <xdr:colOff>285750</xdr:colOff>
      <xdr:row>1537</xdr:row>
      <xdr:rowOff>154781</xdr:rowOff>
    </xdr:to>
    <xdr:cxnSp macro="">
      <xdr:nvCxnSpPr>
        <xdr:cNvPr id="1197" name="Straight Connector 1196"/>
        <xdr:cNvCxnSpPr/>
      </xdr:nvCxnSpPr>
      <xdr:spPr>
        <a:xfrm>
          <a:off x="2885515" y="9090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1537</xdr:row>
      <xdr:rowOff>44824</xdr:rowOff>
    </xdr:from>
    <xdr:to>
      <xdr:col>3</xdr:col>
      <xdr:colOff>67235</xdr:colOff>
      <xdr:row>1539</xdr:row>
      <xdr:rowOff>156883</xdr:rowOff>
    </xdr:to>
    <xdr:cxnSp macro="">
      <xdr:nvCxnSpPr>
        <xdr:cNvPr id="1198" name="Straight Connector 1197"/>
        <xdr:cNvCxnSpPr/>
      </xdr:nvCxnSpPr>
      <xdr:spPr>
        <a:xfrm>
          <a:off x="2857500" y="9091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1539</xdr:row>
      <xdr:rowOff>166690</xdr:rowOff>
    </xdr:from>
    <xdr:to>
      <xdr:col>4</xdr:col>
      <xdr:colOff>29308</xdr:colOff>
      <xdr:row>1539</xdr:row>
      <xdr:rowOff>168519</xdr:rowOff>
    </xdr:to>
    <xdr:cxnSp macro="">
      <xdr:nvCxnSpPr>
        <xdr:cNvPr id="1199" name="Straight Connector 1198"/>
        <xdr:cNvCxnSpPr/>
      </xdr:nvCxnSpPr>
      <xdr:spPr>
        <a:xfrm>
          <a:off x="2849796" y="9141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1537</xdr:row>
      <xdr:rowOff>41673</xdr:rowOff>
    </xdr:from>
    <xdr:to>
      <xdr:col>4</xdr:col>
      <xdr:colOff>12211</xdr:colOff>
      <xdr:row>1540</xdr:row>
      <xdr:rowOff>0</xdr:rowOff>
    </xdr:to>
    <xdr:cxnSp macro="">
      <xdr:nvCxnSpPr>
        <xdr:cNvPr id="1200" name="Straight Connector 1199"/>
        <xdr:cNvCxnSpPr/>
      </xdr:nvCxnSpPr>
      <xdr:spPr>
        <a:xfrm flipH="1" flipV="1">
          <a:off x="3507441" y="9091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1537</xdr:row>
      <xdr:rowOff>32918</xdr:rowOff>
    </xdr:from>
    <xdr:to>
      <xdr:col>4</xdr:col>
      <xdr:colOff>17861</xdr:colOff>
      <xdr:row>1537</xdr:row>
      <xdr:rowOff>35719</xdr:rowOff>
    </xdr:to>
    <xdr:cxnSp macro="">
      <xdr:nvCxnSpPr>
        <xdr:cNvPr id="1201" name="Straight Connector 1200"/>
        <xdr:cNvCxnSpPr/>
      </xdr:nvCxnSpPr>
      <xdr:spPr>
        <a:xfrm flipH="1">
          <a:off x="2849796" y="9090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35719</xdr:rowOff>
    </xdr:from>
    <xdr:to>
      <xdr:col>3</xdr:col>
      <xdr:colOff>428625</xdr:colOff>
      <xdr:row>1544</xdr:row>
      <xdr:rowOff>178594</xdr:rowOff>
    </xdr:to>
    <xdr:cxnSp macro="">
      <xdr:nvCxnSpPr>
        <xdr:cNvPr id="1202" name="Straight Connector 1201"/>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1544</xdr:row>
      <xdr:rowOff>95249</xdr:rowOff>
    </xdr:from>
    <xdr:to>
      <xdr:col>3</xdr:col>
      <xdr:colOff>571500</xdr:colOff>
      <xdr:row>1544</xdr:row>
      <xdr:rowOff>154780</xdr:rowOff>
    </xdr:to>
    <xdr:cxnSp macro="">
      <xdr:nvCxnSpPr>
        <xdr:cNvPr id="1203" name="Straight Connector 1202"/>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47625</xdr:rowOff>
    </xdr:from>
    <xdr:to>
      <xdr:col>3</xdr:col>
      <xdr:colOff>595313</xdr:colOff>
      <xdr:row>1542</xdr:row>
      <xdr:rowOff>119062</xdr:rowOff>
    </xdr:to>
    <xdr:cxnSp macro="">
      <xdr:nvCxnSpPr>
        <xdr:cNvPr id="1204" name="Straight Connector 1203"/>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35719</xdr:rowOff>
    </xdr:from>
    <xdr:to>
      <xdr:col>3</xdr:col>
      <xdr:colOff>428625</xdr:colOff>
      <xdr:row>1544</xdr:row>
      <xdr:rowOff>178594</xdr:rowOff>
    </xdr:to>
    <xdr:cxnSp macro="">
      <xdr:nvCxnSpPr>
        <xdr:cNvPr id="1205" name="Straight Connector 1204"/>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1544</xdr:row>
      <xdr:rowOff>95249</xdr:rowOff>
    </xdr:from>
    <xdr:to>
      <xdr:col>3</xdr:col>
      <xdr:colOff>571500</xdr:colOff>
      <xdr:row>1544</xdr:row>
      <xdr:rowOff>154780</xdr:rowOff>
    </xdr:to>
    <xdr:cxnSp macro="">
      <xdr:nvCxnSpPr>
        <xdr:cNvPr id="1206" name="Straight Connector 1205"/>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47625</xdr:rowOff>
    </xdr:from>
    <xdr:to>
      <xdr:col>3</xdr:col>
      <xdr:colOff>595313</xdr:colOff>
      <xdr:row>1542</xdr:row>
      <xdr:rowOff>119062</xdr:rowOff>
    </xdr:to>
    <xdr:cxnSp macro="">
      <xdr:nvCxnSpPr>
        <xdr:cNvPr id="1207" name="Straight Connector 1206"/>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1549</xdr:row>
      <xdr:rowOff>297027</xdr:rowOff>
    </xdr:from>
    <xdr:to>
      <xdr:col>3</xdr:col>
      <xdr:colOff>392907</xdr:colOff>
      <xdr:row>1553</xdr:row>
      <xdr:rowOff>154781</xdr:rowOff>
    </xdr:to>
    <xdr:cxnSp macro="">
      <xdr:nvCxnSpPr>
        <xdr:cNvPr id="1208" name="Straight Connector 1207"/>
        <xdr:cNvCxnSpPr/>
      </xdr:nvCxnSpPr>
      <xdr:spPr>
        <a:xfrm>
          <a:off x="3175346" y="92584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1549</xdr:row>
      <xdr:rowOff>305147</xdr:rowOff>
    </xdr:from>
    <xdr:to>
      <xdr:col>3</xdr:col>
      <xdr:colOff>130969</xdr:colOff>
      <xdr:row>1551</xdr:row>
      <xdr:rowOff>11906</xdr:rowOff>
    </xdr:to>
    <xdr:cxnSp macro="">
      <xdr:nvCxnSpPr>
        <xdr:cNvPr id="1210" name="Straight Arrow Connector 1209"/>
        <xdr:cNvCxnSpPr/>
      </xdr:nvCxnSpPr>
      <xdr:spPr>
        <a:xfrm flipH="1" flipV="1">
          <a:off x="2913960" y="92583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1552</xdr:row>
      <xdr:rowOff>11907</xdr:rowOff>
    </xdr:from>
    <xdr:to>
      <xdr:col>3</xdr:col>
      <xdr:colOff>130969</xdr:colOff>
      <xdr:row>1553</xdr:row>
      <xdr:rowOff>154782</xdr:rowOff>
    </xdr:to>
    <xdr:cxnSp macro="">
      <xdr:nvCxnSpPr>
        <xdr:cNvPr id="1211" name="Straight Arrow Connector 1210"/>
        <xdr:cNvCxnSpPr/>
      </xdr:nvCxnSpPr>
      <xdr:spPr>
        <a:xfrm>
          <a:off x="2921234" y="9297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1549</xdr:row>
      <xdr:rowOff>171450</xdr:rowOff>
    </xdr:from>
    <xdr:to>
      <xdr:col>3</xdr:col>
      <xdr:colOff>504825</xdr:colOff>
      <xdr:row>1554</xdr:row>
      <xdr:rowOff>47625</xdr:rowOff>
    </xdr:to>
    <xdr:pic>
      <xdr:nvPicPr>
        <xdr:cNvPr id="1218"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92563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1615</xdr:row>
      <xdr:rowOff>297027</xdr:rowOff>
    </xdr:from>
    <xdr:to>
      <xdr:col>3</xdr:col>
      <xdr:colOff>392907</xdr:colOff>
      <xdr:row>1619</xdr:row>
      <xdr:rowOff>154781</xdr:rowOff>
    </xdr:to>
    <xdr:cxnSp macro="">
      <xdr:nvCxnSpPr>
        <xdr:cNvPr id="1237" name="Straight Connector 1236"/>
        <xdr:cNvCxnSpPr/>
      </xdr:nvCxnSpPr>
      <xdr:spPr>
        <a:xfrm>
          <a:off x="3175346" y="10534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1615</xdr:row>
      <xdr:rowOff>305147</xdr:rowOff>
    </xdr:from>
    <xdr:to>
      <xdr:col>3</xdr:col>
      <xdr:colOff>130969</xdr:colOff>
      <xdr:row>1617</xdr:row>
      <xdr:rowOff>11906</xdr:rowOff>
    </xdr:to>
    <xdr:cxnSp macro="">
      <xdr:nvCxnSpPr>
        <xdr:cNvPr id="1239" name="Straight Arrow Connector 1238"/>
        <xdr:cNvCxnSpPr/>
      </xdr:nvCxnSpPr>
      <xdr:spPr>
        <a:xfrm flipH="1" flipV="1">
          <a:off x="2913960" y="10534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1618</xdr:row>
      <xdr:rowOff>11907</xdr:rowOff>
    </xdr:from>
    <xdr:to>
      <xdr:col>3</xdr:col>
      <xdr:colOff>130969</xdr:colOff>
      <xdr:row>1619</xdr:row>
      <xdr:rowOff>154782</xdr:rowOff>
    </xdr:to>
    <xdr:cxnSp macro="">
      <xdr:nvCxnSpPr>
        <xdr:cNvPr id="1240" name="Straight Arrow Connector 1239"/>
        <xdr:cNvCxnSpPr/>
      </xdr:nvCxnSpPr>
      <xdr:spPr>
        <a:xfrm>
          <a:off x="2921234" y="10573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1615</xdr:row>
      <xdr:rowOff>171450</xdr:rowOff>
    </xdr:from>
    <xdr:to>
      <xdr:col>3</xdr:col>
      <xdr:colOff>504825</xdr:colOff>
      <xdr:row>1620</xdr:row>
      <xdr:rowOff>47625</xdr:rowOff>
    </xdr:to>
    <xdr:pic>
      <xdr:nvPicPr>
        <xdr:cNvPr id="124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10532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1577</xdr:row>
      <xdr:rowOff>297027</xdr:rowOff>
    </xdr:from>
    <xdr:to>
      <xdr:col>3</xdr:col>
      <xdr:colOff>392907</xdr:colOff>
      <xdr:row>1581</xdr:row>
      <xdr:rowOff>154781</xdr:rowOff>
    </xdr:to>
    <xdr:cxnSp macro="">
      <xdr:nvCxnSpPr>
        <xdr:cNvPr id="1266" name="Straight Connector 1265"/>
        <xdr:cNvCxnSpPr/>
      </xdr:nvCxnSpPr>
      <xdr:spPr>
        <a:xfrm>
          <a:off x="3175346" y="9772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1577</xdr:row>
      <xdr:rowOff>305147</xdr:rowOff>
    </xdr:from>
    <xdr:to>
      <xdr:col>3</xdr:col>
      <xdr:colOff>130969</xdr:colOff>
      <xdr:row>1579</xdr:row>
      <xdr:rowOff>11906</xdr:rowOff>
    </xdr:to>
    <xdr:cxnSp macro="">
      <xdr:nvCxnSpPr>
        <xdr:cNvPr id="1268" name="Straight Arrow Connector 1267"/>
        <xdr:cNvCxnSpPr/>
      </xdr:nvCxnSpPr>
      <xdr:spPr>
        <a:xfrm flipH="1" flipV="1">
          <a:off x="2913960" y="9772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1580</xdr:row>
      <xdr:rowOff>11907</xdr:rowOff>
    </xdr:from>
    <xdr:to>
      <xdr:col>3</xdr:col>
      <xdr:colOff>130969</xdr:colOff>
      <xdr:row>1581</xdr:row>
      <xdr:rowOff>154782</xdr:rowOff>
    </xdr:to>
    <xdr:cxnSp macro="">
      <xdr:nvCxnSpPr>
        <xdr:cNvPr id="1269" name="Straight Arrow Connector 1268"/>
        <xdr:cNvCxnSpPr/>
      </xdr:nvCxnSpPr>
      <xdr:spPr>
        <a:xfrm>
          <a:off x="2921234" y="9811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1577</xdr:row>
      <xdr:rowOff>171450</xdr:rowOff>
    </xdr:from>
    <xdr:to>
      <xdr:col>3</xdr:col>
      <xdr:colOff>504825</xdr:colOff>
      <xdr:row>1582</xdr:row>
      <xdr:rowOff>47625</xdr:rowOff>
    </xdr:to>
    <xdr:pic>
      <xdr:nvPicPr>
        <xdr:cNvPr id="1282"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9770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1641</xdr:row>
      <xdr:rowOff>297027</xdr:rowOff>
    </xdr:from>
    <xdr:to>
      <xdr:col>3</xdr:col>
      <xdr:colOff>392907</xdr:colOff>
      <xdr:row>1645</xdr:row>
      <xdr:rowOff>154781</xdr:rowOff>
    </xdr:to>
    <xdr:cxnSp macro="">
      <xdr:nvCxnSpPr>
        <xdr:cNvPr id="1310" name="Straight Connector 1309"/>
        <xdr:cNvCxnSpPr/>
      </xdr:nvCxnSpPr>
      <xdr:spPr>
        <a:xfrm>
          <a:off x="3175346" y="11011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1641</xdr:row>
      <xdr:rowOff>305147</xdr:rowOff>
    </xdr:from>
    <xdr:to>
      <xdr:col>3</xdr:col>
      <xdr:colOff>130969</xdr:colOff>
      <xdr:row>1643</xdr:row>
      <xdr:rowOff>11906</xdr:rowOff>
    </xdr:to>
    <xdr:cxnSp macro="">
      <xdr:nvCxnSpPr>
        <xdr:cNvPr id="1311" name="Straight Arrow Connector 1310"/>
        <xdr:cNvCxnSpPr/>
      </xdr:nvCxnSpPr>
      <xdr:spPr>
        <a:xfrm flipH="1" flipV="1">
          <a:off x="2913960" y="1101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1644</xdr:row>
      <xdr:rowOff>11907</xdr:rowOff>
    </xdr:from>
    <xdr:to>
      <xdr:col>3</xdr:col>
      <xdr:colOff>130969</xdr:colOff>
      <xdr:row>1645</xdr:row>
      <xdr:rowOff>154782</xdr:rowOff>
    </xdr:to>
    <xdr:cxnSp macro="">
      <xdr:nvCxnSpPr>
        <xdr:cNvPr id="1312" name="Straight Arrow Connector 1311"/>
        <xdr:cNvCxnSpPr/>
      </xdr:nvCxnSpPr>
      <xdr:spPr>
        <a:xfrm>
          <a:off x="2921234" y="11050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342900</xdr:colOff>
      <xdr:row>1641</xdr:row>
      <xdr:rowOff>171450</xdr:rowOff>
    </xdr:from>
    <xdr:ext cx="161925" cy="817469"/>
    <xdr:pic>
      <xdr:nvPicPr>
        <xdr:cNvPr id="1313"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110089950"/>
          <a:ext cx="161925" cy="8174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385081</xdr:colOff>
      <xdr:row>1652</xdr:row>
      <xdr:rowOff>297027</xdr:rowOff>
    </xdr:from>
    <xdr:to>
      <xdr:col>3</xdr:col>
      <xdr:colOff>392907</xdr:colOff>
      <xdr:row>1656</xdr:row>
      <xdr:rowOff>154781</xdr:rowOff>
    </xdr:to>
    <xdr:cxnSp macro="">
      <xdr:nvCxnSpPr>
        <xdr:cNvPr id="1315" name="Straight Connector 1314"/>
        <xdr:cNvCxnSpPr/>
      </xdr:nvCxnSpPr>
      <xdr:spPr>
        <a:xfrm>
          <a:off x="3175346" y="111063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1652</xdr:row>
      <xdr:rowOff>305147</xdr:rowOff>
    </xdr:from>
    <xdr:to>
      <xdr:col>3</xdr:col>
      <xdr:colOff>130969</xdr:colOff>
      <xdr:row>1654</xdr:row>
      <xdr:rowOff>11906</xdr:rowOff>
    </xdr:to>
    <xdr:cxnSp macro="">
      <xdr:nvCxnSpPr>
        <xdr:cNvPr id="1317" name="Straight Arrow Connector 1316"/>
        <xdr:cNvCxnSpPr/>
      </xdr:nvCxnSpPr>
      <xdr:spPr>
        <a:xfrm flipH="1" flipV="1">
          <a:off x="2913960" y="111061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1655</xdr:row>
      <xdr:rowOff>11907</xdr:rowOff>
    </xdr:from>
    <xdr:to>
      <xdr:col>3</xdr:col>
      <xdr:colOff>130969</xdr:colOff>
      <xdr:row>1656</xdr:row>
      <xdr:rowOff>154782</xdr:rowOff>
    </xdr:to>
    <xdr:cxnSp macro="">
      <xdr:nvCxnSpPr>
        <xdr:cNvPr id="1318" name="Straight Arrow Connector 1317"/>
        <xdr:cNvCxnSpPr/>
      </xdr:nvCxnSpPr>
      <xdr:spPr>
        <a:xfrm>
          <a:off x="2921234" y="111454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1652</xdr:row>
      <xdr:rowOff>171450</xdr:rowOff>
    </xdr:from>
    <xdr:to>
      <xdr:col>3</xdr:col>
      <xdr:colOff>504825</xdr:colOff>
      <xdr:row>1657</xdr:row>
      <xdr:rowOff>47625</xdr:rowOff>
    </xdr:to>
    <xdr:pic>
      <xdr:nvPicPr>
        <xdr:cNvPr id="132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111042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645</xdr:row>
      <xdr:rowOff>89297</xdr:rowOff>
    </xdr:from>
    <xdr:to>
      <xdr:col>3</xdr:col>
      <xdr:colOff>178594</xdr:colOff>
      <xdr:row>646</xdr:row>
      <xdr:rowOff>59531</xdr:rowOff>
    </xdr:to>
    <xdr:cxnSp macro="">
      <xdr:nvCxnSpPr>
        <xdr:cNvPr id="1344" name="Straight Connector 1343"/>
        <xdr:cNvCxnSpPr/>
      </xdr:nvCxnSpPr>
      <xdr:spPr>
        <a:xfrm>
          <a:off x="2849796" y="119678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645</xdr:row>
      <xdr:rowOff>35719</xdr:rowOff>
    </xdr:from>
    <xdr:to>
      <xdr:col>3</xdr:col>
      <xdr:colOff>285750</xdr:colOff>
      <xdr:row>645</xdr:row>
      <xdr:rowOff>154781</xdr:rowOff>
    </xdr:to>
    <xdr:cxnSp macro="">
      <xdr:nvCxnSpPr>
        <xdr:cNvPr id="1345" name="Straight Connector 1344"/>
        <xdr:cNvCxnSpPr/>
      </xdr:nvCxnSpPr>
      <xdr:spPr>
        <a:xfrm>
          <a:off x="2885515" y="119624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654</xdr:row>
      <xdr:rowOff>124558</xdr:rowOff>
    </xdr:from>
    <xdr:to>
      <xdr:col>3</xdr:col>
      <xdr:colOff>381000</xdr:colOff>
      <xdr:row>657</xdr:row>
      <xdr:rowOff>124558</xdr:rowOff>
    </xdr:to>
    <xdr:cxnSp macro="">
      <xdr:nvCxnSpPr>
        <xdr:cNvPr id="1346" name="Straight Connector 1345"/>
        <xdr:cNvCxnSpPr/>
      </xdr:nvCxnSpPr>
      <xdr:spPr>
        <a:xfrm flipH="1">
          <a:off x="2720149" y="121428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654</xdr:row>
      <xdr:rowOff>139212</xdr:rowOff>
    </xdr:from>
    <xdr:to>
      <xdr:col>4</xdr:col>
      <xdr:colOff>116773</xdr:colOff>
      <xdr:row>657</xdr:row>
      <xdr:rowOff>117231</xdr:rowOff>
    </xdr:to>
    <xdr:cxnSp macro="">
      <xdr:nvCxnSpPr>
        <xdr:cNvPr id="1347" name="Straight Connector 1346"/>
        <xdr:cNvCxnSpPr/>
      </xdr:nvCxnSpPr>
      <xdr:spPr>
        <a:xfrm>
          <a:off x="3171265" y="121442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657</xdr:row>
      <xdr:rowOff>118956</xdr:rowOff>
    </xdr:from>
    <xdr:to>
      <xdr:col>4</xdr:col>
      <xdr:colOff>134902</xdr:colOff>
      <xdr:row>657</xdr:row>
      <xdr:rowOff>118956</xdr:rowOff>
    </xdr:to>
    <xdr:cxnSp macro="">
      <xdr:nvCxnSpPr>
        <xdr:cNvPr id="1348" name="Straight Connector 1347"/>
        <xdr:cNvCxnSpPr/>
      </xdr:nvCxnSpPr>
      <xdr:spPr>
        <a:xfrm>
          <a:off x="2713118" y="121994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655</xdr:row>
      <xdr:rowOff>36635</xdr:rowOff>
    </xdr:from>
    <xdr:to>
      <xdr:col>3</xdr:col>
      <xdr:colOff>300404</xdr:colOff>
      <xdr:row>656</xdr:row>
      <xdr:rowOff>45337</xdr:rowOff>
    </xdr:to>
    <xdr:cxnSp macro="">
      <xdr:nvCxnSpPr>
        <xdr:cNvPr id="1349" name="Straight Connector 1348"/>
        <xdr:cNvCxnSpPr/>
      </xdr:nvCxnSpPr>
      <xdr:spPr>
        <a:xfrm flipH="1">
          <a:off x="3085174" y="121530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655</xdr:row>
      <xdr:rowOff>25749</xdr:rowOff>
    </xdr:from>
    <xdr:to>
      <xdr:col>3</xdr:col>
      <xdr:colOff>472128</xdr:colOff>
      <xdr:row>656</xdr:row>
      <xdr:rowOff>36635</xdr:rowOff>
    </xdr:to>
    <xdr:cxnSp macro="">
      <xdr:nvCxnSpPr>
        <xdr:cNvPr id="1350" name="Straight Connector 1349"/>
        <xdr:cNvCxnSpPr/>
      </xdr:nvCxnSpPr>
      <xdr:spPr>
        <a:xfrm>
          <a:off x="3244534" y="121519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645</xdr:row>
      <xdr:rowOff>44824</xdr:rowOff>
    </xdr:from>
    <xdr:to>
      <xdr:col>3</xdr:col>
      <xdr:colOff>67235</xdr:colOff>
      <xdr:row>647</xdr:row>
      <xdr:rowOff>156883</xdr:rowOff>
    </xdr:to>
    <xdr:cxnSp macro="">
      <xdr:nvCxnSpPr>
        <xdr:cNvPr id="1351" name="Straight Connector 1350"/>
        <xdr:cNvCxnSpPr/>
      </xdr:nvCxnSpPr>
      <xdr:spPr>
        <a:xfrm>
          <a:off x="2857500" y="119634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647</xdr:row>
      <xdr:rowOff>166690</xdr:rowOff>
    </xdr:from>
    <xdr:to>
      <xdr:col>3</xdr:col>
      <xdr:colOff>712867</xdr:colOff>
      <xdr:row>647</xdr:row>
      <xdr:rowOff>168519</xdr:rowOff>
    </xdr:to>
    <xdr:cxnSp macro="">
      <xdr:nvCxnSpPr>
        <xdr:cNvPr id="1352" name="Straight Connector 1351"/>
        <xdr:cNvCxnSpPr/>
      </xdr:nvCxnSpPr>
      <xdr:spPr>
        <a:xfrm>
          <a:off x="2816179" y="120136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645</xdr:row>
      <xdr:rowOff>41673</xdr:rowOff>
    </xdr:from>
    <xdr:to>
      <xdr:col>4</xdr:col>
      <xdr:colOff>12211</xdr:colOff>
      <xdr:row>648</xdr:row>
      <xdr:rowOff>0</xdr:rowOff>
    </xdr:to>
    <xdr:cxnSp macro="">
      <xdr:nvCxnSpPr>
        <xdr:cNvPr id="1353" name="Straight Connector 1352"/>
        <xdr:cNvCxnSpPr/>
      </xdr:nvCxnSpPr>
      <xdr:spPr>
        <a:xfrm flipH="1" flipV="1">
          <a:off x="3507441" y="119630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645</xdr:row>
      <xdr:rowOff>32918</xdr:rowOff>
    </xdr:from>
    <xdr:to>
      <xdr:col>4</xdr:col>
      <xdr:colOff>17861</xdr:colOff>
      <xdr:row>645</xdr:row>
      <xdr:rowOff>35719</xdr:rowOff>
    </xdr:to>
    <xdr:cxnSp macro="">
      <xdr:nvCxnSpPr>
        <xdr:cNvPr id="1354" name="Straight Connector 1353"/>
        <xdr:cNvCxnSpPr/>
      </xdr:nvCxnSpPr>
      <xdr:spPr>
        <a:xfrm flipH="1">
          <a:off x="2849796" y="119622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650</xdr:row>
      <xdr:rowOff>89297</xdr:rowOff>
    </xdr:from>
    <xdr:to>
      <xdr:col>3</xdr:col>
      <xdr:colOff>178594</xdr:colOff>
      <xdr:row>651</xdr:row>
      <xdr:rowOff>59531</xdr:rowOff>
    </xdr:to>
    <xdr:cxnSp macro="">
      <xdr:nvCxnSpPr>
        <xdr:cNvPr id="1355" name="Straight Connector 1354"/>
        <xdr:cNvCxnSpPr/>
      </xdr:nvCxnSpPr>
      <xdr:spPr>
        <a:xfrm>
          <a:off x="2849796" y="120630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650</xdr:row>
      <xdr:rowOff>35719</xdr:rowOff>
    </xdr:from>
    <xdr:to>
      <xdr:col>3</xdr:col>
      <xdr:colOff>285750</xdr:colOff>
      <xdr:row>650</xdr:row>
      <xdr:rowOff>154781</xdr:rowOff>
    </xdr:to>
    <xdr:cxnSp macro="">
      <xdr:nvCxnSpPr>
        <xdr:cNvPr id="1356" name="Straight Connector 1355"/>
        <xdr:cNvCxnSpPr/>
      </xdr:nvCxnSpPr>
      <xdr:spPr>
        <a:xfrm>
          <a:off x="2885515" y="120577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650</xdr:row>
      <xdr:rowOff>44824</xdr:rowOff>
    </xdr:from>
    <xdr:to>
      <xdr:col>3</xdr:col>
      <xdr:colOff>67235</xdr:colOff>
      <xdr:row>652</xdr:row>
      <xdr:rowOff>156883</xdr:rowOff>
    </xdr:to>
    <xdr:cxnSp macro="">
      <xdr:nvCxnSpPr>
        <xdr:cNvPr id="1357" name="Straight Connector 1356"/>
        <xdr:cNvCxnSpPr/>
      </xdr:nvCxnSpPr>
      <xdr:spPr>
        <a:xfrm>
          <a:off x="2857500" y="120586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652</xdr:row>
      <xdr:rowOff>166690</xdr:rowOff>
    </xdr:from>
    <xdr:to>
      <xdr:col>4</xdr:col>
      <xdr:colOff>29308</xdr:colOff>
      <xdr:row>652</xdr:row>
      <xdr:rowOff>168519</xdr:rowOff>
    </xdr:to>
    <xdr:cxnSp macro="">
      <xdr:nvCxnSpPr>
        <xdr:cNvPr id="1358" name="Straight Connector 1357"/>
        <xdr:cNvCxnSpPr/>
      </xdr:nvCxnSpPr>
      <xdr:spPr>
        <a:xfrm>
          <a:off x="2849796" y="121089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650</xdr:row>
      <xdr:rowOff>41673</xdr:rowOff>
    </xdr:from>
    <xdr:to>
      <xdr:col>4</xdr:col>
      <xdr:colOff>12211</xdr:colOff>
      <xdr:row>653</xdr:row>
      <xdr:rowOff>0</xdr:rowOff>
    </xdr:to>
    <xdr:cxnSp macro="">
      <xdr:nvCxnSpPr>
        <xdr:cNvPr id="1359" name="Straight Connector 1358"/>
        <xdr:cNvCxnSpPr/>
      </xdr:nvCxnSpPr>
      <xdr:spPr>
        <a:xfrm flipH="1" flipV="1">
          <a:off x="3507441" y="120583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650</xdr:row>
      <xdr:rowOff>32918</xdr:rowOff>
    </xdr:from>
    <xdr:to>
      <xdr:col>4</xdr:col>
      <xdr:colOff>17861</xdr:colOff>
      <xdr:row>650</xdr:row>
      <xdr:rowOff>35719</xdr:rowOff>
    </xdr:to>
    <xdr:cxnSp macro="">
      <xdr:nvCxnSpPr>
        <xdr:cNvPr id="1360" name="Straight Connector 1359"/>
        <xdr:cNvCxnSpPr/>
      </xdr:nvCxnSpPr>
      <xdr:spPr>
        <a:xfrm flipH="1">
          <a:off x="2849796" y="120574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659</xdr:row>
      <xdr:rowOff>124558</xdr:rowOff>
    </xdr:from>
    <xdr:to>
      <xdr:col>3</xdr:col>
      <xdr:colOff>381000</xdr:colOff>
      <xdr:row>662</xdr:row>
      <xdr:rowOff>124558</xdr:rowOff>
    </xdr:to>
    <xdr:cxnSp macro="">
      <xdr:nvCxnSpPr>
        <xdr:cNvPr id="1361" name="Straight Connector 1360"/>
        <xdr:cNvCxnSpPr/>
      </xdr:nvCxnSpPr>
      <xdr:spPr>
        <a:xfrm flipH="1">
          <a:off x="2720149" y="122380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659</xdr:row>
      <xdr:rowOff>139212</xdr:rowOff>
    </xdr:from>
    <xdr:to>
      <xdr:col>4</xdr:col>
      <xdr:colOff>116773</xdr:colOff>
      <xdr:row>662</xdr:row>
      <xdr:rowOff>117231</xdr:rowOff>
    </xdr:to>
    <xdr:cxnSp macro="">
      <xdr:nvCxnSpPr>
        <xdr:cNvPr id="1362" name="Straight Connector 1361"/>
        <xdr:cNvCxnSpPr/>
      </xdr:nvCxnSpPr>
      <xdr:spPr>
        <a:xfrm>
          <a:off x="3171265" y="122395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662</xdr:row>
      <xdr:rowOff>118956</xdr:rowOff>
    </xdr:from>
    <xdr:to>
      <xdr:col>4</xdr:col>
      <xdr:colOff>134902</xdr:colOff>
      <xdr:row>662</xdr:row>
      <xdr:rowOff>118956</xdr:rowOff>
    </xdr:to>
    <xdr:cxnSp macro="">
      <xdr:nvCxnSpPr>
        <xdr:cNvPr id="1363" name="Straight Connector 1362"/>
        <xdr:cNvCxnSpPr/>
      </xdr:nvCxnSpPr>
      <xdr:spPr>
        <a:xfrm>
          <a:off x="2713118" y="122946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660</xdr:row>
      <xdr:rowOff>36635</xdr:rowOff>
    </xdr:from>
    <xdr:to>
      <xdr:col>3</xdr:col>
      <xdr:colOff>300404</xdr:colOff>
      <xdr:row>661</xdr:row>
      <xdr:rowOff>45337</xdr:rowOff>
    </xdr:to>
    <xdr:cxnSp macro="">
      <xdr:nvCxnSpPr>
        <xdr:cNvPr id="1364" name="Straight Connector 1363"/>
        <xdr:cNvCxnSpPr/>
      </xdr:nvCxnSpPr>
      <xdr:spPr>
        <a:xfrm flipH="1">
          <a:off x="3085174" y="122483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660</xdr:row>
      <xdr:rowOff>25749</xdr:rowOff>
    </xdr:from>
    <xdr:to>
      <xdr:col>3</xdr:col>
      <xdr:colOff>472128</xdr:colOff>
      <xdr:row>661</xdr:row>
      <xdr:rowOff>36635</xdr:rowOff>
    </xdr:to>
    <xdr:cxnSp macro="">
      <xdr:nvCxnSpPr>
        <xdr:cNvPr id="1365" name="Straight Connector 1364"/>
        <xdr:cNvCxnSpPr/>
      </xdr:nvCxnSpPr>
      <xdr:spPr>
        <a:xfrm>
          <a:off x="3244534" y="122472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663</xdr:row>
      <xdr:rowOff>297027</xdr:rowOff>
    </xdr:from>
    <xdr:to>
      <xdr:col>3</xdr:col>
      <xdr:colOff>392907</xdr:colOff>
      <xdr:row>667</xdr:row>
      <xdr:rowOff>154781</xdr:rowOff>
    </xdr:to>
    <xdr:cxnSp macro="">
      <xdr:nvCxnSpPr>
        <xdr:cNvPr id="1366" name="Straight Connector 1365"/>
        <xdr:cNvCxnSpPr/>
      </xdr:nvCxnSpPr>
      <xdr:spPr>
        <a:xfrm>
          <a:off x="3175346" y="118418233"/>
          <a:ext cx="7826" cy="754224"/>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663</xdr:row>
      <xdr:rowOff>305147</xdr:rowOff>
    </xdr:from>
    <xdr:to>
      <xdr:col>3</xdr:col>
      <xdr:colOff>130969</xdr:colOff>
      <xdr:row>665</xdr:row>
      <xdr:rowOff>11906</xdr:rowOff>
    </xdr:to>
    <xdr:cxnSp macro="">
      <xdr:nvCxnSpPr>
        <xdr:cNvPr id="1367" name="Straight Arrow Connector 1366"/>
        <xdr:cNvCxnSpPr/>
      </xdr:nvCxnSpPr>
      <xdr:spPr>
        <a:xfrm flipH="1" flipV="1">
          <a:off x="2913960" y="118426353"/>
          <a:ext cx="7274" cy="22222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666</xdr:row>
      <xdr:rowOff>11907</xdr:rowOff>
    </xdr:from>
    <xdr:to>
      <xdr:col>3</xdr:col>
      <xdr:colOff>130969</xdr:colOff>
      <xdr:row>667</xdr:row>
      <xdr:rowOff>154782</xdr:rowOff>
    </xdr:to>
    <xdr:cxnSp macro="">
      <xdr:nvCxnSpPr>
        <xdr:cNvPr id="1368" name="Straight Arrow Connector 1367"/>
        <xdr:cNvCxnSpPr/>
      </xdr:nvCxnSpPr>
      <xdr:spPr>
        <a:xfrm>
          <a:off x="2921234" y="1188390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670</xdr:row>
      <xdr:rowOff>89297</xdr:rowOff>
    </xdr:from>
    <xdr:to>
      <xdr:col>3</xdr:col>
      <xdr:colOff>178594</xdr:colOff>
      <xdr:row>671</xdr:row>
      <xdr:rowOff>59531</xdr:rowOff>
    </xdr:to>
    <xdr:cxnSp macro="">
      <xdr:nvCxnSpPr>
        <xdr:cNvPr id="1369" name="Straight Connector 1368"/>
        <xdr:cNvCxnSpPr/>
      </xdr:nvCxnSpPr>
      <xdr:spPr>
        <a:xfrm>
          <a:off x="2849796" y="119678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670</xdr:row>
      <xdr:rowOff>35719</xdr:rowOff>
    </xdr:from>
    <xdr:to>
      <xdr:col>3</xdr:col>
      <xdr:colOff>285750</xdr:colOff>
      <xdr:row>670</xdr:row>
      <xdr:rowOff>154781</xdr:rowOff>
    </xdr:to>
    <xdr:cxnSp macro="">
      <xdr:nvCxnSpPr>
        <xdr:cNvPr id="1370" name="Straight Connector 1369"/>
        <xdr:cNvCxnSpPr/>
      </xdr:nvCxnSpPr>
      <xdr:spPr>
        <a:xfrm>
          <a:off x="2885515" y="119624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679</xdr:row>
      <xdr:rowOff>124558</xdr:rowOff>
    </xdr:from>
    <xdr:to>
      <xdr:col>3</xdr:col>
      <xdr:colOff>381000</xdr:colOff>
      <xdr:row>682</xdr:row>
      <xdr:rowOff>124558</xdr:rowOff>
    </xdr:to>
    <xdr:cxnSp macro="">
      <xdr:nvCxnSpPr>
        <xdr:cNvPr id="1371" name="Straight Connector 1370"/>
        <xdr:cNvCxnSpPr/>
      </xdr:nvCxnSpPr>
      <xdr:spPr>
        <a:xfrm flipH="1">
          <a:off x="2720149" y="121428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679</xdr:row>
      <xdr:rowOff>139212</xdr:rowOff>
    </xdr:from>
    <xdr:to>
      <xdr:col>4</xdr:col>
      <xdr:colOff>116773</xdr:colOff>
      <xdr:row>682</xdr:row>
      <xdr:rowOff>117231</xdr:rowOff>
    </xdr:to>
    <xdr:cxnSp macro="">
      <xdr:nvCxnSpPr>
        <xdr:cNvPr id="1372" name="Straight Connector 1371"/>
        <xdr:cNvCxnSpPr/>
      </xdr:nvCxnSpPr>
      <xdr:spPr>
        <a:xfrm>
          <a:off x="3171265" y="121442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682</xdr:row>
      <xdr:rowOff>118956</xdr:rowOff>
    </xdr:from>
    <xdr:to>
      <xdr:col>4</xdr:col>
      <xdr:colOff>134902</xdr:colOff>
      <xdr:row>682</xdr:row>
      <xdr:rowOff>118956</xdr:rowOff>
    </xdr:to>
    <xdr:cxnSp macro="">
      <xdr:nvCxnSpPr>
        <xdr:cNvPr id="1373" name="Straight Connector 1372"/>
        <xdr:cNvCxnSpPr/>
      </xdr:nvCxnSpPr>
      <xdr:spPr>
        <a:xfrm>
          <a:off x="2713118" y="121994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680</xdr:row>
      <xdr:rowOff>36635</xdr:rowOff>
    </xdr:from>
    <xdr:to>
      <xdr:col>3</xdr:col>
      <xdr:colOff>300404</xdr:colOff>
      <xdr:row>681</xdr:row>
      <xdr:rowOff>45337</xdr:rowOff>
    </xdr:to>
    <xdr:cxnSp macro="">
      <xdr:nvCxnSpPr>
        <xdr:cNvPr id="1374" name="Straight Connector 1373"/>
        <xdr:cNvCxnSpPr/>
      </xdr:nvCxnSpPr>
      <xdr:spPr>
        <a:xfrm flipH="1">
          <a:off x="3085174" y="121530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680</xdr:row>
      <xdr:rowOff>25749</xdr:rowOff>
    </xdr:from>
    <xdr:to>
      <xdr:col>3</xdr:col>
      <xdr:colOff>472128</xdr:colOff>
      <xdr:row>681</xdr:row>
      <xdr:rowOff>36635</xdr:rowOff>
    </xdr:to>
    <xdr:cxnSp macro="">
      <xdr:nvCxnSpPr>
        <xdr:cNvPr id="1375" name="Straight Connector 1374"/>
        <xdr:cNvCxnSpPr/>
      </xdr:nvCxnSpPr>
      <xdr:spPr>
        <a:xfrm>
          <a:off x="3244534" y="121519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670</xdr:row>
      <xdr:rowOff>44824</xdr:rowOff>
    </xdr:from>
    <xdr:to>
      <xdr:col>3</xdr:col>
      <xdr:colOff>67235</xdr:colOff>
      <xdr:row>672</xdr:row>
      <xdr:rowOff>156883</xdr:rowOff>
    </xdr:to>
    <xdr:cxnSp macro="">
      <xdr:nvCxnSpPr>
        <xdr:cNvPr id="1376" name="Straight Connector 1375"/>
        <xdr:cNvCxnSpPr/>
      </xdr:nvCxnSpPr>
      <xdr:spPr>
        <a:xfrm>
          <a:off x="2857500" y="119634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672</xdr:row>
      <xdr:rowOff>166690</xdr:rowOff>
    </xdr:from>
    <xdr:to>
      <xdr:col>3</xdr:col>
      <xdr:colOff>712867</xdr:colOff>
      <xdr:row>672</xdr:row>
      <xdr:rowOff>168519</xdr:rowOff>
    </xdr:to>
    <xdr:cxnSp macro="">
      <xdr:nvCxnSpPr>
        <xdr:cNvPr id="1377" name="Straight Connector 1376"/>
        <xdr:cNvCxnSpPr/>
      </xdr:nvCxnSpPr>
      <xdr:spPr>
        <a:xfrm>
          <a:off x="2816179" y="120136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670</xdr:row>
      <xdr:rowOff>41673</xdr:rowOff>
    </xdr:from>
    <xdr:to>
      <xdr:col>4</xdr:col>
      <xdr:colOff>12211</xdr:colOff>
      <xdr:row>673</xdr:row>
      <xdr:rowOff>0</xdr:rowOff>
    </xdr:to>
    <xdr:cxnSp macro="">
      <xdr:nvCxnSpPr>
        <xdr:cNvPr id="1378" name="Straight Connector 1377"/>
        <xdr:cNvCxnSpPr/>
      </xdr:nvCxnSpPr>
      <xdr:spPr>
        <a:xfrm flipH="1" flipV="1">
          <a:off x="3507441" y="119630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670</xdr:row>
      <xdr:rowOff>32918</xdr:rowOff>
    </xdr:from>
    <xdr:to>
      <xdr:col>4</xdr:col>
      <xdr:colOff>17861</xdr:colOff>
      <xdr:row>670</xdr:row>
      <xdr:rowOff>35719</xdr:rowOff>
    </xdr:to>
    <xdr:cxnSp macro="">
      <xdr:nvCxnSpPr>
        <xdr:cNvPr id="1379" name="Straight Connector 1378"/>
        <xdr:cNvCxnSpPr/>
      </xdr:nvCxnSpPr>
      <xdr:spPr>
        <a:xfrm flipH="1">
          <a:off x="2849796" y="119622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675</xdr:row>
      <xdr:rowOff>89297</xdr:rowOff>
    </xdr:from>
    <xdr:to>
      <xdr:col>3</xdr:col>
      <xdr:colOff>178594</xdr:colOff>
      <xdr:row>676</xdr:row>
      <xdr:rowOff>59531</xdr:rowOff>
    </xdr:to>
    <xdr:cxnSp macro="">
      <xdr:nvCxnSpPr>
        <xdr:cNvPr id="1380" name="Straight Connector 1379"/>
        <xdr:cNvCxnSpPr/>
      </xdr:nvCxnSpPr>
      <xdr:spPr>
        <a:xfrm>
          <a:off x="2849796" y="120630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675</xdr:row>
      <xdr:rowOff>35719</xdr:rowOff>
    </xdr:from>
    <xdr:to>
      <xdr:col>3</xdr:col>
      <xdr:colOff>285750</xdr:colOff>
      <xdr:row>675</xdr:row>
      <xdr:rowOff>154781</xdr:rowOff>
    </xdr:to>
    <xdr:cxnSp macro="">
      <xdr:nvCxnSpPr>
        <xdr:cNvPr id="1381" name="Straight Connector 1380"/>
        <xdr:cNvCxnSpPr/>
      </xdr:nvCxnSpPr>
      <xdr:spPr>
        <a:xfrm>
          <a:off x="2885515" y="120577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675</xdr:row>
      <xdr:rowOff>44824</xdr:rowOff>
    </xdr:from>
    <xdr:to>
      <xdr:col>3</xdr:col>
      <xdr:colOff>67235</xdr:colOff>
      <xdr:row>677</xdr:row>
      <xdr:rowOff>156883</xdr:rowOff>
    </xdr:to>
    <xdr:cxnSp macro="">
      <xdr:nvCxnSpPr>
        <xdr:cNvPr id="1382" name="Straight Connector 1381"/>
        <xdr:cNvCxnSpPr/>
      </xdr:nvCxnSpPr>
      <xdr:spPr>
        <a:xfrm>
          <a:off x="2857500" y="120586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677</xdr:row>
      <xdr:rowOff>166690</xdr:rowOff>
    </xdr:from>
    <xdr:to>
      <xdr:col>4</xdr:col>
      <xdr:colOff>29308</xdr:colOff>
      <xdr:row>677</xdr:row>
      <xdr:rowOff>168519</xdr:rowOff>
    </xdr:to>
    <xdr:cxnSp macro="">
      <xdr:nvCxnSpPr>
        <xdr:cNvPr id="1383" name="Straight Connector 1382"/>
        <xdr:cNvCxnSpPr/>
      </xdr:nvCxnSpPr>
      <xdr:spPr>
        <a:xfrm>
          <a:off x="2849796" y="121089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675</xdr:row>
      <xdr:rowOff>41673</xdr:rowOff>
    </xdr:from>
    <xdr:to>
      <xdr:col>4</xdr:col>
      <xdr:colOff>12211</xdr:colOff>
      <xdr:row>678</xdr:row>
      <xdr:rowOff>0</xdr:rowOff>
    </xdr:to>
    <xdr:cxnSp macro="">
      <xdr:nvCxnSpPr>
        <xdr:cNvPr id="1384" name="Straight Connector 1383"/>
        <xdr:cNvCxnSpPr/>
      </xdr:nvCxnSpPr>
      <xdr:spPr>
        <a:xfrm flipH="1" flipV="1">
          <a:off x="3507441" y="120583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675</xdr:row>
      <xdr:rowOff>32918</xdr:rowOff>
    </xdr:from>
    <xdr:to>
      <xdr:col>4</xdr:col>
      <xdr:colOff>17861</xdr:colOff>
      <xdr:row>675</xdr:row>
      <xdr:rowOff>35719</xdr:rowOff>
    </xdr:to>
    <xdr:cxnSp macro="">
      <xdr:nvCxnSpPr>
        <xdr:cNvPr id="1385" name="Straight Connector 1384"/>
        <xdr:cNvCxnSpPr/>
      </xdr:nvCxnSpPr>
      <xdr:spPr>
        <a:xfrm flipH="1">
          <a:off x="2849796" y="120574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684</xdr:row>
      <xdr:rowOff>124558</xdr:rowOff>
    </xdr:from>
    <xdr:to>
      <xdr:col>3</xdr:col>
      <xdr:colOff>381000</xdr:colOff>
      <xdr:row>687</xdr:row>
      <xdr:rowOff>124558</xdr:rowOff>
    </xdr:to>
    <xdr:cxnSp macro="">
      <xdr:nvCxnSpPr>
        <xdr:cNvPr id="1386" name="Straight Connector 1385"/>
        <xdr:cNvCxnSpPr/>
      </xdr:nvCxnSpPr>
      <xdr:spPr>
        <a:xfrm flipH="1">
          <a:off x="2720149" y="122380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684</xdr:row>
      <xdr:rowOff>139212</xdr:rowOff>
    </xdr:from>
    <xdr:to>
      <xdr:col>4</xdr:col>
      <xdr:colOff>116773</xdr:colOff>
      <xdr:row>687</xdr:row>
      <xdr:rowOff>117231</xdr:rowOff>
    </xdr:to>
    <xdr:cxnSp macro="">
      <xdr:nvCxnSpPr>
        <xdr:cNvPr id="1387" name="Straight Connector 1386"/>
        <xdr:cNvCxnSpPr/>
      </xdr:nvCxnSpPr>
      <xdr:spPr>
        <a:xfrm>
          <a:off x="3171265" y="122395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687</xdr:row>
      <xdr:rowOff>118956</xdr:rowOff>
    </xdr:from>
    <xdr:to>
      <xdr:col>4</xdr:col>
      <xdr:colOff>134902</xdr:colOff>
      <xdr:row>687</xdr:row>
      <xdr:rowOff>118956</xdr:rowOff>
    </xdr:to>
    <xdr:cxnSp macro="">
      <xdr:nvCxnSpPr>
        <xdr:cNvPr id="1388" name="Straight Connector 1387"/>
        <xdr:cNvCxnSpPr/>
      </xdr:nvCxnSpPr>
      <xdr:spPr>
        <a:xfrm>
          <a:off x="2713118" y="122946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685</xdr:row>
      <xdr:rowOff>36635</xdr:rowOff>
    </xdr:from>
    <xdr:to>
      <xdr:col>3</xdr:col>
      <xdr:colOff>300404</xdr:colOff>
      <xdr:row>686</xdr:row>
      <xdr:rowOff>45337</xdr:rowOff>
    </xdr:to>
    <xdr:cxnSp macro="">
      <xdr:nvCxnSpPr>
        <xdr:cNvPr id="1389" name="Straight Connector 1388"/>
        <xdr:cNvCxnSpPr/>
      </xdr:nvCxnSpPr>
      <xdr:spPr>
        <a:xfrm flipH="1">
          <a:off x="3085174" y="122483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685</xdr:row>
      <xdr:rowOff>25749</xdr:rowOff>
    </xdr:from>
    <xdr:to>
      <xdr:col>3</xdr:col>
      <xdr:colOff>472128</xdr:colOff>
      <xdr:row>686</xdr:row>
      <xdr:rowOff>36635</xdr:rowOff>
    </xdr:to>
    <xdr:cxnSp macro="">
      <xdr:nvCxnSpPr>
        <xdr:cNvPr id="1390" name="Straight Connector 1389"/>
        <xdr:cNvCxnSpPr/>
      </xdr:nvCxnSpPr>
      <xdr:spPr>
        <a:xfrm>
          <a:off x="3244534" y="122472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663</xdr:row>
      <xdr:rowOff>305147</xdr:rowOff>
    </xdr:from>
    <xdr:to>
      <xdr:col>3</xdr:col>
      <xdr:colOff>130969</xdr:colOff>
      <xdr:row>665</xdr:row>
      <xdr:rowOff>11906</xdr:rowOff>
    </xdr:to>
    <xdr:cxnSp macro="">
      <xdr:nvCxnSpPr>
        <xdr:cNvPr id="1391" name="Straight Arrow Connector 1390"/>
        <xdr:cNvCxnSpPr/>
      </xdr:nvCxnSpPr>
      <xdr:spPr>
        <a:xfrm flipH="1" flipV="1">
          <a:off x="2913960" y="118426353"/>
          <a:ext cx="7274" cy="22222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663</xdr:row>
      <xdr:rowOff>305147</xdr:rowOff>
    </xdr:from>
    <xdr:to>
      <xdr:col>3</xdr:col>
      <xdr:colOff>130969</xdr:colOff>
      <xdr:row>665</xdr:row>
      <xdr:rowOff>11906</xdr:rowOff>
    </xdr:to>
    <xdr:cxnSp macro="">
      <xdr:nvCxnSpPr>
        <xdr:cNvPr id="1392" name="Straight Arrow Connector 1391"/>
        <xdr:cNvCxnSpPr/>
      </xdr:nvCxnSpPr>
      <xdr:spPr>
        <a:xfrm flipH="1" flipV="1">
          <a:off x="2913960" y="118426353"/>
          <a:ext cx="7274" cy="22222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689</xdr:row>
      <xdr:rowOff>89297</xdr:rowOff>
    </xdr:from>
    <xdr:to>
      <xdr:col>3</xdr:col>
      <xdr:colOff>178594</xdr:colOff>
      <xdr:row>690</xdr:row>
      <xdr:rowOff>59531</xdr:rowOff>
    </xdr:to>
    <xdr:cxnSp macro="">
      <xdr:nvCxnSpPr>
        <xdr:cNvPr id="1393" name="Straight Connector 1392"/>
        <xdr:cNvCxnSpPr/>
      </xdr:nvCxnSpPr>
      <xdr:spPr>
        <a:xfrm>
          <a:off x="2849796" y="12329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689</xdr:row>
      <xdr:rowOff>35719</xdr:rowOff>
    </xdr:from>
    <xdr:to>
      <xdr:col>3</xdr:col>
      <xdr:colOff>285750</xdr:colOff>
      <xdr:row>689</xdr:row>
      <xdr:rowOff>154781</xdr:rowOff>
    </xdr:to>
    <xdr:cxnSp macro="">
      <xdr:nvCxnSpPr>
        <xdr:cNvPr id="1394" name="Straight Connector 1393"/>
        <xdr:cNvCxnSpPr/>
      </xdr:nvCxnSpPr>
      <xdr:spPr>
        <a:xfrm>
          <a:off x="2885515" y="12324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698</xdr:row>
      <xdr:rowOff>124558</xdr:rowOff>
    </xdr:from>
    <xdr:to>
      <xdr:col>3</xdr:col>
      <xdr:colOff>381000</xdr:colOff>
      <xdr:row>701</xdr:row>
      <xdr:rowOff>124558</xdr:rowOff>
    </xdr:to>
    <xdr:cxnSp macro="">
      <xdr:nvCxnSpPr>
        <xdr:cNvPr id="1395" name="Straight Connector 1394"/>
        <xdr:cNvCxnSpPr/>
      </xdr:nvCxnSpPr>
      <xdr:spPr>
        <a:xfrm flipH="1">
          <a:off x="2720149" y="12504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698</xdr:row>
      <xdr:rowOff>139212</xdr:rowOff>
    </xdr:from>
    <xdr:to>
      <xdr:col>4</xdr:col>
      <xdr:colOff>116773</xdr:colOff>
      <xdr:row>701</xdr:row>
      <xdr:rowOff>117231</xdr:rowOff>
    </xdr:to>
    <xdr:cxnSp macro="">
      <xdr:nvCxnSpPr>
        <xdr:cNvPr id="1396" name="Straight Connector 1395"/>
        <xdr:cNvCxnSpPr/>
      </xdr:nvCxnSpPr>
      <xdr:spPr>
        <a:xfrm>
          <a:off x="3171265" y="12506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701</xdr:row>
      <xdr:rowOff>118956</xdr:rowOff>
    </xdr:from>
    <xdr:to>
      <xdr:col>4</xdr:col>
      <xdr:colOff>134902</xdr:colOff>
      <xdr:row>701</xdr:row>
      <xdr:rowOff>118956</xdr:rowOff>
    </xdr:to>
    <xdr:cxnSp macro="">
      <xdr:nvCxnSpPr>
        <xdr:cNvPr id="1397" name="Straight Connector 1396"/>
        <xdr:cNvCxnSpPr/>
      </xdr:nvCxnSpPr>
      <xdr:spPr>
        <a:xfrm>
          <a:off x="2713118" y="12561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699</xdr:row>
      <xdr:rowOff>36635</xdr:rowOff>
    </xdr:from>
    <xdr:to>
      <xdr:col>3</xdr:col>
      <xdr:colOff>300404</xdr:colOff>
      <xdr:row>700</xdr:row>
      <xdr:rowOff>45337</xdr:rowOff>
    </xdr:to>
    <xdr:cxnSp macro="">
      <xdr:nvCxnSpPr>
        <xdr:cNvPr id="1398" name="Straight Connector 1397"/>
        <xdr:cNvCxnSpPr/>
      </xdr:nvCxnSpPr>
      <xdr:spPr>
        <a:xfrm flipH="1">
          <a:off x="3085174" y="12515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699</xdr:row>
      <xdr:rowOff>25749</xdr:rowOff>
    </xdr:from>
    <xdr:to>
      <xdr:col>3</xdr:col>
      <xdr:colOff>472128</xdr:colOff>
      <xdr:row>700</xdr:row>
      <xdr:rowOff>36635</xdr:rowOff>
    </xdr:to>
    <xdr:cxnSp macro="">
      <xdr:nvCxnSpPr>
        <xdr:cNvPr id="1399" name="Straight Connector 1398"/>
        <xdr:cNvCxnSpPr/>
      </xdr:nvCxnSpPr>
      <xdr:spPr>
        <a:xfrm>
          <a:off x="3244534" y="12513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689</xdr:row>
      <xdr:rowOff>44824</xdr:rowOff>
    </xdr:from>
    <xdr:to>
      <xdr:col>3</xdr:col>
      <xdr:colOff>67235</xdr:colOff>
      <xdr:row>691</xdr:row>
      <xdr:rowOff>156883</xdr:rowOff>
    </xdr:to>
    <xdr:cxnSp macro="">
      <xdr:nvCxnSpPr>
        <xdr:cNvPr id="1400" name="Straight Connector 1399"/>
        <xdr:cNvCxnSpPr/>
      </xdr:nvCxnSpPr>
      <xdr:spPr>
        <a:xfrm>
          <a:off x="2857500" y="12325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691</xdr:row>
      <xdr:rowOff>166690</xdr:rowOff>
    </xdr:from>
    <xdr:to>
      <xdr:col>3</xdr:col>
      <xdr:colOff>712867</xdr:colOff>
      <xdr:row>691</xdr:row>
      <xdr:rowOff>168519</xdr:rowOff>
    </xdr:to>
    <xdr:cxnSp macro="">
      <xdr:nvCxnSpPr>
        <xdr:cNvPr id="1401" name="Straight Connector 1400"/>
        <xdr:cNvCxnSpPr/>
      </xdr:nvCxnSpPr>
      <xdr:spPr>
        <a:xfrm>
          <a:off x="2816179" y="12375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689</xdr:row>
      <xdr:rowOff>41673</xdr:rowOff>
    </xdr:from>
    <xdr:to>
      <xdr:col>4</xdr:col>
      <xdr:colOff>12211</xdr:colOff>
      <xdr:row>692</xdr:row>
      <xdr:rowOff>0</xdr:rowOff>
    </xdr:to>
    <xdr:cxnSp macro="">
      <xdr:nvCxnSpPr>
        <xdr:cNvPr id="1402" name="Straight Connector 1401"/>
        <xdr:cNvCxnSpPr/>
      </xdr:nvCxnSpPr>
      <xdr:spPr>
        <a:xfrm flipH="1" flipV="1">
          <a:off x="3507441" y="12325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689</xdr:row>
      <xdr:rowOff>32918</xdr:rowOff>
    </xdr:from>
    <xdr:to>
      <xdr:col>4</xdr:col>
      <xdr:colOff>17861</xdr:colOff>
      <xdr:row>689</xdr:row>
      <xdr:rowOff>35719</xdr:rowOff>
    </xdr:to>
    <xdr:cxnSp macro="">
      <xdr:nvCxnSpPr>
        <xdr:cNvPr id="1403" name="Straight Connector 1402"/>
        <xdr:cNvCxnSpPr/>
      </xdr:nvCxnSpPr>
      <xdr:spPr>
        <a:xfrm flipH="1">
          <a:off x="2849796" y="12324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694</xdr:row>
      <xdr:rowOff>89297</xdr:rowOff>
    </xdr:from>
    <xdr:to>
      <xdr:col>3</xdr:col>
      <xdr:colOff>178594</xdr:colOff>
      <xdr:row>695</xdr:row>
      <xdr:rowOff>59531</xdr:rowOff>
    </xdr:to>
    <xdr:cxnSp macro="">
      <xdr:nvCxnSpPr>
        <xdr:cNvPr id="1404" name="Straight Connector 1403"/>
        <xdr:cNvCxnSpPr/>
      </xdr:nvCxnSpPr>
      <xdr:spPr>
        <a:xfrm>
          <a:off x="2849796" y="12425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694</xdr:row>
      <xdr:rowOff>35719</xdr:rowOff>
    </xdr:from>
    <xdr:to>
      <xdr:col>3</xdr:col>
      <xdr:colOff>285750</xdr:colOff>
      <xdr:row>694</xdr:row>
      <xdr:rowOff>154781</xdr:rowOff>
    </xdr:to>
    <xdr:cxnSp macro="">
      <xdr:nvCxnSpPr>
        <xdr:cNvPr id="1405" name="Straight Connector 1404"/>
        <xdr:cNvCxnSpPr/>
      </xdr:nvCxnSpPr>
      <xdr:spPr>
        <a:xfrm>
          <a:off x="2885515" y="12419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694</xdr:row>
      <xdr:rowOff>44824</xdr:rowOff>
    </xdr:from>
    <xdr:to>
      <xdr:col>3</xdr:col>
      <xdr:colOff>67235</xdr:colOff>
      <xdr:row>696</xdr:row>
      <xdr:rowOff>156883</xdr:rowOff>
    </xdr:to>
    <xdr:cxnSp macro="">
      <xdr:nvCxnSpPr>
        <xdr:cNvPr id="1406" name="Straight Connector 1405"/>
        <xdr:cNvCxnSpPr/>
      </xdr:nvCxnSpPr>
      <xdr:spPr>
        <a:xfrm>
          <a:off x="2857500" y="12420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696</xdr:row>
      <xdr:rowOff>166690</xdr:rowOff>
    </xdr:from>
    <xdr:to>
      <xdr:col>4</xdr:col>
      <xdr:colOff>29308</xdr:colOff>
      <xdr:row>696</xdr:row>
      <xdr:rowOff>168519</xdr:rowOff>
    </xdr:to>
    <xdr:cxnSp macro="">
      <xdr:nvCxnSpPr>
        <xdr:cNvPr id="1407" name="Straight Connector 1406"/>
        <xdr:cNvCxnSpPr/>
      </xdr:nvCxnSpPr>
      <xdr:spPr>
        <a:xfrm>
          <a:off x="2849796" y="12470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694</xdr:row>
      <xdr:rowOff>41673</xdr:rowOff>
    </xdr:from>
    <xdr:to>
      <xdr:col>4</xdr:col>
      <xdr:colOff>12211</xdr:colOff>
      <xdr:row>697</xdr:row>
      <xdr:rowOff>0</xdr:rowOff>
    </xdr:to>
    <xdr:cxnSp macro="">
      <xdr:nvCxnSpPr>
        <xdr:cNvPr id="1408" name="Straight Connector 1407"/>
        <xdr:cNvCxnSpPr/>
      </xdr:nvCxnSpPr>
      <xdr:spPr>
        <a:xfrm flipH="1" flipV="1">
          <a:off x="3507441" y="12420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694</xdr:row>
      <xdr:rowOff>32918</xdr:rowOff>
    </xdr:from>
    <xdr:to>
      <xdr:col>4</xdr:col>
      <xdr:colOff>17861</xdr:colOff>
      <xdr:row>694</xdr:row>
      <xdr:rowOff>35719</xdr:rowOff>
    </xdr:to>
    <xdr:cxnSp macro="">
      <xdr:nvCxnSpPr>
        <xdr:cNvPr id="1409" name="Straight Connector 1408"/>
        <xdr:cNvCxnSpPr/>
      </xdr:nvCxnSpPr>
      <xdr:spPr>
        <a:xfrm flipH="1">
          <a:off x="2849796" y="12419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703</xdr:row>
      <xdr:rowOff>124558</xdr:rowOff>
    </xdr:from>
    <xdr:to>
      <xdr:col>3</xdr:col>
      <xdr:colOff>381000</xdr:colOff>
      <xdr:row>706</xdr:row>
      <xdr:rowOff>124558</xdr:rowOff>
    </xdr:to>
    <xdr:cxnSp macro="">
      <xdr:nvCxnSpPr>
        <xdr:cNvPr id="1410" name="Straight Connector 1409"/>
        <xdr:cNvCxnSpPr/>
      </xdr:nvCxnSpPr>
      <xdr:spPr>
        <a:xfrm flipH="1">
          <a:off x="2720149" y="126000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703</xdr:row>
      <xdr:rowOff>139212</xdr:rowOff>
    </xdr:from>
    <xdr:to>
      <xdr:col>4</xdr:col>
      <xdr:colOff>116773</xdr:colOff>
      <xdr:row>706</xdr:row>
      <xdr:rowOff>117231</xdr:rowOff>
    </xdr:to>
    <xdr:cxnSp macro="">
      <xdr:nvCxnSpPr>
        <xdr:cNvPr id="1411" name="Straight Connector 1410"/>
        <xdr:cNvCxnSpPr/>
      </xdr:nvCxnSpPr>
      <xdr:spPr>
        <a:xfrm>
          <a:off x="3171265" y="126014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706</xdr:row>
      <xdr:rowOff>118956</xdr:rowOff>
    </xdr:from>
    <xdr:to>
      <xdr:col>4</xdr:col>
      <xdr:colOff>134902</xdr:colOff>
      <xdr:row>706</xdr:row>
      <xdr:rowOff>118956</xdr:rowOff>
    </xdr:to>
    <xdr:cxnSp macro="">
      <xdr:nvCxnSpPr>
        <xdr:cNvPr id="1412" name="Straight Connector 1411"/>
        <xdr:cNvCxnSpPr/>
      </xdr:nvCxnSpPr>
      <xdr:spPr>
        <a:xfrm>
          <a:off x="2713118" y="126566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704</xdr:row>
      <xdr:rowOff>36635</xdr:rowOff>
    </xdr:from>
    <xdr:to>
      <xdr:col>3</xdr:col>
      <xdr:colOff>300404</xdr:colOff>
      <xdr:row>705</xdr:row>
      <xdr:rowOff>45337</xdr:rowOff>
    </xdr:to>
    <xdr:cxnSp macro="">
      <xdr:nvCxnSpPr>
        <xdr:cNvPr id="1413" name="Straight Connector 1412"/>
        <xdr:cNvCxnSpPr/>
      </xdr:nvCxnSpPr>
      <xdr:spPr>
        <a:xfrm flipH="1">
          <a:off x="3085174" y="126102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704</xdr:row>
      <xdr:rowOff>25749</xdr:rowOff>
    </xdr:from>
    <xdr:to>
      <xdr:col>3</xdr:col>
      <xdr:colOff>472128</xdr:colOff>
      <xdr:row>705</xdr:row>
      <xdr:rowOff>36635</xdr:rowOff>
    </xdr:to>
    <xdr:cxnSp macro="">
      <xdr:nvCxnSpPr>
        <xdr:cNvPr id="1414" name="Straight Connector 1413"/>
        <xdr:cNvCxnSpPr/>
      </xdr:nvCxnSpPr>
      <xdr:spPr>
        <a:xfrm>
          <a:off x="3244534" y="126091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735</xdr:row>
      <xdr:rowOff>89297</xdr:rowOff>
    </xdr:from>
    <xdr:to>
      <xdr:col>3</xdr:col>
      <xdr:colOff>178594</xdr:colOff>
      <xdr:row>736</xdr:row>
      <xdr:rowOff>59531</xdr:rowOff>
    </xdr:to>
    <xdr:cxnSp macro="">
      <xdr:nvCxnSpPr>
        <xdr:cNvPr id="1415" name="Straight Connector 1414"/>
        <xdr:cNvCxnSpPr/>
      </xdr:nvCxnSpPr>
      <xdr:spPr>
        <a:xfrm>
          <a:off x="2849796" y="13663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735</xdr:row>
      <xdr:rowOff>35719</xdr:rowOff>
    </xdr:from>
    <xdr:to>
      <xdr:col>3</xdr:col>
      <xdr:colOff>285750</xdr:colOff>
      <xdr:row>735</xdr:row>
      <xdr:rowOff>154781</xdr:rowOff>
    </xdr:to>
    <xdr:cxnSp macro="">
      <xdr:nvCxnSpPr>
        <xdr:cNvPr id="1416" name="Straight Connector 1415"/>
        <xdr:cNvCxnSpPr/>
      </xdr:nvCxnSpPr>
      <xdr:spPr>
        <a:xfrm>
          <a:off x="2885515" y="13657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744</xdr:row>
      <xdr:rowOff>124558</xdr:rowOff>
    </xdr:from>
    <xdr:to>
      <xdr:col>3</xdr:col>
      <xdr:colOff>381000</xdr:colOff>
      <xdr:row>747</xdr:row>
      <xdr:rowOff>124558</xdr:rowOff>
    </xdr:to>
    <xdr:cxnSp macro="">
      <xdr:nvCxnSpPr>
        <xdr:cNvPr id="1417" name="Straight Connector 1416"/>
        <xdr:cNvCxnSpPr/>
      </xdr:nvCxnSpPr>
      <xdr:spPr>
        <a:xfrm flipH="1">
          <a:off x="2720149" y="13838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744</xdr:row>
      <xdr:rowOff>139212</xdr:rowOff>
    </xdr:from>
    <xdr:to>
      <xdr:col>4</xdr:col>
      <xdr:colOff>116773</xdr:colOff>
      <xdr:row>747</xdr:row>
      <xdr:rowOff>117231</xdr:rowOff>
    </xdr:to>
    <xdr:cxnSp macro="">
      <xdr:nvCxnSpPr>
        <xdr:cNvPr id="1418" name="Straight Connector 1417"/>
        <xdr:cNvCxnSpPr/>
      </xdr:nvCxnSpPr>
      <xdr:spPr>
        <a:xfrm>
          <a:off x="3171265" y="13839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747</xdr:row>
      <xdr:rowOff>118956</xdr:rowOff>
    </xdr:from>
    <xdr:to>
      <xdr:col>4</xdr:col>
      <xdr:colOff>134902</xdr:colOff>
      <xdr:row>747</xdr:row>
      <xdr:rowOff>118956</xdr:rowOff>
    </xdr:to>
    <xdr:cxnSp macro="">
      <xdr:nvCxnSpPr>
        <xdr:cNvPr id="1419" name="Straight Connector 1418"/>
        <xdr:cNvCxnSpPr/>
      </xdr:nvCxnSpPr>
      <xdr:spPr>
        <a:xfrm>
          <a:off x="2713118" y="13894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745</xdr:row>
      <xdr:rowOff>36635</xdr:rowOff>
    </xdr:from>
    <xdr:to>
      <xdr:col>3</xdr:col>
      <xdr:colOff>300404</xdr:colOff>
      <xdr:row>746</xdr:row>
      <xdr:rowOff>45337</xdr:rowOff>
    </xdr:to>
    <xdr:cxnSp macro="">
      <xdr:nvCxnSpPr>
        <xdr:cNvPr id="1420" name="Straight Connector 1419"/>
        <xdr:cNvCxnSpPr/>
      </xdr:nvCxnSpPr>
      <xdr:spPr>
        <a:xfrm flipH="1">
          <a:off x="3085174" y="13848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745</xdr:row>
      <xdr:rowOff>25749</xdr:rowOff>
    </xdr:from>
    <xdr:to>
      <xdr:col>3</xdr:col>
      <xdr:colOff>472128</xdr:colOff>
      <xdr:row>746</xdr:row>
      <xdr:rowOff>36635</xdr:rowOff>
    </xdr:to>
    <xdr:cxnSp macro="">
      <xdr:nvCxnSpPr>
        <xdr:cNvPr id="1421" name="Straight Connector 1420"/>
        <xdr:cNvCxnSpPr/>
      </xdr:nvCxnSpPr>
      <xdr:spPr>
        <a:xfrm>
          <a:off x="3244534" y="13847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735</xdr:row>
      <xdr:rowOff>44824</xdr:rowOff>
    </xdr:from>
    <xdr:to>
      <xdr:col>3</xdr:col>
      <xdr:colOff>67235</xdr:colOff>
      <xdr:row>737</xdr:row>
      <xdr:rowOff>156883</xdr:rowOff>
    </xdr:to>
    <xdr:cxnSp macro="">
      <xdr:nvCxnSpPr>
        <xdr:cNvPr id="1422" name="Straight Connector 1421"/>
        <xdr:cNvCxnSpPr/>
      </xdr:nvCxnSpPr>
      <xdr:spPr>
        <a:xfrm>
          <a:off x="2857500" y="13658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737</xdr:row>
      <xdr:rowOff>166690</xdr:rowOff>
    </xdr:from>
    <xdr:to>
      <xdr:col>4</xdr:col>
      <xdr:colOff>29308</xdr:colOff>
      <xdr:row>737</xdr:row>
      <xdr:rowOff>168519</xdr:rowOff>
    </xdr:to>
    <xdr:cxnSp macro="">
      <xdr:nvCxnSpPr>
        <xdr:cNvPr id="1423" name="Straight Connector 1422"/>
        <xdr:cNvCxnSpPr/>
      </xdr:nvCxnSpPr>
      <xdr:spPr>
        <a:xfrm>
          <a:off x="2849796" y="13709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735</xdr:row>
      <xdr:rowOff>41673</xdr:rowOff>
    </xdr:from>
    <xdr:to>
      <xdr:col>4</xdr:col>
      <xdr:colOff>12211</xdr:colOff>
      <xdr:row>738</xdr:row>
      <xdr:rowOff>0</xdr:rowOff>
    </xdr:to>
    <xdr:cxnSp macro="">
      <xdr:nvCxnSpPr>
        <xdr:cNvPr id="1424" name="Straight Connector 1423"/>
        <xdr:cNvCxnSpPr/>
      </xdr:nvCxnSpPr>
      <xdr:spPr>
        <a:xfrm flipH="1" flipV="1">
          <a:off x="3507441" y="13658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735</xdr:row>
      <xdr:rowOff>32918</xdr:rowOff>
    </xdr:from>
    <xdr:to>
      <xdr:col>4</xdr:col>
      <xdr:colOff>17861</xdr:colOff>
      <xdr:row>735</xdr:row>
      <xdr:rowOff>35719</xdr:rowOff>
    </xdr:to>
    <xdr:cxnSp macro="">
      <xdr:nvCxnSpPr>
        <xdr:cNvPr id="1425" name="Straight Connector 1424"/>
        <xdr:cNvCxnSpPr/>
      </xdr:nvCxnSpPr>
      <xdr:spPr>
        <a:xfrm flipH="1">
          <a:off x="2849796" y="13657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740</xdr:row>
      <xdr:rowOff>89297</xdr:rowOff>
    </xdr:from>
    <xdr:to>
      <xdr:col>3</xdr:col>
      <xdr:colOff>178594</xdr:colOff>
      <xdr:row>741</xdr:row>
      <xdr:rowOff>59531</xdr:rowOff>
    </xdr:to>
    <xdr:cxnSp macro="">
      <xdr:nvCxnSpPr>
        <xdr:cNvPr id="1426" name="Straight Connector 1425"/>
        <xdr:cNvCxnSpPr/>
      </xdr:nvCxnSpPr>
      <xdr:spPr>
        <a:xfrm>
          <a:off x="2849796" y="13758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740</xdr:row>
      <xdr:rowOff>35719</xdr:rowOff>
    </xdr:from>
    <xdr:to>
      <xdr:col>3</xdr:col>
      <xdr:colOff>285750</xdr:colOff>
      <xdr:row>740</xdr:row>
      <xdr:rowOff>154781</xdr:rowOff>
    </xdr:to>
    <xdr:cxnSp macro="">
      <xdr:nvCxnSpPr>
        <xdr:cNvPr id="1427" name="Straight Connector 1426"/>
        <xdr:cNvCxnSpPr/>
      </xdr:nvCxnSpPr>
      <xdr:spPr>
        <a:xfrm>
          <a:off x="2885515" y="13753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740</xdr:row>
      <xdr:rowOff>44824</xdr:rowOff>
    </xdr:from>
    <xdr:to>
      <xdr:col>3</xdr:col>
      <xdr:colOff>67235</xdr:colOff>
      <xdr:row>742</xdr:row>
      <xdr:rowOff>156883</xdr:rowOff>
    </xdr:to>
    <xdr:cxnSp macro="">
      <xdr:nvCxnSpPr>
        <xdr:cNvPr id="1428" name="Straight Connector 1427"/>
        <xdr:cNvCxnSpPr/>
      </xdr:nvCxnSpPr>
      <xdr:spPr>
        <a:xfrm>
          <a:off x="2857500" y="13754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742</xdr:row>
      <xdr:rowOff>166690</xdr:rowOff>
    </xdr:from>
    <xdr:to>
      <xdr:col>4</xdr:col>
      <xdr:colOff>29308</xdr:colOff>
      <xdr:row>742</xdr:row>
      <xdr:rowOff>168519</xdr:rowOff>
    </xdr:to>
    <xdr:cxnSp macro="">
      <xdr:nvCxnSpPr>
        <xdr:cNvPr id="1429" name="Straight Connector 1428"/>
        <xdr:cNvCxnSpPr/>
      </xdr:nvCxnSpPr>
      <xdr:spPr>
        <a:xfrm>
          <a:off x="2849796" y="13804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740</xdr:row>
      <xdr:rowOff>41673</xdr:rowOff>
    </xdr:from>
    <xdr:to>
      <xdr:col>4</xdr:col>
      <xdr:colOff>12211</xdr:colOff>
      <xdr:row>743</xdr:row>
      <xdr:rowOff>0</xdr:rowOff>
    </xdr:to>
    <xdr:cxnSp macro="">
      <xdr:nvCxnSpPr>
        <xdr:cNvPr id="1430" name="Straight Connector 1429"/>
        <xdr:cNvCxnSpPr/>
      </xdr:nvCxnSpPr>
      <xdr:spPr>
        <a:xfrm flipH="1" flipV="1">
          <a:off x="3507441" y="13753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740</xdr:row>
      <xdr:rowOff>32918</xdr:rowOff>
    </xdr:from>
    <xdr:to>
      <xdr:col>4</xdr:col>
      <xdr:colOff>17861</xdr:colOff>
      <xdr:row>740</xdr:row>
      <xdr:rowOff>35719</xdr:rowOff>
    </xdr:to>
    <xdr:cxnSp macro="">
      <xdr:nvCxnSpPr>
        <xdr:cNvPr id="1431" name="Straight Connector 1430"/>
        <xdr:cNvCxnSpPr/>
      </xdr:nvCxnSpPr>
      <xdr:spPr>
        <a:xfrm flipH="1">
          <a:off x="2849796" y="13752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749</xdr:row>
      <xdr:rowOff>124558</xdr:rowOff>
    </xdr:from>
    <xdr:to>
      <xdr:col>3</xdr:col>
      <xdr:colOff>381000</xdr:colOff>
      <xdr:row>752</xdr:row>
      <xdr:rowOff>124558</xdr:rowOff>
    </xdr:to>
    <xdr:cxnSp macro="">
      <xdr:nvCxnSpPr>
        <xdr:cNvPr id="1432" name="Straight Connector 1431"/>
        <xdr:cNvCxnSpPr/>
      </xdr:nvCxnSpPr>
      <xdr:spPr>
        <a:xfrm flipH="1">
          <a:off x="2720149" y="13933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749</xdr:row>
      <xdr:rowOff>139212</xdr:rowOff>
    </xdr:from>
    <xdr:to>
      <xdr:col>4</xdr:col>
      <xdr:colOff>116773</xdr:colOff>
      <xdr:row>752</xdr:row>
      <xdr:rowOff>117231</xdr:rowOff>
    </xdr:to>
    <xdr:cxnSp macro="">
      <xdr:nvCxnSpPr>
        <xdr:cNvPr id="1433" name="Straight Connector 1432"/>
        <xdr:cNvCxnSpPr/>
      </xdr:nvCxnSpPr>
      <xdr:spPr>
        <a:xfrm>
          <a:off x="3171265" y="13934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752</xdr:row>
      <xdr:rowOff>118956</xdr:rowOff>
    </xdr:from>
    <xdr:to>
      <xdr:col>4</xdr:col>
      <xdr:colOff>134902</xdr:colOff>
      <xdr:row>752</xdr:row>
      <xdr:rowOff>118956</xdr:rowOff>
    </xdr:to>
    <xdr:cxnSp macro="">
      <xdr:nvCxnSpPr>
        <xdr:cNvPr id="1434" name="Straight Connector 1433"/>
        <xdr:cNvCxnSpPr/>
      </xdr:nvCxnSpPr>
      <xdr:spPr>
        <a:xfrm>
          <a:off x="2713118" y="13990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750</xdr:row>
      <xdr:rowOff>36635</xdr:rowOff>
    </xdr:from>
    <xdr:to>
      <xdr:col>3</xdr:col>
      <xdr:colOff>300404</xdr:colOff>
      <xdr:row>751</xdr:row>
      <xdr:rowOff>45337</xdr:rowOff>
    </xdr:to>
    <xdr:cxnSp macro="">
      <xdr:nvCxnSpPr>
        <xdr:cNvPr id="1435" name="Straight Connector 1434"/>
        <xdr:cNvCxnSpPr/>
      </xdr:nvCxnSpPr>
      <xdr:spPr>
        <a:xfrm flipH="1">
          <a:off x="3085174" y="13943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750</xdr:row>
      <xdr:rowOff>25749</xdr:rowOff>
    </xdr:from>
    <xdr:to>
      <xdr:col>3</xdr:col>
      <xdr:colOff>472128</xdr:colOff>
      <xdr:row>751</xdr:row>
      <xdr:rowOff>36635</xdr:rowOff>
    </xdr:to>
    <xdr:cxnSp macro="">
      <xdr:nvCxnSpPr>
        <xdr:cNvPr id="1436" name="Straight Connector 1435"/>
        <xdr:cNvCxnSpPr/>
      </xdr:nvCxnSpPr>
      <xdr:spPr>
        <a:xfrm>
          <a:off x="3244534" y="13942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754</xdr:row>
      <xdr:rowOff>297027</xdr:rowOff>
    </xdr:from>
    <xdr:to>
      <xdr:col>3</xdr:col>
      <xdr:colOff>392907</xdr:colOff>
      <xdr:row>758</xdr:row>
      <xdr:rowOff>154781</xdr:rowOff>
    </xdr:to>
    <xdr:cxnSp macro="">
      <xdr:nvCxnSpPr>
        <xdr:cNvPr id="1437" name="Straight Connector 1436"/>
        <xdr:cNvCxnSpPr/>
      </xdr:nvCxnSpPr>
      <xdr:spPr>
        <a:xfrm>
          <a:off x="3175346" y="135402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754</xdr:row>
      <xdr:rowOff>305147</xdr:rowOff>
    </xdr:from>
    <xdr:to>
      <xdr:col>3</xdr:col>
      <xdr:colOff>130969</xdr:colOff>
      <xdr:row>756</xdr:row>
      <xdr:rowOff>11906</xdr:rowOff>
    </xdr:to>
    <xdr:cxnSp macro="">
      <xdr:nvCxnSpPr>
        <xdr:cNvPr id="1438" name="Straight Arrow Connector 1437"/>
        <xdr:cNvCxnSpPr/>
      </xdr:nvCxnSpPr>
      <xdr:spPr>
        <a:xfrm flipH="1" flipV="1">
          <a:off x="2913960" y="135401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757</xdr:row>
      <xdr:rowOff>11907</xdr:rowOff>
    </xdr:from>
    <xdr:to>
      <xdr:col>3</xdr:col>
      <xdr:colOff>130969</xdr:colOff>
      <xdr:row>758</xdr:row>
      <xdr:rowOff>154782</xdr:rowOff>
    </xdr:to>
    <xdr:cxnSp macro="">
      <xdr:nvCxnSpPr>
        <xdr:cNvPr id="1439" name="Straight Arrow Connector 1438"/>
        <xdr:cNvCxnSpPr/>
      </xdr:nvCxnSpPr>
      <xdr:spPr>
        <a:xfrm>
          <a:off x="2921234" y="135793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761</xdr:row>
      <xdr:rowOff>89297</xdr:rowOff>
    </xdr:from>
    <xdr:to>
      <xdr:col>3</xdr:col>
      <xdr:colOff>178594</xdr:colOff>
      <xdr:row>762</xdr:row>
      <xdr:rowOff>59531</xdr:rowOff>
    </xdr:to>
    <xdr:cxnSp macro="">
      <xdr:nvCxnSpPr>
        <xdr:cNvPr id="1440" name="Straight Connector 1439"/>
        <xdr:cNvCxnSpPr/>
      </xdr:nvCxnSpPr>
      <xdr:spPr>
        <a:xfrm>
          <a:off x="2849796" y="13663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761</xdr:row>
      <xdr:rowOff>35719</xdr:rowOff>
    </xdr:from>
    <xdr:to>
      <xdr:col>3</xdr:col>
      <xdr:colOff>285750</xdr:colOff>
      <xdr:row>761</xdr:row>
      <xdr:rowOff>154781</xdr:rowOff>
    </xdr:to>
    <xdr:cxnSp macro="">
      <xdr:nvCxnSpPr>
        <xdr:cNvPr id="1441" name="Straight Connector 1440"/>
        <xdr:cNvCxnSpPr/>
      </xdr:nvCxnSpPr>
      <xdr:spPr>
        <a:xfrm>
          <a:off x="2885515" y="13657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770</xdr:row>
      <xdr:rowOff>124558</xdr:rowOff>
    </xdr:from>
    <xdr:to>
      <xdr:col>3</xdr:col>
      <xdr:colOff>381000</xdr:colOff>
      <xdr:row>773</xdr:row>
      <xdr:rowOff>124558</xdr:rowOff>
    </xdr:to>
    <xdr:cxnSp macro="">
      <xdr:nvCxnSpPr>
        <xdr:cNvPr id="1442" name="Straight Connector 1441"/>
        <xdr:cNvCxnSpPr/>
      </xdr:nvCxnSpPr>
      <xdr:spPr>
        <a:xfrm flipH="1">
          <a:off x="2720149" y="13838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770</xdr:row>
      <xdr:rowOff>139212</xdr:rowOff>
    </xdr:from>
    <xdr:to>
      <xdr:col>4</xdr:col>
      <xdr:colOff>116773</xdr:colOff>
      <xdr:row>773</xdr:row>
      <xdr:rowOff>117231</xdr:rowOff>
    </xdr:to>
    <xdr:cxnSp macro="">
      <xdr:nvCxnSpPr>
        <xdr:cNvPr id="1443" name="Straight Connector 1442"/>
        <xdr:cNvCxnSpPr/>
      </xdr:nvCxnSpPr>
      <xdr:spPr>
        <a:xfrm>
          <a:off x="3171265" y="13839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773</xdr:row>
      <xdr:rowOff>118956</xdr:rowOff>
    </xdr:from>
    <xdr:to>
      <xdr:col>4</xdr:col>
      <xdr:colOff>134902</xdr:colOff>
      <xdr:row>773</xdr:row>
      <xdr:rowOff>118956</xdr:rowOff>
    </xdr:to>
    <xdr:cxnSp macro="">
      <xdr:nvCxnSpPr>
        <xdr:cNvPr id="1444" name="Straight Connector 1443"/>
        <xdr:cNvCxnSpPr/>
      </xdr:nvCxnSpPr>
      <xdr:spPr>
        <a:xfrm>
          <a:off x="2713118" y="13894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771</xdr:row>
      <xdr:rowOff>36635</xdr:rowOff>
    </xdr:from>
    <xdr:to>
      <xdr:col>3</xdr:col>
      <xdr:colOff>300404</xdr:colOff>
      <xdr:row>772</xdr:row>
      <xdr:rowOff>45337</xdr:rowOff>
    </xdr:to>
    <xdr:cxnSp macro="">
      <xdr:nvCxnSpPr>
        <xdr:cNvPr id="1445" name="Straight Connector 1444"/>
        <xdr:cNvCxnSpPr/>
      </xdr:nvCxnSpPr>
      <xdr:spPr>
        <a:xfrm flipH="1">
          <a:off x="3085174" y="13848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771</xdr:row>
      <xdr:rowOff>25749</xdr:rowOff>
    </xdr:from>
    <xdr:to>
      <xdr:col>3</xdr:col>
      <xdr:colOff>472128</xdr:colOff>
      <xdr:row>772</xdr:row>
      <xdr:rowOff>36635</xdr:rowOff>
    </xdr:to>
    <xdr:cxnSp macro="">
      <xdr:nvCxnSpPr>
        <xdr:cNvPr id="1446" name="Straight Connector 1445"/>
        <xdr:cNvCxnSpPr/>
      </xdr:nvCxnSpPr>
      <xdr:spPr>
        <a:xfrm>
          <a:off x="3244534" y="13847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761</xdr:row>
      <xdr:rowOff>44824</xdr:rowOff>
    </xdr:from>
    <xdr:to>
      <xdr:col>3</xdr:col>
      <xdr:colOff>67235</xdr:colOff>
      <xdr:row>763</xdr:row>
      <xdr:rowOff>156883</xdr:rowOff>
    </xdr:to>
    <xdr:cxnSp macro="">
      <xdr:nvCxnSpPr>
        <xdr:cNvPr id="1447" name="Straight Connector 1446"/>
        <xdr:cNvCxnSpPr/>
      </xdr:nvCxnSpPr>
      <xdr:spPr>
        <a:xfrm>
          <a:off x="2857500" y="13658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763</xdr:row>
      <xdr:rowOff>166690</xdr:rowOff>
    </xdr:from>
    <xdr:to>
      <xdr:col>4</xdr:col>
      <xdr:colOff>29308</xdr:colOff>
      <xdr:row>763</xdr:row>
      <xdr:rowOff>168519</xdr:rowOff>
    </xdr:to>
    <xdr:cxnSp macro="">
      <xdr:nvCxnSpPr>
        <xdr:cNvPr id="1448" name="Straight Connector 1447"/>
        <xdr:cNvCxnSpPr/>
      </xdr:nvCxnSpPr>
      <xdr:spPr>
        <a:xfrm>
          <a:off x="2849796" y="13709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761</xdr:row>
      <xdr:rowOff>41673</xdr:rowOff>
    </xdr:from>
    <xdr:to>
      <xdr:col>4</xdr:col>
      <xdr:colOff>12211</xdr:colOff>
      <xdr:row>764</xdr:row>
      <xdr:rowOff>0</xdr:rowOff>
    </xdr:to>
    <xdr:cxnSp macro="">
      <xdr:nvCxnSpPr>
        <xdr:cNvPr id="1449" name="Straight Connector 1448"/>
        <xdr:cNvCxnSpPr/>
      </xdr:nvCxnSpPr>
      <xdr:spPr>
        <a:xfrm flipH="1" flipV="1">
          <a:off x="3507441" y="13658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761</xdr:row>
      <xdr:rowOff>32918</xdr:rowOff>
    </xdr:from>
    <xdr:to>
      <xdr:col>4</xdr:col>
      <xdr:colOff>17861</xdr:colOff>
      <xdr:row>761</xdr:row>
      <xdr:rowOff>35719</xdr:rowOff>
    </xdr:to>
    <xdr:cxnSp macro="">
      <xdr:nvCxnSpPr>
        <xdr:cNvPr id="1450" name="Straight Connector 1449"/>
        <xdr:cNvCxnSpPr/>
      </xdr:nvCxnSpPr>
      <xdr:spPr>
        <a:xfrm flipH="1">
          <a:off x="2849796" y="13657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766</xdr:row>
      <xdr:rowOff>89297</xdr:rowOff>
    </xdr:from>
    <xdr:to>
      <xdr:col>3</xdr:col>
      <xdr:colOff>178594</xdr:colOff>
      <xdr:row>767</xdr:row>
      <xdr:rowOff>59531</xdr:rowOff>
    </xdr:to>
    <xdr:cxnSp macro="">
      <xdr:nvCxnSpPr>
        <xdr:cNvPr id="1451" name="Straight Connector 1450"/>
        <xdr:cNvCxnSpPr/>
      </xdr:nvCxnSpPr>
      <xdr:spPr>
        <a:xfrm>
          <a:off x="2849796" y="13758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766</xdr:row>
      <xdr:rowOff>35719</xdr:rowOff>
    </xdr:from>
    <xdr:to>
      <xdr:col>3</xdr:col>
      <xdr:colOff>285750</xdr:colOff>
      <xdr:row>766</xdr:row>
      <xdr:rowOff>154781</xdr:rowOff>
    </xdr:to>
    <xdr:cxnSp macro="">
      <xdr:nvCxnSpPr>
        <xdr:cNvPr id="1452" name="Straight Connector 1451"/>
        <xdr:cNvCxnSpPr/>
      </xdr:nvCxnSpPr>
      <xdr:spPr>
        <a:xfrm>
          <a:off x="2885515" y="13753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766</xdr:row>
      <xdr:rowOff>44824</xdr:rowOff>
    </xdr:from>
    <xdr:to>
      <xdr:col>3</xdr:col>
      <xdr:colOff>67235</xdr:colOff>
      <xdr:row>768</xdr:row>
      <xdr:rowOff>156883</xdr:rowOff>
    </xdr:to>
    <xdr:cxnSp macro="">
      <xdr:nvCxnSpPr>
        <xdr:cNvPr id="1453" name="Straight Connector 1452"/>
        <xdr:cNvCxnSpPr/>
      </xdr:nvCxnSpPr>
      <xdr:spPr>
        <a:xfrm>
          <a:off x="2857500" y="13754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768</xdr:row>
      <xdr:rowOff>166690</xdr:rowOff>
    </xdr:from>
    <xdr:to>
      <xdr:col>4</xdr:col>
      <xdr:colOff>29308</xdr:colOff>
      <xdr:row>768</xdr:row>
      <xdr:rowOff>168519</xdr:rowOff>
    </xdr:to>
    <xdr:cxnSp macro="">
      <xdr:nvCxnSpPr>
        <xdr:cNvPr id="1454" name="Straight Connector 1453"/>
        <xdr:cNvCxnSpPr/>
      </xdr:nvCxnSpPr>
      <xdr:spPr>
        <a:xfrm>
          <a:off x="2849796" y="13804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766</xdr:row>
      <xdr:rowOff>41673</xdr:rowOff>
    </xdr:from>
    <xdr:to>
      <xdr:col>4</xdr:col>
      <xdr:colOff>12211</xdr:colOff>
      <xdr:row>769</xdr:row>
      <xdr:rowOff>0</xdr:rowOff>
    </xdr:to>
    <xdr:cxnSp macro="">
      <xdr:nvCxnSpPr>
        <xdr:cNvPr id="1455" name="Straight Connector 1454"/>
        <xdr:cNvCxnSpPr/>
      </xdr:nvCxnSpPr>
      <xdr:spPr>
        <a:xfrm flipH="1" flipV="1">
          <a:off x="3507441" y="13753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766</xdr:row>
      <xdr:rowOff>32918</xdr:rowOff>
    </xdr:from>
    <xdr:to>
      <xdr:col>4</xdr:col>
      <xdr:colOff>17861</xdr:colOff>
      <xdr:row>766</xdr:row>
      <xdr:rowOff>35719</xdr:rowOff>
    </xdr:to>
    <xdr:cxnSp macro="">
      <xdr:nvCxnSpPr>
        <xdr:cNvPr id="1456" name="Straight Connector 1455"/>
        <xdr:cNvCxnSpPr/>
      </xdr:nvCxnSpPr>
      <xdr:spPr>
        <a:xfrm flipH="1">
          <a:off x="2849796" y="13752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775</xdr:row>
      <xdr:rowOff>124558</xdr:rowOff>
    </xdr:from>
    <xdr:to>
      <xdr:col>3</xdr:col>
      <xdr:colOff>381000</xdr:colOff>
      <xdr:row>778</xdr:row>
      <xdr:rowOff>124558</xdr:rowOff>
    </xdr:to>
    <xdr:cxnSp macro="">
      <xdr:nvCxnSpPr>
        <xdr:cNvPr id="1457" name="Straight Connector 1456"/>
        <xdr:cNvCxnSpPr/>
      </xdr:nvCxnSpPr>
      <xdr:spPr>
        <a:xfrm flipH="1">
          <a:off x="2720149" y="13933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775</xdr:row>
      <xdr:rowOff>139212</xdr:rowOff>
    </xdr:from>
    <xdr:to>
      <xdr:col>4</xdr:col>
      <xdr:colOff>116773</xdr:colOff>
      <xdr:row>778</xdr:row>
      <xdr:rowOff>117231</xdr:rowOff>
    </xdr:to>
    <xdr:cxnSp macro="">
      <xdr:nvCxnSpPr>
        <xdr:cNvPr id="1458" name="Straight Connector 1457"/>
        <xdr:cNvCxnSpPr/>
      </xdr:nvCxnSpPr>
      <xdr:spPr>
        <a:xfrm>
          <a:off x="3171265" y="13934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778</xdr:row>
      <xdr:rowOff>118956</xdr:rowOff>
    </xdr:from>
    <xdr:to>
      <xdr:col>4</xdr:col>
      <xdr:colOff>134902</xdr:colOff>
      <xdr:row>778</xdr:row>
      <xdr:rowOff>118956</xdr:rowOff>
    </xdr:to>
    <xdr:cxnSp macro="">
      <xdr:nvCxnSpPr>
        <xdr:cNvPr id="1459" name="Straight Connector 1458"/>
        <xdr:cNvCxnSpPr/>
      </xdr:nvCxnSpPr>
      <xdr:spPr>
        <a:xfrm>
          <a:off x="2713118" y="13990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776</xdr:row>
      <xdr:rowOff>36635</xdr:rowOff>
    </xdr:from>
    <xdr:to>
      <xdr:col>3</xdr:col>
      <xdr:colOff>300404</xdr:colOff>
      <xdr:row>777</xdr:row>
      <xdr:rowOff>45337</xdr:rowOff>
    </xdr:to>
    <xdr:cxnSp macro="">
      <xdr:nvCxnSpPr>
        <xdr:cNvPr id="1460" name="Straight Connector 1459"/>
        <xdr:cNvCxnSpPr/>
      </xdr:nvCxnSpPr>
      <xdr:spPr>
        <a:xfrm flipH="1">
          <a:off x="3085174" y="13943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776</xdr:row>
      <xdr:rowOff>25749</xdr:rowOff>
    </xdr:from>
    <xdr:to>
      <xdr:col>3</xdr:col>
      <xdr:colOff>472128</xdr:colOff>
      <xdr:row>777</xdr:row>
      <xdr:rowOff>36635</xdr:rowOff>
    </xdr:to>
    <xdr:cxnSp macro="">
      <xdr:nvCxnSpPr>
        <xdr:cNvPr id="1461" name="Straight Connector 1460"/>
        <xdr:cNvCxnSpPr/>
      </xdr:nvCxnSpPr>
      <xdr:spPr>
        <a:xfrm>
          <a:off x="3244534" y="13942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754</xdr:row>
      <xdr:rowOff>305147</xdr:rowOff>
    </xdr:from>
    <xdr:to>
      <xdr:col>3</xdr:col>
      <xdr:colOff>130969</xdr:colOff>
      <xdr:row>756</xdr:row>
      <xdr:rowOff>11906</xdr:rowOff>
    </xdr:to>
    <xdr:cxnSp macro="">
      <xdr:nvCxnSpPr>
        <xdr:cNvPr id="1462" name="Straight Arrow Connector 1461"/>
        <xdr:cNvCxnSpPr/>
      </xdr:nvCxnSpPr>
      <xdr:spPr>
        <a:xfrm flipH="1" flipV="1">
          <a:off x="2913960" y="135401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781</xdr:row>
      <xdr:rowOff>89297</xdr:rowOff>
    </xdr:from>
    <xdr:to>
      <xdr:col>3</xdr:col>
      <xdr:colOff>178594</xdr:colOff>
      <xdr:row>782</xdr:row>
      <xdr:rowOff>59531</xdr:rowOff>
    </xdr:to>
    <xdr:cxnSp macro="">
      <xdr:nvCxnSpPr>
        <xdr:cNvPr id="1463" name="Straight Connector 1462"/>
        <xdr:cNvCxnSpPr/>
      </xdr:nvCxnSpPr>
      <xdr:spPr>
        <a:xfrm>
          <a:off x="2849796" y="14044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781</xdr:row>
      <xdr:rowOff>35719</xdr:rowOff>
    </xdr:from>
    <xdr:to>
      <xdr:col>3</xdr:col>
      <xdr:colOff>285750</xdr:colOff>
      <xdr:row>781</xdr:row>
      <xdr:rowOff>154781</xdr:rowOff>
    </xdr:to>
    <xdr:cxnSp macro="">
      <xdr:nvCxnSpPr>
        <xdr:cNvPr id="1464" name="Straight Connector 1463"/>
        <xdr:cNvCxnSpPr/>
      </xdr:nvCxnSpPr>
      <xdr:spPr>
        <a:xfrm>
          <a:off x="2885515" y="14038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790</xdr:row>
      <xdr:rowOff>124558</xdr:rowOff>
    </xdr:from>
    <xdr:to>
      <xdr:col>3</xdr:col>
      <xdr:colOff>381000</xdr:colOff>
      <xdr:row>793</xdr:row>
      <xdr:rowOff>124558</xdr:rowOff>
    </xdr:to>
    <xdr:cxnSp macro="">
      <xdr:nvCxnSpPr>
        <xdr:cNvPr id="1465" name="Straight Connector 1464"/>
        <xdr:cNvCxnSpPr/>
      </xdr:nvCxnSpPr>
      <xdr:spPr>
        <a:xfrm flipH="1">
          <a:off x="2720149" y="14219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790</xdr:row>
      <xdr:rowOff>139212</xdr:rowOff>
    </xdr:from>
    <xdr:to>
      <xdr:col>4</xdr:col>
      <xdr:colOff>116773</xdr:colOff>
      <xdr:row>793</xdr:row>
      <xdr:rowOff>117231</xdr:rowOff>
    </xdr:to>
    <xdr:cxnSp macro="">
      <xdr:nvCxnSpPr>
        <xdr:cNvPr id="1466" name="Straight Connector 1465"/>
        <xdr:cNvCxnSpPr/>
      </xdr:nvCxnSpPr>
      <xdr:spPr>
        <a:xfrm>
          <a:off x="3171265" y="14220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793</xdr:row>
      <xdr:rowOff>118956</xdr:rowOff>
    </xdr:from>
    <xdr:to>
      <xdr:col>4</xdr:col>
      <xdr:colOff>134902</xdr:colOff>
      <xdr:row>793</xdr:row>
      <xdr:rowOff>118956</xdr:rowOff>
    </xdr:to>
    <xdr:cxnSp macro="">
      <xdr:nvCxnSpPr>
        <xdr:cNvPr id="1467" name="Straight Connector 1466"/>
        <xdr:cNvCxnSpPr/>
      </xdr:nvCxnSpPr>
      <xdr:spPr>
        <a:xfrm>
          <a:off x="2713118" y="14275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791</xdr:row>
      <xdr:rowOff>36635</xdr:rowOff>
    </xdr:from>
    <xdr:to>
      <xdr:col>3</xdr:col>
      <xdr:colOff>300404</xdr:colOff>
      <xdr:row>792</xdr:row>
      <xdr:rowOff>45337</xdr:rowOff>
    </xdr:to>
    <xdr:cxnSp macro="">
      <xdr:nvCxnSpPr>
        <xdr:cNvPr id="1468" name="Straight Connector 1467"/>
        <xdr:cNvCxnSpPr/>
      </xdr:nvCxnSpPr>
      <xdr:spPr>
        <a:xfrm flipH="1">
          <a:off x="3085174" y="14229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791</xdr:row>
      <xdr:rowOff>25749</xdr:rowOff>
    </xdr:from>
    <xdr:to>
      <xdr:col>3</xdr:col>
      <xdr:colOff>472128</xdr:colOff>
      <xdr:row>792</xdr:row>
      <xdr:rowOff>36635</xdr:rowOff>
    </xdr:to>
    <xdr:cxnSp macro="">
      <xdr:nvCxnSpPr>
        <xdr:cNvPr id="1469" name="Straight Connector 1468"/>
        <xdr:cNvCxnSpPr/>
      </xdr:nvCxnSpPr>
      <xdr:spPr>
        <a:xfrm>
          <a:off x="3244534" y="14228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781</xdr:row>
      <xdr:rowOff>44824</xdr:rowOff>
    </xdr:from>
    <xdr:to>
      <xdr:col>3</xdr:col>
      <xdr:colOff>67235</xdr:colOff>
      <xdr:row>783</xdr:row>
      <xdr:rowOff>156883</xdr:rowOff>
    </xdr:to>
    <xdr:cxnSp macro="">
      <xdr:nvCxnSpPr>
        <xdr:cNvPr id="1470" name="Straight Connector 1469"/>
        <xdr:cNvCxnSpPr/>
      </xdr:nvCxnSpPr>
      <xdr:spPr>
        <a:xfrm>
          <a:off x="2857500" y="14039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783</xdr:row>
      <xdr:rowOff>166690</xdr:rowOff>
    </xdr:from>
    <xdr:to>
      <xdr:col>4</xdr:col>
      <xdr:colOff>29308</xdr:colOff>
      <xdr:row>783</xdr:row>
      <xdr:rowOff>168519</xdr:rowOff>
    </xdr:to>
    <xdr:cxnSp macro="">
      <xdr:nvCxnSpPr>
        <xdr:cNvPr id="1471" name="Straight Connector 1470"/>
        <xdr:cNvCxnSpPr/>
      </xdr:nvCxnSpPr>
      <xdr:spPr>
        <a:xfrm>
          <a:off x="2849796" y="14090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781</xdr:row>
      <xdr:rowOff>41673</xdr:rowOff>
    </xdr:from>
    <xdr:to>
      <xdr:col>4</xdr:col>
      <xdr:colOff>12211</xdr:colOff>
      <xdr:row>784</xdr:row>
      <xdr:rowOff>0</xdr:rowOff>
    </xdr:to>
    <xdr:cxnSp macro="">
      <xdr:nvCxnSpPr>
        <xdr:cNvPr id="1472" name="Straight Connector 1471"/>
        <xdr:cNvCxnSpPr/>
      </xdr:nvCxnSpPr>
      <xdr:spPr>
        <a:xfrm flipH="1" flipV="1">
          <a:off x="3507441" y="14039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781</xdr:row>
      <xdr:rowOff>32918</xdr:rowOff>
    </xdr:from>
    <xdr:to>
      <xdr:col>4</xdr:col>
      <xdr:colOff>17861</xdr:colOff>
      <xdr:row>781</xdr:row>
      <xdr:rowOff>35719</xdr:rowOff>
    </xdr:to>
    <xdr:cxnSp macro="">
      <xdr:nvCxnSpPr>
        <xdr:cNvPr id="1473" name="Straight Connector 1472"/>
        <xdr:cNvCxnSpPr/>
      </xdr:nvCxnSpPr>
      <xdr:spPr>
        <a:xfrm flipH="1">
          <a:off x="2849796" y="14038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786</xdr:row>
      <xdr:rowOff>89297</xdr:rowOff>
    </xdr:from>
    <xdr:to>
      <xdr:col>3</xdr:col>
      <xdr:colOff>178594</xdr:colOff>
      <xdr:row>787</xdr:row>
      <xdr:rowOff>59531</xdr:rowOff>
    </xdr:to>
    <xdr:cxnSp macro="">
      <xdr:nvCxnSpPr>
        <xdr:cNvPr id="1474" name="Straight Connector 1473"/>
        <xdr:cNvCxnSpPr/>
      </xdr:nvCxnSpPr>
      <xdr:spPr>
        <a:xfrm>
          <a:off x="2849796" y="14139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786</xdr:row>
      <xdr:rowOff>35719</xdr:rowOff>
    </xdr:from>
    <xdr:to>
      <xdr:col>3</xdr:col>
      <xdr:colOff>285750</xdr:colOff>
      <xdr:row>786</xdr:row>
      <xdr:rowOff>154781</xdr:rowOff>
    </xdr:to>
    <xdr:cxnSp macro="">
      <xdr:nvCxnSpPr>
        <xdr:cNvPr id="1475" name="Straight Connector 1474"/>
        <xdr:cNvCxnSpPr/>
      </xdr:nvCxnSpPr>
      <xdr:spPr>
        <a:xfrm>
          <a:off x="2885515" y="14134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786</xdr:row>
      <xdr:rowOff>44824</xdr:rowOff>
    </xdr:from>
    <xdr:to>
      <xdr:col>3</xdr:col>
      <xdr:colOff>67235</xdr:colOff>
      <xdr:row>788</xdr:row>
      <xdr:rowOff>156883</xdr:rowOff>
    </xdr:to>
    <xdr:cxnSp macro="">
      <xdr:nvCxnSpPr>
        <xdr:cNvPr id="1476" name="Straight Connector 1475"/>
        <xdr:cNvCxnSpPr/>
      </xdr:nvCxnSpPr>
      <xdr:spPr>
        <a:xfrm>
          <a:off x="2857500" y="14135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788</xdr:row>
      <xdr:rowOff>166690</xdr:rowOff>
    </xdr:from>
    <xdr:to>
      <xdr:col>4</xdr:col>
      <xdr:colOff>29308</xdr:colOff>
      <xdr:row>788</xdr:row>
      <xdr:rowOff>168519</xdr:rowOff>
    </xdr:to>
    <xdr:cxnSp macro="">
      <xdr:nvCxnSpPr>
        <xdr:cNvPr id="1477" name="Straight Connector 1476"/>
        <xdr:cNvCxnSpPr/>
      </xdr:nvCxnSpPr>
      <xdr:spPr>
        <a:xfrm>
          <a:off x="2849796" y="14185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786</xdr:row>
      <xdr:rowOff>41673</xdr:rowOff>
    </xdr:from>
    <xdr:to>
      <xdr:col>4</xdr:col>
      <xdr:colOff>12211</xdr:colOff>
      <xdr:row>789</xdr:row>
      <xdr:rowOff>0</xdr:rowOff>
    </xdr:to>
    <xdr:cxnSp macro="">
      <xdr:nvCxnSpPr>
        <xdr:cNvPr id="1478" name="Straight Connector 1477"/>
        <xdr:cNvCxnSpPr/>
      </xdr:nvCxnSpPr>
      <xdr:spPr>
        <a:xfrm flipH="1" flipV="1">
          <a:off x="3507441" y="14134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786</xdr:row>
      <xdr:rowOff>32918</xdr:rowOff>
    </xdr:from>
    <xdr:to>
      <xdr:col>4</xdr:col>
      <xdr:colOff>17861</xdr:colOff>
      <xdr:row>786</xdr:row>
      <xdr:rowOff>35719</xdr:rowOff>
    </xdr:to>
    <xdr:cxnSp macro="">
      <xdr:nvCxnSpPr>
        <xdr:cNvPr id="1479" name="Straight Connector 1478"/>
        <xdr:cNvCxnSpPr/>
      </xdr:nvCxnSpPr>
      <xdr:spPr>
        <a:xfrm flipH="1">
          <a:off x="2849796" y="14133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795</xdr:row>
      <xdr:rowOff>124558</xdr:rowOff>
    </xdr:from>
    <xdr:to>
      <xdr:col>3</xdr:col>
      <xdr:colOff>381000</xdr:colOff>
      <xdr:row>798</xdr:row>
      <xdr:rowOff>124558</xdr:rowOff>
    </xdr:to>
    <xdr:cxnSp macro="">
      <xdr:nvCxnSpPr>
        <xdr:cNvPr id="1480" name="Straight Connector 1479"/>
        <xdr:cNvCxnSpPr/>
      </xdr:nvCxnSpPr>
      <xdr:spPr>
        <a:xfrm flipH="1">
          <a:off x="2720149" y="14314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795</xdr:row>
      <xdr:rowOff>139212</xdr:rowOff>
    </xdr:from>
    <xdr:to>
      <xdr:col>4</xdr:col>
      <xdr:colOff>116773</xdr:colOff>
      <xdr:row>798</xdr:row>
      <xdr:rowOff>117231</xdr:rowOff>
    </xdr:to>
    <xdr:cxnSp macro="">
      <xdr:nvCxnSpPr>
        <xdr:cNvPr id="1481" name="Straight Connector 1480"/>
        <xdr:cNvCxnSpPr/>
      </xdr:nvCxnSpPr>
      <xdr:spPr>
        <a:xfrm>
          <a:off x="3171265" y="14315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798</xdr:row>
      <xdr:rowOff>118956</xdr:rowOff>
    </xdr:from>
    <xdr:to>
      <xdr:col>4</xdr:col>
      <xdr:colOff>134902</xdr:colOff>
      <xdr:row>798</xdr:row>
      <xdr:rowOff>118956</xdr:rowOff>
    </xdr:to>
    <xdr:cxnSp macro="">
      <xdr:nvCxnSpPr>
        <xdr:cNvPr id="1482" name="Straight Connector 1481"/>
        <xdr:cNvCxnSpPr/>
      </xdr:nvCxnSpPr>
      <xdr:spPr>
        <a:xfrm>
          <a:off x="2713118" y="14371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796</xdr:row>
      <xdr:rowOff>36635</xdr:rowOff>
    </xdr:from>
    <xdr:to>
      <xdr:col>3</xdr:col>
      <xdr:colOff>300404</xdr:colOff>
      <xdr:row>797</xdr:row>
      <xdr:rowOff>45337</xdr:rowOff>
    </xdr:to>
    <xdr:cxnSp macro="">
      <xdr:nvCxnSpPr>
        <xdr:cNvPr id="1483" name="Straight Connector 1482"/>
        <xdr:cNvCxnSpPr/>
      </xdr:nvCxnSpPr>
      <xdr:spPr>
        <a:xfrm flipH="1">
          <a:off x="3085174" y="14324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796</xdr:row>
      <xdr:rowOff>25749</xdr:rowOff>
    </xdr:from>
    <xdr:to>
      <xdr:col>3</xdr:col>
      <xdr:colOff>472128</xdr:colOff>
      <xdr:row>797</xdr:row>
      <xdr:rowOff>36635</xdr:rowOff>
    </xdr:to>
    <xdr:cxnSp macro="">
      <xdr:nvCxnSpPr>
        <xdr:cNvPr id="1484" name="Straight Connector 1483"/>
        <xdr:cNvCxnSpPr/>
      </xdr:nvCxnSpPr>
      <xdr:spPr>
        <a:xfrm>
          <a:off x="3244534" y="14323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827</xdr:row>
      <xdr:rowOff>89297</xdr:rowOff>
    </xdr:from>
    <xdr:to>
      <xdr:col>3</xdr:col>
      <xdr:colOff>178594</xdr:colOff>
      <xdr:row>828</xdr:row>
      <xdr:rowOff>59531</xdr:rowOff>
    </xdr:to>
    <xdr:cxnSp macro="">
      <xdr:nvCxnSpPr>
        <xdr:cNvPr id="1485" name="Straight Connector 1484"/>
        <xdr:cNvCxnSpPr/>
      </xdr:nvCxnSpPr>
      <xdr:spPr>
        <a:xfrm>
          <a:off x="2849796" y="15415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827</xdr:row>
      <xdr:rowOff>35719</xdr:rowOff>
    </xdr:from>
    <xdr:to>
      <xdr:col>3</xdr:col>
      <xdr:colOff>285750</xdr:colOff>
      <xdr:row>827</xdr:row>
      <xdr:rowOff>154781</xdr:rowOff>
    </xdr:to>
    <xdr:cxnSp macro="">
      <xdr:nvCxnSpPr>
        <xdr:cNvPr id="1486" name="Straight Connector 1485"/>
        <xdr:cNvCxnSpPr/>
      </xdr:nvCxnSpPr>
      <xdr:spPr>
        <a:xfrm>
          <a:off x="2885515" y="15410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836</xdr:row>
      <xdr:rowOff>124558</xdr:rowOff>
    </xdr:from>
    <xdr:to>
      <xdr:col>3</xdr:col>
      <xdr:colOff>381000</xdr:colOff>
      <xdr:row>839</xdr:row>
      <xdr:rowOff>124558</xdr:rowOff>
    </xdr:to>
    <xdr:cxnSp macro="">
      <xdr:nvCxnSpPr>
        <xdr:cNvPr id="1487" name="Straight Connector 1486"/>
        <xdr:cNvCxnSpPr/>
      </xdr:nvCxnSpPr>
      <xdr:spPr>
        <a:xfrm flipH="1">
          <a:off x="2720149" y="155908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836</xdr:row>
      <xdr:rowOff>139212</xdr:rowOff>
    </xdr:from>
    <xdr:to>
      <xdr:col>4</xdr:col>
      <xdr:colOff>116773</xdr:colOff>
      <xdr:row>839</xdr:row>
      <xdr:rowOff>117231</xdr:rowOff>
    </xdr:to>
    <xdr:cxnSp macro="">
      <xdr:nvCxnSpPr>
        <xdr:cNvPr id="1488" name="Straight Connector 1487"/>
        <xdr:cNvCxnSpPr/>
      </xdr:nvCxnSpPr>
      <xdr:spPr>
        <a:xfrm>
          <a:off x="3171265" y="155923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839</xdr:row>
      <xdr:rowOff>118956</xdr:rowOff>
    </xdr:from>
    <xdr:to>
      <xdr:col>4</xdr:col>
      <xdr:colOff>134902</xdr:colOff>
      <xdr:row>839</xdr:row>
      <xdr:rowOff>118956</xdr:rowOff>
    </xdr:to>
    <xdr:cxnSp macro="">
      <xdr:nvCxnSpPr>
        <xdr:cNvPr id="1489" name="Straight Connector 1488"/>
        <xdr:cNvCxnSpPr/>
      </xdr:nvCxnSpPr>
      <xdr:spPr>
        <a:xfrm>
          <a:off x="2713118" y="156474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837</xdr:row>
      <xdr:rowOff>36635</xdr:rowOff>
    </xdr:from>
    <xdr:to>
      <xdr:col>3</xdr:col>
      <xdr:colOff>300404</xdr:colOff>
      <xdr:row>838</xdr:row>
      <xdr:rowOff>45337</xdr:rowOff>
    </xdr:to>
    <xdr:cxnSp macro="">
      <xdr:nvCxnSpPr>
        <xdr:cNvPr id="1490" name="Straight Connector 1489"/>
        <xdr:cNvCxnSpPr/>
      </xdr:nvCxnSpPr>
      <xdr:spPr>
        <a:xfrm flipH="1">
          <a:off x="3085174" y="156011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837</xdr:row>
      <xdr:rowOff>25749</xdr:rowOff>
    </xdr:from>
    <xdr:to>
      <xdr:col>3</xdr:col>
      <xdr:colOff>472128</xdr:colOff>
      <xdr:row>838</xdr:row>
      <xdr:rowOff>36635</xdr:rowOff>
    </xdr:to>
    <xdr:cxnSp macro="">
      <xdr:nvCxnSpPr>
        <xdr:cNvPr id="1491" name="Straight Connector 1490"/>
        <xdr:cNvCxnSpPr/>
      </xdr:nvCxnSpPr>
      <xdr:spPr>
        <a:xfrm>
          <a:off x="3244534" y="156000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827</xdr:row>
      <xdr:rowOff>44824</xdr:rowOff>
    </xdr:from>
    <xdr:to>
      <xdr:col>3</xdr:col>
      <xdr:colOff>67235</xdr:colOff>
      <xdr:row>829</xdr:row>
      <xdr:rowOff>156883</xdr:rowOff>
    </xdr:to>
    <xdr:cxnSp macro="">
      <xdr:nvCxnSpPr>
        <xdr:cNvPr id="1492" name="Straight Connector 1491"/>
        <xdr:cNvCxnSpPr/>
      </xdr:nvCxnSpPr>
      <xdr:spPr>
        <a:xfrm>
          <a:off x="2857500" y="15411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829</xdr:row>
      <xdr:rowOff>166690</xdr:rowOff>
    </xdr:from>
    <xdr:to>
      <xdr:col>4</xdr:col>
      <xdr:colOff>29308</xdr:colOff>
      <xdr:row>829</xdr:row>
      <xdr:rowOff>168519</xdr:rowOff>
    </xdr:to>
    <xdr:cxnSp macro="">
      <xdr:nvCxnSpPr>
        <xdr:cNvPr id="1493" name="Straight Connector 1492"/>
        <xdr:cNvCxnSpPr/>
      </xdr:nvCxnSpPr>
      <xdr:spPr>
        <a:xfrm>
          <a:off x="2849796" y="15461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827</xdr:row>
      <xdr:rowOff>41673</xdr:rowOff>
    </xdr:from>
    <xdr:to>
      <xdr:col>4</xdr:col>
      <xdr:colOff>12211</xdr:colOff>
      <xdr:row>830</xdr:row>
      <xdr:rowOff>0</xdr:rowOff>
    </xdr:to>
    <xdr:cxnSp macro="">
      <xdr:nvCxnSpPr>
        <xdr:cNvPr id="1494" name="Straight Connector 1493"/>
        <xdr:cNvCxnSpPr/>
      </xdr:nvCxnSpPr>
      <xdr:spPr>
        <a:xfrm flipH="1" flipV="1">
          <a:off x="3507441" y="15411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827</xdr:row>
      <xdr:rowOff>32918</xdr:rowOff>
    </xdr:from>
    <xdr:to>
      <xdr:col>4</xdr:col>
      <xdr:colOff>17861</xdr:colOff>
      <xdr:row>827</xdr:row>
      <xdr:rowOff>35719</xdr:rowOff>
    </xdr:to>
    <xdr:cxnSp macro="">
      <xdr:nvCxnSpPr>
        <xdr:cNvPr id="1495" name="Straight Connector 1494"/>
        <xdr:cNvCxnSpPr/>
      </xdr:nvCxnSpPr>
      <xdr:spPr>
        <a:xfrm flipH="1">
          <a:off x="2849796" y="15410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832</xdr:row>
      <xdr:rowOff>89297</xdr:rowOff>
    </xdr:from>
    <xdr:to>
      <xdr:col>3</xdr:col>
      <xdr:colOff>178594</xdr:colOff>
      <xdr:row>833</xdr:row>
      <xdr:rowOff>59531</xdr:rowOff>
    </xdr:to>
    <xdr:cxnSp macro="">
      <xdr:nvCxnSpPr>
        <xdr:cNvPr id="1496" name="Straight Connector 1495"/>
        <xdr:cNvCxnSpPr/>
      </xdr:nvCxnSpPr>
      <xdr:spPr>
        <a:xfrm>
          <a:off x="2849796" y="15511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832</xdr:row>
      <xdr:rowOff>35719</xdr:rowOff>
    </xdr:from>
    <xdr:to>
      <xdr:col>3</xdr:col>
      <xdr:colOff>285750</xdr:colOff>
      <xdr:row>832</xdr:row>
      <xdr:rowOff>154781</xdr:rowOff>
    </xdr:to>
    <xdr:cxnSp macro="">
      <xdr:nvCxnSpPr>
        <xdr:cNvPr id="1497" name="Straight Connector 1496"/>
        <xdr:cNvCxnSpPr/>
      </xdr:nvCxnSpPr>
      <xdr:spPr>
        <a:xfrm>
          <a:off x="2885515" y="15505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832</xdr:row>
      <xdr:rowOff>44824</xdr:rowOff>
    </xdr:from>
    <xdr:to>
      <xdr:col>3</xdr:col>
      <xdr:colOff>67235</xdr:colOff>
      <xdr:row>834</xdr:row>
      <xdr:rowOff>156883</xdr:rowOff>
    </xdr:to>
    <xdr:cxnSp macro="">
      <xdr:nvCxnSpPr>
        <xdr:cNvPr id="1498" name="Straight Connector 1497"/>
        <xdr:cNvCxnSpPr/>
      </xdr:nvCxnSpPr>
      <xdr:spPr>
        <a:xfrm>
          <a:off x="2857500" y="15506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834</xdr:row>
      <xdr:rowOff>166690</xdr:rowOff>
    </xdr:from>
    <xdr:to>
      <xdr:col>4</xdr:col>
      <xdr:colOff>29308</xdr:colOff>
      <xdr:row>834</xdr:row>
      <xdr:rowOff>168519</xdr:rowOff>
    </xdr:to>
    <xdr:cxnSp macro="">
      <xdr:nvCxnSpPr>
        <xdr:cNvPr id="1499" name="Straight Connector 1498"/>
        <xdr:cNvCxnSpPr/>
      </xdr:nvCxnSpPr>
      <xdr:spPr>
        <a:xfrm>
          <a:off x="2849796" y="15556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832</xdr:row>
      <xdr:rowOff>41673</xdr:rowOff>
    </xdr:from>
    <xdr:to>
      <xdr:col>4</xdr:col>
      <xdr:colOff>12211</xdr:colOff>
      <xdr:row>835</xdr:row>
      <xdr:rowOff>0</xdr:rowOff>
    </xdr:to>
    <xdr:cxnSp macro="">
      <xdr:nvCxnSpPr>
        <xdr:cNvPr id="1500" name="Straight Connector 1499"/>
        <xdr:cNvCxnSpPr/>
      </xdr:nvCxnSpPr>
      <xdr:spPr>
        <a:xfrm flipH="1" flipV="1">
          <a:off x="3507441" y="15506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832</xdr:row>
      <xdr:rowOff>32918</xdr:rowOff>
    </xdr:from>
    <xdr:to>
      <xdr:col>4</xdr:col>
      <xdr:colOff>17861</xdr:colOff>
      <xdr:row>832</xdr:row>
      <xdr:rowOff>35719</xdr:rowOff>
    </xdr:to>
    <xdr:cxnSp macro="">
      <xdr:nvCxnSpPr>
        <xdr:cNvPr id="1501" name="Straight Connector 1500"/>
        <xdr:cNvCxnSpPr/>
      </xdr:nvCxnSpPr>
      <xdr:spPr>
        <a:xfrm flipH="1">
          <a:off x="2849796" y="15505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841</xdr:row>
      <xdr:rowOff>124558</xdr:rowOff>
    </xdr:from>
    <xdr:to>
      <xdr:col>3</xdr:col>
      <xdr:colOff>381000</xdr:colOff>
      <xdr:row>844</xdr:row>
      <xdr:rowOff>124558</xdr:rowOff>
    </xdr:to>
    <xdr:cxnSp macro="">
      <xdr:nvCxnSpPr>
        <xdr:cNvPr id="1502" name="Straight Connector 1501"/>
        <xdr:cNvCxnSpPr/>
      </xdr:nvCxnSpPr>
      <xdr:spPr>
        <a:xfrm flipH="1">
          <a:off x="2720149" y="156861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841</xdr:row>
      <xdr:rowOff>139212</xdr:rowOff>
    </xdr:from>
    <xdr:to>
      <xdr:col>4</xdr:col>
      <xdr:colOff>116773</xdr:colOff>
      <xdr:row>844</xdr:row>
      <xdr:rowOff>117231</xdr:rowOff>
    </xdr:to>
    <xdr:cxnSp macro="">
      <xdr:nvCxnSpPr>
        <xdr:cNvPr id="1503" name="Straight Connector 1502"/>
        <xdr:cNvCxnSpPr/>
      </xdr:nvCxnSpPr>
      <xdr:spPr>
        <a:xfrm>
          <a:off x="3171265" y="156875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844</xdr:row>
      <xdr:rowOff>118956</xdr:rowOff>
    </xdr:from>
    <xdr:to>
      <xdr:col>4</xdr:col>
      <xdr:colOff>134902</xdr:colOff>
      <xdr:row>844</xdr:row>
      <xdr:rowOff>118956</xdr:rowOff>
    </xdr:to>
    <xdr:cxnSp macro="">
      <xdr:nvCxnSpPr>
        <xdr:cNvPr id="1504" name="Straight Connector 1503"/>
        <xdr:cNvCxnSpPr/>
      </xdr:nvCxnSpPr>
      <xdr:spPr>
        <a:xfrm>
          <a:off x="2713118" y="157427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842</xdr:row>
      <xdr:rowOff>36635</xdr:rowOff>
    </xdr:from>
    <xdr:to>
      <xdr:col>3</xdr:col>
      <xdr:colOff>300404</xdr:colOff>
      <xdr:row>843</xdr:row>
      <xdr:rowOff>45337</xdr:rowOff>
    </xdr:to>
    <xdr:cxnSp macro="">
      <xdr:nvCxnSpPr>
        <xdr:cNvPr id="1505" name="Straight Connector 1504"/>
        <xdr:cNvCxnSpPr/>
      </xdr:nvCxnSpPr>
      <xdr:spPr>
        <a:xfrm flipH="1">
          <a:off x="3085174" y="156963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842</xdr:row>
      <xdr:rowOff>25749</xdr:rowOff>
    </xdr:from>
    <xdr:to>
      <xdr:col>3</xdr:col>
      <xdr:colOff>472128</xdr:colOff>
      <xdr:row>843</xdr:row>
      <xdr:rowOff>36635</xdr:rowOff>
    </xdr:to>
    <xdr:cxnSp macro="">
      <xdr:nvCxnSpPr>
        <xdr:cNvPr id="1506" name="Straight Connector 1505"/>
        <xdr:cNvCxnSpPr/>
      </xdr:nvCxnSpPr>
      <xdr:spPr>
        <a:xfrm>
          <a:off x="3244534" y="156952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878</xdr:row>
      <xdr:rowOff>89297</xdr:rowOff>
    </xdr:from>
    <xdr:to>
      <xdr:col>3</xdr:col>
      <xdr:colOff>178594</xdr:colOff>
      <xdr:row>879</xdr:row>
      <xdr:rowOff>59531</xdr:rowOff>
    </xdr:to>
    <xdr:cxnSp macro="">
      <xdr:nvCxnSpPr>
        <xdr:cNvPr id="1507" name="Straight Connector 1506"/>
        <xdr:cNvCxnSpPr/>
      </xdr:nvCxnSpPr>
      <xdr:spPr>
        <a:xfrm>
          <a:off x="2849796" y="16311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878</xdr:row>
      <xdr:rowOff>35719</xdr:rowOff>
    </xdr:from>
    <xdr:to>
      <xdr:col>3</xdr:col>
      <xdr:colOff>285750</xdr:colOff>
      <xdr:row>878</xdr:row>
      <xdr:rowOff>154781</xdr:rowOff>
    </xdr:to>
    <xdr:cxnSp macro="">
      <xdr:nvCxnSpPr>
        <xdr:cNvPr id="1508" name="Straight Connector 1507"/>
        <xdr:cNvCxnSpPr/>
      </xdr:nvCxnSpPr>
      <xdr:spPr>
        <a:xfrm>
          <a:off x="2885515" y="16305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887</xdr:row>
      <xdr:rowOff>124558</xdr:rowOff>
    </xdr:from>
    <xdr:to>
      <xdr:col>3</xdr:col>
      <xdr:colOff>381000</xdr:colOff>
      <xdr:row>890</xdr:row>
      <xdr:rowOff>124558</xdr:rowOff>
    </xdr:to>
    <xdr:cxnSp macro="">
      <xdr:nvCxnSpPr>
        <xdr:cNvPr id="1509" name="Straight Connector 1508"/>
        <xdr:cNvCxnSpPr/>
      </xdr:nvCxnSpPr>
      <xdr:spPr>
        <a:xfrm flipH="1">
          <a:off x="2720149" y="164862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887</xdr:row>
      <xdr:rowOff>139212</xdr:rowOff>
    </xdr:from>
    <xdr:to>
      <xdr:col>4</xdr:col>
      <xdr:colOff>116773</xdr:colOff>
      <xdr:row>890</xdr:row>
      <xdr:rowOff>117231</xdr:rowOff>
    </xdr:to>
    <xdr:cxnSp macro="">
      <xdr:nvCxnSpPr>
        <xdr:cNvPr id="1510" name="Straight Connector 1509"/>
        <xdr:cNvCxnSpPr/>
      </xdr:nvCxnSpPr>
      <xdr:spPr>
        <a:xfrm>
          <a:off x="3171265" y="164876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890</xdr:row>
      <xdr:rowOff>118956</xdr:rowOff>
    </xdr:from>
    <xdr:to>
      <xdr:col>4</xdr:col>
      <xdr:colOff>134902</xdr:colOff>
      <xdr:row>890</xdr:row>
      <xdr:rowOff>118956</xdr:rowOff>
    </xdr:to>
    <xdr:cxnSp macro="">
      <xdr:nvCxnSpPr>
        <xdr:cNvPr id="1511" name="Straight Connector 1510"/>
        <xdr:cNvCxnSpPr/>
      </xdr:nvCxnSpPr>
      <xdr:spPr>
        <a:xfrm>
          <a:off x="2713118" y="165428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888</xdr:row>
      <xdr:rowOff>36635</xdr:rowOff>
    </xdr:from>
    <xdr:to>
      <xdr:col>3</xdr:col>
      <xdr:colOff>300404</xdr:colOff>
      <xdr:row>889</xdr:row>
      <xdr:rowOff>45337</xdr:rowOff>
    </xdr:to>
    <xdr:cxnSp macro="">
      <xdr:nvCxnSpPr>
        <xdr:cNvPr id="1512" name="Straight Connector 1511"/>
        <xdr:cNvCxnSpPr/>
      </xdr:nvCxnSpPr>
      <xdr:spPr>
        <a:xfrm flipH="1">
          <a:off x="3085174" y="164964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888</xdr:row>
      <xdr:rowOff>25749</xdr:rowOff>
    </xdr:from>
    <xdr:to>
      <xdr:col>3</xdr:col>
      <xdr:colOff>472128</xdr:colOff>
      <xdr:row>889</xdr:row>
      <xdr:rowOff>36635</xdr:rowOff>
    </xdr:to>
    <xdr:cxnSp macro="">
      <xdr:nvCxnSpPr>
        <xdr:cNvPr id="1513" name="Straight Connector 1512"/>
        <xdr:cNvCxnSpPr/>
      </xdr:nvCxnSpPr>
      <xdr:spPr>
        <a:xfrm>
          <a:off x="3244534" y="164953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878</xdr:row>
      <xdr:rowOff>44824</xdr:rowOff>
    </xdr:from>
    <xdr:to>
      <xdr:col>3</xdr:col>
      <xdr:colOff>67235</xdr:colOff>
      <xdr:row>880</xdr:row>
      <xdr:rowOff>156883</xdr:rowOff>
    </xdr:to>
    <xdr:cxnSp macro="">
      <xdr:nvCxnSpPr>
        <xdr:cNvPr id="1514" name="Straight Connector 1513"/>
        <xdr:cNvCxnSpPr/>
      </xdr:nvCxnSpPr>
      <xdr:spPr>
        <a:xfrm>
          <a:off x="2857500" y="16306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880</xdr:row>
      <xdr:rowOff>166690</xdr:rowOff>
    </xdr:from>
    <xdr:to>
      <xdr:col>4</xdr:col>
      <xdr:colOff>29308</xdr:colOff>
      <xdr:row>880</xdr:row>
      <xdr:rowOff>168519</xdr:rowOff>
    </xdr:to>
    <xdr:cxnSp macro="">
      <xdr:nvCxnSpPr>
        <xdr:cNvPr id="1515" name="Straight Connector 1514"/>
        <xdr:cNvCxnSpPr/>
      </xdr:nvCxnSpPr>
      <xdr:spPr>
        <a:xfrm>
          <a:off x="2849796" y="16357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878</xdr:row>
      <xdr:rowOff>41673</xdr:rowOff>
    </xdr:from>
    <xdr:to>
      <xdr:col>4</xdr:col>
      <xdr:colOff>12211</xdr:colOff>
      <xdr:row>881</xdr:row>
      <xdr:rowOff>0</xdr:rowOff>
    </xdr:to>
    <xdr:cxnSp macro="">
      <xdr:nvCxnSpPr>
        <xdr:cNvPr id="1516" name="Straight Connector 1515"/>
        <xdr:cNvCxnSpPr/>
      </xdr:nvCxnSpPr>
      <xdr:spPr>
        <a:xfrm flipH="1" flipV="1">
          <a:off x="3507441" y="16306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878</xdr:row>
      <xdr:rowOff>32918</xdr:rowOff>
    </xdr:from>
    <xdr:to>
      <xdr:col>4</xdr:col>
      <xdr:colOff>17861</xdr:colOff>
      <xdr:row>878</xdr:row>
      <xdr:rowOff>35719</xdr:rowOff>
    </xdr:to>
    <xdr:cxnSp macro="">
      <xdr:nvCxnSpPr>
        <xdr:cNvPr id="1517" name="Straight Connector 1516"/>
        <xdr:cNvCxnSpPr/>
      </xdr:nvCxnSpPr>
      <xdr:spPr>
        <a:xfrm flipH="1">
          <a:off x="2849796" y="16305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883</xdr:row>
      <xdr:rowOff>89297</xdr:rowOff>
    </xdr:from>
    <xdr:to>
      <xdr:col>3</xdr:col>
      <xdr:colOff>178594</xdr:colOff>
      <xdr:row>884</xdr:row>
      <xdr:rowOff>59531</xdr:rowOff>
    </xdr:to>
    <xdr:cxnSp macro="">
      <xdr:nvCxnSpPr>
        <xdr:cNvPr id="1518" name="Straight Connector 1517"/>
        <xdr:cNvCxnSpPr/>
      </xdr:nvCxnSpPr>
      <xdr:spPr>
        <a:xfrm>
          <a:off x="2849796" y="164064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883</xdr:row>
      <xdr:rowOff>35719</xdr:rowOff>
    </xdr:from>
    <xdr:to>
      <xdr:col>3</xdr:col>
      <xdr:colOff>285750</xdr:colOff>
      <xdr:row>883</xdr:row>
      <xdr:rowOff>154781</xdr:rowOff>
    </xdr:to>
    <xdr:cxnSp macro="">
      <xdr:nvCxnSpPr>
        <xdr:cNvPr id="1519" name="Straight Connector 1518"/>
        <xdr:cNvCxnSpPr/>
      </xdr:nvCxnSpPr>
      <xdr:spPr>
        <a:xfrm>
          <a:off x="2885515" y="164011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883</xdr:row>
      <xdr:rowOff>44824</xdr:rowOff>
    </xdr:from>
    <xdr:to>
      <xdr:col>3</xdr:col>
      <xdr:colOff>67235</xdr:colOff>
      <xdr:row>885</xdr:row>
      <xdr:rowOff>156883</xdr:rowOff>
    </xdr:to>
    <xdr:cxnSp macro="">
      <xdr:nvCxnSpPr>
        <xdr:cNvPr id="1520" name="Straight Connector 1519"/>
        <xdr:cNvCxnSpPr/>
      </xdr:nvCxnSpPr>
      <xdr:spPr>
        <a:xfrm>
          <a:off x="2857500" y="164020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885</xdr:row>
      <xdr:rowOff>166690</xdr:rowOff>
    </xdr:from>
    <xdr:to>
      <xdr:col>4</xdr:col>
      <xdr:colOff>29308</xdr:colOff>
      <xdr:row>885</xdr:row>
      <xdr:rowOff>168519</xdr:rowOff>
    </xdr:to>
    <xdr:cxnSp macro="">
      <xdr:nvCxnSpPr>
        <xdr:cNvPr id="1521" name="Straight Connector 1520"/>
        <xdr:cNvCxnSpPr/>
      </xdr:nvCxnSpPr>
      <xdr:spPr>
        <a:xfrm>
          <a:off x="2849796" y="164523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883</xdr:row>
      <xdr:rowOff>41673</xdr:rowOff>
    </xdr:from>
    <xdr:to>
      <xdr:col>4</xdr:col>
      <xdr:colOff>12211</xdr:colOff>
      <xdr:row>886</xdr:row>
      <xdr:rowOff>0</xdr:rowOff>
    </xdr:to>
    <xdr:cxnSp macro="">
      <xdr:nvCxnSpPr>
        <xdr:cNvPr id="1522" name="Straight Connector 1521"/>
        <xdr:cNvCxnSpPr/>
      </xdr:nvCxnSpPr>
      <xdr:spPr>
        <a:xfrm flipH="1" flipV="1">
          <a:off x="3507441" y="164017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883</xdr:row>
      <xdr:rowOff>32918</xdr:rowOff>
    </xdr:from>
    <xdr:to>
      <xdr:col>4</xdr:col>
      <xdr:colOff>17861</xdr:colOff>
      <xdr:row>883</xdr:row>
      <xdr:rowOff>35719</xdr:rowOff>
    </xdr:to>
    <xdr:cxnSp macro="">
      <xdr:nvCxnSpPr>
        <xdr:cNvPr id="1523" name="Straight Connector 1522"/>
        <xdr:cNvCxnSpPr/>
      </xdr:nvCxnSpPr>
      <xdr:spPr>
        <a:xfrm flipH="1">
          <a:off x="2849796" y="164008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892</xdr:row>
      <xdr:rowOff>124558</xdr:rowOff>
    </xdr:from>
    <xdr:to>
      <xdr:col>3</xdr:col>
      <xdr:colOff>381000</xdr:colOff>
      <xdr:row>895</xdr:row>
      <xdr:rowOff>124558</xdr:rowOff>
    </xdr:to>
    <xdr:cxnSp macro="">
      <xdr:nvCxnSpPr>
        <xdr:cNvPr id="1524" name="Straight Connector 1523"/>
        <xdr:cNvCxnSpPr/>
      </xdr:nvCxnSpPr>
      <xdr:spPr>
        <a:xfrm flipH="1">
          <a:off x="2720149" y="165814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892</xdr:row>
      <xdr:rowOff>139212</xdr:rowOff>
    </xdr:from>
    <xdr:to>
      <xdr:col>4</xdr:col>
      <xdr:colOff>116773</xdr:colOff>
      <xdr:row>895</xdr:row>
      <xdr:rowOff>117231</xdr:rowOff>
    </xdr:to>
    <xdr:cxnSp macro="">
      <xdr:nvCxnSpPr>
        <xdr:cNvPr id="1525" name="Straight Connector 1524"/>
        <xdr:cNvCxnSpPr/>
      </xdr:nvCxnSpPr>
      <xdr:spPr>
        <a:xfrm>
          <a:off x="3171265" y="165829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895</xdr:row>
      <xdr:rowOff>118956</xdr:rowOff>
    </xdr:from>
    <xdr:to>
      <xdr:col>4</xdr:col>
      <xdr:colOff>134902</xdr:colOff>
      <xdr:row>895</xdr:row>
      <xdr:rowOff>118956</xdr:rowOff>
    </xdr:to>
    <xdr:cxnSp macro="">
      <xdr:nvCxnSpPr>
        <xdr:cNvPr id="1526" name="Straight Connector 1525"/>
        <xdr:cNvCxnSpPr/>
      </xdr:nvCxnSpPr>
      <xdr:spPr>
        <a:xfrm>
          <a:off x="2713118" y="166380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893</xdr:row>
      <xdr:rowOff>36635</xdr:rowOff>
    </xdr:from>
    <xdr:to>
      <xdr:col>3</xdr:col>
      <xdr:colOff>300404</xdr:colOff>
      <xdr:row>894</xdr:row>
      <xdr:rowOff>45337</xdr:rowOff>
    </xdr:to>
    <xdr:cxnSp macro="">
      <xdr:nvCxnSpPr>
        <xdr:cNvPr id="1527" name="Straight Connector 1526"/>
        <xdr:cNvCxnSpPr/>
      </xdr:nvCxnSpPr>
      <xdr:spPr>
        <a:xfrm flipH="1">
          <a:off x="3085174" y="165917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893</xdr:row>
      <xdr:rowOff>25749</xdr:rowOff>
    </xdr:from>
    <xdr:to>
      <xdr:col>3</xdr:col>
      <xdr:colOff>472128</xdr:colOff>
      <xdr:row>894</xdr:row>
      <xdr:rowOff>36635</xdr:rowOff>
    </xdr:to>
    <xdr:cxnSp macro="">
      <xdr:nvCxnSpPr>
        <xdr:cNvPr id="1528" name="Straight Connector 1527"/>
        <xdr:cNvCxnSpPr/>
      </xdr:nvCxnSpPr>
      <xdr:spPr>
        <a:xfrm>
          <a:off x="3244534" y="165906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898</xdr:row>
      <xdr:rowOff>35719</xdr:rowOff>
    </xdr:from>
    <xdr:to>
      <xdr:col>3</xdr:col>
      <xdr:colOff>428625</xdr:colOff>
      <xdr:row>900</xdr:row>
      <xdr:rowOff>178594</xdr:rowOff>
    </xdr:to>
    <xdr:cxnSp macro="">
      <xdr:nvCxnSpPr>
        <xdr:cNvPr id="1529" name="Straight Connector 1528"/>
        <xdr:cNvCxnSpPr/>
      </xdr:nvCxnSpPr>
      <xdr:spPr>
        <a:xfrm>
          <a:off x="3218890" y="166868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900</xdr:row>
      <xdr:rowOff>95249</xdr:rowOff>
    </xdr:from>
    <xdr:to>
      <xdr:col>3</xdr:col>
      <xdr:colOff>571500</xdr:colOff>
      <xdr:row>900</xdr:row>
      <xdr:rowOff>154780</xdr:rowOff>
    </xdr:to>
    <xdr:cxnSp macro="">
      <xdr:nvCxnSpPr>
        <xdr:cNvPr id="1530" name="Straight Connector 1529"/>
        <xdr:cNvCxnSpPr/>
      </xdr:nvCxnSpPr>
      <xdr:spPr>
        <a:xfrm flipH="1">
          <a:off x="3218890" y="167309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898</xdr:row>
      <xdr:rowOff>47625</xdr:rowOff>
    </xdr:from>
    <xdr:to>
      <xdr:col>3</xdr:col>
      <xdr:colOff>595313</xdr:colOff>
      <xdr:row>898</xdr:row>
      <xdr:rowOff>119062</xdr:rowOff>
    </xdr:to>
    <xdr:cxnSp macro="">
      <xdr:nvCxnSpPr>
        <xdr:cNvPr id="1531" name="Straight Connector 1530"/>
        <xdr:cNvCxnSpPr/>
      </xdr:nvCxnSpPr>
      <xdr:spPr>
        <a:xfrm>
          <a:off x="3218890" y="166880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901</xdr:row>
      <xdr:rowOff>297027</xdr:rowOff>
    </xdr:from>
    <xdr:to>
      <xdr:col>3</xdr:col>
      <xdr:colOff>392907</xdr:colOff>
      <xdr:row>905</xdr:row>
      <xdr:rowOff>154781</xdr:rowOff>
    </xdr:to>
    <xdr:cxnSp macro="">
      <xdr:nvCxnSpPr>
        <xdr:cNvPr id="1532" name="Straight Connector 1531"/>
        <xdr:cNvCxnSpPr/>
      </xdr:nvCxnSpPr>
      <xdr:spPr>
        <a:xfrm>
          <a:off x="3175346" y="161691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901</xdr:row>
      <xdr:rowOff>305147</xdr:rowOff>
    </xdr:from>
    <xdr:to>
      <xdr:col>3</xdr:col>
      <xdr:colOff>130969</xdr:colOff>
      <xdr:row>903</xdr:row>
      <xdr:rowOff>11906</xdr:rowOff>
    </xdr:to>
    <xdr:cxnSp macro="">
      <xdr:nvCxnSpPr>
        <xdr:cNvPr id="1533" name="Straight Arrow Connector 1532"/>
        <xdr:cNvCxnSpPr/>
      </xdr:nvCxnSpPr>
      <xdr:spPr>
        <a:xfrm flipH="1" flipV="1">
          <a:off x="2913960" y="161690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904</xdr:row>
      <xdr:rowOff>11907</xdr:rowOff>
    </xdr:from>
    <xdr:to>
      <xdr:col>3</xdr:col>
      <xdr:colOff>130969</xdr:colOff>
      <xdr:row>905</xdr:row>
      <xdr:rowOff>154782</xdr:rowOff>
    </xdr:to>
    <xdr:cxnSp macro="">
      <xdr:nvCxnSpPr>
        <xdr:cNvPr id="1534" name="Straight Arrow Connector 1533"/>
        <xdr:cNvCxnSpPr/>
      </xdr:nvCxnSpPr>
      <xdr:spPr>
        <a:xfrm>
          <a:off x="2921234" y="162082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909</xdr:row>
      <xdr:rowOff>89297</xdr:rowOff>
    </xdr:from>
    <xdr:to>
      <xdr:col>3</xdr:col>
      <xdr:colOff>178594</xdr:colOff>
      <xdr:row>910</xdr:row>
      <xdr:rowOff>59531</xdr:rowOff>
    </xdr:to>
    <xdr:cxnSp macro="">
      <xdr:nvCxnSpPr>
        <xdr:cNvPr id="1535" name="Straight Connector 1534"/>
        <xdr:cNvCxnSpPr/>
      </xdr:nvCxnSpPr>
      <xdr:spPr>
        <a:xfrm>
          <a:off x="2849796" y="16311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909</xdr:row>
      <xdr:rowOff>35719</xdr:rowOff>
    </xdr:from>
    <xdr:to>
      <xdr:col>3</xdr:col>
      <xdr:colOff>285750</xdr:colOff>
      <xdr:row>909</xdr:row>
      <xdr:rowOff>154781</xdr:rowOff>
    </xdr:to>
    <xdr:cxnSp macro="">
      <xdr:nvCxnSpPr>
        <xdr:cNvPr id="1536" name="Straight Connector 1535"/>
        <xdr:cNvCxnSpPr/>
      </xdr:nvCxnSpPr>
      <xdr:spPr>
        <a:xfrm>
          <a:off x="2885515" y="16305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918</xdr:row>
      <xdr:rowOff>124558</xdr:rowOff>
    </xdr:from>
    <xdr:to>
      <xdr:col>3</xdr:col>
      <xdr:colOff>381000</xdr:colOff>
      <xdr:row>921</xdr:row>
      <xdr:rowOff>124558</xdr:rowOff>
    </xdr:to>
    <xdr:cxnSp macro="">
      <xdr:nvCxnSpPr>
        <xdr:cNvPr id="1537" name="Straight Connector 1536"/>
        <xdr:cNvCxnSpPr/>
      </xdr:nvCxnSpPr>
      <xdr:spPr>
        <a:xfrm flipH="1">
          <a:off x="2720149" y="164862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918</xdr:row>
      <xdr:rowOff>139212</xdr:rowOff>
    </xdr:from>
    <xdr:to>
      <xdr:col>4</xdr:col>
      <xdr:colOff>116773</xdr:colOff>
      <xdr:row>921</xdr:row>
      <xdr:rowOff>117231</xdr:rowOff>
    </xdr:to>
    <xdr:cxnSp macro="">
      <xdr:nvCxnSpPr>
        <xdr:cNvPr id="1538" name="Straight Connector 1537"/>
        <xdr:cNvCxnSpPr/>
      </xdr:nvCxnSpPr>
      <xdr:spPr>
        <a:xfrm>
          <a:off x="3171265" y="164876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921</xdr:row>
      <xdr:rowOff>118956</xdr:rowOff>
    </xdr:from>
    <xdr:to>
      <xdr:col>4</xdr:col>
      <xdr:colOff>134902</xdr:colOff>
      <xdr:row>921</xdr:row>
      <xdr:rowOff>118956</xdr:rowOff>
    </xdr:to>
    <xdr:cxnSp macro="">
      <xdr:nvCxnSpPr>
        <xdr:cNvPr id="1539" name="Straight Connector 1538"/>
        <xdr:cNvCxnSpPr/>
      </xdr:nvCxnSpPr>
      <xdr:spPr>
        <a:xfrm>
          <a:off x="2713118" y="165428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919</xdr:row>
      <xdr:rowOff>36635</xdr:rowOff>
    </xdr:from>
    <xdr:to>
      <xdr:col>3</xdr:col>
      <xdr:colOff>300404</xdr:colOff>
      <xdr:row>920</xdr:row>
      <xdr:rowOff>45337</xdr:rowOff>
    </xdr:to>
    <xdr:cxnSp macro="">
      <xdr:nvCxnSpPr>
        <xdr:cNvPr id="1540" name="Straight Connector 1539"/>
        <xdr:cNvCxnSpPr/>
      </xdr:nvCxnSpPr>
      <xdr:spPr>
        <a:xfrm flipH="1">
          <a:off x="3085174" y="164964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919</xdr:row>
      <xdr:rowOff>25749</xdr:rowOff>
    </xdr:from>
    <xdr:to>
      <xdr:col>3</xdr:col>
      <xdr:colOff>472128</xdr:colOff>
      <xdr:row>920</xdr:row>
      <xdr:rowOff>36635</xdr:rowOff>
    </xdr:to>
    <xdr:cxnSp macro="">
      <xdr:nvCxnSpPr>
        <xdr:cNvPr id="1541" name="Straight Connector 1540"/>
        <xdr:cNvCxnSpPr/>
      </xdr:nvCxnSpPr>
      <xdr:spPr>
        <a:xfrm>
          <a:off x="3244534" y="164953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909</xdr:row>
      <xdr:rowOff>44824</xdr:rowOff>
    </xdr:from>
    <xdr:to>
      <xdr:col>3</xdr:col>
      <xdr:colOff>67235</xdr:colOff>
      <xdr:row>911</xdr:row>
      <xdr:rowOff>156883</xdr:rowOff>
    </xdr:to>
    <xdr:cxnSp macro="">
      <xdr:nvCxnSpPr>
        <xdr:cNvPr id="1542" name="Straight Connector 1541"/>
        <xdr:cNvCxnSpPr/>
      </xdr:nvCxnSpPr>
      <xdr:spPr>
        <a:xfrm>
          <a:off x="2857500" y="16306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911</xdr:row>
      <xdr:rowOff>166690</xdr:rowOff>
    </xdr:from>
    <xdr:to>
      <xdr:col>4</xdr:col>
      <xdr:colOff>29308</xdr:colOff>
      <xdr:row>911</xdr:row>
      <xdr:rowOff>168519</xdr:rowOff>
    </xdr:to>
    <xdr:cxnSp macro="">
      <xdr:nvCxnSpPr>
        <xdr:cNvPr id="1543" name="Straight Connector 1542"/>
        <xdr:cNvCxnSpPr/>
      </xdr:nvCxnSpPr>
      <xdr:spPr>
        <a:xfrm>
          <a:off x="2849796" y="16357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909</xdr:row>
      <xdr:rowOff>41673</xdr:rowOff>
    </xdr:from>
    <xdr:to>
      <xdr:col>4</xdr:col>
      <xdr:colOff>12211</xdr:colOff>
      <xdr:row>912</xdr:row>
      <xdr:rowOff>0</xdr:rowOff>
    </xdr:to>
    <xdr:cxnSp macro="">
      <xdr:nvCxnSpPr>
        <xdr:cNvPr id="1544" name="Straight Connector 1543"/>
        <xdr:cNvCxnSpPr/>
      </xdr:nvCxnSpPr>
      <xdr:spPr>
        <a:xfrm flipH="1" flipV="1">
          <a:off x="3507441" y="16306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909</xdr:row>
      <xdr:rowOff>32918</xdr:rowOff>
    </xdr:from>
    <xdr:to>
      <xdr:col>4</xdr:col>
      <xdr:colOff>17861</xdr:colOff>
      <xdr:row>909</xdr:row>
      <xdr:rowOff>35719</xdr:rowOff>
    </xdr:to>
    <xdr:cxnSp macro="">
      <xdr:nvCxnSpPr>
        <xdr:cNvPr id="1545" name="Straight Connector 1544"/>
        <xdr:cNvCxnSpPr/>
      </xdr:nvCxnSpPr>
      <xdr:spPr>
        <a:xfrm flipH="1">
          <a:off x="2849796" y="16305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914</xdr:row>
      <xdr:rowOff>89297</xdr:rowOff>
    </xdr:from>
    <xdr:to>
      <xdr:col>3</xdr:col>
      <xdr:colOff>178594</xdr:colOff>
      <xdr:row>915</xdr:row>
      <xdr:rowOff>59531</xdr:rowOff>
    </xdr:to>
    <xdr:cxnSp macro="">
      <xdr:nvCxnSpPr>
        <xdr:cNvPr id="1546" name="Straight Connector 1545"/>
        <xdr:cNvCxnSpPr/>
      </xdr:nvCxnSpPr>
      <xdr:spPr>
        <a:xfrm>
          <a:off x="2849796" y="164064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914</xdr:row>
      <xdr:rowOff>35719</xdr:rowOff>
    </xdr:from>
    <xdr:to>
      <xdr:col>3</xdr:col>
      <xdr:colOff>285750</xdr:colOff>
      <xdr:row>914</xdr:row>
      <xdr:rowOff>154781</xdr:rowOff>
    </xdr:to>
    <xdr:cxnSp macro="">
      <xdr:nvCxnSpPr>
        <xdr:cNvPr id="1547" name="Straight Connector 1546"/>
        <xdr:cNvCxnSpPr/>
      </xdr:nvCxnSpPr>
      <xdr:spPr>
        <a:xfrm>
          <a:off x="2885515" y="164011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914</xdr:row>
      <xdr:rowOff>44824</xdr:rowOff>
    </xdr:from>
    <xdr:to>
      <xdr:col>3</xdr:col>
      <xdr:colOff>67235</xdr:colOff>
      <xdr:row>916</xdr:row>
      <xdr:rowOff>156883</xdr:rowOff>
    </xdr:to>
    <xdr:cxnSp macro="">
      <xdr:nvCxnSpPr>
        <xdr:cNvPr id="1548" name="Straight Connector 1547"/>
        <xdr:cNvCxnSpPr/>
      </xdr:nvCxnSpPr>
      <xdr:spPr>
        <a:xfrm>
          <a:off x="2857500" y="164020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916</xdr:row>
      <xdr:rowOff>166690</xdr:rowOff>
    </xdr:from>
    <xdr:to>
      <xdr:col>4</xdr:col>
      <xdr:colOff>29308</xdr:colOff>
      <xdr:row>916</xdr:row>
      <xdr:rowOff>168519</xdr:rowOff>
    </xdr:to>
    <xdr:cxnSp macro="">
      <xdr:nvCxnSpPr>
        <xdr:cNvPr id="1549" name="Straight Connector 1548"/>
        <xdr:cNvCxnSpPr/>
      </xdr:nvCxnSpPr>
      <xdr:spPr>
        <a:xfrm>
          <a:off x="2849796" y="164523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914</xdr:row>
      <xdr:rowOff>41673</xdr:rowOff>
    </xdr:from>
    <xdr:to>
      <xdr:col>4</xdr:col>
      <xdr:colOff>12211</xdr:colOff>
      <xdr:row>917</xdr:row>
      <xdr:rowOff>0</xdr:rowOff>
    </xdr:to>
    <xdr:cxnSp macro="">
      <xdr:nvCxnSpPr>
        <xdr:cNvPr id="1550" name="Straight Connector 1549"/>
        <xdr:cNvCxnSpPr/>
      </xdr:nvCxnSpPr>
      <xdr:spPr>
        <a:xfrm flipH="1" flipV="1">
          <a:off x="3507441" y="164017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914</xdr:row>
      <xdr:rowOff>32918</xdr:rowOff>
    </xdr:from>
    <xdr:to>
      <xdr:col>4</xdr:col>
      <xdr:colOff>17861</xdr:colOff>
      <xdr:row>914</xdr:row>
      <xdr:rowOff>35719</xdr:rowOff>
    </xdr:to>
    <xdr:cxnSp macro="">
      <xdr:nvCxnSpPr>
        <xdr:cNvPr id="1551" name="Straight Connector 1550"/>
        <xdr:cNvCxnSpPr/>
      </xdr:nvCxnSpPr>
      <xdr:spPr>
        <a:xfrm flipH="1">
          <a:off x="2849796" y="164008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923</xdr:row>
      <xdr:rowOff>124558</xdr:rowOff>
    </xdr:from>
    <xdr:to>
      <xdr:col>3</xdr:col>
      <xdr:colOff>381000</xdr:colOff>
      <xdr:row>926</xdr:row>
      <xdr:rowOff>124558</xdr:rowOff>
    </xdr:to>
    <xdr:cxnSp macro="">
      <xdr:nvCxnSpPr>
        <xdr:cNvPr id="1552" name="Straight Connector 1551"/>
        <xdr:cNvCxnSpPr/>
      </xdr:nvCxnSpPr>
      <xdr:spPr>
        <a:xfrm flipH="1">
          <a:off x="2720149" y="165814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923</xdr:row>
      <xdr:rowOff>139212</xdr:rowOff>
    </xdr:from>
    <xdr:to>
      <xdr:col>4</xdr:col>
      <xdr:colOff>116773</xdr:colOff>
      <xdr:row>926</xdr:row>
      <xdr:rowOff>117231</xdr:rowOff>
    </xdr:to>
    <xdr:cxnSp macro="">
      <xdr:nvCxnSpPr>
        <xdr:cNvPr id="1553" name="Straight Connector 1552"/>
        <xdr:cNvCxnSpPr/>
      </xdr:nvCxnSpPr>
      <xdr:spPr>
        <a:xfrm>
          <a:off x="3171265" y="165829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926</xdr:row>
      <xdr:rowOff>118956</xdr:rowOff>
    </xdr:from>
    <xdr:to>
      <xdr:col>4</xdr:col>
      <xdr:colOff>134902</xdr:colOff>
      <xdr:row>926</xdr:row>
      <xdr:rowOff>118956</xdr:rowOff>
    </xdr:to>
    <xdr:cxnSp macro="">
      <xdr:nvCxnSpPr>
        <xdr:cNvPr id="1554" name="Straight Connector 1553"/>
        <xdr:cNvCxnSpPr/>
      </xdr:nvCxnSpPr>
      <xdr:spPr>
        <a:xfrm>
          <a:off x="2713118" y="166380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924</xdr:row>
      <xdr:rowOff>36635</xdr:rowOff>
    </xdr:from>
    <xdr:to>
      <xdr:col>3</xdr:col>
      <xdr:colOff>300404</xdr:colOff>
      <xdr:row>925</xdr:row>
      <xdr:rowOff>45337</xdr:rowOff>
    </xdr:to>
    <xdr:cxnSp macro="">
      <xdr:nvCxnSpPr>
        <xdr:cNvPr id="1555" name="Straight Connector 1554"/>
        <xdr:cNvCxnSpPr/>
      </xdr:nvCxnSpPr>
      <xdr:spPr>
        <a:xfrm flipH="1">
          <a:off x="3085174" y="165917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924</xdr:row>
      <xdr:rowOff>25749</xdr:rowOff>
    </xdr:from>
    <xdr:to>
      <xdr:col>3</xdr:col>
      <xdr:colOff>472128</xdr:colOff>
      <xdr:row>925</xdr:row>
      <xdr:rowOff>36635</xdr:rowOff>
    </xdr:to>
    <xdr:cxnSp macro="">
      <xdr:nvCxnSpPr>
        <xdr:cNvPr id="1556" name="Straight Connector 1555"/>
        <xdr:cNvCxnSpPr/>
      </xdr:nvCxnSpPr>
      <xdr:spPr>
        <a:xfrm>
          <a:off x="3244534" y="165906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929</xdr:row>
      <xdr:rowOff>35719</xdr:rowOff>
    </xdr:from>
    <xdr:to>
      <xdr:col>3</xdr:col>
      <xdr:colOff>428625</xdr:colOff>
      <xdr:row>931</xdr:row>
      <xdr:rowOff>178594</xdr:rowOff>
    </xdr:to>
    <xdr:cxnSp macro="">
      <xdr:nvCxnSpPr>
        <xdr:cNvPr id="1557" name="Straight Connector 1556"/>
        <xdr:cNvCxnSpPr/>
      </xdr:nvCxnSpPr>
      <xdr:spPr>
        <a:xfrm>
          <a:off x="3218890" y="166868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931</xdr:row>
      <xdr:rowOff>95249</xdr:rowOff>
    </xdr:from>
    <xdr:to>
      <xdr:col>3</xdr:col>
      <xdr:colOff>571500</xdr:colOff>
      <xdr:row>931</xdr:row>
      <xdr:rowOff>154780</xdr:rowOff>
    </xdr:to>
    <xdr:cxnSp macro="">
      <xdr:nvCxnSpPr>
        <xdr:cNvPr id="1558" name="Straight Connector 1557"/>
        <xdr:cNvCxnSpPr/>
      </xdr:nvCxnSpPr>
      <xdr:spPr>
        <a:xfrm flipH="1">
          <a:off x="3218890" y="167309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929</xdr:row>
      <xdr:rowOff>47625</xdr:rowOff>
    </xdr:from>
    <xdr:to>
      <xdr:col>3</xdr:col>
      <xdr:colOff>595313</xdr:colOff>
      <xdr:row>929</xdr:row>
      <xdr:rowOff>119062</xdr:rowOff>
    </xdr:to>
    <xdr:cxnSp macro="">
      <xdr:nvCxnSpPr>
        <xdr:cNvPr id="1559" name="Straight Connector 1558"/>
        <xdr:cNvCxnSpPr/>
      </xdr:nvCxnSpPr>
      <xdr:spPr>
        <a:xfrm>
          <a:off x="3218890" y="166880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901</xdr:row>
      <xdr:rowOff>305147</xdr:rowOff>
    </xdr:from>
    <xdr:to>
      <xdr:col>3</xdr:col>
      <xdr:colOff>130969</xdr:colOff>
      <xdr:row>903</xdr:row>
      <xdr:rowOff>11906</xdr:rowOff>
    </xdr:to>
    <xdr:cxnSp macro="">
      <xdr:nvCxnSpPr>
        <xdr:cNvPr id="1560" name="Straight Arrow Connector 1559"/>
        <xdr:cNvCxnSpPr/>
      </xdr:nvCxnSpPr>
      <xdr:spPr>
        <a:xfrm flipH="1" flipV="1">
          <a:off x="2913960" y="161690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933</xdr:row>
      <xdr:rowOff>89297</xdr:rowOff>
    </xdr:from>
    <xdr:to>
      <xdr:col>3</xdr:col>
      <xdr:colOff>178594</xdr:colOff>
      <xdr:row>934</xdr:row>
      <xdr:rowOff>59531</xdr:rowOff>
    </xdr:to>
    <xdr:cxnSp macro="">
      <xdr:nvCxnSpPr>
        <xdr:cNvPr id="1561" name="Straight Connector 1560"/>
        <xdr:cNvCxnSpPr/>
      </xdr:nvCxnSpPr>
      <xdr:spPr>
        <a:xfrm>
          <a:off x="2849796" y="167684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933</xdr:row>
      <xdr:rowOff>35719</xdr:rowOff>
    </xdr:from>
    <xdr:to>
      <xdr:col>3</xdr:col>
      <xdr:colOff>285750</xdr:colOff>
      <xdr:row>933</xdr:row>
      <xdr:rowOff>154781</xdr:rowOff>
    </xdr:to>
    <xdr:cxnSp macro="">
      <xdr:nvCxnSpPr>
        <xdr:cNvPr id="1562" name="Straight Connector 1561"/>
        <xdr:cNvCxnSpPr/>
      </xdr:nvCxnSpPr>
      <xdr:spPr>
        <a:xfrm>
          <a:off x="2885515" y="167630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942</xdr:row>
      <xdr:rowOff>124558</xdr:rowOff>
    </xdr:from>
    <xdr:to>
      <xdr:col>3</xdr:col>
      <xdr:colOff>381000</xdr:colOff>
      <xdr:row>945</xdr:row>
      <xdr:rowOff>124558</xdr:rowOff>
    </xdr:to>
    <xdr:cxnSp macro="">
      <xdr:nvCxnSpPr>
        <xdr:cNvPr id="1563" name="Straight Connector 1562"/>
        <xdr:cNvCxnSpPr/>
      </xdr:nvCxnSpPr>
      <xdr:spPr>
        <a:xfrm flipH="1">
          <a:off x="2720149" y="169434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942</xdr:row>
      <xdr:rowOff>139212</xdr:rowOff>
    </xdr:from>
    <xdr:to>
      <xdr:col>4</xdr:col>
      <xdr:colOff>116773</xdr:colOff>
      <xdr:row>945</xdr:row>
      <xdr:rowOff>117231</xdr:rowOff>
    </xdr:to>
    <xdr:cxnSp macro="">
      <xdr:nvCxnSpPr>
        <xdr:cNvPr id="1564" name="Straight Connector 1563"/>
        <xdr:cNvCxnSpPr/>
      </xdr:nvCxnSpPr>
      <xdr:spPr>
        <a:xfrm>
          <a:off x="3171265" y="169448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945</xdr:row>
      <xdr:rowOff>118956</xdr:rowOff>
    </xdr:from>
    <xdr:to>
      <xdr:col>4</xdr:col>
      <xdr:colOff>134902</xdr:colOff>
      <xdr:row>945</xdr:row>
      <xdr:rowOff>118956</xdr:rowOff>
    </xdr:to>
    <xdr:cxnSp macro="">
      <xdr:nvCxnSpPr>
        <xdr:cNvPr id="1565" name="Straight Connector 1564"/>
        <xdr:cNvCxnSpPr/>
      </xdr:nvCxnSpPr>
      <xdr:spPr>
        <a:xfrm>
          <a:off x="2713118" y="170000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943</xdr:row>
      <xdr:rowOff>36635</xdr:rowOff>
    </xdr:from>
    <xdr:to>
      <xdr:col>3</xdr:col>
      <xdr:colOff>300404</xdr:colOff>
      <xdr:row>944</xdr:row>
      <xdr:rowOff>45337</xdr:rowOff>
    </xdr:to>
    <xdr:cxnSp macro="">
      <xdr:nvCxnSpPr>
        <xdr:cNvPr id="1566" name="Straight Connector 1565"/>
        <xdr:cNvCxnSpPr/>
      </xdr:nvCxnSpPr>
      <xdr:spPr>
        <a:xfrm flipH="1">
          <a:off x="3085174" y="169536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943</xdr:row>
      <xdr:rowOff>25749</xdr:rowOff>
    </xdr:from>
    <xdr:to>
      <xdr:col>3</xdr:col>
      <xdr:colOff>472128</xdr:colOff>
      <xdr:row>944</xdr:row>
      <xdr:rowOff>36635</xdr:rowOff>
    </xdr:to>
    <xdr:cxnSp macro="">
      <xdr:nvCxnSpPr>
        <xdr:cNvPr id="1567" name="Straight Connector 1566"/>
        <xdr:cNvCxnSpPr/>
      </xdr:nvCxnSpPr>
      <xdr:spPr>
        <a:xfrm>
          <a:off x="3244534" y="169525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933</xdr:row>
      <xdr:rowOff>44824</xdr:rowOff>
    </xdr:from>
    <xdr:to>
      <xdr:col>3</xdr:col>
      <xdr:colOff>67235</xdr:colOff>
      <xdr:row>935</xdr:row>
      <xdr:rowOff>156883</xdr:rowOff>
    </xdr:to>
    <xdr:cxnSp macro="">
      <xdr:nvCxnSpPr>
        <xdr:cNvPr id="1568" name="Straight Connector 1567"/>
        <xdr:cNvCxnSpPr/>
      </xdr:nvCxnSpPr>
      <xdr:spPr>
        <a:xfrm>
          <a:off x="2857500" y="167640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935</xdr:row>
      <xdr:rowOff>166690</xdr:rowOff>
    </xdr:from>
    <xdr:to>
      <xdr:col>4</xdr:col>
      <xdr:colOff>29308</xdr:colOff>
      <xdr:row>935</xdr:row>
      <xdr:rowOff>168519</xdr:rowOff>
    </xdr:to>
    <xdr:cxnSp macro="">
      <xdr:nvCxnSpPr>
        <xdr:cNvPr id="1569" name="Straight Connector 1568"/>
        <xdr:cNvCxnSpPr/>
      </xdr:nvCxnSpPr>
      <xdr:spPr>
        <a:xfrm>
          <a:off x="2849796" y="168142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933</xdr:row>
      <xdr:rowOff>41673</xdr:rowOff>
    </xdr:from>
    <xdr:to>
      <xdr:col>4</xdr:col>
      <xdr:colOff>12211</xdr:colOff>
      <xdr:row>936</xdr:row>
      <xdr:rowOff>0</xdr:rowOff>
    </xdr:to>
    <xdr:cxnSp macro="">
      <xdr:nvCxnSpPr>
        <xdr:cNvPr id="1570" name="Straight Connector 1569"/>
        <xdr:cNvCxnSpPr/>
      </xdr:nvCxnSpPr>
      <xdr:spPr>
        <a:xfrm flipH="1" flipV="1">
          <a:off x="3507441" y="16763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933</xdr:row>
      <xdr:rowOff>32918</xdr:rowOff>
    </xdr:from>
    <xdr:to>
      <xdr:col>4</xdr:col>
      <xdr:colOff>17861</xdr:colOff>
      <xdr:row>933</xdr:row>
      <xdr:rowOff>35719</xdr:rowOff>
    </xdr:to>
    <xdr:cxnSp macro="">
      <xdr:nvCxnSpPr>
        <xdr:cNvPr id="1571" name="Straight Connector 1570"/>
        <xdr:cNvCxnSpPr/>
      </xdr:nvCxnSpPr>
      <xdr:spPr>
        <a:xfrm flipH="1">
          <a:off x="2849796" y="167628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938</xdr:row>
      <xdr:rowOff>89297</xdr:rowOff>
    </xdr:from>
    <xdr:to>
      <xdr:col>3</xdr:col>
      <xdr:colOff>178594</xdr:colOff>
      <xdr:row>939</xdr:row>
      <xdr:rowOff>59531</xdr:rowOff>
    </xdr:to>
    <xdr:cxnSp macro="">
      <xdr:nvCxnSpPr>
        <xdr:cNvPr id="1572" name="Straight Connector 1571"/>
        <xdr:cNvCxnSpPr/>
      </xdr:nvCxnSpPr>
      <xdr:spPr>
        <a:xfrm>
          <a:off x="2849796" y="16863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938</xdr:row>
      <xdr:rowOff>35719</xdr:rowOff>
    </xdr:from>
    <xdr:to>
      <xdr:col>3</xdr:col>
      <xdr:colOff>285750</xdr:colOff>
      <xdr:row>938</xdr:row>
      <xdr:rowOff>154781</xdr:rowOff>
    </xdr:to>
    <xdr:cxnSp macro="">
      <xdr:nvCxnSpPr>
        <xdr:cNvPr id="1573" name="Straight Connector 1572"/>
        <xdr:cNvCxnSpPr/>
      </xdr:nvCxnSpPr>
      <xdr:spPr>
        <a:xfrm>
          <a:off x="2885515" y="16858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938</xdr:row>
      <xdr:rowOff>44824</xdr:rowOff>
    </xdr:from>
    <xdr:to>
      <xdr:col>3</xdr:col>
      <xdr:colOff>67235</xdr:colOff>
      <xdr:row>940</xdr:row>
      <xdr:rowOff>156883</xdr:rowOff>
    </xdr:to>
    <xdr:cxnSp macro="">
      <xdr:nvCxnSpPr>
        <xdr:cNvPr id="1574" name="Straight Connector 1573"/>
        <xdr:cNvCxnSpPr/>
      </xdr:nvCxnSpPr>
      <xdr:spPr>
        <a:xfrm>
          <a:off x="2857500" y="16859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940</xdr:row>
      <xdr:rowOff>166690</xdr:rowOff>
    </xdr:from>
    <xdr:to>
      <xdr:col>4</xdr:col>
      <xdr:colOff>29308</xdr:colOff>
      <xdr:row>940</xdr:row>
      <xdr:rowOff>168519</xdr:rowOff>
    </xdr:to>
    <xdr:cxnSp macro="">
      <xdr:nvCxnSpPr>
        <xdr:cNvPr id="1575" name="Straight Connector 1574"/>
        <xdr:cNvCxnSpPr/>
      </xdr:nvCxnSpPr>
      <xdr:spPr>
        <a:xfrm>
          <a:off x="2849796" y="16909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938</xdr:row>
      <xdr:rowOff>41673</xdr:rowOff>
    </xdr:from>
    <xdr:to>
      <xdr:col>4</xdr:col>
      <xdr:colOff>12211</xdr:colOff>
      <xdr:row>941</xdr:row>
      <xdr:rowOff>0</xdr:rowOff>
    </xdr:to>
    <xdr:cxnSp macro="">
      <xdr:nvCxnSpPr>
        <xdr:cNvPr id="1576" name="Straight Connector 1575"/>
        <xdr:cNvCxnSpPr/>
      </xdr:nvCxnSpPr>
      <xdr:spPr>
        <a:xfrm flipH="1" flipV="1">
          <a:off x="3507441" y="16858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938</xdr:row>
      <xdr:rowOff>32918</xdr:rowOff>
    </xdr:from>
    <xdr:to>
      <xdr:col>4</xdr:col>
      <xdr:colOff>17861</xdr:colOff>
      <xdr:row>938</xdr:row>
      <xdr:rowOff>35719</xdr:rowOff>
    </xdr:to>
    <xdr:cxnSp macro="">
      <xdr:nvCxnSpPr>
        <xdr:cNvPr id="1577" name="Straight Connector 1576"/>
        <xdr:cNvCxnSpPr/>
      </xdr:nvCxnSpPr>
      <xdr:spPr>
        <a:xfrm flipH="1">
          <a:off x="2849796" y="16858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947</xdr:row>
      <xdr:rowOff>124558</xdr:rowOff>
    </xdr:from>
    <xdr:to>
      <xdr:col>3</xdr:col>
      <xdr:colOff>381000</xdr:colOff>
      <xdr:row>950</xdr:row>
      <xdr:rowOff>124558</xdr:rowOff>
    </xdr:to>
    <xdr:cxnSp macro="">
      <xdr:nvCxnSpPr>
        <xdr:cNvPr id="1578" name="Straight Connector 1577"/>
        <xdr:cNvCxnSpPr/>
      </xdr:nvCxnSpPr>
      <xdr:spPr>
        <a:xfrm flipH="1">
          <a:off x="2720149" y="170386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947</xdr:row>
      <xdr:rowOff>139212</xdr:rowOff>
    </xdr:from>
    <xdr:to>
      <xdr:col>4</xdr:col>
      <xdr:colOff>116773</xdr:colOff>
      <xdr:row>950</xdr:row>
      <xdr:rowOff>117231</xdr:rowOff>
    </xdr:to>
    <xdr:cxnSp macro="">
      <xdr:nvCxnSpPr>
        <xdr:cNvPr id="1579" name="Straight Connector 1578"/>
        <xdr:cNvCxnSpPr/>
      </xdr:nvCxnSpPr>
      <xdr:spPr>
        <a:xfrm>
          <a:off x="3171265" y="170401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950</xdr:row>
      <xdr:rowOff>118956</xdr:rowOff>
    </xdr:from>
    <xdr:to>
      <xdr:col>4</xdr:col>
      <xdr:colOff>134902</xdr:colOff>
      <xdr:row>950</xdr:row>
      <xdr:rowOff>118956</xdr:rowOff>
    </xdr:to>
    <xdr:cxnSp macro="">
      <xdr:nvCxnSpPr>
        <xdr:cNvPr id="1580" name="Straight Connector 1579"/>
        <xdr:cNvCxnSpPr/>
      </xdr:nvCxnSpPr>
      <xdr:spPr>
        <a:xfrm>
          <a:off x="2713118" y="170952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948</xdr:row>
      <xdr:rowOff>36635</xdr:rowOff>
    </xdr:from>
    <xdr:to>
      <xdr:col>3</xdr:col>
      <xdr:colOff>300404</xdr:colOff>
      <xdr:row>949</xdr:row>
      <xdr:rowOff>45337</xdr:rowOff>
    </xdr:to>
    <xdr:cxnSp macro="">
      <xdr:nvCxnSpPr>
        <xdr:cNvPr id="1581" name="Straight Connector 1580"/>
        <xdr:cNvCxnSpPr/>
      </xdr:nvCxnSpPr>
      <xdr:spPr>
        <a:xfrm flipH="1">
          <a:off x="3085174" y="170489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948</xdr:row>
      <xdr:rowOff>25749</xdr:rowOff>
    </xdr:from>
    <xdr:to>
      <xdr:col>3</xdr:col>
      <xdr:colOff>472128</xdr:colOff>
      <xdr:row>949</xdr:row>
      <xdr:rowOff>36635</xdr:rowOff>
    </xdr:to>
    <xdr:cxnSp macro="">
      <xdr:nvCxnSpPr>
        <xdr:cNvPr id="1582" name="Straight Connector 1581"/>
        <xdr:cNvCxnSpPr/>
      </xdr:nvCxnSpPr>
      <xdr:spPr>
        <a:xfrm>
          <a:off x="3244534" y="170478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953</xdr:row>
      <xdr:rowOff>35719</xdr:rowOff>
    </xdr:from>
    <xdr:to>
      <xdr:col>3</xdr:col>
      <xdr:colOff>428625</xdr:colOff>
      <xdr:row>955</xdr:row>
      <xdr:rowOff>178594</xdr:rowOff>
    </xdr:to>
    <xdr:cxnSp macro="">
      <xdr:nvCxnSpPr>
        <xdr:cNvPr id="1583" name="Straight Connector 1582"/>
        <xdr:cNvCxnSpPr/>
      </xdr:nvCxnSpPr>
      <xdr:spPr>
        <a:xfrm>
          <a:off x="3218890" y="171440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955</xdr:row>
      <xdr:rowOff>95249</xdr:rowOff>
    </xdr:from>
    <xdr:to>
      <xdr:col>3</xdr:col>
      <xdr:colOff>571500</xdr:colOff>
      <xdr:row>955</xdr:row>
      <xdr:rowOff>154780</xdr:rowOff>
    </xdr:to>
    <xdr:cxnSp macro="">
      <xdr:nvCxnSpPr>
        <xdr:cNvPr id="1584" name="Straight Connector 1583"/>
        <xdr:cNvCxnSpPr/>
      </xdr:nvCxnSpPr>
      <xdr:spPr>
        <a:xfrm flipH="1">
          <a:off x="3218890" y="171881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953</xdr:row>
      <xdr:rowOff>47625</xdr:rowOff>
    </xdr:from>
    <xdr:to>
      <xdr:col>3</xdr:col>
      <xdr:colOff>595313</xdr:colOff>
      <xdr:row>953</xdr:row>
      <xdr:rowOff>119062</xdr:rowOff>
    </xdr:to>
    <xdr:cxnSp macro="">
      <xdr:nvCxnSpPr>
        <xdr:cNvPr id="1585" name="Straight Connector 1584"/>
        <xdr:cNvCxnSpPr/>
      </xdr:nvCxnSpPr>
      <xdr:spPr>
        <a:xfrm>
          <a:off x="3218890" y="171452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989</xdr:row>
      <xdr:rowOff>89297</xdr:rowOff>
    </xdr:from>
    <xdr:to>
      <xdr:col>3</xdr:col>
      <xdr:colOff>178594</xdr:colOff>
      <xdr:row>990</xdr:row>
      <xdr:rowOff>59531</xdr:rowOff>
    </xdr:to>
    <xdr:cxnSp macro="">
      <xdr:nvCxnSpPr>
        <xdr:cNvPr id="1611" name="Straight Connector 1610"/>
        <xdr:cNvCxnSpPr/>
      </xdr:nvCxnSpPr>
      <xdr:spPr>
        <a:xfrm>
          <a:off x="2849796" y="18425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989</xdr:row>
      <xdr:rowOff>35719</xdr:rowOff>
    </xdr:from>
    <xdr:to>
      <xdr:col>3</xdr:col>
      <xdr:colOff>285750</xdr:colOff>
      <xdr:row>989</xdr:row>
      <xdr:rowOff>154781</xdr:rowOff>
    </xdr:to>
    <xdr:cxnSp macro="">
      <xdr:nvCxnSpPr>
        <xdr:cNvPr id="1612" name="Straight Connector 1611"/>
        <xdr:cNvCxnSpPr/>
      </xdr:nvCxnSpPr>
      <xdr:spPr>
        <a:xfrm>
          <a:off x="2885515" y="18420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998</xdr:row>
      <xdr:rowOff>124558</xdr:rowOff>
    </xdr:from>
    <xdr:to>
      <xdr:col>3</xdr:col>
      <xdr:colOff>381000</xdr:colOff>
      <xdr:row>1001</xdr:row>
      <xdr:rowOff>124558</xdr:rowOff>
    </xdr:to>
    <xdr:cxnSp macro="">
      <xdr:nvCxnSpPr>
        <xdr:cNvPr id="1613" name="Straight Connector 1612"/>
        <xdr:cNvCxnSpPr/>
      </xdr:nvCxnSpPr>
      <xdr:spPr>
        <a:xfrm flipH="1">
          <a:off x="2720149" y="18600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998</xdr:row>
      <xdr:rowOff>139212</xdr:rowOff>
    </xdr:from>
    <xdr:to>
      <xdr:col>4</xdr:col>
      <xdr:colOff>116773</xdr:colOff>
      <xdr:row>1001</xdr:row>
      <xdr:rowOff>117231</xdr:rowOff>
    </xdr:to>
    <xdr:cxnSp macro="">
      <xdr:nvCxnSpPr>
        <xdr:cNvPr id="1614" name="Straight Connector 1613"/>
        <xdr:cNvCxnSpPr/>
      </xdr:nvCxnSpPr>
      <xdr:spPr>
        <a:xfrm>
          <a:off x="3171265" y="18602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1001</xdr:row>
      <xdr:rowOff>118956</xdr:rowOff>
    </xdr:from>
    <xdr:to>
      <xdr:col>4</xdr:col>
      <xdr:colOff>134902</xdr:colOff>
      <xdr:row>1001</xdr:row>
      <xdr:rowOff>118956</xdr:rowOff>
    </xdr:to>
    <xdr:cxnSp macro="">
      <xdr:nvCxnSpPr>
        <xdr:cNvPr id="1615" name="Straight Connector 1614"/>
        <xdr:cNvCxnSpPr/>
      </xdr:nvCxnSpPr>
      <xdr:spPr>
        <a:xfrm>
          <a:off x="2713118" y="18657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999</xdr:row>
      <xdr:rowOff>36635</xdr:rowOff>
    </xdr:from>
    <xdr:to>
      <xdr:col>3</xdr:col>
      <xdr:colOff>300404</xdr:colOff>
      <xdr:row>1000</xdr:row>
      <xdr:rowOff>45337</xdr:rowOff>
    </xdr:to>
    <xdr:cxnSp macro="">
      <xdr:nvCxnSpPr>
        <xdr:cNvPr id="1616" name="Straight Connector 1615"/>
        <xdr:cNvCxnSpPr/>
      </xdr:nvCxnSpPr>
      <xdr:spPr>
        <a:xfrm flipH="1">
          <a:off x="3085174" y="18611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999</xdr:row>
      <xdr:rowOff>25749</xdr:rowOff>
    </xdr:from>
    <xdr:to>
      <xdr:col>3</xdr:col>
      <xdr:colOff>472128</xdr:colOff>
      <xdr:row>1000</xdr:row>
      <xdr:rowOff>36635</xdr:rowOff>
    </xdr:to>
    <xdr:cxnSp macro="">
      <xdr:nvCxnSpPr>
        <xdr:cNvPr id="1617" name="Straight Connector 1616"/>
        <xdr:cNvCxnSpPr/>
      </xdr:nvCxnSpPr>
      <xdr:spPr>
        <a:xfrm>
          <a:off x="3244534" y="18609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989</xdr:row>
      <xdr:rowOff>44824</xdr:rowOff>
    </xdr:from>
    <xdr:to>
      <xdr:col>3</xdr:col>
      <xdr:colOff>67235</xdr:colOff>
      <xdr:row>991</xdr:row>
      <xdr:rowOff>156883</xdr:rowOff>
    </xdr:to>
    <xdr:cxnSp macro="">
      <xdr:nvCxnSpPr>
        <xdr:cNvPr id="1618" name="Straight Connector 1617"/>
        <xdr:cNvCxnSpPr/>
      </xdr:nvCxnSpPr>
      <xdr:spPr>
        <a:xfrm>
          <a:off x="2857500" y="18421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991</xdr:row>
      <xdr:rowOff>166690</xdr:rowOff>
    </xdr:from>
    <xdr:to>
      <xdr:col>4</xdr:col>
      <xdr:colOff>29308</xdr:colOff>
      <xdr:row>991</xdr:row>
      <xdr:rowOff>168519</xdr:rowOff>
    </xdr:to>
    <xdr:cxnSp macro="">
      <xdr:nvCxnSpPr>
        <xdr:cNvPr id="1619" name="Straight Connector 1618"/>
        <xdr:cNvCxnSpPr/>
      </xdr:nvCxnSpPr>
      <xdr:spPr>
        <a:xfrm>
          <a:off x="2849796" y="18471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989</xdr:row>
      <xdr:rowOff>41673</xdr:rowOff>
    </xdr:from>
    <xdr:to>
      <xdr:col>4</xdr:col>
      <xdr:colOff>12211</xdr:colOff>
      <xdr:row>992</xdr:row>
      <xdr:rowOff>0</xdr:rowOff>
    </xdr:to>
    <xdr:cxnSp macro="">
      <xdr:nvCxnSpPr>
        <xdr:cNvPr id="1620" name="Straight Connector 1619"/>
        <xdr:cNvCxnSpPr/>
      </xdr:nvCxnSpPr>
      <xdr:spPr>
        <a:xfrm flipH="1" flipV="1">
          <a:off x="3507441" y="18421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989</xdr:row>
      <xdr:rowOff>32918</xdr:rowOff>
    </xdr:from>
    <xdr:to>
      <xdr:col>4</xdr:col>
      <xdr:colOff>17861</xdr:colOff>
      <xdr:row>989</xdr:row>
      <xdr:rowOff>35719</xdr:rowOff>
    </xdr:to>
    <xdr:cxnSp macro="">
      <xdr:nvCxnSpPr>
        <xdr:cNvPr id="1621" name="Straight Connector 1620"/>
        <xdr:cNvCxnSpPr/>
      </xdr:nvCxnSpPr>
      <xdr:spPr>
        <a:xfrm flipH="1">
          <a:off x="2849796" y="18420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994</xdr:row>
      <xdr:rowOff>89297</xdr:rowOff>
    </xdr:from>
    <xdr:to>
      <xdr:col>3</xdr:col>
      <xdr:colOff>178594</xdr:colOff>
      <xdr:row>995</xdr:row>
      <xdr:rowOff>59531</xdr:rowOff>
    </xdr:to>
    <xdr:cxnSp macro="">
      <xdr:nvCxnSpPr>
        <xdr:cNvPr id="1622" name="Straight Connector 1621"/>
        <xdr:cNvCxnSpPr/>
      </xdr:nvCxnSpPr>
      <xdr:spPr>
        <a:xfrm>
          <a:off x="2849796" y="18521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994</xdr:row>
      <xdr:rowOff>35719</xdr:rowOff>
    </xdr:from>
    <xdr:to>
      <xdr:col>3</xdr:col>
      <xdr:colOff>285750</xdr:colOff>
      <xdr:row>994</xdr:row>
      <xdr:rowOff>154781</xdr:rowOff>
    </xdr:to>
    <xdr:cxnSp macro="">
      <xdr:nvCxnSpPr>
        <xdr:cNvPr id="1623" name="Straight Connector 1622"/>
        <xdr:cNvCxnSpPr/>
      </xdr:nvCxnSpPr>
      <xdr:spPr>
        <a:xfrm>
          <a:off x="2885515" y="18515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994</xdr:row>
      <xdr:rowOff>44824</xdr:rowOff>
    </xdr:from>
    <xdr:to>
      <xdr:col>3</xdr:col>
      <xdr:colOff>67235</xdr:colOff>
      <xdr:row>996</xdr:row>
      <xdr:rowOff>156883</xdr:rowOff>
    </xdr:to>
    <xdr:cxnSp macro="">
      <xdr:nvCxnSpPr>
        <xdr:cNvPr id="1624" name="Straight Connector 1623"/>
        <xdr:cNvCxnSpPr/>
      </xdr:nvCxnSpPr>
      <xdr:spPr>
        <a:xfrm>
          <a:off x="2857500" y="18516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996</xdr:row>
      <xdr:rowOff>166690</xdr:rowOff>
    </xdr:from>
    <xdr:to>
      <xdr:col>4</xdr:col>
      <xdr:colOff>29308</xdr:colOff>
      <xdr:row>996</xdr:row>
      <xdr:rowOff>168519</xdr:rowOff>
    </xdr:to>
    <xdr:cxnSp macro="">
      <xdr:nvCxnSpPr>
        <xdr:cNvPr id="1625" name="Straight Connector 1624"/>
        <xdr:cNvCxnSpPr/>
      </xdr:nvCxnSpPr>
      <xdr:spPr>
        <a:xfrm>
          <a:off x="2849796" y="18566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994</xdr:row>
      <xdr:rowOff>41673</xdr:rowOff>
    </xdr:from>
    <xdr:to>
      <xdr:col>4</xdr:col>
      <xdr:colOff>12211</xdr:colOff>
      <xdr:row>997</xdr:row>
      <xdr:rowOff>0</xdr:rowOff>
    </xdr:to>
    <xdr:cxnSp macro="">
      <xdr:nvCxnSpPr>
        <xdr:cNvPr id="1626" name="Straight Connector 1625"/>
        <xdr:cNvCxnSpPr/>
      </xdr:nvCxnSpPr>
      <xdr:spPr>
        <a:xfrm flipH="1" flipV="1">
          <a:off x="3507441" y="18516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994</xdr:row>
      <xdr:rowOff>32918</xdr:rowOff>
    </xdr:from>
    <xdr:to>
      <xdr:col>4</xdr:col>
      <xdr:colOff>17861</xdr:colOff>
      <xdr:row>994</xdr:row>
      <xdr:rowOff>35719</xdr:rowOff>
    </xdr:to>
    <xdr:cxnSp macro="">
      <xdr:nvCxnSpPr>
        <xdr:cNvPr id="1627" name="Straight Connector 1626"/>
        <xdr:cNvCxnSpPr/>
      </xdr:nvCxnSpPr>
      <xdr:spPr>
        <a:xfrm flipH="1">
          <a:off x="2849796" y="18515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1003</xdr:row>
      <xdr:rowOff>124558</xdr:rowOff>
    </xdr:from>
    <xdr:to>
      <xdr:col>3</xdr:col>
      <xdr:colOff>381000</xdr:colOff>
      <xdr:row>1006</xdr:row>
      <xdr:rowOff>124558</xdr:rowOff>
    </xdr:to>
    <xdr:cxnSp macro="">
      <xdr:nvCxnSpPr>
        <xdr:cNvPr id="1628" name="Straight Connector 1627"/>
        <xdr:cNvCxnSpPr/>
      </xdr:nvCxnSpPr>
      <xdr:spPr>
        <a:xfrm flipH="1">
          <a:off x="2720149" y="186960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1003</xdr:row>
      <xdr:rowOff>139212</xdr:rowOff>
    </xdr:from>
    <xdr:to>
      <xdr:col>4</xdr:col>
      <xdr:colOff>116773</xdr:colOff>
      <xdr:row>1006</xdr:row>
      <xdr:rowOff>117231</xdr:rowOff>
    </xdr:to>
    <xdr:cxnSp macro="">
      <xdr:nvCxnSpPr>
        <xdr:cNvPr id="1629" name="Straight Connector 1628"/>
        <xdr:cNvCxnSpPr/>
      </xdr:nvCxnSpPr>
      <xdr:spPr>
        <a:xfrm>
          <a:off x="3171265" y="186974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1006</xdr:row>
      <xdr:rowOff>118956</xdr:rowOff>
    </xdr:from>
    <xdr:to>
      <xdr:col>4</xdr:col>
      <xdr:colOff>134902</xdr:colOff>
      <xdr:row>1006</xdr:row>
      <xdr:rowOff>118956</xdr:rowOff>
    </xdr:to>
    <xdr:cxnSp macro="">
      <xdr:nvCxnSpPr>
        <xdr:cNvPr id="1630" name="Straight Connector 1629"/>
        <xdr:cNvCxnSpPr/>
      </xdr:nvCxnSpPr>
      <xdr:spPr>
        <a:xfrm>
          <a:off x="2713118" y="187526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1004</xdr:row>
      <xdr:rowOff>36635</xdr:rowOff>
    </xdr:from>
    <xdr:to>
      <xdr:col>3</xdr:col>
      <xdr:colOff>300404</xdr:colOff>
      <xdr:row>1005</xdr:row>
      <xdr:rowOff>45337</xdr:rowOff>
    </xdr:to>
    <xdr:cxnSp macro="">
      <xdr:nvCxnSpPr>
        <xdr:cNvPr id="1631" name="Straight Connector 1630"/>
        <xdr:cNvCxnSpPr/>
      </xdr:nvCxnSpPr>
      <xdr:spPr>
        <a:xfrm flipH="1">
          <a:off x="3085174" y="187062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1004</xdr:row>
      <xdr:rowOff>25749</xdr:rowOff>
    </xdr:from>
    <xdr:to>
      <xdr:col>3</xdr:col>
      <xdr:colOff>472128</xdr:colOff>
      <xdr:row>1005</xdr:row>
      <xdr:rowOff>36635</xdr:rowOff>
    </xdr:to>
    <xdr:cxnSp macro="">
      <xdr:nvCxnSpPr>
        <xdr:cNvPr id="1632" name="Straight Connector 1631"/>
        <xdr:cNvCxnSpPr/>
      </xdr:nvCxnSpPr>
      <xdr:spPr>
        <a:xfrm>
          <a:off x="3244534" y="187051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1009</xdr:row>
      <xdr:rowOff>35719</xdr:rowOff>
    </xdr:from>
    <xdr:to>
      <xdr:col>3</xdr:col>
      <xdr:colOff>428625</xdr:colOff>
      <xdr:row>1011</xdr:row>
      <xdr:rowOff>178594</xdr:rowOff>
    </xdr:to>
    <xdr:cxnSp macro="">
      <xdr:nvCxnSpPr>
        <xdr:cNvPr id="1633" name="Straight Connector 1632"/>
        <xdr:cNvCxnSpPr/>
      </xdr:nvCxnSpPr>
      <xdr:spPr>
        <a:xfrm>
          <a:off x="3218890" y="188014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1011</xdr:row>
      <xdr:rowOff>95249</xdr:rowOff>
    </xdr:from>
    <xdr:to>
      <xdr:col>3</xdr:col>
      <xdr:colOff>571500</xdr:colOff>
      <xdr:row>1011</xdr:row>
      <xdr:rowOff>154780</xdr:rowOff>
    </xdr:to>
    <xdr:cxnSp macro="">
      <xdr:nvCxnSpPr>
        <xdr:cNvPr id="1634" name="Straight Connector 1633"/>
        <xdr:cNvCxnSpPr/>
      </xdr:nvCxnSpPr>
      <xdr:spPr>
        <a:xfrm flipH="1">
          <a:off x="3218890" y="188454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1009</xdr:row>
      <xdr:rowOff>47625</xdr:rowOff>
    </xdr:from>
    <xdr:to>
      <xdr:col>3</xdr:col>
      <xdr:colOff>595313</xdr:colOff>
      <xdr:row>1009</xdr:row>
      <xdr:rowOff>119062</xdr:rowOff>
    </xdr:to>
    <xdr:cxnSp macro="">
      <xdr:nvCxnSpPr>
        <xdr:cNvPr id="1635" name="Straight Connector 1634"/>
        <xdr:cNvCxnSpPr/>
      </xdr:nvCxnSpPr>
      <xdr:spPr>
        <a:xfrm>
          <a:off x="3218890" y="188026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1012</xdr:row>
      <xdr:rowOff>297027</xdr:rowOff>
    </xdr:from>
    <xdr:to>
      <xdr:col>3</xdr:col>
      <xdr:colOff>392907</xdr:colOff>
      <xdr:row>1016</xdr:row>
      <xdr:rowOff>154781</xdr:rowOff>
    </xdr:to>
    <xdr:cxnSp macro="">
      <xdr:nvCxnSpPr>
        <xdr:cNvPr id="1636" name="Straight Connector 1635"/>
        <xdr:cNvCxnSpPr/>
      </xdr:nvCxnSpPr>
      <xdr:spPr>
        <a:xfrm>
          <a:off x="3175346" y="1828369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1012</xdr:row>
      <xdr:rowOff>305147</xdr:rowOff>
    </xdr:from>
    <xdr:to>
      <xdr:col>3</xdr:col>
      <xdr:colOff>130969</xdr:colOff>
      <xdr:row>1014</xdr:row>
      <xdr:rowOff>11906</xdr:rowOff>
    </xdr:to>
    <xdr:cxnSp macro="">
      <xdr:nvCxnSpPr>
        <xdr:cNvPr id="1637" name="Straight Arrow Connector 1636"/>
        <xdr:cNvCxnSpPr/>
      </xdr:nvCxnSpPr>
      <xdr:spPr>
        <a:xfrm flipH="1" flipV="1">
          <a:off x="2913960" y="1828355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1015</xdr:row>
      <xdr:rowOff>11907</xdr:rowOff>
    </xdr:from>
    <xdr:to>
      <xdr:col>3</xdr:col>
      <xdr:colOff>130969</xdr:colOff>
      <xdr:row>1016</xdr:row>
      <xdr:rowOff>154782</xdr:rowOff>
    </xdr:to>
    <xdr:cxnSp macro="">
      <xdr:nvCxnSpPr>
        <xdr:cNvPr id="1638" name="Straight Arrow Connector 1637"/>
        <xdr:cNvCxnSpPr/>
      </xdr:nvCxnSpPr>
      <xdr:spPr>
        <a:xfrm>
          <a:off x="2921234" y="1832280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1020</xdr:row>
      <xdr:rowOff>89297</xdr:rowOff>
    </xdr:from>
    <xdr:to>
      <xdr:col>3</xdr:col>
      <xdr:colOff>178594</xdr:colOff>
      <xdr:row>1021</xdr:row>
      <xdr:rowOff>59531</xdr:rowOff>
    </xdr:to>
    <xdr:cxnSp macro="">
      <xdr:nvCxnSpPr>
        <xdr:cNvPr id="1639" name="Straight Connector 1638"/>
        <xdr:cNvCxnSpPr/>
      </xdr:nvCxnSpPr>
      <xdr:spPr>
        <a:xfrm>
          <a:off x="2849796" y="18425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1020</xdr:row>
      <xdr:rowOff>35719</xdr:rowOff>
    </xdr:from>
    <xdr:to>
      <xdr:col>3</xdr:col>
      <xdr:colOff>285750</xdr:colOff>
      <xdr:row>1020</xdr:row>
      <xdr:rowOff>154781</xdr:rowOff>
    </xdr:to>
    <xdr:cxnSp macro="">
      <xdr:nvCxnSpPr>
        <xdr:cNvPr id="1640" name="Straight Connector 1639"/>
        <xdr:cNvCxnSpPr/>
      </xdr:nvCxnSpPr>
      <xdr:spPr>
        <a:xfrm>
          <a:off x="2885515" y="18420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1029</xdr:row>
      <xdr:rowOff>124558</xdr:rowOff>
    </xdr:from>
    <xdr:to>
      <xdr:col>3</xdr:col>
      <xdr:colOff>381000</xdr:colOff>
      <xdr:row>1032</xdr:row>
      <xdr:rowOff>124558</xdr:rowOff>
    </xdr:to>
    <xdr:cxnSp macro="">
      <xdr:nvCxnSpPr>
        <xdr:cNvPr id="1641" name="Straight Connector 1640"/>
        <xdr:cNvCxnSpPr/>
      </xdr:nvCxnSpPr>
      <xdr:spPr>
        <a:xfrm flipH="1">
          <a:off x="2720149" y="18600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1029</xdr:row>
      <xdr:rowOff>139212</xdr:rowOff>
    </xdr:from>
    <xdr:to>
      <xdr:col>4</xdr:col>
      <xdr:colOff>116773</xdr:colOff>
      <xdr:row>1032</xdr:row>
      <xdr:rowOff>117231</xdr:rowOff>
    </xdr:to>
    <xdr:cxnSp macro="">
      <xdr:nvCxnSpPr>
        <xdr:cNvPr id="1642" name="Straight Connector 1641"/>
        <xdr:cNvCxnSpPr/>
      </xdr:nvCxnSpPr>
      <xdr:spPr>
        <a:xfrm>
          <a:off x="3171265" y="18602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1032</xdr:row>
      <xdr:rowOff>118956</xdr:rowOff>
    </xdr:from>
    <xdr:to>
      <xdr:col>4</xdr:col>
      <xdr:colOff>134902</xdr:colOff>
      <xdr:row>1032</xdr:row>
      <xdr:rowOff>118956</xdr:rowOff>
    </xdr:to>
    <xdr:cxnSp macro="">
      <xdr:nvCxnSpPr>
        <xdr:cNvPr id="1643" name="Straight Connector 1642"/>
        <xdr:cNvCxnSpPr/>
      </xdr:nvCxnSpPr>
      <xdr:spPr>
        <a:xfrm>
          <a:off x="2713118" y="18657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1030</xdr:row>
      <xdr:rowOff>36635</xdr:rowOff>
    </xdr:from>
    <xdr:to>
      <xdr:col>3</xdr:col>
      <xdr:colOff>300404</xdr:colOff>
      <xdr:row>1031</xdr:row>
      <xdr:rowOff>45337</xdr:rowOff>
    </xdr:to>
    <xdr:cxnSp macro="">
      <xdr:nvCxnSpPr>
        <xdr:cNvPr id="1644" name="Straight Connector 1643"/>
        <xdr:cNvCxnSpPr/>
      </xdr:nvCxnSpPr>
      <xdr:spPr>
        <a:xfrm flipH="1">
          <a:off x="3085174" y="18611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1030</xdr:row>
      <xdr:rowOff>25749</xdr:rowOff>
    </xdr:from>
    <xdr:to>
      <xdr:col>3</xdr:col>
      <xdr:colOff>472128</xdr:colOff>
      <xdr:row>1031</xdr:row>
      <xdr:rowOff>36635</xdr:rowOff>
    </xdr:to>
    <xdr:cxnSp macro="">
      <xdr:nvCxnSpPr>
        <xdr:cNvPr id="1645" name="Straight Connector 1644"/>
        <xdr:cNvCxnSpPr/>
      </xdr:nvCxnSpPr>
      <xdr:spPr>
        <a:xfrm>
          <a:off x="3244534" y="18609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1020</xdr:row>
      <xdr:rowOff>44824</xdr:rowOff>
    </xdr:from>
    <xdr:to>
      <xdr:col>3</xdr:col>
      <xdr:colOff>67235</xdr:colOff>
      <xdr:row>1022</xdr:row>
      <xdr:rowOff>156883</xdr:rowOff>
    </xdr:to>
    <xdr:cxnSp macro="">
      <xdr:nvCxnSpPr>
        <xdr:cNvPr id="1646" name="Straight Connector 1645"/>
        <xdr:cNvCxnSpPr/>
      </xdr:nvCxnSpPr>
      <xdr:spPr>
        <a:xfrm>
          <a:off x="2857500" y="18421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1022</xdr:row>
      <xdr:rowOff>166690</xdr:rowOff>
    </xdr:from>
    <xdr:to>
      <xdr:col>4</xdr:col>
      <xdr:colOff>29308</xdr:colOff>
      <xdr:row>1022</xdr:row>
      <xdr:rowOff>168519</xdr:rowOff>
    </xdr:to>
    <xdr:cxnSp macro="">
      <xdr:nvCxnSpPr>
        <xdr:cNvPr id="1647" name="Straight Connector 1646"/>
        <xdr:cNvCxnSpPr/>
      </xdr:nvCxnSpPr>
      <xdr:spPr>
        <a:xfrm>
          <a:off x="2849796" y="18471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1020</xdr:row>
      <xdr:rowOff>41673</xdr:rowOff>
    </xdr:from>
    <xdr:to>
      <xdr:col>4</xdr:col>
      <xdr:colOff>12211</xdr:colOff>
      <xdr:row>1023</xdr:row>
      <xdr:rowOff>0</xdr:rowOff>
    </xdr:to>
    <xdr:cxnSp macro="">
      <xdr:nvCxnSpPr>
        <xdr:cNvPr id="1648" name="Straight Connector 1647"/>
        <xdr:cNvCxnSpPr/>
      </xdr:nvCxnSpPr>
      <xdr:spPr>
        <a:xfrm flipH="1" flipV="1">
          <a:off x="3507441" y="18421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1020</xdr:row>
      <xdr:rowOff>32918</xdr:rowOff>
    </xdr:from>
    <xdr:to>
      <xdr:col>4</xdr:col>
      <xdr:colOff>17861</xdr:colOff>
      <xdr:row>1020</xdr:row>
      <xdr:rowOff>35719</xdr:rowOff>
    </xdr:to>
    <xdr:cxnSp macro="">
      <xdr:nvCxnSpPr>
        <xdr:cNvPr id="1649" name="Straight Connector 1648"/>
        <xdr:cNvCxnSpPr/>
      </xdr:nvCxnSpPr>
      <xdr:spPr>
        <a:xfrm flipH="1">
          <a:off x="2849796" y="18420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1025</xdr:row>
      <xdr:rowOff>89297</xdr:rowOff>
    </xdr:from>
    <xdr:to>
      <xdr:col>3</xdr:col>
      <xdr:colOff>178594</xdr:colOff>
      <xdr:row>1026</xdr:row>
      <xdr:rowOff>59531</xdr:rowOff>
    </xdr:to>
    <xdr:cxnSp macro="">
      <xdr:nvCxnSpPr>
        <xdr:cNvPr id="1650" name="Straight Connector 1649"/>
        <xdr:cNvCxnSpPr/>
      </xdr:nvCxnSpPr>
      <xdr:spPr>
        <a:xfrm>
          <a:off x="2849796" y="18521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1025</xdr:row>
      <xdr:rowOff>35719</xdr:rowOff>
    </xdr:from>
    <xdr:to>
      <xdr:col>3</xdr:col>
      <xdr:colOff>285750</xdr:colOff>
      <xdr:row>1025</xdr:row>
      <xdr:rowOff>154781</xdr:rowOff>
    </xdr:to>
    <xdr:cxnSp macro="">
      <xdr:nvCxnSpPr>
        <xdr:cNvPr id="1651" name="Straight Connector 1650"/>
        <xdr:cNvCxnSpPr/>
      </xdr:nvCxnSpPr>
      <xdr:spPr>
        <a:xfrm>
          <a:off x="2885515" y="18515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1025</xdr:row>
      <xdr:rowOff>44824</xdr:rowOff>
    </xdr:from>
    <xdr:to>
      <xdr:col>3</xdr:col>
      <xdr:colOff>67235</xdr:colOff>
      <xdr:row>1027</xdr:row>
      <xdr:rowOff>156883</xdr:rowOff>
    </xdr:to>
    <xdr:cxnSp macro="">
      <xdr:nvCxnSpPr>
        <xdr:cNvPr id="1652" name="Straight Connector 1651"/>
        <xdr:cNvCxnSpPr/>
      </xdr:nvCxnSpPr>
      <xdr:spPr>
        <a:xfrm>
          <a:off x="2857500" y="18516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1027</xdr:row>
      <xdr:rowOff>166690</xdr:rowOff>
    </xdr:from>
    <xdr:to>
      <xdr:col>4</xdr:col>
      <xdr:colOff>29308</xdr:colOff>
      <xdr:row>1027</xdr:row>
      <xdr:rowOff>168519</xdr:rowOff>
    </xdr:to>
    <xdr:cxnSp macro="">
      <xdr:nvCxnSpPr>
        <xdr:cNvPr id="1653" name="Straight Connector 1652"/>
        <xdr:cNvCxnSpPr/>
      </xdr:nvCxnSpPr>
      <xdr:spPr>
        <a:xfrm>
          <a:off x="2849796" y="18566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1025</xdr:row>
      <xdr:rowOff>41673</xdr:rowOff>
    </xdr:from>
    <xdr:to>
      <xdr:col>4</xdr:col>
      <xdr:colOff>12211</xdr:colOff>
      <xdr:row>1028</xdr:row>
      <xdr:rowOff>0</xdr:rowOff>
    </xdr:to>
    <xdr:cxnSp macro="">
      <xdr:nvCxnSpPr>
        <xdr:cNvPr id="1654" name="Straight Connector 1653"/>
        <xdr:cNvCxnSpPr/>
      </xdr:nvCxnSpPr>
      <xdr:spPr>
        <a:xfrm flipH="1" flipV="1">
          <a:off x="3507441" y="18516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1025</xdr:row>
      <xdr:rowOff>32918</xdr:rowOff>
    </xdr:from>
    <xdr:to>
      <xdr:col>4</xdr:col>
      <xdr:colOff>17861</xdr:colOff>
      <xdr:row>1025</xdr:row>
      <xdr:rowOff>35719</xdr:rowOff>
    </xdr:to>
    <xdr:cxnSp macro="">
      <xdr:nvCxnSpPr>
        <xdr:cNvPr id="1655" name="Straight Connector 1654"/>
        <xdr:cNvCxnSpPr/>
      </xdr:nvCxnSpPr>
      <xdr:spPr>
        <a:xfrm flipH="1">
          <a:off x="2849796" y="18515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1034</xdr:row>
      <xdr:rowOff>124558</xdr:rowOff>
    </xdr:from>
    <xdr:to>
      <xdr:col>3</xdr:col>
      <xdr:colOff>381000</xdr:colOff>
      <xdr:row>1037</xdr:row>
      <xdr:rowOff>124558</xdr:rowOff>
    </xdr:to>
    <xdr:cxnSp macro="">
      <xdr:nvCxnSpPr>
        <xdr:cNvPr id="1656" name="Straight Connector 1655"/>
        <xdr:cNvCxnSpPr/>
      </xdr:nvCxnSpPr>
      <xdr:spPr>
        <a:xfrm flipH="1">
          <a:off x="2720149" y="186960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1034</xdr:row>
      <xdr:rowOff>139212</xdr:rowOff>
    </xdr:from>
    <xdr:to>
      <xdr:col>4</xdr:col>
      <xdr:colOff>116773</xdr:colOff>
      <xdr:row>1037</xdr:row>
      <xdr:rowOff>117231</xdr:rowOff>
    </xdr:to>
    <xdr:cxnSp macro="">
      <xdr:nvCxnSpPr>
        <xdr:cNvPr id="1657" name="Straight Connector 1656"/>
        <xdr:cNvCxnSpPr/>
      </xdr:nvCxnSpPr>
      <xdr:spPr>
        <a:xfrm>
          <a:off x="3171265" y="186974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1037</xdr:row>
      <xdr:rowOff>118956</xdr:rowOff>
    </xdr:from>
    <xdr:to>
      <xdr:col>4</xdr:col>
      <xdr:colOff>134902</xdr:colOff>
      <xdr:row>1037</xdr:row>
      <xdr:rowOff>118956</xdr:rowOff>
    </xdr:to>
    <xdr:cxnSp macro="">
      <xdr:nvCxnSpPr>
        <xdr:cNvPr id="1658" name="Straight Connector 1657"/>
        <xdr:cNvCxnSpPr/>
      </xdr:nvCxnSpPr>
      <xdr:spPr>
        <a:xfrm>
          <a:off x="2713118" y="187526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1035</xdr:row>
      <xdr:rowOff>36635</xdr:rowOff>
    </xdr:from>
    <xdr:to>
      <xdr:col>3</xdr:col>
      <xdr:colOff>300404</xdr:colOff>
      <xdr:row>1036</xdr:row>
      <xdr:rowOff>45337</xdr:rowOff>
    </xdr:to>
    <xdr:cxnSp macro="">
      <xdr:nvCxnSpPr>
        <xdr:cNvPr id="1659" name="Straight Connector 1658"/>
        <xdr:cNvCxnSpPr/>
      </xdr:nvCxnSpPr>
      <xdr:spPr>
        <a:xfrm flipH="1">
          <a:off x="3085174" y="187062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1035</xdr:row>
      <xdr:rowOff>25749</xdr:rowOff>
    </xdr:from>
    <xdr:to>
      <xdr:col>3</xdr:col>
      <xdr:colOff>472128</xdr:colOff>
      <xdr:row>1036</xdr:row>
      <xdr:rowOff>36635</xdr:rowOff>
    </xdr:to>
    <xdr:cxnSp macro="">
      <xdr:nvCxnSpPr>
        <xdr:cNvPr id="1660" name="Straight Connector 1659"/>
        <xdr:cNvCxnSpPr/>
      </xdr:nvCxnSpPr>
      <xdr:spPr>
        <a:xfrm>
          <a:off x="3244534" y="187051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1040</xdr:row>
      <xdr:rowOff>35719</xdr:rowOff>
    </xdr:from>
    <xdr:to>
      <xdr:col>3</xdr:col>
      <xdr:colOff>428625</xdr:colOff>
      <xdr:row>1042</xdr:row>
      <xdr:rowOff>178594</xdr:rowOff>
    </xdr:to>
    <xdr:cxnSp macro="">
      <xdr:nvCxnSpPr>
        <xdr:cNvPr id="1661" name="Straight Connector 1660"/>
        <xdr:cNvCxnSpPr/>
      </xdr:nvCxnSpPr>
      <xdr:spPr>
        <a:xfrm>
          <a:off x="3218890" y="188014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1042</xdr:row>
      <xdr:rowOff>95249</xdr:rowOff>
    </xdr:from>
    <xdr:to>
      <xdr:col>3</xdr:col>
      <xdr:colOff>571500</xdr:colOff>
      <xdr:row>1042</xdr:row>
      <xdr:rowOff>154780</xdr:rowOff>
    </xdr:to>
    <xdr:cxnSp macro="">
      <xdr:nvCxnSpPr>
        <xdr:cNvPr id="1662" name="Straight Connector 1661"/>
        <xdr:cNvCxnSpPr/>
      </xdr:nvCxnSpPr>
      <xdr:spPr>
        <a:xfrm flipH="1">
          <a:off x="3218890" y="188454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1040</xdr:row>
      <xdr:rowOff>47625</xdr:rowOff>
    </xdr:from>
    <xdr:to>
      <xdr:col>3</xdr:col>
      <xdr:colOff>595313</xdr:colOff>
      <xdr:row>1040</xdr:row>
      <xdr:rowOff>119062</xdr:rowOff>
    </xdr:to>
    <xdr:cxnSp macro="">
      <xdr:nvCxnSpPr>
        <xdr:cNvPr id="1663" name="Straight Connector 1662"/>
        <xdr:cNvCxnSpPr/>
      </xdr:nvCxnSpPr>
      <xdr:spPr>
        <a:xfrm>
          <a:off x="3218890" y="188026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1012</xdr:row>
      <xdr:rowOff>305147</xdr:rowOff>
    </xdr:from>
    <xdr:to>
      <xdr:col>3</xdr:col>
      <xdr:colOff>130969</xdr:colOff>
      <xdr:row>1014</xdr:row>
      <xdr:rowOff>11906</xdr:rowOff>
    </xdr:to>
    <xdr:cxnSp macro="">
      <xdr:nvCxnSpPr>
        <xdr:cNvPr id="1664" name="Straight Arrow Connector 1663"/>
        <xdr:cNvCxnSpPr/>
      </xdr:nvCxnSpPr>
      <xdr:spPr>
        <a:xfrm flipH="1" flipV="1">
          <a:off x="2913960" y="1828355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1044</xdr:row>
      <xdr:rowOff>89297</xdr:rowOff>
    </xdr:from>
    <xdr:to>
      <xdr:col>3</xdr:col>
      <xdr:colOff>178594</xdr:colOff>
      <xdr:row>1045</xdr:row>
      <xdr:rowOff>59531</xdr:rowOff>
    </xdr:to>
    <xdr:cxnSp macro="">
      <xdr:nvCxnSpPr>
        <xdr:cNvPr id="1665" name="Straight Connector 1664"/>
        <xdr:cNvCxnSpPr/>
      </xdr:nvCxnSpPr>
      <xdr:spPr>
        <a:xfrm>
          <a:off x="2849796" y="188829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1044</xdr:row>
      <xdr:rowOff>35719</xdr:rowOff>
    </xdr:from>
    <xdr:to>
      <xdr:col>3</xdr:col>
      <xdr:colOff>285750</xdr:colOff>
      <xdr:row>1044</xdr:row>
      <xdr:rowOff>154781</xdr:rowOff>
    </xdr:to>
    <xdr:cxnSp macro="">
      <xdr:nvCxnSpPr>
        <xdr:cNvPr id="1666" name="Straight Connector 1665"/>
        <xdr:cNvCxnSpPr/>
      </xdr:nvCxnSpPr>
      <xdr:spPr>
        <a:xfrm>
          <a:off x="2885515" y="188776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1053</xdr:row>
      <xdr:rowOff>124558</xdr:rowOff>
    </xdr:from>
    <xdr:to>
      <xdr:col>3</xdr:col>
      <xdr:colOff>381000</xdr:colOff>
      <xdr:row>1056</xdr:row>
      <xdr:rowOff>124558</xdr:rowOff>
    </xdr:to>
    <xdr:cxnSp macro="">
      <xdr:nvCxnSpPr>
        <xdr:cNvPr id="1667" name="Straight Connector 1666"/>
        <xdr:cNvCxnSpPr/>
      </xdr:nvCxnSpPr>
      <xdr:spPr>
        <a:xfrm flipH="1">
          <a:off x="2720149" y="190579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1053</xdr:row>
      <xdr:rowOff>139212</xdr:rowOff>
    </xdr:from>
    <xdr:to>
      <xdr:col>4</xdr:col>
      <xdr:colOff>116773</xdr:colOff>
      <xdr:row>1056</xdr:row>
      <xdr:rowOff>117231</xdr:rowOff>
    </xdr:to>
    <xdr:cxnSp macro="">
      <xdr:nvCxnSpPr>
        <xdr:cNvPr id="1668" name="Straight Connector 1667"/>
        <xdr:cNvCxnSpPr/>
      </xdr:nvCxnSpPr>
      <xdr:spPr>
        <a:xfrm>
          <a:off x="3171265" y="190594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1056</xdr:row>
      <xdr:rowOff>118956</xdr:rowOff>
    </xdr:from>
    <xdr:to>
      <xdr:col>4</xdr:col>
      <xdr:colOff>134902</xdr:colOff>
      <xdr:row>1056</xdr:row>
      <xdr:rowOff>118956</xdr:rowOff>
    </xdr:to>
    <xdr:cxnSp macro="">
      <xdr:nvCxnSpPr>
        <xdr:cNvPr id="1669" name="Straight Connector 1668"/>
        <xdr:cNvCxnSpPr/>
      </xdr:nvCxnSpPr>
      <xdr:spPr>
        <a:xfrm>
          <a:off x="2713118" y="191145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1054</xdr:row>
      <xdr:rowOff>36635</xdr:rowOff>
    </xdr:from>
    <xdr:to>
      <xdr:col>3</xdr:col>
      <xdr:colOff>300404</xdr:colOff>
      <xdr:row>1055</xdr:row>
      <xdr:rowOff>45337</xdr:rowOff>
    </xdr:to>
    <xdr:cxnSp macro="">
      <xdr:nvCxnSpPr>
        <xdr:cNvPr id="1670" name="Straight Connector 1669"/>
        <xdr:cNvCxnSpPr/>
      </xdr:nvCxnSpPr>
      <xdr:spPr>
        <a:xfrm flipH="1">
          <a:off x="3085174" y="190682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1054</xdr:row>
      <xdr:rowOff>25749</xdr:rowOff>
    </xdr:from>
    <xdr:to>
      <xdr:col>3</xdr:col>
      <xdr:colOff>472128</xdr:colOff>
      <xdr:row>1055</xdr:row>
      <xdr:rowOff>36635</xdr:rowOff>
    </xdr:to>
    <xdr:cxnSp macro="">
      <xdr:nvCxnSpPr>
        <xdr:cNvPr id="1671" name="Straight Connector 1670"/>
        <xdr:cNvCxnSpPr/>
      </xdr:nvCxnSpPr>
      <xdr:spPr>
        <a:xfrm>
          <a:off x="3244534" y="190671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1044</xdr:row>
      <xdr:rowOff>44824</xdr:rowOff>
    </xdr:from>
    <xdr:to>
      <xdr:col>3</xdr:col>
      <xdr:colOff>67235</xdr:colOff>
      <xdr:row>1046</xdr:row>
      <xdr:rowOff>156883</xdr:rowOff>
    </xdr:to>
    <xdr:cxnSp macro="">
      <xdr:nvCxnSpPr>
        <xdr:cNvPr id="1672" name="Straight Connector 1671"/>
        <xdr:cNvCxnSpPr/>
      </xdr:nvCxnSpPr>
      <xdr:spPr>
        <a:xfrm>
          <a:off x="2857500" y="188785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1046</xdr:row>
      <xdr:rowOff>166690</xdr:rowOff>
    </xdr:from>
    <xdr:to>
      <xdr:col>4</xdr:col>
      <xdr:colOff>29308</xdr:colOff>
      <xdr:row>1046</xdr:row>
      <xdr:rowOff>168519</xdr:rowOff>
    </xdr:to>
    <xdr:cxnSp macro="">
      <xdr:nvCxnSpPr>
        <xdr:cNvPr id="1673" name="Straight Connector 1672"/>
        <xdr:cNvCxnSpPr/>
      </xdr:nvCxnSpPr>
      <xdr:spPr>
        <a:xfrm>
          <a:off x="2849796" y="189288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1044</xdr:row>
      <xdr:rowOff>41673</xdr:rowOff>
    </xdr:from>
    <xdr:to>
      <xdr:col>4</xdr:col>
      <xdr:colOff>12211</xdr:colOff>
      <xdr:row>1047</xdr:row>
      <xdr:rowOff>0</xdr:rowOff>
    </xdr:to>
    <xdr:cxnSp macro="">
      <xdr:nvCxnSpPr>
        <xdr:cNvPr id="1674" name="Straight Connector 1673"/>
        <xdr:cNvCxnSpPr/>
      </xdr:nvCxnSpPr>
      <xdr:spPr>
        <a:xfrm flipH="1" flipV="1">
          <a:off x="3507441" y="188782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1044</xdr:row>
      <xdr:rowOff>32918</xdr:rowOff>
    </xdr:from>
    <xdr:to>
      <xdr:col>4</xdr:col>
      <xdr:colOff>17861</xdr:colOff>
      <xdr:row>1044</xdr:row>
      <xdr:rowOff>35719</xdr:rowOff>
    </xdr:to>
    <xdr:cxnSp macro="">
      <xdr:nvCxnSpPr>
        <xdr:cNvPr id="1675" name="Straight Connector 1674"/>
        <xdr:cNvCxnSpPr/>
      </xdr:nvCxnSpPr>
      <xdr:spPr>
        <a:xfrm flipH="1">
          <a:off x="2849796" y="188773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1049</xdr:row>
      <xdr:rowOff>89297</xdr:rowOff>
    </xdr:from>
    <xdr:to>
      <xdr:col>3</xdr:col>
      <xdr:colOff>178594</xdr:colOff>
      <xdr:row>1050</xdr:row>
      <xdr:rowOff>59531</xdr:rowOff>
    </xdr:to>
    <xdr:cxnSp macro="">
      <xdr:nvCxnSpPr>
        <xdr:cNvPr id="1676" name="Straight Connector 1675"/>
        <xdr:cNvCxnSpPr/>
      </xdr:nvCxnSpPr>
      <xdr:spPr>
        <a:xfrm>
          <a:off x="2849796" y="18978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1049</xdr:row>
      <xdr:rowOff>35719</xdr:rowOff>
    </xdr:from>
    <xdr:to>
      <xdr:col>3</xdr:col>
      <xdr:colOff>285750</xdr:colOff>
      <xdr:row>1049</xdr:row>
      <xdr:rowOff>154781</xdr:rowOff>
    </xdr:to>
    <xdr:cxnSp macro="">
      <xdr:nvCxnSpPr>
        <xdr:cNvPr id="1677" name="Straight Connector 1676"/>
        <xdr:cNvCxnSpPr/>
      </xdr:nvCxnSpPr>
      <xdr:spPr>
        <a:xfrm>
          <a:off x="2885515" y="18972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1049</xdr:row>
      <xdr:rowOff>44824</xdr:rowOff>
    </xdr:from>
    <xdr:to>
      <xdr:col>3</xdr:col>
      <xdr:colOff>67235</xdr:colOff>
      <xdr:row>1051</xdr:row>
      <xdr:rowOff>156883</xdr:rowOff>
    </xdr:to>
    <xdr:cxnSp macro="">
      <xdr:nvCxnSpPr>
        <xdr:cNvPr id="1678" name="Straight Connector 1677"/>
        <xdr:cNvCxnSpPr/>
      </xdr:nvCxnSpPr>
      <xdr:spPr>
        <a:xfrm>
          <a:off x="2857500" y="18973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1051</xdr:row>
      <xdr:rowOff>166690</xdr:rowOff>
    </xdr:from>
    <xdr:to>
      <xdr:col>4</xdr:col>
      <xdr:colOff>29308</xdr:colOff>
      <xdr:row>1051</xdr:row>
      <xdr:rowOff>168519</xdr:rowOff>
    </xdr:to>
    <xdr:cxnSp macro="">
      <xdr:nvCxnSpPr>
        <xdr:cNvPr id="1679" name="Straight Connector 1678"/>
        <xdr:cNvCxnSpPr/>
      </xdr:nvCxnSpPr>
      <xdr:spPr>
        <a:xfrm>
          <a:off x="2849796" y="19024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1049</xdr:row>
      <xdr:rowOff>41673</xdr:rowOff>
    </xdr:from>
    <xdr:to>
      <xdr:col>4</xdr:col>
      <xdr:colOff>12211</xdr:colOff>
      <xdr:row>1052</xdr:row>
      <xdr:rowOff>0</xdr:rowOff>
    </xdr:to>
    <xdr:cxnSp macro="">
      <xdr:nvCxnSpPr>
        <xdr:cNvPr id="1680" name="Straight Connector 1679"/>
        <xdr:cNvCxnSpPr/>
      </xdr:nvCxnSpPr>
      <xdr:spPr>
        <a:xfrm flipH="1" flipV="1">
          <a:off x="3507441" y="18973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1049</xdr:row>
      <xdr:rowOff>32918</xdr:rowOff>
    </xdr:from>
    <xdr:to>
      <xdr:col>4</xdr:col>
      <xdr:colOff>17861</xdr:colOff>
      <xdr:row>1049</xdr:row>
      <xdr:rowOff>35719</xdr:rowOff>
    </xdr:to>
    <xdr:cxnSp macro="">
      <xdr:nvCxnSpPr>
        <xdr:cNvPr id="1681" name="Straight Connector 1680"/>
        <xdr:cNvCxnSpPr/>
      </xdr:nvCxnSpPr>
      <xdr:spPr>
        <a:xfrm flipH="1">
          <a:off x="2849796" y="18972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1058</xdr:row>
      <xdr:rowOff>124558</xdr:rowOff>
    </xdr:from>
    <xdr:to>
      <xdr:col>3</xdr:col>
      <xdr:colOff>381000</xdr:colOff>
      <xdr:row>1061</xdr:row>
      <xdr:rowOff>124558</xdr:rowOff>
    </xdr:to>
    <xdr:cxnSp macro="">
      <xdr:nvCxnSpPr>
        <xdr:cNvPr id="1682" name="Straight Connector 1681"/>
        <xdr:cNvCxnSpPr/>
      </xdr:nvCxnSpPr>
      <xdr:spPr>
        <a:xfrm flipH="1">
          <a:off x="2720149" y="191532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1058</xdr:row>
      <xdr:rowOff>139212</xdr:rowOff>
    </xdr:from>
    <xdr:to>
      <xdr:col>4</xdr:col>
      <xdr:colOff>116773</xdr:colOff>
      <xdr:row>1061</xdr:row>
      <xdr:rowOff>117231</xdr:rowOff>
    </xdr:to>
    <xdr:cxnSp macro="">
      <xdr:nvCxnSpPr>
        <xdr:cNvPr id="1683" name="Straight Connector 1682"/>
        <xdr:cNvCxnSpPr/>
      </xdr:nvCxnSpPr>
      <xdr:spPr>
        <a:xfrm>
          <a:off x="3171265" y="191546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1061</xdr:row>
      <xdr:rowOff>118956</xdr:rowOff>
    </xdr:from>
    <xdr:to>
      <xdr:col>4</xdr:col>
      <xdr:colOff>134902</xdr:colOff>
      <xdr:row>1061</xdr:row>
      <xdr:rowOff>118956</xdr:rowOff>
    </xdr:to>
    <xdr:cxnSp macro="">
      <xdr:nvCxnSpPr>
        <xdr:cNvPr id="1684" name="Straight Connector 1683"/>
        <xdr:cNvCxnSpPr/>
      </xdr:nvCxnSpPr>
      <xdr:spPr>
        <a:xfrm>
          <a:off x="2713118" y="192098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1059</xdr:row>
      <xdr:rowOff>36635</xdr:rowOff>
    </xdr:from>
    <xdr:to>
      <xdr:col>3</xdr:col>
      <xdr:colOff>300404</xdr:colOff>
      <xdr:row>1060</xdr:row>
      <xdr:rowOff>45337</xdr:rowOff>
    </xdr:to>
    <xdr:cxnSp macro="">
      <xdr:nvCxnSpPr>
        <xdr:cNvPr id="1685" name="Straight Connector 1684"/>
        <xdr:cNvCxnSpPr/>
      </xdr:nvCxnSpPr>
      <xdr:spPr>
        <a:xfrm flipH="1">
          <a:off x="3085174" y="191634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1059</xdr:row>
      <xdr:rowOff>25749</xdr:rowOff>
    </xdr:from>
    <xdr:to>
      <xdr:col>3</xdr:col>
      <xdr:colOff>472128</xdr:colOff>
      <xdr:row>1060</xdr:row>
      <xdr:rowOff>36635</xdr:rowOff>
    </xdr:to>
    <xdr:cxnSp macro="">
      <xdr:nvCxnSpPr>
        <xdr:cNvPr id="1686" name="Straight Connector 1685"/>
        <xdr:cNvCxnSpPr/>
      </xdr:nvCxnSpPr>
      <xdr:spPr>
        <a:xfrm>
          <a:off x="3244534" y="191623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1064</xdr:row>
      <xdr:rowOff>35719</xdr:rowOff>
    </xdr:from>
    <xdr:to>
      <xdr:col>3</xdr:col>
      <xdr:colOff>428625</xdr:colOff>
      <xdr:row>1066</xdr:row>
      <xdr:rowOff>178594</xdr:rowOff>
    </xdr:to>
    <xdr:cxnSp macro="">
      <xdr:nvCxnSpPr>
        <xdr:cNvPr id="1687" name="Straight Connector 1686"/>
        <xdr:cNvCxnSpPr/>
      </xdr:nvCxnSpPr>
      <xdr:spPr>
        <a:xfrm>
          <a:off x="3218890" y="192586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1066</xdr:row>
      <xdr:rowOff>95249</xdr:rowOff>
    </xdr:from>
    <xdr:to>
      <xdr:col>3</xdr:col>
      <xdr:colOff>571500</xdr:colOff>
      <xdr:row>1066</xdr:row>
      <xdr:rowOff>154780</xdr:rowOff>
    </xdr:to>
    <xdr:cxnSp macro="">
      <xdr:nvCxnSpPr>
        <xdr:cNvPr id="1688" name="Straight Connector 1687"/>
        <xdr:cNvCxnSpPr/>
      </xdr:nvCxnSpPr>
      <xdr:spPr>
        <a:xfrm flipH="1">
          <a:off x="3218890" y="193026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1064</xdr:row>
      <xdr:rowOff>47625</xdr:rowOff>
    </xdr:from>
    <xdr:to>
      <xdr:col>3</xdr:col>
      <xdr:colOff>595313</xdr:colOff>
      <xdr:row>1064</xdr:row>
      <xdr:rowOff>119062</xdr:rowOff>
    </xdr:to>
    <xdr:cxnSp macro="">
      <xdr:nvCxnSpPr>
        <xdr:cNvPr id="1689" name="Straight Connector 1688"/>
        <xdr:cNvCxnSpPr/>
      </xdr:nvCxnSpPr>
      <xdr:spPr>
        <a:xfrm>
          <a:off x="3218890" y="192598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1099</xdr:row>
      <xdr:rowOff>89297</xdr:rowOff>
    </xdr:from>
    <xdr:to>
      <xdr:col>3</xdr:col>
      <xdr:colOff>178594</xdr:colOff>
      <xdr:row>1100</xdr:row>
      <xdr:rowOff>59531</xdr:rowOff>
    </xdr:to>
    <xdr:cxnSp macro="">
      <xdr:nvCxnSpPr>
        <xdr:cNvPr id="1690" name="Straight Connector 1689"/>
        <xdr:cNvCxnSpPr/>
      </xdr:nvCxnSpPr>
      <xdr:spPr>
        <a:xfrm>
          <a:off x="2849796" y="20521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1099</xdr:row>
      <xdr:rowOff>35719</xdr:rowOff>
    </xdr:from>
    <xdr:to>
      <xdr:col>3</xdr:col>
      <xdr:colOff>285750</xdr:colOff>
      <xdr:row>1099</xdr:row>
      <xdr:rowOff>154781</xdr:rowOff>
    </xdr:to>
    <xdr:cxnSp macro="">
      <xdr:nvCxnSpPr>
        <xdr:cNvPr id="1691" name="Straight Connector 1690"/>
        <xdr:cNvCxnSpPr/>
      </xdr:nvCxnSpPr>
      <xdr:spPr>
        <a:xfrm>
          <a:off x="2885515" y="20515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1108</xdr:row>
      <xdr:rowOff>124558</xdr:rowOff>
    </xdr:from>
    <xdr:to>
      <xdr:col>3</xdr:col>
      <xdr:colOff>381000</xdr:colOff>
      <xdr:row>1111</xdr:row>
      <xdr:rowOff>124558</xdr:rowOff>
    </xdr:to>
    <xdr:cxnSp macro="">
      <xdr:nvCxnSpPr>
        <xdr:cNvPr id="1692" name="Straight Connector 1691"/>
        <xdr:cNvCxnSpPr/>
      </xdr:nvCxnSpPr>
      <xdr:spPr>
        <a:xfrm flipH="1">
          <a:off x="2720149" y="20696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1108</xdr:row>
      <xdr:rowOff>139212</xdr:rowOff>
    </xdr:from>
    <xdr:to>
      <xdr:col>4</xdr:col>
      <xdr:colOff>116773</xdr:colOff>
      <xdr:row>1111</xdr:row>
      <xdr:rowOff>117231</xdr:rowOff>
    </xdr:to>
    <xdr:cxnSp macro="">
      <xdr:nvCxnSpPr>
        <xdr:cNvPr id="1693" name="Straight Connector 1692"/>
        <xdr:cNvCxnSpPr/>
      </xdr:nvCxnSpPr>
      <xdr:spPr>
        <a:xfrm>
          <a:off x="3171265" y="20697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1111</xdr:row>
      <xdr:rowOff>118956</xdr:rowOff>
    </xdr:from>
    <xdr:to>
      <xdr:col>4</xdr:col>
      <xdr:colOff>134902</xdr:colOff>
      <xdr:row>1111</xdr:row>
      <xdr:rowOff>118956</xdr:rowOff>
    </xdr:to>
    <xdr:cxnSp macro="">
      <xdr:nvCxnSpPr>
        <xdr:cNvPr id="1694" name="Straight Connector 1693"/>
        <xdr:cNvCxnSpPr/>
      </xdr:nvCxnSpPr>
      <xdr:spPr>
        <a:xfrm>
          <a:off x="2713118" y="20752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1109</xdr:row>
      <xdr:rowOff>36635</xdr:rowOff>
    </xdr:from>
    <xdr:to>
      <xdr:col>3</xdr:col>
      <xdr:colOff>300404</xdr:colOff>
      <xdr:row>1110</xdr:row>
      <xdr:rowOff>45337</xdr:rowOff>
    </xdr:to>
    <xdr:cxnSp macro="">
      <xdr:nvCxnSpPr>
        <xdr:cNvPr id="1695" name="Straight Connector 1694"/>
        <xdr:cNvCxnSpPr/>
      </xdr:nvCxnSpPr>
      <xdr:spPr>
        <a:xfrm flipH="1">
          <a:off x="3085174" y="20706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1109</xdr:row>
      <xdr:rowOff>25749</xdr:rowOff>
    </xdr:from>
    <xdr:to>
      <xdr:col>3</xdr:col>
      <xdr:colOff>472128</xdr:colOff>
      <xdr:row>1110</xdr:row>
      <xdr:rowOff>36635</xdr:rowOff>
    </xdr:to>
    <xdr:cxnSp macro="">
      <xdr:nvCxnSpPr>
        <xdr:cNvPr id="1696" name="Straight Connector 1695"/>
        <xdr:cNvCxnSpPr/>
      </xdr:nvCxnSpPr>
      <xdr:spPr>
        <a:xfrm>
          <a:off x="3244534" y="20705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1099</xdr:row>
      <xdr:rowOff>44824</xdr:rowOff>
    </xdr:from>
    <xdr:to>
      <xdr:col>3</xdr:col>
      <xdr:colOff>67235</xdr:colOff>
      <xdr:row>1101</xdr:row>
      <xdr:rowOff>156883</xdr:rowOff>
    </xdr:to>
    <xdr:cxnSp macro="">
      <xdr:nvCxnSpPr>
        <xdr:cNvPr id="1697" name="Straight Connector 1696"/>
        <xdr:cNvCxnSpPr/>
      </xdr:nvCxnSpPr>
      <xdr:spPr>
        <a:xfrm>
          <a:off x="2857500" y="20516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1101</xdr:row>
      <xdr:rowOff>166690</xdr:rowOff>
    </xdr:from>
    <xdr:to>
      <xdr:col>4</xdr:col>
      <xdr:colOff>29308</xdr:colOff>
      <xdr:row>1101</xdr:row>
      <xdr:rowOff>168519</xdr:rowOff>
    </xdr:to>
    <xdr:cxnSp macro="">
      <xdr:nvCxnSpPr>
        <xdr:cNvPr id="1698" name="Straight Connector 1697"/>
        <xdr:cNvCxnSpPr/>
      </xdr:nvCxnSpPr>
      <xdr:spPr>
        <a:xfrm>
          <a:off x="2849796" y="20567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1099</xdr:row>
      <xdr:rowOff>41673</xdr:rowOff>
    </xdr:from>
    <xdr:to>
      <xdr:col>4</xdr:col>
      <xdr:colOff>12211</xdr:colOff>
      <xdr:row>1102</xdr:row>
      <xdr:rowOff>0</xdr:rowOff>
    </xdr:to>
    <xdr:cxnSp macro="">
      <xdr:nvCxnSpPr>
        <xdr:cNvPr id="1699" name="Straight Connector 1698"/>
        <xdr:cNvCxnSpPr/>
      </xdr:nvCxnSpPr>
      <xdr:spPr>
        <a:xfrm flipH="1" flipV="1">
          <a:off x="3507441" y="20516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1099</xdr:row>
      <xdr:rowOff>32918</xdr:rowOff>
    </xdr:from>
    <xdr:to>
      <xdr:col>4</xdr:col>
      <xdr:colOff>17861</xdr:colOff>
      <xdr:row>1099</xdr:row>
      <xdr:rowOff>35719</xdr:rowOff>
    </xdr:to>
    <xdr:cxnSp macro="">
      <xdr:nvCxnSpPr>
        <xdr:cNvPr id="1700" name="Straight Connector 1699"/>
        <xdr:cNvCxnSpPr/>
      </xdr:nvCxnSpPr>
      <xdr:spPr>
        <a:xfrm flipH="1">
          <a:off x="2849796" y="20515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1104</xdr:row>
      <xdr:rowOff>89297</xdr:rowOff>
    </xdr:from>
    <xdr:to>
      <xdr:col>3</xdr:col>
      <xdr:colOff>178594</xdr:colOff>
      <xdr:row>1105</xdr:row>
      <xdr:rowOff>59531</xdr:rowOff>
    </xdr:to>
    <xdr:cxnSp macro="">
      <xdr:nvCxnSpPr>
        <xdr:cNvPr id="1701" name="Straight Connector 1700"/>
        <xdr:cNvCxnSpPr/>
      </xdr:nvCxnSpPr>
      <xdr:spPr>
        <a:xfrm>
          <a:off x="2849796" y="20616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1104</xdr:row>
      <xdr:rowOff>35719</xdr:rowOff>
    </xdr:from>
    <xdr:to>
      <xdr:col>3</xdr:col>
      <xdr:colOff>285750</xdr:colOff>
      <xdr:row>1104</xdr:row>
      <xdr:rowOff>154781</xdr:rowOff>
    </xdr:to>
    <xdr:cxnSp macro="">
      <xdr:nvCxnSpPr>
        <xdr:cNvPr id="1702" name="Straight Connector 1701"/>
        <xdr:cNvCxnSpPr/>
      </xdr:nvCxnSpPr>
      <xdr:spPr>
        <a:xfrm>
          <a:off x="2885515" y="20611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1104</xdr:row>
      <xdr:rowOff>44824</xdr:rowOff>
    </xdr:from>
    <xdr:to>
      <xdr:col>3</xdr:col>
      <xdr:colOff>67235</xdr:colOff>
      <xdr:row>1106</xdr:row>
      <xdr:rowOff>156883</xdr:rowOff>
    </xdr:to>
    <xdr:cxnSp macro="">
      <xdr:nvCxnSpPr>
        <xdr:cNvPr id="1703" name="Straight Connector 1702"/>
        <xdr:cNvCxnSpPr/>
      </xdr:nvCxnSpPr>
      <xdr:spPr>
        <a:xfrm>
          <a:off x="2857500" y="20612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1106</xdr:row>
      <xdr:rowOff>166690</xdr:rowOff>
    </xdr:from>
    <xdr:to>
      <xdr:col>4</xdr:col>
      <xdr:colOff>29308</xdr:colOff>
      <xdr:row>1106</xdr:row>
      <xdr:rowOff>168519</xdr:rowOff>
    </xdr:to>
    <xdr:cxnSp macro="">
      <xdr:nvCxnSpPr>
        <xdr:cNvPr id="1704" name="Straight Connector 1703"/>
        <xdr:cNvCxnSpPr/>
      </xdr:nvCxnSpPr>
      <xdr:spPr>
        <a:xfrm>
          <a:off x="2849796" y="20662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1104</xdr:row>
      <xdr:rowOff>41673</xdr:rowOff>
    </xdr:from>
    <xdr:to>
      <xdr:col>4</xdr:col>
      <xdr:colOff>12211</xdr:colOff>
      <xdr:row>1107</xdr:row>
      <xdr:rowOff>0</xdr:rowOff>
    </xdr:to>
    <xdr:cxnSp macro="">
      <xdr:nvCxnSpPr>
        <xdr:cNvPr id="1705" name="Straight Connector 1704"/>
        <xdr:cNvCxnSpPr/>
      </xdr:nvCxnSpPr>
      <xdr:spPr>
        <a:xfrm flipH="1" flipV="1">
          <a:off x="3507441" y="20611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1104</xdr:row>
      <xdr:rowOff>32918</xdr:rowOff>
    </xdr:from>
    <xdr:to>
      <xdr:col>4</xdr:col>
      <xdr:colOff>17861</xdr:colOff>
      <xdr:row>1104</xdr:row>
      <xdr:rowOff>35719</xdr:rowOff>
    </xdr:to>
    <xdr:cxnSp macro="">
      <xdr:nvCxnSpPr>
        <xdr:cNvPr id="1706" name="Straight Connector 1705"/>
        <xdr:cNvCxnSpPr/>
      </xdr:nvCxnSpPr>
      <xdr:spPr>
        <a:xfrm flipH="1">
          <a:off x="2849796" y="20610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1113</xdr:row>
      <xdr:rowOff>124558</xdr:rowOff>
    </xdr:from>
    <xdr:to>
      <xdr:col>3</xdr:col>
      <xdr:colOff>381000</xdr:colOff>
      <xdr:row>1116</xdr:row>
      <xdr:rowOff>124558</xdr:rowOff>
    </xdr:to>
    <xdr:cxnSp macro="">
      <xdr:nvCxnSpPr>
        <xdr:cNvPr id="1707" name="Straight Connector 1706"/>
        <xdr:cNvCxnSpPr/>
      </xdr:nvCxnSpPr>
      <xdr:spPr>
        <a:xfrm flipH="1">
          <a:off x="2720149" y="20791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1113</xdr:row>
      <xdr:rowOff>139212</xdr:rowOff>
    </xdr:from>
    <xdr:to>
      <xdr:col>4</xdr:col>
      <xdr:colOff>116773</xdr:colOff>
      <xdr:row>1116</xdr:row>
      <xdr:rowOff>117231</xdr:rowOff>
    </xdr:to>
    <xdr:cxnSp macro="">
      <xdr:nvCxnSpPr>
        <xdr:cNvPr id="1708" name="Straight Connector 1707"/>
        <xdr:cNvCxnSpPr/>
      </xdr:nvCxnSpPr>
      <xdr:spPr>
        <a:xfrm>
          <a:off x="3171265" y="20792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1116</xdr:row>
      <xdr:rowOff>118956</xdr:rowOff>
    </xdr:from>
    <xdr:to>
      <xdr:col>4</xdr:col>
      <xdr:colOff>134902</xdr:colOff>
      <xdr:row>1116</xdr:row>
      <xdr:rowOff>118956</xdr:rowOff>
    </xdr:to>
    <xdr:cxnSp macro="">
      <xdr:nvCxnSpPr>
        <xdr:cNvPr id="1709" name="Straight Connector 1708"/>
        <xdr:cNvCxnSpPr/>
      </xdr:nvCxnSpPr>
      <xdr:spPr>
        <a:xfrm>
          <a:off x="2713118" y="20848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1114</xdr:row>
      <xdr:rowOff>36635</xdr:rowOff>
    </xdr:from>
    <xdr:to>
      <xdr:col>3</xdr:col>
      <xdr:colOff>300404</xdr:colOff>
      <xdr:row>1115</xdr:row>
      <xdr:rowOff>45337</xdr:rowOff>
    </xdr:to>
    <xdr:cxnSp macro="">
      <xdr:nvCxnSpPr>
        <xdr:cNvPr id="1710" name="Straight Connector 1709"/>
        <xdr:cNvCxnSpPr/>
      </xdr:nvCxnSpPr>
      <xdr:spPr>
        <a:xfrm flipH="1">
          <a:off x="3085174" y="20801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1114</xdr:row>
      <xdr:rowOff>25749</xdr:rowOff>
    </xdr:from>
    <xdr:to>
      <xdr:col>3</xdr:col>
      <xdr:colOff>472128</xdr:colOff>
      <xdr:row>1115</xdr:row>
      <xdr:rowOff>36635</xdr:rowOff>
    </xdr:to>
    <xdr:cxnSp macro="">
      <xdr:nvCxnSpPr>
        <xdr:cNvPr id="1711" name="Straight Connector 1710"/>
        <xdr:cNvCxnSpPr/>
      </xdr:nvCxnSpPr>
      <xdr:spPr>
        <a:xfrm>
          <a:off x="3244534" y="20800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1119</xdr:row>
      <xdr:rowOff>35719</xdr:rowOff>
    </xdr:from>
    <xdr:to>
      <xdr:col>3</xdr:col>
      <xdr:colOff>428625</xdr:colOff>
      <xdr:row>1121</xdr:row>
      <xdr:rowOff>178594</xdr:rowOff>
    </xdr:to>
    <xdr:cxnSp macro="">
      <xdr:nvCxnSpPr>
        <xdr:cNvPr id="1712" name="Straight Connector 1711"/>
        <xdr:cNvCxnSpPr/>
      </xdr:nvCxnSpPr>
      <xdr:spPr>
        <a:xfrm>
          <a:off x="3218890" y="208969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1121</xdr:row>
      <xdr:rowOff>95249</xdr:rowOff>
    </xdr:from>
    <xdr:to>
      <xdr:col>3</xdr:col>
      <xdr:colOff>571500</xdr:colOff>
      <xdr:row>1121</xdr:row>
      <xdr:rowOff>154780</xdr:rowOff>
    </xdr:to>
    <xdr:cxnSp macro="">
      <xdr:nvCxnSpPr>
        <xdr:cNvPr id="1713" name="Straight Connector 1712"/>
        <xdr:cNvCxnSpPr/>
      </xdr:nvCxnSpPr>
      <xdr:spPr>
        <a:xfrm flipH="1">
          <a:off x="3218890" y="209409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1119</xdr:row>
      <xdr:rowOff>47625</xdr:rowOff>
    </xdr:from>
    <xdr:to>
      <xdr:col>3</xdr:col>
      <xdr:colOff>595313</xdr:colOff>
      <xdr:row>1119</xdr:row>
      <xdr:rowOff>119062</xdr:rowOff>
    </xdr:to>
    <xdr:cxnSp macro="">
      <xdr:nvCxnSpPr>
        <xdr:cNvPr id="1714" name="Straight Connector 1713"/>
        <xdr:cNvCxnSpPr/>
      </xdr:nvCxnSpPr>
      <xdr:spPr>
        <a:xfrm>
          <a:off x="3218890" y="208981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1155</xdr:row>
      <xdr:rowOff>89297</xdr:rowOff>
    </xdr:from>
    <xdr:to>
      <xdr:col>3</xdr:col>
      <xdr:colOff>178594</xdr:colOff>
      <xdr:row>1156</xdr:row>
      <xdr:rowOff>59531</xdr:rowOff>
    </xdr:to>
    <xdr:cxnSp macro="">
      <xdr:nvCxnSpPr>
        <xdr:cNvPr id="1715" name="Straight Connector 1714"/>
        <xdr:cNvCxnSpPr/>
      </xdr:nvCxnSpPr>
      <xdr:spPr>
        <a:xfrm>
          <a:off x="2849796" y="21569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1155</xdr:row>
      <xdr:rowOff>35719</xdr:rowOff>
    </xdr:from>
    <xdr:to>
      <xdr:col>3</xdr:col>
      <xdr:colOff>285750</xdr:colOff>
      <xdr:row>1155</xdr:row>
      <xdr:rowOff>154781</xdr:rowOff>
    </xdr:to>
    <xdr:cxnSp macro="">
      <xdr:nvCxnSpPr>
        <xdr:cNvPr id="1716" name="Straight Connector 1715"/>
        <xdr:cNvCxnSpPr/>
      </xdr:nvCxnSpPr>
      <xdr:spPr>
        <a:xfrm>
          <a:off x="2885515" y="21563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1169</xdr:row>
      <xdr:rowOff>124558</xdr:rowOff>
    </xdr:from>
    <xdr:to>
      <xdr:col>3</xdr:col>
      <xdr:colOff>381000</xdr:colOff>
      <xdr:row>1172</xdr:row>
      <xdr:rowOff>124558</xdr:rowOff>
    </xdr:to>
    <xdr:cxnSp macro="">
      <xdr:nvCxnSpPr>
        <xdr:cNvPr id="1717" name="Straight Connector 1716"/>
        <xdr:cNvCxnSpPr/>
      </xdr:nvCxnSpPr>
      <xdr:spPr>
        <a:xfrm flipH="1">
          <a:off x="2720149" y="21839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1169</xdr:row>
      <xdr:rowOff>139212</xdr:rowOff>
    </xdr:from>
    <xdr:to>
      <xdr:col>4</xdr:col>
      <xdr:colOff>116773</xdr:colOff>
      <xdr:row>1172</xdr:row>
      <xdr:rowOff>117231</xdr:rowOff>
    </xdr:to>
    <xdr:cxnSp macro="">
      <xdr:nvCxnSpPr>
        <xdr:cNvPr id="1718" name="Straight Connector 1717"/>
        <xdr:cNvCxnSpPr/>
      </xdr:nvCxnSpPr>
      <xdr:spPr>
        <a:xfrm>
          <a:off x="3171265" y="21840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1172</xdr:row>
      <xdr:rowOff>118956</xdr:rowOff>
    </xdr:from>
    <xdr:to>
      <xdr:col>4</xdr:col>
      <xdr:colOff>134902</xdr:colOff>
      <xdr:row>1172</xdr:row>
      <xdr:rowOff>118956</xdr:rowOff>
    </xdr:to>
    <xdr:cxnSp macro="">
      <xdr:nvCxnSpPr>
        <xdr:cNvPr id="1719" name="Straight Connector 1718"/>
        <xdr:cNvCxnSpPr/>
      </xdr:nvCxnSpPr>
      <xdr:spPr>
        <a:xfrm>
          <a:off x="2713118" y="21895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1170</xdr:row>
      <xdr:rowOff>36635</xdr:rowOff>
    </xdr:from>
    <xdr:to>
      <xdr:col>3</xdr:col>
      <xdr:colOff>300404</xdr:colOff>
      <xdr:row>1171</xdr:row>
      <xdr:rowOff>45337</xdr:rowOff>
    </xdr:to>
    <xdr:cxnSp macro="">
      <xdr:nvCxnSpPr>
        <xdr:cNvPr id="1720" name="Straight Connector 1719"/>
        <xdr:cNvCxnSpPr/>
      </xdr:nvCxnSpPr>
      <xdr:spPr>
        <a:xfrm flipH="1">
          <a:off x="3085174" y="21849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1170</xdr:row>
      <xdr:rowOff>25749</xdr:rowOff>
    </xdr:from>
    <xdr:to>
      <xdr:col>3</xdr:col>
      <xdr:colOff>472128</xdr:colOff>
      <xdr:row>1171</xdr:row>
      <xdr:rowOff>36635</xdr:rowOff>
    </xdr:to>
    <xdr:cxnSp macro="">
      <xdr:nvCxnSpPr>
        <xdr:cNvPr id="1721" name="Straight Connector 1720"/>
        <xdr:cNvCxnSpPr/>
      </xdr:nvCxnSpPr>
      <xdr:spPr>
        <a:xfrm>
          <a:off x="3244534" y="21848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1155</xdr:row>
      <xdr:rowOff>44824</xdr:rowOff>
    </xdr:from>
    <xdr:to>
      <xdr:col>3</xdr:col>
      <xdr:colOff>67235</xdr:colOff>
      <xdr:row>1157</xdr:row>
      <xdr:rowOff>156883</xdr:rowOff>
    </xdr:to>
    <xdr:cxnSp macro="">
      <xdr:nvCxnSpPr>
        <xdr:cNvPr id="1722" name="Straight Connector 1721"/>
        <xdr:cNvCxnSpPr/>
      </xdr:nvCxnSpPr>
      <xdr:spPr>
        <a:xfrm>
          <a:off x="2857500" y="21564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1157</xdr:row>
      <xdr:rowOff>166690</xdr:rowOff>
    </xdr:from>
    <xdr:to>
      <xdr:col>4</xdr:col>
      <xdr:colOff>29308</xdr:colOff>
      <xdr:row>1157</xdr:row>
      <xdr:rowOff>168519</xdr:rowOff>
    </xdr:to>
    <xdr:cxnSp macro="">
      <xdr:nvCxnSpPr>
        <xdr:cNvPr id="1723" name="Straight Connector 1722"/>
        <xdr:cNvCxnSpPr/>
      </xdr:nvCxnSpPr>
      <xdr:spPr>
        <a:xfrm>
          <a:off x="2849796" y="21614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1155</xdr:row>
      <xdr:rowOff>41673</xdr:rowOff>
    </xdr:from>
    <xdr:to>
      <xdr:col>4</xdr:col>
      <xdr:colOff>12211</xdr:colOff>
      <xdr:row>1158</xdr:row>
      <xdr:rowOff>0</xdr:rowOff>
    </xdr:to>
    <xdr:cxnSp macro="">
      <xdr:nvCxnSpPr>
        <xdr:cNvPr id="1724" name="Straight Connector 1723"/>
        <xdr:cNvCxnSpPr/>
      </xdr:nvCxnSpPr>
      <xdr:spPr>
        <a:xfrm flipH="1" flipV="1">
          <a:off x="3507441" y="21564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1155</xdr:row>
      <xdr:rowOff>32918</xdr:rowOff>
    </xdr:from>
    <xdr:to>
      <xdr:col>4</xdr:col>
      <xdr:colOff>17861</xdr:colOff>
      <xdr:row>1155</xdr:row>
      <xdr:rowOff>35719</xdr:rowOff>
    </xdr:to>
    <xdr:cxnSp macro="">
      <xdr:nvCxnSpPr>
        <xdr:cNvPr id="1725" name="Straight Connector 1724"/>
        <xdr:cNvCxnSpPr/>
      </xdr:nvCxnSpPr>
      <xdr:spPr>
        <a:xfrm flipH="1">
          <a:off x="2849796" y="21563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1160</xdr:row>
      <xdr:rowOff>89297</xdr:rowOff>
    </xdr:from>
    <xdr:to>
      <xdr:col>3</xdr:col>
      <xdr:colOff>178594</xdr:colOff>
      <xdr:row>1161</xdr:row>
      <xdr:rowOff>59531</xdr:rowOff>
    </xdr:to>
    <xdr:cxnSp macro="">
      <xdr:nvCxnSpPr>
        <xdr:cNvPr id="1726" name="Straight Connector 1725"/>
        <xdr:cNvCxnSpPr/>
      </xdr:nvCxnSpPr>
      <xdr:spPr>
        <a:xfrm>
          <a:off x="2849796" y="21664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1160</xdr:row>
      <xdr:rowOff>35719</xdr:rowOff>
    </xdr:from>
    <xdr:to>
      <xdr:col>3</xdr:col>
      <xdr:colOff>285750</xdr:colOff>
      <xdr:row>1160</xdr:row>
      <xdr:rowOff>154781</xdr:rowOff>
    </xdr:to>
    <xdr:cxnSp macro="">
      <xdr:nvCxnSpPr>
        <xdr:cNvPr id="1727" name="Straight Connector 1726"/>
        <xdr:cNvCxnSpPr/>
      </xdr:nvCxnSpPr>
      <xdr:spPr>
        <a:xfrm>
          <a:off x="2885515" y="21658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1160</xdr:row>
      <xdr:rowOff>44824</xdr:rowOff>
    </xdr:from>
    <xdr:to>
      <xdr:col>3</xdr:col>
      <xdr:colOff>67235</xdr:colOff>
      <xdr:row>1162</xdr:row>
      <xdr:rowOff>156883</xdr:rowOff>
    </xdr:to>
    <xdr:cxnSp macro="">
      <xdr:nvCxnSpPr>
        <xdr:cNvPr id="1728" name="Straight Connector 1727"/>
        <xdr:cNvCxnSpPr/>
      </xdr:nvCxnSpPr>
      <xdr:spPr>
        <a:xfrm>
          <a:off x="2857500" y="21659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1162</xdr:row>
      <xdr:rowOff>166690</xdr:rowOff>
    </xdr:from>
    <xdr:to>
      <xdr:col>4</xdr:col>
      <xdr:colOff>29308</xdr:colOff>
      <xdr:row>1162</xdr:row>
      <xdr:rowOff>168519</xdr:rowOff>
    </xdr:to>
    <xdr:cxnSp macro="">
      <xdr:nvCxnSpPr>
        <xdr:cNvPr id="1729" name="Straight Connector 1728"/>
        <xdr:cNvCxnSpPr/>
      </xdr:nvCxnSpPr>
      <xdr:spPr>
        <a:xfrm>
          <a:off x="2849796" y="21710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1160</xdr:row>
      <xdr:rowOff>41673</xdr:rowOff>
    </xdr:from>
    <xdr:to>
      <xdr:col>4</xdr:col>
      <xdr:colOff>12211</xdr:colOff>
      <xdr:row>1163</xdr:row>
      <xdr:rowOff>0</xdr:rowOff>
    </xdr:to>
    <xdr:cxnSp macro="">
      <xdr:nvCxnSpPr>
        <xdr:cNvPr id="1730" name="Straight Connector 1729"/>
        <xdr:cNvCxnSpPr/>
      </xdr:nvCxnSpPr>
      <xdr:spPr>
        <a:xfrm flipH="1" flipV="1">
          <a:off x="3507441" y="21659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1160</xdr:row>
      <xdr:rowOff>32918</xdr:rowOff>
    </xdr:from>
    <xdr:to>
      <xdr:col>4</xdr:col>
      <xdr:colOff>17861</xdr:colOff>
      <xdr:row>1160</xdr:row>
      <xdr:rowOff>35719</xdr:rowOff>
    </xdr:to>
    <xdr:cxnSp macro="">
      <xdr:nvCxnSpPr>
        <xdr:cNvPr id="1731" name="Straight Connector 1730"/>
        <xdr:cNvCxnSpPr/>
      </xdr:nvCxnSpPr>
      <xdr:spPr>
        <a:xfrm flipH="1">
          <a:off x="2849796" y="21658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1174</xdr:row>
      <xdr:rowOff>124558</xdr:rowOff>
    </xdr:from>
    <xdr:to>
      <xdr:col>3</xdr:col>
      <xdr:colOff>381000</xdr:colOff>
      <xdr:row>1177</xdr:row>
      <xdr:rowOff>124558</xdr:rowOff>
    </xdr:to>
    <xdr:cxnSp macro="">
      <xdr:nvCxnSpPr>
        <xdr:cNvPr id="1732" name="Straight Connector 1731"/>
        <xdr:cNvCxnSpPr/>
      </xdr:nvCxnSpPr>
      <xdr:spPr>
        <a:xfrm flipH="1">
          <a:off x="2720149" y="21934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1174</xdr:row>
      <xdr:rowOff>139212</xdr:rowOff>
    </xdr:from>
    <xdr:to>
      <xdr:col>4</xdr:col>
      <xdr:colOff>116773</xdr:colOff>
      <xdr:row>1177</xdr:row>
      <xdr:rowOff>117231</xdr:rowOff>
    </xdr:to>
    <xdr:cxnSp macro="">
      <xdr:nvCxnSpPr>
        <xdr:cNvPr id="1733" name="Straight Connector 1732"/>
        <xdr:cNvCxnSpPr/>
      </xdr:nvCxnSpPr>
      <xdr:spPr>
        <a:xfrm>
          <a:off x="3171265" y="21935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1177</xdr:row>
      <xdr:rowOff>118956</xdr:rowOff>
    </xdr:from>
    <xdr:to>
      <xdr:col>4</xdr:col>
      <xdr:colOff>134902</xdr:colOff>
      <xdr:row>1177</xdr:row>
      <xdr:rowOff>118956</xdr:rowOff>
    </xdr:to>
    <xdr:cxnSp macro="">
      <xdr:nvCxnSpPr>
        <xdr:cNvPr id="1734" name="Straight Connector 1733"/>
        <xdr:cNvCxnSpPr/>
      </xdr:nvCxnSpPr>
      <xdr:spPr>
        <a:xfrm>
          <a:off x="2713118" y="21991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1175</xdr:row>
      <xdr:rowOff>36635</xdr:rowOff>
    </xdr:from>
    <xdr:to>
      <xdr:col>3</xdr:col>
      <xdr:colOff>300404</xdr:colOff>
      <xdr:row>1176</xdr:row>
      <xdr:rowOff>45337</xdr:rowOff>
    </xdr:to>
    <xdr:cxnSp macro="">
      <xdr:nvCxnSpPr>
        <xdr:cNvPr id="1735" name="Straight Connector 1734"/>
        <xdr:cNvCxnSpPr/>
      </xdr:nvCxnSpPr>
      <xdr:spPr>
        <a:xfrm flipH="1">
          <a:off x="3085174" y="21944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1175</xdr:row>
      <xdr:rowOff>25749</xdr:rowOff>
    </xdr:from>
    <xdr:to>
      <xdr:col>3</xdr:col>
      <xdr:colOff>472128</xdr:colOff>
      <xdr:row>1176</xdr:row>
      <xdr:rowOff>36635</xdr:rowOff>
    </xdr:to>
    <xdr:cxnSp macro="">
      <xdr:nvCxnSpPr>
        <xdr:cNvPr id="1736" name="Straight Connector 1735"/>
        <xdr:cNvCxnSpPr/>
      </xdr:nvCxnSpPr>
      <xdr:spPr>
        <a:xfrm>
          <a:off x="3244534" y="21943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1165</xdr:row>
      <xdr:rowOff>89297</xdr:rowOff>
    </xdr:from>
    <xdr:to>
      <xdr:col>3</xdr:col>
      <xdr:colOff>178594</xdr:colOff>
      <xdr:row>1166</xdr:row>
      <xdr:rowOff>59531</xdr:rowOff>
    </xdr:to>
    <xdr:cxnSp macro="">
      <xdr:nvCxnSpPr>
        <xdr:cNvPr id="1737" name="Straight Connector 1736"/>
        <xdr:cNvCxnSpPr/>
      </xdr:nvCxnSpPr>
      <xdr:spPr>
        <a:xfrm>
          <a:off x="2849796" y="21759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1165</xdr:row>
      <xdr:rowOff>35719</xdr:rowOff>
    </xdr:from>
    <xdr:to>
      <xdr:col>3</xdr:col>
      <xdr:colOff>285750</xdr:colOff>
      <xdr:row>1165</xdr:row>
      <xdr:rowOff>154781</xdr:rowOff>
    </xdr:to>
    <xdr:cxnSp macro="">
      <xdr:nvCxnSpPr>
        <xdr:cNvPr id="1738" name="Straight Connector 1737"/>
        <xdr:cNvCxnSpPr/>
      </xdr:nvCxnSpPr>
      <xdr:spPr>
        <a:xfrm>
          <a:off x="2885515" y="21754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1165</xdr:row>
      <xdr:rowOff>44824</xdr:rowOff>
    </xdr:from>
    <xdr:to>
      <xdr:col>3</xdr:col>
      <xdr:colOff>67235</xdr:colOff>
      <xdr:row>1167</xdr:row>
      <xdr:rowOff>156883</xdr:rowOff>
    </xdr:to>
    <xdr:cxnSp macro="">
      <xdr:nvCxnSpPr>
        <xdr:cNvPr id="1739" name="Straight Connector 1738"/>
        <xdr:cNvCxnSpPr/>
      </xdr:nvCxnSpPr>
      <xdr:spPr>
        <a:xfrm>
          <a:off x="2857500" y="21755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1167</xdr:row>
      <xdr:rowOff>166690</xdr:rowOff>
    </xdr:from>
    <xdr:to>
      <xdr:col>4</xdr:col>
      <xdr:colOff>29308</xdr:colOff>
      <xdr:row>1167</xdr:row>
      <xdr:rowOff>168519</xdr:rowOff>
    </xdr:to>
    <xdr:cxnSp macro="">
      <xdr:nvCxnSpPr>
        <xdr:cNvPr id="1740" name="Straight Connector 1739"/>
        <xdr:cNvCxnSpPr/>
      </xdr:nvCxnSpPr>
      <xdr:spPr>
        <a:xfrm>
          <a:off x="2849796" y="21805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1165</xdr:row>
      <xdr:rowOff>41673</xdr:rowOff>
    </xdr:from>
    <xdr:to>
      <xdr:col>4</xdr:col>
      <xdr:colOff>12211</xdr:colOff>
      <xdr:row>1168</xdr:row>
      <xdr:rowOff>0</xdr:rowOff>
    </xdr:to>
    <xdr:cxnSp macro="">
      <xdr:nvCxnSpPr>
        <xdr:cNvPr id="1741" name="Straight Connector 1740"/>
        <xdr:cNvCxnSpPr/>
      </xdr:nvCxnSpPr>
      <xdr:spPr>
        <a:xfrm flipH="1" flipV="1">
          <a:off x="3507441" y="21754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1165</xdr:row>
      <xdr:rowOff>32918</xdr:rowOff>
    </xdr:from>
    <xdr:to>
      <xdr:col>4</xdr:col>
      <xdr:colOff>17861</xdr:colOff>
      <xdr:row>1165</xdr:row>
      <xdr:rowOff>35719</xdr:rowOff>
    </xdr:to>
    <xdr:cxnSp macro="">
      <xdr:nvCxnSpPr>
        <xdr:cNvPr id="1742" name="Straight Connector 1741"/>
        <xdr:cNvCxnSpPr/>
      </xdr:nvCxnSpPr>
      <xdr:spPr>
        <a:xfrm flipH="1">
          <a:off x="2849796" y="21753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1187</xdr:row>
      <xdr:rowOff>89297</xdr:rowOff>
    </xdr:from>
    <xdr:to>
      <xdr:col>3</xdr:col>
      <xdr:colOff>178594</xdr:colOff>
      <xdr:row>1188</xdr:row>
      <xdr:rowOff>59531</xdr:rowOff>
    </xdr:to>
    <xdr:cxnSp macro="">
      <xdr:nvCxnSpPr>
        <xdr:cNvPr id="1743" name="Straight Connector 1742"/>
        <xdr:cNvCxnSpPr/>
      </xdr:nvCxnSpPr>
      <xdr:spPr>
        <a:xfrm>
          <a:off x="2849796" y="21569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1187</xdr:row>
      <xdr:rowOff>35719</xdr:rowOff>
    </xdr:from>
    <xdr:to>
      <xdr:col>3</xdr:col>
      <xdr:colOff>285750</xdr:colOff>
      <xdr:row>1187</xdr:row>
      <xdr:rowOff>154781</xdr:rowOff>
    </xdr:to>
    <xdr:cxnSp macro="">
      <xdr:nvCxnSpPr>
        <xdr:cNvPr id="1744" name="Straight Connector 1743"/>
        <xdr:cNvCxnSpPr/>
      </xdr:nvCxnSpPr>
      <xdr:spPr>
        <a:xfrm>
          <a:off x="2885515" y="21563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1201</xdr:row>
      <xdr:rowOff>124558</xdr:rowOff>
    </xdr:from>
    <xdr:to>
      <xdr:col>3</xdr:col>
      <xdr:colOff>381000</xdr:colOff>
      <xdr:row>1204</xdr:row>
      <xdr:rowOff>124558</xdr:rowOff>
    </xdr:to>
    <xdr:cxnSp macro="">
      <xdr:nvCxnSpPr>
        <xdr:cNvPr id="1745" name="Straight Connector 1744"/>
        <xdr:cNvCxnSpPr/>
      </xdr:nvCxnSpPr>
      <xdr:spPr>
        <a:xfrm flipH="1">
          <a:off x="2720149" y="21839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1201</xdr:row>
      <xdr:rowOff>139212</xdr:rowOff>
    </xdr:from>
    <xdr:to>
      <xdr:col>4</xdr:col>
      <xdr:colOff>116773</xdr:colOff>
      <xdr:row>1204</xdr:row>
      <xdr:rowOff>117231</xdr:rowOff>
    </xdr:to>
    <xdr:cxnSp macro="">
      <xdr:nvCxnSpPr>
        <xdr:cNvPr id="1746" name="Straight Connector 1745"/>
        <xdr:cNvCxnSpPr/>
      </xdr:nvCxnSpPr>
      <xdr:spPr>
        <a:xfrm>
          <a:off x="3171265" y="21840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1204</xdr:row>
      <xdr:rowOff>118956</xdr:rowOff>
    </xdr:from>
    <xdr:to>
      <xdr:col>4</xdr:col>
      <xdr:colOff>134902</xdr:colOff>
      <xdr:row>1204</xdr:row>
      <xdr:rowOff>118956</xdr:rowOff>
    </xdr:to>
    <xdr:cxnSp macro="">
      <xdr:nvCxnSpPr>
        <xdr:cNvPr id="1747" name="Straight Connector 1746"/>
        <xdr:cNvCxnSpPr/>
      </xdr:nvCxnSpPr>
      <xdr:spPr>
        <a:xfrm>
          <a:off x="2713118" y="21895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1202</xdr:row>
      <xdr:rowOff>36635</xdr:rowOff>
    </xdr:from>
    <xdr:to>
      <xdr:col>3</xdr:col>
      <xdr:colOff>300404</xdr:colOff>
      <xdr:row>1203</xdr:row>
      <xdr:rowOff>45337</xdr:rowOff>
    </xdr:to>
    <xdr:cxnSp macro="">
      <xdr:nvCxnSpPr>
        <xdr:cNvPr id="1748" name="Straight Connector 1747"/>
        <xdr:cNvCxnSpPr/>
      </xdr:nvCxnSpPr>
      <xdr:spPr>
        <a:xfrm flipH="1">
          <a:off x="3085174" y="21849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1202</xdr:row>
      <xdr:rowOff>25749</xdr:rowOff>
    </xdr:from>
    <xdr:to>
      <xdr:col>3</xdr:col>
      <xdr:colOff>472128</xdr:colOff>
      <xdr:row>1203</xdr:row>
      <xdr:rowOff>36635</xdr:rowOff>
    </xdr:to>
    <xdr:cxnSp macro="">
      <xdr:nvCxnSpPr>
        <xdr:cNvPr id="1749" name="Straight Connector 1748"/>
        <xdr:cNvCxnSpPr/>
      </xdr:nvCxnSpPr>
      <xdr:spPr>
        <a:xfrm>
          <a:off x="3244534" y="21848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1187</xdr:row>
      <xdr:rowOff>44824</xdr:rowOff>
    </xdr:from>
    <xdr:to>
      <xdr:col>3</xdr:col>
      <xdr:colOff>67235</xdr:colOff>
      <xdr:row>1189</xdr:row>
      <xdr:rowOff>156883</xdr:rowOff>
    </xdr:to>
    <xdr:cxnSp macro="">
      <xdr:nvCxnSpPr>
        <xdr:cNvPr id="1750" name="Straight Connector 1749"/>
        <xdr:cNvCxnSpPr/>
      </xdr:nvCxnSpPr>
      <xdr:spPr>
        <a:xfrm>
          <a:off x="2857500" y="21564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1189</xdr:row>
      <xdr:rowOff>166690</xdr:rowOff>
    </xdr:from>
    <xdr:to>
      <xdr:col>4</xdr:col>
      <xdr:colOff>29308</xdr:colOff>
      <xdr:row>1189</xdr:row>
      <xdr:rowOff>168519</xdr:rowOff>
    </xdr:to>
    <xdr:cxnSp macro="">
      <xdr:nvCxnSpPr>
        <xdr:cNvPr id="1751" name="Straight Connector 1750"/>
        <xdr:cNvCxnSpPr/>
      </xdr:nvCxnSpPr>
      <xdr:spPr>
        <a:xfrm>
          <a:off x="2849796" y="21614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1187</xdr:row>
      <xdr:rowOff>41673</xdr:rowOff>
    </xdr:from>
    <xdr:to>
      <xdr:col>4</xdr:col>
      <xdr:colOff>12211</xdr:colOff>
      <xdr:row>1190</xdr:row>
      <xdr:rowOff>0</xdr:rowOff>
    </xdr:to>
    <xdr:cxnSp macro="">
      <xdr:nvCxnSpPr>
        <xdr:cNvPr id="1752" name="Straight Connector 1751"/>
        <xdr:cNvCxnSpPr/>
      </xdr:nvCxnSpPr>
      <xdr:spPr>
        <a:xfrm flipH="1" flipV="1">
          <a:off x="3507441" y="21564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1187</xdr:row>
      <xdr:rowOff>32918</xdr:rowOff>
    </xdr:from>
    <xdr:to>
      <xdr:col>4</xdr:col>
      <xdr:colOff>17861</xdr:colOff>
      <xdr:row>1187</xdr:row>
      <xdr:rowOff>35719</xdr:rowOff>
    </xdr:to>
    <xdr:cxnSp macro="">
      <xdr:nvCxnSpPr>
        <xdr:cNvPr id="1753" name="Straight Connector 1752"/>
        <xdr:cNvCxnSpPr/>
      </xdr:nvCxnSpPr>
      <xdr:spPr>
        <a:xfrm flipH="1">
          <a:off x="2849796" y="21563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1192</xdr:row>
      <xdr:rowOff>89297</xdr:rowOff>
    </xdr:from>
    <xdr:to>
      <xdr:col>3</xdr:col>
      <xdr:colOff>178594</xdr:colOff>
      <xdr:row>1193</xdr:row>
      <xdr:rowOff>59531</xdr:rowOff>
    </xdr:to>
    <xdr:cxnSp macro="">
      <xdr:nvCxnSpPr>
        <xdr:cNvPr id="1754" name="Straight Connector 1753"/>
        <xdr:cNvCxnSpPr/>
      </xdr:nvCxnSpPr>
      <xdr:spPr>
        <a:xfrm>
          <a:off x="2849796" y="21664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1192</xdr:row>
      <xdr:rowOff>35719</xdr:rowOff>
    </xdr:from>
    <xdr:to>
      <xdr:col>3</xdr:col>
      <xdr:colOff>285750</xdr:colOff>
      <xdr:row>1192</xdr:row>
      <xdr:rowOff>154781</xdr:rowOff>
    </xdr:to>
    <xdr:cxnSp macro="">
      <xdr:nvCxnSpPr>
        <xdr:cNvPr id="1755" name="Straight Connector 1754"/>
        <xdr:cNvCxnSpPr/>
      </xdr:nvCxnSpPr>
      <xdr:spPr>
        <a:xfrm>
          <a:off x="2885515" y="21658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1192</xdr:row>
      <xdr:rowOff>44824</xdr:rowOff>
    </xdr:from>
    <xdr:to>
      <xdr:col>3</xdr:col>
      <xdr:colOff>67235</xdr:colOff>
      <xdr:row>1194</xdr:row>
      <xdr:rowOff>156883</xdr:rowOff>
    </xdr:to>
    <xdr:cxnSp macro="">
      <xdr:nvCxnSpPr>
        <xdr:cNvPr id="1756" name="Straight Connector 1755"/>
        <xdr:cNvCxnSpPr/>
      </xdr:nvCxnSpPr>
      <xdr:spPr>
        <a:xfrm>
          <a:off x="2857500" y="21659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1194</xdr:row>
      <xdr:rowOff>166690</xdr:rowOff>
    </xdr:from>
    <xdr:to>
      <xdr:col>4</xdr:col>
      <xdr:colOff>29308</xdr:colOff>
      <xdr:row>1194</xdr:row>
      <xdr:rowOff>168519</xdr:rowOff>
    </xdr:to>
    <xdr:cxnSp macro="">
      <xdr:nvCxnSpPr>
        <xdr:cNvPr id="1757" name="Straight Connector 1756"/>
        <xdr:cNvCxnSpPr/>
      </xdr:nvCxnSpPr>
      <xdr:spPr>
        <a:xfrm>
          <a:off x="2849796" y="21710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1192</xdr:row>
      <xdr:rowOff>41673</xdr:rowOff>
    </xdr:from>
    <xdr:to>
      <xdr:col>4</xdr:col>
      <xdr:colOff>12211</xdr:colOff>
      <xdr:row>1195</xdr:row>
      <xdr:rowOff>0</xdr:rowOff>
    </xdr:to>
    <xdr:cxnSp macro="">
      <xdr:nvCxnSpPr>
        <xdr:cNvPr id="1758" name="Straight Connector 1757"/>
        <xdr:cNvCxnSpPr/>
      </xdr:nvCxnSpPr>
      <xdr:spPr>
        <a:xfrm flipH="1" flipV="1">
          <a:off x="3507441" y="21659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1192</xdr:row>
      <xdr:rowOff>32918</xdr:rowOff>
    </xdr:from>
    <xdr:to>
      <xdr:col>4</xdr:col>
      <xdr:colOff>17861</xdr:colOff>
      <xdr:row>1192</xdr:row>
      <xdr:rowOff>35719</xdr:rowOff>
    </xdr:to>
    <xdr:cxnSp macro="">
      <xdr:nvCxnSpPr>
        <xdr:cNvPr id="1759" name="Straight Connector 1758"/>
        <xdr:cNvCxnSpPr/>
      </xdr:nvCxnSpPr>
      <xdr:spPr>
        <a:xfrm flipH="1">
          <a:off x="2849796" y="21658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1206</xdr:row>
      <xdr:rowOff>124558</xdr:rowOff>
    </xdr:from>
    <xdr:to>
      <xdr:col>3</xdr:col>
      <xdr:colOff>381000</xdr:colOff>
      <xdr:row>1209</xdr:row>
      <xdr:rowOff>124558</xdr:rowOff>
    </xdr:to>
    <xdr:cxnSp macro="">
      <xdr:nvCxnSpPr>
        <xdr:cNvPr id="1760" name="Straight Connector 1759"/>
        <xdr:cNvCxnSpPr/>
      </xdr:nvCxnSpPr>
      <xdr:spPr>
        <a:xfrm flipH="1">
          <a:off x="2720149" y="21934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1206</xdr:row>
      <xdr:rowOff>139212</xdr:rowOff>
    </xdr:from>
    <xdr:to>
      <xdr:col>4</xdr:col>
      <xdr:colOff>116773</xdr:colOff>
      <xdr:row>1209</xdr:row>
      <xdr:rowOff>117231</xdr:rowOff>
    </xdr:to>
    <xdr:cxnSp macro="">
      <xdr:nvCxnSpPr>
        <xdr:cNvPr id="1761" name="Straight Connector 1760"/>
        <xdr:cNvCxnSpPr/>
      </xdr:nvCxnSpPr>
      <xdr:spPr>
        <a:xfrm>
          <a:off x="3171265" y="21935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1209</xdr:row>
      <xdr:rowOff>118956</xdr:rowOff>
    </xdr:from>
    <xdr:to>
      <xdr:col>4</xdr:col>
      <xdr:colOff>134902</xdr:colOff>
      <xdr:row>1209</xdr:row>
      <xdr:rowOff>118956</xdr:rowOff>
    </xdr:to>
    <xdr:cxnSp macro="">
      <xdr:nvCxnSpPr>
        <xdr:cNvPr id="1762" name="Straight Connector 1761"/>
        <xdr:cNvCxnSpPr/>
      </xdr:nvCxnSpPr>
      <xdr:spPr>
        <a:xfrm>
          <a:off x="2713118" y="21991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1207</xdr:row>
      <xdr:rowOff>36635</xdr:rowOff>
    </xdr:from>
    <xdr:to>
      <xdr:col>3</xdr:col>
      <xdr:colOff>300404</xdr:colOff>
      <xdr:row>1208</xdr:row>
      <xdr:rowOff>45337</xdr:rowOff>
    </xdr:to>
    <xdr:cxnSp macro="">
      <xdr:nvCxnSpPr>
        <xdr:cNvPr id="1763" name="Straight Connector 1762"/>
        <xdr:cNvCxnSpPr/>
      </xdr:nvCxnSpPr>
      <xdr:spPr>
        <a:xfrm flipH="1">
          <a:off x="3085174" y="21944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1207</xdr:row>
      <xdr:rowOff>25749</xdr:rowOff>
    </xdr:from>
    <xdr:to>
      <xdr:col>3</xdr:col>
      <xdr:colOff>472128</xdr:colOff>
      <xdr:row>1208</xdr:row>
      <xdr:rowOff>36635</xdr:rowOff>
    </xdr:to>
    <xdr:cxnSp macro="">
      <xdr:nvCxnSpPr>
        <xdr:cNvPr id="1764" name="Straight Connector 1763"/>
        <xdr:cNvCxnSpPr/>
      </xdr:nvCxnSpPr>
      <xdr:spPr>
        <a:xfrm>
          <a:off x="3244534" y="21943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1197</xdr:row>
      <xdr:rowOff>89297</xdr:rowOff>
    </xdr:from>
    <xdr:to>
      <xdr:col>3</xdr:col>
      <xdr:colOff>178594</xdr:colOff>
      <xdr:row>1198</xdr:row>
      <xdr:rowOff>59531</xdr:rowOff>
    </xdr:to>
    <xdr:cxnSp macro="">
      <xdr:nvCxnSpPr>
        <xdr:cNvPr id="1765" name="Straight Connector 1764"/>
        <xdr:cNvCxnSpPr/>
      </xdr:nvCxnSpPr>
      <xdr:spPr>
        <a:xfrm>
          <a:off x="2849796" y="21759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1197</xdr:row>
      <xdr:rowOff>35719</xdr:rowOff>
    </xdr:from>
    <xdr:to>
      <xdr:col>3</xdr:col>
      <xdr:colOff>285750</xdr:colOff>
      <xdr:row>1197</xdr:row>
      <xdr:rowOff>154781</xdr:rowOff>
    </xdr:to>
    <xdr:cxnSp macro="">
      <xdr:nvCxnSpPr>
        <xdr:cNvPr id="1766" name="Straight Connector 1765"/>
        <xdr:cNvCxnSpPr/>
      </xdr:nvCxnSpPr>
      <xdr:spPr>
        <a:xfrm>
          <a:off x="2885515" y="21754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1197</xdr:row>
      <xdr:rowOff>44824</xdr:rowOff>
    </xdr:from>
    <xdr:to>
      <xdr:col>3</xdr:col>
      <xdr:colOff>67235</xdr:colOff>
      <xdr:row>1199</xdr:row>
      <xdr:rowOff>156883</xdr:rowOff>
    </xdr:to>
    <xdr:cxnSp macro="">
      <xdr:nvCxnSpPr>
        <xdr:cNvPr id="1767" name="Straight Connector 1766"/>
        <xdr:cNvCxnSpPr/>
      </xdr:nvCxnSpPr>
      <xdr:spPr>
        <a:xfrm>
          <a:off x="2857500" y="21755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1199</xdr:row>
      <xdr:rowOff>166690</xdr:rowOff>
    </xdr:from>
    <xdr:to>
      <xdr:col>4</xdr:col>
      <xdr:colOff>29308</xdr:colOff>
      <xdr:row>1199</xdr:row>
      <xdr:rowOff>168519</xdr:rowOff>
    </xdr:to>
    <xdr:cxnSp macro="">
      <xdr:nvCxnSpPr>
        <xdr:cNvPr id="1768" name="Straight Connector 1767"/>
        <xdr:cNvCxnSpPr/>
      </xdr:nvCxnSpPr>
      <xdr:spPr>
        <a:xfrm>
          <a:off x="2849796" y="21805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1197</xdr:row>
      <xdr:rowOff>41673</xdr:rowOff>
    </xdr:from>
    <xdr:to>
      <xdr:col>4</xdr:col>
      <xdr:colOff>12211</xdr:colOff>
      <xdr:row>1200</xdr:row>
      <xdr:rowOff>0</xdr:rowOff>
    </xdr:to>
    <xdr:cxnSp macro="">
      <xdr:nvCxnSpPr>
        <xdr:cNvPr id="1769" name="Straight Connector 1768"/>
        <xdr:cNvCxnSpPr/>
      </xdr:nvCxnSpPr>
      <xdr:spPr>
        <a:xfrm flipH="1" flipV="1">
          <a:off x="3507441" y="21754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1197</xdr:row>
      <xdr:rowOff>32918</xdr:rowOff>
    </xdr:from>
    <xdr:to>
      <xdr:col>4</xdr:col>
      <xdr:colOff>17861</xdr:colOff>
      <xdr:row>1197</xdr:row>
      <xdr:rowOff>35719</xdr:rowOff>
    </xdr:to>
    <xdr:cxnSp macro="">
      <xdr:nvCxnSpPr>
        <xdr:cNvPr id="1770" name="Straight Connector 1769"/>
        <xdr:cNvCxnSpPr/>
      </xdr:nvCxnSpPr>
      <xdr:spPr>
        <a:xfrm flipH="1">
          <a:off x="2849796" y="21753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1212</xdr:row>
      <xdr:rowOff>89297</xdr:rowOff>
    </xdr:from>
    <xdr:to>
      <xdr:col>3</xdr:col>
      <xdr:colOff>178594</xdr:colOff>
      <xdr:row>1213</xdr:row>
      <xdr:rowOff>59531</xdr:rowOff>
    </xdr:to>
    <xdr:cxnSp macro="">
      <xdr:nvCxnSpPr>
        <xdr:cNvPr id="1771" name="Straight Connector 1770"/>
        <xdr:cNvCxnSpPr/>
      </xdr:nvCxnSpPr>
      <xdr:spPr>
        <a:xfrm>
          <a:off x="2849796" y="22045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1212</xdr:row>
      <xdr:rowOff>35719</xdr:rowOff>
    </xdr:from>
    <xdr:to>
      <xdr:col>3</xdr:col>
      <xdr:colOff>285750</xdr:colOff>
      <xdr:row>1212</xdr:row>
      <xdr:rowOff>154781</xdr:rowOff>
    </xdr:to>
    <xdr:cxnSp macro="">
      <xdr:nvCxnSpPr>
        <xdr:cNvPr id="1772" name="Straight Connector 1771"/>
        <xdr:cNvCxnSpPr/>
      </xdr:nvCxnSpPr>
      <xdr:spPr>
        <a:xfrm>
          <a:off x="2885515" y="22039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1226</xdr:row>
      <xdr:rowOff>124558</xdr:rowOff>
    </xdr:from>
    <xdr:to>
      <xdr:col>3</xdr:col>
      <xdr:colOff>381000</xdr:colOff>
      <xdr:row>1229</xdr:row>
      <xdr:rowOff>124558</xdr:rowOff>
    </xdr:to>
    <xdr:cxnSp macro="">
      <xdr:nvCxnSpPr>
        <xdr:cNvPr id="1773" name="Straight Connector 1772"/>
        <xdr:cNvCxnSpPr/>
      </xdr:nvCxnSpPr>
      <xdr:spPr>
        <a:xfrm flipH="1">
          <a:off x="2720149" y="22315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1226</xdr:row>
      <xdr:rowOff>139212</xdr:rowOff>
    </xdr:from>
    <xdr:to>
      <xdr:col>4</xdr:col>
      <xdr:colOff>116773</xdr:colOff>
      <xdr:row>1229</xdr:row>
      <xdr:rowOff>117231</xdr:rowOff>
    </xdr:to>
    <xdr:cxnSp macro="">
      <xdr:nvCxnSpPr>
        <xdr:cNvPr id="1774" name="Straight Connector 1773"/>
        <xdr:cNvCxnSpPr/>
      </xdr:nvCxnSpPr>
      <xdr:spPr>
        <a:xfrm>
          <a:off x="3171265" y="22316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1229</xdr:row>
      <xdr:rowOff>118956</xdr:rowOff>
    </xdr:from>
    <xdr:to>
      <xdr:col>4</xdr:col>
      <xdr:colOff>134902</xdr:colOff>
      <xdr:row>1229</xdr:row>
      <xdr:rowOff>118956</xdr:rowOff>
    </xdr:to>
    <xdr:cxnSp macro="">
      <xdr:nvCxnSpPr>
        <xdr:cNvPr id="1775" name="Straight Connector 1774"/>
        <xdr:cNvCxnSpPr/>
      </xdr:nvCxnSpPr>
      <xdr:spPr>
        <a:xfrm>
          <a:off x="2713118" y="22372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1227</xdr:row>
      <xdr:rowOff>36635</xdr:rowOff>
    </xdr:from>
    <xdr:to>
      <xdr:col>3</xdr:col>
      <xdr:colOff>300404</xdr:colOff>
      <xdr:row>1228</xdr:row>
      <xdr:rowOff>45337</xdr:rowOff>
    </xdr:to>
    <xdr:cxnSp macro="">
      <xdr:nvCxnSpPr>
        <xdr:cNvPr id="1776" name="Straight Connector 1775"/>
        <xdr:cNvCxnSpPr/>
      </xdr:nvCxnSpPr>
      <xdr:spPr>
        <a:xfrm flipH="1">
          <a:off x="3085174" y="22325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1227</xdr:row>
      <xdr:rowOff>25749</xdr:rowOff>
    </xdr:from>
    <xdr:to>
      <xdr:col>3</xdr:col>
      <xdr:colOff>472128</xdr:colOff>
      <xdr:row>1228</xdr:row>
      <xdr:rowOff>36635</xdr:rowOff>
    </xdr:to>
    <xdr:cxnSp macro="">
      <xdr:nvCxnSpPr>
        <xdr:cNvPr id="1777" name="Straight Connector 1776"/>
        <xdr:cNvCxnSpPr/>
      </xdr:nvCxnSpPr>
      <xdr:spPr>
        <a:xfrm>
          <a:off x="3244534" y="22324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1212</xdr:row>
      <xdr:rowOff>44824</xdr:rowOff>
    </xdr:from>
    <xdr:to>
      <xdr:col>3</xdr:col>
      <xdr:colOff>67235</xdr:colOff>
      <xdr:row>1214</xdr:row>
      <xdr:rowOff>156883</xdr:rowOff>
    </xdr:to>
    <xdr:cxnSp macro="">
      <xdr:nvCxnSpPr>
        <xdr:cNvPr id="1778" name="Straight Connector 1777"/>
        <xdr:cNvCxnSpPr/>
      </xdr:nvCxnSpPr>
      <xdr:spPr>
        <a:xfrm>
          <a:off x="2857500" y="22040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1214</xdr:row>
      <xdr:rowOff>166690</xdr:rowOff>
    </xdr:from>
    <xdr:to>
      <xdr:col>4</xdr:col>
      <xdr:colOff>29308</xdr:colOff>
      <xdr:row>1214</xdr:row>
      <xdr:rowOff>168519</xdr:rowOff>
    </xdr:to>
    <xdr:cxnSp macro="">
      <xdr:nvCxnSpPr>
        <xdr:cNvPr id="1779" name="Straight Connector 1778"/>
        <xdr:cNvCxnSpPr/>
      </xdr:nvCxnSpPr>
      <xdr:spPr>
        <a:xfrm>
          <a:off x="2849796" y="22091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1212</xdr:row>
      <xdr:rowOff>41673</xdr:rowOff>
    </xdr:from>
    <xdr:to>
      <xdr:col>4</xdr:col>
      <xdr:colOff>12211</xdr:colOff>
      <xdr:row>1215</xdr:row>
      <xdr:rowOff>0</xdr:rowOff>
    </xdr:to>
    <xdr:cxnSp macro="">
      <xdr:nvCxnSpPr>
        <xdr:cNvPr id="1780" name="Straight Connector 1779"/>
        <xdr:cNvCxnSpPr/>
      </xdr:nvCxnSpPr>
      <xdr:spPr>
        <a:xfrm flipH="1" flipV="1">
          <a:off x="3507441" y="22040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1212</xdr:row>
      <xdr:rowOff>32918</xdr:rowOff>
    </xdr:from>
    <xdr:to>
      <xdr:col>4</xdr:col>
      <xdr:colOff>17861</xdr:colOff>
      <xdr:row>1212</xdr:row>
      <xdr:rowOff>35719</xdr:rowOff>
    </xdr:to>
    <xdr:cxnSp macro="">
      <xdr:nvCxnSpPr>
        <xdr:cNvPr id="1781" name="Straight Connector 1780"/>
        <xdr:cNvCxnSpPr/>
      </xdr:nvCxnSpPr>
      <xdr:spPr>
        <a:xfrm flipH="1">
          <a:off x="2849796" y="22039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1217</xdr:row>
      <xdr:rowOff>89297</xdr:rowOff>
    </xdr:from>
    <xdr:to>
      <xdr:col>3</xdr:col>
      <xdr:colOff>178594</xdr:colOff>
      <xdr:row>1218</xdr:row>
      <xdr:rowOff>59531</xdr:rowOff>
    </xdr:to>
    <xdr:cxnSp macro="">
      <xdr:nvCxnSpPr>
        <xdr:cNvPr id="1782" name="Straight Connector 1781"/>
        <xdr:cNvCxnSpPr/>
      </xdr:nvCxnSpPr>
      <xdr:spPr>
        <a:xfrm>
          <a:off x="2849796" y="22140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1217</xdr:row>
      <xdr:rowOff>35719</xdr:rowOff>
    </xdr:from>
    <xdr:to>
      <xdr:col>3</xdr:col>
      <xdr:colOff>285750</xdr:colOff>
      <xdr:row>1217</xdr:row>
      <xdr:rowOff>154781</xdr:rowOff>
    </xdr:to>
    <xdr:cxnSp macro="">
      <xdr:nvCxnSpPr>
        <xdr:cNvPr id="1783" name="Straight Connector 1782"/>
        <xdr:cNvCxnSpPr/>
      </xdr:nvCxnSpPr>
      <xdr:spPr>
        <a:xfrm>
          <a:off x="2885515" y="22135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1217</xdr:row>
      <xdr:rowOff>44824</xdr:rowOff>
    </xdr:from>
    <xdr:to>
      <xdr:col>3</xdr:col>
      <xdr:colOff>67235</xdr:colOff>
      <xdr:row>1219</xdr:row>
      <xdr:rowOff>156883</xdr:rowOff>
    </xdr:to>
    <xdr:cxnSp macro="">
      <xdr:nvCxnSpPr>
        <xdr:cNvPr id="1784" name="Straight Connector 1783"/>
        <xdr:cNvCxnSpPr/>
      </xdr:nvCxnSpPr>
      <xdr:spPr>
        <a:xfrm>
          <a:off x="2857500" y="22136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1219</xdr:row>
      <xdr:rowOff>166690</xdr:rowOff>
    </xdr:from>
    <xdr:to>
      <xdr:col>4</xdr:col>
      <xdr:colOff>29308</xdr:colOff>
      <xdr:row>1219</xdr:row>
      <xdr:rowOff>168519</xdr:rowOff>
    </xdr:to>
    <xdr:cxnSp macro="">
      <xdr:nvCxnSpPr>
        <xdr:cNvPr id="1785" name="Straight Connector 1784"/>
        <xdr:cNvCxnSpPr/>
      </xdr:nvCxnSpPr>
      <xdr:spPr>
        <a:xfrm>
          <a:off x="2849796" y="22186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1217</xdr:row>
      <xdr:rowOff>41673</xdr:rowOff>
    </xdr:from>
    <xdr:to>
      <xdr:col>4</xdr:col>
      <xdr:colOff>12211</xdr:colOff>
      <xdr:row>1220</xdr:row>
      <xdr:rowOff>0</xdr:rowOff>
    </xdr:to>
    <xdr:cxnSp macro="">
      <xdr:nvCxnSpPr>
        <xdr:cNvPr id="1786" name="Straight Connector 1785"/>
        <xdr:cNvCxnSpPr/>
      </xdr:nvCxnSpPr>
      <xdr:spPr>
        <a:xfrm flipH="1" flipV="1">
          <a:off x="3507441" y="22135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1217</xdr:row>
      <xdr:rowOff>32918</xdr:rowOff>
    </xdr:from>
    <xdr:to>
      <xdr:col>4</xdr:col>
      <xdr:colOff>17861</xdr:colOff>
      <xdr:row>1217</xdr:row>
      <xdr:rowOff>35719</xdr:rowOff>
    </xdr:to>
    <xdr:cxnSp macro="">
      <xdr:nvCxnSpPr>
        <xdr:cNvPr id="1787" name="Straight Connector 1786"/>
        <xdr:cNvCxnSpPr/>
      </xdr:nvCxnSpPr>
      <xdr:spPr>
        <a:xfrm flipH="1">
          <a:off x="2849796" y="22134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1231</xdr:row>
      <xdr:rowOff>124558</xdr:rowOff>
    </xdr:from>
    <xdr:to>
      <xdr:col>3</xdr:col>
      <xdr:colOff>381000</xdr:colOff>
      <xdr:row>1234</xdr:row>
      <xdr:rowOff>124558</xdr:rowOff>
    </xdr:to>
    <xdr:cxnSp macro="">
      <xdr:nvCxnSpPr>
        <xdr:cNvPr id="1788" name="Straight Connector 1787"/>
        <xdr:cNvCxnSpPr/>
      </xdr:nvCxnSpPr>
      <xdr:spPr>
        <a:xfrm flipH="1">
          <a:off x="2720149" y="22410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1231</xdr:row>
      <xdr:rowOff>139212</xdr:rowOff>
    </xdr:from>
    <xdr:to>
      <xdr:col>4</xdr:col>
      <xdr:colOff>116773</xdr:colOff>
      <xdr:row>1234</xdr:row>
      <xdr:rowOff>117231</xdr:rowOff>
    </xdr:to>
    <xdr:cxnSp macro="">
      <xdr:nvCxnSpPr>
        <xdr:cNvPr id="1789" name="Straight Connector 1788"/>
        <xdr:cNvCxnSpPr/>
      </xdr:nvCxnSpPr>
      <xdr:spPr>
        <a:xfrm>
          <a:off x="3171265" y="22412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1234</xdr:row>
      <xdr:rowOff>118956</xdr:rowOff>
    </xdr:from>
    <xdr:to>
      <xdr:col>4</xdr:col>
      <xdr:colOff>134902</xdr:colOff>
      <xdr:row>1234</xdr:row>
      <xdr:rowOff>118956</xdr:rowOff>
    </xdr:to>
    <xdr:cxnSp macro="">
      <xdr:nvCxnSpPr>
        <xdr:cNvPr id="1790" name="Straight Connector 1789"/>
        <xdr:cNvCxnSpPr/>
      </xdr:nvCxnSpPr>
      <xdr:spPr>
        <a:xfrm>
          <a:off x="2713118" y="22467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1232</xdr:row>
      <xdr:rowOff>36635</xdr:rowOff>
    </xdr:from>
    <xdr:to>
      <xdr:col>3</xdr:col>
      <xdr:colOff>300404</xdr:colOff>
      <xdr:row>1233</xdr:row>
      <xdr:rowOff>45337</xdr:rowOff>
    </xdr:to>
    <xdr:cxnSp macro="">
      <xdr:nvCxnSpPr>
        <xdr:cNvPr id="1791" name="Straight Connector 1790"/>
        <xdr:cNvCxnSpPr/>
      </xdr:nvCxnSpPr>
      <xdr:spPr>
        <a:xfrm flipH="1">
          <a:off x="3085174" y="22421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1232</xdr:row>
      <xdr:rowOff>25749</xdr:rowOff>
    </xdr:from>
    <xdr:to>
      <xdr:col>3</xdr:col>
      <xdr:colOff>472128</xdr:colOff>
      <xdr:row>1233</xdr:row>
      <xdr:rowOff>36635</xdr:rowOff>
    </xdr:to>
    <xdr:cxnSp macro="">
      <xdr:nvCxnSpPr>
        <xdr:cNvPr id="1792" name="Straight Connector 1791"/>
        <xdr:cNvCxnSpPr/>
      </xdr:nvCxnSpPr>
      <xdr:spPr>
        <a:xfrm>
          <a:off x="3244534" y="22419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1222</xdr:row>
      <xdr:rowOff>89297</xdr:rowOff>
    </xdr:from>
    <xdr:to>
      <xdr:col>3</xdr:col>
      <xdr:colOff>178594</xdr:colOff>
      <xdr:row>1223</xdr:row>
      <xdr:rowOff>59531</xdr:rowOff>
    </xdr:to>
    <xdr:cxnSp macro="">
      <xdr:nvCxnSpPr>
        <xdr:cNvPr id="1793" name="Straight Connector 1792"/>
        <xdr:cNvCxnSpPr/>
      </xdr:nvCxnSpPr>
      <xdr:spPr>
        <a:xfrm>
          <a:off x="2849796" y="22235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1222</xdr:row>
      <xdr:rowOff>35719</xdr:rowOff>
    </xdr:from>
    <xdr:to>
      <xdr:col>3</xdr:col>
      <xdr:colOff>285750</xdr:colOff>
      <xdr:row>1222</xdr:row>
      <xdr:rowOff>154781</xdr:rowOff>
    </xdr:to>
    <xdr:cxnSp macro="">
      <xdr:nvCxnSpPr>
        <xdr:cNvPr id="1794" name="Straight Connector 1793"/>
        <xdr:cNvCxnSpPr/>
      </xdr:nvCxnSpPr>
      <xdr:spPr>
        <a:xfrm>
          <a:off x="2885515" y="22230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1222</xdr:row>
      <xdr:rowOff>44824</xdr:rowOff>
    </xdr:from>
    <xdr:to>
      <xdr:col>3</xdr:col>
      <xdr:colOff>67235</xdr:colOff>
      <xdr:row>1224</xdr:row>
      <xdr:rowOff>156883</xdr:rowOff>
    </xdr:to>
    <xdr:cxnSp macro="">
      <xdr:nvCxnSpPr>
        <xdr:cNvPr id="1795" name="Straight Connector 1794"/>
        <xdr:cNvCxnSpPr/>
      </xdr:nvCxnSpPr>
      <xdr:spPr>
        <a:xfrm>
          <a:off x="2857500" y="22231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1224</xdr:row>
      <xdr:rowOff>166690</xdr:rowOff>
    </xdr:from>
    <xdr:to>
      <xdr:col>4</xdr:col>
      <xdr:colOff>29308</xdr:colOff>
      <xdr:row>1224</xdr:row>
      <xdr:rowOff>168519</xdr:rowOff>
    </xdr:to>
    <xdr:cxnSp macro="">
      <xdr:nvCxnSpPr>
        <xdr:cNvPr id="1796" name="Straight Connector 1795"/>
        <xdr:cNvCxnSpPr/>
      </xdr:nvCxnSpPr>
      <xdr:spPr>
        <a:xfrm>
          <a:off x="2849796" y="22281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1222</xdr:row>
      <xdr:rowOff>41673</xdr:rowOff>
    </xdr:from>
    <xdr:to>
      <xdr:col>4</xdr:col>
      <xdr:colOff>12211</xdr:colOff>
      <xdr:row>1225</xdr:row>
      <xdr:rowOff>0</xdr:rowOff>
    </xdr:to>
    <xdr:cxnSp macro="">
      <xdr:nvCxnSpPr>
        <xdr:cNvPr id="1797" name="Straight Connector 1796"/>
        <xdr:cNvCxnSpPr/>
      </xdr:nvCxnSpPr>
      <xdr:spPr>
        <a:xfrm flipH="1" flipV="1">
          <a:off x="3507441" y="22231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1222</xdr:row>
      <xdr:rowOff>32918</xdr:rowOff>
    </xdr:from>
    <xdr:to>
      <xdr:col>4</xdr:col>
      <xdr:colOff>17861</xdr:colOff>
      <xdr:row>1222</xdr:row>
      <xdr:rowOff>35719</xdr:rowOff>
    </xdr:to>
    <xdr:cxnSp macro="">
      <xdr:nvCxnSpPr>
        <xdr:cNvPr id="1798" name="Straight Connector 1797"/>
        <xdr:cNvCxnSpPr/>
      </xdr:nvCxnSpPr>
      <xdr:spPr>
        <a:xfrm flipH="1">
          <a:off x="2849796" y="22230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1179</xdr:row>
      <xdr:rowOff>297027</xdr:rowOff>
    </xdr:from>
    <xdr:to>
      <xdr:col>3</xdr:col>
      <xdr:colOff>392907</xdr:colOff>
      <xdr:row>1183</xdr:row>
      <xdr:rowOff>154781</xdr:rowOff>
    </xdr:to>
    <xdr:cxnSp macro="">
      <xdr:nvCxnSpPr>
        <xdr:cNvPr id="1799" name="Straight Connector 1798"/>
        <xdr:cNvCxnSpPr/>
      </xdr:nvCxnSpPr>
      <xdr:spPr>
        <a:xfrm>
          <a:off x="3175346" y="214269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1179</xdr:row>
      <xdr:rowOff>305147</xdr:rowOff>
    </xdr:from>
    <xdr:to>
      <xdr:col>3</xdr:col>
      <xdr:colOff>130969</xdr:colOff>
      <xdr:row>1181</xdr:row>
      <xdr:rowOff>11906</xdr:rowOff>
    </xdr:to>
    <xdr:cxnSp macro="">
      <xdr:nvCxnSpPr>
        <xdr:cNvPr id="1800" name="Straight Arrow Connector 1799"/>
        <xdr:cNvCxnSpPr/>
      </xdr:nvCxnSpPr>
      <xdr:spPr>
        <a:xfrm flipH="1" flipV="1">
          <a:off x="2913960" y="214268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1182</xdr:row>
      <xdr:rowOff>11907</xdr:rowOff>
    </xdr:from>
    <xdr:to>
      <xdr:col>3</xdr:col>
      <xdr:colOff>130969</xdr:colOff>
      <xdr:row>1183</xdr:row>
      <xdr:rowOff>154782</xdr:rowOff>
    </xdr:to>
    <xdr:cxnSp macro="">
      <xdr:nvCxnSpPr>
        <xdr:cNvPr id="1801" name="Straight Arrow Connector 1800"/>
        <xdr:cNvCxnSpPr/>
      </xdr:nvCxnSpPr>
      <xdr:spPr>
        <a:xfrm>
          <a:off x="2921234" y="214660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1179</xdr:row>
      <xdr:rowOff>305147</xdr:rowOff>
    </xdr:from>
    <xdr:to>
      <xdr:col>3</xdr:col>
      <xdr:colOff>130969</xdr:colOff>
      <xdr:row>1181</xdr:row>
      <xdr:rowOff>11906</xdr:rowOff>
    </xdr:to>
    <xdr:cxnSp macro="">
      <xdr:nvCxnSpPr>
        <xdr:cNvPr id="1802" name="Straight Arrow Connector 1801"/>
        <xdr:cNvCxnSpPr/>
      </xdr:nvCxnSpPr>
      <xdr:spPr>
        <a:xfrm flipH="1" flipV="1">
          <a:off x="2913960" y="214268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1263</xdr:row>
      <xdr:rowOff>89297</xdr:rowOff>
    </xdr:from>
    <xdr:to>
      <xdr:col>3</xdr:col>
      <xdr:colOff>178594</xdr:colOff>
      <xdr:row>1264</xdr:row>
      <xdr:rowOff>59531</xdr:rowOff>
    </xdr:to>
    <xdr:cxnSp macro="">
      <xdr:nvCxnSpPr>
        <xdr:cNvPr id="1803" name="Straight Connector 1802"/>
        <xdr:cNvCxnSpPr/>
      </xdr:nvCxnSpPr>
      <xdr:spPr>
        <a:xfrm>
          <a:off x="2849796" y="23721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1263</xdr:row>
      <xdr:rowOff>35719</xdr:rowOff>
    </xdr:from>
    <xdr:to>
      <xdr:col>3</xdr:col>
      <xdr:colOff>285750</xdr:colOff>
      <xdr:row>1263</xdr:row>
      <xdr:rowOff>154781</xdr:rowOff>
    </xdr:to>
    <xdr:cxnSp macro="">
      <xdr:nvCxnSpPr>
        <xdr:cNvPr id="1804" name="Straight Connector 1803"/>
        <xdr:cNvCxnSpPr/>
      </xdr:nvCxnSpPr>
      <xdr:spPr>
        <a:xfrm>
          <a:off x="2885515" y="23716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1272</xdr:row>
      <xdr:rowOff>124558</xdr:rowOff>
    </xdr:from>
    <xdr:to>
      <xdr:col>3</xdr:col>
      <xdr:colOff>381000</xdr:colOff>
      <xdr:row>1275</xdr:row>
      <xdr:rowOff>124558</xdr:rowOff>
    </xdr:to>
    <xdr:cxnSp macro="">
      <xdr:nvCxnSpPr>
        <xdr:cNvPr id="1805" name="Straight Connector 1804"/>
        <xdr:cNvCxnSpPr/>
      </xdr:nvCxnSpPr>
      <xdr:spPr>
        <a:xfrm flipH="1">
          <a:off x="2720149" y="238966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1272</xdr:row>
      <xdr:rowOff>139212</xdr:rowOff>
    </xdr:from>
    <xdr:to>
      <xdr:col>4</xdr:col>
      <xdr:colOff>116773</xdr:colOff>
      <xdr:row>1275</xdr:row>
      <xdr:rowOff>117231</xdr:rowOff>
    </xdr:to>
    <xdr:cxnSp macro="">
      <xdr:nvCxnSpPr>
        <xdr:cNvPr id="1806" name="Straight Connector 1805"/>
        <xdr:cNvCxnSpPr/>
      </xdr:nvCxnSpPr>
      <xdr:spPr>
        <a:xfrm>
          <a:off x="3171265" y="238981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1275</xdr:row>
      <xdr:rowOff>118956</xdr:rowOff>
    </xdr:from>
    <xdr:to>
      <xdr:col>4</xdr:col>
      <xdr:colOff>134902</xdr:colOff>
      <xdr:row>1275</xdr:row>
      <xdr:rowOff>118956</xdr:rowOff>
    </xdr:to>
    <xdr:cxnSp macro="">
      <xdr:nvCxnSpPr>
        <xdr:cNvPr id="1807" name="Straight Connector 1806"/>
        <xdr:cNvCxnSpPr/>
      </xdr:nvCxnSpPr>
      <xdr:spPr>
        <a:xfrm>
          <a:off x="2713118" y="239532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1273</xdr:row>
      <xdr:rowOff>36635</xdr:rowOff>
    </xdr:from>
    <xdr:to>
      <xdr:col>3</xdr:col>
      <xdr:colOff>300404</xdr:colOff>
      <xdr:row>1274</xdr:row>
      <xdr:rowOff>45337</xdr:rowOff>
    </xdr:to>
    <xdr:cxnSp macro="">
      <xdr:nvCxnSpPr>
        <xdr:cNvPr id="1808" name="Straight Connector 1807"/>
        <xdr:cNvCxnSpPr/>
      </xdr:nvCxnSpPr>
      <xdr:spPr>
        <a:xfrm flipH="1">
          <a:off x="3085174" y="239069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1273</xdr:row>
      <xdr:rowOff>25749</xdr:rowOff>
    </xdr:from>
    <xdr:to>
      <xdr:col>3</xdr:col>
      <xdr:colOff>472128</xdr:colOff>
      <xdr:row>1274</xdr:row>
      <xdr:rowOff>36635</xdr:rowOff>
    </xdr:to>
    <xdr:cxnSp macro="">
      <xdr:nvCxnSpPr>
        <xdr:cNvPr id="1809" name="Straight Connector 1808"/>
        <xdr:cNvCxnSpPr/>
      </xdr:nvCxnSpPr>
      <xdr:spPr>
        <a:xfrm>
          <a:off x="3244534" y="239058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1263</xdr:row>
      <xdr:rowOff>44824</xdr:rowOff>
    </xdr:from>
    <xdr:to>
      <xdr:col>3</xdr:col>
      <xdr:colOff>67235</xdr:colOff>
      <xdr:row>1265</xdr:row>
      <xdr:rowOff>156883</xdr:rowOff>
    </xdr:to>
    <xdr:cxnSp macro="">
      <xdr:nvCxnSpPr>
        <xdr:cNvPr id="1810" name="Straight Connector 1809"/>
        <xdr:cNvCxnSpPr/>
      </xdr:nvCxnSpPr>
      <xdr:spPr>
        <a:xfrm>
          <a:off x="2857500" y="23717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1265</xdr:row>
      <xdr:rowOff>166690</xdr:rowOff>
    </xdr:from>
    <xdr:to>
      <xdr:col>4</xdr:col>
      <xdr:colOff>29308</xdr:colOff>
      <xdr:row>1265</xdr:row>
      <xdr:rowOff>168519</xdr:rowOff>
    </xdr:to>
    <xdr:cxnSp macro="">
      <xdr:nvCxnSpPr>
        <xdr:cNvPr id="1811" name="Straight Connector 1810"/>
        <xdr:cNvCxnSpPr/>
      </xdr:nvCxnSpPr>
      <xdr:spPr>
        <a:xfrm>
          <a:off x="2849796" y="23767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1263</xdr:row>
      <xdr:rowOff>41673</xdr:rowOff>
    </xdr:from>
    <xdr:to>
      <xdr:col>4</xdr:col>
      <xdr:colOff>12211</xdr:colOff>
      <xdr:row>1266</xdr:row>
      <xdr:rowOff>0</xdr:rowOff>
    </xdr:to>
    <xdr:cxnSp macro="">
      <xdr:nvCxnSpPr>
        <xdr:cNvPr id="1812" name="Straight Connector 1811"/>
        <xdr:cNvCxnSpPr/>
      </xdr:nvCxnSpPr>
      <xdr:spPr>
        <a:xfrm flipH="1" flipV="1">
          <a:off x="3507441" y="23716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1263</xdr:row>
      <xdr:rowOff>32918</xdr:rowOff>
    </xdr:from>
    <xdr:to>
      <xdr:col>4</xdr:col>
      <xdr:colOff>17861</xdr:colOff>
      <xdr:row>1263</xdr:row>
      <xdr:rowOff>35719</xdr:rowOff>
    </xdr:to>
    <xdr:cxnSp macro="">
      <xdr:nvCxnSpPr>
        <xdr:cNvPr id="1813" name="Straight Connector 1812"/>
        <xdr:cNvCxnSpPr/>
      </xdr:nvCxnSpPr>
      <xdr:spPr>
        <a:xfrm flipH="1">
          <a:off x="2849796" y="23716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1268</xdr:row>
      <xdr:rowOff>89297</xdr:rowOff>
    </xdr:from>
    <xdr:to>
      <xdr:col>3</xdr:col>
      <xdr:colOff>178594</xdr:colOff>
      <xdr:row>1269</xdr:row>
      <xdr:rowOff>59531</xdr:rowOff>
    </xdr:to>
    <xdr:cxnSp macro="">
      <xdr:nvCxnSpPr>
        <xdr:cNvPr id="1814" name="Straight Connector 1813"/>
        <xdr:cNvCxnSpPr/>
      </xdr:nvCxnSpPr>
      <xdr:spPr>
        <a:xfrm>
          <a:off x="2849796" y="238169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1268</xdr:row>
      <xdr:rowOff>35719</xdr:rowOff>
    </xdr:from>
    <xdr:to>
      <xdr:col>3</xdr:col>
      <xdr:colOff>285750</xdr:colOff>
      <xdr:row>1268</xdr:row>
      <xdr:rowOff>154781</xdr:rowOff>
    </xdr:to>
    <xdr:cxnSp macro="">
      <xdr:nvCxnSpPr>
        <xdr:cNvPr id="1815" name="Straight Connector 1814"/>
        <xdr:cNvCxnSpPr/>
      </xdr:nvCxnSpPr>
      <xdr:spPr>
        <a:xfrm>
          <a:off x="2885515" y="238115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1268</xdr:row>
      <xdr:rowOff>44824</xdr:rowOff>
    </xdr:from>
    <xdr:to>
      <xdr:col>3</xdr:col>
      <xdr:colOff>67235</xdr:colOff>
      <xdr:row>1270</xdr:row>
      <xdr:rowOff>156883</xdr:rowOff>
    </xdr:to>
    <xdr:cxnSp macro="">
      <xdr:nvCxnSpPr>
        <xdr:cNvPr id="1816" name="Straight Connector 1815"/>
        <xdr:cNvCxnSpPr/>
      </xdr:nvCxnSpPr>
      <xdr:spPr>
        <a:xfrm>
          <a:off x="2857500" y="238125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1270</xdr:row>
      <xdr:rowOff>166690</xdr:rowOff>
    </xdr:from>
    <xdr:to>
      <xdr:col>4</xdr:col>
      <xdr:colOff>29308</xdr:colOff>
      <xdr:row>1270</xdr:row>
      <xdr:rowOff>168519</xdr:rowOff>
    </xdr:to>
    <xdr:cxnSp macro="">
      <xdr:nvCxnSpPr>
        <xdr:cNvPr id="1817" name="Straight Connector 1816"/>
        <xdr:cNvCxnSpPr/>
      </xdr:nvCxnSpPr>
      <xdr:spPr>
        <a:xfrm>
          <a:off x="2849796" y="238627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1268</xdr:row>
      <xdr:rowOff>41673</xdr:rowOff>
    </xdr:from>
    <xdr:to>
      <xdr:col>4</xdr:col>
      <xdr:colOff>12211</xdr:colOff>
      <xdr:row>1271</xdr:row>
      <xdr:rowOff>0</xdr:rowOff>
    </xdr:to>
    <xdr:cxnSp macro="">
      <xdr:nvCxnSpPr>
        <xdr:cNvPr id="1818" name="Straight Connector 1817"/>
        <xdr:cNvCxnSpPr/>
      </xdr:nvCxnSpPr>
      <xdr:spPr>
        <a:xfrm flipH="1" flipV="1">
          <a:off x="3507441" y="23812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1268</xdr:row>
      <xdr:rowOff>32918</xdr:rowOff>
    </xdr:from>
    <xdr:to>
      <xdr:col>4</xdr:col>
      <xdr:colOff>17861</xdr:colOff>
      <xdr:row>1268</xdr:row>
      <xdr:rowOff>35719</xdr:rowOff>
    </xdr:to>
    <xdr:cxnSp macro="">
      <xdr:nvCxnSpPr>
        <xdr:cNvPr id="1819" name="Straight Connector 1818"/>
        <xdr:cNvCxnSpPr/>
      </xdr:nvCxnSpPr>
      <xdr:spPr>
        <a:xfrm flipH="1">
          <a:off x="2849796" y="238113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1277</xdr:row>
      <xdr:rowOff>124558</xdr:rowOff>
    </xdr:from>
    <xdr:to>
      <xdr:col>3</xdr:col>
      <xdr:colOff>381000</xdr:colOff>
      <xdr:row>1280</xdr:row>
      <xdr:rowOff>124558</xdr:rowOff>
    </xdr:to>
    <xdr:cxnSp macro="">
      <xdr:nvCxnSpPr>
        <xdr:cNvPr id="1820" name="Straight Connector 1819"/>
        <xdr:cNvCxnSpPr/>
      </xdr:nvCxnSpPr>
      <xdr:spPr>
        <a:xfrm flipH="1">
          <a:off x="2720149" y="239919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1277</xdr:row>
      <xdr:rowOff>139212</xdr:rowOff>
    </xdr:from>
    <xdr:to>
      <xdr:col>4</xdr:col>
      <xdr:colOff>116773</xdr:colOff>
      <xdr:row>1280</xdr:row>
      <xdr:rowOff>117231</xdr:rowOff>
    </xdr:to>
    <xdr:cxnSp macro="">
      <xdr:nvCxnSpPr>
        <xdr:cNvPr id="1821" name="Straight Connector 1820"/>
        <xdr:cNvCxnSpPr/>
      </xdr:nvCxnSpPr>
      <xdr:spPr>
        <a:xfrm>
          <a:off x="3171265" y="239933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1280</xdr:row>
      <xdr:rowOff>118956</xdr:rowOff>
    </xdr:from>
    <xdr:to>
      <xdr:col>4</xdr:col>
      <xdr:colOff>134902</xdr:colOff>
      <xdr:row>1280</xdr:row>
      <xdr:rowOff>118956</xdr:rowOff>
    </xdr:to>
    <xdr:cxnSp macro="">
      <xdr:nvCxnSpPr>
        <xdr:cNvPr id="1822" name="Straight Connector 1821"/>
        <xdr:cNvCxnSpPr/>
      </xdr:nvCxnSpPr>
      <xdr:spPr>
        <a:xfrm>
          <a:off x="2713118" y="240485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1278</xdr:row>
      <xdr:rowOff>36635</xdr:rowOff>
    </xdr:from>
    <xdr:to>
      <xdr:col>3</xdr:col>
      <xdr:colOff>300404</xdr:colOff>
      <xdr:row>1279</xdr:row>
      <xdr:rowOff>45337</xdr:rowOff>
    </xdr:to>
    <xdr:cxnSp macro="">
      <xdr:nvCxnSpPr>
        <xdr:cNvPr id="1823" name="Straight Connector 1822"/>
        <xdr:cNvCxnSpPr/>
      </xdr:nvCxnSpPr>
      <xdr:spPr>
        <a:xfrm flipH="1">
          <a:off x="3085174" y="240021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1278</xdr:row>
      <xdr:rowOff>25749</xdr:rowOff>
    </xdr:from>
    <xdr:to>
      <xdr:col>3</xdr:col>
      <xdr:colOff>472128</xdr:colOff>
      <xdr:row>1279</xdr:row>
      <xdr:rowOff>36635</xdr:rowOff>
    </xdr:to>
    <xdr:cxnSp macro="">
      <xdr:nvCxnSpPr>
        <xdr:cNvPr id="1824" name="Straight Connector 1823"/>
        <xdr:cNvCxnSpPr/>
      </xdr:nvCxnSpPr>
      <xdr:spPr>
        <a:xfrm>
          <a:off x="3244534" y="240010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1312</xdr:row>
      <xdr:rowOff>41673</xdr:rowOff>
    </xdr:from>
    <xdr:to>
      <xdr:col>4</xdr:col>
      <xdr:colOff>12211</xdr:colOff>
      <xdr:row>1315</xdr:row>
      <xdr:rowOff>0</xdr:rowOff>
    </xdr:to>
    <xdr:cxnSp macro="">
      <xdr:nvCxnSpPr>
        <xdr:cNvPr id="1825" name="Straight Connector 1824"/>
        <xdr:cNvCxnSpPr/>
      </xdr:nvCxnSpPr>
      <xdr:spPr>
        <a:xfrm flipH="1" flipV="1">
          <a:off x="3507441" y="24688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1294</xdr:row>
      <xdr:rowOff>41673</xdr:rowOff>
    </xdr:from>
    <xdr:to>
      <xdr:col>4</xdr:col>
      <xdr:colOff>12211</xdr:colOff>
      <xdr:row>1297</xdr:row>
      <xdr:rowOff>0</xdr:rowOff>
    </xdr:to>
    <xdr:cxnSp macro="">
      <xdr:nvCxnSpPr>
        <xdr:cNvPr id="1826" name="Straight Connector 1825"/>
        <xdr:cNvCxnSpPr/>
      </xdr:nvCxnSpPr>
      <xdr:spPr>
        <a:xfrm flipH="1" flipV="1">
          <a:off x="3507441" y="255457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1299</xdr:row>
      <xdr:rowOff>35719</xdr:rowOff>
    </xdr:from>
    <xdr:to>
      <xdr:col>3</xdr:col>
      <xdr:colOff>428625</xdr:colOff>
      <xdr:row>1301</xdr:row>
      <xdr:rowOff>178594</xdr:rowOff>
    </xdr:to>
    <xdr:cxnSp macro="">
      <xdr:nvCxnSpPr>
        <xdr:cNvPr id="1827" name="Straight Connector 1826"/>
        <xdr:cNvCxnSpPr/>
      </xdr:nvCxnSpPr>
      <xdr:spPr>
        <a:xfrm>
          <a:off x="3218890" y="250498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1301</xdr:row>
      <xdr:rowOff>95249</xdr:rowOff>
    </xdr:from>
    <xdr:to>
      <xdr:col>3</xdr:col>
      <xdr:colOff>571500</xdr:colOff>
      <xdr:row>1301</xdr:row>
      <xdr:rowOff>154780</xdr:rowOff>
    </xdr:to>
    <xdr:cxnSp macro="">
      <xdr:nvCxnSpPr>
        <xdr:cNvPr id="1828" name="Straight Connector 1827"/>
        <xdr:cNvCxnSpPr/>
      </xdr:nvCxnSpPr>
      <xdr:spPr>
        <a:xfrm flipH="1">
          <a:off x="3218890" y="250938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1299</xdr:row>
      <xdr:rowOff>47625</xdr:rowOff>
    </xdr:from>
    <xdr:to>
      <xdr:col>3</xdr:col>
      <xdr:colOff>595313</xdr:colOff>
      <xdr:row>1299</xdr:row>
      <xdr:rowOff>119062</xdr:rowOff>
    </xdr:to>
    <xdr:cxnSp macro="">
      <xdr:nvCxnSpPr>
        <xdr:cNvPr id="1829" name="Straight Connector 1828"/>
        <xdr:cNvCxnSpPr/>
      </xdr:nvCxnSpPr>
      <xdr:spPr>
        <a:xfrm>
          <a:off x="3218890" y="250510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1308</xdr:row>
      <xdr:rowOff>35719</xdr:rowOff>
    </xdr:from>
    <xdr:to>
      <xdr:col>3</xdr:col>
      <xdr:colOff>428625</xdr:colOff>
      <xdr:row>1310</xdr:row>
      <xdr:rowOff>178594</xdr:rowOff>
    </xdr:to>
    <xdr:cxnSp macro="">
      <xdr:nvCxnSpPr>
        <xdr:cNvPr id="1830" name="Straight Connector 1829"/>
        <xdr:cNvCxnSpPr/>
      </xdr:nvCxnSpPr>
      <xdr:spPr>
        <a:xfrm>
          <a:off x="3218890" y="25126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1310</xdr:row>
      <xdr:rowOff>95249</xdr:rowOff>
    </xdr:from>
    <xdr:to>
      <xdr:col>3</xdr:col>
      <xdr:colOff>571500</xdr:colOff>
      <xdr:row>1310</xdr:row>
      <xdr:rowOff>154780</xdr:rowOff>
    </xdr:to>
    <xdr:cxnSp macro="">
      <xdr:nvCxnSpPr>
        <xdr:cNvPr id="1831" name="Straight Connector 1830"/>
        <xdr:cNvCxnSpPr/>
      </xdr:nvCxnSpPr>
      <xdr:spPr>
        <a:xfrm flipH="1">
          <a:off x="3218890" y="25170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1308</xdr:row>
      <xdr:rowOff>47625</xdr:rowOff>
    </xdr:from>
    <xdr:to>
      <xdr:col>3</xdr:col>
      <xdr:colOff>595313</xdr:colOff>
      <xdr:row>1308</xdr:row>
      <xdr:rowOff>119062</xdr:rowOff>
    </xdr:to>
    <xdr:cxnSp macro="">
      <xdr:nvCxnSpPr>
        <xdr:cNvPr id="1832" name="Straight Connector 1831"/>
        <xdr:cNvCxnSpPr/>
      </xdr:nvCxnSpPr>
      <xdr:spPr>
        <a:xfrm>
          <a:off x="3218890" y="25127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1327</xdr:row>
      <xdr:rowOff>89297</xdr:rowOff>
    </xdr:from>
    <xdr:to>
      <xdr:col>3</xdr:col>
      <xdr:colOff>178594</xdr:colOff>
      <xdr:row>1328</xdr:row>
      <xdr:rowOff>59531</xdr:rowOff>
    </xdr:to>
    <xdr:cxnSp macro="">
      <xdr:nvCxnSpPr>
        <xdr:cNvPr id="1833" name="Straight Connector 1832"/>
        <xdr:cNvCxnSpPr/>
      </xdr:nvCxnSpPr>
      <xdr:spPr>
        <a:xfrm>
          <a:off x="2849796" y="245979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1327</xdr:row>
      <xdr:rowOff>35719</xdr:rowOff>
    </xdr:from>
    <xdr:to>
      <xdr:col>3</xdr:col>
      <xdr:colOff>285750</xdr:colOff>
      <xdr:row>1327</xdr:row>
      <xdr:rowOff>154781</xdr:rowOff>
    </xdr:to>
    <xdr:cxnSp macro="">
      <xdr:nvCxnSpPr>
        <xdr:cNvPr id="1834" name="Straight Connector 1833"/>
        <xdr:cNvCxnSpPr/>
      </xdr:nvCxnSpPr>
      <xdr:spPr>
        <a:xfrm>
          <a:off x="2885515" y="245926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1327</xdr:row>
      <xdr:rowOff>44824</xdr:rowOff>
    </xdr:from>
    <xdr:to>
      <xdr:col>3</xdr:col>
      <xdr:colOff>67235</xdr:colOff>
      <xdr:row>1329</xdr:row>
      <xdr:rowOff>156883</xdr:rowOff>
    </xdr:to>
    <xdr:cxnSp macro="">
      <xdr:nvCxnSpPr>
        <xdr:cNvPr id="1835" name="Straight Connector 1834"/>
        <xdr:cNvCxnSpPr/>
      </xdr:nvCxnSpPr>
      <xdr:spPr>
        <a:xfrm>
          <a:off x="2857500" y="245935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1329</xdr:row>
      <xdr:rowOff>166690</xdr:rowOff>
    </xdr:from>
    <xdr:to>
      <xdr:col>4</xdr:col>
      <xdr:colOff>29308</xdr:colOff>
      <xdr:row>1329</xdr:row>
      <xdr:rowOff>168519</xdr:rowOff>
    </xdr:to>
    <xdr:cxnSp macro="">
      <xdr:nvCxnSpPr>
        <xdr:cNvPr id="1836" name="Straight Connector 1835"/>
        <xdr:cNvCxnSpPr/>
      </xdr:nvCxnSpPr>
      <xdr:spPr>
        <a:xfrm>
          <a:off x="2849796" y="246438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1327</xdr:row>
      <xdr:rowOff>41673</xdr:rowOff>
    </xdr:from>
    <xdr:to>
      <xdr:col>4</xdr:col>
      <xdr:colOff>12211</xdr:colOff>
      <xdr:row>1330</xdr:row>
      <xdr:rowOff>0</xdr:rowOff>
    </xdr:to>
    <xdr:cxnSp macro="">
      <xdr:nvCxnSpPr>
        <xdr:cNvPr id="1837" name="Straight Connector 1836"/>
        <xdr:cNvCxnSpPr/>
      </xdr:nvCxnSpPr>
      <xdr:spPr>
        <a:xfrm flipH="1" flipV="1">
          <a:off x="3507441" y="245932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1327</xdr:row>
      <xdr:rowOff>32918</xdr:rowOff>
    </xdr:from>
    <xdr:to>
      <xdr:col>4</xdr:col>
      <xdr:colOff>17861</xdr:colOff>
      <xdr:row>1327</xdr:row>
      <xdr:rowOff>35719</xdr:rowOff>
    </xdr:to>
    <xdr:cxnSp macro="">
      <xdr:nvCxnSpPr>
        <xdr:cNvPr id="1838" name="Straight Connector 1837"/>
        <xdr:cNvCxnSpPr/>
      </xdr:nvCxnSpPr>
      <xdr:spPr>
        <a:xfrm flipH="1">
          <a:off x="2849796" y="245923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1350</xdr:row>
      <xdr:rowOff>89297</xdr:rowOff>
    </xdr:from>
    <xdr:to>
      <xdr:col>3</xdr:col>
      <xdr:colOff>178594</xdr:colOff>
      <xdr:row>1351</xdr:row>
      <xdr:rowOff>59531</xdr:rowOff>
    </xdr:to>
    <xdr:cxnSp macro="">
      <xdr:nvCxnSpPr>
        <xdr:cNvPr id="1839" name="Straight Connector 1838"/>
        <xdr:cNvCxnSpPr/>
      </xdr:nvCxnSpPr>
      <xdr:spPr>
        <a:xfrm>
          <a:off x="2849796" y="25036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1350</xdr:row>
      <xdr:rowOff>35719</xdr:rowOff>
    </xdr:from>
    <xdr:to>
      <xdr:col>3</xdr:col>
      <xdr:colOff>285750</xdr:colOff>
      <xdr:row>1350</xdr:row>
      <xdr:rowOff>154781</xdr:rowOff>
    </xdr:to>
    <xdr:cxnSp macro="">
      <xdr:nvCxnSpPr>
        <xdr:cNvPr id="1840" name="Straight Connector 1839"/>
        <xdr:cNvCxnSpPr/>
      </xdr:nvCxnSpPr>
      <xdr:spPr>
        <a:xfrm>
          <a:off x="2885515" y="25030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1350</xdr:row>
      <xdr:rowOff>44824</xdr:rowOff>
    </xdr:from>
    <xdr:to>
      <xdr:col>3</xdr:col>
      <xdr:colOff>67235</xdr:colOff>
      <xdr:row>1352</xdr:row>
      <xdr:rowOff>156883</xdr:rowOff>
    </xdr:to>
    <xdr:cxnSp macro="">
      <xdr:nvCxnSpPr>
        <xdr:cNvPr id="1841" name="Straight Connector 1840"/>
        <xdr:cNvCxnSpPr/>
      </xdr:nvCxnSpPr>
      <xdr:spPr>
        <a:xfrm>
          <a:off x="2857500" y="25031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1352</xdr:row>
      <xdr:rowOff>166690</xdr:rowOff>
    </xdr:from>
    <xdr:to>
      <xdr:col>4</xdr:col>
      <xdr:colOff>29308</xdr:colOff>
      <xdr:row>1352</xdr:row>
      <xdr:rowOff>168519</xdr:rowOff>
    </xdr:to>
    <xdr:cxnSp macro="">
      <xdr:nvCxnSpPr>
        <xdr:cNvPr id="1842" name="Straight Connector 1841"/>
        <xdr:cNvCxnSpPr/>
      </xdr:nvCxnSpPr>
      <xdr:spPr>
        <a:xfrm>
          <a:off x="2849796" y="25081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1350</xdr:row>
      <xdr:rowOff>41673</xdr:rowOff>
    </xdr:from>
    <xdr:to>
      <xdr:col>4</xdr:col>
      <xdr:colOff>12211</xdr:colOff>
      <xdr:row>1353</xdr:row>
      <xdr:rowOff>0</xdr:rowOff>
    </xdr:to>
    <xdr:cxnSp macro="">
      <xdr:nvCxnSpPr>
        <xdr:cNvPr id="1843" name="Straight Connector 1842"/>
        <xdr:cNvCxnSpPr/>
      </xdr:nvCxnSpPr>
      <xdr:spPr>
        <a:xfrm flipH="1" flipV="1">
          <a:off x="3507441" y="25031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1350</xdr:row>
      <xdr:rowOff>32918</xdr:rowOff>
    </xdr:from>
    <xdr:to>
      <xdr:col>4</xdr:col>
      <xdr:colOff>17861</xdr:colOff>
      <xdr:row>1350</xdr:row>
      <xdr:rowOff>35719</xdr:rowOff>
    </xdr:to>
    <xdr:cxnSp macro="">
      <xdr:nvCxnSpPr>
        <xdr:cNvPr id="1844" name="Straight Connector 1843"/>
        <xdr:cNvCxnSpPr/>
      </xdr:nvCxnSpPr>
      <xdr:spPr>
        <a:xfrm flipH="1">
          <a:off x="2849796" y="25030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1341</xdr:row>
      <xdr:rowOff>89297</xdr:rowOff>
    </xdr:from>
    <xdr:to>
      <xdr:col>3</xdr:col>
      <xdr:colOff>178594</xdr:colOff>
      <xdr:row>1342</xdr:row>
      <xdr:rowOff>59531</xdr:rowOff>
    </xdr:to>
    <xdr:cxnSp macro="">
      <xdr:nvCxnSpPr>
        <xdr:cNvPr id="1845" name="Straight Connector 1844"/>
        <xdr:cNvCxnSpPr/>
      </xdr:nvCxnSpPr>
      <xdr:spPr>
        <a:xfrm>
          <a:off x="2849796" y="24864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1341</xdr:row>
      <xdr:rowOff>35719</xdr:rowOff>
    </xdr:from>
    <xdr:to>
      <xdr:col>3</xdr:col>
      <xdr:colOff>285750</xdr:colOff>
      <xdr:row>1341</xdr:row>
      <xdr:rowOff>154781</xdr:rowOff>
    </xdr:to>
    <xdr:cxnSp macro="">
      <xdr:nvCxnSpPr>
        <xdr:cNvPr id="1846" name="Straight Connector 1845"/>
        <xdr:cNvCxnSpPr/>
      </xdr:nvCxnSpPr>
      <xdr:spPr>
        <a:xfrm>
          <a:off x="2885515" y="24859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1341</xdr:row>
      <xdr:rowOff>44824</xdr:rowOff>
    </xdr:from>
    <xdr:to>
      <xdr:col>3</xdr:col>
      <xdr:colOff>67235</xdr:colOff>
      <xdr:row>1343</xdr:row>
      <xdr:rowOff>156883</xdr:rowOff>
    </xdr:to>
    <xdr:cxnSp macro="">
      <xdr:nvCxnSpPr>
        <xdr:cNvPr id="1847" name="Straight Connector 1846"/>
        <xdr:cNvCxnSpPr/>
      </xdr:nvCxnSpPr>
      <xdr:spPr>
        <a:xfrm>
          <a:off x="2857500" y="24860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1343</xdr:row>
      <xdr:rowOff>166690</xdr:rowOff>
    </xdr:from>
    <xdr:to>
      <xdr:col>4</xdr:col>
      <xdr:colOff>29308</xdr:colOff>
      <xdr:row>1343</xdr:row>
      <xdr:rowOff>168519</xdr:rowOff>
    </xdr:to>
    <xdr:cxnSp macro="">
      <xdr:nvCxnSpPr>
        <xdr:cNvPr id="1848" name="Straight Connector 1847"/>
        <xdr:cNvCxnSpPr/>
      </xdr:nvCxnSpPr>
      <xdr:spPr>
        <a:xfrm>
          <a:off x="2849796" y="24910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1341</xdr:row>
      <xdr:rowOff>41673</xdr:rowOff>
    </xdr:from>
    <xdr:to>
      <xdr:col>4</xdr:col>
      <xdr:colOff>12211</xdr:colOff>
      <xdr:row>1344</xdr:row>
      <xdr:rowOff>0</xdr:rowOff>
    </xdr:to>
    <xdr:cxnSp macro="">
      <xdr:nvCxnSpPr>
        <xdr:cNvPr id="1849" name="Straight Connector 1848"/>
        <xdr:cNvCxnSpPr/>
      </xdr:nvCxnSpPr>
      <xdr:spPr>
        <a:xfrm flipH="1" flipV="1">
          <a:off x="3507441" y="24859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1341</xdr:row>
      <xdr:rowOff>32918</xdr:rowOff>
    </xdr:from>
    <xdr:to>
      <xdr:col>4</xdr:col>
      <xdr:colOff>17861</xdr:colOff>
      <xdr:row>1341</xdr:row>
      <xdr:rowOff>35719</xdr:rowOff>
    </xdr:to>
    <xdr:cxnSp macro="">
      <xdr:nvCxnSpPr>
        <xdr:cNvPr id="1850" name="Straight Connector 1849"/>
        <xdr:cNvCxnSpPr/>
      </xdr:nvCxnSpPr>
      <xdr:spPr>
        <a:xfrm flipH="1">
          <a:off x="2849796" y="24859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1332</xdr:row>
      <xdr:rowOff>89297</xdr:rowOff>
    </xdr:from>
    <xdr:to>
      <xdr:col>3</xdr:col>
      <xdr:colOff>178594</xdr:colOff>
      <xdr:row>1333</xdr:row>
      <xdr:rowOff>59531</xdr:rowOff>
    </xdr:to>
    <xdr:cxnSp macro="">
      <xdr:nvCxnSpPr>
        <xdr:cNvPr id="1851" name="Straight Connector 1850"/>
        <xdr:cNvCxnSpPr/>
      </xdr:nvCxnSpPr>
      <xdr:spPr>
        <a:xfrm>
          <a:off x="2849796" y="24693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1332</xdr:row>
      <xdr:rowOff>35719</xdr:rowOff>
    </xdr:from>
    <xdr:to>
      <xdr:col>3</xdr:col>
      <xdr:colOff>285750</xdr:colOff>
      <xdr:row>1332</xdr:row>
      <xdr:rowOff>154781</xdr:rowOff>
    </xdr:to>
    <xdr:cxnSp macro="">
      <xdr:nvCxnSpPr>
        <xdr:cNvPr id="1852" name="Straight Connector 1851"/>
        <xdr:cNvCxnSpPr/>
      </xdr:nvCxnSpPr>
      <xdr:spPr>
        <a:xfrm>
          <a:off x="2885515" y="24687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1332</xdr:row>
      <xdr:rowOff>44824</xdr:rowOff>
    </xdr:from>
    <xdr:to>
      <xdr:col>3</xdr:col>
      <xdr:colOff>67235</xdr:colOff>
      <xdr:row>1334</xdr:row>
      <xdr:rowOff>156883</xdr:rowOff>
    </xdr:to>
    <xdr:cxnSp macro="">
      <xdr:nvCxnSpPr>
        <xdr:cNvPr id="1853" name="Straight Connector 1852"/>
        <xdr:cNvCxnSpPr/>
      </xdr:nvCxnSpPr>
      <xdr:spPr>
        <a:xfrm>
          <a:off x="2857500" y="24688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1334</xdr:row>
      <xdr:rowOff>166690</xdr:rowOff>
    </xdr:from>
    <xdr:to>
      <xdr:col>4</xdr:col>
      <xdr:colOff>29308</xdr:colOff>
      <xdr:row>1334</xdr:row>
      <xdr:rowOff>168519</xdr:rowOff>
    </xdr:to>
    <xdr:cxnSp macro="">
      <xdr:nvCxnSpPr>
        <xdr:cNvPr id="1854" name="Straight Connector 1853"/>
        <xdr:cNvCxnSpPr/>
      </xdr:nvCxnSpPr>
      <xdr:spPr>
        <a:xfrm>
          <a:off x="2849796" y="24739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1332</xdr:row>
      <xdr:rowOff>41673</xdr:rowOff>
    </xdr:from>
    <xdr:to>
      <xdr:col>4</xdr:col>
      <xdr:colOff>12211</xdr:colOff>
      <xdr:row>1335</xdr:row>
      <xdr:rowOff>0</xdr:rowOff>
    </xdr:to>
    <xdr:cxnSp macro="">
      <xdr:nvCxnSpPr>
        <xdr:cNvPr id="1855" name="Straight Connector 1854"/>
        <xdr:cNvCxnSpPr/>
      </xdr:nvCxnSpPr>
      <xdr:spPr>
        <a:xfrm flipH="1" flipV="1">
          <a:off x="3507441" y="24688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1332</xdr:row>
      <xdr:rowOff>32918</xdr:rowOff>
    </xdr:from>
    <xdr:to>
      <xdr:col>4</xdr:col>
      <xdr:colOff>17861</xdr:colOff>
      <xdr:row>1332</xdr:row>
      <xdr:rowOff>35719</xdr:rowOff>
    </xdr:to>
    <xdr:cxnSp macro="">
      <xdr:nvCxnSpPr>
        <xdr:cNvPr id="1856" name="Straight Connector 1855"/>
        <xdr:cNvCxnSpPr/>
      </xdr:nvCxnSpPr>
      <xdr:spPr>
        <a:xfrm flipH="1">
          <a:off x="2849796" y="24687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1355</xdr:row>
      <xdr:rowOff>35719</xdr:rowOff>
    </xdr:from>
    <xdr:to>
      <xdr:col>3</xdr:col>
      <xdr:colOff>428625</xdr:colOff>
      <xdr:row>1357</xdr:row>
      <xdr:rowOff>178594</xdr:rowOff>
    </xdr:to>
    <xdr:cxnSp macro="">
      <xdr:nvCxnSpPr>
        <xdr:cNvPr id="1857" name="Straight Connector 1856"/>
        <xdr:cNvCxnSpPr/>
      </xdr:nvCxnSpPr>
      <xdr:spPr>
        <a:xfrm>
          <a:off x="3218890" y="25126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1357</xdr:row>
      <xdr:rowOff>95249</xdr:rowOff>
    </xdr:from>
    <xdr:to>
      <xdr:col>3</xdr:col>
      <xdr:colOff>571500</xdr:colOff>
      <xdr:row>1357</xdr:row>
      <xdr:rowOff>154780</xdr:rowOff>
    </xdr:to>
    <xdr:cxnSp macro="">
      <xdr:nvCxnSpPr>
        <xdr:cNvPr id="1858" name="Straight Connector 1857"/>
        <xdr:cNvCxnSpPr/>
      </xdr:nvCxnSpPr>
      <xdr:spPr>
        <a:xfrm flipH="1">
          <a:off x="3218890" y="25170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1355</xdr:row>
      <xdr:rowOff>47625</xdr:rowOff>
    </xdr:from>
    <xdr:to>
      <xdr:col>3</xdr:col>
      <xdr:colOff>595313</xdr:colOff>
      <xdr:row>1355</xdr:row>
      <xdr:rowOff>119062</xdr:rowOff>
    </xdr:to>
    <xdr:cxnSp macro="">
      <xdr:nvCxnSpPr>
        <xdr:cNvPr id="1859" name="Straight Connector 1858"/>
        <xdr:cNvCxnSpPr/>
      </xdr:nvCxnSpPr>
      <xdr:spPr>
        <a:xfrm>
          <a:off x="3218890" y="25127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1350</xdr:row>
      <xdr:rowOff>41673</xdr:rowOff>
    </xdr:from>
    <xdr:to>
      <xdr:col>4</xdr:col>
      <xdr:colOff>12211</xdr:colOff>
      <xdr:row>1353</xdr:row>
      <xdr:rowOff>0</xdr:rowOff>
    </xdr:to>
    <xdr:cxnSp macro="">
      <xdr:nvCxnSpPr>
        <xdr:cNvPr id="1860" name="Straight Connector 1859"/>
        <xdr:cNvCxnSpPr/>
      </xdr:nvCxnSpPr>
      <xdr:spPr>
        <a:xfrm flipH="1" flipV="1">
          <a:off x="3507441" y="25031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1332</xdr:row>
      <xdr:rowOff>41673</xdr:rowOff>
    </xdr:from>
    <xdr:to>
      <xdr:col>4</xdr:col>
      <xdr:colOff>12211</xdr:colOff>
      <xdr:row>1335</xdr:row>
      <xdr:rowOff>0</xdr:rowOff>
    </xdr:to>
    <xdr:cxnSp macro="">
      <xdr:nvCxnSpPr>
        <xdr:cNvPr id="1861" name="Straight Connector 1860"/>
        <xdr:cNvCxnSpPr/>
      </xdr:nvCxnSpPr>
      <xdr:spPr>
        <a:xfrm flipH="1" flipV="1">
          <a:off x="3507441" y="24688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1337</xdr:row>
      <xdr:rowOff>35719</xdr:rowOff>
    </xdr:from>
    <xdr:to>
      <xdr:col>3</xdr:col>
      <xdr:colOff>428625</xdr:colOff>
      <xdr:row>1339</xdr:row>
      <xdr:rowOff>178594</xdr:rowOff>
    </xdr:to>
    <xdr:cxnSp macro="">
      <xdr:nvCxnSpPr>
        <xdr:cNvPr id="1862" name="Straight Connector 1861"/>
        <xdr:cNvCxnSpPr/>
      </xdr:nvCxnSpPr>
      <xdr:spPr>
        <a:xfrm>
          <a:off x="3218890" y="247831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1339</xdr:row>
      <xdr:rowOff>95249</xdr:rowOff>
    </xdr:from>
    <xdr:to>
      <xdr:col>3</xdr:col>
      <xdr:colOff>571500</xdr:colOff>
      <xdr:row>1339</xdr:row>
      <xdr:rowOff>154780</xdr:rowOff>
    </xdr:to>
    <xdr:cxnSp macro="">
      <xdr:nvCxnSpPr>
        <xdr:cNvPr id="1863" name="Straight Connector 1862"/>
        <xdr:cNvCxnSpPr/>
      </xdr:nvCxnSpPr>
      <xdr:spPr>
        <a:xfrm flipH="1">
          <a:off x="3218890" y="248271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1337</xdr:row>
      <xdr:rowOff>47625</xdr:rowOff>
    </xdr:from>
    <xdr:to>
      <xdr:col>3</xdr:col>
      <xdr:colOff>595313</xdr:colOff>
      <xdr:row>1337</xdr:row>
      <xdr:rowOff>119062</xdr:rowOff>
    </xdr:to>
    <xdr:cxnSp macro="">
      <xdr:nvCxnSpPr>
        <xdr:cNvPr id="1864" name="Straight Connector 1863"/>
        <xdr:cNvCxnSpPr/>
      </xdr:nvCxnSpPr>
      <xdr:spPr>
        <a:xfrm>
          <a:off x="3218890" y="247843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1346</xdr:row>
      <xdr:rowOff>35719</xdr:rowOff>
    </xdr:from>
    <xdr:to>
      <xdr:col>3</xdr:col>
      <xdr:colOff>428625</xdr:colOff>
      <xdr:row>1348</xdr:row>
      <xdr:rowOff>178594</xdr:rowOff>
    </xdr:to>
    <xdr:cxnSp macro="">
      <xdr:nvCxnSpPr>
        <xdr:cNvPr id="1865" name="Straight Connector 1864"/>
        <xdr:cNvCxnSpPr/>
      </xdr:nvCxnSpPr>
      <xdr:spPr>
        <a:xfrm>
          <a:off x="3218890" y="249545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1348</xdr:row>
      <xdr:rowOff>95249</xdr:rowOff>
    </xdr:from>
    <xdr:to>
      <xdr:col>3</xdr:col>
      <xdr:colOff>571500</xdr:colOff>
      <xdr:row>1348</xdr:row>
      <xdr:rowOff>154780</xdr:rowOff>
    </xdr:to>
    <xdr:cxnSp macro="">
      <xdr:nvCxnSpPr>
        <xdr:cNvPr id="1866" name="Straight Connector 1865"/>
        <xdr:cNvCxnSpPr/>
      </xdr:nvCxnSpPr>
      <xdr:spPr>
        <a:xfrm flipH="1">
          <a:off x="3218890" y="249986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1346</xdr:row>
      <xdr:rowOff>47625</xdr:rowOff>
    </xdr:from>
    <xdr:to>
      <xdr:col>3</xdr:col>
      <xdr:colOff>595313</xdr:colOff>
      <xdr:row>1346</xdr:row>
      <xdr:rowOff>119062</xdr:rowOff>
    </xdr:to>
    <xdr:cxnSp macro="">
      <xdr:nvCxnSpPr>
        <xdr:cNvPr id="1867" name="Straight Connector 1866"/>
        <xdr:cNvCxnSpPr/>
      </xdr:nvCxnSpPr>
      <xdr:spPr>
        <a:xfrm>
          <a:off x="3218890" y="249557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1442</xdr:row>
      <xdr:rowOff>297027</xdr:rowOff>
    </xdr:from>
    <xdr:to>
      <xdr:col>3</xdr:col>
      <xdr:colOff>392907</xdr:colOff>
      <xdr:row>1446</xdr:row>
      <xdr:rowOff>154781</xdr:rowOff>
    </xdr:to>
    <xdr:cxnSp macro="">
      <xdr:nvCxnSpPr>
        <xdr:cNvPr id="1868" name="Straight Connector 1867"/>
        <xdr:cNvCxnSpPr/>
      </xdr:nvCxnSpPr>
      <xdr:spPr>
        <a:xfrm>
          <a:off x="3175346" y="271800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1442</xdr:row>
      <xdr:rowOff>305147</xdr:rowOff>
    </xdr:from>
    <xdr:to>
      <xdr:col>3</xdr:col>
      <xdr:colOff>130969</xdr:colOff>
      <xdr:row>1444</xdr:row>
      <xdr:rowOff>11906</xdr:rowOff>
    </xdr:to>
    <xdr:cxnSp macro="">
      <xdr:nvCxnSpPr>
        <xdr:cNvPr id="1870" name="Straight Arrow Connector 1869"/>
        <xdr:cNvCxnSpPr/>
      </xdr:nvCxnSpPr>
      <xdr:spPr>
        <a:xfrm flipH="1" flipV="1">
          <a:off x="2913960" y="271799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1445</xdr:row>
      <xdr:rowOff>11907</xdr:rowOff>
    </xdr:from>
    <xdr:to>
      <xdr:col>3</xdr:col>
      <xdr:colOff>130969</xdr:colOff>
      <xdr:row>1446</xdr:row>
      <xdr:rowOff>154782</xdr:rowOff>
    </xdr:to>
    <xdr:cxnSp macro="">
      <xdr:nvCxnSpPr>
        <xdr:cNvPr id="1871" name="Straight Arrow Connector 1870"/>
        <xdr:cNvCxnSpPr/>
      </xdr:nvCxnSpPr>
      <xdr:spPr>
        <a:xfrm>
          <a:off x="2921234" y="272191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1451</xdr:row>
      <xdr:rowOff>89297</xdr:rowOff>
    </xdr:from>
    <xdr:to>
      <xdr:col>3</xdr:col>
      <xdr:colOff>178594</xdr:colOff>
      <xdr:row>1452</xdr:row>
      <xdr:rowOff>59531</xdr:rowOff>
    </xdr:to>
    <xdr:cxnSp macro="">
      <xdr:nvCxnSpPr>
        <xdr:cNvPr id="1872" name="Straight Connector 1871"/>
        <xdr:cNvCxnSpPr/>
      </xdr:nvCxnSpPr>
      <xdr:spPr>
        <a:xfrm>
          <a:off x="2849796" y="273411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1451</xdr:row>
      <xdr:rowOff>35719</xdr:rowOff>
    </xdr:from>
    <xdr:to>
      <xdr:col>3</xdr:col>
      <xdr:colOff>285750</xdr:colOff>
      <xdr:row>1451</xdr:row>
      <xdr:rowOff>154781</xdr:rowOff>
    </xdr:to>
    <xdr:cxnSp macro="">
      <xdr:nvCxnSpPr>
        <xdr:cNvPr id="1873" name="Straight Connector 1872"/>
        <xdr:cNvCxnSpPr/>
      </xdr:nvCxnSpPr>
      <xdr:spPr>
        <a:xfrm>
          <a:off x="2885515" y="273358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1451</xdr:row>
      <xdr:rowOff>44824</xdr:rowOff>
    </xdr:from>
    <xdr:to>
      <xdr:col>3</xdr:col>
      <xdr:colOff>67235</xdr:colOff>
      <xdr:row>1453</xdr:row>
      <xdr:rowOff>156883</xdr:rowOff>
    </xdr:to>
    <xdr:cxnSp macro="">
      <xdr:nvCxnSpPr>
        <xdr:cNvPr id="1874" name="Straight Connector 1873"/>
        <xdr:cNvCxnSpPr/>
      </xdr:nvCxnSpPr>
      <xdr:spPr>
        <a:xfrm>
          <a:off x="2857500" y="273367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1453</xdr:row>
      <xdr:rowOff>166690</xdr:rowOff>
    </xdr:from>
    <xdr:to>
      <xdr:col>4</xdr:col>
      <xdr:colOff>29308</xdr:colOff>
      <xdr:row>1453</xdr:row>
      <xdr:rowOff>168519</xdr:rowOff>
    </xdr:to>
    <xdr:cxnSp macro="">
      <xdr:nvCxnSpPr>
        <xdr:cNvPr id="1875" name="Straight Connector 1874"/>
        <xdr:cNvCxnSpPr/>
      </xdr:nvCxnSpPr>
      <xdr:spPr>
        <a:xfrm>
          <a:off x="2849796" y="273870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1451</xdr:row>
      <xdr:rowOff>41673</xdr:rowOff>
    </xdr:from>
    <xdr:to>
      <xdr:col>4</xdr:col>
      <xdr:colOff>12211</xdr:colOff>
      <xdr:row>1454</xdr:row>
      <xdr:rowOff>0</xdr:rowOff>
    </xdr:to>
    <xdr:cxnSp macro="">
      <xdr:nvCxnSpPr>
        <xdr:cNvPr id="1876" name="Straight Connector 1875"/>
        <xdr:cNvCxnSpPr/>
      </xdr:nvCxnSpPr>
      <xdr:spPr>
        <a:xfrm flipH="1" flipV="1">
          <a:off x="3507441" y="273364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1451</xdr:row>
      <xdr:rowOff>32918</xdr:rowOff>
    </xdr:from>
    <xdr:to>
      <xdr:col>4</xdr:col>
      <xdr:colOff>17861</xdr:colOff>
      <xdr:row>1451</xdr:row>
      <xdr:rowOff>35719</xdr:rowOff>
    </xdr:to>
    <xdr:cxnSp macro="">
      <xdr:nvCxnSpPr>
        <xdr:cNvPr id="1877" name="Straight Connector 1876"/>
        <xdr:cNvCxnSpPr/>
      </xdr:nvCxnSpPr>
      <xdr:spPr>
        <a:xfrm flipH="1">
          <a:off x="2849796" y="273355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1456</xdr:row>
      <xdr:rowOff>89297</xdr:rowOff>
    </xdr:from>
    <xdr:to>
      <xdr:col>3</xdr:col>
      <xdr:colOff>178594</xdr:colOff>
      <xdr:row>1457</xdr:row>
      <xdr:rowOff>59531</xdr:rowOff>
    </xdr:to>
    <xdr:cxnSp macro="">
      <xdr:nvCxnSpPr>
        <xdr:cNvPr id="1878" name="Straight Connector 1877"/>
        <xdr:cNvCxnSpPr/>
      </xdr:nvCxnSpPr>
      <xdr:spPr>
        <a:xfrm>
          <a:off x="2849796" y="274364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1456</xdr:row>
      <xdr:rowOff>35719</xdr:rowOff>
    </xdr:from>
    <xdr:to>
      <xdr:col>3</xdr:col>
      <xdr:colOff>285750</xdr:colOff>
      <xdr:row>1456</xdr:row>
      <xdr:rowOff>154781</xdr:rowOff>
    </xdr:to>
    <xdr:cxnSp macro="">
      <xdr:nvCxnSpPr>
        <xdr:cNvPr id="1879" name="Straight Connector 1878"/>
        <xdr:cNvCxnSpPr/>
      </xdr:nvCxnSpPr>
      <xdr:spPr>
        <a:xfrm>
          <a:off x="2885515" y="274310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1456</xdr:row>
      <xdr:rowOff>44824</xdr:rowOff>
    </xdr:from>
    <xdr:to>
      <xdr:col>3</xdr:col>
      <xdr:colOff>67235</xdr:colOff>
      <xdr:row>1458</xdr:row>
      <xdr:rowOff>156883</xdr:rowOff>
    </xdr:to>
    <xdr:cxnSp macro="">
      <xdr:nvCxnSpPr>
        <xdr:cNvPr id="1880" name="Straight Connector 1879"/>
        <xdr:cNvCxnSpPr/>
      </xdr:nvCxnSpPr>
      <xdr:spPr>
        <a:xfrm>
          <a:off x="2857500" y="274320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1458</xdr:row>
      <xdr:rowOff>166690</xdr:rowOff>
    </xdr:from>
    <xdr:to>
      <xdr:col>4</xdr:col>
      <xdr:colOff>29308</xdr:colOff>
      <xdr:row>1458</xdr:row>
      <xdr:rowOff>168519</xdr:rowOff>
    </xdr:to>
    <xdr:cxnSp macro="">
      <xdr:nvCxnSpPr>
        <xdr:cNvPr id="1881" name="Straight Connector 1880"/>
        <xdr:cNvCxnSpPr/>
      </xdr:nvCxnSpPr>
      <xdr:spPr>
        <a:xfrm>
          <a:off x="2849796" y="274822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1456</xdr:row>
      <xdr:rowOff>41673</xdr:rowOff>
    </xdr:from>
    <xdr:to>
      <xdr:col>4</xdr:col>
      <xdr:colOff>12211</xdr:colOff>
      <xdr:row>1459</xdr:row>
      <xdr:rowOff>0</xdr:rowOff>
    </xdr:to>
    <xdr:cxnSp macro="">
      <xdr:nvCxnSpPr>
        <xdr:cNvPr id="1882" name="Straight Connector 1881"/>
        <xdr:cNvCxnSpPr/>
      </xdr:nvCxnSpPr>
      <xdr:spPr>
        <a:xfrm flipH="1" flipV="1">
          <a:off x="3507441" y="27431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1456</xdr:row>
      <xdr:rowOff>32918</xdr:rowOff>
    </xdr:from>
    <xdr:to>
      <xdr:col>4</xdr:col>
      <xdr:colOff>17861</xdr:colOff>
      <xdr:row>1456</xdr:row>
      <xdr:rowOff>35719</xdr:rowOff>
    </xdr:to>
    <xdr:cxnSp macro="">
      <xdr:nvCxnSpPr>
        <xdr:cNvPr id="1883" name="Straight Connector 1882"/>
        <xdr:cNvCxnSpPr/>
      </xdr:nvCxnSpPr>
      <xdr:spPr>
        <a:xfrm flipH="1">
          <a:off x="2849796" y="274308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1442</xdr:row>
      <xdr:rowOff>171450</xdr:rowOff>
    </xdr:from>
    <xdr:to>
      <xdr:col>3</xdr:col>
      <xdr:colOff>504825</xdr:colOff>
      <xdr:row>1447</xdr:row>
      <xdr:rowOff>47625</xdr:rowOff>
    </xdr:to>
    <xdr:pic>
      <xdr:nvPicPr>
        <xdr:cNvPr id="1884"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271779626"/>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1487</xdr:row>
      <xdr:rowOff>89297</xdr:rowOff>
    </xdr:from>
    <xdr:to>
      <xdr:col>3</xdr:col>
      <xdr:colOff>178594</xdr:colOff>
      <xdr:row>1488</xdr:row>
      <xdr:rowOff>59531</xdr:rowOff>
    </xdr:to>
    <xdr:cxnSp macro="">
      <xdr:nvCxnSpPr>
        <xdr:cNvPr id="1921" name="Straight Connector 1920"/>
        <xdr:cNvCxnSpPr/>
      </xdr:nvCxnSpPr>
      <xdr:spPr>
        <a:xfrm>
          <a:off x="2849796" y="25321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1487</xdr:row>
      <xdr:rowOff>35719</xdr:rowOff>
    </xdr:from>
    <xdr:to>
      <xdr:col>3</xdr:col>
      <xdr:colOff>285750</xdr:colOff>
      <xdr:row>1487</xdr:row>
      <xdr:rowOff>154781</xdr:rowOff>
    </xdr:to>
    <xdr:cxnSp macro="">
      <xdr:nvCxnSpPr>
        <xdr:cNvPr id="1922" name="Straight Connector 1921"/>
        <xdr:cNvCxnSpPr/>
      </xdr:nvCxnSpPr>
      <xdr:spPr>
        <a:xfrm>
          <a:off x="2885515" y="25316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1487</xdr:row>
      <xdr:rowOff>44824</xdr:rowOff>
    </xdr:from>
    <xdr:to>
      <xdr:col>3</xdr:col>
      <xdr:colOff>67235</xdr:colOff>
      <xdr:row>1489</xdr:row>
      <xdr:rowOff>156883</xdr:rowOff>
    </xdr:to>
    <xdr:cxnSp macro="">
      <xdr:nvCxnSpPr>
        <xdr:cNvPr id="1923" name="Straight Connector 1922"/>
        <xdr:cNvCxnSpPr/>
      </xdr:nvCxnSpPr>
      <xdr:spPr>
        <a:xfrm>
          <a:off x="2857500" y="25317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1489</xdr:row>
      <xdr:rowOff>166690</xdr:rowOff>
    </xdr:from>
    <xdr:to>
      <xdr:col>4</xdr:col>
      <xdr:colOff>29308</xdr:colOff>
      <xdr:row>1489</xdr:row>
      <xdr:rowOff>168519</xdr:rowOff>
    </xdr:to>
    <xdr:cxnSp macro="">
      <xdr:nvCxnSpPr>
        <xdr:cNvPr id="1924" name="Straight Connector 1923"/>
        <xdr:cNvCxnSpPr/>
      </xdr:nvCxnSpPr>
      <xdr:spPr>
        <a:xfrm>
          <a:off x="2849796" y="25367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1487</xdr:row>
      <xdr:rowOff>41673</xdr:rowOff>
    </xdr:from>
    <xdr:to>
      <xdr:col>4</xdr:col>
      <xdr:colOff>12211</xdr:colOff>
      <xdr:row>1490</xdr:row>
      <xdr:rowOff>0</xdr:rowOff>
    </xdr:to>
    <xdr:cxnSp macro="">
      <xdr:nvCxnSpPr>
        <xdr:cNvPr id="1925" name="Straight Connector 1924"/>
        <xdr:cNvCxnSpPr/>
      </xdr:nvCxnSpPr>
      <xdr:spPr>
        <a:xfrm flipH="1" flipV="1">
          <a:off x="3507441" y="2531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1487</xdr:row>
      <xdr:rowOff>32918</xdr:rowOff>
    </xdr:from>
    <xdr:to>
      <xdr:col>4</xdr:col>
      <xdr:colOff>17861</xdr:colOff>
      <xdr:row>1487</xdr:row>
      <xdr:rowOff>35719</xdr:rowOff>
    </xdr:to>
    <xdr:cxnSp macro="">
      <xdr:nvCxnSpPr>
        <xdr:cNvPr id="1926" name="Straight Connector 1925"/>
        <xdr:cNvCxnSpPr/>
      </xdr:nvCxnSpPr>
      <xdr:spPr>
        <a:xfrm flipH="1">
          <a:off x="2849796" y="25316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1510</xdr:row>
      <xdr:rowOff>89297</xdr:rowOff>
    </xdr:from>
    <xdr:to>
      <xdr:col>3</xdr:col>
      <xdr:colOff>178594</xdr:colOff>
      <xdr:row>1511</xdr:row>
      <xdr:rowOff>59531</xdr:rowOff>
    </xdr:to>
    <xdr:cxnSp macro="">
      <xdr:nvCxnSpPr>
        <xdr:cNvPr id="1927" name="Straight Connector 1926"/>
        <xdr:cNvCxnSpPr/>
      </xdr:nvCxnSpPr>
      <xdr:spPr>
        <a:xfrm>
          <a:off x="2849796" y="25760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1510</xdr:row>
      <xdr:rowOff>35719</xdr:rowOff>
    </xdr:from>
    <xdr:to>
      <xdr:col>3</xdr:col>
      <xdr:colOff>285750</xdr:colOff>
      <xdr:row>1510</xdr:row>
      <xdr:rowOff>154781</xdr:rowOff>
    </xdr:to>
    <xdr:cxnSp macro="">
      <xdr:nvCxnSpPr>
        <xdr:cNvPr id="1928" name="Straight Connector 1927"/>
        <xdr:cNvCxnSpPr/>
      </xdr:nvCxnSpPr>
      <xdr:spPr>
        <a:xfrm>
          <a:off x="2885515" y="25754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1510</xdr:row>
      <xdr:rowOff>44824</xdr:rowOff>
    </xdr:from>
    <xdr:to>
      <xdr:col>3</xdr:col>
      <xdr:colOff>67235</xdr:colOff>
      <xdr:row>1512</xdr:row>
      <xdr:rowOff>156883</xdr:rowOff>
    </xdr:to>
    <xdr:cxnSp macro="">
      <xdr:nvCxnSpPr>
        <xdr:cNvPr id="1929" name="Straight Connector 1928"/>
        <xdr:cNvCxnSpPr/>
      </xdr:nvCxnSpPr>
      <xdr:spPr>
        <a:xfrm>
          <a:off x="2857500" y="25755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1512</xdr:row>
      <xdr:rowOff>166690</xdr:rowOff>
    </xdr:from>
    <xdr:to>
      <xdr:col>4</xdr:col>
      <xdr:colOff>29308</xdr:colOff>
      <xdr:row>1512</xdr:row>
      <xdr:rowOff>168519</xdr:rowOff>
    </xdr:to>
    <xdr:cxnSp macro="">
      <xdr:nvCxnSpPr>
        <xdr:cNvPr id="1930" name="Straight Connector 1929"/>
        <xdr:cNvCxnSpPr/>
      </xdr:nvCxnSpPr>
      <xdr:spPr>
        <a:xfrm>
          <a:off x="2849796" y="25805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1510</xdr:row>
      <xdr:rowOff>41673</xdr:rowOff>
    </xdr:from>
    <xdr:to>
      <xdr:col>4</xdr:col>
      <xdr:colOff>12211</xdr:colOff>
      <xdr:row>1513</xdr:row>
      <xdr:rowOff>0</xdr:rowOff>
    </xdr:to>
    <xdr:cxnSp macro="">
      <xdr:nvCxnSpPr>
        <xdr:cNvPr id="1931" name="Straight Connector 1930"/>
        <xdr:cNvCxnSpPr/>
      </xdr:nvCxnSpPr>
      <xdr:spPr>
        <a:xfrm flipH="1" flipV="1">
          <a:off x="3507441" y="25755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1510</xdr:row>
      <xdr:rowOff>32918</xdr:rowOff>
    </xdr:from>
    <xdr:to>
      <xdr:col>4</xdr:col>
      <xdr:colOff>17861</xdr:colOff>
      <xdr:row>1510</xdr:row>
      <xdr:rowOff>35719</xdr:rowOff>
    </xdr:to>
    <xdr:cxnSp macro="">
      <xdr:nvCxnSpPr>
        <xdr:cNvPr id="1932" name="Straight Connector 1931"/>
        <xdr:cNvCxnSpPr/>
      </xdr:nvCxnSpPr>
      <xdr:spPr>
        <a:xfrm flipH="1">
          <a:off x="2849796" y="25754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1501</xdr:row>
      <xdr:rowOff>89297</xdr:rowOff>
    </xdr:from>
    <xdr:to>
      <xdr:col>3</xdr:col>
      <xdr:colOff>178594</xdr:colOff>
      <xdr:row>1502</xdr:row>
      <xdr:rowOff>59531</xdr:rowOff>
    </xdr:to>
    <xdr:cxnSp macro="">
      <xdr:nvCxnSpPr>
        <xdr:cNvPr id="1933" name="Straight Connector 1932"/>
        <xdr:cNvCxnSpPr/>
      </xdr:nvCxnSpPr>
      <xdr:spPr>
        <a:xfrm>
          <a:off x="2849796" y="255885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1501</xdr:row>
      <xdr:rowOff>35719</xdr:rowOff>
    </xdr:from>
    <xdr:to>
      <xdr:col>3</xdr:col>
      <xdr:colOff>285750</xdr:colOff>
      <xdr:row>1501</xdr:row>
      <xdr:rowOff>154781</xdr:rowOff>
    </xdr:to>
    <xdr:cxnSp macro="">
      <xdr:nvCxnSpPr>
        <xdr:cNvPr id="1934" name="Straight Connector 1933"/>
        <xdr:cNvCxnSpPr/>
      </xdr:nvCxnSpPr>
      <xdr:spPr>
        <a:xfrm>
          <a:off x="2885515" y="255832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1501</xdr:row>
      <xdr:rowOff>44824</xdr:rowOff>
    </xdr:from>
    <xdr:to>
      <xdr:col>3</xdr:col>
      <xdr:colOff>67235</xdr:colOff>
      <xdr:row>1503</xdr:row>
      <xdr:rowOff>156883</xdr:rowOff>
    </xdr:to>
    <xdr:cxnSp macro="">
      <xdr:nvCxnSpPr>
        <xdr:cNvPr id="1935" name="Straight Connector 1934"/>
        <xdr:cNvCxnSpPr/>
      </xdr:nvCxnSpPr>
      <xdr:spPr>
        <a:xfrm>
          <a:off x="2857500" y="255841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1503</xdr:row>
      <xdr:rowOff>166690</xdr:rowOff>
    </xdr:from>
    <xdr:to>
      <xdr:col>4</xdr:col>
      <xdr:colOff>29308</xdr:colOff>
      <xdr:row>1503</xdr:row>
      <xdr:rowOff>168519</xdr:rowOff>
    </xdr:to>
    <xdr:cxnSp macro="">
      <xdr:nvCxnSpPr>
        <xdr:cNvPr id="1936" name="Straight Connector 1935"/>
        <xdr:cNvCxnSpPr/>
      </xdr:nvCxnSpPr>
      <xdr:spPr>
        <a:xfrm>
          <a:off x="2849796" y="256344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1501</xdr:row>
      <xdr:rowOff>41673</xdr:rowOff>
    </xdr:from>
    <xdr:to>
      <xdr:col>4</xdr:col>
      <xdr:colOff>12211</xdr:colOff>
      <xdr:row>1504</xdr:row>
      <xdr:rowOff>0</xdr:rowOff>
    </xdr:to>
    <xdr:cxnSp macro="">
      <xdr:nvCxnSpPr>
        <xdr:cNvPr id="1937" name="Straight Connector 1936"/>
        <xdr:cNvCxnSpPr/>
      </xdr:nvCxnSpPr>
      <xdr:spPr>
        <a:xfrm flipH="1" flipV="1">
          <a:off x="3507441" y="255838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1501</xdr:row>
      <xdr:rowOff>32918</xdr:rowOff>
    </xdr:from>
    <xdr:to>
      <xdr:col>4</xdr:col>
      <xdr:colOff>17861</xdr:colOff>
      <xdr:row>1501</xdr:row>
      <xdr:rowOff>35719</xdr:rowOff>
    </xdr:to>
    <xdr:cxnSp macro="">
      <xdr:nvCxnSpPr>
        <xdr:cNvPr id="1938" name="Straight Connector 1937"/>
        <xdr:cNvCxnSpPr/>
      </xdr:nvCxnSpPr>
      <xdr:spPr>
        <a:xfrm flipH="1">
          <a:off x="2849796" y="255829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1492</xdr:row>
      <xdr:rowOff>89297</xdr:rowOff>
    </xdr:from>
    <xdr:to>
      <xdr:col>3</xdr:col>
      <xdr:colOff>178594</xdr:colOff>
      <xdr:row>1493</xdr:row>
      <xdr:rowOff>59531</xdr:rowOff>
    </xdr:to>
    <xdr:cxnSp macro="">
      <xdr:nvCxnSpPr>
        <xdr:cNvPr id="1939" name="Straight Connector 1938"/>
        <xdr:cNvCxnSpPr/>
      </xdr:nvCxnSpPr>
      <xdr:spPr>
        <a:xfrm>
          <a:off x="2849796" y="25417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1492</xdr:row>
      <xdr:rowOff>35719</xdr:rowOff>
    </xdr:from>
    <xdr:to>
      <xdr:col>3</xdr:col>
      <xdr:colOff>285750</xdr:colOff>
      <xdr:row>1492</xdr:row>
      <xdr:rowOff>154781</xdr:rowOff>
    </xdr:to>
    <xdr:cxnSp macro="">
      <xdr:nvCxnSpPr>
        <xdr:cNvPr id="1940" name="Straight Connector 1939"/>
        <xdr:cNvCxnSpPr/>
      </xdr:nvCxnSpPr>
      <xdr:spPr>
        <a:xfrm>
          <a:off x="2885515" y="25411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1492</xdr:row>
      <xdr:rowOff>44824</xdr:rowOff>
    </xdr:from>
    <xdr:to>
      <xdr:col>3</xdr:col>
      <xdr:colOff>67235</xdr:colOff>
      <xdr:row>1494</xdr:row>
      <xdr:rowOff>156883</xdr:rowOff>
    </xdr:to>
    <xdr:cxnSp macro="">
      <xdr:nvCxnSpPr>
        <xdr:cNvPr id="1941" name="Straight Connector 1940"/>
        <xdr:cNvCxnSpPr/>
      </xdr:nvCxnSpPr>
      <xdr:spPr>
        <a:xfrm>
          <a:off x="2857500" y="25412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1494</xdr:row>
      <xdr:rowOff>166690</xdr:rowOff>
    </xdr:from>
    <xdr:to>
      <xdr:col>4</xdr:col>
      <xdr:colOff>29308</xdr:colOff>
      <xdr:row>1494</xdr:row>
      <xdr:rowOff>168519</xdr:rowOff>
    </xdr:to>
    <xdr:cxnSp macro="">
      <xdr:nvCxnSpPr>
        <xdr:cNvPr id="1942" name="Straight Connector 1941"/>
        <xdr:cNvCxnSpPr/>
      </xdr:nvCxnSpPr>
      <xdr:spPr>
        <a:xfrm>
          <a:off x="2849796" y="25462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1492</xdr:row>
      <xdr:rowOff>41673</xdr:rowOff>
    </xdr:from>
    <xdr:to>
      <xdr:col>4</xdr:col>
      <xdr:colOff>12211</xdr:colOff>
      <xdr:row>1495</xdr:row>
      <xdr:rowOff>0</xdr:rowOff>
    </xdr:to>
    <xdr:cxnSp macro="">
      <xdr:nvCxnSpPr>
        <xdr:cNvPr id="1943" name="Straight Connector 1942"/>
        <xdr:cNvCxnSpPr/>
      </xdr:nvCxnSpPr>
      <xdr:spPr>
        <a:xfrm flipH="1" flipV="1">
          <a:off x="3507441" y="25412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1492</xdr:row>
      <xdr:rowOff>32918</xdr:rowOff>
    </xdr:from>
    <xdr:to>
      <xdr:col>4</xdr:col>
      <xdr:colOff>17861</xdr:colOff>
      <xdr:row>1492</xdr:row>
      <xdr:rowOff>35719</xdr:rowOff>
    </xdr:to>
    <xdr:cxnSp macro="">
      <xdr:nvCxnSpPr>
        <xdr:cNvPr id="1944" name="Straight Connector 1943"/>
        <xdr:cNvCxnSpPr/>
      </xdr:nvCxnSpPr>
      <xdr:spPr>
        <a:xfrm flipH="1">
          <a:off x="2849796" y="25411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1515</xdr:row>
      <xdr:rowOff>35719</xdr:rowOff>
    </xdr:from>
    <xdr:to>
      <xdr:col>3</xdr:col>
      <xdr:colOff>428625</xdr:colOff>
      <xdr:row>1517</xdr:row>
      <xdr:rowOff>178594</xdr:rowOff>
    </xdr:to>
    <xdr:cxnSp macro="">
      <xdr:nvCxnSpPr>
        <xdr:cNvPr id="1945" name="Straight Connector 1944"/>
        <xdr:cNvCxnSpPr/>
      </xdr:nvCxnSpPr>
      <xdr:spPr>
        <a:xfrm>
          <a:off x="3218890" y="258499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1517</xdr:row>
      <xdr:rowOff>95249</xdr:rowOff>
    </xdr:from>
    <xdr:to>
      <xdr:col>3</xdr:col>
      <xdr:colOff>571500</xdr:colOff>
      <xdr:row>1517</xdr:row>
      <xdr:rowOff>154780</xdr:rowOff>
    </xdr:to>
    <xdr:cxnSp macro="">
      <xdr:nvCxnSpPr>
        <xdr:cNvPr id="1946" name="Straight Connector 1945"/>
        <xdr:cNvCxnSpPr/>
      </xdr:nvCxnSpPr>
      <xdr:spPr>
        <a:xfrm flipH="1">
          <a:off x="3218890" y="258939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1515</xdr:row>
      <xdr:rowOff>47625</xdr:rowOff>
    </xdr:from>
    <xdr:to>
      <xdr:col>3</xdr:col>
      <xdr:colOff>595313</xdr:colOff>
      <xdr:row>1515</xdr:row>
      <xdr:rowOff>119062</xdr:rowOff>
    </xdr:to>
    <xdr:cxnSp macro="">
      <xdr:nvCxnSpPr>
        <xdr:cNvPr id="1947" name="Straight Connector 1946"/>
        <xdr:cNvCxnSpPr/>
      </xdr:nvCxnSpPr>
      <xdr:spPr>
        <a:xfrm>
          <a:off x="3218890" y="258511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1510</xdr:row>
      <xdr:rowOff>41673</xdr:rowOff>
    </xdr:from>
    <xdr:to>
      <xdr:col>4</xdr:col>
      <xdr:colOff>12211</xdr:colOff>
      <xdr:row>1513</xdr:row>
      <xdr:rowOff>0</xdr:rowOff>
    </xdr:to>
    <xdr:cxnSp macro="">
      <xdr:nvCxnSpPr>
        <xdr:cNvPr id="1948" name="Straight Connector 1947"/>
        <xdr:cNvCxnSpPr/>
      </xdr:nvCxnSpPr>
      <xdr:spPr>
        <a:xfrm flipH="1" flipV="1">
          <a:off x="3507441" y="25755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1492</xdr:row>
      <xdr:rowOff>41673</xdr:rowOff>
    </xdr:from>
    <xdr:to>
      <xdr:col>4</xdr:col>
      <xdr:colOff>12211</xdr:colOff>
      <xdr:row>1495</xdr:row>
      <xdr:rowOff>0</xdr:rowOff>
    </xdr:to>
    <xdr:cxnSp macro="">
      <xdr:nvCxnSpPr>
        <xdr:cNvPr id="1949" name="Straight Connector 1948"/>
        <xdr:cNvCxnSpPr/>
      </xdr:nvCxnSpPr>
      <xdr:spPr>
        <a:xfrm flipH="1" flipV="1">
          <a:off x="3507441" y="25412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1497</xdr:row>
      <xdr:rowOff>35719</xdr:rowOff>
    </xdr:from>
    <xdr:to>
      <xdr:col>3</xdr:col>
      <xdr:colOff>428625</xdr:colOff>
      <xdr:row>1499</xdr:row>
      <xdr:rowOff>178594</xdr:rowOff>
    </xdr:to>
    <xdr:cxnSp macro="">
      <xdr:nvCxnSpPr>
        <xdr:cNvPr id="1950" name="Straight Connector 1949"/>
        <xdr:cNvCxnSpPr/>
      </xdr:nvCxnSpPr>
      <xdr:spPr>
        <a:xfrm>
          <a:off x="3218890" y="25507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1499</xdr:row>
      <xdr:rowOff>95249</xdr:rowOff>
    </xdr:from>
    <xdr:to>
      <xdr:col>3</xdr:col>
      <xdr:colOff>571500</xdr:colOff>
      <xdr:row>1499</xdr:row>
      <xdr:rowOff>154780</xdr:rowOff>
    </xdr:to>
    <xdr:cxnSp macro="">
      <xdr:nvCxnSpPr>
        <xdr:cNvPr id="1951" name="Straight Connector 1950"/>
        <xdr:cNvCxnSpPr/>
      </xdr:nvCxnSpPr>
      <xdr:spPr>
        <a:xfrm flipH="1">
          <a:off x="3218890" y="25551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1497</xdr:row>
      <xdr:rowOff>47625</xdr:rowOff>
    </xdr:from>
    <xdr:to>
      <xdr:col>3</xdr:col>
      <xdr:colOff>595313</xdr:colOff>
      <xdr:row>1497</xdr:row>
      <xdr:rowOff>119062</xdr:rowOff>
    </xdr:to>
    <xdr:cxnSp macro="">
      <xdr:nvCxnSpPr>
        <xdr:cNvPr id="1952" name="Straight Connector 1951"/>
        <xdr:cNvCxnSpPr/>
      </xdr:nvCxnSpPr>
      <xdr:spPr>
        <a:xfrm>
          <a:off x="3218890" y="25508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1506</xdr:row>
      <xdr:rowOff>35719</xdr:rowOff>
    </xdr:from>
    <xdr:to>
      <xdr:col>3</xdr:col>
      <xdr:colOff>428625</xdr:colOff>
      <xdr:row>1508</xdr:row>
      <xdr:rowOff>178594</xdr:rowOff>
    </xdr:to>
    <xdr:cxnSp macro="">
      <xdr:nvCxnSpPr>
        <xdr:cNvPr id="1953" name="Straight Connector 1952"/>
        <xdr:cNvCxnSpPr/>
      </xdr:nvCxnSpPr>
      <xdr:spPr>
        <a:xfrm>
          <a:off x="3218890" y="25678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1508</xdr:row>
      <xdr:rowOff>95249</xdr:rowOff>
    </xdr:from>
    <xdr:to>
      <xdr:col>3</xdr:col>
      <xdr:colOff>571500</xdr:colOff>
      <xdr:row>1508</xdr:row>
      <xdr:rowOff>154780</xdr:rowOff>
    </xdr:to>
    <xdr:cxnSp macro="">
      <xdr:nvCxnSpPr>
        <xdr:cNvPr id="1954" name="Straight Connector 1953"/>
        <xdr:cNvCxnSpPr/>
      </xdr:nvCxnSpPr>
      <xdr:spPr>
        <a:xfrm flipH="1">
          <a:off x="3218890" y="25722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1506</xdr:row>
      <xdr:rowOff>47625</xdr:rowOff>
    </xdr:from>
    <xdr:to>
      <xdr:col>3</xdr:col>
      <xdr:colOff>595313</xdr:colOff>
      <xdr:row>1506</xdr:row>
      <xdr:rowOff>119062</xdr:rowOff>
    </xdr:to>
    <xdr:cxnSp macro="">
      <xdr:nvCxnSpPr>
        <xdr:cNvPr id="1955" name="Straight Connector 1954"/>
        <xdr:cNvCxnSpPr/>
      </xdr:nvCxnSpPr>
      <xdr:spPr>
        <a:xfrm>
          <a:off x="3218890" y="25679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1527</xdr:row>
      <xdr:rowOff>41673</xdr:rowOff>
    </xdr:from>
    <xdr:to>
      <xdr:col>4</xdr:col>
      <xdr:colOff>12211</xdr:colOff>
      <xdr:row>1530</xdr:row>
      <xdr:rowOff>0</xdr:rowOff>
    </xdr:to>
    <xdr:cxnSp macro="">
      <xdr:nvCxnSpPr>
        <xdr:cNvPr id="1869" name="Straight Connector 1868"/>
        <xdr:cNvCxnSpPr/>
      </xdr:nvCxnSpPr>
      <xdr:spPr>
        <a:xfrm flipH="1" flipV="1">
          <a:off x="3507441" y="286318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1537</xdr:row>
      <xdr:rowOff>41673</xdr:rowOff>
    </xdr:from>
    <xdr:to>
      <xdr:col>4</xdr:col>
      <xdr:colOff>12211</xdr:colOff>
      <xdr:row>1540</xdr:row>
      <xdr:rowOff>0</xdr:rowOff>
    </xdr:to>
    <xdr:cxnSp macro="">
      <xdr:nvCxnSpPr>
        <xdr:cNvPr id="1897" name="Straight Connector 1896"/>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1537</xdr:row>
      <xdr:rowOff>41673</xdr:rowOff>
    </xdr:from>
    <xdr:to>
      <xdr:col>4</xdr:col>
      <xdr:colOff>12211</xdr:colOff>
      <xdr:row>1540</xdr:row>
      <xdr:rowOff>0</xdr:rowOff>
    </xdr:to>
    <xdr:cxnSp macro="">
      <xdr:nvCxnSpPr>
        <xdr:cNvPr id="1898" name="Straight Connector 1897"/>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35719</xdr:rowOff>
    </xdr:from>
    <xdr:to>
      <xdr:col>3</xdr:col>
      <xdr:colOff>428625</xdr:colOff>
      <xdr:row>1548</xdr:row>
      <xdr:rowOff>178594</xdr:rowOff>
    </xdr:to>
    <xdr:cxnSp macro="">
      <xdr:nvCxnSpPr>
        <xdr:cNvPr id="1899" name="Straight Connector 1898"/>
        <xdr:cNvCxnSpPr/>
      </xdr:nvCxnSpPr>
      <xdr:spPr>
        <a:xfrm>
          <a:off x="3218890" y="294122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1548</xdr:row>
      <xdr:rowOff>95249</xdr:rowOff>
    </xdr:from>
    <xdr:to>
      <xdr:col>3</xdr:col>
      <xdr:colOff>571500</xdr:colOff>
      <xdr:row>1548</xdr:row>
      <xdr:rowOff>154780</xdr:rowOff>
    </xdr:to>
    <xdr:cxnSp macro="">
      <xdr:nvCxnSpPr>
        <xdr:cNvPr id="1900" name="Straight Connector 1899"/>
        <xdr:cNvCxnSpPr/>
      </xdr:nvCxnSpPr>
      <xdr:spPr>
        <a:xfrm flipH="1">
          <a:off x="3218890" y="294563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47625</xdr:rowOff>
    </xdr:from>
    <xdr:to>
      <xdr:col>3</xdr:col>
      <xdr:colOff>595313</xdr:colOff>
      <xdr:row>1546</xdr:row>
      <xdr:rowOff>119062</xdr:rowOff>
    </xdr:to>
    <xdr:cxnSp macro="">
      <xdr:nvCxnSpPr>
        <xdr:cNvPr id="1901" name="Straight Connector 1900"/>
        <xdr:cNvCxnSpPr/>
      </xdr:nvCxnSpPr>
      <xdr:spPr>
        <a:xfrm>
          <a:off x="3218890" y="294134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35719</xdr:rowOff>
    </xdr:from>
    <xdr:to>
      <xdr:col>3</xdr:col>
      <xdr:colOff>428625</xdr:colOff>
      <xdr:row>1548</xdr:row>
      <xdr:rowOff>178594</xdr:rowOff>
    </xdr:to>
    <xdr:cxnSp macro="">
      <xdr:nvCxnSpPr>
        <xdr:cNvPr id="1902" name="Straight Connector 1901"/>
        <xdr:cNvCxnSpPr/>
      </xdr:nvCxnSpPr>
      <xdr:spPr>
        <a:xfrm>
          <a:off x="3218890" y="294122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1548</xdr:row>
      <xdr:rowOff>95249</xdr:rowOff>
    </xdr:from>
    <xdr:to>
      <xdr:col>3</xdr:col>
      <xdr:colOff>571500</xdr:colOff>
      <xdr:row>1548</xdr:row>
      <xdr:rowOff>154780</xdr:rowOff>
    </xdr:to>
    <xdr:cxnSp macro="">
      <xdr:nvCxnSpPr>
        <xdr:cNvPr id="1914" name="Straight Connector 1913"/>
        <xdr:cNvCxnSpPr/>
      </xdr:nvCxnSpPr>
      <xdr:spPr>
        <a:xfrm flipH="1">
          <a:off x="3218890" y="294563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47625</xdr:rowOff>
    </xdr:from>
    <xdr:to>
      <xdr:col>3</xdr:col>
      <xdr:colOff>595313</xdr:colOff>
      <xdr:row>1546</xdr:row>
      <xdr:rowOff>119062</xdr:rowOff>
    </xdr:to>
    <xdr:cxnSp macro="">
      <xdr:nvCxnSpPr>
        <xdr:cNvPr id="1915" name="Straight Connector 1914"/>
        <xdr:cNvCxnSpPr/>
      </xdr:nvCxnSpPr>
      <xdr:spPr>
        <a:xfrm>
          <a:off x="3218890" y="294134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1558</xdr:row>
      <xdr:rowOff>89297</xdr:rowOff>
    </xdr:from>
    <xdr:to>
      <xdr:col>3</xdr:col>
      <xdr:colOff>178594</xdr:colOff>
      <xdr:row>1559</xdr:row>
      <xdr:rowOff>59531</xdr:rowOff>
    </xdr:to>
    <xdr:cxnSp macro="">
      <xdr:nvCxnSpPr>
        <xdr:cNvPr id="1916" name="Straight Connector 1915"/>
        <xdr:cNvCxnSpPr/>
      </xdr:nvCxnSpPr>
      <xdr:spPr>
        <a:xfrm>
          <a:off x="2849796" y="29131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1558</xdr:row>
      <xdr:rowOff>35719</xdr:rowOff>
    </xdr:from>
    <xdr:to>
      <xdr:col>3</xdr:col>
      <xdr:colOff>285750</xdr:colOff>
      <xdr:row>1558</xdr:row>
      <xdr:rowOff>154781</xdr:rowOff>
    </xdr:to>
    <xdr:cxnSp macro="">
      <xdr:nvCxnSpPr>
        <xdr:cNvPr id="1917" name="Straight Connector 1916"/>
        <xdr:cNvCxnSpPr/>
      </xdr:nvCxnSpPr>
      <xdr:spPr>
        <a:xfrm>
          <a:off x="2885515" y="29126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1558</xdr:row>
      <xdr:rowOff>44824</xdr:rowOff>
    </xdr:from>
    <xdr:to>
      <xdr:col>3</xdr:col>
      <xdr:colOff>67235</xdr:colOff>
      <xdr:row>1560</xdr:row>
      <xdr:rowOff>156883</xdr:rowOff>
    </xdr:to>
    <xdr:cxnSp macro="">
      <xdr:nvCxnSpPr>
        <xdr:cNvPr id="1918" name="Straight Connector 1917"/>
        <xdr:cNvCxnSpPr/>
      </xdr:nvCxnSpPr>
      <xdr:spPr>
        <a:xfrm>
          <a:off x="2857500" y="29127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1560</xdr:row>
      <xdr:rowOff>166690</xdr:rowOff>
    </xdr:from>
    <xdr:to>
      <xdr:col>4</xdr:col>
      <xdr:colOff>29308</xdr:colOff>
      <xdr:row>1560</xdr:row>
      <xdr:rowOff>168519</xdr:rowOff>
    </xdr:to>
    <xdr:cxnSp macro="">
      <xdr:nvCxnSpPr>
        <xdr:cNvPr id="1919" name="Straight Connector 1918"/>
        <xdr:cNvCxnSpPr/>
      </xdr:nvCxnSpPr>
      <xdr:spPr>
        <a:xfrm>
          <a:off x="2849796" y="29177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1558</xdr:row>
      <xdr:rowOff>41673</xdr:rowOff>
    </xdr:from>
    <xdr:to>
      <xdr:col>4</xdr:col>
      <xdr:colOff>12211</xdr:colOff>
      <xdr:row>1561</xdr:row>
      <xdr:rowOff>0</xdr:rowOff>
    </xdr:to>
    <xdr:cxnSp macro="">
      <xdr:nvCxnSpPr>
        <xdr:cNvPr id="1956" name="Straight Connector 1955"/>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1558</xdr:row>
      <xdr:rowOff>32918</xdr:rowOff>
    </xdr:from>
    <xdr:to>
      <xdr:col>4</xdr:col>
      <xdr:colOff>17861</xdr:colOff>
      <xdr:row>1558</xdr:row>
      <xdr:rowOff>35719</xdr:rowOff>
    </xdr:to>
    <xdr:cxnSp macro="">
      <xdr:nvCxnSpPr>
        <xdr:cNvPr id="1957" name="Straight Connector 1956"/>
        <xdr:cNvCxnSpPr/>
      </xdr:nvCxnSpPr>
      <xdr:spPr>
        <a:xfrm flipH="1">
          <a:off x="2849796" y="29126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1563</xdr:row>
      <xdr:rowOff>89297</xdr:rowOff>
    </xdr:from>
    <xdr:to>
      <xdr:col>3</xdr:col>
      <xdr:colOff>178594</xdr:colOff>
      <xdr:row>1564</xdr:row>
      <xdr:rowOff>59531</xdr:rowOff>
    </xdr:to>
    <xdr:cxnSp macro="">
      <xdr:nvCxnSpPr>
        <xdr:cNvPr id="1958" name="Straight Connector 1957"/>
        <xdr:cNvCxnSpPr/>
      </xdr:nvCxnSpPr>
      <xdr:spPr>
        <a:xfrm>
          <a:off x="2849796" y="29227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1563</xdr:row>
      <xdr:rowOff>35719</xdr:rowOff>
    </xdr:from>
    <xdr:to>
      <xdr:col>3</xdr:col>
      <xdr:colOff>285750</xdr:colOff>
      <xdr:row>1563</xdr:row>
      <xdr:rowOff>154781</xdr:rowOff>
    </xdr:to>
    <xdr:cxnSp macro="">
      <xdr:nvCxnSpPr>
        <xdr:cNvPr id="1959" name="Straight Connector 1958"/>
        <xdr:cNvCxnSpPr/>
      </xdr:nvCxnSpPr>
      <xdr:spPr>
        <a:xfrm>
          <a:off x="2885515" y="29221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1563</xdr:row>
      <xdr:rowOff>44824</xdr:rowOff>
    </xdr:from>
    <xdr:to>
      <xdr:col>3</xdr:col>
      <xdr:colOff>67235</xdr:colOff>
      <xdr:row>1565</xdr:row>
      <xdr:rowOff>156883</xdr:rowOff>
    </xdr:to>
    <xdr:cxnSp macro="">
      <xdr:nvCxnSpPr>
        <xdr:cNvPr id="1960" name="Straight Connector 1959"/>
        <xdr:cNvCxnSpPr/>
      </xdr:nvCxnSpPr>
      <xdr:spPr>
        <a:xfrm>
          <a:off x="2857500" y="29222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1565</xdr:row>
      <xdr:rowOff>166690</xdr:rowOff>
    </xdr:from>
    <xdr:to>
      <xdr:col>4</xdr:col>
      <xdr:colOff>29308</xdr:colOff>
      <xdr:row>1565</xdr:row>
      <xdr:rowOff>168519</xdr:rowOff>
    </xdr:to>
    <xdr:cxnSp macro="">
      <xdr:nvCxnSpPr>
        <xdr:cNvPr id="1961" name="Straight Connector 1960"/>
        <xdr:cNvCxnSpPr/>
      </xdr:nvCxnSpPr>
      <xdr:spPr>
        <a:xfrm>
          <a:off x="2849796" y="29272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1563</xdr:row>
      <xdr:rowOff>41673</xdr:rowOff>
    </xdr:from>
    <xdr:to>
      <xdr:col>4</xdr:col>
      <xdr:colOff>12211</xdr:colOff>
      <xdr:row>1566</xdr:row>
      <xdr:rowOff>0</xdr:rowOff>
    </xdr:to>
    <xdr:cxnSp macro="">
      <xdr:nvCxnSpPr>
        <xdr:cNvPr id="1962" name="Straight Connector 1961"/>
        <xdr:cNvCxnSpPr/>
      </xdr:nvCxnSpPr>
      <xdr:spPr>
        <a:xfrm flipH="1" flipV="1">
          <a:off x="3507441" y="29222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1563</xdr:row>
      <xdr:rowOff>32918</xdr:rowOff>
    </xdr:from>
    <xdr:to>
      <xdr:col>4</xdr:col>
      <xdr:colOff>17861</xdr:colOff>
      <xdr:row>1563</xdr:row>
      <xdr:rowOff>35719</xdr:rowOff>
    </xdr:to>
    <xdr:cxnSp macro="">
      <xdr:nvCxnSpPr>
        <xdr:cNvPr id="1963" name="Straight Connector 1962"/>
        <xdr:cNvCxnSpPr/>
      </xdr:nvCxnSpPr>
      <xdr:spPr>
        <a:xfrm flipH="1">
          <a:off x="2849796" y="29221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1568</xdr:row>
      <xdr:rowOff>89297</xdr:rowOff>
    </xdr:from>
    <xdr:to>
      <xdr:col>3</xdr:col>
      <xdr:colOff>178594</xdr:colOff>
      <xdr:row>1569</xdr:row>
      <xdr:rowOff>59531</xdr:rowOff>
    </xdr:to>
    <xdr:cxnSp macro="">
      <xdr:nvCxnSpPr>
        <xdr:cNvPr id="1964" name="Straight Connector 1963"/>
        <xdr:cNvCxnSpPr/>
      </xdr:nvCxnSpPr>
      <xdr:spPr>
        <a:xfrm>
          <a:off x="2849796" y="293223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1568</xdr:row>
      <xdr:rowOff>35719</xdr:rowOff>
    </xdr:from>
    <xdr:to>
      <xdr:col>3</xdr:col>
      <xdr:colOff>285750</xdr:colOff>
      <xdr:row>1568</xdr:row>
      <xdr:rowOff>154781</xdr:rowOff>
    </xdr:to>
    <xdr:cxnSp macro="">
      <xdr:nvCxnSpPr>
        <xdr:cNvPr id="1965" name="Straight Connector 1964"/>
        <xdr:cNvCxnSpPr/>
      </xdr:nvCxnSpPr>
      <xdr:spPr>
        <a:xfrm>
          <a:off x="2885515" y="293170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1568</xdr:row>
      <xdr:rowOff>44824</xdr:rowOff>
    </xdr:from>
    <xdr:to>
      <xdr:col>3</xdr:col>
      <xdr:colOff>67235</xdr:colOff>
      <xdr:row>1570</xdr:row>
      <xdr:rowOff>156883</xdr:rowOff>
    </xdr:to>
    <xdr:cxnSp macro="">
      <xdr:nvCxnSpPr>
        <xdr:cNvPr id="1966" name="Straight Connector 1965"/>
        <xdr:cNvCxnSpPr/>
      </xdr:nvCxnSpPr>
      <xdr:spPr>
        <a:xfrm>
          <a:off x="2857500" y="293179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1570</xdr:row>
      <xdr:rowOff>166690</xdr:rowOff>
    </xdr:from>
    <xdr:to>
      <xdr:col>4</xdr:col>
      <xdr:colOff>29308</xdr:colOff>
      <xdr:row>1570</xdr:row>
      <xdr:rowOff>168519</xdr:rowOff>
    </xdr:to>
    <xdr:cxnSp macro="">
      <xdr:nvCxnSpPr>
        <xdr:cNvPr id="1967" name="Straight Connector 1966"/>
        <xdr:cNvCxnSpPr/>
      </xdr:nvCxnSpPr>
      <xdr:spPr>
        <a:xfrm>
          <a:off x="2849796" y="293682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1568</xdr:row>
      <xdr:rowOff>41673</xdr:rowOff>
    </xdr:from>
    <xdr:to>
      <xdr:col>4</xdr:col>
      <xdr:colOff>12211</xdr:colOff>
      <xdr:row>1571</xdr:row>
      <xdr:rowOff>0</xdr:rowOff>
    </xdr:to>
    <xdr:cxnSp macro="">
      <xdr:nvCxnSpPr>
        <xdr:cNvPr id="1968" name="Straight Connector 1967"/>
        <xdr:cNvCxnSpPr/>
      </xdr:nvCxnSpPr>
      <xdr:spPr>
        <a:xfrm flipH="1" flipV="1">
          <a:off x="3507441" y="293176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1568</xdr:row>
      <xdr:rowOff>32918</xdr:rowOff>
    </xdr:from>
    <xdr:to>
      <xdr:col>4</xdr:col>
      <xdr:colOff>17861</xdr:colOff>
      <xdr:row>1568</xdr:row>
      <xdr:rowOff>35719</xdr:rowOff>
    </xdr:to>
    <xdr:cxnSp macro="">
      <xdr:nvCxnSpPr>
        <xdr:cNvPr id="1969" name="Straight Connector 1968"/>
        <xdr:cNvCxnSpPr/>
      </xdr:nvCxnSpPr>
      <xdr:spPr>
        <a:xfrm flipH="1">
          <a:off x="2849796" y="293167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1558</xdr:row>
      <xdr:rowOff>41673</xdr:rowOff>
    </xdr:from>
    <xdr:to>
      <xdr:col>4</xdr:col>
      <xdr:colOff>12211</xdr:colOff>
      <xdr:row>1561</xdr:row>
      <xdr:rowOff>0</xdr:rowOff>
    </xdr:to>
    <xdr:cxnSp macro="">
      <xdr:nvCxnSpPr>
        <xdr:cNvPr id="1976" name="Straight Connector 1975"/>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1568</xdr:row>
      <xdr:rowOff>41673</xdr:rowOff>
    </xdr:from>
    <xdr:to>
      <xdr:col>4</xdr:col>
      <xdr:colOff>12211</xdr:colOff>
      <xdr:row>1571</xdr:row>
      <xdr:rowOff>0</xdr:rowOff>
    </xdr:to>
    <xdr:cxnSp macro="">
      <xdr:nvCxnSpPr>
        <xdr:cNvPr id="1977" name="Straight Connector 1976"/>
        <xdr:cNvCxnSpPr/>
      </xdr:nvCxnSpPr>
      <xdr:spPr>
        <a:xfrm flipH="1" flipV="1">
          <a:off x="3507441" y="293176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1568</xdr:row>
      <xdr:rowOff>41673</xdr:rowOff>
    </xdr:from>
    <xdr:to>
      <xdr:col>4</xdr:col>
      <xdr:colOff>12211</xdr:colOff>
      <xdr:row>1571</xdr:row>
      <xdr:rowOff>0</xdr:rowOff>
    </xdr:to>
    <xdr:cxnSp macro="">
      <xdr:nvCxnSpPr>
        <xdr:cNvPr id="1978" name="Straight Connector 1977"/>
        <xdr:cNvCxnSpPr/>
      </xdr:nvCxnSpPr>
      <xdr:spPr>
        <a:xfrm flipH="1" flipV="1">
          <a:off x="3507441" y="293176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35719</xdr:rowOff>
    </xdr:from>
    <xdr:to>
      <xdr:col>3</xdr:col>
      <xdr:colOff>428625</xdr:colOff>
      <xdr:row>1575</xdr:row>
      <xdr:rowOff>178594</xdr:rowOff>
    </xdr:to>
    <xdr:cxnSp macro="">
      <xdr:nvCxnSpPr>
        <xdr:cNvPr id="1979" name="Straight Connector 1978"/>
        <xdr:cNvCxnSpPr/>
      </xdr:nvCxnSpPr>
      <xdr:spPr>
        <a:xfrm>
          <a:off x="3218890" y="29488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1575</xdr:row>
      <xdr:rowOff>95249</xdr:rowOff>
    </xdr:from>
    <xdr:to>
      <xdr:col>3</xdr:col>
      <xdr:colOff>571500</xdr:colOff>
      <xdr:row>1575</xdr:row>
      <xdr:rowOff>154780</xdr:rowOff>
    </xdr:to>
    <xdr:cxnSp macro="">
      <xdr:nvCxnSpPr>
        <xdr:cNvPr id="1980" name="Straight Connector 1979"/>
        <xdr:cNvCxnSpPr/>
      </xdr:nvCxnSpPr>
      <xdr:spPr>
        <a:xfrm flipH="1">
          <a:off x="3218890" y="29532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47625</xdr:rowOff>
    </xdr:from>
    <xdr:to>
      <xdr:col>3</xdr:col>
      <xdr:colOff>595313</xdr:colOff>
      <xdr:row>1573</xdr:row>
      <xdr:rowOff>119062</xdr:rowOff>
    </xdr:to>
    <xdr:cxnSp macro="">
      <xdr:nvCxnSpPr>
        <xdr:cNvPr id="1981" name="Straight Connector 1980"/>
        <xdr:cNvCxnSpPr/>
      </xdr:nvCxnSpPr>
      <xdr:spPr>
        <a:xfrm>
          <a:off x="3218890" y="29489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35719</xdr:rowOff>
    </xdr:from>
    <xdr:to>
      <xdr:col>3</xdr:col>
      <xdr:colOff>428625</xdr:colOff>
      <xdr:row>1575</xdr:row>
      <xdr:rowOff>178594</xdr:rowOff>
    </xdr:to>
    <xdr:cxnSp macro="">
      <xdr:nvCxnSpPr>
        <xdr:cNvPr id="1982" name="Straight Connector 1981"/>
        <xdr:cNvCxnSpPr/>
      </xdr:nvCxnSpPr>
      <xdr:spPr>
        <a:xfrm>
          <a:off x="3218890" y="29488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1575</xdr:row>
      <xdr:rowOff>95249</xdr:rowOff>
    </xdr:from>
    <xdr:to>
      <xdr:col>3</xdr:col>
      <xdr:colOff>571500</xdr:colOff>
      <xdr:row>1575</xdr:row>
      <xdr:rowOff>154780</xdr:rowOff>
    </xdr:to>
    <xdr:cxnSp macro="">
      <xdr:nvCxnSpPr>
        <xdr:cNvPr id="1983" name="Straight Connector 1982"/>
        <xdr:cNvCxnSpPr/>
      </xdr:nvCxnSpPr>
      <xdr:spPr>
        <a:xfrm flipH="1">
          <a:off x="3218890" y="29532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47625</xdr:rowOff>
    </xdr:from>
    <xdr:to>
      <xdr:col>3</xdr:col>
      <xdr:colOff>595313</xdr:colOff>
      <xdr:row>1573</xdr:row>
      <xdr:rowOff>119062</xdr:rowOff>
    </xdr:to>
    <xdr:cxnSp macro="">
      <xdr:nvCxnSpPr>
        <xdr:cNvPr id="1984" name="Straight Connector 1983"/>
        <xdr:cNvCxnSpPr/>
      </xdr:nvCxnSpPr>
      <xdr:spPr>
        <a:xfrm>
          <a:off x="3218890" y="29489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1622</xdr:row>
      <xdr:rowOff>89297</xdr:rowOff>
    </xdr:from>
    <xdr:to>
      <xdr:col>3</xdr:col>
      <xdr:colOff>178594</xdr:colOff>
      <xdr:row>1623</xdr:row>
      <xdr:rowOff>59531</xdr:rowOff>
    </xdr:to>
    <xdr:cxnSp macro="">
      <xdr:nvCxnSpPr>
        <xdr:cNvPr id="1985" name="Straight Connector 1984"/>
        <xdr:cNvCxnSpPr/>
      </xdr:nvCxnSpPr>
      <xdr:spPr>
        <a:xfrm>
          <a:off x="2849796" y="297224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1622</xdr:row>
      <xdr:rowOff>35719</xdr:rowOff>
    </xdr:from>
    <xdr:to>
      <xdr:col>3</xdr:col>
      <xdr:colOff>285750</xdr:colOff>
      <xdr:row>1622</xdr:row>
      <xdr:rowOff>154781</xdr:rowOff>
    </xdr:to>
    <xdr:cxnSp macro="">
      <xdr:nvCxnSpPr>
        <xdr:cNvPr id="1986" name="Straight Connector 1985"/>
        <xdr:cNvCxnSpPr/>
      </xdr:nvCxnSpPr>
      <xdr:spPr>
        <a:xfrm>
          <a:off x="2885515" y="297170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1622</xdr:row>
      <xdr:rowOff>44824</xdr:rowOff>
    </xdr:from>
    <xdr:to>
      <xdr:col>3</xdr:col>
      <xdr:colOff>67235</xdr:colOff>
      <xdr:row>1624</xdr:row>
      <xdr:rowOff>156883</xdr:rowOff>
    </xdr:to>
    <xdr:cxnSp macro="">
      <xdr:nvCxnSpPr>
        <xdr:cNvPr id="1987" name="Straight Connector 1986"/>
        <xdr:cNvCxnSpPr/>
      </xdr:nvCxnSpPr>
      <xdr:spPr>
        <a:xfrm>
          <a:off x="2857500" y="297180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1624</xdr:row>
      <xdr:rowOff>166690</xdr:rowOff>
    </xdr:from>
    <xdr:to>
      <xdr:col>4</xdr:col>
      <xdr:colOff>29308</xdr:colOff>
      <xdr:row>1624</xdr:row>
      <xdr:rowOff>168519</xdr:rowOff>
    </xdr:to>
    <xdr:cxnSp macro="">
      <xdr:nvCxnSpPr>
        <xdr:cNvPr id="1988" name="Straight Connector 1987"/>
        <xdr:cNvCxnSpPr/>
      </xdr:nvCxnSpPr>
      <xdr:spPr>
        <a:xfrm>
          <a:off x="2849796" y="297682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1622</xdr:row>
      <xdr:rowOff>41673</xdr:rowOff>
    </xdr:from>
    <xdr:to>
      <xdr:col>4</xdr:col>
      <xdr:colOff>12211</xdr:colOff>
      <xdr:row>1625</xdr:row>
      <xdr:rowOff>0</xdr:rowOff>
    </xdr:to>
    <xdr:cxnSp macro="">
      <xdr:nvCxnSpPr>
        <xdr:cNvPr id="1989" name="Straight Connector 1988"/>
        <xdr:cNvCxnSpPr/>
      </xdr:nvCxnSpPr>
      <xdr:spPr>
        <a:xfrm flipH="1" flipV="1">
          <a:off x="3507441" y="29717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1622</xdr:row>
      <xdr:rowOff>32918</xdr:rowOff>
    </xdr:from>
    <xdr:to>
      <xdr:col>4</xdr:col>
      <xdr:colOff>17861</xdr:colOff>
      <xdr:row>1622</xdr:row>
      <xdr:rowOff>35719</xdr:rowOff>
    </xdr:to>
    <xdr:cxnSp macro="">
      <xdr:nvCxnSpPr>
        <xdr:cNvPr id="1990" name="Straight Connector 1989"/>
        <xdr:cNvCxnSpPr/>
      </xdr:nvCxnSpPr>
      <xdr:spPr>
        <a:xfrm flipH="1">
          <a:off x="2849796" y="297168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1627</xdr:row>
      <xdr:rowOff>89297</xdr:rowOff>
    </xdr:from>
    <xdr:to>
      <xdr:col>3</xdr:col>
      <xdr:colOff>178594</xdr:colOff>
      <xdr:row>1628</xdr:row>
      <xdr:rowOff>59531</xdr:rowOff>
    </xdr:to>
    <xdr:cxnSp macro="">
      <xdr:nvCxnSpPr>
        <xdr:cNvPr id="1991" name="Straight Connector 1990"/>
        <xdr:cNvCxnSpPr/>
      </xdr:nvCxnSpPr>
      <xdr:spPr>
        <a:xfrm>
          <a:off x="2849796" y="29817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1627</xdr:row>
      <xdr:rowOff>35719</xdr:rowOff>
    </xdr:from>
    <xdr:to>
      <xdr:col>3</xdr:col>
      <xdr:colOff>285750</xdr:colOff>
      <xdr:row>1627</xdr:row>
      <xdr:rowOff>154781</xdr:rowOff>
    </xdr:to>
    <xdr:cxnSp macro="">
      <xdr:nvCxnSpPr>
        <xdr:cNvPr id="1992" name="Straight Connector 1991"/>
        <xdr:cNvCxnSpPr/>
      </xdr:nvCxnSpPr>
      <xdr:spPr>
        <a:xfrm>
          <a:off x="2885515" y="29812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1627</xdr:row>
      <xdr:rowOff>44824</xdr:rowOff>
    </xdr:from>
    <xdr:to>
      <xdr:col>3</xdr:col>
      <xdr:colOff>67235</xdr:colOff>
      <xdr:row>1629</xdr:row>
      <xdr:rowOff>156883</xdr:rowOff>
    </xdr:to>
    <xdr:cxnSp macro="">
      <xdr:nvCxnSpPr>
        <xdr:cNvPr id="1993" name="Straight Connector 1992"/>
        <xdr:cNvCxnSpPr/>
      </xdr:nvCxnSpPr>
      <xdr:spPr>
        <a:xfrm>
          <a:off x="2857500" y="29813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1629</xdr:row>
      <xdr:rowOff>166690</xdr:rowOff>
    </xdr:from>
    <xdr:to>
      <xdr:col>4</xdr:col>
      <xdr:colOff>29308</xdr:colOff>
      <xdr:row>1629</xdr:row>
      <xdr:rowOff>168519</xdr:rowOff>
    </xdr:to>
    <xdr:cxnSp macro="">
      <xdr:nvCxnSpPr>
        <xdr:cNvPr id="1994" name="Straight Connector 1993"/>
        <xdr:cNvCxnSpPr/>
      </xdr:nvCxnSpPr>
      <xdr:spPr>
        <a:xfrm>
          <a:off x="2849796" y="29863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1627</xdr:row>
      <xdr:rowOff>41673</xdr:rowOff>
    </xdr:from>
    <xdr:to>
      <xdr:col>4</xdr:col>
      <xdr:colOff>12211</xdr:colOff>
      <xdr:row>1630</xdr:row>
      <xdr:rowOff>0</xdr:rowOff>
    </xdr:to>
    <xdr:cxnSp macro="">
      <xdr:nvCxnSpPr>
        <xdr:cNvPr id="1995" name="Straight Connector 1994"/>
        <xdr:cNvCxnSpPr/>
      </xdr:nvCxnSpPr>
      <xdr:spPr>
        <a:xfrm flipH="1" flipV="1">
          <a:off x="3507441" y="29812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1627</xdr:row>
      <xdr:rowOff>32918</xdr:rowOff>
    </xdr:from>
    <xdr:to>
      <xdr:col>4</xdr:col>
      <xdr:colOff>17861</xdr:colOff>
      <xdr:row>1627</xdr:row>
      <xdr:rowOff>35719</xdr:rowOff>
    </xdr:to>
    <xdr:cxnSp macro="">
      <xdr:nvCxnSpPr>
        <xdr:cNvPr id="1996" name="Straight Connector 1995"/>
        <xdr:cNvCxnSpPr/>
      </xdr:nvCxnSpPr>
      <xdr:spPr>
        <a:xfrm flipH="1">
          <a:off x="2849796" y="29812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1632</xdr:row>
      <xdr:rowOff>89297</xdr:rowOff>
    </xdr:from>
    <xdr:to>
      <xdr:col>3</xdr:col>
      <xdr:colOff>178594</xdr:colOff>
      <xdr:row>1633</xdr:row>
      <xdr:rowOff>59531</xdr:rowOff>
    </xdr:to>
    <xdr:cxnSp macro="">
      <xdr:nvCxnSpPr>
        <xdr:cNvPr id="1997" name="Straight Connector 1996"/>
        <xdr:cNvCxnSpPr/>
      </xdr:nvCxnSpPr>
      <xdr:spPr>
        <a:xfrm>
          <a:off x="2849796" y="299129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1632</xdr:row>
      <xdr:rowOff>35719</xdr:rowOff>
    </xdr:from>
    <xdr:to>
      <xdr:col>3</xdr:col>
      <xdr:colOff>285750</xdr:colOff>
      <xdr:row>1632</xdr:row>
      <xdr:rowOff>154781</xdr:rowOff>
    </xdr:to>
    <xdr:cxnSp macro="">
      <xdr:nvCxnSpPr>
        <xdr:cNvPr id="1998" name="Straight Connector 1997"/>
        <xdr:cNvCxnSpPr/>
      </xdr:nvCxnSpPr>
      <xdr:spPr>
        <a:xfrm>
          <a:off x="2885515" y="299075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1632</xdr:row>
      <xdr:rowOff>44824</xdr:rowOff>
    </xdr:from>
    <xdr:to>
      <xdr:col>3</xdr:col>
      <xdr:colOff>67235</xdr:colOff>
      <xdr:row>1634</xdr:row>
      <xdr:rowOff>156883</xdr:rowOff>
    </xdr:to>
    <xdr:cxnSp macro="">
      <xdr:nvCxnSpPr>
        <xdr:cNvPr id="1999" name="Straight Connector 1998"/>
        <xdr:cNvCxnSpPr/>
      </xdr:nvCxnSpPr>
      <xdr:spPr>
        <a:xfrm>
          <a:off x="2857500" y="299085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1634</xdr:row>
      <xdr:rowOff>166690</xdr:rowOff>
    </xdr:from>
    <xdr:to>
      <xdr:col>4</xdr:col>
      <xdr:colOff>29308</xdr:colOff>
      <xdr:row>1634</xdr:row>
      <xdr:rowOff>168519</xdr:rowOff>
    </xdr:to>
    <xdr:cxnSp macro="">
      <xdr:nvCxnSpPr>
        <xdr:cNvPr id="2000" name="Straight Connector 1999"/>
        <xdr:cNvCxnSpPr/>
      </xdr:nvCxnSpPr>
      <xdr:spPr>
        <a:xfrm>
          <a:off x="2849796" y="299587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1632</xdr:row>
      <xdr:rowOff>41673</xdr:rowOff>
    </xdr:from>
    <xdr:to>
      <xdr:col>4</xdr:col>
      <xdr:colOff>12211</xdr:colOff>
      <xdr:row>1635</xdr:row>
      <xdr:rowOff>0</xdr:rowOff>
    </xdr:to>
    <xdr:cxnSp macro="">
      <xdr:nvCxnSpPr>
        <xdr:cNvPr id="2001" name="Straight Connector 2000"/>
        <xdr:cNvCxnSpPr/>
      </xdr:nvCxnSpPr>
      <xdr:spPr>
        <a:xfrm flipH="1" flipV="1">
          <a:off x="3507441" y="29908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1632</xdr:row>
      <xdr:rowOff>32918</xdr:rowOff>
    </xdr:from>
    <xdr:to>
      <xdr:col>4</xdr:col>
      <xdr:colOff>17861</xdr:colOff>
      <xdr:row>1632</xdr:row>
      <xdr:rowOff>35719</xdr:rowOff>
    </xdr:to>
    <xdr:cxnSp macro="">
      <xdr:nvCxnSpPr>
        <xdr:cNvPr id="2002" name="Straight Connector 2001"/>
        <xdr:cNvCxnSpPr/>
      </xdr:nvCxnSpPr>
      <xdr:spPr>
        <a:xfrm flipH="1">
          <a:off x="2849796" y="299073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1622</xdr:row>
      <xdr:rowOff>41673</xdr:rowOff>
    </xdr:from>
    <xdr:to>
      <xdr:col>4</xdr:col>
      <xdr:colOff>12211</xdr:colOff>
      <xdr:row>1625</xdr:row>
      <xdr:rowOff>0</xdr:rowOff>
    </xdr:to>
    <xdr:cxnSp macro="">
      <xdr:nvCxnSpPr>
        <xdr:cNvPr id="2003" name="Straight Connector 2002"/>
        <xdr:cNvCxnSpPr/>
      </xdr:nvCxnSpPr>
      <xdr:spPr>
        <a:xfrm flipH="1" flipV="1">
          <a:off x="3507441" y="29717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1632</xdr:row>
      <xdr:rowOff>41673</xdr:rowOff>
    </xdr:from>
    <xdr:to>
      <xdr:col>4</xdr:col>
      <xdr:colOff>12211</xdr:colOff>
      <xdr:row>1635</xdr:row>
      <xdr:rowOff>0</xdr:rowOff>
    </xdr:to>
    <xdr:cxnSp macro="">
      <xdr:nvCxnSpPr>
        <xdr:cNvPr id="2004" name="Straight Connector 2003"/>
        <xdr:cNvCxnSpPr/>
      </xdr:nvCxnSpPr>
      <xdr:spPr>
        <a:xfrm flipH="1" flipV="1">
          <a:off x="3507441" y="29908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1632</xdr:row>
      <xdr:rowOff>41673</xdr:rowOff>
    </xdr:from>
    <xdr:to>
      <xdr:col>4</xdr:col>
      <xdr:colOff>12211</xdr:colOff>
      <xdr:row>1635</xdr:row>
      <xdr:rowOff>0</xdr:rowOff>
    </xdr:to>
    <xdr:cxnSp macro="">
      <xdr:nvCxnSpPr>
        <xdr:cNvPr id="2005" name="Straight Connector 2004"/>
        <xdr:cNvCxnSpPr/>
      </xdr:nvCxnSpPr>
      <xdr:spPr>
        <a:xfrm flipH="1" flipV="1">
          <a:off x="3507441" y="29908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35719</xdr:rowOff>
    </xdr:from>
    <xdr:to>
      <xdr:col>3</xdr:col>
      <xdr:colOff>428625</xdr:colOff>
      <xdr:row>1639</xdr:row>
      <xdr:rowOff>178594</xdr:rowOff>
    </xdr:to>
    <xdr:cxnSp macro="">
      <xdr:nvCxnSpPr>
        <xdr:cNvPr id="2006" name="Straight Connector 2005"/>
        <xdr:cNvCxnSpPr/>
      </xdr:nvCxnSpPr>
      <xdr:spPr>
        <a:xfrm>
          <a:off x="3218890" y="300028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1639</xdr:row>
      <xdr:rowOff>95249</xdr:rowOff>
    </xdr:from>
    <xdr:to>
      <xdr:col>3</xdr:col>
      <xdr:colOff>571500</xdr:colOff>
      <xdr:row>1639</xdr:row>
      <xdr:rowOff>154780</xdr:rowOff>
    </xdr:to>
    <xdr:cxnSp macro="">
      <xdr:nvCxnSpPr>
        <xdr:cNvPr id="2007" name="Straight Connector 2006"/>
        <xdr:cNvCxnSpPr/>
      </xdr:nvCxnSpPr>
      <xdr:spPr>
        <a:xfrm flipH="1">
          <a:off x="3218890" y="300468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47625</xdr:rowOff>
    </xdr:from>
    <xdr:to>
      <xdr:col>3</xdr:col>
      <xdr:colOff>595313</xdr:colOff>
      <xdr:row>1637</xdr:row>
      <xdr:rowOff>119062</xdr:rowOff>
    </xdr:to>
    <xdr:cxnSp macro="">
      <xdr:nvCxnSpPr>
        <xdr:cNvPr id="2008" name="Straight Connector 2007"/>
        <xdr:cNvCxnSpPr/>
      </xdr:nvCxnSpPr>
      <xdr:spPr>
        <a:xfrm>
          <a:off x="3218890" y="300040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35719</xdr:rowOff>
    </xdr:from>
    <xdr:to>
      <xdr:col>3</xdr:col>
      <xdr:colOff>428625</xdr:colOff>
      <xdr:row>1639</xdr:row>
      <xdr:rowOff>178594</xdr:rowOff>
    </xdr:to>
    <xdr:cxnSp macro="">
      <xdr:nvCxnSpPr>
        <xdr:cNvPr id="2009" name="Straight Connector 2008"/>
        <xdr:cNvCxnSpPr/>
      </xdr:nvCxnSpPr>
      <xdr:spPr>
        <a:xfrm>
          <a:off x="3218890" y="300028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1639</xdr:row>
      <xdr:rowOff>95249</xdr:rowOff>
    </xdr:from>
    <xdr:to>
      <xdr:col>3</xdr:col>
      <xdr:colOff>571500</xdr:colOff>
      <xdr:row>1639</xdr:row>
      <xdr:rowOff>154780</xdr:rowOff>
    </xdr:to>
    <xdr:cxnSp macro="">
      <xdr:nvCxnSpPr>
        <xdr:cNvPr id="2010" name="Straight Connector 2009"/>
        <xdr:cNvCxnSpPr/>
      </xdr:nvCxnSpPr>
      <xdr:spPr>
        <a:xfrm flipH="1">
          <a:off x="3218890" y="300468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47625</xdr:rowOff>
    </xdr:from>
    <xdr:to>
      <xdr:col>3</xdr:col>
      <xdr:colOff>595313</xdr:colOff>
      <xdr:row>1637</xdr:row>
      <xdr:rowOff>119062</xdr:rowOff>
    </xdr:to>
    <xdr:cxnSp macro="">
      <xdr:nvCxnSpPr>
        <xdr:cNvPr id="2011" name="Straight Connector 2010"/>
        <xdr:cNvCxnSpPr/>
      </xdr:nvCxnSpPr>
      <xdr:spPr>
        <a:xfrm>
          <a:off x="3218890" y="300040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1662</xdr:row>
      <xdr:rowOff>89297</xdr:rowOff>
    </xdr:from>
    <xdr:to>
      <xdr:col>3</xdr:col>
      <xdr:colOff>178594</xdr:colOff>
      <xdr:row>1663</xdr:row>
      <xdr:rowOff>59531</xdr:rowOff>
    </xdr:to>
    <xdr:cxnSp macro="">
      <xdr:nvCxnSpPr>
        <xdr:cNvPr id="2012" name="Straight Connector 2011"/>
        <xdr:cNvCxnSpPr/>
      </xdr:nvCxnSpPr>
      <xdr:spPr>
        <a:xfrm>
          <a:off x="2849796" y="309797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1662</xdr:row>
      <xdr:rowOff>35719</xdr:rowOff>
    </xdr:from>
    <xdr:to>
      <xdr:col>3</xdr:col>
      <xdr:colOff>285750</xdr:colOff>
      <xdr:row>1662</xdr:row>
      <xdr:rowOff>154781</xdr:rowOff>
    </xdr:to>
    <xdr:cxnSp macro="">
      <xdr:nvCxnSpPr>
        <xdr:cNvPr id="2013" name="Straight Connector 2012"/>
        <xdr:cNvCxnSpPr/>
      </xdr:nvCxnSpPr>
      <xdr:spPr>
        <a:xfrm>
          <a:off x="2885515" y="309743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1662</xdr:row>
      <xdr:rowOff>44824</xdr:rowOff>
    </xdr:from>
    <xdr:to>
      <xdr:col>3</xdr:col>
      <xdr:colOff>67235</xdr:colOff>
      <xdr:row>1664</xdr:row>
      <xdr:rowOff>156883</xdr:rowOff>
    </xdr:to>
    <xdr:cxnSp macro="">
      <xdr:nvCxnSpPr>
        <xdr:cNvPr id="2014" name="Straight Connector 2013"/>
        <xdr:cNvCxnSpPr/>
      </xdr:nvCxnSpPr>
      <xdr:spPr>
        <a:xfrm>
          <a:off x="2857500" y="309753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1664</xdr:row>
      <xdr:rowOff>166690</xdr:rowOff>
    </xdr:from>
    <xdr:to>
      <xdr:col>4</xdr:col>
      <xdr:colOff>29308</xdr:colOff>
      <xdr:row>1664</xdr:row>
      <xdr:rowOff>168519</xdr:rowOff>
    </xdr:to>
    <xdr:cxnSp macro="">
      <xdr:nvCxnSpPr>
        <xdr:cNvPr id="2015" name="Straight Connector 2014"/>
        <xdr:cNvCxnSpPr/>
      </xdr:nvCxnSpPr>
      <xdr:spPr>
        <a:xfrm>
          <a:off x="2849796" y="310255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1662</xdr:row>
      <xdr:rowOff>41673</xdr:rowOff>
    </xdr:from>
    <xdr:to>
      <xdr:col>4</xdr:col>
      <xdr:colOff>12211</xdr:colOff>
      <xdr:row>1665</xdr:row>
      <xdr:rowOff>0</xdr:rowOff>
    </xdr:to>
    <xdr:cxnSp macro="">
      <xdr:nvCxnSpPr>
        <xdr:cNvPr id="2016" name="Straight Connector 2015"/>
        <xdr:cNvCxnSpPr/>
      </xdr:nvCxnSpPr>
      <xdr:spPr>
        <a:xfrm flipH="1" flipV="1">
          <a:off x="3507441" y="309749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1662</xdr:row>
      <xdr:rowOff>32918</xdr:rowOff>
    </xdr:from>
    <xdr:to>
      <xdr:col>4</xdr:col>
      <xdr:colOff>17861</xdr:colOff>
      <xdr:row>1662</xdr:row>
      <xdr:rowOff>35719</xdr:rowOff>
    </xdr:to>
    <xdr:cxnSp macro="">
      <xdr:nvCxnSpPr>
        <xdr:cNvPr id="2017" name="Straight Connector 2016"/>
        <xdr:cNvCxnSpPr/>
      </xdr:nvCxnSpPr>
      <xdr:spPr>
        <a:xfrm flipH="1">
          <a:off x="2849796" y="309741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1667</xdr:row>
      <xdr:rowOff>89297</xdr:rowOff>
    </xdr:from>
    <xdr:to>
      <xdr:col>3</xdr:col>
      <xdr:colOff>178594</xdr:colOff>
      <xdr:row>1668</xdr:row>
      <xdr:rowOff>59531</xdr:rowOff>
    </xdr:to>
    <xdr:cxnSp macro="">
      <xdr:nvCxnSpPr>
        <xdr:cNvPr id="2018" name="Straight Connector 2017"/>
        <xdr:cNvCxnSpPr/>
      </xdr:nvCxnSpPr>
      <xdr:spPr>
        <a:xfrm>
          <a:off x="2849796" y="310749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1667</xdr:row>
      <xdr:rowOff>35719</xdr:rowOff>
    </xdr:from>
    <xdr:to>
      <xdr:col>3</xdr:col>
      <xdr:colOff>285750</xdr:colOff>
      <xdr:row>1667</xdr:row>
      <xdr:rowOff>154781</xdr:rowOff>
    </xdr:to>
    <xdr:cxnSp macro="">
      <xdr:nvCxnSpPr>
        <xdr:cNvPr id="2019" name="Straight Connector 2018"/>
        <xdr:cNvCxnSpPr/>
      </xdr:nvCxnSpPr>
      <xdr:spPr>
        <a:xfrm>
          <a:off x="2885515" y="310696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1667</xdr:row>
      <xdr:rowOff>44824</xdr:rowOff>
    </xdr:from>
    <xdr:to>
      <xdr:col>3</xdr:col>
      <xdr:colOff>67235</xdr:colOff>
      <xdr:row>1669</xdr:row>
      <xdr:rowOff>156883</xdr:rowOff>
    </xdr:to>
    <xdr:cxnSp macro="">
      <xdr:nvCxnSpPr>
        <xdr:cNvPr id="2020" name="Straight Connector 2019"/>
        <xdr:cNvCxnSpPr/>
      </xdr:nvCxnSpPr>
      <xdr:spPr>
        <a:xfrm>
          <a:off x="2857500" y="310705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1669</xdr:row>
      <xdr:rowOff>166690</xdr:rowOff>
    </xdr:from>
    <xdr:to>
      <xdr:col>4</xdr:col>
      <xdr:colOff>29308</xdr:colOff>
      <xdr:row>1669</xdr:row>
      <xdr:rowOff>168519</xdr:rowOff>
    </xdr:to>
    <xdr:cxnSp macro="">
      <xdr:nvCxnSpPr>
        <xdr:cNvPr id="2021" name="Straight Connector 2020"/>
        <xdr:cNvCxnSpPr/>
      </xdr:nvCxnSpPr>
      <xdr:spPr>
        <a:xfrm>
          <a:off x="2849796" y="311208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1667</xdr:row>
      <xdr:rowOff>41673</xdr:rowOff>
    </xdr:from>
    <xdr:to>
      <xdr:col>4</xdr:col>
      <xdr:colOff>12211</xdr:colOff>
      <xdr:row>1670</xdr:row>
      <xdr:rowOff>0</xdr:rowOff>
    </xdr:to>
    <xdr:cxnSp macro="">
      <xdr:nvCxnSpPr>
        <xdr:cNvPr id="2022" name="Straight Connector 2021"/>
        <xdr:cNvCxnSpPr/>
      </xdr:nvCxnSpPr>
      <xdr:spPr>
        <a:xfrm flipH="1" flipV="1">
          <a:off x="3507441" y="310702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1667</xdr:row>
      <xdr:rowOff>32918</xdr:rowOff>
    </xdr:from>
    <xdr:to>
      <xdr:col>4</xdr:col>
      <xdr:colOff>17861</xdr:colOff>
      <xdr:row>1667</xdr:row>
      <xdr:rowOff>35719</xdr:rowOff>
    </xdr:to>
    <xdr:cxnSp macro="">
      <xdr:nvCxnSpPr>
        <xdr:cNvPr id="2023" name="Straight Connector 2022"/>
        <xdr:cNvCxnSpPr/>
      </xdr:nvCxnSpPr>
      <xdr:spPr>
        <a:xfrm flipH="1">
          <a:off x="2849796" y="310693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1672</xdr:row>
      <xdr:rowOff>89297</xdr:rowOff>
    </xdr:from>
    <xdr:to>
      <xdr:col>3</xdr:col>
      <xdr:colOff>178594</xdr:colOff>
      <xdr:row>1673</xdr:row>
      <xdr:rowOff>59531</xdr:rowOff>
    </xdr:to>
    <xdr:cxnSp macro="">
      <xdr:nvCxnSpPr>
        <xdr:cNvPr id="2024" name="Straight Connector 2023"/>
        <xdr:cNvCxnSpPr/>
      </xdr:nvCxnSpPr>
      <xdr:spPr>
        <a:xfrm>
          <a:off x="2849796" y="31170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1672</xdr:row>
      <xdr:rowOff>35719</xdr:rowOff>
    </xdr:from>
    <xdr:to>
      <xdr:col>3</xdr:col>
      <xdr:colOff>285750</xdr:colOff>
      <xdr:row>1672</xdr:row>
      <xdr:rowOff>154781</xdr:rowOff>
    </xdr:to>
    <xdr:cxnSp macro="">
      <xdr:nvCxnSpPr>
        <xdr:cNvPr id="2025" name="Straight Connector 2024"/>
        <xdr:cNvCxnSpPr/>
      </xdr:nvCxnSpPr>
      <xdr:spPr>
        <a:xfrm>
          <a:off x="2885515" y="31164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1672</xdr:row>
      <xdr:rowOff>44824</xdr:rowOff>
    </xdr:from>
    <xdr:to>
      <xdr:col>3</xdr:col>
      <xdr:colOff>67235</xdr:colOff>
      <xdr:row>1674</xdr:row>
      <xdr:rowOff>156883</xdr:rowOff>
    </xdr:to>
    <xdr:cxnSp macro="">
      <xdr:nvCxnSpPr>
        <xdr:cNvPr id="2026" name="Straight Connector 2025"/>
        <xdr:cNvCxnSpPr/>
      </xdr:nvCxnSpPr>
      <xdr:spPr>
        <a:xfrm>
          <a:off x="2857500" y="31165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1674</xdr:row>
      <xdr:rowOff>166690</xdr:rowOff>
    </xdr:from>
    <xdr:to>
      <xdr:col>4</xdr:col>
      <xdr:colOff>29308</xdr:colOff>
      <xdr:row>1674</xdr:row>
      <xdr:rowOff>168519</xdr:rowOff>
    </xdr:to>
    <xdr:cxnSp macro="">
      <xdr:nvCxnSpPr>
        <xdr:cNvPr id="2027" name="Straight Connector 2026"/>
        <xdr:cNvCxnSpPr/>
      </xdr:nvCxnSpPr>
      <xdr:spPr>
        <a:xfrm>
          <a:off x="2849796" y="31216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1672</xdr:row>
      <xdr:rowOff>41673</xdr:rowOff>
    </xdr:from>
    <xdr:to>
      <xdr:col>4</xdr:col>
      <xdr:colOff>12211</xdr:colOff>
      <xdr:row>1675</xdr:row>
      <xdr:rowOff>0</xdr:rowOff>
    </xdr:to>
    <xdr:cxnSp macro="">
      <xdr:nvCxnSpPr>
        <xdr:cNvPr id="2028" name="Straight Connector 2027"/>
        <xdr:cNvCxnSpPr/>
      </xdr:nvCxnSpPr>
      <xdr:spPr>
        <a:xfrm flipH="1" flipV="1">
          <a:off x="3507441" y="31165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1672</xdr:row>
      <xdr:rowOff>32918</xdr:rowOff>
    </xdr:from>
    <xdr:to>
      <xdr:col>4</xdr:col>
      <xdr:colOff>17861</xdr:colOff>
      <xdr:row>1672</xdr:row>
      <xdr:rowOff>35719</xdr:rowOff>
    </xdr:to>
    <xdr:cxnSp macro="">
      <xdr:nvCxnSpPr>
        <xdr:cNvPr id="2029" name="Straight Connector 2028"/>
        <xdr:cNvCxnSpPr/>
      </xdr:nvCxnSpPr>
      <xdr:spPr>
        <a:xfrm flipH="1">
          <a:off x="2849796" y="31164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1662</xdr:row>
      <xdr:rowOff>41673</xdr:rowOff>
    </xdr:from>
    <xdr:to>
      <xdr:col>4</xdr:col>
      <xdr:colOff>12211</xdr:colOff>
      <xdr:row>1665</xdr:row>
      <xdr:rowOff>0</xdr:rowOff>
    </xdr:to>
    <xdr:cxnSp macro="">
      <xdr:nvCxnSpPr>
        <xdr:cNvPr id="2030" name="Straight Connector 2029"/>
        <xdr:cNvCxnSpPr/>
      </xdr:nvCxnSpPr>
      <xdr:spPr>
        <a:xfrm flipH="1" flipV="1">
          <a:off x="3507441" y="309749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1672</xdr:row>
      <xdr:rowOff>41673</xdr:rowOff>
    </xdr:from>
    <xdr:to>
      <xdr:col>4</xdr:col>
      <xdr:colOff>12211</xdr:colOff>
      <xdr:row>1675</xdr:row>
      <xdr:rowOff>0</xdr:rowOff>
    </xdr:to>
    <xdr:cxnSp macro="">
      <xdr:nvCxnSpPr>
        <xdr:cNvPr id="2031" name="Straight Connector 2030"/>
        <xdr:cNvCxnSpPr/>
      </xdr:nvCxnSpPr>
      <xdr:spPr>
        <a:xfrm flipH="1" flipV="1">
          <a:off x="3507441" y="31165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1672</xdr:row>
      <xdr:rowOff>41673</xdr:rowOff>
    </xdr:from>
    <xdr:to>
      <xdr:col>4</xdr:col>
      <xdr:colOff>12211</xdr:colOff>
      <xdr:row>1675</xdr:row>
      <xdr:rowOff>0</xdr:rowOff>
    </xdr:to>
    <xdr:cxnSp macro="">
      <xdr:nvCxnSpPr>
        <xdr:cNvPr id="2032" name="Straight Connector 2031"/>
        <xdr:cNvCxnSpPr/>
      </xdr:nvCxnSpPr>
      <xdr:spPr>
        <a:xfrm flipH="1" flipV="1">
          <a:off x="3507441" y="31165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35719</xdr:rowOff>
    </xdr:from>
    <xdr:to>
      <xdr:col>3</xdr:col>
      <xdr:colOff>428625</xdr:colOff>
      <xdr:row>1679</xdr:row>
      <xdr:rowOff>178594</xdr:rowOff>
    </xdr:to>
    <xdr:cxnSp macro="">
      <xdr:nvCxnSpPr>
        <xdr:cNvPr id="2033" name="Straight Connector 2032"/>
        <xdr:cNvCxnSpPr/>
      </xdr:nvCxnSpPr>
      <xdr:spPr>
        <a:xfrm>
          <a:off x="3218890" y="312601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1679</xdr:row>
      <xdr:rowOff>95249</xdr:rowOff>
    </xdr:from>
    <xdr:to>
      <xdr:col>3</xdr:col>
      <xdr:colOff>571500</xdr:colOff>
      <xdr:row>1679</xdr:row>
      <xdr:rowOff>154780</xdr:rowOff>
    </xdr:to>
    <xdr:cxnSp macro="">
      <xdr:nvCxnSpPr>
        <xdr:cNvPr id="2034" name="Straight Connector 2033"/>
        <xdr:cNvCxnSpPr/>
      </xdr:nvCxnSpPr>
      <xdr:spPr>
        <a:xfrm flipH="1">
          <a:off x="3218890" y="313041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47625</xdr:rowOff>
    </xdr:from>
    <xdr:to>
      <xdr:col>3</xdr:col>
      <xdr:colOff>595313</xdr:colOff>
      <xdr:row>1677</xdr:row>
      <xdr:rowOff>119062</xdr:rowOff>
    </xdr:to>
    <xdr:cxnSp macro="">
      <xdr:nvCxnSpPr>
        <xdr:cNvPr id="2035" name="Straight Connector 2034"/>
        <xdr:cNvCxnSpPr/>
      </xdr:nvCxnSpPr>
      <xdr:spPr>
        <a:xfrm>
          <a:off x="3218890" y="312613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35719</xdr:rowOff>
    </xdr:from>
    <xdr:to>
      <xdr:col>3</xdr:col>
      <xdr:colOff>428625</xdr:colOff>
      <xdr:row>1679</xdr:row>
      <xdr:rowOff>178594</xdr:rowOff>
    </xdr:to>
    <xdr:cxnSp macro="">
      <xdr:nvCxnSpPr>
        <xdr:cNvPr id="2036" name="Straight Connector 2035"/>
        <xdr:cNvCxnSpPr/>
      </xdr:nvCxnSpPr>
      <xdr:spPr>
        <a:xfrm>
          <a:off x="3218890" y="312601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1679</xdr:row>
      <xdr:rowOff>95249</xdr:rowOff>
    </xdr:from>
    <xdr:to>
      <xdr:col>3</xdr:col>
      <xdr:colOff>571500</xdr:colOff>
      <xdr:row>1679</xdr:row>
      <xdr:rowOff>154780</xdr:rowOff>
    </xdr:to>
    <xdr:cxnSp macro="">
      <xdr:nvCxnSpPr>
        <xdr:cNvPr id="2037" name="Straight Connector 2036"/>
        <xdr:cNvCxnSpPr/>
      </xdr:nvCxnSpPr>
      <xdr:spPr>
        <a:xfrm flipH="1">
          <a:off x="3218890" y="313041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47625</xdr:rowOff>
    </xdr:from>
    <xdr:to>
      <xdr:col>3</xdr:col>
      <xdr:colOff>595313</xdr:colOff>
      <xdr:row>1677</xdr:row>
      <xdr:rowOff>119062</xdr:rowOff>
    </xdr:to>
    <xdr:cxnSp macro="">
      <xdr:nvCxnSpPr>
        <xdr:cNvPr id="2038" name="Straight Connector 2037"/>
        <xdr:cNvCxnSpPr/>
      </xdr:nvCxnSpPr>
      <xdr:spPr>
        <a:xfrm>
          <a:off x="3218890" y="312613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22411</xdr:colOff>
      <xdr:row>1649</xdr:row>
      <xdr:rowOff>33618</xdr:rowOff>
    </xdr:from>
    <xdr:to>
      <xdr:col>3</xdr:col>
      <xdr:colOff>683558</xdr:colOff>
      <xdr:row>1649</xdr:row>
      <xdr:rowOff>33618</xdr:rowOff>
    </xdr:to>
    <xdr:cxnSp macro="">
      <xdr:nvCxnSpPr>
        <xdr:cNvPr id="2040" name="Straight Connector 2039"/>
        <xdr:cNvCxnSpPr/>
      </xdr:nvCxnSpPr>
      <xdr:spPr>
        <a:xfrm flipH="1">
          <a:off x="2812676" y="314885294"/>
          <a:ext cx="661147"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22411</xdr:colOff>
      <xdr:row>1651</xdr:row>
      <xdr:rowOff>33618</xdr:rowOff>
    </xdr:from>
    <xdr:to>
      <xdr:col>3</xdr:col>
      <xdr:colOff>683558</xdr:colOff>
      <xdr:row>1651</xdr:row>
      <xdr:rowOff>33618</xdr:rowOff>
    </xdr:to>
    <xdr:cxnSp macro="">
      <xdr:nvCxnSpPr>
        <xdr:cNvPr id="2041" name="Straight Connector 2040"/>
        <xdr:cNvCxnSpPr/>
      </xdr:nvCxnSpPr>
      <xdr:spPr>
        <a:xfrm flipH="1">
          <a:off x="2812676" y="314885294"/>
          <a:ext cx="661147"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1584</xdr:row>
      <xdr:rowOff>89297</xdr:rowOff>
    </xdr:from>
    <xdr:to>
      <xdr:col>3</xdr:col>
      <xdr:colOff>178594</xdr:colOff>
      <xdr:row>1585</xdr:row>
      <xdr:rowOff>59531</xdr:rowOff>
    </xdr:to>
    <xdr:cxnSp macro="">
      <xdr:nvCxnSpPr>
        <xdr:cNvPr id="2042" name="Straight Connector 2041"/>
        <xdr:cNvCxnSpPr/>
      </xdr:nvCxnSpPr>
      <xdr:spPr>
        <a:xfrm>
          <a:off x="2849796" y="28369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1584</xdr:row>
      <xdr:rowOff>35719</xdr:rowOff>
    </xdr:from>
    <xdr:to>
      <xdr:col>3</xdr:col>
      <xdr:colOff>285750</xdr:colOff>
      <xdr:row>1584</xdr:row>
      <xdr:rowOff>154781</xdr:rowOff>
    </xdr:to>
    <xdr:cxnSp macro="">
      <xdr:nvCxnSpPr>
        <xdr:cNvPr id="2043" name="Straight Connector 2042"/>
        <xdr:cNvCxnSpPr/>
      </xdr:nvCxnSpPr>
      <xdr:spPr>
        <a:xfrm>
          <a:off x="2885515" y="28364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1584</xdr:row>
      <xdr:rowOff>44824</xdr:rowOff>
    </xdr:from>
    <xdr:to>
      <xdr:col>3</xdr:col>
      <xdr:colOff>67235</xdr:colOff>
      <xdr:row>1586</xdr:row>
      <xdr:rowOff>156883</xdr:rowOff>
    </xdr:to>
    <xdr:cxnSp macro="">
      <xdr:nvCxnSpPr>
        <xdr:cNvPr id="2044" name="Straight Connector 2043"/>
        <xdr:cNvCxnSpPr/>
      </xdr:nvCxnSpPr>
      <xdr:spPr>
        <a:xfrm>
          <a:off x="2857500" y="28365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1586</xdr:row>
      <xdr:rowOff>166690</xdr:rowOff>
    </xdr:from>
    <xdr:to>
      <xdr:col>4</xdr:col>
      <xdr:colOff>29308</xdr:colOff>
      <xdr:row>1586</xdr:row>
      <xdr:rowOff>168519</xdr:rowOff>
    </xdr:to>
    <xdr:cxnSp macro="">
      <xdr:nvCxnSpPr>
        <xdr:cNvPr id="2045" name="Straight Connector 2044"/>
        <xdr:cNvCxnSpPr/>
      </xdr:nvCxnSpPr>
      <xdr:spPr>
        <a:xfrm>
          <a:off x="2849796" y="28415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1584</xdr:row>
      <xdr:rowOff>41673</xdr:rowOff>
    </xdr:from>
    <xdr:to>
      <xdr:col>4</xdr:col>
      <xdr:colOff>12211</xdr:colOff>
      <xdr:row>1587</xdr:row>
      <xdr:rowOff>0</xdr:rowOff>
    </xdr:to>
    <xdr:cxnSp macro="">
      <xdr:nvCxnSpPr>
        <xdr:cNvPr id="2046" name="Straight Connector 2045"/>
        <xdr:cNvCxnSpPr/>
      </xdr:nvCxnSpPr>
      <xdr:spPr>
        <a:xfrm flipH="1" flipV="1">
          <a:off x="3507441" y="28365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1584</xdr:row>
      <xdr:rowOff>32918</xdr:rowOff>
    </xdr:from>
    <xdr:to>
      <xdr:col>4</xdr:col>
      <xdr:colOff>17861</xdr:colOff>
      <xdr:row>1584</xdr:row>
      <xdr:rowOff>35719</xdr:rowOff>
    </xdr:to>
    <xdr:cxnSp macro="">
      <xdr:nvCxnSpPr>
        <xdr:cNvPr id="2047" name="Straight Connector 2046"/>
        <xdr:cNvCxnSpPr/>
      </xdr:nvCxnSpPr>
      <xdr:spPr>
        <a:xfrm flipH="1">
          <a:off x="2849796" y="28364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1607</xdr:row>
      <xdr:rowOff>89297</xdr:rowOff>
    </xdr:from>
    <xdr:to>
      <xdr:col>3</xdr:col>
      <xdr:colOff>178594</xdr:colOff>
      <xdr:row>1608</xdr:row>
      <xdr:rowOff>59531</xdr:rowOff>
    </xdr:to>
    <xdr:cxnSp macro="">
      <xdr:nvCxnSpPr>
        <xdr:cNvPr id="2048" name="Straight Connector 2047"/>
        <xdr:cNvCxnSpPr/>
      </xdr:nvCxnSpPr>
      <xdr:spPr>
        <a:xfrm>
          <a:off x="2849796" y="28808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1607</xdr:row>
      <xdr:rowOff>35719</xdr:rowOff>
    </xdr:from>
    <xdr:to>
      <xdr:col>3</xdr:col>
      <xdr:colOff>285750</xdr:colOff>
      <xdr:row>1607</xdr:row>
      <xdr:rowOff>154781</xdr:rowOff>
    </xdr:to>
    <xdr:cxnSp macro="">
      <xdr:nvCxnSpPr>
        <xdr:cNvPr id="2049" name="Straight Connector 2048"/>
        <xdr:cNvCxnSpPr/>
      </xdr:nvCxnSpPr>
      <xdr:spPr>
        <a:xfrm>
          <a:off x="2885515" y="28802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1607</xdr:row>
      <xdr:rowOff>44824</xdr:rowOff>
    </xdr:from>
    <xdr:to>
      <xdr:col>3</xdr:col>
      <xdr:colOff>67235</xdr:colOff>
      <xdr:row>1609</xdr:row>
      <xdr:rowOff>156883</xdr:rowOff>
    </xdr:to>
    <xdr:cxnSp macro="">
      <xdr:nvCxnSpPr>
        <xdr:cNvPr id="2050" name="Straight Connector 2049"/>
        <xdr:cNvCxnSpPr/>
      </xdr:nvCxnSpPr>
      <xdr:spPr>
        <a:xfrm>
          <a:off x="2857500" y="28803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1609</xdr:row>
      <xdr:rowOff>166690</xdr:rowOff>
    </xdr:from>
    <xdr:to>
      <xdr:col>4</xdr:col>
      <xdr:colOff>29308</xdr:colOff>
      <xdr:row>1609</xdr:row>
      <xdr:rowOff>168519</xdr:rowOff>
    </xdr:to>
    <xdr:cxnSp macro="">
      <xdr:nvCxnSpPr>
        <xdr:cNvPr id="2051" name="Straight Connector 2050"/>
        <xdr:cNvCxnSpPr/>
      </xdr:nvCxnSpPr>
      <xdr:spPr>
        <a:xfrm>
          <a:off x="2849796" y="28853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1607</xdr:row>
      <xdr:rowOff>41673</xdr:rowOff>
    </xdr:from>
    <xdr:to>
      <xdr:col>4</xdr:col>
      <xdr:colOff>12211</xdr:colOff>
      <xdr:row>1610</xdr:row>
      <xdr:rowOff>0</xdr:rowOff>
    </xdr:to>
    <xdr:cxnSp macro="">
      <xdr:nvCxnSpPr>
        <xdr:cNvPr id="2052" name="Straight Connector 2051"/>
        <xdr:cNvCxnSpPr/>
      </xdr:nvCxnSpPr>
      <xdr:spPr>
        <a:xfrm flipH="1" flipV="1">
          <a:off x="3507441" y="28803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1607</xdr:row>
      <xdr:rowOff>32918</xdr:rowOff>
    </xdr:from>
    <xdr:to>
      <xdr:col>4</xdr:col>
      <xdr:colOff>17861</xdr:colOff>
      <xdr:row>1607</xdr:row>
      <xdr:rowOff>35719</xdr:rowOff>
    </xdr:to>
    <xdr:cxnSp macro="">
      <xdr:nvCxnSpPr>
        <xdr:cNvPr id="2053" name="Straight Connector 2052"/>
        <xdr:cNvCxnSpPr/>
      </xdr:nvCxnSpPr>
      <xdr:spPr>
        <a:xfrm flipH="1">
          <a:off x="2849796" y="28802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1598</xdr:row>
      <xdr:rowOff>89297</xdr:rowOff>
    </xdr:from>
    <xdr:to>
      <xdr:col>3</xdr:col>
      <xdr:colOff>178594</xdr:colOff>
      <xdr:row>1599</xdr:row>
      <xdr:rowOff>59531</xdr:rowOff>
    </xdr:to>
    <xdr:cxnSp macro="">
      <xdr:nvCxnSpPr>
        <xdr:cNvPr id="2054" name="Straight Connector 2053"/>
        <xdr:cNvCxnSpPr/>
      </xdr:nvCxnSpPr>
      <xdr:spPr>
        <a:xfrm>
          <a:off x="2849796" y="286365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1598</xdr:row>
      <xdr:rowOff>35719</xdr:rowOff>
    </xdr:from>
    <xdr:to>
      <xdr:col>3</xdr:col>
      <xdr:colOff>285750</xdr:colOff>
      <xdr:row>1598</xdr:row>
      <xdr:rowOff>154781</xdr:rowOff>
    </xdr:to>
    <xdr:cxnSp macro="">
      <xdr:nvCxnSpPr>
        <xdr:cNvPr id="2055" name="Straight Connector 2054"/>
        <xdr:cNvCxnSpPr/>
      </xdr:nvCxnSpPr>
      <xdr:spPr>
        <a:xfrm>
          <a:off x="2885515" y="286312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1598</xdr:row>
      <xdr:rowOff>44824</xdr:rowOff>
    </xdr:from>
    <xdr:to>
      <xdr:col>3</xdr:col>
      <xdr:colOff>67235</xdr:colOff>
      <xdr:row>1600</xdr:row>
      <xdr:rowOff>156883</xdr:rowOff>
    </xdr:to>
    <xdr:cxnSp macro="">
      <xdr:nvCxnSpPr>
        <xdr:cNvPr id="2056" name="Straight Connector 2055"/>
        <xdr:cNvCxnSpPr/>
      </xdr:nvCxnSpPr>
      <xdr:spPr>
        <a:xfrm>
          <a:off x="2857500" y="286321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1600</xdr:row>
      <xdr:rowOff>166690</xdr:rowOff>
    </xdr:from>
    <xdr:to>
      <xdr:col>4</xdr:col>
      <xdr:colOff>29308</xdr:colOff>
      <xdr:row>1600</xdr:row>
      <xdr:rowOff>168519</xdr:rowOff>
    </xdr:to>
    <xdr:cxnSp macro="">
      <xdr:nvCxnSpPr>
        <xdr:cNvPr id="2057" name="Straight Connector 2056"/>
        <xdr:cNvCxnSpPr/>
      </xdr:nvCxnSpPr>
      <xdr:spPr>
        <a:xfrm>
          <a:off x="2849796" y="286824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1598</xdr:row>
      <xdr:rowOff>41673</xdr:rowOff>
    </xdr:from>
    <xdr:to>
      <xdr:col>4</xdr:col>
      <xdr:colOff>12211</xdr:colOff>
      <xdr:row>1601</xdr:row>
      <xdr:rowOff>0</xdr:rowOff>
    </xdr:to>
    <xdr:cxnSp macro="">
      <xdr:nvCxnSpPr>
        <xdr:cNvPr id="2058" name="Straight Connector 2057"/>
        <xdr:cNvCxnSpPr/>
      </xdr:nvCxnSpPr>
      <xdr:spPr>
        <a:xfrm flipH="1" flipV="1">
          <a:off x="3507441" y="286318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1598</xdr:row>
      <xdr:rowOff>32918</xdr:rowOff>
    </xdr:from>
    <xdr:to>
      <xdr:col>4</xdr:col>
      <xdr:colOff>17861</xdr:colOff>
      <xdr:row>1598</xdr:row>
      <xdr:rowOff>35719</xdr:rowOff>
    </xdr:to>
    <xdr:cxnSp macro="">
      <xdr:nvCxnSpPr>
        <xdr:cNvPr id="2059" name="Straight Connector 2058"/>
        <xdr:cNvCxnSpPr/>
      </xdr:nvCxnSpPr>
      <xdr:spPr>
        <a:xfrm flipH="1">
          <a:off x="2849796" y="286309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1589</xdr:row>
      <xdr:rowOff>89297</xdr:rowOff>
    </xdr:from>
    <xdr:to>
      <xdr:col>3</xdr:col>
      <xdr:colOff>178594</xdr:colOff>
      <xdr:row>1590</xdr:row>
      <xdr:rowOff>59531</xdr:rowOff>
    </xdr:to>
    <xdr:cxnSp macro="">
      <xdr:nvCxnSpPr>
        <xdr:cNvPr id="2060" name="Straight Connector 2059"/>
        <xdr:cNvCxnSpPr/>
      </xdr:nvCxnSpPr>
      <xdr:spPr>
        <a:xfrm>
          <a:off x="2849796" y="28465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1589</xdr:row>
      <xdr:rowOff>35719</xdr:rowOff>
    </xdr:from>
    <xdr:to>
      <xdr:col>3</xdr:col>
      <xdr:colOff>285750</xdr:colOff>
      <xdr:row>1589</xdr:row>
      <xdr:rowOff>154781</xdr:rowOff>
    </xdr:to>
    <xdr:cxnSp macro="">
      <xdr:nvCxnSpPr>
        <xdr:cNvPr id="2061" name="Straight Connector 2060"/>
        <xdr:cNvCxnSpPr/>
      </xdr:nvCxnSpPr>
      <xdr:spPr>
        <a:xfrm>
          <a:off x="2885515" y="28459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1589</xdr:row>
      <xdr:rowOff>44824</xdr:rowOff>
    </xdr:from>
    <xdr:to>
      <xdr:col>3</xdr:col>
      <xdr:colOff>67235</xdr:colOff>
      <xdr:row>1591</xdr:row>
      <xdr:rowOff>156883</xdr:rowOff>
    </xdr:to>
    <xdr:cxnSp macro="">
      <xdr:nvCxnSpPr>
        <xdr:cNvPr id="2062" name="Straight Connector 2061"/>
        <xdr:cNvCxnSpPr/>
      </xdr:nvCxnSpPr>
      <xdr:spPr>
        <a:xfrm>
          <a:off x="2857500" y="28460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1591</xdr:row>
      <xdr:rowOff>166690</xdr:rowOff>
    </xdr:from>
    <xdr:to>
      <xdr:col>4</xdr:col>
      <xdr:colOff>29308</xdr:colOff>
      <xdr:row>1591</xdr:row>
      <xdr:rowOff>168519</xdr:rowOff>
    </xdr:to>
    <xdr:cxnSp macro="">
      <xdr:nvCxnSpPr>
        <xdr:cNvPr id="2063" name="Straight Connector 2062"/>
        <xdr:cNvCxnSpPr/>
      </xdr:nvCxnSpPr>
      <xdr:spPr>
        <a:xfrm>
          <a:off x="2849796" y="28510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1589</xdr:row>
      <xdr:rowOff>41673</xdr:rowOff>
    </xdr:from>
    <xdr:to>
      <xdr:col>4</xdr:col>
      <xdr:colOff>12211</xdr:colOff>
      <xdr:row>1592</xdr:row>
      <xdr:rowOff>0</xdr:rowOff>
    </xdr:to>
    <xdr:cxnSp macro="">
      <xdr:nvCxnSpPr>
        <xdr:cNvPr id="2064" name="Straight Connector 2063"/>
        <xdr:cNvCxnSpPr/>
      </xdr:nvCxnSpPr>
      <xdr:spPr>
        <a:xfrm flipH="1" flipV="1">
          <a:off x="3507441" y="28460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1589</xdr:row>
      <xdr:rowOff>32918</xdr:rowOff>
    </xdr:from>
    <xdr:to>
      <xdr:col>4</xdr:col>
      <xdr:colOff>17861</xdr:colOff>
      <xdr:row>1589</xdr:row>
      <xdr:rowOff>35719</xdr:rowOff>
    </xdr:to>
    <xdr:cxnSp macro="">
      <xdr:nvCxnSpPr>
        <xdr:cNvPr id="2065" name="Straight Connector 2064"/>
        <xdr:cNvCxnSpPr/>
      </xdr:nvCxnSpPr>
      <xdr:spPr>
        <a:xfrm flipH="1">
          <a:off x="2849796" y="28459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1612</xdr:row>
      <xdr:rowOff>35719</xdr:rowOff>
    </xdr:from>
    <xdr:to>
      <xdr:col>3</xdr:col>
      <xdr:colOff>428625</xdr:colOff>
      <xdr:row>1614</xdr:row>
      <xdr:rowOff>178594</xdr:rowOff>
    </xdr:to>
    <xdr:cxnSp macro="">
      <xdr:nvCxnSpPr>
        <xdr:cNvPr id="2066" name="Straight Connector 2065"/>
        <xdr:cNvCxnSpPr/>
      </xdr:nvCxnSpPr>
      <xdr:spPr>
        <a:xfrm>
          <a:off x="3218890" y="288979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1614</xdr:row>
      <xdr:rowOff>95249</xdr:rowOff>
    </xdr:from>
    <xdr:to>
      <xdr:col>3</xdr:col>
      <xdr:colOff>571500</xdr:colOff>
      <xdr:row>1614</xdr:row>
      <xdr:rowOff>154780</xdr:rowOff>
    </xdr:to>
    <xdr:cxnSp macro="">
      <xdr:nvCxnSpPr>
        <xdr:cNvPr id="2067" name="Straight Connector 2066"/>
        <xdr:cNvCxnSpPr/>
      </xdr:nvCxnSpPr>
      <xdr:spPr>
        <a:xfrm flipH="1">
          <a:off x="3218890" y="289419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1612</xdr:row>
      <xdr:rowOff>47625</xdr:rowOff>
    </xdr:from>
    <xdr:to>
      <xdr:col>3</xdr:col>
      <xdr:colOff>595313</xdr:colOff>
      <xdr:row>1612</xdr:row>
      <xdr:rowOff>119062</xdr:rowOff>
    </xdr:to>
    <xdr:cxnSp macro="">
      <xdr:nvCxnSpPr>
        <xdr:cNvPr id="2068" name="Straight Connector 2067"/>
        <xdr:cNvCxnSpPr/>
      </xdr:nvCxnSpPr>
      <xdr:spPr>
        <a:xfrm>
          <a:off x="3218890" y="288991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1607</xdr:row>
      <xdr:rowOff>41673</xdr:rowOff>
    </xdr:from>
    <xdr:to>
      <xdr:col>4</xdr:col>
      <xdr:colOff>12211</xdr:colOff>
      <xdr:row>1610</xdr:row>
      <xdr:rowOff>0</xdr:rowOff>
    </xdr:to>
    <xdr:cxnSp macro="">
      <xdr:nvCxnSpPr>
        <xdr:cNvPr id="2069" name="Straight Connector 2068"/>
        <xdr:cNvCxnSpPr/>
      </xdr:nvCxnSpPr>
      <xdr:spPr>
        <a:xfrm flipH="1" flipV="1">
          <a:off x="3507441" y="28803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1589</xdr:row>
      <xdr:rowOff>41673</xdr:rowOff>
    </xdr:from>
    <xdr:to>
      <xdr:col>4</xdr:col>
      <xdr:colOff>12211</xdr:colOff>
      <xdr:row>1592</xdr:row>
      <xdr:rowOff>0</xdr:rowOff>
    </xdr:to>
    <xdr:cxnSp macro="">
      <xdr:nvCxnSpPr>
        <xdr:cNvPr id="2070" name="Straight Connector 2069"/>
        <xdr:cNvCxnSpPr/>
      </xdr:nvCxnSpPr>
      <xdr:spPr>
        <a:xfrm flipH="1" flipV="1">
          <a:off x="3507441" y="28460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1594</xdr:row>
      <xdr:rowOff>35719</xdr:rowOff>
    </xdr:from>
    <xdr:to>
      <xdr:col>3</xdr:col>
      <xdr:colOff>428625</xdr:colOff>
      <xdr:row>1596</xdr:row>
      <xdr:rowOff>178594</xdr:rowOff>
    </xdr:to>
    <xdr:cxnSp macro="">
      <xdr:nvCxnSpPr>
        <xdr:cNvPr id="2071" name="Straight Connector 2070"/>
        <xdr:cNvCxnSpPr/>
      </xdr:nvCxnSpPr>
      <xdr:spPr>
        <a:xfrm>
          <a:off x="3218890" y="28555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1596</xdr:row>
      <xdr:rowOff>95249</xdr:rowOff>
    </xdr:from>
    <xdr:to>
      <xdr:col>3</xdr:col>
      <xdr:colOff>571500</xdr:colOff>
      <xdr:row>1596</xdr:row>
      <xdr:rowOff>154780</xdr:rowOff>
    </xdr:to>
    <xdr:cxnSp macro="">
      <xdr:nvCxnSpPr>
        <xdr:cNvPr id="2072" name="Straight Connector 2071"/>
        <xdr:cNvCxnSpPr/>
      </xdr:nvCxnSpPr>
      <xdr:spPr>
        <a:xfrm flipH="1">
          <a:off x="3218890" y="28599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1594</xdr:row>
      <xdr:rowOff>47625</xdr:rowOff>
    </xdr:from>
    <xdr:to>
      <xdr:col>3</xdr:col>
      <xdr:colOff>595313</xdr:colOff>
      <xdr:row>1594</xdr:row>
      <xdr:rowOff>119062</xdr:rowOff>
    </xdr:to>
    <xdr:cxnSp macro="">
      <xdr:nvCxnSpPr>
        <xdr:cNvPr id="2073" name="Straight Connector 2072"/>
        <xdr:cNvCxnSpPr/>
      </xdr:nvCxnSpPr>
      <xdr:spPr>
        <a:xfrm>
          <a:off x="3218890" y="28556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1603</xdr:row>
      <xdr:rowOff>35719</xdr:rowOff>
    </xdr:from>
    <xdr:to>
      <xdr:col>3</xdr:col>
      <xdr:colOff>428625</xdr:colOff>
      <xdr:row>1605</xdr:row>
      <xdr:rowOff>178594</xdr:rowOff>
    </xdr:to>
    <xdr:cxnSp macro="">
      <xdr:nvCxnSpPr>
        <xdr:cNvPr id="2074" name="Straight Connector 2073"/>
        <xdr:cNvCxnSpPr/>
      </xdr:nvCxnSpPr>
      <xdr:spPr>
        <a:xfrm>
          <a:off x="3218890" y="28726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1605</xdr:row>
      <xdr:rowOff>95249</xdr:rowOff>
    </xdr:from>
    <xdr:to>
      <xdr:col>3</xdr:col>
      <xdr:colOff>571500</xdr:colOff>
      <xdr:row>1605</xdr:row>
      <xdr:rowOff>154780</xdr:rowOff>
    </xdr:to>
    <xdr:cxnSp macro="">
      <xdr:nvCxnSpPr>
        <xdr:cNvPr id="2075" name="Straight Connector 2074"/>
        <xdr:cNvCxnSpPr/>
      </xdr:nvCxnSpPr>
      <xdr:spPr>
        <a:xfrm flipH="1">
          <a:off x="3218890" y="28770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1603</xdr:row>
      <xdr:rowOff>47625</xdr:rowOff>
    </xdr:from>
    <xdr:to>
      <xdr:col>3</xdr:col>
      <xdr:colOff>595313</xdr:colOff>
      <xdr:row>1603</xdr:row>
      <xdr:rowOff>119062</xdr:rowOff>
    </xdr:to>
    <xdr:cxnSp macro="">
      <xdr:nvCxnSpPr>
        <xdr:cNvPr id="2076" name="Straight Connector 2075"/>
        <xdr:cNvCxnSpPr/>
      </xdr:nvCxnSpPr>
      <xdr:spPr>
        <a:xfrm>
          <a:off x="3218890" y="28727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6"/>
  <sheetViews>
    <sheetView view="pageBreakPreview" zoomScale="60" zoomScaleNormal="70" workbookViewId="0">
      <selection activeCell="D10" sqref="D10"/>
    </sheetView>
  </sheetViews>
  <sheetFormatPr defaultColWidth="16.28515625" defaultRowHeight="15"/>
  <cols>
    <col min="1" max="1" width="13.5703125" customWidth="1"/>
    <col min="2" max="2" width="60" customWidth="1"/>
    <col min="3" max="3" width="25.140625" customWidth="1"/>
    <col min="4" max="4" width="23.28515625" customWidth="1"/>
    <col min="5" max="5" width="22.85546875" customWidth="1"/>
    <col min="6" max="6" width="21.140625" customWidth="1"/>
    <col min="7" max="7" width="33.85546875" customWidth="1"/>
    <col min="9" max="9" width="17.140625" bestFit="1" customWidth="1"/>
    <col min="10" max="10" width="18.42578125" bestFit="1" customWidth="1"/>
  </cols>
  <sheetData>
    <row r="1" spans="1:10" s="2" customFormat="1" ht="54" customHeight="1">
      <c r="A1" s="692" t="s">
        <v>53</v>
      </c>
      <c r="B1" s="692"/>
      <c r="C1" s="692"/>
      <c r="D1" s="692"/>
      <c r="E1" s="692"/>
      <c r="F1" s="1" t="s">
        <v>10</v>
      </c>
      <c r="G1" s="1" t="s">
        <v>11</v>
      </c>
    </row>
    <row r="2" spans="1:10" s="6" customFormat="1" ht="32.25" customHeight="1">
      <c r="A2" s="687" t="s">
        <v>183</v>
      </c>
      <c r="B2" s="687"/>
      <c r="C2" s="687"/>
      <c r="D2" s="687"/>
      <c r="E2" s="3" t="s">
        <v>12</v>
      </c>
      <c r="F2" s="4"/>
      <c r="G2" s="5">
        <f>+ABSTRACT!F109</f>
        <v>162074375</v>
      </c>
    </row>
    <row r="3" spans="1:10" s="6" customFormat="1" ht="36" customHeight="1">
      <c r="A3" s="687" t="s">
        <v>177</v>
      </c>
      <c r="B3" s="687"/>
      <c r="C3" s="687"/>
      <c r="D3" s="687"/>
      <c r="E3" s="3" t="s">
        <v>13</v>
      </c>
      <c r="F3" s="4"/>
      <c r="G3" s="7">
        <f>D11/G2</f>
        <v>0.11625374267104202</v>
      </c>
    </row>
    <row r="4" spans="1:10" s="6" customFormat="1" ht="23.25">
      <c r="A4" s="686" t="s">
        <v>178</v>
      </c>
      <c r="B4" s="686"/>
      <c r="C4" s="686"/>
      <c r="D4" s="686"/>
      <c r="E4" s="687" t="s">
        <v>184</v>
      </c>
      <c r="F4" s="687"/>
      <c r="G4" s="687"/>
    </row>
    <row r="5" spans="1:10" s="6" customFormat="1" ht="23.25">
      <c r="A5" s="686" t="s">
        <v>179</v>
      </c>
      <c r="B5" s="686"/>
      <c r="C5" s="686"/>
      <c r="D5" s="686"/>
      <c r="E5" s="686" t="s">
        <v>185</v>
      </c>
      <c r="F5" s="686"/>
      <c r="G5" s="686"/>
    </row>
    <row r="6" spans="1:10" s="6" customFormat="1" ht="32.25" customHeight="1">
      <c r="A6" s="686" t="s">
        <v>1286</v>
      </c>
      <c r="B6" s="686"/>
      <c r="C6" s="686"/>
      <c r="D6" s="686"/>
      <c r="E6" s="687" t="s">
        <v>180</v>
      </c>
      <c r="F6" s="687"/>
      <c r="G6" s="687"/>
    </row>
    <row r="7" spans="1:10" s="6" customFormat="1" ht="32.25" customHeight="1">
      <c r="A7" s="686" t="s">
        <v>1285</v>
      </c>
      <c r="B7" s="686"/>
      <c r="C7" s="686"/>
      <c r="D7" s="686"/>
      <c r="E7" s="688" t="s">
        <v>181</v>
      </c>
      <c r="F7" s="689"/>
      <c r="G7" s="690"/>
    </row>
    <row r="8" spans="1:10" s="6" customFormat="1" ht="32.25" customHeight="1">
      <c r="A8" s="686" t="s">
        <v>550</v>
      </c>
      <c r="B8" s="686"/>
      <c r="C8" s="686"/>
      <c r="D8" s="686"/>
      <c r="E8" s="691" t="s">
        <v>182</v>
      </c>
      <c r="F8" s="691"/>
      <c r="G8" s="691"/>
    </row>
    <row r="9" spans="1:10" s="6" customFormat="1" ht="37.5" customHeight="1">
      <c r="A9" s="683" t="s">
        <v>55</v>
      </c>
      <c r="B9" s="684"/>
      <c r="C9" s="57" t="s">
        <v>14</v>
      </c>
      <c r="D9" s="26"/>
      <c r="E9" s="683" t="s">
        <v>15</v>
      </c>
      <c r="F9" s="684"/>
      <c r="G9" s="685"/>
    </row>
    <row r="10" spans="1:10" s="6" customFormat="1" ht="45" customHeight="1">
      <c r="A10" s="8" t="s">
        <v>1</v>
      </c>
      <c r="B10" s="9" t="s">
        <v>16</v>
      </c>
      <c r="C10" s="9" t="s">
        <v>17</v>
      </c>
      <c r="D10" s="9" t="s">
        <v>18</v>
      </c>
      <c r="E10" s="9" t="s">
        <v>19</v>
      </c>
      <c r="F10" s="9" t="s">
        <v>20</v>
      </c>
      <c r="G10" s="8" t="s">
        <v>21</v>
      </c>
    </row>
    <row r="11" spans="1:10" s="15" customFormat="1" ht="37.5" customHeight="1">
      <c r="A11" s="10">
        <v>1</v>
      </c>
      <c r="B11" s="11" t="s">
        <v>22</v>
      </c>
      <c r="C11" s="12"/>
      <c r="D11" s="13">
        <f>ABSTRACT!M109</f>
        <v>18841752.684819967</v>
      </c>
      <c r="E11" s="13">
        <v>16826126.732341342</v>
      </c>
      <c r="F11" s="13">
        <f>+D11-E11</f>
        <v>2015625.9524786249</v>
      </c>
      <c r="G11" s="14"/>
      <c r="I11" s="16"/>
    </row>
    <row r="12" spans="1:10" s="15" customFormat="1" ht="37.5" customHeight="1">
      <c r="A12" s="10">
        <v>2</v>
      </c>
      <c r="B12" s="11" t="s">
        <v>23</v>
      </c>
      <c r="C12" s="10"/>
      <c r="D12" s="13"/>
      <c r="E12" s="13"/>
      <c r="F12" s="13"/>
      <c r="G12" s="17"/>
    </row>
    <row r="13" spans="1:10" s="15" customFormat="1" ht="37.5" customHeight="1">
      <c r="A13" s="10">
        <v>3</v>
      </c>
      <c r="B13" s="11" t="s">
        <v>24</v>
      </c>
      <c r="C13" s="10"/>
      <c r="D13" s="13"/>
      <c r="E13" s="13"/>
      <c r="F13" s="13"/>
      <c r="G13" s="17"/>
    </row>
    <row r="14" spans="1:10" s="15" customFormat="1" ht="48.75" customHeight="1">
      <c r="A14" s="10">
        <v>4</v>
      </c>
      <c r="B14" s="11" t="s">
        <v>25</v>
      </c>
      <c r="C14" s="10"/>
      <c r="D14" s="13"/>
      <c r="E14" s="13"/>
      <c r="F14" s="13"/>
      <c r="G14" s="11"/>
      <c r="J14" s="18"/>
    </row>
    <row r="15" spans="1:10" s="15" customFormat="1" ht="37.5" customHeight="1">
      <c r="A15" s="10"/>
      <c r="B15" s="11" t="s">
        <v>26</v>
      </c>
      <c r="C15" s="10"/>
      <c r="D15" s="13">
        <f>SUM(D11:D14)</f>
        <v>18841752.684819967</v>
      </c>
      <c r="E15" s="13">
        <f t="shared" ref="E15:F15" si="0">SUM(E11:E14)</f>
        <v>16826126.732341342</v>
      </c>
      <c r="F15" s="13">
        <f t="shared" si="0"/>
        <v>2015625.9524786249</v>
      </c>
      <c r="G15" s="17"/>
    </row>
    <row r="16" spans="1:10" s="15" customFormat="1" ht="37.5" customHeight="1">
      <c r="A16" s="10">
        <v>5</v>
      </c>
      <c r="B16" s="19" t="s">
        <v>27</v>
      </c>
      <c r="C16" s="10"/>
      <c r="D16" s="20">
        <f>D15*18%</f>
        <v>3391515.4832675937</v>
      </c>
      <c r="E16" s="20">
        <f t="shared" ref="E16" si="1">E15*18%</f>
        <v>3028702.8118214412</v>
      </c>
      <c r="F16" s="20">
        <f>F15*18%</f>
        <v>362812.67144615244</v>
      </c>
      <c r="G16" s="17"/>
    </row>
    <row r="17" spans="1:9" s="15" customFormat="1" ht="37.5" customHeight="1">
      <c r="A17" s="10"/>
      <c r="B17" s="11" t="s">
        <v>28</v>
      </c>
      <c r="C17" s="10"/>
      <c r="D17" s="13">
        <f>D16+D15</f>
        <v>22233268.168087561</v>
      </c>
      <c r="E17" s="13">
        <f>E16+E15</f>
        <v>19854829.544162784</v>
      </c>
      <c r="F17" s="13">
        <f>F16+F15</f>
        <v>2378438.6239247774</v>
      </c>
      <c r="G17" s="17"/>
    </row>
    <row r="18" spans="1:9" s="15" customFormat="1" ht="37.5" customHeight="1">
      <c r="A18" s="10"/>
      <c r="B18" s="11" t="s">
        <v>29</v>
      </c>
      <c r="C18" s="10"/>
      <c r="D18" s="13"/>
      <c r="E18" s="13"/>
      <c r="F18" s="13"/>
      <c r="G18" s="17"/>
    </row>
    <row r="19" spans="1:9" s="15" customFormat="1" ht="42.75" customHeight="1">
      <c r="A19" s="10"/>
      <c r="B19" s="11"/>
      <c r="C19" s="12"/>
      <c r="D19" s="13"/>
      <c r="E19" s="13"/>
      <c r="F19" s="13"/>
      <c r="G19" s="11"/>
    </row>
    <row r="20" spans="1:9" s="15" customFormat="1" ht="39.75" customHeight="1">
      <c r="A20" s="10"/>
      <c r="B20" s="11"/>
      <c r="C20" s="12"/>
      <c r="D20" s="13"/>
      <c r="E20" s="13"/>
      <c r="F20" s="13"/>
      <c r="G20" s="21"/>
      <c r="I20" s="16"/>
    </row>
    <row r="21" spans="1:9" s="15" customFormat="1" ht="40.5" customHeight="1">
      <c r="A21" s="10">
        <v>7.1</v>
      </c>
      <c r="B21" s="11" t="s">
        <v>30</v>
      </c>
      <c r="C21" s="12"/>
      <c r="D21" s="13">
        <f>+F21+E21</f>
        <v>6000000</v>
      </c>
      <c r="E21" s="13">
        <v>6000000</v>
      </c>
      <c r="F21" s="13"/>
      <c r="G21" s="21"/>
    </row>
    <row r="22" spans="1:9" s="15" customFormat="1" ht="40.5" customHeight="1">
      <c r="A22" s="10">
        <v>7.2</v>
      </c>
      <c r="B22" s="11" t="s">
        <v>54</v>
      </c>
      <c r="C22" s="12"/>
      <c r="D22" s="13">
        <f>-(E21*G3)/80%</f>
        <v>-871903.0700328151</v>
      </c>
      <c r="E22" s="13">
        <v>-778629.87589839578</v>
      </c>
      <c r="F22" s="13">
        <f>+D22-E22</f>
        <v>-93273.194134419318</v>
      </c>
      <c r="G22" s="21"/>
    </row>
    <row r="23" spans="1:9" s="15" customFormat="1" ht="37.5" customHeight="1">
      <c r="A23" s="10"/>
      <c r="B23" s="11" t="s">
        <v>31</v>
      </c>
      <c r="C23" s="12"/>
      <c r="D23" s="13">
        <f t="shared" ref="D23" si="2">SUM(D17:D22)</f>
        <v>27361365.098054744</v>
      </c>
      <c r="E23" s="13">
        <f>SUM(E17:E22)</f>
        <v>25076199.668264389</v>
      </c>
      <c r="F23" s="13">
        <f>SUM(F17:F22)</f>
        <v>2285165.4297903581</v>
      </c>
      <c r="G23" s="17"/>
    </row>
    <row r="24" spans="1:9" s="15" customFormat="1" ht="37.5" customHeight="1">
      <c r="A24" s="10"/>
      <c r="B24" s="11" t="s">
        <v>32</v>
      </c>
      <c r="C24" s="12"/>
      <c r="D24" s="13"/>
      <c r="E24" s="13"/>
      <c r="F24" s="13"/>
      <c r="G24" s="17"/>
    </row>
    <row r="25" spans="1:9" s="15" customFormat="1" ht="37.5" customHeight="1">
      <c r="A25" s="10">
        <v>8</v>
      </c>
      <c r="B25" s="11" t="s">
        <v>33</v>
      </c>
      <c r="C25" s="17"/>
      <c r="D25" s="13">
        <f>ROUND(D15*5%,0)</f>
        <v>942088</v>
      </c>
      <c r="E25" s="13">
        <f>ROUND(E15*5%,0)</f>
        <v>841306</v>
      </c>
      <c r="F25" s="13">
        <f>ROUND(F15*5%,0)</f>
        <v>100781</v>
      </c>
      <c r="G25" s="17"/>
    </row>
    <row r="26" spans="1:9" s="15" customFormat="1" ht="37.5" customHeight="1">
      <c r="A26" s="10">
        <v>9</v>
      </c>
      <c r="B26" s="11" t="s">
        <v>34</v>
      </c>
      <c r="C26" s="12"/>
      <c r="D26" s="20">
        <f>ROUND((D15+D19+D20+D21+D22)*1%,0)</f>
        <v>239698</v>
      </c>
      <c r="E26" s="20">
        <f>ROUND((E15+E19+E20+E21+E22)*1%,0)</f>
        <v>220475</v>
      </c>
      <c r="F26" s="20">
        <f>+D26-E26</f>
        <v>19223</v>
      </c>
      <c r="G26" s="17"/>
    </row>
    <row r="27" spans="1:9" s="15" customFormat="1" ht="37.5" customHeight="1">
      <c r="A27" s="10"/>
      <c r="B27" s="11" t="s">
        <v>35</v>
      </c>
      <c r="C27" s="12"/>
      <c r="D27" s="13">
        <f>SUM(D25:D26)</f>
        <v>1181786</v>
      </c>
      <c r="E27" s="13">
        <f>SUM(E25:E26)</f>
        <v>1061781</v>
      </c>
      <c r="F27" s="13">
        <f>SUM(F25:F26)</f>
        <v>120004</v>
      </c>
      <c r="G27" s="17"/>
    </row>
    <row r="28" spans="1:9" s="15" customFormat="1" ht="37.5" customHeight="1">
      <c r="A28" s="10">
        <v>11</v>
      </c>
      <c r="B28" s="11" t="s">
        <v>36</v>
      </c>
      <c r="C28" s="12"/>
      <c r="D28" s="13">
        <f>D23-D27</f>
        <v>26179579.098054744</v>
      </c>
      <c r="E28" s="13">
        <f>E23-E27</f>
        <v>24014418.668264389</v>
      </c>
      <c r="F28" s="13">
        <f>F23-F27</f>
        <v>2165161.4297903581</v>
      </c>
      <c r="G28" s="22"/>
    </row>
    <row r="29" spans="1:9" s="15" customFormat="1" ht="37.5" customHeight="1">
      <c r="B29" s="11" t="s">
        <v>37</v>
      </c>
      <c r="C29" s="10"/>
      <c r="D29" s="13"/>
      <c r="E29" s="23"/>
      <c r="F29" s="13">
        <f>F28</f>
        <v>2165161.4297903581</v>
      </c>
      <c r="G29" s="383"/>
      <c r="I29" s="28"/>
    </row>
    <row r="30" spans="1:9" s="6" customFormat="1" ht="39.75" customHeight="1">
      <c r="A30" s="657"/>
      <c r="B30" s="663" t="s">
        <v>38</v>
      </c>
      <c r="C30" s="654"/>
      <c r="D30" s="655"/>
      <c r="E30" s="666"/>
      <c r="F30" s="667"/>
      <c r="G30" s="657"/>
    </row>
    <row r="31" spans="1:9" s="6" customFormat="1" ht="21">
      <c r="A31" s="658"/>
      <c r="B31" s="664"/>
      <c r="C31" s="654" t="s">
        <v>48</v>
      </c>
      <c r="D31" s="655"/>
      <c r="E31" s="656"/>
      <c r="F31" s="656"/>
      <c r="G31" s="658"/>
    </row>
    <row r="32" spans="1:9" s="6" customFormat="1" ht="21">
      <c r="A32" s="658"/>
      <c r="B32" s="664"/>
      <c r="C32" s="656" t="s">
        <v>49</v>
      </c>
      <c r="D32" s="656"/>
      <c r="E32" s="656"/>
      <c r="F32" s="656"/>
      <c r="G32" s="658"/>
    </row>
    <row r="33" spans="1:7" s="6" customFormat="1" ht="21">
      <c r="A33" s="659"/>
      <c r="B33" s="665"/>
      <c r="C33" s="654">
        <v>9988294677</v>
      </c>
      <c r="D33" s="655"/>
      <c r="E33" s="656"/>
      <c r="F33" s="656"/>
      <c r="G33" s="659"/>
    </row>
    <row r="34" spans="1:7" s="6" customFormat="1" ht="41.25" customHeight="1">
      <c r="A34" s="657"/>
      <c r="B34" s="663" t="s">
        <v>39</v>
      </c>
      <c r="C34" s="654"/>
      <c r="D34" s="655"/>
      <c r="E34" s="671" t="s">
        <v>40</v>
      </c>
      <c r="F34" s="672"/>
      <c r="G34" s="673"/>
    </row>
    <row r="35" spans="1:7" s="6" customFormat="1" ht="21">
      <c r="A35" s="658"/>
      <c r="B35" s="664"/>
      <c r="C35" s="656" t="s">
        <v>41</v>
      </c>
      <c r="D35" s="656"/>
      <c r="E35" s="674" t="s">
        <v>42</v>
      </c>
      <c r="F35" s="675"/>
      <c r="G35" s="676"/>
    </row>
    <row r="36" spans="1:7" s="6" customFormat="1" ht="21">
      <c r="A36" s="658"/>
      <c r="B36" s="664"/>
      <c r="C36" s="656" t="s">
        <v>43</v>
      </c>
      <c r="D36" s="656"/>
      <c r="E36" s="677"/>
      <c r="F36" s="678"/>
      <c r="G36" s="679"/>
    </row>
    <row r="37" spans="1:7" s="6" customFormat="1" ht="21">
      <c r="A37" s="659"/>
      <c r="B37" s="665"/>
      <c r="C37" s="656">
        <v>9315403180</v>
      </c>
      <c r="D37" s="656"/>
      <c r="E37" s="680"/>
      <c r="F37" s="681"/>
      <c r="G37" s="682"/>
    </row>
    <row r="38" spans="1:7" s="6" customFormat="1" ht="39" customHeight="1">
      <c r="A38" s="660"/>
      <c r="B38" s="668" t="s">
        <v>44</v>
      </c>
      <c r="C38" s="654"/>
      <c r="D38" s="655"/>
      <c r="E38" s="666"/>
      <c r="F38" s="667"/>
      <c r="G38" s="657"/>
    </row>
    <row r="39" spans="1:7" s="6" customFormat="1" ht="21">
      <c r="A39" s="661"/>
      <c r="B39" s="669"/>
      <c r="C39" s="654"/>
      <c r="D39" s="655"/>
      <c r="E39" s="656" t="s">
        <v>45</v>
      </c>
      <c r="F39" s="656"/>
      <c r="G39" s="658"/>
    </row>
    <row r="40" spans="1:7" s="6" customFormat="1" ht="21">
      <c r="A40" s="661"/>
      <c r="B40" s="669"/>
      <c r="C40" s="654"/>
      <c r="D40" s="655"/>
      <c r="E40" s="656" t="s">
        <v>46</v>
      </c>
      <c r="F40" s="656"/>
      <c r="G40" s="658"/>
    </row>
    <row r="41" spans="1:7" s="6" customFormat="1" ht="21">
      <c r="A41" s="662"/>
      <c r="B41" s="670"/>
      <c r="C41" s="654"/>
      <c r="D41" s="655"/>
      <c r="E41" s="656">
        <v>9711800470</v>
      </c>
      <c r="F41" s="656"/>
      <c r="G41" s="659"/>
    </row>
    <row r="42" spans="1:7" s="6" customFormat="1" ht="42.75" customHeight="1">
      <c r="A42" s="660"/>
      <c r="B42" s="663" t="s">
        <v>47</v>
      </c>
      <c r="C42" s="654"/>
      <c r="D42" s="655"/>
      <c r="E42" s="666"/>
      <c r="F42" s="667"/>
      <c r="G42" s="24"/>
    </row>
    <row r="43" spans="1:7" s="6" customFormat="1" ht="21">
      <c r="A43" s="661"/>
      <c r="B43" s="664"/>
      <c r="C43" s="654" t="s">
        <v>65</v>
      </c>
      <c r="D43" s="655"/>
      <c r="E43" s="654" t="s">
        <v>671</v>
      </c>
      <c r="F43" s="655"/>
      <c r="G43" s="25"/>
    </row>
    <row r="44" spans="1:7" s="6" customFormat="1" ht="21">
      <c r="A44" s="661"/>
      <c r="B44" s="664"/>
      <c r="C44" s="654" t="s">
        <v>67</v>
      </c>
      <c r="D44" s="655"/>
      <c r="E44" s="654" t="s">
        <v>66</v>
      </c>
      <c r="F44" s="655"/>
      <c r="G44" s="653"/>
    </row>
    <row r="45" spans="1:7" s="6" customFormat="1" ht="18" customHeight="1">
      <c r="A45" s="662"/>
      <c r="B45" s="665"/>
      <c r="C45" s="654"/>
      <c r="D45" s="655"/>
      <c r="E45" s="654"/>
      <c r="F45" s="655"/>
      <c r="G45" s="653"/>
    </row>
    <row r="46" spans="1:7" s="2" customFormat="1" ht="32.25" customHeight="1"/>
  </sheetData>
  <mergeCells count="56">
    <mergeCell ref="A5:D5"/>
    <mergeCell ref="E5:G5"/>
    <mergeCell ref="A1:E1"/>
    <mergeCell ref="A2:D2"/>
    <mergeCell ref="A3:D3"/>
    <mergeCell ref="A4:D4"/>
    <mergeCell ref="E4:G4"/>
    <mergeCell ref="A6:D6"/>
    <mergeCell ref="E6:G6"/>
    <mergeCell ref="A7:D7"/>
    <mergeCell ref="E7:G7"/>
    <mergeCell ref="A8:D8"/>
    <mergeCell ref="E8:G8"/>
    <mergeCell ref="E9:G9"/>
    <mergeCell ref="A30:A33"/>
    <mergeCell ref="B30:B33"/>
    <mergeCell ref="C30:D30"/>
    <mergeCell ref="E30:F30"/>
    <mergeCell ref="G30:G33"/>
    <mergeCell ref="C31:D31"/>
    <mergeCell ref="E31:F31"/>
    <mergeCell ref="C32:D32"/>
    <mergeCell ref="E32:F32"/>
    <mergeCell ref="C33:D33"/>
    <mergeCell ref="E33:F33"/>
    <mergeCell ref="A9:B9"/>
    <mergeCell ref="A34:A37"/>
    <mergeCell ref="B34:B37"/>
    <mergeCell ref="C34:D34"/>
    <mergeCell ref="E34:G34"/>
    <mergeCell ref="C35:D35"/>
    <mergeCell ref="E35:G37"/>
    <mergeCell ref="C36:D36"/>
    <mergeCell ref="C37:D37"/>
    <mergeCell ref="A38:A41"/>
    <mergeCell ref="B38:B41"/>
    <mergeCell ref="C38:D38"/>
    <mergeCell ref="E38:F38"/>
    <mergeCell ref="C39:D39"/>
    <mergeCell ref="E39:F39"/>
    <mergeCell ref="C40:D40"/>
    <mergeCell ref="E40:F40"/>
    <mergeCell ref="A42:A45"/>
    <mergeCell ref="B42:B45"/>
    <mergeCell ref="C42:D42"/>
    <mergeCell ref="E42:F42"/>
    <mergeCell ref="C43:D43"/>
    <mergeCell ref="E43:F43"/>
    <mergeCell ref="C44:D44"/>
    <mergeCell ref="E44:F44"/>
    <mergeCell ref="G44:G45"/>
    <mergeCell ref="C45:D45"/>
    <mergeCell ref="E45:F45"/>
    <mergeCell ref="C41:D41"/>
    <mergeCell ref="E41:F41"/>
    <mergeCell ref="G38:G41"/>
  </mergeCells>
  <pageMargins left="0.7" right="0.7" top="0.75" bottom="0.75" header="0.3" footer="0.3"/>
  <pageSetup scale="4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0"/>
  <sheetViews>
    <sheetView view="pageBreakPreview" zoomScale="85" zoomScaleNormal="100" zoomScaleSheetLayoutView="85" workbookViewId="0">
      <pane ySplit="7" topLeftCell="A53" activePane="bottomLeft" state="frozen"/>
      <selection pane="bottomLeft" activeCell="I57" sqref="I57"/>
    </sheetView>
  </sheetViews>
  <sheetFormatPr defaultColWidth="8.7109375" defaultRowHeight="15"/>
  <cols>
    <col min="1" max="1" width="7.42578125" style="30" bestFit="1" customWidth="1"/>
    <col min="2" max="2" width="54.28515625" style="30" customWidth="1"/>
    <col min="3" max="3" width="5.85546875" style="43" bestFit="1" customWidth="1"/>
    <col min="4" max="4" width="8.5703125" style="43" bestFit="1" customWidth="1"/>
    <col min="5" max="5" width="7.28515625" style="43" bestFit="1" customWidth="1"/>
    <col min="6" max="6" width="11.85546875" style="43" bestFit="1" customWidth="1"/>
    <col min="7" max="7" width="11.85546875" style="43" customWidth="1"/>
    <col min="8" max="8" width="11.140625" style="43" bestFit="1" customWidth="1"/>
    <col min="9" max="9" width="12.85546875" style="43" bestFit="1" customWidth="1"/>
    <col min="10" max="10" width="11.28515625" style="43" customWidth="1"/>
    <col min="11" max="11" width="12.7109375" style="43" bestFit="1" customWidth="1"/>
    <col min="12" max="13" width="13.85546875" style="43" bestFit="1" customWidth="1"/>
    <col min="14" max="14" width="12.7109375" style="65" customWidth="1"/>
    <col min="15" max="15" width="17.28515625" style="30" bestFit="1" customWidth="1"/>
    <col min="16" max="16384" width="8.7109375" style="30"/>
  </cols>
  <sheetData>
    <row r="1" spans="1:15" s="58" customFormat="1" ht="12.75">
      <c r="A1" s="696" t="s">
        <v>546</v>
      </c>
      <c r="B1" s="696"/>
      <c r="C1" s="696"/>
      <c r="D1" s="696"/>
      <c r="E1" s="696"/>
      <c r="F1" s="696"/>
      <c r="G1" s="696"/>
      <c r="H1" s="696"/>
      <c r="I1" s="696"/>
      <c r="J1" s="696"/>
      <c r="K1" s="696"/>
      <c r="L1" s="696"/>
      <c r="M1" s="696"/>
      <c r="N1" s="696"/>
      <c r="O1" s="696"/>
    </row>
    <row r="2" spans="1:15" s="60" customFormat="1" ht="12.75">
      <c r="A2" s="59"/>
      <c r="B2" s="697" t="str">
        <f>+'TOP SHEET'!A5</f>
        <v>WORK ORDER NO. &amp; DATE : OPRL/ATE/11094106758 (14 FEB, 2025)</v>
      </c>
      <c r="C2" s="698"/>
      <c r="D2" s="698"/>
      <c r="E2" s="698"/>
      <c r="F2" s="698"/>
      <c r="G2" s="698"/>
      <c r="H2" s="698"/>
      <c r="I2" s="698"/>
      <c r="J2" s="699" t="str">
        <f>+'TOP SHEET'!A8</f>
        <v>ERP PROJECT CODE : 127018</v>
      </c>
      <c r="K2" s="699"/>
      <c r="L2" s="699"/>
      <c r="M2" s="699"/>
      <c r="N2" s="699"/>
    </row>
    <row r="3" spans="1:15" s="60" customFormat="1" ht="12.75">
      <c r="A3" s="61"/>
      <c r="B3" s="62" t="str">
        <f>+'TOP SHEET'!A6</f>
        <v>THIS R/A BILL NO. &amp; DATE : 8TH RA BILL, DATE 12-02-2026</v>
      </c>
      <c r="C3" s="61"/>
      <c r="D3" s="61"/>
      <c r="E3" s="61"/>
      <c r="F3" s="61"/>
      <c r="G3" s="61"/>
      <c r="H3" s="61"/>
      <c r="I3" s="61"/>
      <c r="J3" s="697" t="str">
        <f>+'TOP SHEET'!A9</f>
        <v xml:space="preserve">DATE OF BILL REC. AT SITE :- </v>
      </c>
      <c r="K3" s="697"/>
      <c r="L3" s="697"/>
      <c r="M3" s="697"/>
      <c r="N3" s="697"/>
    </row>
    <row r="4" spans="1:15" s="60" customFormat="1" ht="12.75">
      <c r="A4" s="61"/>
      <c r="B4" s="62" t="str">
        <f>+'TOP SHEET'!A3</f>
        <v xml:space="preserve">NATURE OF WORK : CIVIL STRUCTURE WORK </v>
      </c>
      <c r="C4" s="61"/>
      <c r="D4" s="61"/>
      <c r="E4" s="61"/>
      <c r="F4" s="61"/>
      <c r="G4" s="61"/>
      <c r="H4" s="61"/>
      <c r="I4" s="63"/>
      <c r="J4" s="699" t="str">
        <f>+'TOP SHEET'!A7</f>
        <v>PERIOD OF BILL :- FROM 01-02-2026 TO 12-02-2026</v>
      </c>
      <c r="K4" s="699"/>
      <c r="L4" s="699"/>
      <c r="M4" s="699"/>
      <c r="N4" s="699"/>
    </row>
    <row r="5" spans="1:15" s="60" customFormat="1">
      <c r="A5" s="700" t="s">
        <v>0</v>
      </c>
      <c r="B5" s="700"/>
      <c r="C5" s="700"/>
      <c r="D5" s="700"/>
      <c r="E5" s="700"/>
      <c r="F5" s="700"/>
      <c r="G5" s="700"/>
      <c r="H5" s="700"/>
      <c r="I5" s="700"/>
      <c r="J5" s="700"/>
      <c r="K5" s="700"/>
      <c r="L5" s="700"/>
      <c r="M5" s="700"/>
      <c r="N5" s="700"/>
    </row>
    <row r="6" spans="1:15">
      <c r="A6" s="693" t="s">
        <v>50</v>
      </c>
      <c r="B6" s="693" t="s">
        <v>2</v>
      </c>
      <c r="C6" s="693" t="s">
        <v>60</v>
      </c>
      <c r="D6" s="693" t="s">
        <v>153</v>
      </c>
      <c r="E6" s="693"/>
      <c r="F6" s="693"/>
      <c r="G6" s="381"/>
      <c r="H6" s="701" t="s">
        <v>4</v>
      </c>
      <c r="I6" s="701"/>
      <c r="J6" s="701"/>
      <c r="K6" s="701" t="s">
        <v>5</v>
      </c>
      <c r="L6" s="701"/>
      <c r="M6" s="701"/>
      <c r="N6" s="702" t="s">
        <v>6</v>
      </c>
    </row>
    <row r="7" spans="1:15">
      <c r="A7" s="693"/>
      <c r="B7" s="693"/>
      <c r="C7" s="693"/>
      <c r="D7" s="44" t="s">
        <v>4</v>
      </c>
      <c r="E7" s="44" t="s">
        <v>56</v>
      </c>
      <c r="F7" s="44" t="s">
        <v>5</v>
      </c>
      <c r="G7" s="381" t="s">
        <v>551</v>
      </c>
      <c r="H7" s="42" t="s">
        <v>7</v>
      </c>
      <c r="I7" s="42" t="s">
        <v>8</v>
      </c>
      <c r="J7" s="42" t="s">
        <v>176</v>
      </c>
      <c r="K7" s="42" t="s">
        <v>7</v>
      </c>
      <c r="L7" s="42" t="s">
        <v>8</v>
      </c>
      <c r="M7" s="42" t="s">
        <v>176</v>
      </c>
      <c r="N7" s="702"/>
    </row>
    <row r="8" spans="1:15">
      <c r="A8" s="36">
        <v>1</v>
      </c>
      <c r="B8" s="617" t="s">
        <v>69</v>
      </c>
      <c r="C8" s="45"/>
      <c r="D8" s="45"/>
      <c r="E8" s="45"/>
      <c r="F8" s="45"/>
      <c r="G8" s="45"/>
      <c r="H8" s="46"/>
      <c r="I8" s="46"/>
      <c r="J8" s="46"/>
      <c r="K8" s="46"/>
      <c r="L8" s="46"/>
      <c r="M8" s="46"/>
      <c r="N8" s="64"/>
    </row>
    <row r="9" spans="1:15" ht="102" customHeight="1">
      <c r="A9" s="34" t="s">
        <v>70</v>
      </c>
      <c r="B9" s="35" t="s">
        <v>68</v>
      </c>
      <c r="C9" s="44" t="s">
        <v>71</v>
      </c>
      <c r="D9" s="47">
        <v>1000</v>
      </c>
      <c r="E9" s="44">
        <v>120</v>
      </c>
      <c r="F9" s="48">
        <f>$D9*E9</f>
        <v>120000</v>
      </c>
      <c r="G9" s="382"/>
      <c r="H9" s="46"/>
      <c r="I9" s="46">
        <f>J9-H9</f>
        <v>0</v>
      </c>
      <c r="J9" s="46"/>
      <c r="K9" s="46"/>
      <c r="L9" s="46">
        <f>M9-K9</f>
        <v>0</v>
      </c>
      <c r="M9" s="46">
        <f>E9*J9</f>
        <v>0</v>
      </c>
      <c r="N9" s="64">
        <f>J9/D9</f>
        <v>0</v>
      </c>
    </row>
    <row r="10" spans="1:15" ht="77.25" customHeight="1">
      <c r="A10" s="36"/>
      <c r="B10" s="37" t="s">
        <v>154</v>
      </c>
      <c r="C10" s="44"/>
      <c r="D10" s="47"/>
      <c r="E10" s="44"/>
      <c r="F10" s="49"/>
      <c r="G10" s="49"/>
      <c r="H10" s="46"/>
      <c r="I10" s="46"/>
      <c r="J10" s="46"/>
      <c r="K10" s="46"/>
      <c r="L10" s="46">
        <f t="shared" ref="L10:L73" si="0">M10-K10</f>
        <v>0</v>
      </c>
      <c r="M10" s="46">
        <f t="shared" ref="M10:M73" si="1">E10*J10</f>
        <v>0</v>
      </c>
      <c r="N10" s="64"/>
    </row>
    <row r="11" spans="1:15" ht="77.25" customHeight="1">
      <c r="A11" s="32" t="s">
        <v>72</v>
      </c>
      <c r="B11" s="38" t="s">
        <v>155</v>
      </c>
      <c r="C11" s="44" t="s">
        <v>9</v>
      </c>
      <c r="D11" s="47">
        <v>1500</v>
      </c>
      <c r="E11" s="44">
        <v>65</v>
      </c>
      <c r="F11" s="48">
        <f>$D11*E11</f>
        <v>97500</v>
      </c>
      <c r="G11" s="539">
        <f>+E11</f>
        <v>65</v>
      </c>
      <c r="H11" s="324">
        <v>1881.3849500000008</v>
      </c>
      <c r="I11" s="571">
        <f t="shared" ref="I11:I74" si="2">J11-H11</f>
        <v>0</v>
      </c>
      <c r="J11" s="324">
        <f>'EARTH WORK MB'!I78</f>
        <v>1881.3849500000008</v>
      </c>
      <c r="K11" s="324">
        <v>122290.02175000006</v>
      </c>
      <c r="L11" s="324">
        <f t="shared" si="0"/>
        <v>0</v>
      </c>
      <c r="M11" s="324">
        <f>G11*J11</f>
        <v>122290.02175000006</v>
      </c>
      <c r="N11" s="64">
        <f t="shared" ref="N11:N73" si="3">J11/D11</f>
        <v>1.2542566333333338</v>
      </c>
    </row>
    <row r="12" spans="1:15" ht="76.5">
      <c r="A12" s="32" t="s">
        <v>73</v>
      </c>
      <c r="B12" s="39" t="s">
        <v>156</v>
      </c>
      <c r="C12" s="44" t="s">
        <v>71</v>
      </c>
      <c r="D12" s="47">
        <v>2400</v>
      </c>
      <c r="E12" s="44">
        <v>100</v>
      </c>
      <c r="F12" s="48">
        <f>$D12*E12</f>
        <v>240000</v>
      </c>
      <c r="G12" s="382">
        <v>100</v>
      </c>
      <c r="H12" s="46">
        <v>4725.3991405000006</v>
      </c>
      <c r="I12" s="324">
        <f t="shared" si="2"/>
        <v>0</v>
      </c>
      <c r="J12" s="324">
        <f>'EARTH WORK MB'!I86</f>
        <v>4725.3991405000006</v>
      </c>
      <c r="K12" s="324">
        <v>472539.91405000008</v>
      </c>
      <c r="L12" s="571">
        <f t="shared" ref="L12" si="4">M12-K12</f>
        <v>0</v>
      </c>
      <c r="M12" s="324">
        <f>G12*J12</f>
        <v>472539.91405000008</v>
      </c>
      <c r="N12" s="64">
        <f t="shared" si="3"/>
        <v>1.968916308541667</v>
      </c>
    </row>
    <row r="13" spans="1:15">
      <c r="A13" s="32"/>
      <c r="B13" s="33" t="s">
        <v>74</v>
      </c>
      <c r="C13" s="44"/>
      <c r="D13" s="47"/>
      <c r="E13" s="44"/>
      <c r="F13" s="48">
        <f>SUBTOTAL(9,F9:F12)</f>
        <v>457500</v>
      </c>
      <c r="G13" s="382"/>
      <c r="H13" s="46"/>
      <c r="I13" s="46"/>
      <c r="J13" s="46"/>
      <c r="K13" s="46"/>
      <c r="L13" s="652"/>
      <c r="M13" s="46"/>
      <c r="N13" s="64"/>
    </row>
    <row r="14" spans="1:15">
      <c r="A14" s="32"/>
      <c r="B14" s="39"/>
      <c r="C14" s="44"/>
      <c r="D14" s="47"/>
      <c r="E14" s="44"/>
      <c r="F14" s="49"/>
      <c r="G14" s="49"/>
      <c r="H14" s="46"/>
      <c r="I14" s="46"/>
      <c r="J14" s="46"/>
      <c r="K14" s="46"/>
      <c r="L14" s="652"/>
      <c r="M14" s="46"/>
      <c r="N14" s="64"/>
    </row>
    <row r="15" spans="1:15">
      <c r="A15" s="32">
        <v>2</v>
      </c>
      <c r="B15" s="616" t="s">
        <v>75</v>
      </c>
      <c r="C15" s="44"/>
      <c r="D15" s="47"/>
      <c r="E15" s="44"/>
      <c r="F15" s="49"/>
      <c r="G15" s="49"/>
      <c r="H15" s="46"/>
      <c r="I15" s="46"/>
      <c r="J15" s="46"/>
      <c r="K15" s="46"/>
      <c r="L15" s="652"/>
      <c r="M15" s="46"/>
      <c r="N15" s="64"/>
    </row>
    <row r="16" spans="1:15" ht="111.75" customHeight="1">
      <c r="A16" s="32"/>
      <c r="B16" s="39" t="s">
        <v>157</v>
      </c>
      <c r="C16" s="44"/>
      <c r="D16" s="47"/>
      <c r="E16" s="44"/>
      <c r="F16" s="49"/>
      <c r="G16" s="49"/>
      <c r="H16" s="46"/>
      <c r="I16" s="46"/>
      <c r="J16" s="46"/>
      <c r="K16" s="46"/>
      <c r="L16" s="652"/>
      <c r="M16" s="46"/>
      <c r="N16" s="64"/>
    </row>
    <row r="17" spans="1:15" ht="127.5">
      <c r="A17" s="32">
        <v>2.1</v>
      </c>
      <c r="B17" s="38" t="s">
        <v>158</v>
      </c>
      <c r="C17" s="44" t="s">
        <v>71</v>
      </c>
      <c r="D17" s="47">
        <v>100</v>
      </c>
      <c r="E17" s="48">
        <v>5550</v>
      </c>
      <c r="F17" s="48">
        <f>$D17*E17</f>
        <v>555000</v>
      </c>
      <c r="G17" s="539">
        <v>5550</v>
      </c>
      <c r="H17" s="324">
        <v>79.466655000000031</v>
      </c>
      <c r="I17" s="324">
        <f t="shared" si="2"/>
        <v>0</v>
      </c>
      <c r="J17" s="324">
        <f>'CONCRETE SUMMARY'!M6</f>
        <v>79.466655000000031</v>
      </c>
      <c r="K17" s="324">
        <v>441039.93525000016</v>
      </c>
      <c r="L17" s="571">
        <f t="shared" si="0"/>
        <v>0</v>
      </c>
      <c r="M17" s="324">
        <f>G17*J17</f>
        <v>441039.93525000016</v>
      </c>
      <c r="N17" s="64">
        <f t="shared" si="3"/>
        <v>0.7946665500000003</v>
      </c>
    </row>
    <row r="18" spans="1:15" ht="63.75">
      <c r="A18" s="32" t="s">
        <v>76</v>
      </c>
      <c r="B18" s="39" t="s">
        <v>159</v>
      </c>
      <c r="C18" s="44" t="s">
        <v>71</v>
      </c>
      <c r="D18" s="47">
        <v>50</v>
      </c>
      <c r="E18" s="48">
        <v>5750</v>
      </c>
      <c r="F18" s="48">
        <f>$D18*E18</f>
        <v>287500</v>
      </c>
      <c r="G18" s="382"/>
      <c r="H18" s="46"/>
      <c r="I18" s="46">
        <f t="shared" si="2"/>
        <v>0</v>
      </c>
      <c r="J18" s="324">
        <f>'CONCRETE SUMMARY'!M7</f>
        <v>0</v>
      </c>
      <c r="K18" s="46"/>
      <c r="L18" s="652">
        <f t="shared" si="0"/>
        <v>0</v>
      </c>
      <c r="M18" s="46">
        <f t="shared" si="1"/>
        <v>0</v>
      </c>
      <c r="N18" s="64">
        <f t="shared" si="3"/>
        <v>0</v>
      </c>
    </row>
    <row r="19" spans="1:15" ht="76.5">
      <c r="A19" s="32" t="s">
        <v>77</v>
      </c>
      <c r="B19" s="39" t="s">
        <v>160</v>
      </c>
      <c r="C19" s="44" t="s">
        <v>9</v>
      </c>
      <c r="D19" s="47">
        <v>200</v>
      </c>
      <c r="E19" s="48">
        <v>480</v>
      </c>
      <c r="F19" s="48">
        <f>$D19*E19</f>
        <v>96000</v>
      </c>
      <c r="G19" s="382"/>
      <c r="H19" s="46"/>
      <c r="I19" s="46">
        <f t="shared" si="2"/>
        <v>0</v>
      </c>
      <c r="J19" s="324">
        <f>'CONCRETE SUMMARY'!M8</f>
        <v>0</v>
      </c>
      <c r="K19" s="46"/>
      <c r="L19" s="652">
        <f t="shared" si="0"/>
        <v>0</v>
      </c>
      <c r="M19" s="46">
        <f t="shared" si="1"/>
        <v>0</v>
      </c>
      <c r="N19" s="64">
        <f t="shared" si="3"/>
        <v>0</v>
      </c>
    </row>
    <row r="20" spans="1:15">
      <c r="A20" s="32"/>
      <c r="B20" s="39"/>
      <c r="C20" s="44"/>
      <c r="D20" s="47"/>
      <c r="E20" s="48"/>
      <c r="F20" s="48"/>
      <c r="G20" s="382"/>
      <c r="H20" s="46"/>
      <c r="I20" s="46"/>
      <c r="J20" s="324"/>
      <c r="K20" s="46"/>
      <c r="L20" s="652"/>
      <c r="M20" s="46"/>
      <c r="N20" s="64"/>
    </row>
    <row r="21" spans="1:15">
      <c r="A21" s="32" t="s">
        <v>78</v>
      </c>
      <c r="B21" s="33" t="s">
        <v>79</v>
      </c>
      <c r="C21" s="44"/>
      <c r="D21" s="47"/>
      <c r="E21" s="48"/>
      <c r="F21" s="48"/>
      <c r="G21" s="382"/>
      <c r="H21" s="46"/>
      <c r="I21" s="46"/>
      <c r="J21" s="324"/>
      <c r="K21" s="46"/>
      <c r="L21" s="652"/>
      <c r="M21" s="46"/>
      <c r="N21" s="64"/>
    </row>
    <row r="22" spans="1:15" ht="138" customHeight="1">
      <c r="A22" s="32"/>
      <c r="B22" s="38" t="s">
        <v>161</v>
      </c>
      <c r="C22" s="44"/>
      <c r="D22" s="47"/>
      <c r="E22" s="48"/>
      <c r="F22" s="48"/>
      <c r="G22" s="382"/>
      <c r="H22" s="46"/>
      <c r="I22" s="46"/>
      <c r="J22" s="324"/>
      <c r="K22" s="46"/>
      <c r="L22" s="652"/>
      <c r="M22" s="46"/>
      <c r="N22" s="64"/>
    </row>
    <row r="23" spans="1:15" ht="51">
      <c r="A23" s="32" t="s">
        <v>80</v>
      </c>
      <c r="B23" s="39" t="s">
        <v>81</v>
      </c>
      <c r="C23" s="44" t="s">
        <v>71</v>
      </c>
      <c r="D23" s="47">
        <v>2080</v>
      </c>
      <c r="E23" s="48">
        <v>6600</v>
      </c>
      <c r="F23" s="48">
        <f>$D23*E23</f>
        <v>13728000</v>
      </c>
      <c r="G23" s="539">
        <f>+E23</f>
        <v>6600</v>
      </c>
      <c r="H23" s="324">
        <v>1686.5471315000002</v>
      </c>
      <c r="I23" s="324">
        <f t="shared" si="2"/>
        <v>0</v>
      </c>
      <c r="J23" s="324">
        <f>'CONCRETE SUMMARY'!M12</f>
        <v>1686.5471315000002</v>
      </c>
      <c r="K23" s="324">
        <v>11131211.067900002</v>
      </c>
      <c r="L23" s="571">
        <f t="shared" si="0"/>
        <v>0</v>
      </c>
      <c r="M23" s="324">
        <f>G23*J23</f>
        <v>11131211.067900002</v>
      </c>
      <c r="N23" s="64">
        <f t="shared" si="3"/>
        <v>0.81083996706730777</v>
      </c>
    </row>
    <row r="24" spans="1:15" ht="63.75">
      <c r="A24" s="32" t="s">
        <v>82</v>
      </c>
      <c r="B24" s="39" t="s">
        <v>83</v>
      </c>
      <c r="C24" s="44"/>
      <c r="D24" s="47"/>
      <c r="E24" s="48"/>
      <c r="F24" s="48"/>
      <c r="G24" s="382"/>
      <c r="H24" s="46"/>
      <c r="I24" s="46"/>
      <c r="J24" s="324"/>
      <c r="K24" s="46"/>
      <c r="L24" s="652"/>
      <c r="M24" s="46"/>
      <c r="N24" s="64"/>
    </row>
    <row r="25" spans="1:15">
      <c r="A25" s="32" t="s">
        <v>84</v>
      </c>
      <c r="B25" s="39" t="s">
        <v>85</v>
      </c>
      <c r="C25" s="44" t="s">
        <v>71</v>
      </c>
      <c r="D25" s="47">
        <v>2200</v>
      </c>
      <c r="E25" s="48">
        <v>6550</v>
      </c>
      <c r="F25" s="48">
        <f t="shared" ref="F25:F27" si="5">$D25*E25</f>
        <v>14410000</v>
      </c>
      <c r="G25" s="382"/>
      <c r="H25" s="324">
        <v>138.41397416249998</v>
      </c>
      <c r="I25" s="324">
        <f t="shared" si="2"/>
        <v>169.17263508749994</v>
      </c>
      <c r="J25" s="324">
        <f>'CONCRETE SUMMARY'!M14</f>
        <v>307.58660924999992</v>
      </c>
      <c r="K25" s="324">
        <v>906611.53076437488</v>
      </c>
      <c r="L25" s="571">
        <f t="shared" si="0"/>
        <v>1108080.7598231246</v>
      </c>
      <c r="M25" s="324">
        <f t="shared" si="1"/>
        <v>2014692.2905874995</v>
      </c>
      <c r="N25" s="64">
        <f t="shared" si="3"/>
        <v>0.13981209511363632</v>
      </c>
      <c r="O25" s="641"/>
    </row>
    <row r="26" spans="1:15" ht="25.5">
      <c r="A26" s="32" t="s">
        <v>86</v>
      </c>
      <c r="B26" s="39" t="s">
        <v>87</v>
      </c>
      <c r="C26" s="44" t="s">
        <v>71</v>
      </c>
      <c r="D26" s="47">
        <v>2440</v>
      </c>
      <c r="E26" s="48">
        <v>6750</v>
      </c>
      <c r="F26" s="48">
        <f t="shared" si="5"/>
        <v>16470000</v>
      </c>
      <c r="G26" s="382"/>
      <c r="H26" s="46"/>
      <c r="I26" s="46">
        <f t="shared" si="2"/>
        <v>0</v>
      </c>
      <c r="J26" s="324">
        <f>'CONCRETE SUMMARY'!M15</f>
        <v>0</v>
      </c>
      <c r="K26" s="46"/>
      <c r="L26" s="652">
        <f t="shared" si="0"/>
        <v>0</v>
      </c>
      <c r="M26" s="46">
        <f t="shared" si="1"/>
        <v>0</v>
      </c>
      <c r="N26" s="64">
        <f t="shared" si="3"/>
        <v>0</v>
      </c>
    </row>
    <row r="27" spans="1:15" ht="25.5">
      <c r="A27" s="32" t="s">
        <v>88</v>
      </c>
      <c r="B27" s="39" t="s">
        <v>89</v>
      </c>
      <c r="C27" s="44" t="s">
        <v>71</v>
      </c>
      <c r="D27" s="47">
        <v>70</v>
      </c>
      <c r="E27" s="48">
        <v>7300</v>
      </c>
      <c r="F27" s="48">
        <f t="shared" si="5"/>
        <v>511000</v>
      </c>
      <c r="G27" s="382"/>
      <c r="H27" s="46"/>
      <c r="I27" s="46">
        <f t="shared" si="2"/>
        <v>0</v>
      </c>
      <c r="J27" s="324">
        <f>'CONCRETE SUMMARY'!M16</f>
        <v>0</v>
      </c>
      <c r="K27" s="46"/>
      <c r="L27" s="652">
        <f t="shared" si="0"/>
        <v>0</v>
      </c>
      <c r="M27" s="46">
        <f t="shared" si="1"/>
        <v>0</v>
      </c>
      <c r="N27" s="64">
        <f t="shared" si="3"/>
        <v>0</v>
      </c>
    </row>
    <row r="28" spans="1:15">
      <c r="A28" s="32"/>
      <c r="B28" s="39"/>
      <c r="C28" s="44"/>
      <c r="D28" s="47"/>
      <c r="E28" s="48"/>
      <c r="F28" s="48"/>
      <c r="G28" s="382"/>
      <c r="H28" s="46"/>
      <c r="I28" s="46"/>
      <c r="J28" s="324"/>
      <c r="K28" s="46"/>
      <c r="L28" s="652"/>
      <c r="M28" s="46"/>
      <c r="N28" s="64"/>
    </row>
    <row r="29" spans="1:15" ht="51">
      <c r="A29" s="32" t="s">
        <v>90</v>
      </c>
      <c r="B29" s="39" t="s">
        <v>91</v>
      </c>
      <c r="C29" s="44"/>
      <c r="D29" s="47"/>
      <c r="E29" s="48"/>
      <c r="F29" s="48"/>
      <c r="G29" s="382"/>
      <c r="H29" s="46"/>
      <c r="I29" s="46"/>
      <c r="J29" s="324"/>
      <c r="K29" s="46"/>
      <c r="L29" s="652"/>
      <c r="M29" s="46"/>
      <c r="N29" s="64"/>
    </row>
    <row r="30" spans="1:15">
      <c r="A30" s="32" t="s">
        <v>92</v>
      </c>
      <c r="B30" s="39" t="s">
        <v>85</v>
      </c>
      <c r="C30" s="44" t="s">
        <v>71</v>
      </c>
      <c r="D30" s="47">
        <v>860</v>
      </c>
      <c r="E30" s="48">
        <v>6850</v>
      </c>
      <c r="F30" s="48">
        <f t="shared" ref="F30:F33" si="6">$D30*E30</f>
        <v>5891000</v>
      </c>
      <c r="G30" s="382">
        <v>6850</v>
      </c>
      <c r="H30" s="46">
        <v>93.874381999999997</v>
      </c>
      <c r="I30" s="324">
        <f t="shared" si="2"/>
        <v>0</v>
      </c>
      <c r="J30" s="324">
        <f>'CONCRETE SUMMARY'!M19</f>
        <v>93.874381999999997</v>
      </c>
      <c r="K30" s="324">
        <v>643039.51670000004</v>
      </c>
      <c r="L30" s="571">
        <f t="shared" ref="L30" si="7">M30-K30</f>
        <v>0</v>
      </c>
      <c r="M30" s="324">
        <f>G30*J30</f>
        <v>643039.51670000004</v>
      </c>
      <c r="N30" s="64">
        <f t="shared" si="3"/>
        <v>0.10915625813953488</v>
      </c>
    </row>
    <row r="31" spans="1:15" ht="25.5">
      <c r="A31" s="32" t="s">
        <v>93</v>
      </c>
      <c r="B31" s="39" t="s">
        <v>87</v>
      </c>
      <c r="C31" s="44" t="s">
        <v>71</v>
      </c>
      <c r="D31" s="47">
        <v>950</v>
      </c>
      <c r="E31" s="48">
        <v>7050</v>
      </c>
      <c r="F31" s="48">
        <f t="shared" si="6"/>
        <v>6697500</v>
      </c>
      <c r="G31" s="382"/>
      <c r="H31" s="46"/>
      <c r="I31" s="46">
        <f t="shared" si="2"/>
        <v>0</v>
      </c>
      <c r="J31" s="324">
        <f>'CONCRETE SUMMARY'!M20</f>
        <v>0</v>
      </c>
      <c r="K31" s="46"/>
      <c r="L31" s="652">
        <f t="shared" si="0"/>
        <v>0</v>
      </c>
      <c r="M31" s="46">
        <f t="shared" si="1"/>
        <v>0</v>
      </c>
      <c r="N31" s="64">
        <f t="shared" si="3"/>
        <v>0</v>
      </c>
    </row>
    <row r="32" spans="1:15" ht="25.5">
      <c r="A32" s="32" t="s">
        <v>94</v>
      </c>
      <c r="B32" s="39" t="s">
        <v>89</v>
      </c>
      <c r="C32" s="44" t="s">
        <v>71</v>
      </c>
      <c r="D32" s="47">
        <v>30</v>
      </c>
      <c r="E32" s="48">
        <v>7650</v>
      </c>
      <c r="F32" s="48">
        <f t="shared" si="6"/>
        <v>229500</v>
      </c>
      <c r="G32" s="382"/>
      <c r="H32" s="46"/>
      <c r="I32" s="46">
        <f t="shared" si="2"/>
        <v>0</v>
      </c>
      <c r="J32" s="324">
        <f>'CONCRETE SUMMARY'!M21</f>
        <v>0</v>
      </c>
      <c r="K32" s="46"/>
      <c r="L32" s="652">
        <f t="shared" si="0"/>
        <v>0</v>
      </c>
      <c r="M32" s="46">
        <f t="shared" si="1"/>
        <v>0</v>
      </c>
      <c r="N32" s="64">
        <f t="shared" si="3"/>
        <v>0</v>
      </c>
    </row>
    <row r="33" spans="1:14" ht="75" customHeight="1">
      <c r="A33" s="32" t="s">
        <v>95</v>
      </c>
      <c r="B33" s="39" t="s">
        <v>162</v>
      </c>
      <c r="C33" s="44" t="s">
        <v>9</v>
      </c>
      <c r="D33" s="47">
        <v>1625</v>
      </c>
      <c r="E33" s="48">
        <v>100</v>
      </c>
      <c r="F33" s="48">
        <f t="shared" si="6"/>
        <v>162500</v>
      </c>
      <c r="G33" s="382"/>
      <c r="H33" s="46"/>
      <c r="I33" s="46"/>
      <c r="J33" s="324">
        <f>'CONCRETE SUMMARY'!M22</f>
        <v>0</v>
      </c>
      <c r="K33" s="46"/>
      <c r="L33" s="652"/>
      <c r="M33" s="46"/>
      <c r="N33" s="64"/>
    </row>
    <row r="34" spans="1:14">
      <c r="A34" s="32"/>
      <c r="B34" s="33"/>
      <c r="C34" s="44"/>
      <c r="D34" s="47"/>
      <c r="E34" s="48"/>
      <c r="F34" s="48"/>
      <c r="G34" s="382"/>
      <c r="H34" s="46"/>
      <c r="I34" s="46"/>
      <c r="J34" s="46"/>
      <c r="K34" s="46"/>
      <c r="L34" s="652"/>
      <c r="M34" s="46"/>
      <c r="N34" s="64"/>
    </row>
    <row r="35" spans="1:14">
      <c r="A35" s="32"/>
      <c r="B35" s="33" t="s">
        <v>96</v>
      </c>
      <c r="C35" s="44"/>
      <c r="D35" s="47"/>
      <c r="E35" s="48"/>
      <c r="F35" s="48">
        <f>SUBTOTAL(9,F17:F34)</f>
        <v>59038000</v>
      </c>
      <c r="G35" s="382"/>
      <c r="H35" s="46"/>
      <c r="I35" s="46"/>
      <c r="J35" s="46"/>
      <c r="K35" s="46"/>
      <c r="L35" s="652"/>
      <c r="M35" s="46"/>
      <c r="N35" s="64"/>
    </row>
    <row r="36" spans="1:14">
      <c r="A36" s="32"/>
      <c r="B36" s="39"/>
      <c r="C36" s="44"/>
      <c r="D36" s="47"/>
      <c r="E36" s="48"/>
      <c r="F36" s="48"/>
      <c r="G36" s="382"/>
      <c r="H36" s="46"/>
      <c r="I36" s="46"/>
      <c r="J36" s="46"/>
      <c r="K36" s="46"/>
      <c r="L36" s="652"/>
      <c r="M36" s="46"/>
      <c r="N36" s="64"/>
    </row>
    <row r="37" spans="1:14">
      <c r="A37" s="32">
        <v>3</v>
      </c>
      <c r="B37" s="616" t="s">
        <v>97</v>
      </c>
      <c r="C37" s="44"/>
      <c r="D37" s="47"/>
      <c r="E37" s="48"/>
      <c r="F37" s="48"/>
      <c r="G37" s="382"/>
      <c r="H37" s="46"/>
      <c r="I37" s="46"/>
      <c r="J37" s="46"/>
      <c r="K37" s="46"/>
      <c r="L37" s="652"/>
      <c r="M37" s="46"/>
      <c r="N37" s="64"/>
    </row>
    <row r="38" spans="1:14" ht="90" customHeight="1">
      <c r="A38" s="34"/>
      <c r="B38" s="35" t="s">
        <v>163</v>
      </c>
      <c r="C38" s="50"/>
      <c r="D38" s="51"/>
      <c r="E38" s="52"/>
      <c r="F38" s="52"/>
      <c r="G38" s="52"/>
      <c r="H38" s="46"/>
      <c r="I38" s="46"/>
      <c r="J38" s="46"/>
      <c r="K38" s="46"/>
      <c r="L38" s="652"/>
      <c r="M38" s="46"/>
      <c r="N38" s="64"/>
    </row>
    <row r="39" spans="1:14" ht="51">
      <c r="A39" s="32" t="s">
        <v>98</v>
      </c>
      <c r="B39" s="39" t="s">
        <v>99</v>
      </c>
      <c r="C39" s="44" t="s">
        <v>9</v>
      </c>
      <c r="D39" s="47">
        <v>2150</v>
      </c>
      <c r="E39" s="48">
        <v>360</v>
      </c>
      <c r="F39" s="48">
        <f>$D39*E39</f>
        <v>774000</v>
      </c>
      <c r="G39" s="539">
        <f>+E39</f>
        <v>360</v>
      </c>
      <c r="H39" s="324">
        <v>1645.4973500000003</v>
      </c>
      <c r="I39" s="324">
        <f t="shared" si="2"/>
        <v>0</v>
      </c>
      <c r="J39" s="324">
        <f>'SHUTT. WORK SUMMARY'!M5</f>
        <v>1645.4973500000003</v>
      </c>
      <c r="K39" s="46">
        <v>592379.04600000009</v>
      </c>
      <c r="L39" s="652">
        <f t="shared" si="0"/>
        <v>0</v>
      </c>
      <c r="M39" s="324">
        <f>G39*J39</f>
        <v>592379.04600000009</v>
      </c>
      <c r="N39" s="64">
        <f t="shared" si="3"/>
        <v>0.76534760465116292</v>
      </c>
    </row>
    <row r="40" spans="1:14" ht="63.75">
      <c r="A40" s="32" t="s">
        <v>100</v>
      </c>
      <c r="B40" s="39" t="s">
        <v>83</v>
      </c>
      <c r="C40" s="44"/>
      <c r="D40" s="47"/>
      <c r="E40" s="48"/>
      <c r="F40" s="48"/>
      <c r="G40" s="382"/>
      <c r="H40" s="46"/>
      <c r="I40" s="46"/>
      <c r="J40" s="324"/>
      <c r="K40" s="46"/>
      <c r="L40" s="652"/>
      <c r="M40" s="46"/>
      <c r="N40" s="64"/>
    </row>
    <row r="41" spans="1:14">
      <c r="A41" s="32" t="s">
        <v>101</v>
      </c>
      <c r="B41" s="39" t="s">
        <v>85</v>
      </c>
      <c r="C41" s="44" t="s">
        <v>9</v>
      </c>
      <c r="D41" s="47">
        <v>17600</v>
      </c>
      <c r="E41" s="48">
        <v>465</v>
      </c>
      <c r="F41" s="48">
        <f t="shared" ref="F41:F43" si="8">$D41*E41</f>
        <v>8184000</v>
      </c>
      <c r="G41" s="382"/>
      <c r="H41" s="324">
        <v>1016.4427074999995</v>
      </c>
      <c r="I41" s="324">
        <f t="shared" si="2"/>
        <v>1375.1871924999996</v>
      </c>
      <c r="J41" s="324">
        <f>'SHUTT. WORK SUMMARY'!M7</f>
        <v>2391.629899999999</v>
      </c>
      <c r="K41" s="324">
        <v>472645.85898749979</v>
      </c>
      <c r="L41" s="571">
        <f t="shared" si="0"/>
        <v>639462.04451249982</v>
      </c>
      <c r="M41" s="324">
        <f t="shared" si="1"/>
        <v>1112107.9034999995</v>
      </c>
      <c r="N41" s="64">
        <f t="shared" si="3"/>
        <v>0.13588806249999993</v>
      </c>
    </row>
    <row r="42" spans="1:14" ht="25.5">
      <c r="A42" s="32" t="s">
        <v>102</v>
      </c>
      <c r="B42" s="39" t="s">
        <v>87</v>
      </c>
      <c r="C42" s="44" t="s">
        <v>9</v>
      </c>
      <c r="D42" s="47">
        <v>18800</v>
      </c>
      <c r="E42" s="48">
        <v>485</v>
      </c>
      <c r="F42" s="48">
        <f t="shared" si="8"/>
        <v>9118000</v>
      </c>
      <c r="G42" s="382"/>
      <c r="H42" s="46"/>
      <c r="I42" s="46">
        <f t="shared" si="2"/>
        <v>0</v>
      </c>
      <c r="J42" s="324">
        <f>'SHUTT. WORK SUMMARY'!M8</f>
        <v>0</v>
      </c>
      <c r="K42" s="46"/>
      <c r="L42" s="652">
        <f t="shared" si="0"/>
        <v>0</v>
      </c>
      <c r="M42" s="46">
        <f t="shared" si="1"/>
        <v>0</v>
      </c>
      <c r="N42" s="64">
        <f t="shared" si="3"/>
        <v>0</v>
      </c>
    </row>
    <row r="43" spans="1:14" ht="25.5">
      <c r="A43" s="32" t="s">
        <v>103</v>
      </c>
      <c r="B43" s="39" t="s">
        <v>89</v>
      </c>
      <c r="C43" s="44" t="s">
        <v>9</v>
      </c>
      <c r="D43" s="47">
        <v>400</v>
      </c>
      <c r="E43" s="48">
        <v>550</v>
      </c>
      <c r="F43" s="48">
        <f t="shared" si="8"/>
        <v>220000</v>
      </c>
      <c r="G43" s="382"/>
      <c r="H43" s="46"/>
      <c r="I43" s="46">
        <f t="shared" si="2"/>
        <v>0</v>
      </c>
      <c r="J43" s="324">
        <f>'SHUTT. WORK SUMMARY'!M9</f>
        <v>0</v>
      </c>
      <c r="K43" s="46"/>
      <c r="L43" s="652">
        <f t="shared" si="0"/>
        <v>0</v>
      </c>
      <c r="M43" s="46">
        <f t="shared" si="1"/>
        <v>0</v>
      </c>
      <c r="N43" s="64">
        <f t="shared" si="3"/>
        <v>0</v>
      </c>
    </row>
    <row r="44" spans="1:14">
      <c r="A44" s="32"/>
      <c r="B44" s="40"/>
      <c r="C44" s="44"/>
      <c r="D44" s="47"/>
      <c r="E44" s="48"/>
      <c r="F44" s="48"/>
      <c r="G44" s="382"/>
      <c r="H44" s="46"/>
      <c r="I44" s="46"/>
      <c r="J44" s="324"/>
      <c r="K44" s="46"/>
      <c r="L44" s="652">
        <f t="shared" si="0"/>
        <v>0</v>
      </c>
      <c r="M44" s="46">
        <f t="shared" si="1"/>
        <v>0</v>
      </c>
      <c r="N44" s="64"/>
    </row>
    <row r="45" spans="1:14" ht="51">
      <c r="A45" s="32" t="s">
        <v>104</v>
      </c>
      <c r="B45" s="39" t="s">
        <v>91</v>
      </c>
      <c r="C45" s="44"/>
      <c r="D45" s="47"/>
      <c r="E45" s="48"/>
      <c r="F45" s="48"/>
      <c r="G45" s="382"/>
      <c r="H45" s="46"/>
      <c r="I45" s="46"/>
      <c r="J45" s="324"/>
      <c r="K45" s="46"/>
      <c r="L45" s="652"/>
      <c r="M45" s="46"/>
      <c r="N45" s="64"/>
    </row>
    <row r="46" spans="1:14">
      <c r="A46" s="32" t="s">
        <v>105</v>
      </c>
      <c r="B46" s="39" t="s">
        <v>85</v>
      </c>
      <c r="C46" s="44" t="s">
        <v>9</v>
      </c>
      <c r="D46" s="47">
        <v>7825</v>
      </c>
      <c r="E46" s="48">
        <v>465</v>
      </c>
      <c r="F46" s="48">
        <f t="shared" ref="F46:F48" si="9">$D46*E46</f>
        <v>3638625</v>
      </c>
      <c r="G46" s="382"/>
      <c r="H46" s="324">
        <v>998.1089999999997</v>
      </c>
      <c r="I46" s="324">
        <f t="shared" si="2"/>
        <v>0</v>
      </c>
      <c r="J46" s="324">
        <f>'SHUTT. WORK SUMMARY'!M12</f>
        <v>998.1089999999997</v>
      </c>
      <c r="K46" s="324">
        <v>464120.68499999988</v>
      </c>
      <c r="L46" s="571">
        <f t="shared" si="0"/>
        <v>0</v>
      </c>
      <c r="M46" s="324">
        <f>E46*J46</f>
        <v>464120.68499999988</v>
      </c>
      <c r="N46" s="64">
        <f t="shared" si="3"/>
        <v>0.12755386581469644</v>
      </c>
    </row>
    <row r="47" spans="1:14" ht="25.5">
      <c r="A47" s="32" t="s">
        <v>106</v>
      </c>
      <c r="B47" s="39" t="s">
        <v>87</v>
      </c>
      <c r="C47" s="44" t="s">
        <v>9</v>
      </c>
      <c r="D47" s="47">
        <v>8200</v>
      </c>
      <c r="E47" s="48">
        <v>485</v>
      </c>
      <c r="F47" s="48">
        <f t="shared" si="9"/>
        <v>3977000</v>
      </c>
      <c r="G47" s="382"/>
      <c r="H47" s="46"/>
      <c r="I47" s="46">
        <f t="shared" si="2"/>
        <v>0</v>
      </c>
      <c r="J47" s="324">
        <f>'SHUTT. WORK SUMMARY'!M13</f>
        <v>0</v>
      </c>
      <c r="K47" s="46"/>
      <c r="L47" s="652">
        <f t="shared" si="0"/>
        <v>0</v>
      </c>
      <c r="M47" s="46">
        <f t="shared" si="1"/>
        <v>0</v>
      </c>
      <c r="N47" s="64">
        <f t="shared" si="3"/>
        <v>0</v>
      </c>
    </row>
    <row r="48" spans="1:14" ht="25.5">
      <c r="A48" s="32" t="s">
        <v>107</v>
      </c>
      <c r="B48" s="39" t="s">
        <v>89</v>
      </c>
      <c r="C48" s="44" t="s">
        <v>9</v>
      </c>
      <c r="D48" s="47">
        <v>150</v>
      </c>
      <c r="E48" s="48">
        <v>550</v>
      </c>
      <c r="F48" s="48">
        <f t="shared" si="9"/>
        <v>82500</v>
      </c>
      <c r="G48" s="382"/>
      <c r="H48" s="46"/>
      <c r="I48" s="46">
        <f t="shared" si="2"/>
        <v>0</v>
      </c>
      <c r="J48" s="324">
        <f>'SHUTT. WORK SUMMARY'!M14</f>
        <v>0</v>
      </c>
      <c r="K48" s="46"/>
      <c r="L48" s="652">
        <f t="shared" si="0"/>
        <v>0</v>
      </c>
      <c r="M48" s="46">
        <f t="shared" si="1"/>
        <v>0</v>
      </c>
      <c r="N48" s="64">
        <f t="shared" si="3"/>
        <v>0</v>
      </c>
    </row>
    <row r="49" spans="1:14">
      <c r="A49" s="32"/>
      <c r="B49" s="39"/>
      <c r="C49" s="44"/>
      <c r="D49" s="47"/>
      <c r="E49" s="48"/>
      <c r="F49" s="48"/>
      <c r="G49" s="382"/>
      <c r="H49" s="46"/>
      <c r="I49" s="46"/>
      <c r="J49" s="324"/>
      <c r="K49" s="46"/>
      <c r="L49" s="652"/>
      <c r="M49" s="46"/>
      <c r="N49" s="64"/>
    </row>
    <row r="50" spans="1:14" ht="63.75">
      <c r="A50" s="32" t="s">
        <v>108</v>
      </c>
      <c r="B50" s="39" t="s">
        <v>164</v>
      </c>
      <c r="C50" s="44" t="s">
        <v>9</v>
      </c>
      <c r="D50" s="47">
        <v>1000</v>
      </c>
      <c r="E50" s="48">
        <v>115</v>
      </c>
      <c r="F50" s="48">
        <f>$D50*E50</f>
        <v>115000</v>
      </c>
      <c r="G50" s="382"/>
      <c r="H50" s="46"/>
      <c r="I50" s="46">
        <f t="shared" si="2"/>
        <v>0</v>
      </c>
      <c r="J50" s="324">
        <f>'SHUTT. WORK SUMMARY'!M16</f>
        <v>0</v>
      </c>
      <c r="K50" s="46"/>
      <c r="L50" s="652">
        <f t="shared" si="0"/>
        <v>0</v>
      </c>
      <c r="M50" s="46">
        <f t="shared" si="1"/>
        <v>0</v>
      </c>
      <c r="N50" s="64">
        <f t="shared" si="3"/>
        <v>0</v>
      </c>
    </row>
    <row r="51" spans="1:14">
      <c r="A51" s="32"/>
      <c r="B51" s="33" t="s">
        <v>109</v>
      </c>
      <c r="C51" s="44"/>
      <c r="D51" s="47"/>
      <c r="E51" s="48"/>
      <c r="F51" s="48">
        <f>SUBTOTAL(9,F39:F50)</f>
        <v>26109125</v>
      </c>
      <c r="G51" s="382"/>
      <c r="H51" s="46"/>
      <c r="I51" s="46"/>
      <c r="J51" s="46"/>
      <c r="K51" s="46"/>
      <c r="L51" s="652"/>
      <c r="M51" s="46"/>
      <c r="N51" s="64"/>
    </row>
    <row r="52" spans="1:14">
      <c r="A52" s="32"/>
      <c r="B52" s="40"/>
      <c r="C52" s="44"/>
      <c r="D52" s="47"/>
      <c r="E52" s="48"/>
      <c r="F52" s="48"/>
      <c r="G52" s="382"/>
      <c r="H52" s="46"/>
      <c r="I52" s="46"/>
      <c r="J52" s="46"/>
      <c r="K52" s="46"/>
      <c r="L52" s="652"/>
      <c r="M52" s="46"/>
      <c r="N52" s="64"/>
    </row>
    <row r="53" spans="1:14">
      <c r="A53" s="31">
        <v>4</v>
      </c>
      <c r="B53" s="615" t="s">
        <v>110</v>
      </c>
      <c r="C53" s="385"/>
      <c r="D53" s="386"/>
      <c r="E53" s="387"/>
      <c r="F53" s="387"/>
      <c r="G53" s="387"/>
      <c r="H53" s="46"/>
      <c r="I53" s="46"/>
      <c r="J53" s="46"/>
      <c r="K53" s="46"/>
      <c r="L53" s="652"/>
      <c r="M53" s="46"/>
      <c r="N53" s="64"/>
    </row>
    <row r="54" spans="1:14" ht="70.5" customHeight="1">
      <c r="A54" s="36"/>
      <c r="B54" s="41" t="s">
        <v>165</v>
      </c>
      <c r="C54" s="385"/>
      <c r="D54" s="386"/>
      <c r="E54" s="387"/>
      <c r="F54" s="387"/>
      <c r="G54" s="387"/>
      <c r="H54" s="46"/>
      <c r="I54" s="46"/>
      <c r="J54" s="46"/>
      <c r="K54" s="46"/>
      <c r="L54" s="652"/>
      <c r="M54" s="46"/>
      <c r="N54" s="64"/>
    </row>
    <row r="55" spans="1:14" ht="25.5">
      <c r="A55" s="32" t="s">
        <v>111</v>
      </c>
      <c r="B55" s="39" t="s">
        <v>112</v>
      </c>
      <c r="C55" s="44"/>
      <c r="D55" s="47"/>
      <c r="E55" s="48"/>
      <c r="F55" s="48"/>
      <c r="G55" s="382"/>
      <c r="H55" s="46"/>
      <c r="I55" s="46"/>
      <c r="J55" s="46"/>
      <c r="K55" s="46"/>
      <c r="L55" s="652"/>
      <c r="M55" s="46"/>
      <c r="N55" s="64"/>
    </row>
    <row r="56" spans="1:14">
      <c r="A56" s="32" t="s">
        <v>113</v>
      </c>
      <c r="B56" s="39" t="s">
        <v>114</v>
      </c>
      <c r="C56" s="44" t="s">
        <v>115</v>
      </c>
      <c r="D56" s="47">
        <v>150</v>
      </c>
      <c r="E56" s="48">
        <v>8500</v>
      </c>
      <c r="F56" s="48">
        <f t="shared" ref="F56:F58" si="10">$D56*E56</f>
        <v>1275000</v>
      </c>
      <c r="G56" s="539">
        <v>8500</v>
      </c>
      <c r="H56" s="324">
        <v>132.16859834323114</v>
      </c>
      <c r="I56" s="324">
        <f t="shared" si="2"/>
        <v>0</v>
      </c>
      <c r="J56" s="384">
        <f>'TMT SUMMARY'!M15/1000</f>
        <v>132.16859834323114</v>
      </c>
      <c r="K56" s="324">
        <v>1123433.0859174647</v>
      </c>
      <c r="L56" s="571">
        <f t="shared" si="0"/>
        <v>0</v>
      </c>
      <c r="M56" s="324">
        <f>G56*J56</f>
        <v>1123433.0859174647</v>
      </c>
      <c r="N56" s="64">
        <f t="shared" si="3"/>
        <v>0.8811239889548742</v>
      </c>
    </row>
    <row r="57" spans="1:14" ht="25.5">
      <c r="A57" s="32" t="s">
        <v>116</v>
      </c>
      <c r="B57" s="39" t="s">
        <v>117</v>
      </c>
      <c r="C57" s="44" t="s">
        <v>115</v>
      </c>
      <c r="D57" s="47">
        <v>805</v>
      </c>
      <c r="E57" s="48">
        <v>9400</v>
      </c>
      <c r="F57" s="48">
        <f t="shared" si="10"/>
        <v>7567000</v>
      </c>
      <c r="G57" s="382">
        <v>9400</v>
      </c>
      <c r="H57" s="324">
        <v>43.34635213</v>
      </c>
      <c r="I57" s="324">
        <f t="shared" si="2"/>
        <v>28.519483845000011</v>
      </c>
      <c r="J57" s="324">
        <f>'TMT SUMMARY'!M22/1000</f>
        <v>71.86583597500001</v>
      </c>
      <c r="K57" s="324">
        <v>407455.71002200001</v>
      </c>
      <c r="L57" s="571">
        <f t="shared" si="0"/>
        <v>268083.14814300009</v>
      </c>
      <c r="M57" s="324">
        <f t="shared" si="1"/>
        <v>675538.8581650001</v>
      </c>
      <c r="N57" s="64">
        <f t="shared" si="3"/>
        <v>8.9274330403726718E-2</v>
      </c>
    </row>
    <row r="58" spans="1:14" ht="25.5">
      <c r="A58" s="32" t="s">
        <v>118</v>
      </c>
      <c r="B58" s="39" t="s">
        <v>89</v>
      </c>
      <c r="C58" s="44" t="s">
        <v>115</v>
      </c>
      <c r="D58" s="47">
        <v>10</v>
      </c>
      <c r="E58" s="48">
        <v>11000</v>
      </c>
      <c r="F58" s="48">
        <f t="shared" si="10"/>
        <v>110000</v>
      </c>
      <c r="G58" s="382"/>
      <c r="H58" s="46">
        <v>0</v>
      </c>
      <c r="I58" s="544">
        <f t="shared" si="2"/>
        <v>0</v>
      </c>
      <c r="J58" s="544">
        <v>0</v>
      </c>
      <c r="K58" s="46">
        <v>0</v>
      </c>
      <c r="L58" s="652">
        <f t="shared" si="0"/>
        <v>0</v>
      </c>
      <c r="M58" s="46">
        <f>E58*J58</f>
        <v>0</v>
      </c>
      <c r="N58" s="64">
        <f t="shared" si="3"/>
        <v>0</v>
      </c>
    </row>
    <row r="59" spans="1:14">
      <c r="A59" s="32"/>
      <c r="B59" s="33" t="s">
        <v>119</v>
      </c>
      <c r="C59" s="44"/>
      <c r="D59" s="47"/>
      <c r="E59" s="48"/>
      <c r="F59" s="48">
        <f>SUBTOTAL(9,F55:F58)</f>
        <v>8952000</v>
      </c>
      <c r="G59" s="382"/>
      <c r="H59" s="46"/>
      <c r="I59" s="46"/>
      <c r="J59" s="46"/>
      <c r="K59" s="46"/>
      <c r="L59" s="652"/>
      <c r="M59" s="46"/>
      <c r="N59" s="64"/>
    </row>
    <row r="60" spans="1:14">
      <c r="A60" s="32"/>
      <c r="B60" s="39"/>
      <c r="C60" s="44"/>
      <c r="D60" s="47"/>
      <c r="E60" s="48"/>
      <c r="F60" s="48"/>
      <c r="G60" s="382"/>
      <c r="H60" s="46"/>
      <c r="I60" s="46"/>
      <c r="J60" s="46"/>
      <c r="K60" s="46"/>
      <c r="L60" s="652"/>
      <c r="M60" s="46"/>
      <c r="N60" s="64"/>
    </row>
    <row r="61" spans="1:14">
      <c r="A61" s="32">
        <v>5</v>
      </c>
      <c r="B61" s="616" t="s">
        <v>120</v>
      </c>
      <c r="C61" s="44"/>
      <c r="D61" s="47"/>
      <c r="E61" s="48"/>
      <c r="F61" s="48"/>
      <c r="G61" s="382"/>
      <c r="H61" s="46"/>
      <c r="I61" s="46"/>
      <c r="J61" s="46"/>
      <c r="K61" s="46"/>
      <c r="L61" s="652"/>
      <c r="M61" s="46"/>
      <c r="N61" s="64"/>
    </row>
    <row r="62" spans="1:14" ht="51">
      <c r="A62" s="32"/>
      <c r="B62" s="39" t="s">
        <v>121</v>
      </c>
      <c r="C62" s="44"/>
      <c r="D62" s="47"/>
      <c r="E62" s="48"/>
      <c r="F62" s="48"/>
      <c r="G62" s="382"/>
      <c r="H62" s="46"/>
      <c r="I62" s="46"/>
      <c r="J62" s="46"/>
      <c r="K62" s="46"/>
      <c r="L62" s="652"/>
      <c r="M62" s="46"/>
      <c r="N62" s="64"/>
    </row>
    <row r="63" spans="1:14">
      <c r="A63" s="32" t="s">
        <v>122</v>
      </c>
      <c r="B63" s="33" t="s">
        <v>123</v>
      </c>
      <c r="C63" s="44"/>
      <c r="D63" s="47"/>
      <c r="E63" s="48"/>
      <c r="F63" s="48"/>
      <c r="G63" s="382"/>
      <c r="H63" s="46"/>
      <c r="I63" s="46"/>
      <c r="J63" s="46"/>
      <c r="K63" s="46"/>
      <c r="L63" s="652"/>
      <c r="M63" s="46"/>
      <c r="N63" s="64"/>
    </row>
    <row r="64" spans="1:14" ht="63.75">
      <c r="A64" s="32"/>
      <c r="B64" s="39" t="s">
        <v>124</v>
      </c>
      <c r="C64" s="44" t="s">
        <v>71</v>
      </c>
      <c r="D64" s="47">
        <v>100</v>
      </c>
      <c r="E64" s="48">
        <v>6000</v>
      </c>
      <c r="F64" s="48">
        <f>$D64*E64</f>
        <v>600000</v>
      </c>
      <c r="G64" s="382"/>
      <c r="H64" s="46"/>
      <c r="I64" s="46">
        <f t="shared" si="2"/>
        <v>0</v>
      </c>
      <c r="J64" s="324">
        <f>'BRICK WORK SUMMARY'!J7</f>
        <v>0</v>
      </c>
      <c r="K64" s="46"/>
      <c r="L64" s="652">
        <f t="shared" si="0"/>
        <v>0</v>
      </c>
      <c r="M64" s="46">
        <f t="shared" si="1"/>
        <v>0</v>
      </c>
      <c r="N64" s="64">
        <f t="shared" si="3"/>
        <v>0</v>
      </c>
    </row>
    <row r="65" spans="1:14">
      <c r="A65" s="32" t="s">
        <v>125</v>
      </c>
      <c r="B65" s="33" t="s">
        <v>123</v>
      </c>
      <c r="C65" s="44"/>
      <c r="D65" s="47"/>
      <c r="E65" s="48"/>
      <c r="F65" s="48"/>
      <c r="G65" s="382"/>
      <c r="H65" s="46"/>
      <c r="I65" s="46"/>
      <c r="J65" s="324"/>
      <c r="K65" s="46"/>
      <c r="L65" s="652"/>
      <c r="M65" s="46"/>
      <c r="N65" s="64"/>
    </row>
    <row r="66" spans="1:14" ht="82.5" customHeight="1">
      <c r="A66" s="32"/>
      <c r="B66" s="39" t="s">
        <v>166</v>
      </c>
      <c r="C66" s="44" t="s">
        <v>9</v>
      </c>
      <c r="D66" s="47">
        <v>1000</v>
      </c>
      <c r="E66" s="48">
        <v>800</v>
      </c>
      <c r="F66" s="48">
        <f>$D66*E66</f>
        <v>800000</v>
      </c>
      <c r="G66" s="539">
        <f>+E66*0.7</f>
        <v>560</v>
      </c>
      <c r="H66" s="324">
        <v>88.143500000000017</v>
      </c>
      <c r="I66" s="324">
        <f t="shared" si="2"/>
        <v>0</v>
      </c>
      <c r="J66" s="324">
        <f>'BRICK WORK SUMMARY'!J9</f>
        <v>88.143500000000017</v>
      </c>
      <c r="K66" s="46">
        <v>49360.360000000008</v>
      </c>
      <c r="L66" s="652">
        <f t="shared" si="0"/>
        <v>0</v>
      </c>
      <c r="M66" s="324">
        <f>G66*J66</f>
        <v>49360.360000000008</v>
      </c>
      <c r="N66" s="64">
        <f t="shared" si="3"/>
        <v>8.8143500000000014E-2</v>
      </c>
    </row>
    <row r="67" spans="1:14">
      <c r="A67" s="32" t="s">
        <v>126</v>
      </c>
      <c r="B67" s="33" t="s">
        <v>127</v>
      </c>
      <c r="C67" s="44"/>
      <c r="D67" s="47"/>
      <c r="E67" s="48"/>
      <c r="F67" s="48"/>
      <c r="G67" s="382"/>
      <c r="H67" s="46"/>
      <c r="I67" s="46"/>
      <c r="J67" s="324"/>
      <c r="K67" s="46"/>
      <c r="L67" s="652"/>
      <c r="M67" s="46"/>
      <c r="N67" s="64"/>
    </row>
    <row r="68" spans="1:14" ht="63.75">
      <c r="A68" s="32" t="s">
        <v>128</v>
      </c>
      <c r="B68" s="39" t="s">
        <v>129</v>
      </c>
      <c r="C68" s="44"/>
      <c r="D68" s="47"/>
      <c r="E68" s="48"/>
      <c r="F68" s="48"/>
      <c r="G68" s="382"/>
      <c r="H68" s="46"/>
      <c r="I68" s="46"/>
      <c r="J68" s="324"/>
      <c r="K68" s="46"/>
      <c r="L68" s="652">
        <f t="shared" si="0"/>
        <v>0</v>
      </c>
      <c r="M68" s="46">
        <f t="shared" si="1"/>
        <v>0</v>
      </c>
      <c r="N68" s="64"/>
    </row>
    <row r="69" spans="1:14">
      <c r="A69" s="32" t="s">
        <v>130</v>
      </c>
      <c r="B69" s="39" t="s">
        <v>85</v>
      </c>
      <c r="C69" s="44" t="s">
        <v>71</v>
      </c>
      <c r="D69" s="47">
        <v>1185</v>
      </c>
      <c r="E69" s="48">
        <v>6300</v>
      </c>
      <c r="F69" s="48">
        <f t="shared" ref="F69:F70" si="11">$D69*E69</f>
        <v>7465500</v>
      </c>
      <c r="G69" s="382"/>
      <c r="H69" s="46"/>
      <c r="I69" s="46">
        <f t="shared" si="2"/>
        <v>0</v>
      </c>
      <c r="J69" s="324">
        <f>'BRICK WORK SUMMARY'!J12</f>
        <v>0</v>
      </c>
      <c r="K69" s="46"/>
      <c r="L69" s="652">
        <f t="shared" si="0"/>
        <v>0</v>
      </c>
      <c r="M69" s="46">
        <f t="shared" si="1"/>
        <v>0</v>
      </c>
      <c r="N69" s="64">
        <f t="shared" si="3"/>
        <v>0</v>
      </c>
    </row>
    <row r="70" spans="1:14" ht="25.5">
      <c r="A70" s="32" t="s">
        <v>131</v>
      </c>
      <c r="B70" s="39" t="s">
        <v>87</v>
      </c>
      <c r="C70" s="44" t="s">
        <v>71</v>
      </c>
      <c r="D70" s="47">
        <v>1355</v>
      </c>
      <c r="E70" s="48">
        <v>6500</v>
      </c>
      <c r="F70" s="48">
        <f t="shared" si="11"/>
        <v>8807500</v>
      </c>
      <c r="G70" s="382"/>
      <c r="H70" s="46"/>
      <c r="I70" s="46">
        <f t="shared" si="2"/>
        <v>0</v>
      </c>
      <c r="J70" s="324">
        <f>'BRICK WORK SUMMARY'!J13</f>
        <v>0</v>
      </c>
      <c r="K70" s="46"/>
      <c r="L70" s="652">
        <f t="shared" si="0"/>
        <v>0</v>
      </c>
      <c r="M70" s="46">
        <f t="shared" si="1"/>
        <v>0</v>
      </c>
      <c r="N70" s="64">
        <f t="shared" si="3"/>
        <v>0</v>
      </c>
    </row>
    <row r="71" spans="1:14">
      <c r="A71" s="32" t="s">
        <v>132</v>
      </c>
      <c r="B71" s="33" t="s">
        <v>127</v>
      </c>
      <c r="C71" s="44"/>
      <c r="D71" s="47"/>
      <c r="E71" s="48"/>
      <c r="F71" s="48"/>
      <c r="G71" s="382"/>
      <c r="H71" s="46"/>
      <c r="I71" s="46"/>
      <c r="J71" s="324"/>
      <c r="K71" s="46"/>
      <c r="L71" s="652"/>
      <c r="M71" s="46"/>
      <c r="N71" s="64"/>
    </row>
    <row r="72" spans="1:14" ht="81.75" customHeight="1">
      <c r="A72" s="32" t="s">
        <v>133</v>
      </c>
      <c r="B72" s="39" t="s">
        <v>167</v>
      </c>
      <c r="C72" s="44"/>
      <c r="D72" s="47"/>
      <c r="E72" s="48"/>
      <c r="F72" s="48"/>
      <c r="G72" s="382"/>
      <c r="H72" s="46"/>
      <c r="I72" s="46"/>
      <c r="J72" s="324"/>
      <c r="K72" s="46"/>
      <c r="L72" s="652"/>
      <c r="M72" s="46"/>
      <c r="N72" s="64"/>
    </row>
    <row r="73" spans="1:14">
      <c r="A73" s="32" t="s">
        <v>130</v>
      </c>
      <c r="B73" s="39" t="s">
        <v>85</v>
      </c>
      <c r="C73" s="44" t="s">
        <v>9</v>
      </c>
      <c r="D73" s="47">
        <v>7100</v>
      </c>
      <c r="E73" s="48">
        <v>875</v>
      </c>
      <c r="F73" s="48">
        <f t="shared" ref="F73:F74" si="12">$D73*E73</f>
        <v>6212500</v>
      </c>
      <c r="G73" s="382"/>
      <c r="H73" s="46"/>
      <c r="I73" s="46">
        <f t="shared" si="2"/>
        <v>0</v>
      </c>
      <c r="J73" s="324">
        <f>'BRICK WORK SUMMARY'!J16</f>
        <v>0</v>
      </c>
      <c r="K73" s="46"/>
      <c r="L73" s="652">
        <f t="shared" si="0"/>
        <v>0</v>
      </c>
      <c r="M73" s="46">
        <f t="shared" si="1"/>
        <v>0</v>
      </c>
      <c r="N73" s="64">
        <f t="shared" si="3"/>
        <v>0</v>
      </c>
    </row>
    <row r="74" spans="1:14" ht="25.5">
      <c r="A74" s="32" t="s">
        <v>131</v>
      </c>
      <c r="B74" s="39" t="s">
        <v>87</v>
      </c>
      <c r="C74" s="44" t="s">
        <v>9</v>
      </c>
      <c r="D74" s="47">
        <v>8155</v>
      </c>
      <c r="E74" s="48">
        <v>915</v>
      </c>
      <c r="F74" s="48">
        <f t="shared" si="12"/>
        <v>7461825</v>
      </c>
      <c r="G74" s="382"/>
      <c r="H74" s="46"/>
      <c r="I74" s="46">
        <f t="shared" si="2"/>
        <v>0</v>
      </c>
      <c r="J74" s="324">
        <f>'BRICK WORK SUMMARY'!J17</f>
        <v>0</v>
      </c>
      <c r="K74" s="46"/>
      <c r="L74" s="652">
        <f t="shared" ref="L74:L104" si="13">M74-K74</f>
        <v>0</v>
      </c>
      <c r="M74" s="46">
        <f t="shared" ref="M74:M104" si="14">E74*J74</f>
        <v>0</v>
      </c>
      <c r="N74" s="64">
        <f t="shared" ref="N74:N104" si="15">J74/D74</f>
        <v>0</v>
      </c>
    </row>
    <row r="75" spans="1:14">
      <c r="A75" s="32" t="s">
        <v>134</v>
      </c>
      <c r="B75" s="33" t="s">
        <v>168</v>
      </c>
      <c r="C75" s="44"/>
      <c r="D75" s="47"/>
      <c r="E75" s="48"/>
      <c r="F75" s="48"/>
      <c r="G75" s="382"/>
      <c r="H75" s="46"/>
      <c r="I75" s="46"/>
      <c r="J75" s="324"/>
      <c r="K75" s="46"/>
      <c r="L75" s="652"/>
      <c r="M75" s="46"/>
      <c r="N75" s="64"/>
    </row>
    <row r="76" spans="1:14" ht="63.75">
      <c r="A76" s="32"/>
      <c r="B76" s="39" t="s">
        <v>135</v>
      </c>
      <c r="C76" s="44" t="s">
        <v>71</v>
      </c>
      <c r="D76" s="47">
        <v>40</v>
      </c>
      <c r="E76" s="48">
        <v>7000</v>
      </c>
      <c r="F76" s="48">
        <f>$D76*E76</f>
        <v>280000</v>
      </c>
      <c r="G76" s="382"/>
      <c r="H76" s="46"/>
      <c r="I76" s="46">
        <f t="shared" ref="I76:I104" si="16">J76-H76</f>
        <v>0</v>
      </c>
      <c r="J76" s="324">
        <f>'BRICK WORK SUMMARY'!J19</f>
        <v>0</v>
      </c>
      <c r="K76" s="46"/>
      <c r="L76" s="652">
        <f t="shared" si="13"/>
        <v>0</v>
      </c>
      <c r="M76" s="46">
        <f t="shared" si="14"/>
        <v>0</v>
      </c>
      <c r="N76" s="64">
        <f t="shared" si="15"/>
        <v>0</v>
      </c>
    </row>
    <row r="77" spans="1:14">
      <c r="A77" s="32"/>
      <c r="B77" s="33" t="s">
        <v>136</v>
      </c>
      <c r="C77" s="44"/>
      <c r="D77" s="47"/>
      <c r="E77" s="48"/>
      <c r="F77" s="48">
        <f>SUBTOTAL(9,F63:F76)</f>
        <v>31627325</v>
      </c>
      <c r="G77" s="382"/>
      <c r="H77" s="46"/>
      <c r="I77" s="46"/>
      <c r="J77" s="46"/>
      <c r="K77" s="46"/>
      <c r="L77" s="652"/>
      <c r="M77" s="46"/>
      <c r="N77" s="64"/>
    </row>
    <row r="78" spans="1:14">
      <c r="A78" s="32"/>
      <c r="B78" s="39"/>
      <c r="C78" s="44"/>
      <c r="D78" s="47"/>
      <c r="E78" s="48"/>
      <c r="F78" s="48"/>
      <c r="G78" s="382"/>
      <c r="H78" s="46"/>
      <c r="I78" s="46"/>
      <c r="J78" s="46"/>
      <c r="K78" s="46"/>
      <c r="L78" s="652"/>
      <c r="M78" s="46"/>
      <c r="N78" s="64"/>
    </row>
    <row r="79" spans="1:14">
      <c r="A79" s="32">
        <v>6</v>
      </c>
      <c r="B79" s="616" t="s">
        <v>137</v>
      </c>
      <c r="C79" s="44"/>
      <c r="D79" s="47"/>
      <c r="E79" s="48"/>
      <c r="F79" s="48"/>
      <c r="G79" s="382"/>
      <c r="H79" s="46"/>
      <c r="I79" s="46"/>
      <c r="J79" s="46"/>
      <c r="K79" s="46"/>
      <c r="L79" s="652"/>
      <c r="M79" s="46"/>
      <c r="N79" s="64"/>
    </row>
    <row r="80" spans="1:14" ht="62.25" customHeight="1">
      <c r="A80" s="32"/>
      <c r="B80" s="39" t="s">
        <v>138</v>
      </c>
      <c r="C80" s="44"/>
      <c r="D80" s="47"/>
      <c r="E80" s="48"/>
      <c r="F80" s="48"/>
      <c r="G80" s="382"/>
      <c r="H80" s="46"/>
      <c r="I80" s="46"/>
      <c r="J80" s="46"/>
      <c r="K80" s="46"/>
      <c r="L80" s="652"/>
      <c r="M80" s="46"/>
      <c r="N80" s="64"/>
    </row>
    <row r="81" spans="1:14">
      <c r="A81" s="32"/>
      <c r="B81" s="39"/>
      <c r="C81" s="44"/>
      <c r="D81" s="47"/>
      <c r="E81" s="48"/>
      <c r="F81" s="48"/>
      <c r="G81" s="382"/>
      <c r="H81" s="46"/>
      <c r="I81" s="46"/>
      <c r="J81" s="46"/>
      <c r="K81" s="46"/>
      <c r="L81" s="652"/>
      <c r="M81" s="46"/>
      <c r="N81" s="64"/>
    </row>
    <row r="82" spans="1:14">
      <c r="A82" s="32" t="s">
        <v>139</v>
      </c>
      <c r="B82" s="33" t="s">
        <v>140</v>
      </c>
      <c r="C82" s="44"/>
      <c r="D82" s="47"/>
      <c r="E82" s="48"/>
      <c r="F82" s="48"/>
      <c r="G82" s="382"/>
      <c r="H82" s="46"/>
      <c r="I82" s="46"/>
      <c r="J82" s="46"/>
      <c r="K82" s="46"/>
      <c r="L82" s="652"/>
      <c r="M82" s="46"/>
      <c r="N82" s="64"/>
    </row>
    <row r="83" spans="1:14" ht="68.25" customHeight="1">
      <c r="A83" s="32"/>
      <c r="B83" s="38" t="s">
        <v>169</v>
      </c>
      <c r="C83" s="44"/>
      <c r="D83" s="47"/>
      <c r="E83" s="48"/>
      <c r="F83" s="48"/>
      <c r="G83" s="382"/>
      <c r="H83" s="46"/>
      <c r="I83" s="46"/>
      <c r="J83" s="46"/>
      <c r="K83" s="46"/>
      <c r="L83" s="652"/>
      <c r="M83" s="46"/>
      <c r="N83" s="64"/>
    </row>
    <row r="84" spans="1:14">
      <c r="A84" s="32" t="s">
        <v>130</v>
      </c>
      <c r="B84" s="39" t="s">
        <v>85</v>
      </c>
      <c r="C84" s="44" t="s">
        <v>9</v>
      </c>
      <c r="D84" s="47">
        <v>19970</v>
      </c>
      <c r="E84" s="48">
        <v>265</v>
      </c>
      <c r="F84" s="48">
        <f t="shared" ref="F84:F85" si="17">$D84*E84</f>
        <v>5292050</v>
      </c>
      <c r="G84" s="382"/>
      <c r="H84" s="46"/>
      <c r="I84" s="46">
        <f t="shared" si="16"/>
        <v>0</v>
      </c>
      <c r="J84" s="46"/>
      <c r="K84" s="46"/>
      <c r="L84" s="652">
        <f t="shared" si="13"/>
        <v>0</v>
      </c>
      <c r="M84" s="46">
        <f t="shared" si="14"/>
        <v>0</v>
      </c>
      <c r="N84" s="64">
        <f t="shared" si="15"/>
        <v>0</v>
      </c>
    </row>
    <row r="85" spans="1:14" ht="25.5">
      <c r="A85" s="32" t="s">
        <v>131</v>
      </c>
      <c r="B85" s="39" t="s">
        <v>87</v>
      </c>
      <c r="C85" s="44" t="s">
        <v>9</v>
      </c>
      <c r="D85" s="47">
        <v>22825</v>
      </c>
      <c r="E85" s="48">
        <v>280</v>
      </c>
      <c r="F85" s="48">
        <f t="shared" si="17"/>
        <v>6391000</v>
      </c>
      <c r="G85" s="382"/>
      <c r="H85" s="46"/>
      <c r="I85" s="46">
        <f t="shared" si="16"/>
        <v>0</v>
      </c>
      <c r="J85" s="46"/>
      <c r="K85" s="46"/>
      <c r="L85" s="652">
        <f t="shared" si="13"/>
        <v>0</v>
      </c>
      <c r="M85" s="46">
        <f t="shared" si="14"/>
        <v>0</v>
      </c>
      <c r="N85" s="64">
        <f t="shared" si="15"/>
        <v>0</v>
      </c>
    </row>
    <row r="86" spans="1:14">
      <c r="A86" s="32" t="s">
        <v>141</v>
      </c>
      <c r="B86" s="33" t="s">
        <v>140</v>
      </c>
      <c r="C86" s="44"/>
      <c r="D86" s="47"/>
      <c r="E86" s="48"/>
      <c r="F86" s="48"/>
      <c r="G86" s="382"/>
      <c r="H86" s="46"/>
      <c r="I86" s="46"/>
      <c r="J86" s="46"/>
      <c r="K86" s="46"/>
      <c r="L86" s="652"/>
      <c r="M86" s="46"/>
      <c r="N86" s="64"/>
    </row>
    <row r="87" spans="1:14" ht="69" customHeight="1">
      <c r="A87" s="32"/>
      <c r="B87" s="38" t="s">
        <v>170</v>
      </c>
      <c r="C87" s="44"/>
      <c r="D87" s="47"/>
      <c r="E87" s="48"/>
      <c r="F87" s="48"/>
      <c r="G87" s="382"/>
      <c r="H87" s="46"/>
      <c r="I87" s="46"/>
      <c r="J87" s="46"/>
      <c r="K87" s="46"/>
      <c r="L87" s="652"/>
      <c r="M87" s="46"/>
      <c r="N87" s="64"/>
    </row>
    <row r="88" spans="1:14">
      <c r="A88" s="32" t="s">
        <v>130</v>
      </c>
      <c r="B88" s="39" t="s">
        <v>85</v>
      </c>
      <c r="C88" s="44" t="s">
        <v>9</v>
      </c>
      <c r="D88" s="47">
        <v>9135</v>
      </c>
      <c r="E88" s="48">
        <v>255</v>
      </c>
      <c r="F88" s="48">
        <f t="shared" ref="F88:F89" si="18">$D88*E88</f>
        <v>2329425</v>
      </c>
      <c r="G88" s="382"/>
      <c r="H88" s="46"/>
      <c r="I88" s="46">
        <f t="shared" si="16"/>
        <v>0</v>
      </c>
      <c r="J88" s="46"/>
      <c r="K88" s="46"/>
      <c r="L88" s="652">
        <f t="shared" si="13"/>
        <v>0</v>
      </c>
      <c r="M88" s="46">
        <f t="shared" si="14"/>
        <v>0</v>
      </c>
      <c r="N88" s="64">
        <f t="shared" si="15"/>
        <v>0</v>
      </c>
    </row>
    <row r="89" spans="1:14" ht="25.5">
      <c r="A89" s="32" t="s">
        <v>131</v>
      </c>
      <c r="B89" s="39" t="s">
        <v>87</v>
      </c>
      <c r="C89" s="44" t="s">
        <v>9</v>
      </c>
      <c r="D89" s="47">
        <v>10440</v>
      </c>
      <c r="E89" s="48">
        <v>270</v>
      </c>
      <c r="F89" s="48">
        <f t="shared" si="18"/>
        <v>2818800</v>
      </c>
      <c r="G89" s="382"/>
      <c r="H89" s="46"/>
      <c r="I89" s="46">
        <f t="shared" si="16"/>
        <v>0</v>
      </c>
      <c r="J89" s="46"/>
      <c r="K89" s="46"/>
      <c r="L89" s="652">
        <f t="shared" si="13"/>
        <v>0</v>
      </c>
      <c r="M89" s="46">
        <f t="shared" si="14"/>
        <v>0</v>
      </c>
      <c r="N89" s="64">
        <f t="shared" si="15"/>
        <v>0</v>
      </c>
    </row>
    <row r="90" spans="1:14" ht="96" customHeight="1">
      <c r="A90" s="32">
        <v>6.3</v>
      </c>
      <c r="B90" s="38" t="s">
        <v>171</v>
      </c>
      <c r="C90" s="44" t="s">
        <v>9</v>
      </c>
      <c r="D90" s="47">
        <v>19200</v>
      </c>
      <c r="E90" s="48">
        <v>480</v>
      </c>
      <c r="F90" s="48">
        <f>$D90*E90</f>
        <v>9216000</v>
      </c>
      <c r="G90" s="382"/>
      <c r="H90" s="46"/>
      <c r="I90" s="46">
        <f t="shared" si="16"/>
        <v>0</v>
      </c>
      <c r="J90" s="46"/>
      <c r="K90" s="46"/>
      <c r="L90" s="652"/>
      <c r="M90" s="46"/>
      <c r="N90" s="64">
        <f t="shared" si="15"/>
        <v>0</v>
      </c>
    </row>
    <row r="91" spans="1:14" ht="67.5" customHeight="1">
      <c r="A91" s="32">
        <v>6.4</v>
      </c>
      <c r="B91" s="38" t="s">
        <v>172</v>
      </c>
      <c r="C91" s="44" t="s">
        <v>9</v>
      </c>
      <c r="D91" s="47">
        <v>1000</v>
      </c>
      <c r="E91" s="48">
        <v>380</v>
      </c>
      <c r="F91" s="48">
        <f>$D91*E91</f>
        <v>380000</v>
      </c>
      <c r="G91" s="382"/>
      <c r="H91" s="46"/>
      <c r="I91" s="46">
        <f t="shared" si="16"/>
        <v>0</v>
      </c>
      <c r="J91" s="46"/>
      <c r="K91" s="46"/>
      <c r="L91" s="652">
        <f t="shared" si="13"/>
        <v>0</v>
      </c>
      <c r="M91" s="46">
        <f t="shared" si="14"/>
        <v>0</v>
      </c>
      <c r="N91" s="64">
        <f t="shared" si="15"/>
        <v>0</v>
      </c>
    </row>
    <row r="92" spans="1:14">
      <c r="A92" s="32"/>
      <c r="B92" s="33" t="s">
        <v>142</v>
      </c>
      <c r="C92" s="44"/>
      <c r="D92" s="47"/>
      <c r="E92" s="48"/>
      <c r="F92" s="48">
        <f>SUBTOTAL(9,F81:F91)</f>
        <v>26427275</v>
      </c>
      <c r="G92" s="382"/>
      <c r="H92" s="46"/>
      <c r="I92" s="46"/>
      <c r="J92" s="46"/>
      <c r="K92" s="46"/>
      <c r="L92" s="652"/>
      <c r="M92" s="46"/>
      <c r="N92" s="64"/>
    </row>
    <row r="93" spans="1:14">
      <c r="A93" s="32"/>
      <c r="B93" s="39"/>
      <c r="C93" s="44"/>
      <c r="D93" s="47"/>
      <c r="E93" s="48"/>
      <c r="F93" s="48"/>
      <c r="G93" s="382"/>
      <c r="H93" s="46"/>
      <c r="I93" s="46"/>
      <c r="J93" s="46"/>
      <c r="K93" s="46"/>
      <c r="L93" s="652"/>
      <c r="M93" s="46"/>
      <c r="N93" s="64"/>
    </row>
    <row r="94" spans="1:14">
      <c r="A94" s="29">
        <v>7</v>
      </c>
      <c r="B94" s="616" t="s">
        <v>143</v>
      </c>
      <c r="C94" s="44"/>
      <c r="D94" s="47"/>
      <c r="E94" s="48"/>
      <c r="F94" s="48"/>
      <c r="G94" s="382"/>
      <c r="H94" s="46"/>
      <c r="I94" s="46"/>
      <c r="J94" s="46"/>
      <c r="K94" s="46"/>
      <c r="L94" s="652"/>
      <c r="M94" s="46"/>
      <c r="N94" s="64"/>
    </row>
    <row r="95" spans="1:14" ht="108.75" customHeight="1">
      <c r="A95" s="32" t="s">
        <v>144</v>
      </c>
      <c r="B95" s="38" t="s">
        <v>173</v>
      </c>
      <c r="C95" s="44" t="s">
        <v>59</v>
      </c>
      <c r="D95" s="47">
        <v>39665</v>
      </c>
      <c r="E95" s="48">
        <v>110</v>
      </c>
      <c r="F95" s="48">
        <f>$D95*E95</f>
        <v>4363150</v>
      </c>
      <c r="G95" s="382"/>
      <c r="H95" s="46"/>
      <c r="I95" s="46">
        <f t="shared" si="16"/>
        <v>0</v>
      </c>
      <c r="J95" s="46"/>
      <c r="K95" s="46"/>
      <c r="L95" s="652">
        <f t="shared" si="13"/>
        <v>0</v>
      </c>
      <c r="M95" s="46">
        <f t="shared" si="14"/>
        <v>0</v>
      </c>
      <c r="N95" s="64">
        <f t="shared" si="15"/>
        <v>0</v>
      </c>
    </row>
    <row r="96" spans="1:14">
      <c r="A96" s="32"/>
      <c r="B96" s="33" t="s">
        <v>145</v>
      </c>
      <c r="C96" s="44"/>
      <c r="D96" s="47"/>
      <c r="E96" s="48"/>
      <c r="F96" s="48">
        <f>SUBTOTAL(9,F95)</f>
        <v>4363150</v>
      </c>
      <c r="G96" s="382"/>
      <c r="H96" s="46"/>
      <c r="I96" s="46"/>
      <c r="J96" s="46"/>
      <c r="K96" s="46"/>
      <c r="L96" s="652"/>
      <c r="M96" s="46"/>
      <c r="N96" s="64"/>
    </row>
    <row r="97" spans="1:14">
      <c r="A97" s="32"/>
      <c r="B97" s="39"/>
      <c r="C97" s="44"/>
      <c r="D97" s="47"/>
      <c r="E97" s="48"/>
      <c r="F97" s="48"/>
      <c r="G97" s="382"/>
      <c r="H97" s="46"/>
      <c r="I97" s="46"/>
      <c r="J97" s="46"/>
      <c r="K97" s="46"/>
      <c r="L97" s="652"/>
      <c r="M97" s="46"/>
      <c r="N97" s="64"/>
    </row>
    <row r="98" spans="1:14">
      <c r="A98" s="29">
        <v>8</v>
      </c>
      <c r="B98" s="616" t="s">
        <v>146</v>
      </c>
      <c r="C98" s="44"/>
      <c r="D98" s="47"/>
      <c r="E98" s="48"/>
      <c r="F98" s="48"/>
      <c r="G98" s="382"/>
      <c r="H98" s="46"/>
      <c r="I98" s="46"/>
      <c r="J98" s="46"/>
      <c r="K98" s="46"/>
      <c r="L98" s="652"/>
      <c r="M98" s="46"/>
      <c r="N98" s="64"/>
    </row>
    <row r="99" spans="1:14" ht="99" customHeight="1">
      <c r="A99" s="32">
        <v>1</v>
      </c>
      <c r="B99" s="38" t="s">
        <v>174</v>
      </c>
      <c r="C99" s="44" t="s">
        <v>71</v>
      </c>
      <c r="D99" s="47">
        <v>50</v>
      </c>
      <c r="E99" s="48">
        <v>79000</v>
      </c>
      <c r="F99" s="48">
        <f>$D99*E99</f>
        <v>3950000</v>
      </c>
      <c r="G99" s="382"/>
      <c r="H99" s="46"/>
      <c r="I99" s="46">
        <f t="shared" si="16"/>
        <v>0</v>
      </c>
      <c r="J99" s="46"/>
      <c r="K99" s="46"/>
      <c r="L99" s="652">
        <f t="shared" si="13"/>
        <v>0</v>
      </c>
      <c r="M99" s="46">
        <f t="shared" si="14"/>
        <v>0</v>
      </c>
      <c r="N99" s="64">
        <f t="shared" si="15"/>
        <v>0</v>
      </c>
    </row>
    <row r="100" spans="1:14">
      <c r="A100" s="32"/>
      <c r="B100" s="33" t="s">
        <v>147</v>
      </c>
      <c r="C100" s="44"/>
      <c r="D100" s="47"/>
      <c r="E100" s="48"/>
      <c r="F100" s="48">
        <f>SUBTOTAL(9,F99)</f>
        <v>3950000</v>
      </c>
      <c r="G100" s="382"/>
      <c r="H100" s="46"/>
      <c r="I100" s="46"/>
      <c r="J100" s="46"/>
      <c r="K100" s="46"/>
      <c r="L100" s="652"/>
      <c r="M100" s="46"/>
      <c r="N100" s="64"/>
    </row>
    <row r="101" spans="1:14">
      <c r="A101" s="32"/>
      <c r="B101" s="39"/>
      <c r="C101" s="44"/>
      <c r="D101" s="47"/>
      <c r="E101" s="48"/>
      <c r="F101" s="48"/>
      <c r="G101" s="382"/>
      <c r="H101" s="46"/>
      <c r="I101" s="46"/>
      <c r="J101" s="46"/>
      <c r="K101" s="46"/>
      <c r="L101" s="652"/>
      <c r="M101" s="46"/>
      <c r="N101" s="64"/>
    </row>
    <row r="102" spans="1:14">
      <c r="A102" s="29">
        <v>9</v>
      </c>
      <c r="B102" s="616" t="s">
        <v>148</v>
      </c>
      <c r="C102" s="44"/>
      <c r="D102" s="47"/>
      <c r="E102" s="48"/>
      <c r="F102" s="48"/>
      <c r="G102" s="382"/>
      <c r="H102" s="46"/>
      <c r="I102" s="46"/>
      <c r="J102" s="46"/>
      <c r="K102" s="46"/>
      <c r="L102" s="652"/>
      <c r="M102" s="46"/>
      <c r="N102" s="64"/>
    </row>
    <row r="103" spans="1:14">
      <c r="A103" s="32"/>
      <c r="B103" s="33" t="s">
        <v>149</v>
      </c>
      <c r="C103" s="44"/>
      <c r="D103" s="47"/>
      <c r="E103" s="48"/>
      <c r="F103" s="48"/>
      <c r="G103" s="382"/>
      <c r="H103" s="46"/>
      <c r="I103" s="46"/>
      <c r="J103" s="46"/>
      <c r="K103" s="46"/>
      <c r="L103" s="652"/>
      <c r="M103" s="46"/>
      <c r="N103" s="64"/>
    </row>
    <row r="104" spans="1:14" ht="115.5" customHeight="1">
      <c r="A104" s="34">
        <v>1</v>
      </c>
      <c r="B104" s="35" t="s">
        <v>150</v>
      </c>
      <c r="C104" s="693" t="s">
        <v>9</v>
      </c>
      <c r="D104" s="694">
        <v>1000</v>
      </c>
      <c r="E104" s="695">
        <v>1150</v>
      </c>
      <c r="F104" s="695">
        <f>$D104*E104</f>
        <v>1150000</v>
      </c>
      <c r="G104" s="382"/>
      <c r="H104" s="46"/>
      <c r="I104" s="46">
        <f t="shared" si="16"/>
        <v>0</v>
      </c>
      <c r="J104" s="46"/>
      <c r="K104" s="46"/>
      <c r="L104" s="652">
        <f t="shared" si="13"/>
        <v>0</v>
      </c>
      <c r="M104" s="46">
        <f t="shared" si="14"/>
        <v>0</v>
      </c>
      <c r="N104" s="64">
        <f t="shared" si="15"/>
        <v>0</v>
      </c>
    </row>
    <row r="105" spans="1:14" ht="67.5" customHeight="1">
      <c r="A105" s="36"/>
      <c r="B105" s="41" t="s">
        <v>175</v>
      </c>
      <c r="C105" s="693"/>
      <c r="D105" s="694"/>
      <c r="E105" s="695"/>
      <c r="F105" s="695"/>
      <c r="G105" s="382"/>
      <c r="H105" s="46"/>
      <c r="I105" s="46"/>
      <c r="J105" s="46"/>
      <c r="K105" s="46"/>
      <c r="L105" s="652"/>
      <c r="M105" s="46"/>
      <c r="N105" s="64"/>
    </row>
    <row r="106" spans="1:14">
      <c r="A106" s="32"/>
      <c r="B106" s="33" t="s">
        <v>151</v>
      </c>
      <c r="C106" s="44"/>
      <c r="D106" s="47"/>
      <c r="E106" s="48"/>
      <c r="F106" s="48">
        <f>SUBTOTAL(9,F104:F105)</f>
        <v>1150000</v>
      </c>
      <c r="G106" s="382"/>
      <c r="H106" s="46"/>
      <c r="I106" s="46"/>
      <c r="J106" s="46"/>
      <c r="K106" s="46"/>
      <c r="L106" s="652"/>
      <c r="M106" s="46"/>
      <c r="N106" s="64"/>
    </row>
    <row r="107" spans="1:14">
      <c r="A107" s="32"/>
      <c r="B107" s="33"/>
      <c r="C107" s="459"/>
      <c r="D107" s="460"/>
      <c r="E107" s="461"/>
      <c r="F107" s="461"/>
      <c r="G107" s="461"/>
      <c r="H107" s="46"/>
      <c r="I107" s="46"/>
      <c r="J107" s="46"/>
      <c r="K107" s="46"/>
      <c r="L107" s="46"/>
      <c r="M107" s="46"/>
      <c r="N107" s="64"/>
    </row>
    <row r="108" spans="1:14">
      <c r="A108" s="32"/>
      <c r="B108" s="39"/>
      <c r="C108" s="44"/>
      <c r="D108" s="47"/>
      <c r="E108" s="48"/>
      <c r="F108" s="48"/>
      <c r="G108" s="382"/>
      <c r="H108" s="46"/>
      <c r="I108" s="46"/>
      <c r="J108" s="46"/>
      <c r="K108" s="46"/>
      <c r="L108" s="46"/>
      <c r="M108" s="46"/>
      <c r="N108" s="64"/>
    </row>
    <row r="109" spans="1:14" ht="20.25" customHeight="1">
      <c r="A109" s="618"/>
      <c r="B109" s="619" t="s">
        <v>152</v>
      </c>
      <c r="C109" s="620"/>
      <c r="D109" s="621"/>
      <c r="E109" s="622"/>
      <c r="F109" s="622">
        <f>SUBTOTAL(9,F8:F106)</f>
        <v>162074375</v>
      </c>
      <c r="G109" s="622"/>
      <c r="H109" s="474">
        <f t="shared" ref="H109:M109" si="19">SUM(H9:H108)</f>
        <v>12528.793741135732</v>
      </c>
      <c r="I109" s="474">
        <f t="shared" si="19"/>
        <v>1572.8793114324994</v>
      </c>
      <c r="J109" s="474">
        <f t="shared" si="19"/>
        <v>14101.673052568232</v>
      </c>
      <c r="K109" s="474">
        <f t="shared" si="19"/>
        <v>16826126.732341342</v>
      </c>
      <c r="L109" s="474">
        <f t="shared" si="19"/>
        <v>2015625.9524786244</v>
      </c>
      <c r="M109" s="474">
        <f t="shared" si="19"/>
        <v>18841752.684819967</v>
      </c>
      <c r="N109" s="64"/>
    </row>
    <row r="110" spans="1:14">
      <c r="A110" s="40"/>
      <c r="B110" s="40"/>
      <c r="C110" s="53"/>
      <c r="D110" s="54"/>
      <c r="E110" s="55"/>
      <c r="F110" s="55"/>
      <c r="G110" s="55"/>
      <c r="H110" s="46"/>
      <c r="I110" s="46"/>
      <c r="J110" s="46"/>
      <c r="K110" s="46"/>
      <c r="L110" s="46"/>
      <c r="M110" s="46"/>
      <c r="N110" s="64"/>
    </row>
    <row r="111" spans="1:14">
      <c r="E111" s="56"/>
      <c r="F111" s="56"/>
      <c r="G111" s="56"/>
    </row>
    <row r="112" spans="1:14">
      <c r="M112" s="43">
        <f>158*80000</f>
        <v>12640000</v>
      </c>
    </row>
    <row r="113" spans="13:14">
      <c r="M113" s="570">
        <f>+M112+M109</f>
        <v>31481752.684819967</v>
      </c>
    </row>
    <row r="114" spans="13:14">
      <c r="M114" s="43">
        <f>+M113/10000000</f>
        <v>3.1481752684819968</v>
      </c>
    </row>
    <row r="120" spans="13:14">
      <c r="N120" s="569"/>
    </row>
  </sheetData>
  <mergeCells count="17">
    <mergeCell ref="B6:B7"/>
    <mergeCell ref="A6:A7"/>
    <mergeCell ref="A1:O1"/>
    <mergeCell ref="B2:I2"/>
    <mergeCell ref="J2:N2"/>
    <mergeCell ref="J3:N3"/>
    <mergeCell ref="J4:N4"/>
    <mergeCell ref="A5:N5"/>
    <mergeCell ref="H6:J6"/>
    <mergeCell ref="K6:M6"/>
    <mergeCell ref="N6:N7"/>
    <mergeCell ref="C104:C105"/>
    <mergeCell ref="D104:D105"/>
    <mergeCell ref="E104:E105"/>
    <mergeCell ref="F104:F105"/>
    <mergeCell ref="D6:F6"/>
    <mergeCell ref="C6:C7"/>
  </mergeCells>
  <printOptions horizontalCentered="1"/>
  <pageMargins left="0" right="0" top="0.31496062992126" bottom="0.511811023622047" header="0.31496062992126" footer="0.31496062992126"/>
  <pageSetup paperSize="9" scale="73" fitToHeight="0" orientation="landscape" r:id="rId1"/>
  <headerFooter>
    <oddFooter>&amp;C&amp;P</oddFooter>
  </headerFooter>
  <rowBreaks count="2" manualBreakCount="2">
    <brk id="17" max="13" man="1"/>
    <brk id="36" max="13" man="1"/>
  </rowBreaks>
  <ignoredErrors>
    <ignoredError sqref="M11"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14"/>
  <sheetViews>
    <sheetView workbookViewId="0">
      <selection activeCell="J9" sqref="J9"/>
    </sheetView>
  </sheetViews>
  <sheetFormatPr defaultColWidth="9.140625" defaultRowHeight="15"/>
  <cols>
    <col min="1" max="1" width="9.140625" style="86"/>
    <col min="2" max="2" width="12.7109375" style="86" customWidth="1"/>
    <col min="3" max="3" width="22.5703125" style="86" customWidth="1"/>
    <col min="4" max="4" width="7.42578125" style="86" customWidth="1"/>
    <col min="5" max="16384" width="9.140625" style="86"/>
  </cols>
  <sheetData>
    <row r="2" spans="1:15" ht="15.75">
      <c r="A2" s="703" t="s">
        <v>1269</v>
      </c>
      <c r="B2" s="703"/>
      <c r="C2" s="703"/>
      <c r="D2" s="703"/>
      <c r="E2" s="703"/>
      <c r="F2" s="703"/>
      <c r="G2" s="703"/>
      <c r="H2" s="703"/>
      <c r="I2" s="703"/>
      <c r="J2" s="703"/>
      <c r="K2" s="703"/>
      <c r="L2" s="703"/>
      <c r="M2" s="703"/>
      <c r="N2" s="703"/>
      <c r="O2" s="703"/>
    </row>
    <row r="3" spans="1:15" ht="18.75" customHeight="1">
      <c r="A3" s="706" t="s">
        <v>1</v>
      </c>
      <c r="B3" s="707" t="s">
        <v>440</v>
      </c>
      <c r="C3" s="706" t="s">
        <v>667</v>
      </c>
      <c r="D3" s="706" t="s">
        <v>3</v>
      </c>
      <c r="E3" s="705" t="s">
        <v>1270</v>
      </c>
      <c r="F3" s="705"/>
      <c r="G3" s="705"/>
      <c r="H3" s="705"/>
      <c r="I3" s="705"/>
      <c r="J3" s="704" t="s">
        <v>1271</v>
      </c>
      <c r="K3" s="704"/>
      <c r="L3" s="704"/>
      <c r="M3" s="704"/>
      <c r="N3" s="704"/>
      <c r="O3" s="706" t="s">
        <v>21</v>
      </c>
    </row>
    <row r="4" spans="1:15" ht="19.5" customHeight="1">
      <c r="A4" s="706"/>
      <c r="B4" s="708"/>
      <c r="C4" s="706"/>
      <c r="D4" s="706"/>
      <c r="E4" s="634" t="s">
        <v>466</v>
      </c>
      <c r="F4" s="634" t="s">
        <v>465</v>
      </c>
      <c r="G4" s="634" t="s">
        <v>464</v>
      </c>
      <c r="H4" s="634" t="s">
        <v>477</v>
      </c>
      <c r="I4" s="634" t="s">
        <v>738</v>
      </c>
      <c r="J4" s="636" t="s">
        <v>466</v>
      </c>
      <c r="K4" s="636" t="s">
        <v>465</v>
      </c>
      <c r="L4" s="636" t="s">
        <v>464</v>
      </c>
      <c r="M4" s="636" t="s">
        <v>477</v>
      </c>
      <c r="N4" s="636" t="s">
        <v>738</v>
      </c>
      <c r="O4" s="706"/>
    </row>
    <row r="5" spans="1:15" s="633" customFormat="1" ht="18.75" customHeight="1">
      <c r="A5" s="413">
        <v>1</v>
      </c>
      <c r="B5" s="632">
        <v>45796</v>
      </c>
      <c r="C5" s="413" t="s">
        <v>668</v>
      </c>
      <c r="D5" s="413" t="s">
        <v>71</v>
      </c>
      <c r="E5" s="635">
        <v>4400</v>
      </c>
      <c r="F5" s="635">
        <v>5100</v>
      </c>
      <c r="G5" s="635">
        <v>5300</v>
      </c>
      <c r="H5" s="635">
        <v>5500</v>
      </c>
      <c r="I5" s="635"/>
      <c r="J5" s="468">
        <v>3300</v>
      </c>
      <c r="K5" s="468">
        <v>3300</v>
      </c>
      <c r="L5" s="468">
        <v>3300</v>
      </c>
      <c r="M5" s="468">
        <v>3300</v>
      </c>
      <c r="N5" s="468"/>
      <c r="O5" s="413"/>
    </row>
    <row r="6" spans="1:15" s="633" customFormat="1" ht="18.75" customHeight="1">
      <c r="A6" s="413">
        <v>2</v>
      </c>
      <c r="B6" s="632"/>
      <c r="C6" s="413" t="s">
        <v>1272</v>
      </c>
      <c r="D6" s="413" t="s">
        <v>71</v>
      </c>
      <c r="E6" s="635">
        <v>4600</v>
      </c>
      <c r="F6" s="635">
        <v>5300</v>
      </c>
      <c r="G6" s="635">
        <v>5550</v>
      </c>
      <c r="H6" s="635">
        <v>5700</v>
      </c>
      <c r="I6" s="635"/>
      <c r="J6" s="468">
        <v>3450</v>
      </c>
      <c r="K6" s="468">
        <v>3450</v>
      </c>
      <c r="L6" s="468">
        <v>3400</v>
      </c>
      <c r="M6" s="468">
        <v>3400</v>
      </c>
      <c r="N6" s="468"/>
      <c r="O6" s="413"/>
    </row>
    <row r="7" spans="1:15">
      <c r="A7" s="572"/>
      <c r="B7" s="573"/>
      <c r="C7" s="573"/>
      <c r="D7" s="573"/>
      <c r="E7" s="573"/>
      <c r="F7" s="573"/>
      <c r="G7" s="573"/>
      <c r="H7" s="573"/>
      <c r="I7" s="573"/>
      <c r="J7" s="573"/>
      <c r="K7" s="573"/>
      <c r="L7" s="573"/>
      <c r="M7" s="573"/>
      <c r="N7" s="573"/>
      <c r="O7" s="574"/>
    </row>
    <row r="9" spans="1:15" s="633" customFormat="1" ht="18.75" customHeight="1">
      <c r="A9" s="413">
        <v>1</v>
      </c>
      <c r="B9" s="632">
        <v>45964</v>
      </c>
      <c r="C9" s="413" t="s">
        <v>668</v>
      </c>
      <c r="D9" s="413" t="s">
        <v>71</v>
      </c>
      <c r="E9" s="635"/>
      <c r="F9" s="635"/>
      <c r="G9" s="635"/>
      <c r="H9" s="635">
        <v>5200</v>
      </c>
      <c r="I9" s="635">
        <v>5300</v>
      </c>
      <c r="J9" s="468"/>
      <c r="K9" s="468"/>
      <c r="L9" s="468"/>
      <c r="M9" s="468"/>
      <c r="N9" s="468"/>
      <c r="O9" s="413"/>
    </row>
    <row r="10" spans="1:15" s="633" customFormat="1" ht="18.75" customHeight="1">
      <c r="A10" s="413">
        <v>2</v>
      </c>
      <c r="B10" s="632"/>
      <c r="C10" s="413" t="s">
        <v>535</v>
      </c>
      <c r="D10" s="413" t="s">
        <v>71</v>
      </c>
      <c r="E10" s="635"/>
      <c r="F10" s="635"/>
      <c r="G10" s="635"/>
      <c r="H10" s="635">
        <v>5300</v>
      </c>
      <c r="I10" s="635">
        <v>5500</v>
      </c>
      <c r="J10" s="468"/>
      <c r="K10" s="468"/>
      <c r="L10" s="468"/>
      <c r="M10" s="468"/>
      <c r="N10" s="468"/>
      <c r="O10" s="413"/>
    </row>
    <row r="11" spans="1:15">
      <c r="A11" s="572"/>
      <c r="B11" s="573"/>
      <c r="C11" s="573"/>
      <c r="D11" s="573"/>
      <c r="E11" s="573"/>
      <c r="F11" s="573"/>
      <c r="G11" s="573"/>
      <c r="H11" s="573"/>
      <c r="I11" s="573"/>
      <c r="J11" s="573"/>
      <c r="K11" s="573"/>
      <c r="L11" s="573"/>
      <c r="M11" s="573"/>
      <c r="N11" s="573"/>
      <c r="O11" s="574"/>
    </row>
    <row r="12" spans="1:15" s="633" customFormat="1" ht="18.75" customHeight="1">
      <c r="A12" s="413">
        <v>1</v>
      </c>
      <c r="B12" s="632">
        <v>45978</v>
      </c>
      <c r="C12" s="413" t="s">
        <v>668</v>
      </c>
      <c r="D12" s="413" t="s">
        <v>71</v>
      </c>
      <c r="E12" s="635">
        <v>4400</v>
      </c>
      <c r="F12" s="635">
        <v>4950</v>
      </c>
      <c r="G12" s="635"/>
      <c r="H12" s="635"/>
      <c r="I12" s="635"/>
      <c r="J12" s="468"/>
      <c r="K12" s="468"/>
      <c r="L12" s="468"/>
      <c r="M12" s="468"/>
      <c r="N12" s="468"/>
      <c r="O12" s="413"/>
    </row>
    <row r="13" spans="1:15" s="633" customFormat="1" ht="18.75" customHeight="1">
      <c r="A13" s="413">
        <v>2</v>
      </c>
      <c r="B13" s="632"/>
      <c r="C13" s="413" t="s">
        <v>535</v>
      </c>
      <c r="D13" s="413" t="s">
        <v>71</v>
      </c>
      <c r="E13" s="635">
        <v>4500</v>
      </c>
      <c r="F13" s="635">
        <v>5100</v>
      </c>
      <c r="G13" s="635"/>
      <c r="H13" s="635"/>
      <c r="I13" s="635"/>
      <c r="J13" s="468"/>
      <c r="K13" s="468"/>
      <c r="L13" s="468"/>
      <c r="M13" s="468"/>
      <c r="N13" s="468"/>
      <c r="O13" s="413"/>
    </row>
    <row r="14" spans="1:15">
      <c r="A14" s="572"/>
      <c r="B14" s="573"/>
      <c r="C14" s="573"/>
      <c r="D14" s="573"/>
      <c r="E14" s="573"/>
      <c r="F14" s="573"/>
      <c r="G14" s="573"/>
      <c r="H14" s="573"/>
      <c r="I14" s="573"/>
      <c r="J14" s="573"/>
      <c r="K14" s="573"/>
      <c r="L14" s="573"/>
      <c r="M14" s="573"/>
      <c r="N14" s="573"/>
      <c r="O14" s="574"/>
    </row>
  </sheetData>
  <mergeCells count="8">
    <mergeCell ref="A2:O2"/>
    <mergeCell ref="J3:N3"/>
    <mergeCell ref="E3:I3"/>
    <mergeCell ref="D3:D4"/>
    <mergeCell ref="C3:C4"/>
    <mergeCell ref="A3:A4"/>
    <mergeCell ref="O3:O4"/>
    <mergeCell ref="B3:B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
  <sheetViews>
    <sheetView zoomScale="85" zoomScaleNormal="85" workbookViewId="0">
      <pane ySplit="2" topLeftCell="A87" activePane="bottomLeft" state="frozen"/>
      <selection pane="bottomLeft" activeCell="G110" sqref="G110"/>
    </sheetView>
  </sheetViews>
  <sheetFormatPr defaultColWidth="8.85546875" defaultRowHeight="15.75"/>
  <cols>
    <col min="1" max="1" width="6.5703125" style="342" customWidth="1"/>
    <col min="2" max="2" width="13.85546875" style="342" customWidth="1"/>
    <col min="3" max="3" width="16.28515625" style="342" customWidth="1"/>
    <col min="4" max="4" width="12.7109375" style="342" customWidth="1"/>
    <col min="5" max="5" width="7" style="342" customWidth="1"/>
    <col min="6" max="6" width="13.140625" style="342" customWidth="1"/>
    <col min="7" max="7" width="15.140625" style="342" customWidth="1"/>
    <col min="8" max="8" width="15.28515625" style="342" customWidth="1"/>
    <col min="9" max="10" width="13.85546875" style="342" customWidth="1"/>
    <col min="11" max="11" width="13.5703125" style="342" customWidth="1"/>
    <col min="12" max="16384" width="8.85546875" style="342"/>
  </cols>
  <sheetData>
    <row r="1" spans="1:14" ht="21">
      <c r="A1" s="709" t="s">
        <v>1268</v>
      </c>
      <c r="B1" s="709"/>
      <c r="C1" s="709"/>
      <c r="D1" s="709"/>
      <c r="E1" s="709"/>
      <c r="F1" s="709"/>
      <c r="G1" s="709"/>
      <c r="H1" s="709"/>
      <c r="I1" s="709"/>
      <c r="J1" s="709"/>
      <c r="K1" s="341"/>
    </row>
    <row r="2" spans="1:14" s="341" customFormat="1" ht="31.5">
      <c r="A2" s="330" t="s">
        <v>499</v>
      </c>
      <c r="B2" s="331" t="s">
        <v>440</v>
      </c>
      <c r="C2" s="330" t="s">
        <v>510</v>
      </c>
      <c r="D2" s="330" t="s">
        <v>501</v>
      </c>
      <c r="E2" s="330" t="s">
        <v>3</v>
      </c>
      <c r="F2" s="330" t="s">
        <v>52</v>
      </c>
      <c r="G2" s="330" t="s">
        <v>669</v>
      </c>
      <c r="H2" s="330" t="s">
        <v>1266</v>
      </c>
      <c r="I2" s="330" t="s">
        <v>1267</v>
      </c>
      <c r="J2" s="330" t="s">
        <v>670</v>
      </c>
      <c r="K2" s="330" t="s">
        <v>21</v>
      </c>
    </row>
    <row r="3" spans="1:14" s="367" customFormat="1">
      <c r="A3" s="361">
        <v>1</v>
      </c>
      <c r="B3" s="328">
        <v>45791</v>
      </c>
      <c r="C3" s="629" t="s">
        <v>480</v>
      </c>
      <c r="D3" s="360" t="s">
        <v>466</v>
      </c>
      <c r="E3" s="360" t="s">
        <v>71</v>
      </c>
      <c r="F3" s="326">
        <v>3.3</v>
      </c>
      <c r="G3" s="360">
        <v>4200</v>
      </c>
      <c r="H3" s="360">
        <v>4400</v>
      </c>
      <c r="I3" s="360">
        <f>H3-G3</f>
        <v>200</v>
      </c>
      <c r="J3" s="360">
        <f>F3*I3</f>
        <v>660</v>
      </c>
      <c r="K3" s="360"/>
    </row>
    <row r="4" spans="1:14" s="367" customFormat="1">
      <c r="A4" s="361">
        <v>2</v>
      </c>
      <c r="B4" s="328">
        <v>45797</v>
      </c>
      <c r="C4" s="629" t="s">
        <v>480</v>
      </c>
      <c r="D4" s="360" t="s">
        <v>466</v>
      </c>
      <c r="E4" s="360" t="s">
        <v>71</v>
      </c>
      <c r="F4" s="326">
        <v>5.4</v>
      </c>
      <c r="G4" s="360">
        <v>4200</v>
      </c>
      <c r="H4" s="360">
        <v>4400</v>
      </c>
      <c r="I4" s="360">
        <f t="shared" ref="I4:I67" si="0">H4-G4</f>
        <v>200</v>
      </c>
      <c r="J4" s="360">
        <f t="shared" ref="J4:J67" si="1">F4*I4</f>
        <v>1080</v>
      </c>
      <c r="K4" s="360"/>
      <c r="N4" s="630"/>
    </row>
    <row r="5" spans="1:14" s="367" customFormat="1">
      <c r="A5" s="361">
        <v>3</v>
      </c>
      <c r="B5" s="328">
        <v>45786</v>
      </c>
      <c r="C5" s="629" t="s">
        <v>512</v>
      </c>
      <c r="D5" s="360" t="s">
        <v>466</v>
      </c>
      <c r="E5" s="360" t="s">
        <v>71</v>
      </c>
      <c r="F5" s="329">
        <v>40</v>
      </c>
      <c r="G5" s="360">
        <v>4200</v>
      </c>
      <c r="H5" s="360">
        <v>4400</v>
      </c>
      <c r="I5" s="360">
        <f t="shared" si="0"/>
        <v>200</v>
      </c>
      <c r="J5" s="360">
        <f t="shared" si="1"/>
        <v>8000</v>
      </c>
      <c r="K5" s="360"/>
      <c r="N5" s="630"/>
    </row>
    <row r="6" spans="1:14" s="367" customFormat="1">
      <c r="A6" s="361">
        <v>4</v>
      </c>
      <c r="B6" s="328">
        <v>45789</v>
      </c>
      <c r="C6" s="629" t="s">
        <v>512</v>
      </c>
      <c r="D6" s="360" t="s">
        <v>466</v>
      </c>
      <c r="E6" s="360" t="s">
        <v>71</v>
      </c>
      <c r="F6" s="329">
        <v>17.5</v>
      </c>
      <c r="G6" s="360">
        <v>4200</v>
      </c>
      <c r="H6" s="360">
        <v>4400</v>
      </c>
      <c r="I6" s="360">
        <f t="shared" si="0"/>
        <v>200</v>
      </c>
      <c r="J6" s="360">
        <f t="shared" si="1"/>
        <v>3500</v>
      </c>
      <c r="K6" s="360"/>
      <c r="N6" s="630"/>
    </row>
    <row r="7" spans="1:14" s="367" customFormat="1">
      <c r="A7" s="361">
        <v>5</v>
      </c>
      <c r="B7" s="328">
        <v>45802</v>
      </c>
      <c r="C7" s="629" t="s">
        <v>512</v>
      </c>
      <c r="D7" s="360" t="s">
        <v>466</v>
      </c>
      <c r="E7" s="360" t="s">
        <v>71</v>
      </c>
      <c r="F7" s="299">
        <v>7.2</v>
      </c>
      <c r="G7" s="360">
        <v>4200</v>
      </c>
      <c r="H7" s="360">
        <v>4400</v>
      </c>
      <c r="I7" s="360">
        <f t="shared" si="0"/>
        <v>200</v>
      </c>
      <c r="J7" s="360">
        <f t="shared" si="1"/>
        <v>1440</v>
      </c>
      <c r="K7" s="360"/>
    </row>
    <row r="8" spans="1:14" s="367" customFormat="1">
      <c r="A8" s="361">
        <v>6</v>
      </c>
      <c r="B8" s="328">
        <v>45803</v>
      </c>
      <c r="C8" s="629" t="s">
        <v>512</v>
      </c>
      <c r="D8" s="360" t="s">
        <v>466</v>
      </c>
      <c r="E8" s="360" t="s">
        <v>71</v>
      </c>
      <c r="F8" s="299">
        <v>10</v>
      </c>
      <c r="G8" s="360">
        <v>4200</v>
      </c>
      <c r="H8" s="360">
        <v>4400</v>
      </c>
      <c r="I8" s="360">
        <f t="shared" si="0"/>
        <v>200</v>
      </c>
      <c r="J8" s="360">
        <f t="shared" si="1"/>
        <v>2000</v>
      </c>
      <c r="K8" s="360"/>
    </row>
    <row r="9" spans="1:14" s="367" customFormat="1">
      <c r="A9" s="361">
        <v>7</v>
      </c>
      <c r="B9" s="328">
        <v>45806</v>
      </c>
      <c r="C9" s="629" t="s">
        <v>512</v>
      </c>
      <c r="D9" s="360" t="s">
        <v>465</v>
      </c>
      <c r="E9" s="360" t="s">
        <v>71</v>
      </c>
      <c r="F9" s="368">
        <v>35</v>
      </c>
      <c r="G9" s="360">
        <v>5200</v>
      </c>
      <c r="H9" s="360">
        <v>5100</v>
      </c>
      <c r="I9" s="360">
        <f t="shared" si="0"/>
        <v>-100</v>
      </c>
      <c r="J9" s="360">
        <f t="shared" si="1"/>
        <v>-3500</v>
      </c>
      <c r="K9" s="360"/>
    </row>
    <row r="10" spans="1:14" s="367" customFormat="1">
      <c r="A10" s="361">
        <v>8</v>
      </c>
      <c r="B10" s="328">
        <v>45806</v>
      </c>
      <c r="C10" s="629" t="s">
        <v>535</v>
      </c>
      <c r="D10" s="360" t="s">
        <v>465</v>
      </c>
      <c r="E10" s="360" t="s">
        <v>71</v>
      </c>
      <c r="F10" s="368">
        <v>35</v>
      </c>
      <c r="G10" s="360">
        <v>5200</v>
      </c>
      <c r="H10" s="360">
        <v>5300</v>
      </c>
      <c r="I10" s="360">
        <f t="shared" si="0"/>
        <v>100</v>
      </c>
      <c r="J10" s="360">
        <f t="shared" si="1"/>
        <v>3500</v>
      </c>
      <c r="K10" s="360"/>
    </row>
    <row r="11" spans="1:14" s="367" customFormat="1">
      <c r="A11" s="361">
        <v>9</v>
      </c>
      <c r="B11" s="328">
        <v>45806</v>
      </c>
      <c r="C11" s="629" t="s">
        <v>512</v>
      </c>
      <c r="D11" s="360" t="s">
        <v>465</v>
      </c>
      <c r="E11" s="360" t="s">
        <v>71</v>
      </c>
      <c r="F11" s="368">
        <v>273</v>
      </c>
      <c r="G11" s="360">
        <v>5200</v>
      </c>
      <c r="H11" s="360">
        <v>5100</v>
      </c>
      <c r="I11" s="360">
        <f t="shared" si="0"/>
        <v>-100</v>
      </c>
      <c r="J11" s="360">
        <f t="shared" si="1"/>
        <v>-27300</v>
      </c>
      <c r="K11" s="360"/>
    </row>
    <row r="12" spans="1:14" s="367" customFormat="1">
      <c r="A12" s="361">
        <v>10</v>
      </c>
      <c r="B12" s="328">
        <v>45807</v>
      </c>
      <c r="C12" s="629" t="s">
        <v>535</v>
      </c>
      <c r="D12" s="360" t="s">
        <v>465</v>
      </c>
      <c r="E12" s="360" t="s">
        <v>71</v>
      </c>
      <c r="F12" s="368">
        <v>56</v>
      </c>
      <c r="G12" s="360">
        <v>5200</v>
      </c>
      <c r="H12" s="360">
        <v>5300</v>
      </c>
      <c r="I12" s="360">
        <f t="shared" si="0"/>
        <v>100</v>
      </c>
      <c r="J12" s="360">
        <f t="shared" si="1"/>
        <v>5600</v>
      </c>
      <c r="K12" s="360"/>
    </row>
    <row r="13" spans="1:14" s="367" customFormat="1">
      <c r="A13" s="361">
        <v>11</v>
      </c>
      <c r="B13" s="328">
        <v>45808</v>
      </c>
      <c r="C13" s="332" t="s">
        <v>512</v>
      </c>
      <c r="D13" s="360" t="s">
        <v>465</v>
      </c>
      <c r="E13" s="360" t="s">
        <v>71</v>
      </c>
      <c r="F13" s="368">
        <v>182</v>
      </c>
      <c r="G13" s="360">
        <v>5200</v>
      </c>
      <c r="H13" s="360">
        <v>5100</v>
      </c>
      <c r="I13" s="360">
        <f t="shared" si="0"/>
        <v>-100</v>
      </c>
      <c r="J13" s="360">
        <f t="shared" si="1"/>
        <v>-18200</v>
      </c>
      <c r="K13" s="360"/>
    </row>
    <row r="14" spans="1:14" s="367" customFormat="1">
      <c r="A14" s="361">
        <v>12</v>
      </c>
      <c r="B14" s="328">
        <v>45808</v>
      </c>
      <c r="C14" s="332" t="s">
        <v>535</v>
      </c>
      <c r="D14" s="360" t="s">
        <v>465</v>
      </c>
      <c r="E14" s="360" t="s">
        <v>71</v>
      </c>
      <c r="F14" s="368">
        <v>182</v>
      </c>
      <c r="G14" s="360">
        <v>5200</v>
      </c>
      <c r="H14" s="360">
        <v>5300</v>
      </c>
      <c r="I14" s="360">
        <f t="shared" si="0"/>
        <v>100</v>
      </c>
      <c r="J14" s="360">
        <f t="shared" si="1"/>
        <v>18200</v>
      </c>
      <c r="K14" s="360"/>
    </row>
    <row r="15" spans="1:14" s="367" customFormat="1">
      <c r="A15" s="361">
        <v>13</v>
      </c>
      <c r="B15" s="328">
        <v>45818</v>
      </c>
      <c r="C15" s="332" t="s">
        <v>535</v>
      </c>
      <c r="D15" s="360" t="s">
        <v>465</v>
      </c>
      <c r="E15" s="360" t="s">
        <v>71</v>
      </c>
      <c r="F15" s="368">
        <v>147</v>
      </c>
      <c r="G15" s="360">
        <v>5200</v>
      </c>
      <c r="H15" s="360">
        <v>5300</v>
      </c>
      <c r="I15" s="360">
        <f t="shared" si="0"/>
        <v>100</v>
      </c>
      <c r="J15" s="360">
        <f t="shared" si="1"/>
        <v>14700</v>
      </c>
      <c r="K15" s="360"/>
    </row>
    <row r="16" spans="1:14" s="341" customFormat="1">
      <c r="A16" s="361">
        <v>14</v>
      </c>
      <c r="B16" s="328">
        <v>45819</v>
      </c>
      <c r="C16" s="332" t="s">
        <v>535</v>
      </c>
      <c r="D16" s="360" t="s">
        <v>465</v>
      </c>
      <c r="E16" s="332" t="s">
        <v>71</v>
      </c>
      <c r="F16" s="368">
        <v>2</v>
      </c>
      <c r="G16" s="360">
        <v>5200</v>
      </c>
      <c r="H16" s="360">
        <v>5300</v>
      </c>
      <c r="I16" s="360">
        <f t="shared" si="0"/>
        <v>100</v>
      </c>
      <c r="J16" s="360">
        <f t="shared" si="1"/>
        <v>200</v>
      </c>
      <c r="K16" s="332"/>
    </row>
    <row r="17" spans="1:11" s="341" customFormat="1">
      <c r="A17" s="361">
        <v>15</v>
      </c>
      <c r="B17" s="328">
        <v>45820</v>
      </c>
      <c r="C17" s="332" t="s">
        <v>535</v>
      </c>
      <c r="D17" s="360" t="s">
        <v>465</v>
      </c>
      <c r="E17" s="332" t="s">
        <v>71</v>
      </c>
      <c r="F17" s="368">
        <v>21</v>
      </c>
      <c r="G17" s="360">
        <v>5200</v>
      </c>
      <c r="H17" s="360">
        <v>5300</v>
      </c>
      <c r="I17" s="360">
        <f t="shared" si="0"/>
        <v>100</v>
      </c>
      <c r="J17" s="360">
        <f t="shared" si="1"/>
        <v>2100</v>
      </c>
      <c r="K17" s="332"/>
    </row>
    <row r="18" spans="1:11" s="341" customFormat="1">
      <c r="A18" s="361">
        <v>16</v>
      </c>
      <c r="B18" s="328">
        <v>45820</v>
      </c>
      <c r="C18" s="332" t="s">
        <v>512</v>
      </c>
      <c r="D18" s="360" t="s">
        <v>465</v>
      </c>
      <c r="E18" s="332" t="s">
        <v>71</v>
      </c>
      <c r="F18" s="368">
        <v>133</v>
      </c>
      <c r="G18" s="360">
        <v>5200</v>
      </c>
      <c r="H18" s="360">
        <v>5100</v>
      </c>
      <c r="I18" s="360">
        <f t="shared" si="0"/>
        <v>-100</v>
      </c>
      <c r="J18" s="360">
        <f t="shared" si="1"/>
        <v>-13300</v>
      </c>
      <c r="K18" s="332"/>
    </row>
    <row r="19" spans="1:11" s="341" customFormat="1">
      <c r="A19" s="361">
        <v>17</v>
      </c>
      <c r="B19" s="328">
        <v>45821</v>
      </c>
      <c r="C19" s="332" t="s">
        <v>589</v>
      </c>
      <c r="D19" s="360" t="s">
        <v>465</v>
      </c>
      <c r="E19" s="332" t="s">
        <v>71</v>
      </c>
      <c r="F19" s="368">
        <v>133</v>
      </c>
      <c r="G19" s="360">
        <v>5200</v>
      </c>
      <c r="H19" s="360">
        <v>5300</v>
      </c>
      <c r="I19" s="360">
        <f t="shared" si="0"/>
        <v>100</v>
      </c>
      <c r="J19" s="360">
        <f t="shared" si="1"/>
        <v>13300</v>
      </c>
      <c r="K19" s="332"/>
    </row>
    <row r="20" spans="1:11" s="341" customFormat="1">
      <c r="A20" s="361">
        <v>18</v>
      </c>
      <c r="B20" s="328">
        <v>45821</v>
      </c>
      <c r="C20" s="332" t="s">
        <v>512</v>
      </c>
      <c r="D20" s="360" t="s">
        <v>465</v>
      </c>
      <c r="E20" s="332" t="s">
        <v>71</v>
      </c>
      <c r="F20" s="368">
        <v>214</v>
      </c>
      <c r="G20" s="360">
        <v>5200</v>
      </c>
      <c r="H20" s="360">
        <v>5100</v>
      </c>
      <c r="I20" s="360">
        <f t="shared" si="0"/>
        <v>-100</v>
      </c>
      <c r="J20" s="360">
        <f t="shared" si="1"/>
        <v>-21400</v>
      </c>
      <c r="K20" s="332"/>
    </row>
    <row r="21" spans="1:11" s="341" customFormat="1">
      <c r="A21" s="361">
        <v>19</v>
      </c>
      <c r="B21" s="328">
        <v>45821</v>
      </c>
      <c r="C21" s="332" t="s">
        <v>535</v>
      </c>
      <c r="D21" s="360" t="s">
        <v>465</v>
      </c>
      <c r="E21" s="332" t="s">
        <v>71</v>
      </c>
      <c r="F21" s="368">
        <v>84</v>
      </c>
      <c r="G21" s="360">
        <v>5200</v>
      </c>
      <c r="H21" s="360">
        <v>5300</v>
      </c>
      <c r="I21" s="360">
        <f t="shared" si="0"/>
        <v>100</v>
      </c>
      <c r="J21" s="360">
        <f t="shared" si="1"/>
        <v>8400</v>
      </c>
      <c r="K21" s="332"/>
    </row>
    <row r="22" spans="1:11" s="341" customFormat="1">
      <c r="A22" s="361">
        <v>20</v>
      </c>
      <c r="B22" s="328">
        <v>45822</v>
      </c>
      <c r="C22" s="332" t="s">
        <v>512</v>
      </c>
      <c r="D22" s="360" t="s">
        <v>465</v>
      </c>
      <c r="E22" s="332" t="s">
        <v>71</v>
      </c>
      <c r="F22" s="368">
        <v>24</v>
      </c>
      <c r="G22" s="360">
        <v>5200</v>
      </c>
      <c r="H22" s="360">
        <v>5100</v>
      </c>
      <c r="I22" s="360">
        <f t="shared" si="0"/>
        <v>-100</v>
      </c>
      <c r="J22" s="360">
        <f t="shared" si="1"/>
        <v>-2400</v>
      </c>
      <c r="K22" s="332"/>
    </row>
    <row r="23" spans="1:11" s="341" customFormat="1">
      <c r="A23" s="361">
        <v>21</v>
      </c>
      <c r="B23" s="328">
        <v>45822</v>
      </c>
      <c r="C23" s="332" t="s">
        <v>535</v>
      </c>
      <c r="D23" s="360" t="s">
        <v>465</v>
      </c>
      <c r="E23" s="332" t="s">
        <v>71</v>
      </c>
      <c r="F23" s="368">
        <v>49</v>
      </c>
      <c r="G23" s="360">
        <v>5200</v>
      </c>
      <c r="H23" s="360">
        <v>5300</v>
      </c>
      <c r="I23" s="360">
        <f t="shared" si="0"/>
        <v>100</v>
      </c>
      <c r="J23" s="360">
        <f t="shared" si="1"/>
        <v>4900</v>
      </c>
      <c r="K23" s="332"/>
    </row>
    <row r="24" spans="1:11" s="341" customFormat="1">
      <c r="A24" s="361">
        <v>22</v>
      </c>
      <c r="B24" s="548">
        <v>45830</v>
      </c>
      <c r="C24" s="332" t="s">
        <v>535</v>
      </c>
      <c r="D24" s="332" t="s">
        <v>477</v>
      </c>
      <c r="E24" s="332" t="s">
        <v>71</v>
      </c>
      <c r="F24" s="550">
        <v>3</v>
      </c>
      <c r="G24" s="360">
        <v>5200</v>
      </c>
      <c r="H24" s="332">
        <v>5350</v>
      </c>
      <c r="I24" s="360">
        <f t="shared" si="0"/>
        <v>150</v>
      </c>
      <c r="J24" s="360">
        <f t="shared" si="1"/>
        <v>450</v>
      </c>
      <c r="K24" s="332"/>
    </row>
    <row r="25" spans="1:11" s="341" customFormat="1">
      <c r="A25" s="361">
        <v>23</v>
      </c>
      <c r="B25" s="551">
        <v>45831</v>
      </c>
      <c r="C25" s="332" t="s">
        <v>535</v>
      </c>
      <c r="D25" s="332" t="s">
        <v>477</v>
      </c>
      <c r="E25" s="332" t="s">
        <v>71</v>
      </c>
      <c r="F25" s="550">
        <v>4</v>
      </c>
      <c r="G25" s="360">
        <v>5200</v>
      </c>
      <c r="H25" s="332">
        <v>5350</v>
      </c>
      <c r="I25" s="360">
        <f t="shared" si="0"/>
        <v>150</v>
      </c>
      <c r="J25" s="360">
        <f t="shared" si="1"/>
        <v>600</v>
      </c>
      <c r="K25" s="332"/>
    </row>
    <row r="26" spans="1:11" s="341" customFormat="1">
      <c r="A26" s="361">
        <v>24</v>
      </c>
      <c r="B26" s="551">
        <v>45832</v>
      </c>
      <c r="C26" s="332" t="s">
        <v>535</v>
      </c>
      <c r="D26" s="332" t="s">
        <v>477</v>
      </c>
      <c r="E26" s="332" t="s">
        <v>71</v>
      </c>
      <c r="F26" s="550">
        <v>5</v>
      </c>
      <c r="G26" s="360">
        <v>5200</v>
      </c>
      <c r="H26" s="332">
        <v>5350</v>
      </c>
      <c r="I26" s="360">
        <f t="shared" si="0"/>
        <v>150</v>
      </c>
      <c r="J26" s="360">
        <f t="shared" si="1"/>
        <v>750</v>
      </c>
      <c r="K26" s="332"/>
    </row>
    <row r="27" spans="1:11" s="341" customFormat="1">
      <c r="A27" s="361">
        <v>25</v>
      </c>
      <c r="B27" s="551">
        <v>45833</v>
      </c>
      <c r="C27" s="332" t="s">
        <v>535</v>
      </c>
      <c r="D27" s="332" t="s">
        <v>477</v>
      </c>
      <c r="E27" s="332" t="s">
        <v>71</v>
      </c>
      <c r="F27" s="550">
        <v>5</v>
      </c>
      <c r="G27" s="360">
        <v>5200</v>
      </c>
      <c r="H27" s="332">
        <v>5350</v>
      </c>
      <c r="I27" s="360">
        <f t="shared" si="0"/>
        <v>150</v>
      </c>
      <c r="J27" s="360">
        <f t="shared" si="1"/>
        <v>750</v>
      </c>
      <c r="K27" s="332"/>
    </row>
    <row r="28" spans="1:11" s="341" customFormat="1">
      <c r="A28" s="361">
        <v>26</v>
      </c>
      <c r="B28" s="551">
        <v>45834</v>
      </c>
      <c r="C28" s="332" t="s">
        <v>535</v>
      </c>
      <c r="D28" s="332" t="s">
        <v>477</v>
      </c>
      <c r="E28" s="332" t="s">
        <v>71</v>
      </c>
      <c r="F28" s="550">
        <v>6</v>
      </c>
      <c r="G28" s="360">
        <v>5200</v>
      </c>
      <c r="H28" s="332">
        <v>5350</v>
      </c>
      <c r="I28" s="360">
        <f t="shared" si="0"/>
        <v>150</v>
      </c>
      <c r="J28" s="360">
        <f t="shared" si="1"/>
        <v>900</v>
      </c>
      <c r="K28" s="332"/>
    </row>
    <row r="29" spans="1:11" s="341" customFormat="1">
      <c r="A29" s="361">
        <v>27</v>
      </c>
      <c r="B29" s="551">
        <v>45835</v>
      </c>
      <c r="C29" s="332" t="s">
        <v>535</v>
      </c>
      <c r="D29" s="332" t="s">
        <v>477</v>
      </c>
      <c r="E29" s="332" t="s">
        <v>71</v>
      </c>
      <c r="F29" s="550">
        <v>4</v>
      </c>
      <c r="G29" s="360">
        <v>5200</v>
      </c>
      <c r="H29" s="332">
        <v>5350</v>
      </c>
      <c r="I29" s="360">
        <f t="shared" si="0"/>
        <v>150</v>
      </c>
      <c r="J29" s="360">
        <f t="shared" si="1"/>
        <v>600</v>
      </c>
      <c r="K29" s="332"/>
    </row>
    <row r="30" spans="1:11" s="341" customFormat="1">
      <c r="A30" s="361">
        <v>28</v>
      </c>
      <c r="B30" s="551">
        <v>45837</v>
      </c>
      <c r="C30" s="332" t="s">
        <v>535</v>
      </c>
      <c r="D30" s="332" t="s">
        <v>477</v>
      </c>
      <c r="E30" s="332" t="s">
        <v>71</v>
      </c>
      <c r="F30" s="550">
        <v>3</v>
      </c>
      <c r="G30" s="360">
        <v>5200</v>
      </c>
      <c r="H30" s="332">
        <v>5350</v>
      </c>
      <c r="I30" s="360">
        <f t="shared" si="0"/>
        <v>150</v>
      </c>
      <c r="J30" s="360">
        <f t="shared" si="1"/>
        <v>450</v>
      </c>
      <c r="K30" s="332"/>
    </row>
    <row r="31" spans="1:11" s="341" customFormat="1">
      <c r="A31" s="361">
        <v>29</v>
      </c>
      <c r="B31" s="551">
        <v>45839</v>
      </c>
      <c r="C31" s="332" t="s">
        <v>589</v>
      </c>
      <c r="D31" s="332" t="s">
        <v>477</v>
      </c>
      <c r="E31" s="332" t="s">
        <v>71</v>
      </c>
      <c r="F31" s="550">
        <v>8</v>
      </c>
      <c r="G31" s="360">
        <v>5200</v>
      </c>
      <c r="H31" s="332">
        <v>5350</v>
      </c>
      <c r="I31" s="360">
        <f t="shared" si="0"/>
        <v>150</v>
      </c>
      <c r="J31" s="360">
        <f t="shared" si="1"/>
        <v>1200</v>
      </c>
      <c r="K31" s="332"/>
    </row>
    <row r="32" spans="1:11" s="341" customFormat="1">
      <c r="A32" s="361">
        <v>30</v>
      </c>
      <c r="B32" s="551">
        <v>45840</v>
      </c>
      <c r="C32" s="332" t="s">
        <v>589</v>
      </c>
      <c r="D32" s="332" t="s">
        <v>477</v>
      </c>
      <c r="E32" s="332" t="s">
        <v>71</v>
      </c>
      <c r="F32" s="550">
        <v>4.5</v>
      </c>
      <c r="G32" s="360">
        <v>5200</v>
      </c>
      <c r="H32" s="332">
        <v>5350</v>
      </c>
      <c r="I32" s="360">
        <f t="shared" si="0"/>
        <v>150</v>
      </c>
      <c r="J32" s="360">
        <f t="shared" si="1"/>
        <v>675</v>
      </c>
      <c r="K32" s="332"/>
    </row>
    <row r="33" spans="1:11" s="341" customFormat="1">
      <c r="A33" s="361">
        <v>31</v>
      </c>
      <c r="B33" s="551">
        <v>45842</v>
      </c>
      <c r="C33" s="332" t="s">
        <v>589</v>
      </c>
      <c r="D33" s="332" t="s">
        <v>477</v>
      </c>
      <c r="E33" s="332" t="s">
        <v>71</v>
      </c>
      <c r="F33" s="550">
        <v>3.5</v>
      </c>
      <c r="G33" s="360">
        <v>5200</v>
      </c>
      <c r="H33" s="332">
        <v>5350</v>
      </c>
      <c r="I33" s="360">
        <f t="shared" si="0"/>
        <v>150</v>
      </c>
      <c r="J33" s="360">
        <f t="shared" si="1"/>
        <v>525</v>
      </c>
      <c r="K33" s="332"/>
    </row>
    <row r="34" spans="1:11" s="341" customFormat="1">
      <c r="A34" s="361">
        <v>32</v>
      </c>
      <c r="B34" s="551">
        <v>45843</v>
      </c>
      <c r="C34" s="332" t="s">
        <v>589</v>
      </c>
      <c r="D34" s="332" t="s">
        <v>477</v>
      </c>
      <c r="E34" s="332" t="s">
        <v>71</v>
      </c>
      <c r="F34" s="550">
        <v>8</v>
      </c>
      <c r="G34" s="360">
        <v>5200</v>
      </c>
      <c r="H34" s="332">
        <v>5350</v>
      </c>
      <c r="I34" s="360">
        <f t="shared" si="0"/>
        <v>150</v>
      </c>
      <c r="J34" s="360">
        <f t="shared" si="1"/>
        <v>1200</v>
      </c>
      <c r="K34" s="332"/>
    </row>
    <row r="35" spans="1:11" s="341" customFormat="1">
      <c r="A35" s="361">
        <v>33</v>
      </c>
      <c r="B35" s="551">
        <v>45845</v>
      </c>
      <c r="C35" s="332" t="s">
        <v>589</v>
      </c>
      <c r="D35" s="332" t="s">
        <v>477</v>
      </c>
      <c r="E35" s="332" t="s">
        <v>71</v>
      </c>
      <c r="F35" s="550">
        <v>3</v>
      </c>
      <c r="G35" s="360">
        <v>5200</v>
      </c>
      <c r="H35" s="332">
        <v>5350</v>
      </c>
      <c r="I35" s="360">
        <f t="shared" si="0"/>
        <v>150</v>
      </c>
      <c r="J35" s="360">
        <f t="shared" si="1"/>
        <v>450</v>
      </c>
      <c r="K35" s="332"/>
    </row>
    <row r="36" spans="1:11" s="341" customFormat="1">
      <c r="A36" s="361">
        <v>34</v>
      </c>
      <c r="B36" s="551">
        <v>45846</v>
      </c>
      <c r="C36" s="332" t="s">
        <v>589</v>
      </c>
      <c r="D36" s="332" t="s">
        <v>477</v>
      </c>
      <c r="E36" s="332" t="s">
        <v>71</v>
      </c>
      <c r="F36" s="550">
        <v>4</v>
      </c>
      <c r="G36" s="360">
        <v>5200</v>
      </c>
      <c r="H36" s="332">
        <v>5350</v>
      </c>
      <c r="I36" s="360">
        <f t="shared" si="0"/>
        <v>150</v>
      </c>
      <c r="J36" s="360">
        <f t="shared" si="1"/>
        <v>600</v>
      </c>
      <c r="K36" s="332"/>
    </row>
    <row r="37" spans="1:11" s="341" customFormat="1">
      <c r="A37" s="361">
        <v>35</v>
      </c>
      <c r="B37" s="551">
        <v>45846</v>
      </c>
      <c r="C37" s="332" t="s">
        <v>589</v>
      </c>
      <c r="D37" s="360" t="s">
        <v>465</v>
      </c>
      <c r="E37" s="332" t="s">
        <v>71</v>
      </c>
      <c r="F37" s="557">
        <v>14</v>
      </c>
      <c r="G37" s="360">
        <v>5200</v>
      </c>
      <c r="H37" s="360">
        <v>5300</v>
      </c>
      <c r="I37" s="360">
        <f t="shared" si="0"/>
        <v>100</v>
      </c>
      <c r="J37" s="360">
        <f t="shared" si="1"/>
        <v>1400</v>
      </c>
      <c r="K37" s="332"/>
    </row>
    <row r="38" spans="1:11" s="341" customFormat="1">
      <c r="A38" s="361">
        <v>36</v>
      </c>
      <c r="B38" s="551">
        <v>45847</v>
      </c>
      <c r="C38" s="332" t="s">
        <v>589</v>
      </c>
      <c r="D38" s="332" t="s">
        <v>477</v>
      </c>
      <c r="E38" s="332" t="s">
        <v>71</v>
      </c>
      <c r="F38" s="550">
        <v>3.5</v>
      </c>
      <c r="G38" s="360">
        <v>5200</v>
      </c>
      <c r="H38" s="332">
        <v>5350</v>
      </c>
      <c r="I38" s="360">
        <f t="shared" si="0"/>
        <v>150</v>
      </c>
      <c r="J38" s="360">
        <f t="shared" si="1"/>
        <v>525</v>
      </c>
      <c r="K38" s="332"/>
    </row>
    <row r="39" spans="1:11" s="341" customFormat="1">
      <c r="A39" s="361">
        <v>37</v>
      </c>
      <c r="B39" s="551">
        <v>45848</v>
      </c>
      <c r="C39" s="332" t="s">
        <v>589</v>
      </c>
      <c r="D39" s="332" t="s">
        <v>477</v>
      </c>
      <c r="E39" s="332" t="s">
        <v>71</v>
      </c>
      <c r="F39" s="550">
        <v>3.5</v>
      </c>
      <c r="G39" s="360">
        <v>5200</v>
      </c>
      <c r="H39" s="332">
        <v>5350</v>
      </c>
      <c r="I39" s="360">
        <f t="shared" si="0"/>
        <v>150</v>
      </c>
      <c r="J39" s="360">
        <f t="shared" si="1"/>
        <v>525</v>
      </c>
      <c r="K39" s="332"/>
    </row>
    <row r="40" spans="1:11" s="341" customFormat="1">
      <c r="A40" s="361">
        <v>38</v>
      </c>
      <c r="B40" s="551">
        <v>45925</v>
      </c>
      <c r="C40" s="332" t="s">
        <v>512</v>
      </c>
      <c r="D40" s="332" t="s">
        <v>477</v>
      </c>
      <c r="E40" s="332" t="s">
        <v>71</v>
      </c>
      <c r="F40" s="550">
        <v>3</v>
      </c>
      <c r="G40" s="360">
        <v>5200</v>
      </c>
      <c r="H40" s="332">
        <v>5500</v>
      </c>
      <c r="I40" s="360">
        <f t="shared" si="0"/>
        <v>300</v>
      </c>
      <c r="J40" s="360">
        <f t="shared" si="1"/>
        <v>900</v>
      </c>
      <c r="K40" s="332"/>
    </row>
    <row r="41" spans="1:11" s="341" customFormat="1">
      <c r="A41" s="361">
        <v>39</v>
      </c>
      <c r="B41" s="551">
        <v>45925</v>
      </c>
      <c r="C41" s="332" t="s">
        <v>512</v>
      </c>
      <c r="D41" s="360" t="s">
        <v>465</v>
      </c>
      <c r="E41" s="332" t="s">
        <v>71</v>
      </c>
      <c r="F41" s="368">
        <v>4</v>
      </c>
      <c r="G41" s="360">
        <v>5200</v>
      </c>
      <c r="H41" s="360">
        <v>5100</v>
      </c>
      <c r="I41" s="360">
        <f t="shared" si="0"/>
        <v>-100</v>
      </c>
      <c r="J41" s="360">
        <f t="shared" si="1"/>
        <v>-400</v>
      </c>
      <c r="K41" s="332"/>
    </row>
    <row r="42" spans="1:11" s="341" customFormat="1">
      <c r="A42" s="361">
        <v>40</v>
      </c>
      <c r="B42" s="551">
        <v>45925</v>
      </c>
      <c r="C42" s="332" t="s">
        <v>512</v>
      </c>
      <c r="D42" s="360" t="s">
        <v>465</v>
      </c>
      <c r="E42" s="332" t="s">
        <v>71</v>
      </c>
      <c r="F42" s="368">
        <v>4.5</v>
      </c>
      <c r="G42" s="360">
        <v>5200</v>
      </c>
      <c r="H42" s="360">
        <v>5100</v>
      </c>
      <c r="I42" s="360">
        <f t="shared" si="0"/>
        <v>-100</v>
      </c>
      <c r="J42" s="360">
        <f t="shared" si="1"/>
        <v>-450</v>
      </c>
      <c r="K42" s="332"/>
    </row>
    <row r="43" spans="1:11" s="341" customFormat="1">
      <c r="A43" s="361">
        <v>41</v>
      </c>
      <c r="B43" s="551">
        <v>45931</v>
      </c>
      <c r="C43" s="332" t="s">
        <v>512</v>
      </c>
      <c r="D43" s="332" t="s">
        <v>477</v>
      </c>
      <c r="E43" s="332" t="s">
        <v>71</v>
      </c>
      <c r="F43" s="557">
        <v>3</v>
      </c>
      <c r="G43" s="360">
        <v>5200</v>
      </c>
      <c r="H43" s="332">
        <v>5500</v>
      </c>
      <c r="I43" s="360">
        <f t="shared" si="0"/>
        <v>300</v>
      </c>
      <c r="J43" s="360">
        <f t="shared" si="1"/>
        <v>900</v>
      </c>
      <c r="K43" s="332"/>
    </row>
    <row r="44" spans="1:11" s="341" customFormat="1">
      <c r="A44" s="361">
        <v>42</v>
      </c>
      <c r="B44" s="551">
        <v>45931</v>
      </c>
      <c r="C44" s="332" t="s">
        <v>512</v>
      </c>
      <c r="D44" s="360" t="s">
        <v>465</v>
      </c>
      <c r="E44" s="332" t="s">
        <v>71</v>
      </c>
      <c r="F44" s="368">
        <v>4</v>
      </c>
      <c r="G44" s="360">
        <v>5200</v>
      </c>
      <c r="H44" s="360">
        <v>5100</v>
      </c>
      <c r="I44" s="360">
        <f t="shared" si="0"/>
        <v>-100</v>
      </c>
      <c r="J44" s="360">
        <f t="shared" si="1"/>
        <v>-400</v>
      </c>
      <c r="K44" s="332"/>
    </row>
    <row r="45" spans="1:11" s="341" customFormat="1">
      <c r="A45" s="361">
        <v>43</v>
      </c>
      <c r="B45" s="551">
        <v>45931</v>
      </c>
      <c r="C45" s="332" t="s">
        <v>512</v>
      </c>
      <c r="D45" s="360" t="s">
        <v>465</v>
      </c>
      <c r="E45" s="332" t="s">
        <v>71</v>
      </c>
      <c r="F45" s="368">
        <v>3.5</v>
      </c>
      <c r="G45" s="360">
        <v>5200</v>
      </c>
      <c r="H45" s="360">
        <v>5100</v>
      </c>
      <c r="I45" s="360">
        <f t="shared" si="0"/>
        <v>-100</v>
      </c>
      <c r="J45" s="360">
        <f t="shared" si="1"/>
        <v>-350</v>
      </c>
      <c r="K45" s="332"/>
    </row>
    <row r="46" spans="1:11" s="341" customFormat="1">
      <c r="A46" s="361">
        <v>44</v>
      </c>
      <c r="B46" s="551">
        <v>45937</v>
      </c>
      <c r="C46" s="332" t="s">
        <v>512</v>
      </c>
      <c r="D46" s="332" t="s">
        <v>477</v>
      </c>
      <c r="E46" s="332" t="s">
        <v>71</v>
      </c>
      <c r="F46" s="557">
        <v>3</v>
      </c>
      <c r="G46" s="360">
        <v>5200</v>
      </c>
      <c r="H46" s="332">
        <v>5500</v>
      </c>
      <c r="I46" s="360">
        <f t="shared" si="0"/>
        <v>300</v>
      </c>
      <c r="J46" s="360">
        <f t="shared" si="1"/>
        <v>900</v>
      </c>
      <c r="K46" s="332"/>
    </row>
    <row r="47" spans="1:11" s="341" customFormat="1">
      <c r="A47" s="361">
        <v>45</v>
      </c>
      <c r="B47" s="551">
        <v>45939</v>
      </c>
      <c r="C47" s="332" t="s">
        <v>512</v>
      </c>
      <c r="D47" s="360" t="s">
        <v>465</v>
      </c>
      <c r="E47" s="332" t="s">
        <v>71</v>
      </c>
      <c r="F47" s="557">
        <v>4</v>
      </c>
      <c r="G47" s="360">
        <v>5200</v>
      </c>
      <c r="H47" s="360">
        <v>5100</v>
      </c>
      <c r="I47" s="360">
        <f t="shared" si="0"/>
        <v>-100</v>
      </c>
      <c r="J47" s="360">
        <f t="shared" si="1"/>
        <v>-400</v>
      </c>
      <c r="K47" s="332"/>
    </row>
    <row r="48" spans="1:11" s="341" customFormat="1">
      <c r="A48" s="361">
        <v>46</v>
      </c>
      <c r="B48" s="551">
        <v>45939</v>
      </c>
      <c r="C48" s="332" t="s">
        <v>512</v>
      </c>
      <c r="D48" s="360" t="s">
        <v>477</v>
      </c>
      <c r="E48" s="332" t="s">
        <v>71</v>
      </c>
      <c r="F48" s="557">
        <v>2</v>
      </c>
      <c r="G48" s="360">
        <v>5200</v>
      </c>
      <c r="H48" s="332">
        <v>5500</v>
      </c>
      <c r="I48" s="360">
        <f t="shared" si="0"/>
        <v>300</v>
      </c>
      <c r="J48" s="360">
        <f t="shared" si="1"/>
        <v>600</v>
      </c>
      <c r="K48" s="332"/>
    </row>
    <row r="49" spans="1:11" s="341" customFormat="1">
      <c r="A49" s="361">
        <v>47</v>
      </c>
      <c r="B49" s="551">
        <v>45939</v>
      </c>
      <c r="C49" s="332" t="s">
        <v>512</v>
      </c>
      <c r="D49" s="360" t="s">
        <v>465</v>
      </c>
      <c r="E49" s="332" t="s">
        <v>71</v>
      </c>
      <c r="F49" s="557">
        <v>3</v>
      </c>
      <c r="G49" s="360">
        <v>5200</v>
      </c>
      <c r="H49" s="360">
        <v>5100</v>
      </c>
      <c r="I49" s="360">
        <f t="shared" si="0"/>
        <v>-100</v>
      </c>
      <c r="J49" s="360">
        <f t="shared" si="1"/>
        <v>-300</v>
      </c>
      <c r="K49" s="332"/>
    </row>
    <row r="50" spans="1:11" s="341" customFormat="1">
      <c r="A50" s="361">
        <v>48</v>
      </c>
      <c r="B50" s="551">
        <v>45940</v>
      </c>
      <c r="C50" s="332" t="s">
        <v>512</v>
      </c>
      <c r="D50" s="360" t="s">
        <v>465</v>
      </c>
      <c r="E50" s="332" t="s">
        <v>71</v>
      </c>
      <c r="F50" s="557">
        <v>2</v>
      </c>
      <c r="G50" s="360">
        <v>5200</v>
      </c>
      <c r="H50" s="360">
        <v>5100</v>
      </c>
      <c r="I50" s="360">
        <f t="shared" si="0"/>
        <v>-100</v>
      </c>
      <c r="J50" s="360">
        <f t="shared" si="1"/>
        <v>-200</v>
      </c>
      <c r="K50" s="332"/>
    </row>
    <row r="51" spans="1:11" s="341" customFormat="1">
      <c r="A51" s="361">
        <v>49</v>
      </c>
      <c r="B51" s="551">
        <v>45959</v>
      </c>
      <c r="C51" s="332" t="s">
        <v>512</v>
      </c>
      <c r="D51" s="332" t="s">
        <v>477</v>
      </c>
      <c r="E51" s="332" t="s">
        <v>71</v>
      </c>
      <c r="F51" s="557">
        <v>3</v>
      </c>
      <c r="G51" s="360">
        <v>5200</v>
      </c>
      <c r="H51" s="332">
        <v>5500</v>
      </c>
      <c r="I51" s="360">
        <f t="shared" si="0"/>
        <v>300</v>
      </c>
      <c r="J51" s="360">
        <f t="shared" si="1"/>
        <v>900</v>
      </c>
      <c r="K51" s="332"/>
    </row>
    <row r="52" spans="1:11" s="341" customFormat="1">
      <c r="A52" s="361">
        <v>50</v>
      </c>
      <c r="B52" s="551">
        <v>45960</v>
      </c>
      <c r="C52" s="332" t="s">
        <v>512</v>
      </c>
      <c r="D52" s="360" t="s">
        <v>465</v>
      </c>
      <c r="E52" s="332" t="s">
        <v>71</v>
      </c>
      <c r="F52" s="555">
        <v>4</v>
      </c>
      <c r="G52" s="360">
        <v>5200</v>
      </c>
      <c r="H52" s="360">
        <v>5100</v>
      </c>
      <c r="I52" s="360">
        <f t="shared" si="0"/>
        <v>-100</v>
      </c>
      <c r="J52" s="360">
        <f t="shared" si="1"/>
        <v>-400</v>
      </c>
      <c r="K52" s="614"/>
    </row>
    <row r="53" spans="1:11" s="341" customFormat="1">
      <c r="A53" s="361">
        <v>51</v>
      </c>
      <c r="B53" s="551">
        <v>45960</v>
      </c>
      <c r="C53" s="332" t="s">
        <v>512</v>
      </c>
      <c r="D53" s="360" t="s">
        <v>465</v>
      </c>
      <c r="E53" s="332" t="s">
        <v>71</v>
      </c>
      <c r="F53" s="555">
        <v>3.5</v>
      </c>
      <c r="G53" s="360">
        <v>5200</v>
      </c>
      <c r="H53" s="360">
        <v>5100</v>
      </c>
      <c r="I53" s="360">
        <f t="shared" si="0"/>
        <v>-100</v>
      </c>
      <c r="J53" s="360">
        <f t="shared" si="1"/>
        <v>-350</v>
      </c>
      <c r="K53" s="614"/>
    </row>
    <row r="54" spans="1:11" s="341" customFormat="1">
      <c r="A54" s="361">
        <v>52</v>
      </c>
      <c r="B54" s="551">
        <v>45972</v>
      </c>
      <c r="C54" s="332" t="s">
        <v>512</v>
      </c>
      <c r="D54" s="332" t="s">
        <v>738</v>
      </c>
      <c r="E54" s="332" t="s">
        <v>71</v>
      </c>
      <c r="F54" s="555">
        <v>2.5</v>
      </c>
      <c r="G54" s="360">
        <v>5200</v>
      </c>
      <c r="H54" s="360">
        <v>5300</v>
      </c>
      <c r="I54" s="360">
        <f t="shared" si="0"/>
        <v>100</v>
      </c>
      <c r="J54" s="360">
        <f t="shared" si="1"/>
        <v>250</v>
      </c>
      <c r="K54" s="614"/>
    </row>
    <row r="55" spans="1:11" s="341" customFormat="1">
      <c r="A55" s="361">
        <v>53</v>
      </c>
      <c r="B55" s="551">
        <v>45978</v>
      </c>
      <c r="C55" s="332" t="s">
        <v>512</v>
      </c>
      <c r="D55" s="332" t="s">
        <v>465</v>
      </c>
      <c r="E55" s="332" t="s">
        <v>71</v>
      </c>
      <c r="F55" s="555">
        <v>4</v>
      </c>
      <c r="G55" s="360">
        <v>5200</v>
      </c>
      <c r="H55" s="360">
        <v>4950</v>
      </c>
      <c r="I55" s="360">
        <f t="shared" si="0"/>
        <v>-250</v>
      </c>
      <c r="J55" s="360">
        <f t="shared" si="1"/>
        <v>-1000</v>
      </c>
      <c r="K55" s="614"/>
    </row>
    <row r="56" spans="1:11" s="341" customFormat="1">
      <c r="A56" s="361">
        <v>54</v>
      </c>
      <c r="B56" s="551">
        <v>45978</v>
      </c>
      <c r="C56" s="332" t="s">
        <v>512</v>
      </c>
      <c r="D56" s="332" t="s">
        <v>738</v>
      </c>
      <c r="E56" s="332" t="s">
        <v>71</v>
      </c>
      <c r="F56" s="553">
        <v>3.5</v>
      </c>
      <c r="G56" s="360">
        <v>5200</v>
      </c>
      <c r="H56" s="360">
        <v>5300</v>
      </c>
      <c r="I56" s="360">
        <f t="shared" si="0"/>
        <v>100</v>
      </c>
      <c r="J56" s="360">
        <f t="shared" si="1"/>
        <v>350</v>
      </c>
      <c r="K56" s="614"/>
    </row>
    <row r="57" spans="1:11" s="341" customFormat="1">
      <c r="A57" s="361">
        <v>55</v>
      </c>
      <c r="B57" s="551">
        <v>45979</v>
      </c>
      <c r="C57" s="332" t="s">
        <v>512</v>
      </c>
      <c r="D57" s="332" t="s">
        <v>738</v>
      </c>
      <c r="E57" s="332" t="s">
        <v>71</v>
      </c>
      <c r="F57" s="553">
        <v>4.5</v>
      </c>
      <c r="G57" s="360">
        <v>5200</v>
      </c>
      <c r="H57" s="360">
        <v>5300</v>
      </c>
      <c r="I57" s="360">
        <f t="shared" si="0"/>
        <v>100</v>
      </c>
      <c r="J57" s="360">
        <f t="shared" si="1"/>
        <v>450</v>
      </c>
      <c r="K57" s="614"/>
    </row>
    <row r="58" spans="1:11" s="341" customFormat="1">
      <c r="A58" s="361">
        <v>56</v>
      </c>
      <c r="B58" s="551">
        <v>45980</v>
      </c>
      <c r="C58" s="332" t="s">
        <v>512</v>
      </c>
      <c r="D58" s="332" t="s">
        <v>465</v>
      </c>
      <c r="E58" s="332" t="s">
        <v>71</v>
      </c>
      <c r="F58" s="555">
        <v>3</v>
      </c>
      <c r="G58" s="360">
        <v>5200</v>
      </c>
      <c r="H58" s="360">
        <v>4950</v>
      </c>
      <c r="I58" s="360">
        <f t="shared" si="0"/>
        <v>-250</v>
      </c>
      <c r="J58" s="360">
        <f t="shared" si="1"/>
        <v>-750</v>
      </c>
      <c r="K58" s="614"/>
    </row>
    <row r="59" spans="1:11" s="341" customFormat="1">
      <c r="A59" s="361">
        <v>57</v>
      </c>
      <c r="B59" s="551">
        <v>45980</v>
      </c>
      <c r="C59" s="332" t="s">
        <v>512</v>
      </c>
      <c r="D59" s="332" t="s">
        <v>738</v>
      </c>
      <c r="E59" s="332" t="s">
        <v>71</v>
      </c>
      <c r="F59" s="553">
        <v>3.5</v>
      </c>
      <c r="G59" s="360">
        <v>5200</v>
      </c>
      <c r="H59" s="360">
        <v>5300</v>
      </c>
      <c r="I59" s="360">
        <f t="shared" si="0"/>
        <v>100</v>
      </c>
      <c r="J59" s="360">
        <f t="shared" si="1"/>
        <v>350</v>
      </c>
      <c r="K59" s="614"/>
    </row>
    <row r="60" spans="1:11" s="341" customFormat="1">
      <c r="A60" s="361">
        <v>58</v>
      </c>
      <c r="B60" s="551">
        <v>45981</v>
      </c>
      <c r="C60" s="332" t="s">
        <v>512</v>
      </c>
      <c r="D60" s="332" t="s">
        <v>738</v>
      </c>
      <c r="E60" s="332" t="s">
        <v>71</v>
      </c>
      <c r="F60" s="553">
        <v>3.5</v>
      </c>
      <c r="G60" s="360">
        <v>5200</v>
      </c>
      <c r="H60" s="360">
        <v>5300</v>
      </c>
      <c r="I60" s="360">
        <f t="shared" si="0"/>
        <v>100</v>
      </c>
      <c r="J60" s="360">
        <f t="shared" si="1"/>
        <v>350</v>
      </c>
      <c r="K60" s="614"/>
    </row>
    <row r="61" spans="1:11" s="341" customFormat="1">
      <c r="A61" s="361">
        <v>59</v>
      </c>
      <c r="B61" s="551">
        <v>45985</v>
      </c>
      <c r="C61" s="332" t="s">
        <v>480</v>
      </c>
      <c r="D61" s="332" t="s">
        <v>465</v>
      </c>
      <c r="E61" s="332" t="s">
        <v>71</v>
      </c>
      <c r="F61" s="555">
        <v>0.57999999999999996</v>
      </c>
      <c r="G61" s="360">
        <v>5200</v>
      </c>
      <c r="H61" s="360">
        <v>4950</v>
      </c>
      <c r="I61" s="360">
        <f t="shared" si="0"/>
        <v>-250</v>
      </c>
      <c r="J61" s="360">
        <f t="shared" si="1"/>
        <v>-145</v>
      </c>
      <c r="K61" s="614"/>
    </row>
    <row r="62" spans="1:11" s="341" customFormat="1">
      <c r="A62" s="361">
        <v>60</v>
      </c>
      <c r="B62" s="551">
        <v>45989</v>
      </c>
      <c r="C62" s="332" t="s">
        <v>512</v>
      </c>
      <c r="D62" s="332" t="s">
        <v>738</v>
      </c>
      <c r="E62" s="332" t="s">
        <v>71</v>
      </c>
      <c r="F62" s="553">
        <v>3</v>
      </c>
      <c r="G62" s="360">
        <v>5200</v>
      </c>
      <c r="H62" s="360">
        <v>5300</v>
      </c>
      <c r="I62" s="360">
        <f t="shared" si="0"/>
        <v>100</v>
      </c>
      <c r="J62" s="360">
        <f t="shared" si="1"/>
        <v>300</v>
      </c>
      <c r="K62" s="614"/>
    </row>
    <row r="63" spans="1:11" s="341" customFormat="1">
      <c r="A63" s="361">
        <v>61</v>
      </c>
      <c r="B63" s="551">
        <v>45990</v>
      </c>
      <c r="C63" s="332" t="s">
        <v>512</v>
      </c>
      <c r="D63" s="332" t="s">
        <v>738</v>
      </c>
      <c r="E63" s="332" t="s">
        <v>71</v>
      </c>
      <c r="F63" s="553">
        <v>7</v>
      </c>
      <c r="G63" s="360">
        <v>5200</v>
      </c>
      <c r="H63" s="360">
        <v>5300</v>
      </c>
      <c r="I63" s="360">
        <f t="shared" si="0"/>
        <v>100</v>
      </c>
      <c r="J63" s="360">
        <f t="shared" si="1"/>
        <v>700</v>
      </c>
      <c r="K63" s="614"/>
    </row>
    <row r="64" spans="1:11" s="341" customFormat="1">
      <c r="A64" s="361">
        <v>62</v>
      </c>
      <c r="B64" s="551">
        <v>45991</v>
      </c>
      <c r="C64" s="332" t="s">
        <v>512</v>
      </c>
      <c r="D64" s="332" t="s">
        <v>738</v>
      </c>
      <c r="E64" s="332" t="s">
        <v>71</v>
      </c>
      <c r="F64" s="553">
        <v>3</v>
      </c>
      <c r="G64" s="360">
        <v>5200</v>
      </c>
      <c r="H64" s="360">
        <v>5300</v>
      </c>
      <c r="I64" s="360">
        <f t="shared" si="0"/>
        <v>100</v>
      </c>
      <c r="J64" s="360">
        <f t="shared" si="1"/>
        <v>300</v>
      </c>
      <c r="K64" s="614"/>
    </row>
    <row r="65" spans="1:11" s="341" customFormat="1">
      <c r="A65" s="361">
        <v>63</v>
      </c>
      <c r="B65" s="625">
        <v>45992</v>
      </c>
      <c r="C65" s="332" t="s">
        <v>480</v>
      </c>
      <c r="D65" s="332" t="s">
        <v>465</v>
      </c>
      <c r="E65" s="332" t="s">
        <v>71</v>
      </c>
      <c r="F65" s="553">
        <v>6.82</v>
      </c>
      <c r="G65" s="360">
        <v>5200</v>
      </c>
      <c r="H65" s="360">
        <v>4950</v>
      </c>
      <c r="I65" s="360">
        <f t="shared" si="0"/>
        <v>-250</v>
      </c>
      <c r="J65" s="360">
        <f t="shared" si="1"/>
        <v>-1705</v>
      </c>
      <c r="K65" s="614"/>
    </row>
    <row r="66" spans="1:11" s="341" customFormat="1">
      <c r="A66" s="361">
        <v>64</v>
      </c>
      <c r="B66" s="625">
        <v>45993</v>
      </c>
      <c r="C66" s="332" t="s">
        <v>480</v>
      </c>
      <c r="D66" s="332" t="s">
        <v>465</v>
      </c>
      <c r="E66" s="332" t="s">
        <v>71</v>
      </c>
      <c r="F66" s="553">
        <v>0.66</v>
      </c>
      <c r="G66" s="360">
        <v>5200</v>
      </c>
      <c r="H66" s="360">
        <v>4950</v>
      </c>
      <c r="I66" s="360">
        <f t="shared" si="0"/>
        <v>-250</v>
      </c>
      <c r="J66" s="360">
        <f t="shared" si="1"/>
        <v>-165</v>
      </c>
      <c r="K66" s="614"/>
    </row>
    <row r="67" spans="1:11" s="341" customFormat="1">
      <c r="A67" s="361">
        <v>65</v>
      </c>
      <c r="B67" s="551">
        <v>45993</v>
      </c>
      <c r="C67" s="332" t="s">
        <v>512</v>
      </c>
      <c r="D67" s="332" t="s">
        <v>738</v>
      </c>
      <c r="E67" s="332" t="s">
        <v>71</v>
      </c>
      <c r="F67" s="553">
        <v>3</v>
      </c>
      <c r="G67" s="360">
        <v>5200</v>
      </c>
      <c r="H67" s="360">
        <v>5300</v>
      </c>
      <c r="I67" s="360">
        <f t="shared" si="0"/>
        <v>100</v>
      </c>
      <c r="J67" s="360">
        <f t="shared" si="1"/>
        <v>300</v>
      </c>
      <c r="K67" s="614"/>
    </row>
    <row r="68" spans="1:11" s="341" customFormat="1">
      <c r="A68" s="361">
        <v>66</v>
      </c>
      <c r="B68" s="551">
        <v>45993</v>
      </c>
      <c r="C68" s="332" t="s">
        <v>512</v>
      </c>
      <c r="D68" s="332" t="s">
        <v>738</v>
      </c>
      <c r="E68" s="332" t="s">
        <v>71</v>
      </c>
      <c r="F68" s="553">
        <v>4.5</v>
      </c>
      <c r="G68" s="360">
        <v>5200</v>
      </c>
      <c r="H68" s="360">
        <v>5300</v>
      </c>
      <c r="I68" s="360">
        <f t="shared" ref="I68:I96" si="2">H68-G68</f>
        <v>100</v>
      </c>
      <c r="J68" s="360">
        <f t="shared" ref="J68:J96" si="3">F68*I68</f>
        <v>450</v>
      </c>
      <c r="K68" s="614"/>
    </row>
    <row r="69" spans="1:11" s="341" customFormat="1">
      <c r="A69" s="361">
        <v>67</v>
      </c>
      <c r="B69" s="551">
        <v>45994</v>
      </c>
      <c r="C69" s="332" t="s">
        <v>512</v>
      </c>
      <c r="D69" s="332" t="s">
        <v>738</v>
      </c>
      <c r="E69" s="332" t="s">
        <v>71</v>
      </c>
      <c r="F69" s="553">
        <v>6.5</v>
      </c>
      <c r="G69" s="360">
        <v>5200</v>
      </c>
      <c r="H69" s="360">
        <v>5300</v>
      </c>
      <c r="I69" s="360">
        <f t="shared" si="2"/>
        <v>100</v>
      </c>
      <c r="J69" s="360">
        <f t="shared" si="3"/>
        <v>650</v>
      </c>
      <c r="K69" s="614"/>
    </row>
    <row r="70" spans="1:11" s="341" customFormat="1">
      <c r="A70" s="361">
        <v>68</v>
      </c>
      <c r="B70" s="551">
        <v>45996</v>
      </c>
      <c r="C70" s="332" t="s">
        <v>512</v>
      </c>
      <c r="D70" s="332" t="s">
        <v>738</v>
      </c>
      <c r="E70" s="332" t="s">
        <v>71</v>
      </c>
      <c r="F70" s="553">
        <v>3</v>
      </c>
      <c r="G70" s="360">
        <v>5200</v>
      </c>
      <c r="H70" s="360">
        <v>5300</v>
      </c>
      <c r="I70" s="360">
        <f t="shared" si="2"/>
        <v>100</v>
      </c>
      <c r="J70" s="360">
        <f t="shared" si="3"/>
        <v>300</v>
      </c>
      <c r="K70" s="614"/>
    </row>
    <row r="71" spans="1:11" s="341" customFormat="1">
      <c r="A71" s="361">
        <v>69</v>
      </c>
      <c r="B71" s="551">
        <v>45997</v>
      </c>
      <c r="C71" s="332" t="s">
        <v>512</v>
      </c>
      <c r="D71" s="332" t="s">
        <v>738</v>
      </c>
      <c r="E71" s="332" t="s">
        <v>71</v>
      </c>
      <c r="F71" s="553">
        <v>6</v>
      </c>
      <c r="G71" s="360">
        <v>5200</v>
      </c>
      <c r="H71" s="360">
        <v>5300</v>
      </c>
      <c r="I71" s="360">
        <f t="shared" si="2"/>
        <v>100</v>
      </c>
      <c r="J71" s="360">
        <f t="shared" si="3"/>
        <v>600</v>
      </c>
      <c r="K71" s="614"/>
    </row>
    <row r="72" spans="1:11" s="341" customFormat="1">
      <c r="A72" s="361">
        <v>70</v>
      </c>
      <c r="B72" s="551">
        <v>45999</v>
      </c>
      <c r="C72" s="332" t="s">
        <v>512</v>
      </c>
      <c r="D72" s="332" t="s">
        <v>738</v>
      </c>
      <c r="E72" s="332" t="s">
        <v>71</v>
      </c>
      <c r="F72" s="553">
        <v>2.5</v>
      </c>
      <c r="G72" s="360">
        <v>5200</v>
      </c>
      <c r="H72" s="360">
        <v>5300</v>
      </c>
      <c r="I72" s="360">
        <f t="shared" si="2"/>
        <v>100</v>
      </c>
      <c r="J72" s="360">
        <f t="shared" si="3"/>
        <v>250</v>
      </c>
      <c r="K72" s="614"/>
    </row>
    <row r="73" spans="1:11" s="341" customFormat="1">
      <c r="A73" s="361">
        <v>71</v>
      </c>
      <c r="B73" s="551">
        <v>46000</v>
      </c>
      <c r="C73" s="332" t="s">
        <v>512</v>
      </c>
      <c r="D73" s="332" t="s">
        <v>465</v>
      </c>
      <c r="E73" s="332" t="s">
        <v>71</v>
      </c>
      <c r="F73" s="555">
        <v>6.5</v>
      </c>
      <c r="G73" s="360">
        <v>5200</v>
      </c>
      <c r="H73" s="360">
        <v>4950</v>
      </c>
      <c r="I73" s="360">
        <f t="shared" si="2"/>
        <v>-250</v>
      </c>
      <c r="J73" s="360">
        <f t="shared" si="3"/>
        <v>-1625</v>
      </c>
      <c r="K73" s="614"/>
    </row>
    <row r="74" spans="1:11" s="341" customFormat="1">
      <c r="A74" s="361">
        <v>72</v>
      </c>
      <c r="B74" s="625">
        <v>46009</v>
      </c>
      <c r="C74" s="332" t="s">
        <v>480</v>
      </c>
      <c r="D74" s="332" t="s">
        <v>465</v>
      </c>
      <c r="E74" s="332" t="s">
        <v>71</v>
      </c>
      <c r="F74" s="555">
        <v>1</v>
      </c>
      <c r="G74" s="360">
        <v>5200</v>
      </c>
      <c r="H74" s="360">
        <v>4950</v>
      </c>
      <c r="I74" s="360">
        <f t="shared" si="2"/>
        <v>-250</v>
      </c>
      <c r="J74" s="360">
        <f t="shared" si="3"/>
        <v>-250</v>
      </c>
      <c r="K74" s="614"/>
    </row>
    <row r="75" spans="1:11" s="341" customFormat="1">
      <c r="A75" s="361">
        <v>73</v>
      </c>
      <c r="B75" s="555" t="s">
        <v>1244</v>
      </c>
      <c r="C75" s="332" t="s">
        <v>512</v>
      </c>
      <c r="D75" s="332" t="s">
        <v>738</v>
      </c>
      <c r="E75" s="332" t="s">
        <v>71</v>
      </c>
      <c r="F75" s="558">
        <v>2</v>
      </c>
      <c r="G75" s="360">
        <v>5200</v>
      </c>
      <c r="H75" s="360">
        <v>5300</v>
      </c>
      <c r="I75" s="360">
        <f t="shared" si="2"/>
        <v>100</v>
      </c>
      <c r="J75" s="360">
        <f t="shared" si="3"/>
        <v>200</v>
      </c>
      <c r="K75" s="614"/>
    </row>
    <row r="76" spans="1:11" s="341" customFormat="1">
      <c r="A76" s="361">
        <v>74</v>
      </c>
      <c r="B76" s="555" t="s">
        <v>1245</v>
      </c>
      <c r="C76" s="332" t="s">
        <v>512</v>
      </c>
      <c r="D76" s="332" t="s">
        <v>738</v>
      </c>
      <c r="E76" s="332" t="s">
        <v>71</v>
      </c>
      <c r="F76" s="558">
        <v>3</v>
      </c>
      <c r="G76" s="360">
        <v>5200</v>
      </c>
      <c r="H76" s="360">
        <v>5300</v>
      </c>
      <c r="I76" s="360">
        <f t="shared" si="2"/>
        <v>100</v>
      </c>
      <c r="J76" s="360">
        <f t="shared" si="3"/>
        <v>300</v>
      </c>
      <c r="K76" s="614"/>
    </row>
    <row r="77" spans="1:11" s="341" customFormat="1">
      <c r="A77" s="361">
        <v>75</v>
      </c>
      <c r="B77" s="555" t="s">
        <v>1246</v>
      </c>
      <c r="C77" s="332" t="s">
        <v>512</v>
      </c>
      <c r="D77" s="332" t="s">
        <v>738</v>
      </c>
      <c r="E77" s="332" t="s">
        <v>71</v>
      </c>
      <c r="F77" s="558">
        <v>3</v>
      </c>
      <c r="G77" s="360">
        <v>5200</v>
      </c>
      <c r="H77" s="360">
        <v>5300</v>
      </c>
      <c r="I77" s="360">
        <f t="shared" si="2"/>
        <v>100</v>
      </c>
      <c r="J77" s="360">
        <f t="shared" si="3"/>
        <v>300</v>
      </c>
      <c r="K77" s="614"/>
    </row>
    <row r="78" spans="1:11" s="341" customFormat="1">
      <c r="A78" s="361">
        <v>76</v>
      </c>
      <c r="B78" s="555" t="s">
        <v>1246</v>
      </c>
      <c r="C78" s="332" t="s">
        <v>512</v>
      </c>
      <c r="D78" s="332" t="s">
        <v>738</v>
      </c>
      <c r="E78" s="332" t="s">
        <v>71</v>
      </c>
      <c r="F78" s="558">
        <v>3.5</v>
      </c>
      <c r="G78" s="360">
        <v>5200</v>
      </c>
      <c r="H78" s="360">
        <v>5300</v>
      </c>
      <c r="I78" s="360">
        <f t="shared" si="2"/>
        <v>100</v>
      </c>
      <c r="J78" s="360">
        <f t="shared" si="3"/>
        <v>350</v>
      </c>
      <c r="K78" s="614"/>
    </row>
    <row r="79" spans="1:11" s="341" customFormat="1">
      <c r="A79" s="361">
        <v>77</v>
      </c>
      <c r="B79" s="555" t="s">
        <v>1247</v>
      </c>
      <c r="C79" s="332" t="s">
        <v>512</v>
      </c>
      <c r="D79" s="332" t="s">
        <v>738</v>
      </c>
      <c r="E79" s="332" t="s">
        <v>71</v>
      </c>
      <c r="F79" s="558">
        <v>3</v>
      </c>
      <c r="G79" s="360">
        <v>5200</v>
      </c>
      <c r="H79" s="360">
        <v>5300</v>
      </c>
      <c r="I79" s="360">
        <f t="shared" si="2"/>
        <v>100</v>
      </c>
      <c r="J79" s="360">
        <f t="shared" si="3"/>
        <v>300</v>
      </c>
      <c r="K79" s="614"/>
    </row>
    <row r="80" spans="1:11" s="341" customFormat="1">
      <c r="A80" s="361">
        <v>78</v>
      </c>
      <c r="B80" s="555" t="s">
        <v>1247</v>
      </c>
      <c r="C80" s="332" t="s">
        <v>512</v>
      </c>
      <c r="D80" s="332" t="s">
        <v>738</v>
      </c>
      <c r="E80" s="332" t="s">
        <v>71</v>
      </c>
      <c r="F80" s="558">
        <v>3</v>
      </c>
      <c r="G80" s="360">
        <v>5200</v>
      </c>
      <c r="H80" s="360">
        <v>5300</v>
      </c>
      <c r="I80" s="360">
        <f t="shared" si="2"/>
        <v>100</v>
      </c>
      <c r="J80" s="360">
        <f t="shared" si="3"/>
        <v>300</v>
      </c>
      <c r="K80" s="614"/>
    </row>
    <row r="81" spans="1:11" s="341" customFormat="1">
      <c r="A81" s="361">
        <v>79</v>
      </c>
      <c r="B81" s="555" t="s">
        <v>1248</v>
      </c>
      <c r="C81" s="332" t="s">
        <v>512</v>
      </c>
      <c r="D81" s="332" t="s">
        <v>738</v>
      </c>
      <c r="E81" s="332" t="s">
        <v>71</v>
      </c>
      <c r="F81" s="558">
        <v>3</v>
      </c>
      <c r="G81" s="360">
        <v>5200</v>
      </c>
      <c r="H81" s="360">
        <v>5300</v>
      </c>
      <c r="I81" s="360">
        <f t="shared" si="2"/>
        <v>100</v>
      </c>
      <c r="J81" s="360">
        <f t="shared" si="3"/>
        <v>300</v>
      </c>
      <c r="K81" s="614"/>
    </row>
    <row r="82" spans="1:11" s="341" customFormat="1">
      <c r="A82" s="361">
        <v>80</v>
      </c>
      <c r="B82" s="555" t="s">
        <v>1249</v>
      </c>
      <c r="C82" s="332" t="s">
        <v>512</v>
      </c>
      <c r="D82" s="332" t="s">
        <v>738</v>
      </c>
      <c r="E82" s="332" t="s">
        <v>71</v>
      </c>
      <c r="F82" s="558">
        <v>3</v>
      </c>
      <c r="G82" s="360">
        <v>5200</v>
      </c>
      <c r="H82" s="360">
        <v>5300</v>
      </c>
      <c r="I82" s="360">
        <f t="shared" si="2"/>
        <v>100</v>
      </c>
      <c r="J82" s="360">
        <f t="shared" si="3"/>
        <v>300</v>
      </c>
      <c r="K82" s="614"/>
    </row>
    <row r="83" spans="1:11" s="341" customFormat="1">
      <c r="A83" s="361">
        <v>81</v>
      </c>
      <c r="B83" s="555" t="s">
        <v>1249</v>
      </c>
      <c r="C83" s="332" t="s">
        <v>512</v>
      </c>
      <c r="D83" s="332" t="s">
        <v>738</v>
      </c>
      <c r="E83" s="332" t="s">
        <v>71</v>
      </c>
      <c r="F83" s="558">
        <v>2.5</v>
      </c>
      <c r="G83" s="360">
        <v>5200</v>
      </c>
      <c r="H83" s="360">
        <v>5300</v>
      </c>
      <c r="I83" s="360">
        <f t="shared" si="2"/>
        <v>100</v>
      </c>
      <c r="J83" s="360">
        <f t="shared" si="3"/>
        <v>250</v>
      </c>
      <c r="K83" s="614"/>
    </row>
    <row r="84" spans="1:11" s="341" customFormat="1">
      <c r="A84" s="361">
        <v>82</v>
      </c>
      <c r="B84" s="555" t="s">
        <v>1250</v>
      </c>
      <c r="C84" s="332" t="s">
        <v>512</v>
      </c>
      <c r="D84" s="332" t="s">
        <v>738</v>
      </c>
      <c r="E84" s="332" t="s">
        <v>71</v>
      </c>
      <c r="F84" s="558">
        <v>3</v>
      </c>
      <c r="G84" s="360">
        <v>5200</v>
      </c>
      <c r="H84" s="360">
        <v>5300</v>
      </c>
      <c r="I84" s="360">
        <f t="shared" si="2"/>
        <v>100</v>
      </c>
      <c r="J84" s="360">
        <f t="shared" si="3"/>
        <v>300</v>
      </c>
      <c r="K84" s="614"/>
    </row>
    <row r="85" spans="1:11" s="341" customFormat="1">
      <c r="A85" s="361">
        <v>83</v>
      </c>
      <c r="B85" s="555" t="s">
        <v>1251</v>
      </c>
      <c r="C85" s="332" t="s">
        <v>512</v>
      </c>
      <c r="D85" s="332" t="s">
        <v>738</v>
      </c>
      <c r="E85" s="332" t="s">
        <v>71</v>
      </c>
      <c r="F85" s="558">
        <v>3</v>
      </c>
      <c r="G85" s="360">
        <v>5200</v>
      </c>
      <c r="H85" s="360">
        <v>5300</v>
      </c>
      <c r="I85" s="360">
        <f t="shared" si="2"/>
        <v>100</v>
      </c>
      <c r="J85" s="360">
        <f t="shared" si="3"/>
        <v>300</v>
      </c>
      <c r="K85" s="614"/>
    </row>
    <row r="86" spans="1:11" s="341" customFormat="1">
      <c r="A86" s="361">
        <v>84</v>
      </c>
      <c r="B86" s="555" t="s">
        <v>1252</v>
      </c>
      <c r="C86" s="332" t="s">
        <v>512</v>
      </c>
      <c r="D86" s="332" t="s">
        <v>738</v>
      </c>
      <c r="E86" s="332" t="s">
        <v>71</v>
      </c>
      <c r="F86" s="558">
        <v>3.5</v>
      </c>
      <c r="G86" s="360">
        <v>5200</v>
      </c>
      <c r="H86" s="360">
        <v>5300</v>
      </c>
      <c r="I86" s="360">
        <f t="shared" si="2"/>
        <v>100</v>
      </c>
      <c r="J86" s="360">
        <f t="shared" si="3"/>
        <v>350</v>
      </c>
      <c r="K86" s="614"/>
    </row>
    <row r="87" spans="1:11" s="341" customFormat="1">
      <c r="A87" s="361">
        <v>85</v>
      </c>
      <c r="B87" s="555" t="s">
        <v>1252</v>
      </c>
      <c r="C87" s="332" t="s">
        <v>512</v>
      </c>
      <c r="D87" s="332" t="s">
        <v>738</v>
      </c>
      <c r="E87" s="332" t="s">
        <v>71</v>
      </c>
      <c r="F87" s="558">
        <v>4</v>
      </c>
      <c r="G87" s="360">
        <v>5200</v>
      </c>
      <c r="H87" s="360">
        <v>5300</v>
      </c>
      <c r="I87" s="360">
        <f t="shared" si="2"/>
        <v>100</v>
      </c>
      <c r="J87" s="360">
        <f t="shared" si="3"/>
        <v>400</v>
      </c>
      <c r="K87" s="614"/>
    </row>
    <row r="88" spans="1:11" s="341" customFormat="1">
      <c r="A88" s="361">
        <v>86</v>
      </c>
      <c r="B88" s="555" t="s">
        <v>1253</v>
      </c>
      <c r="C88" s="332" t="s">
        <v>512</v>
      </c>
      <c r="D88" s="332" t="s">
        <v>738</v>
      </c>
      <c r="E88" s="332" t="s">
        <v>71</v>
      </c>
      <c r="F88" s="558">
        <v>3.5</v>
      </c>
      <c r="G88" s="360">
        <v>5200</v>
      </c>
      <c r="H88" s="360">
        <v>5300</v>
      </c>
      <c r="I88" s="360">
        <f t="shared" si="2"/>
        <v>100</v>
      </c>
      <c r="J88" s="360">
        <f t="shared" si="3"/>
        <v>350</v>
      </c>
      <c r="K88" s="614"/>
    </row>
    <row r="89" spans="1:11" s="341" customFormat="1">
      <c r="A89" s="361">
        <v>87</v>
      </c>
      <c r="B89" s="555" t="s">
        <v>1254</v>
      </c>
      <c r="C89" s="332" t="s">
        <v>512</v>
      </c>
      <c r="D89" s="332" t="s">
        <v>738</v>
      </c>
      <c r="E89" s="332" t="s">
        <v>71</v>
      </c>
      <c r="F89" s="558">
        <v>3.5</v>
      </c>
      <c r="G89" s="360">
        <v>5200</v>
      </c>
      <c r="H89" s="360">
        <v>5300</v>
      </c>
      <c r="I89" s="360">
        <f t="shared" si="2"/>
        <v>100</v>
      </c>
      <c r="J89" s="360">
        <f t="shared" si="3"/>
        <v>350</v>
      </c>
      <c r="K89" s="614"/>
    </row>
    <row r="90" spans="1:11" s="341" customFormat="1">
      <c r="A90" s="361">
        <v>88</v>
      </c>
      <c r="B90" s="555" t="s">
        <v>1255</v>
      </c>
      <c r="C90" s="332" t="s">
        <v>512</v>
      </c>
      <c r="D90" s="332" t="s">
        <v>738</v>
      </c>
      <c r="E90" s="332" t="s">
        <v>71</v>
      </c>
      <c r="F90" s="558">
        <v>6</v>
      </c>
      <c r="G90" s="360">
        <v>5200</v>
      </c>
      <c r="H90" s="360">
        <v>5300</v>
      </c>
      <c r="I90" s="360">
        <f t="shared" si="2"/>
        <v>100</v>
      </c>
      <c r="J90" s="360">
        <f t="shared" si="3"/>
        <v>600</v>
      </c>
      <c r="K90" s="614"/>
    </row>
    <row r="91" spans="1:11" s="341" customFormat="1">
      <c r="A91" s="361">
        <v>89</v>
      </c>
      <c r="B91" s="555" t="s">
        <v>1259</v>
      </c>
      <c r="C91" s="332" t="s">
        <v>512</v>
      </c>
      <c r="D91" s="332" t="s">
        <v>738</v>
      </c>
      <c r="E91" s="332" t="s">
        <v>71</v>
      </c>
      <c r="F91" s="550">
        <v>4</v>
      </c>
      <c r="G91" s="360">
        <v>5200</v>
      </c>
      <c r="H91" s="360">
        <v>5300</v>
      </c>
      <c r="I91" s="360">
        <f t="shared" si="2"/>
        <v>100</v>
      </c>
      <c r="J91" s="360">
        <f t="shared" si="3"/>
        <v>400</v>
      </c>
      <c r="K91" s="614"/>
    </row>
    <row r="92" spans="1:11" s="341" customFormat="1">
      <c r="A92" s="361">
        <v>90</v>
      </c>
      <c r="B92" s="555" t="s">
        <v>1260</v>
      </c>
      <c r="C92" s="332" t="s">
        <v>512</v>
      </c>
      <c r="D92" s="332" t="s">
        <v>738</v>
      </c>
      <c r="E92" s="332" t="s">
        <v>71</v>
      </c>
      <c r="F92" s="553">
        <v>5.5</v>
      </c>
      <c r="G92" s="360">
        <v>5200</v>
      </c>
      <c r="H92" s="360">
        <v>5300</v>
      </c>
      <c r="I92" s="360">
        <f t="shared" si="2"/>
        <v>100</v>
      </c>
      <c r="J92" s="360">
        <f t="shared" si="3"/>
        <v>550</v>
      </c>
      <c r="K92" s="614"/>
    </row>
    <row r="93" spans="1:11" s="341" customFormat="1">
      <c r="A93" s="361">
        <v>91</v>
      </c>
      <c r="B93" s="555" t="s">
        <v>1261</v>
      </c>
      <c r="C93" s="332" t="s">
        <v>535</v>
      </c>
      <c r="D93" s="332" t="s">
        <v>738</v>
      </c>
      <c r="E93" s="332" t="s">
        <v>71</v>
      </c>
      <c r="F93" s="553">
        <v>12</v>
      </c>
      <c r="G93" s="360">
        <v>5200</v>
      </c>
      <c r="H93" s="614">
        <v>5500</v>
      </c>
      <c r="I93" s="360">
        <f t="shared" si="2"/>
        <v>300</v>
      </c>
      <c r="J93" s="360">
        <f t="shared" si="3"/>
        <v>3600</v>
      </c>
      <c r="K93" s="614"/>
    </row>
    <row r="94" spans="1:11" s="341" customFormat="1">
      <c r="A94" s="361">
        <v>92</v>
      </c>
      <c r="B94" s="555" t="s">
        <v>1261</v>
      </c>
      <c r="C94" s="332" t="s">
        <v>535</v>
      </c>
      <c r="D94" s="332" t="s">
        <v>465</v>
      </c>
      <c r="E94" s="332" t="s">
        <v>71</v>
      </c>
      <c r="F94" s="368">
        <v>35</v>
      </c>
      <c r="G94" s="360">
        <v>5200</v>
      </c>
      <c r="H94" s="360">
        <v>5100</v>
      </c>
      <c r="I94" s="360">
        <f t="shared" si="2"/>
        <v>-100</v>
      </c>
      <c r="J94" s="360">
        <f t="shared" si="3"/>
        <v>-3500</v>
      </c>
      <c r="K94" s="614"/>
    </row>
    <row r="95" spans="1:11" s="341" customFormat="1">
      <c r="A95" s="361">
        <v>93</v>
      </c>
      <c r="B95" s="555" t="s">
        <v>1262</v>
      </c>
      <c r="C95" s="332" t="s">
        <v>535</v>
      </c>
      <c r="D95" s="332" t="s">
        <v>465</v>
      </c>
      <c r="E95" s="332" t="s">
        <v>71</v>
      </c>
      <c r="F95" s="368">
        <v>63</v>
      </c>
      <c r="G95" s="360">
        <v>5200</v>
      </c>
      <c r="H95" s="360">
        <v>5100</v>
      </c>
      <c r="I95" s="360">
        <f t="shared" si="2"/>
        <v>-100</v>
      </c>
      <c r="J95" s="360">
        <f t="shared" si="3"/>
        <v>-6300</v>
      </c>
      <c r="K95" s="614"/>
    </row>
    <row r="96" spans="1:11" s="341" customFormat="1">
      <c r="A96" s="361">
        <v>94</v>
      </c>
      <c r="B96" s="555" t="s">
        <v>1262</v>
      </c>
      <c r="C96" s="332" t="s">
        <v>512</v>
      </c>
      <c r="D96" s="332" t="s">
        <v>465</v>
      </c>
      <c r="E96" s="332" t="s">
        <v>71</v>
      </c>
      <c r="F96" s="368">
        <v>6</v>
      </c>
      <c r="G96" s="360">
        <v>5200</v>
      </c>
      <c r="H96" s="360">
        <v>4950</v>
      </c>
      <c r="I96" s="360">
        <f t="shared" si="2"/>
        <v>-250</v>
      </c>
      <c r="J96" s="360">
        <f t="shared" si="3"/>
        <v>-1500</v>
      </c>
      <c r="K96" s="614"/>
    </row>
    <row r="97" spans="1:11" s="341" customFormat="1">
      <c r="A97" s="361">
        <v>95</v>
      </c>
      <c r="B97" s="555" t="s">
        <v>1273</v>
      </c>
      <c r="C97" s="332" t="s">
        <v>512</v>
      </c>
      <c r="D97" s="332" t="s">
        <v>738</v>
      </c>
      <c r="E97" s="332" t="s">
        <v>71</v>
      </c>
      <c r="F97" s="368">
        <v>12</v>
      </c>
      <c r="G97" s="360">
        <v>5200</v>
      </c>
      <c r="H97" s="360">
        <v>5500</v>
      </c>
      <c r="I97" s="360">
        <f t="shared" ref="I97" si="4">H97-G97</f>
        <v>300</v>
      </c>
      <c r="J97" s="360">
        <f t="shared" ref="J97" si="5">F97*I97</f>
        <v>3600</v>
      </c>
      <c r="K97" s="638"/>
    </row>
    <row r="98" spans="1:11" s="341" customFormat="1">
      <c r="A98" s="361">
        <v>96</v>
      </c>
      <c r="B98" s="555" t="s">
        <v>1273</v>
      </c>
      <c r="C98" s="332" t="s">
        <v>512</v>
      </c>
      <c r="D98" s="332" t="s">
        <v>465</v>
      </c>
      <c r="E98" s="332" t="s">
        <v>71</v>
      </c>
      <c r="F98" s="368">
        <v>35</v>
      </c>
      <c r="G98" s="360">
        <v>5200</v>
      </c>
      <c r="H98" s="360">
        <v>4950</v>
      </c>
      <c r="I98" s="360">
        <f t="shared" ref="I98" si="6">H98-G98</f>
        <v>-250</v>
      </c>
      <c r="J98" s="360">
        <f t="shared" ref="J98" si="7">F98*I98</f>
        <v>-8750</v>
      </c>
      <c r="K98" s="638"/>
    </row>
    <row r="99" spans="1:11" s="341" customFormat="1">
      <c r="A99" s="361">
        <v>97</v>
      </c>
      <c r="B99" s="555" t="s">
        <v>1274</v>
      </c>
      <c r="C99" s="332" t="s">
        <v>512</v>
      </c>
      <c r="D99" s="332" t="s">
        <v>465</v>
      </c>
      <c r="E99" s="332" t="s">
        <v>71</v>
      </c>
      <c r="F99" s="368">
        <v>28</v>
      </c>
      <c r="G99" s="360">
        <v>5200</v>
      </c>
      <c r="H99" s="360">
        <v>4950</v>
      </c>
      <c r="I99" s="360">
        <f t="shared" ref="I99" si="8">H99-G99</f>
        <v>-250</v>
      </c>
      <c r="J99" s="360">
        <f t="shared" ref="J99" si="9">F99*I99</f>
        <v>-7000</v>
      </c>
      <c r="K99" s="638"/>
    </row>
    <row r="100" spans="1:11" s="341" customFormat="1">
      <c r="A100" s="614"/>
      <c r="B100" s="614"/>
      <c r="C100" s="614"/>
      <c r="D100" s="614"/>
      <c r="E100" s="614"/>
      <c r="F100" s="555"/>
      <c r="G100" s="358"/>
      <c r="H100" s="358"/>
      <c r="I100" s="358"/>
      <c r="J100" s="358"/>
      <c r="K100" s="614"/>
    </row>
    <row r="101" spans="1:11">
      <c r="A101" s="614"/>
      <c r="B101" s="614"/>
      <c r="C101" s="335"/>
      <c r="D101" s="335"/>
      <c r="E101" s="614"/>
      <c r="F101" s="631"/>
      <c r="G101" s="337"/>
      <c r="H101" s="337"/>
      <c r="I101" s="337"/>
      <c r="J101" s="337"/>
      <c r="K101" s="614"/>
    </row>
    <row r="102" spans="1:11" s="340" customFormat="1" ht="15" customHeight="1">
      <c r="A102" s="332"/>
      <c r="B102" s="710" t="s">
        <v>515</v>
      </c>
      <c r="C102" s="711"/>
      <c r="D102" s="339"/>
      <c r="E102" s="339"/>
      <c r="F102" s="344">
        <f>SUM(F3:F101)</f>
        <v>2113.46</v>
      </c>
      <c r="G102" s="344"/>
      <c r="H102" s="344"/>
      <c r="I102" s="344"/>
      <c r="J102" s="344">
        <f>SUM(J3:J101)</f>
        <v>340</v>
      </c>
      <c r="K102" s="332"/>
    </row>
  </sheetData>
  <autoFilter ref="A2:O96"/>
  <mergeCells count="2">
    <mergeCell ref="A1:J1"/>
    <mergeCell ref="B102:C10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88"/>
  <sheetViews>
    <sheetView view="pageBreakPreview" zoomScaleNormal="100" zoomScaleSheetLayoutView="100" workbookViewId="0">
      <pane ySplit="7" topLeftCell="A81" activePane="bottomLeft" state="frozen"/>
      <selection pane="bottomLeft" activeCell="J96" sqref="J96"/>
    </sheetView>
  </sheetViews>
  <sheetFormatPr defaultRowHeight="15"/>
  <cols>
    <col min="2" max="2" width="19.140625" customWidth="1"/>
    <col min="9" max="9" width="9.85546875" customWidth="1"/>
    <col min="10" max="10" width="11.140625" customWidth="1"/>
  </cols>
  <sheetData>
    <row r="1" spans="1:10">
      <c r="A1" s="66" t="s">
        <v>186</v>
      </c>
      <c r="B1" s="67"/>
      <c r="C1" s="67"/>
      <c r="D1" s="67"/>
      <c r="E1" s="67"/>
      <c r="F1" s="67"/>
      <c r="G1" s="67"/>
      <c r="H1" s="67"/>
      <c r="I1" s="67"/>
      <c r="J1" s="68"/>
    </row>
    <row r="2" spans="1:10">
      <c r="A2" s="69" t="s">
        <v>187</v>
      </c>
      <c r="B2" s="27"/>
      <c r="C2" s="27"/>
      <c r="D2" s="27"/>
      <c r="E2" s="27"/>
      <c r="F2" s="27"/>
      <c r="G2" s="27"/>
      <c r="H2" s="27"/>
      <c r="I2" s="27"/>
      <c r="J2" s="70"/>
    </row>
    <row r="3" spans="1:10">
      <c r="A3" s="69" t="s">
        <v>188</v>
      </c>
      <c r="B3" s="27"/>
      <c r="C3" s="27"/>
      <c r="D3" s="27"/>
      <c r="E3" s="27"/>
      <c r="F3" s="27"/>
      <c r="G3" s="27"/>
      <c r="H3" s="27"/>
      <c r="I3" s="27"/>
      <c r="J3" s="70"/>
    </row>
    <row r="4" spans="1:10">
      <c r="A4" s="69" t="s">
        <v>189</v>
      </c>
      <c r="B4" s="27"/>
      <c r="C4" s="27"/>
      <c r="D4" s="27"/>
      <c r="E4" s="27"/>
      <c r="F4" s="27"/>
      <c r="G4" s="27"/>
      <c r="H4" s="27"/>
      <c r="I4" s="27"/>
      <c r="J4" s="70"/>
    </row>
    <row r="5" spans="1:10">
      <c r="A5" s="71"/>
      <c r="B5" s="545" t="s">
        <v>888</v>
      </c>
      <c r="C5" s="72"/>
      <c r="D5" s="72"/>
      <c r="E5" s="72"/>
      <c r="F5" s="72"/>
      <c r="G5" s="72"/>
      <c r="H5" s="72"/>
      <c r="I5" s="72"/>
      <c r="J5" s="73"/>
    </row>
    <row r="6" spans="1:10">
      <c r="A6" s="719" t="s">
        <v>1</v>
      </c>
      <c r="B6" s="720" t="s">
        <v>190</v>
      </c>
      <c r="C6" s="720" t="s">
        <v>3</v>
      </c>
      <c r="D6" s="720" t="s">
        <v>64</v>
      </c>
      <c r="E6" s="720" t="s">
        <v>64</v>
      </c>
      <c r="F6" s="720" t="s">
        <v>191</v>
      </c>
      <c r="G6" s="720"/>
      <c r="H6" s="720"/>
      <c r="I6" s="720" t="s">
        <v>192</v>
      </c>
      <c r="J6" s="727" t="s">
        <v>21</v>
      </c>
    </row>
    <row r="7" spans="1:10">
      <c r="A7" s="719"/>
      <c r="B7" s="720"/>
      <c r="C7" s="720"/>
      <c r="D7" s="720"/>
      <c r="E7" s="720"/>
      <c r="F7" s="74" t="s">
        <v>61</v>
      </c>
      <c r="G7" s="74" t="s">
        <v>62</v>
      </c>
      <c r="H7" s="74" t="s">
        <v>193</v>
      </c>
      <c r="I7" s="720"/>
      <c r="J7" s="727"/>
    </row>
    <row r="8" spans="1:10" ht="30">
      <c r="A8" s="75"/>
      <c r="B8" s="76" t="s">
        <v>194</v>
      </c>
      <c r="C8" s="77"/>
      <c r="D8" s="77"/>
      <c r="E8" s="77"/>
      <c r="F8" s="77"/>
      <c r="G8" s="77"/>
      <c r="H8" s="77"/>
      <c r="I8" s="77"/>
      <c r="J8" s="78"/>
    </row>
    <row r="9" spans="1:10">
      <c r="A9" s="75">
        <v>1</v>
      </c>
      <c r="B9" s="77" t="s">
        <v>195</v>
      </c>
      <c r="C9" s="77" t="s">
        <v>9</v>
      </c>
      <c r="D9" s="77">
        <v>1</v>
      </c>
      <c r="E9" s="77">
        <v>1</v>
      </c>
      <c r="F9" s="375">
        <f>31.935+0.115+0.115+0.1+0.1</f>
        <v>32.365000000000002</v>
      </c>
      <c r="G9" s="375">
        <f>36.895+0.115+0.1+0.115+0.1</f>
        <v>37.32500000000001</v>
      </c>
      <c r="H9" s="79"/>
      <c r="I9" s="80">
        <f t="shared" ref="I9:I15" si="0">PRODUCT(D9:H9)</f>
        <v>1208.0236250000005</v>
      </c>
      <c r="J9" s="721" t="s">
        <v>618</v>
      </c>
    </row>
    <row r="10" spans="1:10">
      <c r="A10" s="75">
        <v>2</v>
      </c>
      <c r="B10" s="77"/>
      <c r="C10" s="77" t="s">
        <v>9</v>
      </c>
      <c r="D10" s="77">
        <v>1</v>
      </c>
      <c r="E10" s="77">
        <v>1</v>
      </c>
      <c r="F10" s="375">
        <f>8.78+0.115+0.115+0.1+0.1</f>
        <v>9.2099999999999991</v>
      </c>
      <c r="G10" s="375">
        <v>0.51500000000000001</v>
      </c>
      <c r="H10" s="79"/>
      <c r="I10" s="80">
        <f t="shared" si="0"/>
        <v>4.74315</v>
      </c>
      <c r="J10" s="722"/>
    </row>
    <row r="11" spans="1:10">
      <c r="A11" s="75">
        <v>3</v>
      </c>
      <c r="B11" s="77" t="s">
        <v>196</v>
      </c>
      <c r="C11" s="77" t="s">
        <v>9</v>
      </c>
      <c r="D11" s="77">
        <v>-1</v>
      </c>
      <c r="E11" s="77">
        <v>1</v>
      </c>
      <c r="F11" s="375">
        <v>11.005000000000001</v>
      </c>
      <c r="G11" s="375">
        <v>12.414999999999999</v>
      </c>
      <c r="H11" s="79"/>
      <c r="I11" s="80">
        <f t="shared" si="0"/>
        <v>-136.62707499999999</v>
      </c>
      <c r="J11" s="722"/>
    </row>
    <row r="12" spans="1:10">
      <c r="A12" s="75">
        <v>4</v>
      </c>
      <c r="B12" s="77" t="s">
        <v>197</v>
      </c>
      <c r="C12" s="77" t="s">
        <v>9</v>
      </c>
      <c r="D12" s="77">
        <v>-1</v>
      </c>
      <c r="E12" s="77">
        <v>1</v>
      </c>
      <c r="F12" s="375">
        <v>11.09</v>
      </c>
      <c r="G12" s="375">
        <v>10.285</v>
      </c>
      <c r="H12" s="79"/>
      <c r="I12" s="80">
        <f t="shared" si="0"/>
        <v>-114.06065</v>
      </c>
      <c r="J12" s="722"/>
    </row>
    <row r="13" spans="1:10">
      <c r="A13" s="75">
        <v>5</v>
      </c>
      <c r="B13" s="724" t="s">
        <v>198</v>
      </c>
      <c r="C13" s="77" t="s">
        <v>9</v>
      </c>
      <c r="D13" s="77">
        <v>-1</v>
      </c>
      <c r="E13" s="77">
        <v>1</v>
      </c>
      <c r="F13" s="375">
        <v>11.285</v>
      </c>
      <c r="G13" s="375">
        <f>1.405+0.815+1.5</f>
        <v>3.7199999999999998</v>
      </c>
      <c r="H13" s="79"/>
      <c r="I13" s="80">
        <f t="shared" si="0"/>
        <v>-41.980199999999996</v>
      </c>
      <c r="J13" s="722"/>
    </row>
    <row r="14" spans="1:10">
      <c r="A14" s="75">
        <v>6</v>
      </c>
      <c r="B14" s="725"/>
      <c r="C14" s="77" t="s">
        <v>9</v>
      </c>
      <c r="D14" s="77">
        <v>-1</v>
      </c>
      <c r="E14" s="77">
        <v>1</v>
      </c>
      <c r="F14" s="375">
        <v>1.6950000000000001</v>
      </c>
      <c r="G14" s="375">
        <f>0.815+1.5</f>
        <v>2.3149999999999999</v>
      </c>
      <c r="H14" s="79"/>
      <c r="I14" s="80">
        <f t="shared" si="0"/>
        <v>-3.9239250000000001</v>
      </c>
      <c r="J14" s="722"/>
    </row>
    <row r="15" spans="1:10">
      <c r="A15" s="75">
        <v>7</v>
      </c>
      <c r="B15" s="726"/>
      <c r="C15" s="77" t="s">
        <v>9</v>
      </c>
      <c r="D15" s="77">
        <v>-1</v>
      </c>
      <c r="E15" s="77">
        <v>1</v>
      </c>
      <c r="F15" s="375">
        <v>3.95</v>
      </c>
      <c r="G15" s="375">
        <v>1.5</v>
      </c>
      <c r="H15" s="79"/>
      <c r="I15" s="80">
        <f t="shared" si="0"/>
        <v>-5.9250000000000007</v>
      </c>
      <c r="J15" s="722"/>
    </row>
    <row r="16" spans="1:10">
      <c r="A16" s="75">
        <v>8</v>
      </c>
      <c r="B16" s="77"/>
      <c r="C16" s="77" t="s">
        <v>9</v>
      </c>
      <c r="D16" s="77">
        <v>-1</v>
      </c>
      <c r="E16" s="77">
        <v>1</v>
      </c>
      <c r="F16" s="375">
        <v>15.8</v>
      </c>
      <c r="G16" s="375">
        <f>0.115+0.1</f>
        <v>0.21500000000000002</v>
      </c>
      <c r="H16" s="79"/>
      <c r="I16" s="80">
        <f t="shared" ref="I16" si="1">PRODUCT(D16:H16)</f>
        <v>-3.3970000000000007</v>
      </c>
      <c r="J16" s="723"/>
    </row>
    <row r="17" spans="1:10">
      <c r="A17" s="75">
        <v>1</v>
      </c>
      <c r="B17" s="77" t="s">
        <v>552</v>
      </c>
      <c r="C17" s="77" t="s">
        <v>9</v>
      </c>
      <c r="D17" s="77">
        <v>1</v>
      </c>
      <c r="E17" s="77">
        <v>1</v>
      </c>
      <c r="F17" s="395">
        <f>31.935+0.115+0.115+0.1+0.1</f>
        <v>32.365000000000002</v>
      </c>
      <c r="G17" s="395">
        <f>40.165+0.9+0.115+0.1+0.115+0.1</f>
        <v>41.495000000000005</v>
      </c>
      <c r="H17" s="79"/>
      <c r="I17" s="80">
        <f t="shared" ref="I17:I24" si="2">PRODUCT(D17:H17)</f>
        <v>1342.9856750000001</v>
      </c>
      <c r="J17" s="721" t="s">
        <v>672</v>
      </c>
    </row>
    <row r="18" spans="1:10">
      <c r="A18" s="75">
        <v>2</v>
      </c>
      <c r="B18" s="77"/>
      <c r="C18" s="77" t="s">
        <v>9</v>
      </c>
      <c r="D18" s="77">
        <v>1</v>
      </c>
      <c r="E18" s="77">
        <v>1</v>
      </c>
      <c r="F18" s="395">
        <f>8.78+0.115+0.115+0.1+0.1</f>
        <v>9.2099999999999991</v>
      </c>
      <c r="G18" s="395">
        <v>0.51500000000000001</v>
      </c>
      <c r="H18" s="79"/>
      <c r="I18" s="80">
        <f t="shared" si="2"/>
        <v>4.74315</v>
      </c>
      <c r="J18" s="722"/>
    </row>
    <row r="19" spans="1:10">
      <c r="A19" s="75">
        <v>3</v>
      </c>
      <c r="B19" s="77" t="s">
        <v>553</v>
      </c>
      <c r="C19" s="77" t="s">
        <v>9</v>
      </c>
      <c r="D19" s="77">
        <v>-1</v>
      </c>
      <c r="E19" s="77">
        <v>1</v>
      </c>
      <c r="F19" s="395">
        <f>14.275+0.9</f>
        <v>15.175000000000001</v>
      </c>
      <c r="G19" s="395">
        <v>12.414999999999999</v>
      </c>
      <c r="H19" s="79"/>
      <c r="I19" s="80">
        <f t="shared" si="2"/>
        <v>-188.39762500000001</v>
      </c>
      <c r="J19" s="722"/>
    </row>
    <row r="20" spans="1:10">
      <c r="A20" s="75">
        <v>4</v>
      </c>
      <c r="B20" s="77" t="s">
        <v>554</v>
      </c>
      <c r="C20" s="77" t="s">
        <v>9</v>
      </c>
      <c r="D20" s="77">
        <v>-1</v>
      </c>
      <c r="E20" s="77">
        <v>1</v>
      </c>
      <c r="F20" s="395">
        <v>11.09</v>
      </c>
      <c r="G20" s="395">
        <v>10.285</v>
      </c>
      <c r="H20" s="79"/>
      <c r="I20" s="80">
        <f t="shared" si="2"/>
        <v>-114.06065</v>
      </c>
      <c r="J20" s="722"/>
    </row>
    <row r="21" spans="1:10">
      <c r="A21" s="75">
        <v>5</v>
      </c>
      <c r="B21" s="724" t="s">
        <v>555</v>
      </c>
      <c r="C21" s="77" t="s">
        <v>9</v>
      </c>
      <c r="D21" s="77">
        <v>-1</v>
      </c>
      <c r="E21" s="77">
        <v>1</v>
      </c>
      <c r="F21" s="395">
        <f>14.555+0.9</f>
        <v>15.455</v>
      </c>
      <c r="G21" s="395">
        <f>1.405+0.815+1.5</f>
        <v>3.7199999999999998</v>
      </c>
      <c r="H21" s="79"/>
      <c r="I21" s="80">
        <f t="shared" si="2"/>
        <v>-57.492599999999996</v>
      </c>
      <c r="J21" s="722"/>
    </row>
    <row r="22" spans="1:10">
      <c r="A22" s="75">
        <v>6</v>
      </c>
      <c r="B22" s="725"/>
      <c r="C22" s="77" t="s">
        <v>9</v>
      </c>
      <c r="D22" s="77">
        <v>-1</v>
      </c>
      <c r="E22" s="77">
        <v>1</v>
      </c>
      <c r="F22" s="395">
        <v>1.6950000000000001</v>
      </c>
      <c r="G22" s="395">
        <f>0.815+1.5</f>
        <v>2.3149999999999999</v>
      </c>
      <c r="H22" s="79"/>
      <c r="I22" s="80">
        <f t="shared" si="2"/>
        <v>-3.9239250000000001</v>
      </c>
      <c r="J22" s="722"/>
    </row>
    <row r="23" spans="1:10">
      <c r="A23" s="75">
        <v>7</v>
      </c>
      <c r="B23" s="726"/>
      <c r="C23" s="77" t="s">
        <v>9</v>
      </c>
      <c r="D23" s="77">
        <v>-1</v>
      </c>
      <c r="E23" s="77">
        <v>1</v>
      </c>
      <c r="F23" s="395">
        <v>3.95</v>
      </c>
      <c r="G23" s="395">
        <v>1.5</v>
      </c>
      <c r="H23" s="79"/>
      <c r="I23" s="80">
        <f t="shared" si="2"/>
        <v>-5.9250000000000007</v>
      </c>
      <c r="J23" s="722"/>
    </row>
    <row r="24" spans="1:10">
      <c r="A24" s="75">
        <v>8</v>
      </c>
      <c r="B24" s="77"/>
      <c r="C24" s="77" t="s">
        <v>9</v>
      </c>
      <c r="D24" s="77">
        <v>-1</v>
      </c>
      <c r="E24" s="77">
        <v>1</v>
      </c>
      <c r="F24" s="395">
        <v>15.8</v>
      </c>
      <c r="G24" s="395">
        <f>0.115+0.1</f>
        <v>0.21500000000000002</v>
      </c>
      <c r="H24" s="79"/>
      <c r="I24" s="80">
        <f t="shared" si="2"/>
        <v>-3.3970000000000007</v>
      </c>
      <c r="J24" s="723"/>
    </row>
    <row r="25" spans="1:10" ht="45">
      <c r="A25" s="167"/>
      <c r="B25" s="81" t="s">
        <v>741</v>
      </c>
      <c r="C25" s="481"/>
      <c r="D25" s="481"/>
      <c r="E25" s="481"/>
      <c r="F25" s="481"/>
      <c r="G25" s="478"/>
      <c r="H25" s="481"/>
      <c r="I25" s="167"/>
      <c r="J25" s="167"/>
    </row>
    <row r="26" spans="1:10">
      <c r="A26" s="167"/>
      <c r="B26" s="487"/>
      <c r="C26" s="481"/>
      <c r="D26" s="481"/>
      <c r="E26" s="481"/>
      <c r="F26" s="481"/>
      <c r="G26" s="478"/>
      <c r="H26" s="481"/>
      <c r="I26" s="167"/>
      <c r="J26" s="716" t="s">
        <v>751</v>
      </c>
    </row>
    <row r="27" spans="1:10">
      <c r="A27" s="167"/>
      <c r="B27" s="487">
        <v>1</v>
      </c>
      <c r="C27" s="481" t="s">
        <v>9</v>
      </c>
      <c r="D27" s="481">
        <v>1</v>
      </c>
      <c r="E27" s="481">
        <v>1</v>
      </c>
      <c r="F27" s="235">
        <v>5.15</v>
      </c>
      <c r="G27" s="235">
        <f>3.035+0.115</f>
        <v>3.1500000000000004</v>
      </c>
      <c r="H27" s="235"/>
      <c r="I27" s="477"/>
      <c r="J27" s="717"/>
    </row>
    <row r="28" spans="1:10">
      <c r="A28" s="167"/>
      <c r="B28" s="487" t="s">
        <v>743</v>
      </c>
      <c r="C28" s="481" t="s">
        <v>9</v>
      </c>
      <c r="D28" s="481">
        <v>1</v>
      </c>
      <c r="E28" s="481">
        <v>2</v>
      </c>
      <c r="F28" s="235">
        <v>3.17</v>
      </c>
      <c r="G28" s="235">
        <v>2.41</v>
      </c>
      <c r="H28" s="235"/>
      <c r="I28" s="477"/>
      <c r="J28" s="717"/>
    </row>
    <row r="29" spans="1:10">
      <c r="A29" s="167"/>
      <c r="B29" s="487" t="s">
        <v>742</v>
      </c>
      <c r="C29" s="481" t="s">
        <v>9</v>
      </c>
      <c r="D29" s="481">
        <v>1</v>
      </c>
      <c r="E29" s="481">
        <v>1</v>
      </c>
      <c r="F29" s="235">
        <v>3.55</v>
      </c>
      <c r="G29" s="235">
        <v>3.17</v>
      </c>
      <c r="H29" s="235"/>
      <c r="I29" s="477"/>
      <c r="J29" s="717"/>
    </row>
    <row r="30" spans="1:10">
      <c r="A30" s="167"/>
      <c r="B30" s="487" t="s">
        <v>744</v>
      </c>
      <c r="C30" s="481" t="s">
        <v>9</v>
      </c>
      <c r="D30" s="481">
        <v>1</v>
      </c>
      <c r="E30" s="481">
        <v>1</v>
      </c>
      <c r="F30" s="235">
        <v>5.49</v>
      </c>
      <c r="G30" s="235">
        <v>3.25</v>
      </c>
      <c r="H30" s="235"/>
      <c r="I30" s="477"/>
      <c r="J30" s="717"/>
    </row>
    <row r="31" spans="1:10">
      <c r="A31" s="167"/>
      <c r="B31" s="487" t="s">
        <v>745</v>
      </c>
      <c r="C31" s="481" t="s">
        <v>9</v>
      </c>
      <c r="D31" s="481">
        <v>1</v>
      </c>
      <c r="E31" s="481">
        <v>1</v>
      </c>
      <c r="F31" s="235">
        <v>2.9249999999999998</v>
      </c>
      <c r="G31" s="235">
        <v>1.7</v>
      </c>
      <c r="H31" s="235"/>
      <c r="I31" s="477"/>
      <c r="J31" s="717"/>
    </row>
    <row r="32" spans="1:10">
      <c r="A32" s="167"/>
      <c r="B32" s="487">
        <v>6</v>
      </c>
      <c r="C32" s="481" t="s">
        <v>9</v>
      </c>
      <c r="D32" s="481">
        <v>1</v>
      </c>
      <c r="E32" s="481">
        <v>1</v>
      </c>
      <c r="F32" s="235">
        <v>3.3849999999999998</v>
      </c>
      <c r="G32" s="235">
        <v>1.425</v>
      </c>
      <c r="H32" s="235"/>
      <c r="I32" s="477"/>
      <c r="J32" s="717"/>
    </row>
    <row r="33" spans="1:10">
      <c r="A33" s="167"/>
      <c r="B33" s="487">
        <v>7</v>
      </c>
      <c r="C33" s="481" t="s">
        <v>9</v>
      </c>
      <c r="D33" s="481">
        <v>1</v>
      </c>
      <c r="E33" s="481">
        <v>1</v>
      </c>
      <c r="F33" s="235">
        <v>1.4550000000000001</v>
      </c>
      <c r="G33" s="235">
        <v>1.425</v>
      </c>
      <c r="H33" s="235"/>
      <c r="I33" s="477"/>
      <c r="J33" s="717"/>
    </row>
    <row r="34" spans="1:10">
      <c r="A34" s="167"/>
      <c r="B34" s="487">
        <v>8</v>
      </c>
      <c r="C34" s="481" t="s">
        <v>9</v>
      </c>
      <c r="D34" s="481">
        <v>1</v>
      </c>
      <c r="E34" s="481">
        <v>1</v>
      </c>
      <c r="F34" s="235">
        <v>1.7</v>
      </c>
      <c r="G34" s="235">
        <v>1.425</v>
      </c>
      <c r="H34" s="235"/>
      <c r="I34" s="477"/>
      <c r="J34" s="717"/>
    </row>
    <row r="35" spans="1:10">
      <c r="A35" s="167"/>
      <c r="B35" s="487">
        <v>11</v>
      </c>
      <c r="C35" s="481" t="s">
        <v>9</v>
      </c>
      <c r="D35" s="481">
        <v>1</v>
      </c>
      <c r="E35" s="481">
        <v>1</v>
      </c>
      <c r="F35" s="235">
        <v>3.33</v>
      </c>
      <c r="G35" s="235">
        <v>1.83</v>
      </c>
      <c r="H35" s="235"/>
      <c r="I35" s="477"/>
      <c r="J35" s="717"/>
    </row>
    <row r="36" spans="1:10">
      <c r="A36" s="167"/>
      <c r="B36" s="487"/>
      <c r="C36" s="481" t="s">
        <v>9</v>
      </c>
      <c r="D36" s="481">
        <v>1</v>
      </c>
      <c r="E36" s="481">
        <v>1</v>
      </c>
      <c r="F36" s="235">
        <v>4.2699999999999996</v>
      </c>
      <c r="G36" s="235">
        <v>1.93</v>
      </c>
      <c r="H36" s="235"/>
      <c r="I36" s="477"/>
      <c r="J36" s="717"/>
    </row>
    <row r="37" spans="1:10">
      <c r="A37" s="167"/>
      <c r="B37" s="487"/>
      <c r="C37" s="481" t="s">
        <v>9</v>
      </c>
      <c r="D37" s="481">
        <v>1</v>
      </c>
      <c r="E37" s="481">
        <v>1</v>
      </c>
      <c r="F37" s="235">
        <v>7.665</v>
      </c>
      <c r="G37" s="235">
        <v>3.14</v>
      </c>
      <c r="H37" s="235"/>
      <c r="I37" s="477"/>
      <c r="J37" s="717"/>
    </row>
    <row r="38" spans="1:10">
      <c r="A38" s="167"/>
      <c r="B38" s="487">
        <v>12</v>
      </c>
      <c r="C38" s="481" t="s">
        <v>9</v>
      </c>
      <c r="D38" s="481">
        <v>1</v>
      </c>
      <c r="E38" s="481">
        <v>1</v>
      </c>
      <c r="F38" s="235">
        <v>4.2699999999999996</v>
      </c>
      <c r="G38" s="235">
        <v>1.7</v>
      </c>
      <c r="H38" s="235"/>
      <c r="I38" s="477"/>
      <c r="J38" s="717"/>
    </row>
    <row r="39" spans="1:10">
      <c r="A39" s="167"/>
      <c r="B39" s="487">
        <v>13</v>
      </c>
      <c r="C39" s="481" t="s">
        <v>9</v>
      </c>
      <c r="D39" s="481">
        <v>1</v>
      </c>
      <c r="E39" s="481">
        <v>1</v>
      </c>
      <c r="F39" s="235">
        <v>1.6</v>
      </c>
      <c r="G39" s="235">
        <v>1.44</v>
      </c>
      <c r="H39" s="235"/>
      <c r="I39" s="477"/>
      <c r="J39" s="717"/>
    </row>
    <row r="40" spans="1:10">
      <c r="A40" s="167"/>
      <c r="B40" s="487">
        <v>14</v>
      </c>
      <c r="C40" s="481" t="s">
        <v>9</v>
      </c>
      <c r="D40" s="481">
        <v>1</v>
      </c>
      <c r="E40" s="481">
        <v>1</v>
      </c>
      <c r="F40" s="235">
        <v>1.69</v>
      </c>
      <c r="G40" s="235">
        <v>1.6</v>
      </c>
      <c r="H40" s="235"/>
      <c r="I40" s="477"/>
      <c r="J40" s="717"/>
    </row>
    <row r="41" spans="1:10">
      <c r="A41" s="167"/>
      <c r="B41" s="487" t="s">
        <v>746</v>
      </c>
      <c r="C41" s="481" t="s">
        <v>9</v>
      </c>
      <c r="D41" s="481">
        <v>1</v>
      </c>
      <c r="E41" s="481">
        <v>2</v>
      </c>
      <c r="F41" s="235">
        <v>3.56</v>
      </c>
      <c r="G41" s="235">
        <v>3.2749999999999999</v>
      </c>
      <c r="H41" s="235"/>
      <c r="I41" s="477"/>
      <c r="J41" s="717"/>
    </row>
    <row r="42" spans="1:10">
      <c r="A42" s="167"/>
      <c r="B42" s="487">
        <v>17</v>
      </c>
      <c r="C42" s="481" t="s">
        <v>9</v>
      </c>
      <c r="D42" s="481">
        <v>1</v>
      </c>
      <c r="E42" s="481">
        <v>1</v>
      </c>
      <c r="F42" s="235">
        <v>2.25</v>
      </c>
      <c r="G42" s="235">
        <v>1.5249999999999999</v>
      </c>
      <c r="H42" s="235"/>
      <c r="I42" s="477"/>
      <c r="J42" s="717"/>
    </row>
    <row r="43" spans="1:10">
      <c r="A43" s="167"/>
      <c r="B43" s="487">
        <v>18</v>
      </c>
      <c r="C43" s="481" t="s">
        <v>9</v>
      </c>
      <c r="D43" s="481">
        <v>1</v>
      </c>
      <c r="E43" s="481">
        <v>1</v>
      </c>
      <c r="F43" s="235">
        <v>6.165</v>
      </c>
      <c r="G43" s="235">
        <v>3.72</v>
      </c>
      <c r="H43" s="235"/>
      <c r="I43" s="477"/>
      <c r="J43" s="717"/>
    </row>
    <row r="44" spans="1:10">
      <c r="A44" s="167"/>
      <c r="B44" s="487"/>
      <c r="C44" s="481" t="s">
        <v>9</v>
      </c>
      <c r="D44" s="481">
        <v>1</v>
      </c>
      <c r="E44" s="481">
        <v>1</v>
      </c>
      <c r="F44" s="235">
        <v>3.915</v>
      </c>
      <c r="G44" s="235">
        <v>0.38500000000000001</v>
      </c>
      <c r="H44" s="235"/>
      <c r="I44" s="477"/>
      <c r="J44" s="717"/>
    </row>
    <row r="45" spans="1:10">
      <c r="A45" s="167"/>
      <c r="B45" s="487">
        <v>19</v>
      </c>
      <c r="C45" s="481" t="s">
        <v>9</v>
      </c>
      <c r="D45" s="481">
        <v>1</v>
      </c>
      <c r="E45" s="481">
        <v>1</v>
      </c>
      <c r="F45" s="235">
        <v>3.55</v>
      </c>
      <c r="G45" s="235">
        <v>3.2</v>
      </c>
      <c r="H45" s="235"/>
      <c r="I45" s="477"/>
      <c r="J45" s="717"/>
    </row>
    <row r="46" spans="1:10">
      <c r="A46" s="167"/>
      <c r="B46" s="487">
        <v>20</v>
      </c>
      <c r="C46" s="481" t="s">
        <v>9</v>
      </c>
      <c r="D46" s="481">
        <v>1</v>
      </c>
      <c r="E46" s="481">
        <v>1</v>
      </c>
      <c r="F46" s="235">
        <v>5.35</v>
      </c>
      <c r="G46" s="235">
        <v>3.5750000000000002</v>
      </c>
      <c r="H46" s="235"/>
      <c r="I46" s="477"/>
      <c r="J46" s="717"/>
    </row>
    <row r="47" spans="1:10">
      <c r="A47" s="167"/>
      <c r="B47" s="487">
        <v>21</v>
      </c>
      <c r="C47" s="481" t="s">
        <v>9</v>
      </c>
      <c r="D47" s="481">
        <v>1</v>
      </c>
      <c r="E47" s="481">
        <v>1</v>
      </c>
      <c r="F47" s="235">
        <v>2.8149999999999999</v>
      </c>
      <c r="G47" s="235">
        <v>1.8</v>
      </c>
      <c r="H47" s="235"/>
      <c r="I47" s="477"/>
      <c r="J47" s="717"/>
    </row>
    <row r="48" spans="1:10">
      <c r="A48" s="167"/>
      <c r="B48" s="487"/>
      <c r="C48" s="481" t="s">
        <v>9</v>
      </c>
      <c r="D48" s="481">
        <v>1</v>
      </c>
      <c r="E48" s="481">
        <v>1</v>
      </c>
      <c r="F48" s="235">
        <v>4.9450000000000003</v>
      </c>
      <c r="G48" s="235">
        <v>2.1</v>
      </c>
      <c r="H48" s="235"/>
      <c r="I48" s="477"/>
      <c r="J48" s="717"/>
    </row>
    <row r="49" spans="1:10">
      <c r="A49" s="167"/>
      <c r="B49" s="487"/>
      <c r="C49" s="481" t="s">
        <v>9</v>
      </c>
      <c r="D49" s="481">
        <v>1</v>
      </c>
      <c r="E49" s="481">
        <v>1</v>
      </c>
      <c r="F49" s="235">
        <v>3.1150000000000002</v>
      </c>
      <c r="G49" s="235">
        <v>0.95</v>
      </c>
      <c r="H49" s="235"/>
      <c r="I49" s="477"/>
      <c r="J49" s="717"/>
    </row>
    <row r="50" spans="1:10">
      <c r="A50" s="167"/>
      <c r="B50" s="487">
        <v>22</v>
      </c>
      <c r="C50" s="481" t="s">
        <v>9</v>
      </c>
      <c r="D50" s="481">
        <v>1</v>
      </c>
      <c r="E50" s="481">
        <v>1</v>
      </c>
      <c r="F50" s="235">
        <v>5.9349999999999996</v>
      </c>
      <c r="G50" s="235">
        <v>2.3450000000000002</v>
      </c>
      <c r="H50" s="235"/>
      <c r="I50" s="477"/>
      <c r="J50" s="717"/>
    </row>
    <row r="51" spans="1:10">
      <c r="A51" s="167"/>
      <c r="B51" s="487"/>
      <c r="C51" s="481" t="s">
        <v>9</v>
      </c>
      <c r="D51" s="481">
        <v>-1</v>
      </c>
      <c r="E51" s="481">
        <v>1</v>
      </c>
      <c r="F51" s="235">
        <v>1.3</v>
      </c>
      <c r="G51" s="235">
        <v>0.5</v>
      </c>
      <c r="H51" s="235"/>
      <c r="I51" s="477"/>
      <c r="J51" s="717"/>
    </row>
    <row r="52" spans="1:10">
      <c r="A52" s="167"/>
      <c r="B52" s="487"/>
      <c r="C52" s="481" t="s">
        <v>9</v>
      </c>
      <c r="D52" s="481">
        <v>1</v>
      </c>
      <c r="E52" s="481">
        <v>1</v>
      </c>
      <c r="F52" s="235">
        <v>2.0299999999999998</v>
      </c>
      <c r="G52" s="235">
        <v>1.5</v>
      </c>
      <c r="H52" s="235"/>
      <c r="I52" s="477"/>
      <c r="J52" s="717"/>
    </row>
    <row r="53" spans="1:10">
      <c r="A53" s="167"/>
      <c r="B53" s="487">
        <v>23</v>
      </c>
      <c r="C53" s="481" t="s">
        <v>9</v>
      </c>
      <c r="D53" s="481">
        <v>1</v>
      </c>
      <c r="E53" s="481">
        <v>1</v>
      </c>
      <c r="F53" s="235">
        <v>5.7</v>
      </c>
      <c r="G53" s="235">
        <v>3.2</v>
      </c>
      <c r="H53" s="235"/>
      <c r="I53" s="477"/>
      <c r="J53" s="717"/>
    </row>
    <row r="54" spans="1:10">
      <c r="A54" s="167"/>
      <c r="B54" s="487">
        <v>24</v>
      </c>
      <c r="C54" s="481" t="s">
        <v>9</v>
      </c>
      <c r="D54" s="481">
        <v>1</v>
      </c>
      <c r="E54" s="481">
        <v>1</v>
      </c>
      <c r="F54" s="235">
        <v>3.95</v>
      </c>
      <c r="G54" s="235">
        <v>1.61</v>
      </c>
      <c r="H54" s="235"/>
      <c r="I54" s="477"/>
      <c r="J54" s="717"/>
    </row>
    <row r="55" spans="1:10">
      <c r="A55" s="167"/>
      <c r="B55" s="487"/>
      <c r="C55" s="481" t="s">
        <v>9</v>
      </c>
      <c r="D55" s="481">
        <v>1</v>
      </c>
      <c r="E55" s="481">
        <v>1</v>
      </c>
      <c r="F55" s="235">
        <v>1.92</v>
      </c>
      <c r="G55" s="235">
        <v>1.5</v>
      </c>
      <c r="H55" s="235"/>
      <c r="I55" s="477"/>
      <c r="J55" s="717"/>
    </row>
    <row r="56" spans="1:10">
      <c r="A56" s="167"/>
      <c r="B56" s="487">
        <v>25</v>
      </c>
      <c r="C56" s="481" t="s">
        <v>9</v>
      </c>
      <c r="D56" s="481">
        <v>1</v>
      </c>
      <c r="E56" s="481">
        <v>1</v>
      </c>
      <c r="F56" s="235">
        <v>2.2250000000000001</v>
      </c>
      <c r="G56" s="235">
        <v>1.4950000000000001</v>
      </c>
      <c r="H56" s="235"/>
      <c r="I56" s="477"/>
      <c r="J56" s="717"/>
    </row>
    <row r="57" spans="1:10">
      <c r="A57" s="167"/>
      <c r="B57" s="487">
        <v>26</v>
      </c>
      <c r="C57" s="481" t="s">
        <v>9</v>
      </c>
      <c r="D57" s="481">
        <v>1</v>
      </c>
      <c r="E57" s="481">
        <v>1</v>
      </c>
      <c r="F57" s="235">
        <v>3.95</v>
      </c>
      <c r="G57" s="235">
        <v>3.8450000000000002</v>
      </c>
      <c r="H57" s="235"/>
      <c r="I57" s="477"/>
      <c r="J57" s="717"/>
    </row>
    <row r="58" spans="1:10">
      <c r="A58" s="167"/>
      <c r="B58" s="487">
        <v>27</v>
      </c>
      <c r="C58" s="481" t="s">
        <v>9</v>
      </c>
      <c r="D58" s="481">
        <v>1</v>
      </c>
      <c r="E58" s="481">
        <v>1</v>
      </c>
      <c r="F58" s="235">
        <v>5.72</v>
      </c>
      <c r="G58" s="235">
        <v>2.44</v>
      </c>
      <c r="H58" s="235"/>
      <c r="I58" s="477"/>
      <c r="J58" s="717"/>
    </row>
    <row r="59" spans="1:10">
      <c r="A59" s="167"/>
      <c r="B59" s="487"/>
      <c r="C59" s="481" t="s">
        <v>9</v>
      </c>
      <c r="D59" s="481">
        <v>1</v>
      </c>
      <c r="E59" s="481">
        <v>1</v>
      </c>
      <c r="F59" s="235">
        <v>1.2</v>
      </c>
      <c r="G59" s="235">
        <v>0.35</v>
      </c>
      <c r="H59" s="235"/>
      <c r="I59" s="477"/>
      <c r="J59" s="717"/>
    </row>
    <row r="60" spans="1:10">
      <c r="A60" s="167"/>
      <c r="B60" s="487">
        <v>28</v>
      </c>
      <c r="C60" s="481" t="s">
        <v>9</v>
      </c>
      <c r="D60" s="481">
        <v>1</v>
      </c>
      <c r="E60" s="481">
        <v>1</v>
      </c>
      <c r="F60" s="235">
        <v>3.23</v>
      </c>
      <c r="G60" s="235">
        <v>3.0750000000000002</v>
      </c>
      <c r="H60" s="235"/>
      <c r="I60" s="477"/>
      <c r="J60" s="717"/>
    </row>
    <row r="61" spans="1:10">
      <c r="A61" s="167"/>
      <c r="B61" s="487"/>
      <c r="C61" s="481" t="s">
        <v>9</v>
      </c>
      <c r="D61" s="481">
        <v>1</v>
      </c>
      <c r="E61" s="481">
        <v>1</v>
      </c>
      <c r="F61" s="235">
        <v>5.14</v>
      </c>
      <c r="G61" s="235">
        <v>3.17</v>
      </c>
      <c r="H61" s="235"/>
      <c r="I61" s="477"/>
      <c r="J61" s="717"/>
    </row>
    <row r="62" spans="1:10">
      <c r="A62" s="167"/>
      <c r="B62" s="487">
        <v>29</v>
      </c>
      <c r="C62" s="481" t="s">
        <v>9</v>
      </c>
      <c r="D62" s="481">
        <v>1</v>
      </c>
      <c r="E62" s="481">
        <v>1</v>
      </c>
      <c r="F62" s="235">
        <v>3.86</v>
      </c>
      <c r="G62" s="235">
        <v>3.335</v>
      </c>
      <c r="H62" s="235"/>
      <c r="I62" s="477"/>
      <c r="J62" s="717"/>
    </row>
    <row r="63" spans="1:10">
      <c r="A63" s="167"/>
      <c r="B63" s="487">
        <v>30</v>
      </c>
      <c r="C63" s="481" t="s">
        <v>9</v>
      </c>
      <c r="D63" s="481">
        <v>1</v>
      </c>
      <c r="E63" s="481">
        <v>1</v>
      </c>
      <c r="F63" s="235">
        <v>4.92</v>
      </c>
      <c r="G63" s="235">
        <v>3.86</v>
      </c>
      <c r="H63" s="235"/>
      <c r="I63" s="477"/>
      <c r="J63" s="717"/>
    </row>
    <row r="64" spans="1:10">
      <c r="A64" s="167"/>
      <c r="B64" s="487">
        <v>31</v>
      </c>
      <c r="C64" s="481" t="s">
        <v>9</v>
      </c>
      <c r="D64" s="481">
        <v>1</v>
      </c>
      <c r="E64" s="481">
        <v>1</v>
      </c>
      <c r="F64" s="235">
        <v>3.55</v>
      </c>
      <c r="G64" s="235">
        <v>3.2650000000000001</v>
      </c>
      <c r="H64" s="235"/>
      <c r="I64" s="477"/>
      <c r="J64" s="717"/>
    </row>
    <row r="65" spans="1:10">
      <c r="A65" s="167"/>
      <c r="B65" s="487">
        <v>32</v>
      </c>
      <c r="C65" s="481" t="s">
        <v>9</v>
      </c>
      <c r="D65" s="481">
        <v>1</v>
      </c>
      <c r="E65" s="481">
        <v>1</v>
      </c>
      <c r="F65" s="235">
        <v>3.52</v>
      </c>
      <c r="G65" s="235">
        <v>3.08</v>
      </c>
      <c r="H65" s="235"/>
      <c r="I65" s="477"/>
      <c r="J65" s="717"/>
    </row>
    <row r="66" spans="1:10">
      <c r="A66" s="167"/>
      <c r="B66" s="487">
        <v>33</v>
      </c>
      <c r="C66" s="481" t="s">
        <v>9</v>
      </c>
      <c r="D66" s="481">
        <v>1</v>
      </c>
      <c r="E66" s="481">
        <v>1</v>
      </c>
      <c r="F66" s="235">
        <v>3.4350000000000001</v>
      </c>
      <c r="G66" s="235">
        <v>2.3450000000000002</v>
      </c>
      <c r="H66" s="235"/>
      <c r="I66" s="477"/>
      <c r="J66" s="717"/>
    </row>
    <row r="67" spans="1:10">
      <c r="A67" s="167"/>
      <c r="B67" s="487">
        <v>34</v>
      </c>
      <c r="C67" s="481" t="s">
        <v>9</v>
      </c>
      <c r="D67" s="481">
        <v>1</v>
      </c>
      <c r="E67" s="481">
        <v>1</v>
      </c>
      <c r="F67" s="235">
        <v>3.4350000000000001</v>
      </c>
      <c r="G67" s="235">
        <v>2.2450000000000001</v>
      </c>
      <c r="H67" s="235"/>
      <c r="I67" s="477"/>
      <c r="J67" s="717"/>
    </row>
    <row r="68" spans="1:10">
      <c r="A68" s="167"/>
      <c r="B68" s="487">
        <v>35</v>
      </c>
      <c r="C68" s="481" t="s">
        <v>9</v>
      </c>
      <c r="D68" s="481">
        <v>1</v>
      </c>
      <c r="E68" s="481">
        <v>1</v>
      </c>
      <c r="F68" s="235">
        <v>4.79</v>
      </c>
      <c r="G68" s="235">
        <v>3.19</v>
      </c>
      <c r="H68" s="235"/>
      <c r="I68" s="477"/>
      <c r="J68" s="717"/>
    </row>
    <row r="69" spans="1:10">
      <c r="A69" s="167"/>
      <c r="B69" s="487"/>
      <c r="C69" s="481" t="s">
        <v>9</v>
      </c>
      <c r="D69" s="481">
        <v>1</v>
      </c>
      <c r="E69" s="481">
        <v>1</v>
      </c>
      <c r="F69" s="235">
        <v>1.4</v>
      </c>
      <c r="G69" s="235">
        <v>0.65500000000000003</v>
      </c>
      <c r="H69" s="235"/>
      <c r="I69" s="477"/>
      <c r="J69" s="717"/>
    </row>
    <row r="70" spans="1:10">
      <c r="A70" s="167"/>
      <c r="B70" s="487">
        <v>36</v>
      </c>
      <c r="C70" s="481" t="s">
        <v>9</v>
      </c>
      <c r="D70" s="481">
        <v>1</v>
      </c>
      <c r="E70" s="481">
        <v>1</v>
      </c>
      <c r="F70" s="235">
        <v>3.4750000000000001</v>
      </c>
      <c r="G70" s="235">
        <v>2.23</v>
      </c>
      <c r="H70" s="235"/>
      <c r="I70" s="477"/>
      <c r="J70" s="717"/>
    </row>
    <row r="71" spans="1:10">
      <c r="A71" s="167"/>
      <c r="B71" s="487" t="s">
        <v>748</v>
      </c>
      <c r="C71" s="481" t="s">
        <v>9</v>
      </c>
      <c r="D71" s="481">
        <v>1</v>
      </c>
      <c r="E71" s="481">
        <v>2</v>
      </c>
      <c r="F71" s="235">
        <v>3.55</v>
      </c>
      <c r="G71" s="235">
        <v>3.2650000000000001</v>
      </c>
      <c r="H71" s="235"/>
      <c r="I71" s="477"/>
      <c r="J71" s="717"/>
    </row>
    <row r="72" spans="1:10">
      <c r="A72" s="167"/>
      <c r="B72" s="487" t="s">
        <v>747</v>
      </c>
      <c r="C72" s="481" t="s">
        <v>9</v>
      </c>
      <c r="D72" s="481">
        <v>1</v>
      </c>
      <c r="E72" s="481">
        <v>2</v>
      </c>
      <c r="F72" s="235">
        <v>3.55</v>
      </c>
      <c r="G72" s="235">
        <v>3.08</v>
      </c>
      <c r="H72" s="235"/>
      <c r="I72" s="477"/>
      <c r="J72" s="717"/>
    </row>
    <row r="73" spans="1:10">
      <c r="A73" s="167"/>
      <c r="B73" s="487" t="s">
        <v>749</v>
      </c>
      <c r="C73" s="481" t="s">
        <v>9</v>
      </c>
      <c r="D73" s="481">
        <v>1</v>
      </c>
      <c r="E73" s="481">
        <v>2</v>
      </c>
      <c r="F73" s="235">
        <v>5.15</v>
      </c>
      <c r="G73" s="235">
        <v>3.27</v>
      </c>
      <c r="H73" s="235"/>
      <c r="I73" s="477"/>
      <c r="J73" s="717"/>
    </row>
    <row r="74" spans="1:10">
      <c r="A74" s="167"/>
      <c r="B74" s="487"/>
      <c r="C74" s="481" t="s">
        <v>9</v>
      </c>
      <c r="D74" s="481">
        <v>1</v>
      </c>
      <c r="E74" s="481">
        <v>2</v>
      </c>
      <c r="F74" s="235">
        <v>3.24</v>
      </c>
      <c r="G74" s="235">
        <v>3.0750000000000002</v>
      </c>
      <c r="H74" s="235"/>
      <c r="I74" s="477"/>
      <c r="J74" s="717"/>
    </row>
    <row r="75" spans="1:10">
      <c r="A75" s="167"/>
      <c r="B75" s="487">
        <v>43.46</v>
      </c>
      <c r="C75" s="481" t="s">
        <v>9</v>
      </c>
      <c r="D75" s="481">
        <v>1</v>
      </c>
      <c r="E75" s="481">
        <v>2</v>
      </c>
      <c r="F75" s="235">
        <v>4.92</v>
      </c>
      <c r="G75" s="235">
        <v>3.86</v>
      </c>
      <c r="H75" s="235"/>
      <c r="I75" s="477"/>
      <c r="J75" s="717"/>
    </row>
    <row r="76" spans="1:10">
      <c r="A76" s="167"/>
      <c r="B76" s="487" t="s">
        <v>750</v>
      </c>
      <c r="C76" s="481" t="s">
        <v>9</v>
      </c>
      <c r="D76" s="481">
        <v>1</v>
      </c>
      <c r="E76" s="481">
        <v>2</v>
      </c>
      <c r="F76" s="235">
        <v>3.86</v>
      </c>
      <c r="G76" s="235">
        <v>3.335</v>
      </c>
      <c r="H76" s="235"/>
      <c r="I76" s="477"/>
      <c r="J76" s="717"/>
    </row>
    <row r="77" spans="1:10">
      <c r="A77" s="75"/>
      <c r="B77" s="77"/>
      <c r="C77" s="77"/>
      <c r="D77" s="77"/>
      <c r="E77" s="77"/>
      <c r="F77" s="77"/>
      <c r="G77" s="77"/>
      <c r="H77" s="77"/>
      <c r="I77" s="80"/>
      <c r="J77" s="717"/>
    </row>
    <row r="78" spans="1:10">
      <c r="A78" s="75"/>
      <c r="B78" s="77"/>
      <c r="C78" s="77"/>
      <c r="D78" s="77"/>
      <c r="E78" s="77"/>
      <c r="F78" s="77"/>
      <c r="G78" s="77"/>
      <c r="H78" s="81" t="s">
        <v>57</v>
      </c>
      <c r="I78" s="82">
        <f>SUM(I8:I77)</f>
        <v>1881.3849500000008</v>
      </c>
      <c r="J78" s="717"/>
    </row>
    <row r="79" spans="1:10">
      <c r="A79" s="75"/>
      <c r="B79" s="77"/>
      <c r="C79" s="77"/>
      <c r="D79" s="77"/>
      <c r="E79" s="77"/>
      <c r="F79" s="77"/>
      <c r="G79" s="77"/>
      <c r="H79" s="77"/>
      <c r="I79" s="80"/>
      <c r="J79" s="717"/>
    </row>
    <row r="80" spans="1:10" ht="30">
      <c r="A80" s="167"/>
      <c r="B80" s="546" t="s">
        <v>889</v>
      </c>
      <c r="C80" s="167"/>
      <c r="D80" s="167"/>
      <c r="E80" s="167"/>
      <c r="F80" s="167"/>
      <c r="G80" s="167"/>
      <c r="H80" s="167"/>
      <c r="I80" s="167"/>
      <c r="J80" s="717"/>
    </row>
    <row r="81" spans="1:11">
      <c r="A81" s="167"/>
      <c r="B81" s="167" t="s">
        <v>893</v>
      </c>
      <c r="C81" s="483" t="s">
        <v>9</v>
      </c>
      <c r="D81" s="483">
        <v>1</v>
      </c>
      <c r="E81" s="483">
        <v>1</v>
      </c>
      <c r="F81" s="712">
        <v>2463.0300000000002</v>
      </c>
      <c r="G81" s="713"/>
      <c r="H81" s="250">
        <v>2.65</v>
      </c>
      <c r="I81" s="477">
        <f>+PRODUCT(D81:H81)</f>
        <v>6527.0295000000006</v>
      </c>
      <c r="J81" s="717"/>
      <c r="K81" t="s">
        <v>927</v>
      </c>
    </row>
    <row r="82" spans="1:11">
      <c r="A82" s="167"/>
      <c r="B82" s="167" t="s">
        <v>890</v>
      </c>
      <c r="C82" s="483" t="s">
        <v>9</v>
      </c>
      <c r="D82" s="483">
        <v>-1</v>
      </c>
      <c r="E82" s="483">
        <v>1</v>
      </c>
      <c r="F82" s="714">
        <v>1851.82</v>
      </c>
      <c r="G82" s="715"/>
      <c r="H82" s="250">
        <v>0.1</v>
      </c>
      <c r="I82" s="477">
        <f>+PRODUCT(D82:H82)</f>
        <v>-185.18200000000002</v>
      </c>
      <c r="J82" s="717"/>
    </row>
    <row r="83" spans="1:11">
      <c r="A83" s="167"/>
      <c r="B83" s="167" t="s">
        <v>891</v>
      </c>
      <c r="C83" s="483" t="s">
        <v>9</v>
      </c>
      <c r="D83" s="483">
        <v>-1</v>
      </c>
      <c r="E83" s="483">
        <v>1</v>
      </c>
      <c r="F83" s="167"/>
      <c r="G83" s="167"/>
      <c r="H83" s="250">
        <f>'CONCRETE RECO.'!F7+'CONCRETE RECO.'!F9+'CONCRETE RECO.'!F10</f>
        <v>1552.4224475000001</v>
      </c>
      <c r="I83" s="477">
        <f>+PRODUCT(D83:H83)</f>
        <v>-1552.4224475000001</v>
      </c>
      <c r="J83" s="717"/>
    </row>
    <row r="84" spans="1:11">
      <c r="A84" s="167"/>
      <c r="B84" s="167" t="s">
        <v>892</v>
      </c>
      <c r="C84" s="483" t="s">
        <v>9</v>
      </c>
      <c r="D84" s="483">
        <v>-1</v>
      </c>
      <c r="E84" s="483">
        <v>1</v>
      </c>
      <c r="F84" s="167"/>
      <c r="G84" s="167"/>
      <c r="H84" s="250">
        <f>'CONCRETE RECO.'!F11</f>
        <v>64.025911999999991</v>
      </c>
      <c r="I84" s="477">
        <f>+PRODUCT(D84:H84)</f>
        <v>-64.025911999999991</v>
      </c>
      <c r="J84" s="717"/>
    </row>
    <row r="85" spans="1:11">
      <c r="A85" s="167"/>
      <c r="B85" s="167"/>
      <c r="C85" s="167"/>
      <c r="D85" s="167"/>
      <c r="E85" s="167"/>
      <c r="F85" s="167"/>
      <c r="G85" s="167"/>
      <c r="H85" s="167"/>
      <c r="I85" s="167"/>
      <c r="J85" s="717"/>
    </row>
    <row r="86" spans="1:11">
      <c r="A86" s="167"/>
      <c r="B86" s="167"/>
      <c r="C86" s="167"/>
      <c r="D86" s="167"/>
      <c r="E86" s="167"/>
      <c r="F86" s="167"/>
      <c r="G86" s="167"/>
      <c r="H86" s="81" t="s">
        <v>57</v>
      </c>
      <c r="I86" s="82">
        <f>SUM(I81:I85)</f>
        <v>4725.3991405000006</v>
      </c>
      <c r="J86" s="718"/>
    </row>
    <row r="87" spans="1:11">
      <c r="A87" s="167"/>
      <c r="B87" s="167"/>
      <c r="C87" s="167"/>
      <c r="D87" s="167"/>
      <c r="E87" s="167"/>
      <c r="F87" s="167"/>
      <c r="G87" s="167"/>
      <c r="H87" s="167"/>
      <c r="I87" s="167"/>
      <c r="J87" s="167"/>
    </row>
    <row r="88" spans="1:11">
      <c r="A88" s="167"/>
      <c r="B88" s="167"/>
      <c r="C88" s="167"/>
      <c r="D88" s="167"/>
      <c r="E88" s="167"/>
      <c r="F88" s="167"/>
      <c r="G88" s="167"/>
      <c r="H88" s="167"/>
      <c r="I88" s="167"/>
      <c r="J88" s="167"/>
    </row>
  </sheetData>
  <mergeCells count="15">
    <mergeCell ref="F81:G81"/>
    <mergeCell ref="F82:G82"/>
    <mergeCell ref="J26:J86"/>
    <mergeCell ref="A6:A7"/>
    <mergeCell ref="B6:B7"/>
    <mergeCell ref="C6:C7"/>
    <mergeCell ref="D6:D7"/>
    <mergeCell ref="E6:E7"/>
    <mergeCell ref="J17:J24"/>
    <mergeCell ref="B21:B23"/>
    <mergeCell ref="I6:I7"/>
    <mergeCell ref="J6:J7"/>
    <mergeCell ref="B13:B15"/>
    <mergeCell ref="F6:H6"/>
    <mergeCell ref="J9:J16"/>
  </mergeCells>
  <pageMargins left="0.7" right="0.7" top="0.75" bottom="0.75" header="0.3" footer="0.3"/>
  <pageSetup paperSize="9" scale="84" fitToHeight="4" orientation="portrait" r:id="rId1"/>
  <rowBreaks count="2" manualBreakCount="2">
    <brk id="24" max="16383" man="1"/>
    <brk id="79"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M24"/>
  <sheetViews>
    <sheetView workbookViewId="0">
      <pane xSplit="3" ySplit="4" topLeftCell="D17" activePane="bottomRight" state="frozen"/>
      <selection pane="topRight" activeCell="D1" sqref="D1"/>
      <selection pane="bottomLeft" activeCell="A5" sqref="A5"/>
      <selection pane="bottomRight" activeCell="I19" sqref="I19"/>
    </sheetView>
  </sheetViews>
  <sheetFormatPr defaultRowHeight="15"/>
  <cols>
    <col min="2" max="2" width="44" customWidth="1"/>
    <col min="8" max="9" width="9.140625" style="133"/>
    <col min="10" max="11" width="9.140625" style="121"/>
  </cols>
  <sheetData>
    <row r="2" spans="1:13">
      <c r="A2" s="728" t="s">
        <v>496</v>
      </c>
      <c r="B2" s="728"/>
      <c r="C2" s="728"/>
      <c r="D2" s="728"/>
      <c r="E2" s="728"/>
      <c r="F2" s="728"/>
      <c r="G2" s="728"/>
      <c r="H2" s="728"/>
      <c r="I2" s="728"/>
      <c r="J2" s="728"/>
      <c r="K2" s="728"/>
      <c r="L2" s="728"/>
      <c r="M2" s="728"/>
    </row>
    <row r="3" spans="1:13">
      <c r="A3" s="167"/>
      <c r="B3" s="167"/>
      <c r="C3" s="167"/>
      <c r="D3" s="728" t="s">
        <v>52</v>
      </c>
      <c r="E3" s="728"/>
      <c r="F3" s="728"/>
      <c r="G3" s="728"/>
      <c r="H3" s="728"/>
      <c r="I3" s="728"/>
      <c r="J3" s="728"/>
      <c r="K3" s="728"/>
      <c r="L3" s="728"/>
      <c r="M3" s="729" t="s">
        <v>57</v>
      </c>
    </row>
    <row r="4" spans="1:13">
      <c r="A4" s="32">
        <v>2</v>
      </c>
      <c r="B4" s="33" t="s">
        <v>75</v>
      </c>
      <c r="C4" s="163"/>
      <c r="D4" s="481" t="s">
        <v>490</v>
      </c>
      <c r="E4" s="481" t="s">
        <v>491</v>
      </c>
      <c r="F4" s="481" t="s">
        <v>492</v>
      </c>
      <c r="G4" s="481" t="s">
        <v>493</v>
      </c>
      <c r="H4" s="264" t="s">
        <v>752</v>
      </c>
      <c r="I4" s="264" t="s">
        <v>753</v>
      </c>
      <c r="J4" s="644" t="s">
        <v>1295</v>
      </c>
      <c r="K4" s="588"/>
      <c r="L4" s="325"/>
      <c r="M4" s="729"/>
    </row>
    <row r="5" spans="1:13" ht="100.15" customHeight="1">
      <c r="A5" s="32"/>
      <c r="B5" s="39" t="s">
        <v>157</v>
      </c>
      <c r="C5" s="163"/>
      <c r="D5" s="325"/>
      <c r="E5" s="325"/>
      <c r="F5" s="325"/>
      <c r="G5" s="481"/>
      <c r="H5" s="264"/>
      <c r="I5" s="264"/>
      <c r="J5" s="644"/>
      <c r="K5" s="588"/>
      <c r="L5" s="325"/>
      <c r="M5" s="325"/>
    </row>
    <row r="6" spans="1:13" ht="178.5">
      <c r="A6" s="32">
        <v>2.1</v>
      </c>
      <c r="B6" s="38" t="s">
        <v>158</v>
      </c>
      <c r="C6" s="163" t="s">
        <v>71</v>
      </c>
      <c r="D6" s="250">
        <v>56.798192500000027</v>
      </c>
      <c r="E6" s="250">
        <v>22.6684625</v>
      </c>
      <c r="F6" s="325"/>
      <c r="G6" s="481"/>
      <c r="H6" s="264"/>
      <c r="I6" s="264"/>
      <c r="J6" s="644"/>
      <c r="K6" s="588"/>
      <c r="L6" s="325"/>
      <c r="M6" s="250">
        <f>SUM(D6:L6)</f>
        <v>79.466655000000031</v>
      </c>
    </row>
    <row r="7" spans="1:13" ht="76.5">
      <c r="A7" s="32" t="s">
        <v>76</v>
      </c>
      <c r="B7" s="39" t="s">
        <v>159</v>
      </c>
      <c r="C7" s="163" t="s">
        <v>71</v>
      </c>
      <c r="D7" s="325"/>
      <c r="E7" s="325"/>
      <c r="F7" s="325"/>
      <c r="G7" s="481"/>
      <c r="H7" s="264"/>
      <c r="I7" s="264"/>
      <c r="J7" s="644"/>
      <c r="K7" s="588"/>
      <c r="L7" s="325"/>
      <c r="M7" s="250">
        <f t="shared" ref="M7:M22" si="0">SUM(D7:L7)</f>
        <v>0</v>
      </c>
    </row>
    <row r="8" spans="1:13" ht="89.25">
      <c r="A8" s="32" t="s">
        <v>77</v>
      </c>
      <c r="B8" s="39" t="s">
        <v>160</v>
      </c>
      <c r="C8" s="163" t="s">
        <v>9</v>
      </c>
      <c r="D8" s="325"/>
      <c r="E8" s="325"/>
      <c r="F8" s="325"/>
      <c r="G8" s="481"/>
      <c r="H8" s="264"/>
      <c r="I8" s="264"/>
      <c r="J8" s="644"/>
      <c r="K8" s="588"/>
      <c r="L8" s="325"/>
      <c r="M8" s="250">
        <f t="shared" si="0"/>
        <v>0</v>
      </c>
    </row>
    <row r="9" spans="1:13">
      <c r="A9" s="32"/>
      <c r="B9" s="39"/>
      <c r="C9" s="163"/>
      <c r="D9" s="325"/>
      <c r="E9" s="325"/>
      <c r="F9" s="325"/>
      <c r="G9" s="481"/>
      <c r="H9" s="264"/>
      <c r="I9" s="264"/>
      <c r="J9" s="644"/>
      <c r="K9" s="588"/>
      <c r="L9" s="325"/>
      <c r="M9" s="250"/>
    </row>
    <row r="10" spans="1:13">
      <c r="A10" s="32" t="s">
        <v>78</v>
      </c>
      <c r="B10" s="33" t="s">
        <v>79</v>
      </c>
      <c r="C10" s="163"/>
      <c r="D10" s="325"/>
      <c r="E10" s="325"/>
      <c r="F10" s="325"/>
      <c r="G10" s="481"/>
      <c r="H10" s="264"/>
      <c r="I10" s="264"/>
      <c r="J10" s="644"/>
      <c r="K10" s="588"/>
      <c r="L10" s="325"/>
      <c r="M10" s="250"/>
    </row>
    <row r="11" spans="1:13" ht="115.15" customHeight="1">
      <c r="A11" s="32"/>
      <c r="B11" s="38" t="s">
        <v>161</v>
      </c>
      <c r="C11" s="163"/>
      <c r="D11" s="325"/>
      <c r="E11" s="325"/>
      <c r="F11" s="325"/>
      <c r="G11" s="481"/>
      <c r="H11" s="264"/>
      <c r="I11" s="264"/>
      <c r="J11" s="644"/>
      <c r="K11" s="588"/>
      <c r="L11" s="325"/>
      <c r="M11" s="250"/>
    </row>
    <row r="12" spans="1:13" ht="51">
      <c r="A12" s="32" t="s">
        <v>80</v>
      </c>
      <c r="B12" s="39" t="s">
        <v>81</v>
      </c>
      <c r="C12" s="163" t="s">
        <v>71</v>
      </c>
      <c r="D12" s="250">
        <v>748.20967374999998</v>
      </c>
      <c r="E12" s="250">
        <v>792.12577375000001</v>
      </c>
      <c r="F12" s="250">
        <v>76.112911999999966</v>
      </c>
      <c r="G12" s="250"/>
      <c r="H12" s="265">
        <v>70.098771999999997</v>
      </c>
      <c r="I12" s="264"/>
      <c r="J12" s="644"/>
      <c r="K12" s="588"/>
      <c r="L12" s="325"/>
      <c r="M12" s="250">
        <f t="shared" si="0"/>
        <v>1686.5471315000002</v>
      </c>
    </row>
    <row r="13" spans="1:13" ht="50.45" customHeight="1">
      <c r="A13" s="32" t="s">
        <v>82</v>
      </c>
      <c r="B13" s="39" t="s">
        <v>83</v>
      </c>
      <c r="C13" s="163"/>
      <c r="D13" s="325"/>
      <c r="E13" s="325"/>
      <c r="F13" s="325"/>
      <c r="G13" s="481"/>
      <c r="H13" s="264"/>
      <c r="I13" s="264"/>
      <c r="J13" s="644"/>
      <c r="K13" s="588"/>
      <c r="L13" s="325"/>
      <c r="M13" s="250"/>
    </row>
    <row r="14" spans="1:13">
      <c r="A14" s="32" t="s">
        <v>84</v>
      </c>
      <c r="B14" s="39" t="s">
        <v>85</v>
      </c>
      <c r="C14" s="163" t="s">
        <v>71</v>
      </c>
      <c r="D14" s="325"/>
      <c r="E14" s="325"/>
      <c r="F14" s="325"/>
      <c r="G14" s="481"/>
      <c r="H14" s="264"/>
      <c r="I14" s="265">
        <f>+'CONCRETE WORK MB'!I478</f>
        <v>153.79330462499996</v>
      </c>
      <c r="J14" s="268">
        <f>'CONCRETE WORK MB'!I698</f>
        <v>153.79330462499996</v>
      </c>
      <c r="K14" s="588"/>
      <c r="L14" s="325"/>
      <c r="M14" s="250">
        <f t="shared" si="0"/>
        <v>307.58660924999992</v>
      </c>
    </row>
    <row r="15" spans="1:13" ht="25.5">
      <c r="A15" s="32" t="s">
        <v>86</v>
      </c>
      <c r="B15" s="39" t="s">
        <v>87</v>
      </c>
      <c r="C15" s="163" t="s">
        <v>71</v>
      </c>
      <c r="D15" s="325"/>
      <c r="E15" s="325"/>
      <c r="F15" s="325"/>
      <c r="G15" s="481"/>
      <c r="H15" s="264"/>
      <c r="I15" s="264"/>
      <c r="J15" s="644"/>
      <c r="K15" s="588"/>
      <c r="L15" s="325"/>
      <c r="M15" s="250">
        <f t="shared" si="0"/>
        <v>0</v>
      </c>
    </row>
    <row r="16" spans="1:13" ht="38.25">
      <c r="A16" s="32" t="s">
        <v>88</v>
      </c>
      <c r="B16" s="39" t="s">
        <v>89</v>
      </c>
      <c r="C16" s="163" t="s">
        <v>71</v>
      </c>
      <c r="D16" s="325"/>
      <c r="E16" s="325"/>
      <c r="F16" s="325"/>
      <c r="G16" s="481"/>
      <c r="H16" s="264"/>
      <c r="I16" s="264"/>
      <c r="J16" s="644"/>
      <c r="K16" s="588"/>
      <c r="L16" s="325"/>
      <c r="M16" s="250">
        <f t="shared" si="0"/>
        <v>0</v>
      </c>
    </row>
    <row r="17" spans="1:13">
      <c r="A17" s="32"/>
      <c r="B17" s="39"/>
      <c r="C17" s="163"/>
      <c r="D17" s="325"/>
      <c r="E17" s="325"/>
      <c r="F17" s="325"/>
      <c r="G17" s="481"/>
      <c r="H17" s="264"/>
      <c r="I17" s="264"/>
      <c r="J17" s="644"/>
      <c r="K17" s="588"/>
      <c r="L17" s="325"/>
      <c r="M17" s="250"/>
    </row>
    <row r="18" spans="1:13" ht="51" customHeight="1">
      <c r="A18" s="32" t="s">
        <v>90</v>
      </c>
      <c r="B18" s="39" t="s">
        <v>91</v>
      </c>
      <c r="C18" s="163"/>
      <c r="D18" s="325"/>
      <c r="E18" s="325"/>
      <c r="F18" s="325"/>
      <c r="G18" s="481"/>
      <c r="H18" s="264"/>
      <c r="I18" s="264"/>
      <c r="J18" s="644"/>
      <c r="K18" s="588"/>
      <c r="L18" s="325"/>
      <c r="M18" s="250"/>
    </row>
    <row r="19" spans="1:13">
      <c r="A19" s="32" t="s">
        <v>92</v>
      </c>
      <c r="B19" s="39" t="s">
        <v>85</v>
      </c>
      <c r="C19" s="163" t="s">
        <v>71</v>
      </c>
      <c r="D19" s="325"/>
      <c r="E19" s="325"/>
      <c r="F19" s="325"/>
      <c r="G19" s="481"/>
      <c r="H19" s="265">
        <v>48.045500000000004</v>
      </c>
      <c r="I19" s="265">
        <f>+'CONCRETE WORK MB'!I260*0.9+'CONCRETE WORK MB'!I243*0.9</f>
        <v>45.828882</v>
      </c>
      <c r="J19" s="268"/>
      <c r="K19" s="268"/>
      <c r="L19" s="323"/>
      <c r="M19" s="250">
        <f t="shared" si="0"/>
        <v>93.874381999999997</v>
      </c>
    </row>
    <row r="20" spans="1:13" ht="25.5">
      <c r="A20" s="32" t="s">
        <v>93</v>
      </c>
      <c r="B20" s="39" t="s">
        <v>87</v>
      </c>
      <c r="C20" s="163" t="s">
        <v>71</v>
      </c>
      <c r="D20" s="325"/>
      <c r="E20" s="325"/>
      <c r="F20" s="325"/>
      <c r="G20" s="481"/>
      <c r="H20" s="264"/>
      <c r="I20" s="264"/>
      <c r="J20" s="644"/>
      <c r="K20" s="588"/>
      <c r="L20" s="325"/>
      <c r="M20" s="250">
        <f t="shared" si="0"/>
        <v>0</v>
      </c>
    </row>
    <row r="21" spans="1:13" ht="38.25">
      <c r="A21" s="32" t="s">
        <v>94</v>
      </c>
      <c r="B21" s="39" t="s">
        <v>89</v>
      </c>
      <c r="C21" s="163" t="s">
        <v>71</v>
      </c>
      <c r="D21" s="167"/>
      <c r="E21" s="167"/>
      <c r="F21" s="167"/>
      <c r="G21" s="167"/>
      <c r="H21" s="432"/>
      <c r="I21" s="432"/>
      <c r="J21" s="267"/>
      <c r="K21" s="267"/>
      <c r="L21" s="167"/>
      <c r="M21" s="250">
        <f t="shared" si="0"/>
        <v>0</v>
      </c>
    </row>
    <row r="22" spans="1:13" ht="129.6" customHeight="1">
      <c r="A22" s="32" t="s">
        <v>95</v>
      </c>
      <c r="B22" s="39" t="s">
        <v>162</v>
      </c>
      <c r="C22" s="163" t="s">
        <v>9</v>
      </c>
      <c r="D22" s="167"/>
      <c r="E22" s="167"/>
      <c r="F22" s="167"/>
      <c r="G22" s="167"/>
      <c r="H22" s="432"/>
      <c r="I22" s="432"/>
      <c r="J22" s="267"/>
      <c r="K22" s="267"/>
      <c r="L22" s="167"/>
      <c r="M22" s="250">
        <f t="shared" si="0"/>
        <v>0</v>
      </c>
    </row>
    <row r="23" spans="1:13">
      <c r="A23" s="167"/>
      <c r="B23" s="167"/>
      <c r="C23" s="167"/>
      <c r="D23" s="167"/>
      <c r="E23" s="167"/>
      <c r="F23" s="167"/>
      <c r="G23" s="167"/>
      <c r="H23" s="432"/>
      <c r="I23" s="432"/>
      <c r="J23" s="267"/>
      <c r="K23" s="267"/>
      <c r="L23" s="167"/>
      <c r="M23" s="167"/>
    </row>
    <row r="24" spans="1:13">
      <c r="A24" s="167"/>
      <c r="B24" s="167"/>
      <c r="C24" s="167"/>
      <c r="D24" s="598">
        <f>SUM(D5:D23)</f>
        <v>805.00786625000001</v>
      </c>
      <c r="E24" s="598">
        <f t="shared" ref="E24:K24" si="1">SUM(E5:E23)</f>
        <v>814.79423625000004</v>
      </c>
      <c r="F24" s="598">
        <f t="shared" si="1"/>
        <v>76.112911999999966</v>
      </c>
      <c r="G24" s="598">
        <f t="shared" si="1"/>
        <v>0</v>
      </c>
      <c r="H24" s="598">
        <f t="shared" si="1"/>
        <v>118.144272</v>
      </c>
      <c r="I24" s="650">
        <f t="shared" si="1"/>
        <v>199.62218662499996</v>
      </c>
      <c r="J24" s="650">
        <f t="shared" si="1"/>
        <v>153.79330462499996</v>
      </c>
      <c r="K24" s="598">
        <f t="shared" si="1"/>
        <v>0</v>
      </c>
      <c r="L24" s="170" t="s">
        <v>57</v>
      </c>
      <c r="M24" s="290">
        <f>SUM(M5:M23)</f>
        <v>2167.4747777500002</v>
      </c>
    </row>
  </sheetData>
  <mergeCells count="3">
    <mergeCell ref="D3:L3"/>
    <mergeCell ref="M3:M4"/>
    <mergeCell ref="A2:M2"/>
  </mergeCells>
  <pageMargins left="0.7" right="0.7" top="0.2" bottom="0.16" header="0.12" footer="0.12"/>
  <pageSetup paperSize="9" scale="61"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6"/>
  <sheetViews>
    <sheetView workbookViewId="0">
      <pane ySplit="4" topLeftCell="A14" activePane="bottomLeft" state="frozen"/>
      <selection pane="bottomLeft" activeCell="F22" sqref="F22"/>
    </sheetView>
  </sheetViews>
  <sheetFormatPr defaultRowHeight="15"/>
  <cols>
    <col min="1" max="1" width="9.140625" style="86"/>
    <col min="2" max="2" width="37.140625" customWidth="1"/>
    <col min="3" max="3" width="9.140625" style="86"/>
    <col min="4" max="4" width="22.7109375" customWidth="1"/>
    <col min="9" max="9" width="8.85546875" style="86"/>
    <col min="11" max="11" width="10" bestFit="1" customWidth="1"/>
    <col min="12" max="12" width="10" customWidth="1"/>
  </cols>
  <sheetData>
    <row r="1" spans="1:13" ht="28.5">
      <c r="A1" s="354"/>
      <c r="B1" s="730" t="s">
        <v>476</v>
      </c>
      <c r="C1" s="730"/>
      <c r="D1" s="730"/>
      <c r="E1" s="730"/>
      <c r="F1" s="730"/>
      <c r="G1" s="730"/>
      <c r="H1" s="730"/>
      <c r="I1" s="730"/>
      <c r="J1" s="730"/>
      <c r="K1" s="730"/>
      <c r="L1" s="730"/>
      <c r="M1" s="730"/>
    </row>
    <row r="2" spans="1:13" ht="23.25">
      <c r="A2" s="354"/>
      <c r="B2" s="731" t="s">
        <v>457</v>
      </c>
      <c r="C2" s="731"/>
      <c r="D2" s="731"/>
      <c r="E2" s="731"/>
      <c r="F2" s="731"/>
      <c r="G2" s="731"/>
      <c r="H2" s="731"/>
      <c r="I2" s="731"/>
      <c r="J2" s="731"/>
      <c r="K2" s="731"/>
      <c r="L2" s="731"/>
      <c r="M2" s="731"/>
    </row>
    <row r="3" spans="1:13" s="86" customFormat="1">
      <c r="A3" s="261" t="s">
        <v>50</v>
      </c>
      <c r="B3" s="261" t="s">
        <v>458</v>
      </c>
      <c r="C3" s="261" t="s">
        <v>459</v>
      </c>
      <c r="D3" s="261" t="s">
        <v>460</v>
      </c>
      <c r="E3" s="261" t="s">
        <v>461</v>
      </c>
      <c r="F3" s="261" t="s">
        <v>462</v>
      </c>
      <c r="G3" s="261" t="s">
        <v>463</v>
      </c>
      <c r="H3" s="261" t="s">
        <v>60</v>
      </c>
      <c r="I3" s="261" t="s">
        <v>466</v>
      </c>
      <c r="J3" s="323" t="s">
        <v>465</v>
      </c>
      <c r="K3" s="323" t="s">
        <v>464</v>
      </c>
      <c r="L3" s="323" t="s">
        <v>477</v>
      </c>
      <c r="M3" s="323" t="s">
        <v>738</v>
      </c>
    </row>
    <row r="4" spans="1:13" s="121" customFormat="1">
      <c r="A4" s="261"/>
      <c r="B4" s="260" t="s">
        <v>453</v>
      </c>
      <c r="C4" s="264"/>
      <c r="D4" s="262"/>
      <c r="E4" s="264"/>
      <c r="F4" s="265"/>
      <c r="G4" s="265"/>
      <c r="H4" s="264"/>
      <c r="I4" s="264"/>
      <c r="J4" s="268"/>
      <c r="K4" s="268"/>
      <c r="L4" s="268"/>
      <c r="M4" s="268"/>
    </row>
    <row r="5" spans="1:13" s="133" customFormat="1">
      <c r="A5" s="264"/>
      <c r="B5" s="263"/>
      <c r="C5" s="264"/>
      <c r="D5" s="262"/>
      <c r="E5" s="264"/>
      <c r="F5" s="265"/>
      <c r="G5" s="265"/>
      <c r="H5" s="264"/>
      <c r="I5" s="264"/>
      <c r="J5" s="265"/>
      <c r="K5" s="265"/>
      <c r="L5" s="265"/>
      <c r="M5" s="265"/>
    </row>
    <row r="6" spans="1:13" s="133" customFormat="1">
      <c r="A6" s="264">
        <v>1</v>
      </c>
      <c r="B6" s="372" t="s">
        <v>544</v>
      </c>
      <c r="C6" s="264" t="s">
        <v>466</v>
      </c>
      <c r="D6" s="353" t="s">
        <v>425</v>
      </c>
      <c r="E6" s="264">
        <v>1</v>
      </c>
      <c r="F6" s="599">
        <f>'CONCRETE WORK MB'!I22</f>
        <v>56.798192500000027</v>
      </c>
      <c r="G6" s="265">
        <f t="shared" ref="G6:G11" si="0">E6*F6</f>
        <v>56.798192500000027</v>
      </c>
      <c r="H6" s="264" t="s">
        <v>467</v>
      </c>
      <c r="I6" s="265">
        <f>IF(I$3=$C6,$G6,"-")</f>
        <v>56.798192500000027</v>
      </c>
      <c r="J6" s="265" t="str">
        <f>IF(J$3=$C6,$G6,"-")</f>
        <v>-</v>
      </c>
      <c r="K6" s="265" t="str">
        <f t="shared" ref="K6:M21" si="1">IF(K$3=$C6,$G6,"-")</f>
        <v>-</v>
      </c>
      <c r="L6" s="265" t="str">
        <f t="shared" si="1"/>
        <v>-</v>
      </c>
      <c r="M6" s="265" t="str">
        <f t="shared" si="1"/>
        <v>-</v>
      </c>
    </row>
    <row r="7" spans="1:13">
      <c r="A7" s="354">
        <v>2</v>
      </c>
      <c r="B7" s="372" t="s">
        <v>545</v>
      </c>
      <c r="C7" s="440" t="s">
        <v>465</v>
      </c>
      <c r="D7" s="353" t="s">
        <v>425</v>
      </c>
      <c r="E7" s="264">
        <f>E6</f>
        <v>1</v>
      </c>
      <c r="F7" s="600">
        <f>'CONCRETE WORK MB'!I47</f>
        <v>748.20967374999998</v>
      </c>
      <c r="G7" s="265">
        <f t="shared" si="0"/>
        <v>748.20967374999998</v>
      </c>
      <c r="H7" s="264" t="s">
        <v>467</v>
      </c>
      <c r="I7" s="265" t="str">
        <f t="shared" ref="I7:I21" si="2">IF(I$3=$C7,$G7,"-")</f>
        <v>-</v>
      </c>
      <c r="J7" s="265">
        <f t="shared" ref="J7:J21" si="3">IF(J$3=$C7,$G7,"-")</f>
        <v>748.20967374999998</v>
      </c>
      <c r="K7" s="265" t="str">
        <f t="shared" si="1"/>
        <v>-</v>
      </c>
      <c r="L7" s="265" t="str">
        <f t="shared" si="1"/>
        <v>-</v>
      </c>
      <c r="M7" s="265" t="str">
        <f t="shared" si="1"/>
        <v>-</v>
      </c>
    </row>
    <row r="8" spans="1:13" s="133" customFormat="1">
      <c r="A8" s="264">
        <v>3</v>
      </c>
      <c r="B8" s="263" t="s">
        <v>560</v>
      </c>
      <c r="C8" s="264" t="s">
        <v>466</v>
      </c>
      <c r="D8" s="262" t="s">
        <v>425</v>
      </c>
      <c r="E8" s="264">
        <v>1</v>
      </c>
      <c r="F8" s="600">
        <f>'CONCRETE WORK MB'!I34</f>
        <v>22.6684625</v>
      </c>
      <c r="G8" s="265">
        <f t="shared" si="0"/>
        <v>22.6684625</v>
      </c>
      <c r="H8" s="264" t="s">
        <v>467</v>
      </c>
      <c r="I8" s="265">
        <f>IF(I$3=$C8,$G8,"-")</f>
        <v>22.6684625</v>
      </c>
      <c r="J8" s="265" t="str">
        <f>IF(J$3=$C8,$G8,"-")</f>
        <v>-</v>
      </c>
      <c r="K8" s="265" t="str">
        <f t="shared" si="1"/>
        <v>-</v>
      </c>
      <c r="L8" s="265" t="str">
        <f t="shared" si="1"/>
        <v>-</v>
      </c>
      <c r="M8" s="265" t="str">
        <f t="shared" si="1"/>
        <v>-</v>
      </c>
    </row>
    <row r="9" spans="1:13" s="133" customFormat="1">
      <c r="A9" s="264">
        <v>4</v>
      </c>
      <c r="B9" s="263" t="s">
        <v>561</v>
      </c>
      <c r="C9" s="440" t="s">
        <v>465</v>
      </c>
      <c r="D9" s="262" t="s">
        <v>425</v>
      </c>
      <c r="E9" s="264">
        <f t="shared" ref="E9:E14" si="4">E8</f>
        <v>1</v>
      </c>
      <c r="F9" s="600">
        <f>'CONCRETE WORK MB'!I56</f>
        <v>792.12577375000001</v>
      </c>
      <c r="G9" s="265">
        <f t="shared" si="0"/>
        <v>792.12577375000001</v>
      </c>
      <c r="H9" s="264" t="s">
        <v>467</v>
      </c>
      <c r="I9" s="265" t="str">
        <f t="shared" si="2"/>
        <v>-</v>
      </c>
      <c r="J9" s="265">
        <f t="shared" si="3"/>
        <v>792.12577375000001</v>
      </c>
      <c r="K9" s="265" t="str">
        <f t="shared" si="1"/>
        <v>-</v>
      </c>
      <c r="L9" s="265" t="str">
        <f t="shared" si="1"/>
        <v>-</v>
      </c>
      <c r="M9" s="265" t="str">
        <f t="shared" si="1"/>
        <v>-</v>
      </c>
    </row>
    <row r="10" spans="1:13" s="133" customFormat="1">
      <c r="A10" s="264">
        <v>5</v>
      </c>
      <c r="B10" s="263" t="s">
        <v>654</v>
      </c>
      <c r="C10" s="440" t="s">
        <v>465</v>
      </c>
      <c r="D10" s="262" t="s">
        <v>425</v>
      </c>
      <c r="E10" s="264">
        <f t="shared" si="4"/>
        <v>1</v>
      </c>
      <c r="F10" s="600">
        <f>'CONCRETE WORK MB'!I60</f>
        <v>12.087</v>
      </c>
      <c r="G10" s="265">
        <f t="shared" si="0"/>
        <v>12.087</v>
      </c>
      <c r="H10" s="264" t="s">
        <v>467</v>
      </c>
      <c r="I10" s="265" t="str">
        <f t="shared" si="2"/>
        <v>-</v>
      </c>
      <c r="J10" s="265">
        <f>IF(J$3=$C10,$G10,"-")</f>
        <v>12.087</v>
      </c>
      <c r="K10" s="265" t="str">
        <f t="shared" si="1"/>
        <v>-</v>
      </c>
      <c r="L10" s="265" t="str">
        <f t="shared" si="1"/>
        <v>-</v>
      </c>
      <c r="M10" s="265" t="str">
        <f t="shared" si="1"/>
        <v>-</v>
      </c>
    </row>
    <row r="11" spans="1:13" s="133" customFormat="1">
      <c r="A11" s="264">
        <v>6</v>
      </c>
      <c r="B11" s="263" t="s">
        <v>661</v>
      </c>
      <c r="C11" s="440" t="s">
        <v>477</v>
      </c>
      <c r="D11" s="262" t="s">
        <v>425</v>
      </c>
      <c r="E11" s="264">
        <f t="shared" si="4"/>
        <v>1</v>
      </c>
      <c r="F11" s="600">
        <f>'CONCRETE WORK MB'!I93</f>
        <v>64.025911999999991</v>
      </c>
      <c r="G11" s="265">
        <f t="shared" si="0"/>
        <v>64.025911999999991</v>
      </c>
      <c r="H11" s="264" t="s">
        <v>467</v>
      </c>
      <c r="I11" s="265" t="str">
        <f t="shared" si="2"/>
        <v>-</v>
      </c>
      <c r="J11" s="265" t="str">
        <f t="shared" si="3"/>
        <v>-</v>
      </c>
      <c r="K11" s="265" t="str">
        <f t="shared" si="1"/>
        <v>-</v>
      </c>
      <c r="L11" s="265">
        <f t="shared" si="1"/>
        <v>64.025911999999991</v>
      </c>
      <c r="M11" s="265" t="str">
        <f t="shared" si="1"/>
        <v>-</v>
      </c>
    </row>
    <row r="12" spans="1:13" s="133" customFormat="1">
      <c r="A12" s="264">
        <v>7</v>
      </c>
      <c r="B12" s="263" t="s">
        <v>673</v>
      </c>
      <c r="C12" s="440" t="s">
        <v>465</v>
      </c>
      <c r="D12" s="262" t="s">
        <v>425</v>
      </c>
      <c r="E12" s="264">
        <f t="shared" si="4"/>
        <v>1</v>
      </c>
      <c r="F12" s="600">
        <f>'CONCRETE WORK MB'!I168</f>
        <v>51.601791999999996</v>
      </c>
      <c r="G12" s="265">
        <f t="shared" ref="G12" si="5">E12*F12</f>
        <v>51.601791999999996</v>
      </c>
      <c r="H12" s="264" t="s">
        <v>467</v>
      </c>
      <c r="I12" s="265" t="str">
        <f t="shared" si="2"/>
        <v>-</v>
      </c>
      <c r="J12" s="265">
        <f t="shared" si="3"/>
        <v>51.601791999999996</v>
      </c>
      <c r="K12" s="265" t="str">
        <f t="shared" si="1"/>
        <v>-</v>
      </c>
      <c r="L12" s="265" t="str">
        <f t="shared" si="1"/>
        <v>-</v>
      </c>
      <c r="M12" s="265" t="str">
        <f t="shared" si="1"/>
        <v>-</v>
      </c>
    </row>
    <row r="13" spans="1:13" s="133" customFormat="1" ht="30">
      <c r="A13" s="264">
        <v>8</v>
      </c>
      <c r="B13" s="576" t="s">
        <v>736</v>
      </c>
      <c r="C13" s="440" t="s">
        <v>477</v>
      </c>
      <c r="D13" s="264" t="s">
        <v>425</v>
      </c>
      <c r="E13" s="264">
        <f t="shared" si="4"/>
        <v>1</v>
      </c>
      <c r="F13" s="600">
        <v>14</v>
      </c>
      <c r="G13" s="265">
        <f t="shared" ref="G13" si="6">E13*F13</f>
        <v>14</v>
      </c>
      <c r="H13" s="264" t="s">
        <v>467</v>
      </c>
      <c r="I13" s="265" t="str">
        <f t="shared" si="2"/>
        <v>-</v>
      </c>
      <c r="J13" s="265" t="str">
        <f t="shared" si="3"/>
        <v>-</v>
      </c>
      <c r="K13" s="265" t="str">
        <f t="shared" si="1"/>
        <v>-</v>
      </c>
      <c r="L13" s="265">
        <f t="shared" si="1"/>
        <v>14</v>
      </c>
      <c r="M13" s="265" t="str">
        <f t="shared" si="1"/>
        <v>-</v>
      </c>
    </row>
    <row r="14" spans="1:13" s="133" customFormat="1" ht="30">
      <c r="A14" s="264">
        <v>9</v>
      </c>
      <c r="B14" s="576" t="s">
        <v>736</v>
      </c>
      <c r="C14" s="440" t="s">
        <v>738</v>
      </c>
      <c r="D14" s="264" t="s">
        <v>425</v>
      </c>
      <c r="E14" s="264">
        <f t="shared" si="4"/>
        <v>1</v>
      </c>
      <c r="F14" s="600">
        <f>'CONCRETE WORK MB'!I193-F13</f>
        <v>4.4969800000000006</v>
      </c>
      <c r="G14" s="265">
        <f t="shared" ref="G14" si="7">E14*F14</f>
        <v>4.4969800000000006</v>
      </c>
      <c r="H14" s="264" t="s">
        <v>467</v>
      </c>
      <c r="I14" s="265" t="str">
        <f t="shared" si="2"/>
        <v>-</v>
      </c>
      <c r="J14" s="265" t="str">
        <f t="shared" si="3"/>
        <v>-</v>
      </c>
      <c r="K14" s="265" t="str">
        <f t="shared" si="1"/>
        <v>-</v>
      </c>
      <c r="L14" s="265" t="str">
        <f t="shared" si="1"/>
        <v>-</v>
      </c>
      <c r="M14" s="265">
        <f t="shared" si="1"/>
        <v>4.4969800000000006</v>
      </c>
    </row>
    <row r="15" spans="1:13" s="133" customFormat="1" ht="30">
      <c r="A15" s="264">
        <v>10</v>
      </c>
      <c r="B15" s="576" t="s">
        <v>737</v>
      </c>
      <c r="C15" s="440" t="s">
        <v>738</v>
      </c>
      <c r="D15" s="264" t="s">
        <v>739</v>
      </c>
      <c r="E15" s="264">
        <f>E13</f>
        <v>1</v>
      </c>
      <c r="F15" s="600">
        <f>'CONCRETE WORK MB'!I217</f>
        <v>48.045500000000004</v>
      </c>
      <c r="G15" s="265">
        <f t="shared" ref="G15" si="8">E15*F15</f>
        <v>48.045500000000004</v>
      </c>
      <c r="H15" s="264" t="s">
        <v>467</v>
      </c>
      <c r="I15" s="265" t="str">
        <f t="shared" si="2"/>
        <v>-</v>
      </c>
      <c r="J15" s="265" t="str">
        <f t="shared" si="3"/>
        <v>-</v>
      </c>
      <c r="K15" s="265" t="str">
        <f t="shared" si="1"/>
        <v>-</v>
      </c>
      <c r="L15" s="265" t="str">
        <f t="shared" si="1"/>
        <v>-</v>
      </c>
      <c r="M15" s="265">
        <f t="shared" si="1"/>
        <v>48.045500000000004</v>
      </c>
    </row>
    <row r="16" spans="1:13" s="133" customFormat="1" ht="30">
      <c r="A16" s="264">
        <v>11</v>
      </c>
      <c r="B16" s="651" t="s">
        <v>929</v>
      </c>
      <c r="C16" s="440" t="s">
        <v>738</v>
      </c>
      <c r="D16" s="264" t="s">
        <v>739</v>
      </c>
      <c r="E16" s="264">
        <f>E14</f>
        <v>1</v>
      </c>
      <c r="F16" s="265">
        <f>'CONCRETE WORK MB'!I243</f>
        <v>45.975499999999997</v>
      </c>
      <c r="G16" s="265">
        <f t="shared" ref="G16" si="9">E16*F16</f>
        <v>45.975499999999997</v>
      </c>
      <c r="H16" s="264" t="s">
        <v>467</v>
      </c>
      <c r="I16" s="265" t="str">
        <f t="shared" si="2"/>
        <v>-</v>
      </c>
      <c r="J16" s="265" t="str">
        <f t="shared" si="3"/>
        <v>-</v>
      </c>
      <c r="K16" s="265" t="str">
        <f t="shared" si="1"/>
        <v>-</v>
      </c>
      <c r="L16" s="265" t="str">
        <f t="shared" si="1"/>
        <v>-</v>
      </c>
      <c r="M16" s="265">
        <f t="shared" si="1"/>
        <v>45.975499999999997</v>
      </c>
    </row>
    <row r="17" spans="1:14" s="133" customFormat="1" ht="30">
      <c r="A17" s="264">
        <v>12</v>
      </c>
      <c r="B17" s="651" t="s">
        <v>1258</v>
      </c>
      <c r="C17" s="440" t="s">
        <v>738</v>
      </c>
      <c r="D17" s="264" t="s">
        <v>739</v>
      </c>
      <c r="E17" s="264">
        <f>E15</f>
        <v>1</v>
      </c>
      <c r="F17" s="265">
        <f>'CONCRETE WORK MB'!I260</f>
        <v>4.9454800000000008</v>
      </c>
      <c r="G17" s="265">
        <f t="shared" ref="G17" si="10">E17*F17</f>
        <v>4.9454800000000008</v>
      </c>
      <c r="H17" s="264" t="s">
        <v>467</v>
      </c>
      <c r="I17" s="265" t="str">
        <f t="shared" si="2"/>
        <v>-</v>
      </c>
      <c r="J17" s="265" t="str">
        <f t="shared" si="3"/>
        <v>-</v>
      </c>
      <c r="K17" s="265" t="str">
        <f t="shared" si="1"/>
        <v>-</v>
      </c>
      <c r="L17" s="265" t="str">
        <f t="shared" si="1"/>
        <v>-</v>
      </c>
      <c r="M17" s="265">
        <f t="shared" si="1"/>
        <v>4.9454800000000008</v>
      </c>
    </row>
    <row r="18" spans="1:14" s="133" customFormat="1" ht="30">
      <c r="A18" s="264">
        <v>13</v>
      </c>
      <c r="B18" s="651" t="s">
        <v>932</v>
      </c>
      <c r="C18" s="440" t="s">
        <v>738</v>
      </c>
      <c r="D18" s="264" t="s">
        <v>739</v>
      </c>
      <c r="E18" s="264">
        <f>E15</f>
        <v>1</v>
      </c>
      <c r="F18" s="265">
        <v>24</v>
      </c>
      <c r="G18" s="265">
        <f t="shared" ref="G18" si="11">E18*F18</f>
        <v>24</v>
      </c>
      <c r="H18" s="264" t="s">
        <v>467</v>
      </c>
      <c r="I18" s="265" t="str">
        <f t="shared" si="2"/>
        <v>-</v>
      </c>
      <c r="J18" s="265" t="str">
        <f t="shared" si="3"/>
        <v>-</v>
      </c>
      <c r="K18" s="265" t="str">
        <f t="shared" si="1"/>
        <v>-</v>
      </c>
      <c r="L18" s="265" t="str">
        <f t="shared" si="1"/>
        <v>-</v>
      </c>
      <c r="M18" s="265">
        <f t="shared" si="1"/>
        <v>24</v>
      </c>
    </row>
    <row r="19" spans="1:14" s="133" customFormat="1" ht="30">
      <c r="A19" s="264">
        <v>14</v>
      </c>
      <c r="B19" s="651" t="s">
        <v>932</v>
      </c>
      <c r="C19" s="440" t="s">
        <v>465</v>
      </c>
      <c r="D19" s="264" t="s">
        <v>739</v>
      </c>
      <c r="E19" s="264">
        <f>E16</f>
        <v>1</v>
      </c>
      <c r="F19" s="265">
        <f>'CONCRETE WORK MB'!I478-F18</f>
        <v>129.79330462499996</v>
      </c>
      <c r="G19" s="265">
        <f t="shared" ref="G19" si="12">E19*F19</f>
        <v>129.79330462499996</v>
      </c>
      <c r="H19" s="264" t="s">
        <v>467</v>
      </c>
      <c r="I19" s="265" t="str">
        <f t="shared" si="2"/>
        <v>-</v>
      </c>
      <c r="J19" s="265">
        <f t="shared" si="3"/>
        <v>129.79330462499996</v>
      </c>
      <c r="K19" s="265" t="str">
        <f t="shared" si="1"/>
        <v>-</v>
      </c>
      <c r="L19" s="265" t="str">
        <f t="shared" si="1"/>
        <v>-</v>
      </c>
      <c r="M19" s="265" t="str">
        <f t="shared" si="1"/>
        <v>-</v>
      </c>
    </row>
    <row r="20" spans="1:14" s="121" customFormat="1">
      <c r="A20" s="644">
        <v>14</v>
      </c>
      <c r="B20" s="579" t="s">
        <v>1296</v>
      </c>
      <c r="C20" s="266" t="s">
        <v>738</v>
      </c>
      <c r="D20" s="644" t="s">
        <v>739</v>
      </c>
      <c r="E20" s="644">
        <f>E17</f>
        <v>1</v>
      </c>
      <c r="F20" s="268">
        <v>15</v>
      </c>
      <c r="G20" s="268">
        <f t="shared" ref="G20" si="13">E20*F20</f>
        <v>15</v>
      </c>
      <c r="H20" s="644" t="s">
        <v>467</v>
      </c>
      <c r="I20" s="268" t="str">
        <f t="shared" si="2"/>
        <v>-</v>
      </c>
      <c r="J20" s="268" t="str">
        <f t="shared" si="3"/>
        <v>-</v>
      </c>
      <c r="K20" s="268" t="str">
        <f t="shared" si="1"/>
        <v>-</v>
      </c>
      <c r="L20" s="268" t="str">
        <f t="shared" si="1"/>
        <v>-</v>
      </c>
      <c r="M20" s="268">
        <f t="shared" si="1"/>
        <v>15</v>
      </c>
    </row>
    <row r="21" spans="1:14" s="121" customFormat="1">
      <c r="A21" s="644">
        <v>15</v>
      </c>
      <c r="B21" s="579" t="s">
        <v>1296</v>
      </c>
      <c r="C21" s="266" t="s">
        <v>465</v>
      </c>
      <c r="D21" s="644" t="s">
        <v>739</v>
      </c>
      <c r="E21" s="644">
        <f>E17</f>
        <v>1</v>
      </c>
      <c r="F21" s="268">
        <f>'CONCRETE WORK MB'!I698-F20</f>
        <v>138.79330462499996</v>
      </c>
      <c r="G21" s="268">
        <f t="shared" ref="G21" si="14">E21*F21</f>
        <v>138.79330462499996</v>
      </c>
      <c r="H21" s="644" t="s">
        <v>467</v>
      </c>
      <c r="I21" s="268" t="str">
        <f t="shared" si="2"/>
        <v>-</v>
      </c>
      <c r="J21" s="268">
        <f t="shared" si="3"/>
        <v>138.79330462499996</v>
      </c>
      <c r="K21" s="268" t="str">
        <f t="shared" si="1"/>
        <v>-</v>
      </c>
      <c r="L21" s="268" t="str">
        <f t="shared" si="1"/>
        <v>-</v>
      </c>
      <c r="M21" s="268" t="str">
        <f t="shared" si="1"/>
        <v>-</v>
      </c>
    </row>
    <row r="22" spans="1:14" ht="15.75" thickBot="1">
      <c r="A22" s="289"/>
      <c r="B22" s="270"/>
      <c r="C22" s="289"/>
      <c r="D22" s="271"/>
      <c r="E22" s="272"/>
      <c r="F22" s="273"/>
      <c r="G22" s="273"/>
      <c r="H22" s="270"/>
      <c r="I22" s="289"/>
      <c r="J22" s="270"/>
      <c r="K22" s="270"/>
      <c r="L22" s="270"/>
      <c r="M22" s="270"/>
    </row>
    <row r="23" spans="1:14">
      <c r="A23" s="371"/>
      <c r="B23" s="274" t="s">
        <v>468</v>
      </c>
      <c r="C23" s="441"/>
      <c r="D23" s="275"/>
      <c r="E23" s="276"/>
      <c r="F23" s="277"/>
      <c r="G23" s="278">
        <f>SUM(G4:G22)</f>
        <v>2172.5668757499998</v>
      </c>
      <c r="H23" s="279" t="s">
        <v>467</v>
      </c>
      <c r="I23" s="280">
        <f>SUM(I4:I22)</f>
        <v>79.466655000000031</v>
      </c>
      <c r="J23" s="280">
        <f>SUM(J4:J22)</f>
        <v>1872.6108487500001</v>
      </c>
      <c r="K23" s="280">
        <f>SUM(K4:K22)</f>
        <v>0</v>
      </c>
      <c r="L23" s="280">
        <f>SUM(L4:L22)</f>
        <v>78.025911999999991</v>
      </c>
      <c r="M23" s="281">
        <f>SUM(M4:M22)</f>
        <v>142.46346</v>
      </c>
    </row>
    <row r="24" spans="1:14">
      <c r="A24" s="177"/>
      <c r="B24" s="267" t="s">
        <v>469</v>
      </c>
      <c r="C24" s="435"/>
      <c r="D24" s="167"/>
      <c r="E24" s="167"/>
      <c r="F24" s="167"/>
      <c r="G24" s="250">
        <f>'PCC &amp; RCC REC.'!T96</f>
        <v>2232.46</v>
      </c>
      <c r="H24" s="266" t="s">
        <v>467</v>
      </c>
      <c r="I24" s="266">
        <f>'PCC &amp; RCC REC.'!D98+'PCC &amp; RCC REC.'!I98+'PCC &amp; RCC REC.'!N98</f>
        <v>83.4</v>
      </c>
      <c r="J24" s="266">
        <f>'PCC &amp; RCC REC.'!E98+'PCC &amp; RCC REC.'!J98+'PCC &amp; RCC REC.'!O98</f>
        <v>1910.06</v>
      </c>
      <c r="K24" s="266">
        <f>'PCC &amp; RCC REC.'!F98+'PCC &amp; RCC REC.'!K98+'PCC &amp; RCC REC.'!P98</f>
        <v>0</v>
      </c>
      <c r="L24" s="266">
        <f>'PCC &amp; RCC REC.'!G98+'PCC &amp; RCC REC.'!L98+'PCC &amp; RCC REC.'!Q98</f>
        <v>82</v>
      </c>
      <c r="M24" s="446">
        <f>'PCC &amp; RCC REC.'!H98+'PCC &amp; RCC REC.'!M98+'PCC &amp; RCC REC.'!R98</f>
        <v>157</v>
      </c>
    </row>
    <row r="25" spans="1:14">
      <c r="A25" s="177"/>
      <c r="B25" s="267" t="s">
        <v>470</v>
      </c>
      <c r="C25" s="435"/>
      <c r="D25" s="167"/>
      <c r="E25" s="167"/>
      <c r="F25" s="167"/>
      <c r="G25" s="250">
        <f>G23-G24</f>
        <v>-59.893124250000255</v>
      </c>
      <c r="H25" s="266" t="s">
        <v>467</v>
      </c>
      <c r="I25" s="250">
        <f>I23-I24</f>
        <v>-3.9333449999999743</v>
      </c>
      <c r="J25" s="250">
        <f>J23-J24</f>
        <v>-37.449151249999886</v>
      </c>
      <c r="K25" s="250">
        <f>K23-K24</f>
        <v>0</v>
      </c>
      <c r="L25" s="250">
        <f>L23-L24</f>
        <v>-3.9740880000000089</v>
      </c>
      <c r="M25" s="284">
        <f>M23-M24</f>
        <v>-14.536540000000002</v>
      </c>
    </row>
    <row r="26" spans="1:14" ht="15.75" thickBot="1">
      <c r="A26" s="180"/>
      <c r="B26" s="285" t="s">
        <v>471</v>
      </c>
      <c r="C26" s="183"/>
      <c r="D26" s="286"/>
      <c r="E26" s="286"/>
      <c r="F26" s="286"/>
      <c r="G26" s="287">
        <f>G25/G23</f>
        <v>-2.7567908228060566E-2</v>
      </c>
      <c r="H26" s="183"/>
      <c r="I26" s="287">
        <f>I25/I23</f>
        <v>-4.9496798374110154E-2</v>
      </c>
      <c r="J26" s="287">
        <f>J25/J23</f>
        <v>-1.9998362860600662E-2</v>
      </c>
      <c r="K26" s="287" t="e">
        <f>K25/K23</f>
        <v>#DIV/0!</v>
      </c>
      <c r="L26" s="287">
        <f>L25/L23</f>
        <v>-5.0932925974643009E-2</v>
      </c>
      <c r="M26" s="447">
        <f>M25/M23</f>
        <v>-0.10203697144516918</v>
      </c>
    </row>
    <row r="27" spans="1:14" ht="15.75" thickBot="1">
      <c r="A27" s="141"/>
      <c r="B27" s="106"/>
      <c r="C27" s="141"/>
      <c r="D27" s="105"/>
      <c r="E27" s="105"/>
      <c r="F27" s="105"/>
      <c r="G27" s="291"/>
      <c r="H27" s="141"/>
      <c r="I27" s="141"/>
      <c r="J27" s="291"/>
      <c r="K27" s="291"/>
      <c r="L27" s="291"/>
      <c r="M27" s="291"/>
    </row>
    <row r="28" spans="1:14" ht="15.75" thickBot="1">
      <c r="A28" s="371"/>
      <c r="B28" s="274" t="s">
        <v>472</v>
      </c>
      <c r="C28" s="442"/>
      <c r="D28" s="277"/>
      <c r="E28" s="277"/>
      <c r="F28" s="277"/>
      <c r="G28" s="292">
        <f>+I28+J28+K28+L28+M28</f>
        <v>1814.0566549999999</v>
      </c>
      <c r="H28" s="293" t="s">
        <v>467</v>
      </c>
      <c r="I28" s="445">
        <v>79.466655000000031</v>
      </c>
      <c r="J28" s="294">
        <v>1604.02</v>
      </c>
      <c r="K28" s="294">
        <v>0</v>
      </c>
      <c r="L28" s="294">
        <v>78.03</v>
      </c>
      <c r="M28" s="295">
        <v>52.54</v>
      </c>
    </row>
    <row r="29" spans="1:14">
      <c r="A29" s="177"/>
      <c r="B29" s="267" t="s">
        <v>473</v>
      </c>
      <c r="C29" s="435"/>
      <c r="D29" s="167"/>
      <c r="E29" s="167"/>
      <c r="F29" s="167"/>
      <c r="G29" s="292">
        <f>+I29+J29+K29+L29+M29</f>
        <v>1857.98</v>
      </c>
      <c r="H29" s="264" t="s">
        <v>467</v>
      </c>
      <c r="I29" s="264">
        <v>83.4</v>
      </c>
      <c r="J29" s="282">
        <v>1636.58</v>
      </c>
      <c r="K29" s="282">
        <v>0</v>
      </c>
      <c r="L29" s="282">
        <v>82</v>
      </c>
      <c r="M29" s="283">
        <v>56</v>
      </c>
      <c r="N29" s="288"/>
    </row>
    <row r="30" spans="1:14">
      <c r="A30" s="177"/>
      <c r="B30" s="267" t="s">
        <v>470</v>
      </c>
      <c r="C30" s="435"/>
      <c r="D30" s="167"/>
      <c r="E30" s="167"/>
      <c r="F30" s="167"/>
      <c r="G30" s="250">
        <f>G28-G29</f>
        <v>-43.923345000000154</v>
      </c>
      <c r="H30" s="264" t="s">
        <v>467</v>
      </c>
      <c r="I30" s="250">
        <f>I28-I29</f>
        <v>-3.9333449999999743</v>
      </c>
      <c r="J30" s="250">
        <f>J28-J29</f>
        <v>-32.559999999999945</v>
      </c>
      <c r="K30" s="250">
        <f>K28-K29</f>
        <v>0</v>
      </c>
      <c r="L30" s="250">
        <f>L28-L29</f>
        <v>-3.9699999999999989</v>
      </c>
      <c r="M30" s="284">
        <f>M28-M29</f>
        <v>-3.4600000000000009</v>
      </c>
    </row>
    <row r="31" spans="1:14" ht="15.75" thickBot="1">
      <c r="A31" s="180"/>
      <c r="B31" s="285" t="s">
        <v>471</v>
      </c>
      <c r="C31" s="183"/>
      <c r="D31" s="286"/>
      <c r="E31" s="286"/>
      <c r="F31" s="286"/>
      <c r="G31" s="287">
        <f>G30/G28</f>
        <v>-2.4212774655596497E-2</v>
      </c>
      <c r="H31" s="183"/>
      <c r="I31" s="287">
        <f>I30/I28</f>
        <v>-4.9496798374110154E-2</v>
      </c>
      <c r="J31" s="287">
        <f>J30/J28</f>
        <v>-2.0298998765601393E-2</v>
      </c>
      <c r="K31" s="287" t="e">
        <f>K30/K28</f>
        <v>#DIV/0!</v>
      </c>
      <c r="L31" s="287">
        <f>L30/L28</f>
        <v>-5.0877867486864015E-2</v>
      </c>
      <c r="M31" s="447">
        <f>M30/M28</f>
        <v>-6.5854586981347565E-2</v>
      </c>
    </row>
    <row r="32" spans="1:14" ht="15.75" thickBot="1">
      <c r="A32" s="141"/>
      <c r="B32" s="105"/>
      <c r="C32" s="141"/>
      <c r="D32" s="105"/>
      <c r="E32" s="105"/>
      <c r="F32" s="105"/>
      <c r="G32" s="105"/>
      <c r="H32" s="105"/>
      <c r="I32" s="141"/>
      <c r="J32" s="105"/>
      <c r="K32" s="105"/>
      <c r="L32" s="105"/>
      <c r="M32" s="105"/>
    </row>
    <row r="33" spans="1:13">
      <c r="A33" s="371"/>
      <c r="B33" s="274" t="s">
        <v>474</v>
      </c>
      <c r="C33" s="442"/>
      <c r="D33" s="277"/>
      <c r="E33" s="277"/>
      <c r="F33" s="277"/>
      <c r="G33" s="292">
        <f>G23-G28</f>
        <v>358.51022074999992</v>
      </c>
      <c r="H33" s="293" t="s">
        <v>467</v>
      </c>
      <c r="I33" s="292">
        <f t="shared" ref="I33:K34" si="15">I23-I28</f>
        <v>0</v>
      </c>
      <c r="J33" s="292">
        <f t="shared" si="15"/>
        <v>268.59084875000008</v>
      </c>
      <c r="K33" s="292">
        <f t="shared" si="15"/>
        <v>0</v>
      </c>
      <c r="L33" s="292">
        <f t="shared" ref="L33" si="16">L23-L28</f>
        <v>-4.0880000000100836E-3</v>
      </c>
      <c r="M33" s="296">
        <f t="shared" ref="M33:M34" si="17">M23-M28</f>
        <v>89.923460000000006</v>
      </c>
    </row>
    <row r="34" spans="1:13">
      <c r="A34" s="177"/>
      <c r="B34" s="267" t="s">
        <v>475</v>
      </c>
      <c r="C34" s="435"/>
      <c r="D34" s="167"/>
      <c r="E34" s="167"/>
      <c r="F34" s="167"/>
      <c r="G34" s="250">
        <f>G24-G29</f>
        <v>374.48</v>
      </c>
      <c r="H34" s="264" t="s">
        <v>467</v>
      </c>
      <c r="I34" s="250">
        <f t="shared" si="15"/>
        <v>0</v>
      </c>
      <c r="J34" s="250">
        <f t="shared" si="15"/>
        <v>273.48</v>
      </c>
      <c r="K34" s="251">
        <f t="shared" si="15"/>
        <v>0</v>
      </c>
      <c r="L34" s="251">
        <f t="shared" ref="L34" si="18">L24-L29</f>
        <v>0</v>
      </c>
      <c r="M34" s="283">
        <f t="shared" si="17"/>
        <v>101</v>
      </c>
    </row>
    <row r="35" spans="1:13">
      <c r="A35" s="177"/>
      <c r="B35" s="267" t="s">
        <v>470</v>
      </c>
      <c r="C35" s="435"/>
      <c r="D35" s="167"/>
      <c r="E35" s="167"/>
      <c r="F35" s="167"/>
      <c r="G35" s="250">
        <f>G33-G34</f>
        <v>-15.969779250000101</v>
      </c>
      <c r="H35" s="264" t="s">
        <v>467</v>
      </c>
      <c r="I35" s="250">
        <f>I33-I34</f>
        <v>0</v>
      </c>
      <c r="J35" s="250">
        <f>J33-J34</f>
        <v>-4.8891512499999408</v>
      </c>
      <c r="K35" s="250">
        <f>K33-K34</f>
        <v>0</v>
      </c>
      <c r="L35" s="250">
        <f>L33-L34</f>
        <v>-4.0880000000100836E-3</v>
      </c>
      <c r="M35" s="284">
        <f>M33-M34</f>
        <v>-11.076539999999994</v>
      </c>
    </row>
    <row r="36" spans="1:13" ht="15.75" thickBot="1">
      <c r="A36" s="180"/>
      <c r="B36" s="285" t="s">
        <v>471</v>
      </c>
      <c r="C36" s="183"/>
      <c r="D36" s="286"/>
      <c r="E36" s="286"/>
      <c r="F36" s="286"/>
      <c r="G36" s="287">
        <f>G35/G33</f>
        <v>-4.4544836731827277E-2</v>
      </c>
      <c r="H36" s="183"/>
      <c r="I36" s="287" t="e">
        <f>I35/I33</f>
        <v>#DIV/0!</v>
      </c>
      <c r="J36" s="287">
        <f>J35/J33</f>
        <v>-1.8202970327372107E-2</v>
      </c>
      <c r="K36" s="287" t="e">
        <f>K35/K33</f>
        <v>#DIV/0!</v>
      </c>
      <c r="L36" s="287">
        <f>L35/L33</f>
        <v>1</v>
      </c>
      <c r="M36" s="447">
        <f>M35/M33</f>
        <v>-0.1231774222210755</v>
      </c>
    </row>
  </sheetData>
  <mergeCells count="2">
    <mergeCell ref="B1:M1"/>
    <mergeCell ref="B2:M2"/>
  </mergeCells>
  <pageMargins left="0.7" right="0.7" top="0.75" bottom="0.75" header="0.3" footer="0.3"/>
  <pageSetup scale="76" fitToHeight="0" orientation="landscape" r:id="rId1"/>
  <ignoredErrors>
    <ignoredError sqref="I36 K36 M31 K26 K31" evalError="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00"/>
  <sheetViews>
    <sheetView zoomScale="85" zoomScaleNormal="85" workbookViewId="0">
      <pane ySplit="3" topLeftCell="A78" activePane="bottomLeft" state="frozen"/>
      <selection pane="bottomLeft" activeCell="E93" sqref="E93"/>
    </sheetView>
  </sheetViews>
  <sheetFormatPr defaultColWidth="9.140625" defaultRowHeight="15"/>
  <cols>
    <col min="1" max="1" width="6.7109375" style="297" customWidth="1"/>
    <col min="2" max="2" width="10.42578125" style="297" customWidth="1"/>
    <col min="3" max="3" width="13.7109375" style="297" customWidth="1"/>
    <col min="4" max="4" width="7.85546875" style="297" customWidth="1"/>
    <col min="5" max="5" width="10.140625" style="297" customWidth="1"/>
    <col min="6" max="7" width="7.85546875" style="297" customWidth="1"/>
    <col min="8" max="8" width="9.140625" style="297" bestFit="1" customWidth="1"/>
    <col min="9" max="18" width="7.85546875" style="297" customWidth="1"/>
    <col min="19" max="19" width="12.28515625" style="297" customWidth="1"/>
    <col min="20" max="20" width="11.42578125" style="297" customWidth="1"/>
    <col min="21" max="21" width="42.7109375" style="297" customWidth="1"/>
    <col min="22" max="22" width="9.140625" style="297"/>
    <col min="23" max="23" width="11.85546875" style="297" bestFit="1" customWidth="1"/>
    <col min="24" max="24" width="9.140625" style="297"/>
    <col min="25" max="25" width="12.140625" style="297" customWidth="1"/>
    <col min="26" max="16384" width="9.140625" style="297"/>
  </cols>
  <sheetData>
    <row r="1" spans="1:21" ht="18" customHeight="1">
      <c r="A1" s="732" t="s">
        <v>1</v>
      </c>
      <c r="B1" s="733" t="s">
        <v>478</v>
      </c>
      <c r="C1" s="732" t="s">
        <v>440</v>
      </c>
      <c r="D1" s="736" t="s">
        <v>479</v>
      </c>
      <c r="E1" s="736"/>
      <c r="F1" s="736"/>
      <c r="G1" s="736"/>
      <c r="H1" s="736"/>
      <c r="I1" s="736" t="s">
        <v>480</v>
      </c>
      <c r="J1" s="736"/>
      <c r="K1" s="736"/>
      <c r="L1" s="736"/>
      <c r="M1" s="736"/>
      <c r="N1" s="736" t="s">
        <v>498</v>
      </c>
      <c r="O1" s="736"/>
      <c r="P1" s="736"/>
      <c r="Q1" s="736"/>
      <c r="R1" s="736"/>
      <c r="S1" s="749" t="s">
        <v>481</v>
      </c>
      <c r="T1" s="749" t="s">
        <v>57</v>
      </c>
      <c r="U1" s="732" t="s">
        <v>482</v>
      </c>
    </row>
    <row r="2" spans="1:21" ht="18.75">
      <c r="A2" s="732"/>
      <c r="B2" s="734"/>
      <c r="C2" s="732"/>
      <c r="D2" s="736" t="s">
        <v>483</v>
      </c>
      <c r="E2" s="736"/>
      <c r="F2" s="736"/>
      <c r="G2" s="736"/>
      <c r="H2" s="736"/>
      <c r="I2" s="736" t="s">
        <v>483</v>
      </c>
      <c r="J2" s="736"/>
      <c r="K2" s="736"/>
      <c r="L2" s="736"/>
      <c r="M2" s="736"/>
      <c r="N2" s="736" t="s">
        <v>483</v>
      </c>
      <c r="O2" s="736"/>
      <c r="P2" s="736"/>
      <c r="Q2" s="736"/>
      <c r="R2" s="736"/>
      <c r="S2" s="750"/>
      <c r="T2" s="750"/>
      <c r="U2" s="732"/>
    </row>
    <row r="3" spans="1:21" ht="18.75">
      <c r="A3" s="732"/>
      <c r="B3" s="735"/>
      <c r="C3" s="732"/>
      <c r="D3" s="298" t="s">
        <v>466</v>
      </c>
      <c r="E3" s="298" t="s">
        <v>465</v>
      </c>
      <c r="F3" s="298" t="s">
        <v>464</v>
      </c>
      <c r="G3" s="473" t="s">
        <v>477</v>
      </c>
      <c r="H3" s="298" t="s">
        <v>738</v>
      </c>
      <c r="I3" s="298" t="s">
        <v>466</v>
      </c>
      <c r="J3" s="298" t="s">
        <v>465</v>
      </c>
      <c r="K3" s="298" t="s">
        <v>464</v>
      </c>
      <c r="L3" s="473" t="s">
        <v>477</v>
      </c>
      <c r="M3" s="473" t="s">
        <v>738</v>
      </c>
      <c r="N3" s="298" t="s">
        <v>466</v>
      </c>
      <c r="O3" s="298" t="s">
        <v>465</v>
      </c>
      <c r="P3" s="298" t="s">
        <v>464</v>
      </c>
      <c r="Q3" s="473" t="s">
        <v>477</v>
      </c>
      <c r="R3" s="473" t="s">
        <v>738</v>
      </c>
      <c r="S3" s="751"/>
      <c r="T3" s="751"/>
      <c r="U3" s="732"/>
    </row>
    <row r="4" spans="1:21" s="312" customFormat="1" ht="15.75" customHeight="1">
      <c r="A4" s="299">
        <v>1</v>
      </c>
      <c r="B4" s="322">
        <v>45778</v>
      </c>
      <c r="C4" s="328">
        <v>45791</v>
      </c>
      <c r="D4" s="329"/>
      <c r="E4" s="307"/>
      <c r="F4" s="307"/>
      <c r="G4" s="307"/>
      <c r="H4" s="304"/>
      <c r="I4" s="326">
        <v>3.3</v>
      </c>
      <c r="J4" s="307"/>
      <c r="K4" s="307"/>
      <c r="L4" s="307"/>
      <c r="M4" s="303"/>
      <c r="N4" s="326"/>
      <c r="O4" s="307"/>
      <c r="P4" s="307"/>
      <c r="Q4" s="307"/>
      <c r="R4" s="303"/>
      <c r="S4" s="305"/>
      <c r="T4" s="310"/>
      <c r="U4" s="316" t="s">
        <v>497</v>
      </c>
    </row>
    <row r="5" spans="1:21" s="312" customFormat="1" ht="15.75" customHeight="1">
      <c r="A5" s="299">
        <v>2</v>
      </c>
      <c r="B5" s="322"/>
      <c r="C5" s="328">
        <v>45797</v>
      </c>
      <c r="D5" s="329"/>
      <c r="E5" s="307"/>
      <c r="F5" s="307"/>
      <c r="G5" s="307"/>
      <c r="H5" s="304"/>
      <c r="I5" s="326">
        <v>5.4</v>
      </c>
      <c r="J5" s="307"/>
      <c r="K5" s="307"/>
      <c r="L5" s="307"/>
      <c r="M5" s="303"/>
      <c r="N5" s="326"/>
      <c r="O5" s="307"/>
      <c r="P5" s="307"/>
      <c r="Q5" s="307"/>
      <c r="R5" s="303"/>
      <c r="S5" s="302"/>
      <c r="T5" s="302"/>
      <c r="U5" s="316" t="s">
        <v>497</v>
      </c>
    </row>
    <row r="6" spans="1:21" s="312" customFormat="1" ht="15.75" customHeight="1">
      <c r="A6" s="299">
        <v>3</v>
      </c>
      <c r="B6" s="322"/>
      <c r="C6" s="328">
        <v>45786</v>
      </c>
      <c r="D6" s="329">
        <v>40</v>
      </c>
      <c r="E6" s="307"/>
      <c r="F6" s="307"/>
      <c r="G6" s="307"/>
      <c r="H6" s="304"/>
      <c r="I6" s="299"/>
      <c r="J6" s="307"/>
      <c r="K6" s="307"/>
      <c r="L6" s="307"/>
      <c r="M6" s="303"/>
      <c r="N6" s="299"/>
      <c r="O6" s="307"/>
      <c r="P6" s="307"/>
      <c r="Q6" s="307"/>
      <c r="R6" s="303"/>
      <c r="S6" s="302"/>
      <c r="T6" s="302"/>
      <c r="U6" s="316" t="s">
        <v>497</v>
      </c>
    </row>
    <row r="7" spans="1:21" s="312" customFormat="1" ht="15.75" customHeight="1">
      <c r="A7" s="299">
        <v>4</v>
      </c>
      <c r="B7" s="322"/>
      <c r="C7" s="328">
        <v>45789</v>
      </c>
      <c r="D7" s="329">
        <v>17.5</v>
      </c>
      <c r="E7" s="317"/>
      <c r="F7" s="317"/>
      <c r="G7" s="317"/>
      <c r="H7" s="304"/>
      <c r="I7" s="299"/>
      <c r="J7" s="302"/>
      <c r="K7" s="302"/>
      <c r="L7" s="302"/>
      <c r="M7" s="303"/>
      <c r="N7" s="299"/>
      <c r="O7" s="302"/>
      <c r="P7" s="302"/>
      <c r="Q7" s="302"/>
      <c r="R7" s="303"/>
      <c r="S7" s="302"/>
      <c r="T7" s="302"/>
      <c r="U7" s="316" t="s">
        <v>497</v>
      </c>
    </row>
    <row r="8" spans="1:21" s="312" customFormat="1" ht="15.75" customHeight="1">
      <c r="A8" s="299">
        <v>5</v>
      </c>
      <c r="B8" s="322"/>
      <c r="C8" s="328">
        <v>45802</v>
      </c>
      <c r="D8" s="329"/>
      <c r="E8" s="317"/>
      <c r="F8" s="317"/>
      <c r="G8" s="317"/>
      <c r="H8" s="304"/>
      <c r="I8" s="299">
        <v>7.2</v>
      </c>
      <c r="J8" s="302"/>
      <c r="K8" s="302"/>
      <c r="L8" s="302"/>
      <c r="M8" s="303"/>
      <c r="N8" s="299"/>
      <c r="O8" s="302"/>
      <c r="P8" s="302"/>
      <c r="Q8" s="302"/>
      <c r="R8" s="303"/>
      <c r="S8" s="302"/>
      <c r="T8" s="302"/>
      <c r="U8" s="316" t="s">
        <v>497</v>
      </c>
    </row>
    <row r="9" spans="1:21" s="312" customFormat="1" ht="15.75" customHeight="1">
      <c r="A9" s="299">
        <v>6</v>
      </c>
      <c r="B9" s="322"/>
      <c r="C9" s="328">
        <v>45803</v>
      </c>
      <c r="D9" s="329"/>
      <c r="E9" s="317"/>
      <c r="F9" s="317"/>
      <c r="G9" s="317"/>
      <c r="H9" s="304"/>
      <c r="I9" s="299">
        <v>10</v>
      </c>
      <c r="J9" s="302"/>
      <c r="K9" s="302"/>
      <c r="L9" s="302"/>
      <c r="M9" s="303"/>
      <c r="N9" s="299"/>
      <c r="O9" s="302"/>
      <c r="P9" s="302"/>
      <c r="Q9" s="302"/>
      <c r="R9" s="303"/>
      <c r="S9" s="302"/>
      <c r="T9" s="302"/>
      <c r="U9" s="316" t="s">
        <v>497</v>
      </c>
    </row>
    <row r="10" spans="1:21" s="312" customFormat="1" ht="15.75" customHeight="1">
      <c r="A10" s="299">
        <v>7</v>
      </c>
      <c r="B10" s="322"/>
      <c r="C10" s="328">
        <v>45806</v>
      </c>
      <c r="D10" s="299"/>
      <c r="E10" s="368">
        <v>70</v>
      </c>
      <c r="F10" s="317"/>
      <c r="G10" s="317"/>
      <c r="H10" s="304"/>
      <c r="I10" s="299"/>
      <c r="J10" s="302"/>
      <c r="K10" s="302"/>
      <c r="L10" s="302"/>
      <c r="M10" s="303"/>
      <c r="N10" s="299"/>
      <c r="O10" s="302"/>
      <c r="P10" s="302"/>
      <c r="Q10" s="302"/>
      <c r="R10" s="303"/>
      <c r="S10" s="302"/>
      <c r="T10" s="302"/>
      <c r="U10" s="316" t="s">
        <v>599</v>
      </c>
    </row>
    <row r="11" spans="1:21" s="311" customFormat="1" ht="15.75" customHeight="1">
      <c r="A11" s="299">
        <v>8</v>
      </c>
      <c r="B11" s="322"/>
      <c r="C11" s="328">
        <v>45807</v>
      </c>
      <c r="D11" s="299"/>
      <c r="E11" s="368">
        <v>329</v>
      </c>
      <c r="F11" s="317"/>
      <c r="G11" s="317"/>
      <c r="H11" s="304"/>
      <c r="I11" s="299"/>
      <c r="J11" s="307"/>
      <c r="K11" s="307"/>
      <c r="L11" s="307"/>
      <c r="M11" s="303"/>
      <c r="N11" s="299"/>
      <c r="O11" s="307"/>
      <c r="P11" s="307"/>
      <c r="Q11" s="307"/>
      <c r="R11" s="303"/>
      <c r="S11" s="302"/>
      <c r="T11" s="302"/>
      <c r="U11" s="316" t="s">
        <v>599</v>
      </c>
    </row>
    <row r="12" spans="1:21" s="311" customFormat="1" ht="15.75" customHeight="1">
      <c r="A12" s="299">
        <v>9</v>
      </c>
      <c r="B12" s="322"/>
      <c r="C12" s="328">
        <v>45808</v>
      </c>
      <c r="D12" s="299"/>
      <c r="E12" s="368">
        <f>357+7</f>
        <v>364</v>
      </c>
      <c r="F12" s="317"/>
      <c r="G12" s="317"/>
      <c r="H12" s="304"/>
      <c r="I12" s="299"/>
      <c r="J12" s="302"/>
      <c r="K12" s="302"/>
      <c r="L12" s="302"/>
      <c r="M12" s="303"/>
      <c r="N12" s="299"/>
      <c r="O12" s="302"/>
      <c r="P12" s="302"/>
      <c r="Q12" s="302"/>
      <c r="R12" s="303"/>
      <c r="S12" s="302"/>
      <c r="T12" s="302"/>
      <c r="U12" s="316" t="s">
        <v>599</v>
      </c>
    </row>
    <row r="13" spans="1:21" s="311" customFormat="1" ht="15.75" customHeight="1">
      <c r="A13" s="299">
        <v>10</v>
      </c>
      <c r="B13" s="322">
        <v>45809</v>
      </c>
      <c r="C13" s="328">
        <v>45818</v>
      </c>
      <c r="D13" s="299"/>
      <c r="E13" s="368">
        <v>147</v>
      </c>
      <c r="F13" s="317"/>
      <c r="G13" s="317"/>
      <c r="H13" s="304"/>
      <c r="I13" s="299"/>
      <c r="J13" s="302"/>
      <c r="K13" s="302"/>
      <c r="L13" s="302"/>
      <c r="M13" s="303"/>
      <c r="N13" s="299"/>
      <c r="O13" s="302"/>
      <c r="P13" s="302"/>
      <c r="Q13" s="302"/>
      <c r="R13" s="303"/>
      <c r="S13" s="302"/>
      <c r="T13" s="302"/>
      <c r="U13" s="316" t="s">
        <v>598</v>
      </c>
    </row>
    <row r="14" spans="1:21" s="311" customFormat="1" ht="15.75" customHeight="1">
      <c r="A14" s="299">
        <v>11</v>
      </c>
      <c r="B14" s="322"/>
      <c r="C14" s="328">
        <v>45819</v>
      </c>
      <c r="D14" s="299"/>
      <c r="E14" s="368">
        <v>2</v>
      </c>
      <c r="F14" s="317"/>
      <c r="G14" s="317"/>
      <c r="H14" s="304"/>
      <c r="I14" s="299"/>
      <c r="J14" s="302"/>
      <c r="K14" s="302"/>
      <c r="L14" s="302"/>
      <c r="M14" s="303"/>
      <c r="N14" s="299"/>
      <c r="O14" s="302"/>
      <c r="P14" s="302"/>
      <c r="Q14" s="302"/>
      <c r="R14" s="303"/>
      <c r="S14" s="302"/>
      <c r="T14" s="302"/>
      <c r="U14" s="316" t="s">
        <v>598</v>
      </c>
    </row>
    <row r="15" spans="1:21" s="311" customFormat="1" ht="15.75" customHeight="1">
      <c r="A15" s="299">
        <v>12</v>
      </c>
      <c r="B15" s="322"/>
      <c r="C15" s="328">
        <v>45820</v>
      </c>
      <c r="D15" s="299"/>
      <c r="E15" s="368">
        <v>154</v>
      </c>
      <c r="F15" s="317"/>
      <c r="G15" s="317"/>
      <c r="H15" s="304"/>
      <c r="I15" s="299"/>
      <c r="J15" s="302"/>
      <c r="K15" s="302"/>
      <c r="L15" s="302"/>
      <c r="M15" s="303"/>
      <c r="N15" s="299"/>
      <c r="O15" s="302"/>
      <c r="P15" s="302"/>
      <c r="Q15" s="302"/>
      <c r="R15" s="303"/>
      <c r="S15" s="302"/>
      <c r="T15" s="302"/>
      <c r="U15" s="316" t="s">
        <v>598</v>
      </c>
    </row>
    <row r="16" spans="1:21" s="311" customFormat="1" ht="15.75" customHeight="1">
      <c r="A16" s="299">
        <v>13</v>
      </c>
      <c r="B16" s="322"/>
      <c r="C16" s="328">
        <v>45821</v>
      </c>
      <c r="D16" s="299"/>
      <c r="E16" s="368">
        <v>431</v>
      </c>
      <c r="F16" s="317"/>
      <c r="G16" s="317"/>
      <c r="H16" s="304"/>
      <c r="I16" s="299"/>
      <c r="J16" s="302"/>
      <c r="K16" s="302"/>
      <c r="L16" s="302"/>
      <c r="M16" s="303"/>
      <c r="N16" s="299"/>
      <c r="O16" s="302"/>
      <c r="P16" s="302"/>
      <c r="Q16" s="302"/>
      <c r="R16" s="303"/>
      <c r="S16" s="302"/>
      <c r="T16" s="302"/>
      <c r="U16" s="316" t="s">
        <v>598</v>
      </c>
    </row>
    <row r="17" spans="1:21" s="311" customFormat="1" ht="15.75" customHeight="1">
      <c r="A17" s="299">
        <v>14</v>
      </c>
      <c r="B17" s="322"/>
      <c r="C17" s="328">
        <v>45822</v>
      </c>
      <c r="D17" s="299"/>
      <c r="E17" s="368">
        <v>73</v>
      </c>
      <c r="F17" s="317"/>
      <c r="G17" s="317"/>
      <c r="H17" s="304"/>
      <c r="I17" s="299"/>
      <c r="J17" s="302"/>
      <c r="K17" s="302"/>
      <c r="L17" s="302"/>
      <c r="M17" s="303"/>
      <c r="N17" s="299"/>
      <c r="O17" s="302"/>
      <c r="P17" s="302"/>
      <c r="Q17" s="302"/>
      <c r="R17" s="303"/>
      <c r="S17" s="302"/>
      <c r="T17" s="302"/>
      <c r="U17" s="316" t="s">
        <v>598</v>
      </c>
    </row>
    <row r="18" spans="1:21" s="312" customFormat="1" ht="15.75" customHeight="1">
      <c r="A18" s="299">
        <v>15</v>
      </c>
      <c r="B18" s="547"/>
      <c r="C18" s="548">
        <v>45830</v>
      </c>
      <c r="D18" s="299"/>
      <c r="E18" s="549"/>
      <c r="F18" s="368"/>
      <c r="G18" s="550">
        <v>3</v>
      </c>
      <c r="H18" s="550"/>
      <c r="I18" s="299"/>
      <c r="J18" s="302"/>
      <c r="K18" s="302"/>
      <c r="L18" s="302"/>
      <c r="M18" s="303"/>
      <c r="N18" s="299"/>
      <c r="O18" s="302"/>
      <c r="P18" s="302"/>
      <c r="Q18" s="302"/>
      <c r="R18" s="303"/>
      <c r="S18" s="302"/>
      <c r="T18" s="302"/>
      <c r="U18" s="316" t="s">
        <v>656</v>
      </c>
    </row>
    <row r="19" spans="1:21" s="312" customFormat="1" ht="15.75" customHeight="1">
      <c r="A19" s="299">
        <v>16</v>
      </c>
      <c r="B19" s="547"/>
      <c r="C19" s="551">
        <v>45831</v>
      </c>
      <c r="D19" s="299"/>
      <c r="E19" s="549"/>
      <c r="F19" s="368"/>
      <c r="G19" s="550">
        <v>4</v>
      </c>
      <c r="H19" s="550"/>
      <c r="I19" s="299"/>
      <c r="J19" s="302"/>
      <c r="K19" s="302"/>
      <c r="L19" s="302"/>
      <c r="M19" s="303"/>
      <c r="N19" s="299"/>
      <c r="O19" s="302"/>
      <c r="P19" s="302"/>
      <c r="Q19" s="302"/>
      <c r="R19" s="303"/>
      <c r="S19" s="302"/>
      <c r="T19" s="302"/>
      <c r="U19" s="316" t="s">
        <v>656</v>
      </c>
    </row>
    <row r="20" spans="1:21" s="312" customFormat="1" ht="15.75" customHeight="1">
      <c r="A20" s="299">
        <v>17</v>
      </c>
      <c r="B20" s="547"/>
      <c r="C20" s="551">
        <v>45832</v>
      </c>
      <c r="D20" s="299"/>
      <c r="E20" s="549"/>
      <c r="F20" s="368"/>
      <c r="G20" s="550">
        <v>5</v>
      </c>
      <c r="H20" s="550"/>
      <c r="I20" s="299"/>
      <c r="J20" s="302"/>
      <c r="K20" s="302"/>
      <c r="L20" s="302"/>
      <c r="M20" s="303"/>
      <c r="N20" s="299"/>
      <c r="O20" s="302"/>
      <c r="P20" s="302"/>
      <c r="Q20" s="302"/>
      <c r="R20" s="303"/>
      <c r="S20" s="302"/>
      <c r="T20" s="302"/>
      <c r="U20" s="316" t="s">
        <v>656</v>
      </c>
    </row>
    <row r="21" spans="1:21" s="312" customFormat="1" ht="15.75" customHeight="1">
      <c r="A21" s="299">
        <v>18</v>
      </c>
      <c r="B21" s="547"/>
      <c r="C21" s="551">
        <v>45833</v>
      </c>
      <c r="D21" s="299"/>
      <c r="E21" s="549"/>
      <c r="F21" s="368"/>
      <c r="G21" s="550">
        <v>5</v>
      </c>
      <c r="H21" s="550"/>
      <c r="I21" s="299"/>
      <c r="J21" s="302"/>
      <c r="K21" s="302"/>
      <c r="L21" s="302"/>
      <c r="M21" s="303"/>
      <c r="N21" s="299"/>
      <c r="O21" s="302"/>
      <c r="P21" s="302"/>
      <c r="Q21" s="302"/>
      <c r="R21" s="303"/>
      <c r="S21" s="302"/>
      <c r="T21" s="302"/>
      <c r="U21" s="316" t="s">
        <v>656</v>
      </c>
    </row>
    <row r="22" spans="1:21" s="312" customFormat="1" ht="15.75" customHeight="1">
      <c r="A22" s="299">
        <v>19</v>
      </c>
      <c r="B22" s="547"/>
      <c r="C22" s="551">
        <v>45834</v>
      </c>
      <c r="D22" s="299"/>
      <c r="E22" s="549"/>
      <c r="F22" s="368"/>
      <c r="G22" s="550">
        <v>6</v>
      </c>
      <c r="H22" s="550"/>
      <c r="I22" s="299"/>
      <c r="J22" s="302"/>
      <c r="K22" s="302"/>
      <c r="L22" s="302"/>
      <c r="M22" s="303"/>
      <c r="N22" s="299"/>
      <c r="O22" s="302"/>
      <c r="P22" s="302"/>
      <c r="Q22" s="302"/>
      <c r="R22" s="303"/>
      <c r="S22" s="302"/>
      <c r="T22" s="302"/>
      <c r="U22" s="316" t="s">
        <v>656</v>
      </c>
    </row>
    <row r="23" spans="1:21" s="312" customFormat="1" ht="15.75" customHeight="1">
      <c r="A23" s="299">
        <v>20</v>
      </c>
      <c r="B23" s="547"/>
      <c r="C23" s="551">
        <v>45835</v>
      </c>
      <c r="D23" s="299"/>
      <c r="E23" s="549"/>
      <c r="F23" s="368"/>
      <c r="G23" s="550">
        <v>4</v>
      </c>
      <c r="H23" s="550"/>
      <c r="I23" s="299"/>
      <c r="J23" s="302"/>
      <c r="K23" s="302"/>
      <c r="L23" s="302"/>
      <c r="M23" s="303"/>
      <c r="N23" s="299"/>
      <c r="O23" s="302"/>
      <c r="P23" s="302"/>
      <c r="Q23" s="302"/>
      <c r="R23" s="303"/>
      <c r="S23" s="302"/>
      <c r="T23" s="302"/>
      <c r="U23" s="316" t="s">
        <v>656</v>
      </c>
    </row>
    <row r="24" spans="1:21" s="312" customFormat="1" ht="15.75" customHeight="1">
      <c r="A24" s="299">
        <v>21</v>
      </c>
      <c r="B24" s="547"/>
      <c r="C24" s="551">
        <v>45837</v>
      </c>
      <c r="D24" s="299"/>
      <c r="E24" s="549"/>
      <c r="F24" s="368"/>
      <c r="G24" s="550">
        <v>3</v>
      </c>
      <c r="H24" s="550"/>
      <c r="I24" s="299"/>
      <c r="J24" s="302"/>
      <c r="K24" s="302"/>
      <c r="L24" s="302"/>
      <c r="M24" s="303"/>
      <c r="N24" s="299"/>
      <c r="O24" s="302"/>
      <c r="P24" s="302"/>
      <c r="Q24" s="302"/>
      <c r="R24" s="303"/>
      <c r="S24" s="302"/>
      <c r="T24" s="302"/>
      <c r="U24" s="316" t="s">
        <v>656</v>
      </c>
    </row>
    <row r="25" spans="1:21" s="312" customFormat="1" ht="15.75" customHeight="1">
      <c r="A25" s="299">
        <v>22</v>
      </c>
      <c r="B25" s="547">
        <v>45839</v>
      </c>
      <c r="C25" s="551">
        <v>45839</v>
      </c>
      <c r="D25" s="299"/>
      <c r="E25" s="552"/>
      <c r="F25" s="368"/>
      <c r="G25" s="553">
        <v>8</v>
      </c>
      <c r="H25" s="553"/>
      <c r="I25" s="299"/>
      <c r="J25" s="302"/>
      <c r="K25" s="302"/>
      <c r="L25" s="302"/>
      <c r="M25" s="303"/>
      <c r="N25" s="299"/>
      <c r="O25" s="302"/>
      <c r="P25" s="302"/>
      <c r="Q25" s="302"/>
      <c r="R25" s="303"/>
      <c r="S25" s="302"/>
      <c r="T25" s="302"/>
      <c r="U25" s="316" t="s">
        <v>656</v>
      </c>
    </row>
    <row r="26" spans="1:21" s="312" customFormat="1" ht="15.75" customHeight="1">
      <c r="A26" s="299">
        <v>23</v>
      </c>
      <c r="B26" s="547"/>
      <c r="C26" s="551">
        <v>45840</v>
      </c>
      <c r="D26" s="299"/>
      <c r="E26" s="552"/>
      <c r="F26" s="368"/>
      <c r="G26" s="553">
        <v>4.5</v>
      </c>
      <c r="H26" s="553"/>
      <c r="I26" s="299"/>
      <c r="J26" s="302"/>
      <c r="K26" s="302"/>
      <c r="L26" s="302"/>
      <c r="M26" s="303"/>
      <c r="N26" s="299"/>
      <c r="O26" s="302"/>
      <c r="P26" s="302"/>
      <c r="Q26" s="302"/>
      <c r="R26" s="303"/>
      <c r="S26" s="302"/>
      <c r="T26" s="302"/>
      <c r="U26" s="316" t="s">
        <v>656</v>
      </c>
    </row>
    <row r="27" spans="1:21" s="312" customFormat="1" ht="15.75" customHeight="1">
      <c r="A27" s="299">
        <v>24</v>
      </c>
      <c r="B27" s="547"/>
      <c r="C27" s="551">
        <v>45842</v>
      </c>
      <c r="D27" s="299"/>
      <c r="E27" s="552"/>
      <c r="F27" s="368"/>
      <c r="G27" s="553">
        <v>3.5</v>
      </c>
      <c r="H27" s="553"/>
      <c r="I27" s="299"/>
      <c r="J27" s="302"/>
      <c r="K27" s="302"/>
      <c r="L27" s="302"/>
      <c r="M27" s="303"/>
      <c r="N27" s="299"/>
      <c r="O27" s="302"/>
      <c r="P27" s="302"/>
      <c r="Q27" s="302"/>
      <c r="R27" s="303"/>
      <c r="S27" s="302"/>
      <c r="T27" s="302"/>
      <c r="U27" s="316" t="s">
        <v>656</v>
      </c>
    </row>
    <row r="28" spans="1:21" s="312" customFormat="1" ht="15.75" customHeight="1">
      <c r="A28" s="299">
        <v>25</v>
      </c>
      <c r="B28" s="547"/>
      <c r="C28" s="551">
        <v>45843</v>
      </c>
      <c r="D28" s="299"/>
      <c r="E28" s="552"/>
      <c r="F28" s="368"/>
      <c r="G28" s="553">
        <v>8</v>
      </c>
      <c r="H28" s="553"/>
      <c r="I28" s="299"/>
      <c r="J28" s="302"/>
      <c r="K28" s="302"/>
      <c r="L28" s="302"/>
      <c r="M28" s="303"/>
      <c r="N28" s="299"/>
      <c r="O28" s="302"/>
      <c r="P28" s="302"/>
      <c r="Q28" s="302"/>
      <c r="R28" s="303"/>
      <c r="S28" s="302"/>
      <c r="T28" s="302"/>
      <c r="U28" s="316" t="s">
        <v>656</v>
      </c>
    </row>
    <row r="29" spans="1:21" s="312" customFormat="1" ht="15.75" customHeight="1">
      <c r="A29" s="299">
        <v>26</v>
      </c>
      <c r="B29" s="547"/>
      <c r="C29" s="551">
        <v>45845</v>
      </c>
      <c r="D29" s="299"/>
      <c r="E29" s="552"/>
      <c r="F29" s="368"/>
      <c r="G29" s="553">
        <v>3</v>
      </c>
      <c r="H29" s="553"/>
      <c r="I29" s="299"/>
      <c r="J29" s="302"/>
      <c r="K29" s="302"/>
      <c r="L29" s="302"/>
      <c r="M29" s="303"/>
      <c r="N29" s="299"/>
      <c r="O29" s="302"/>
      <c r="P29" s="302"/>
      <c r="Q29" s="302"/>
      <c r="R29" s="303"/>
      <c r="S29" s="302"/>
      <c r="T29" s="302"/>
      <c r="U29" s="316" t="s">
        <v>656</v>
      </c>
    </row>
    <row r="30" spans="1:21" s="312" customFormat="1" ht="15.75" customHeight="1">
      <c r="A30" s="299">
        <v>27</v>
      </c>
      <c r="B30" s="547"/>
      <c r="C30" s="551">
        <v>45846</v>
      </c>
      <c r="D30" s="299"/>
      <c r="E30" s="552"/>
      <c r="F30" s="368"/>
      <c r="G30" s="553">
        <v>4</v>
      </c>
      <c r="H30" s="553"/>
      <c r="I30" s="299"/>
      <c r="J30" s="302"/>
      <c r="K30" s="302"/>
      <c r="L30" s="302"/>
      <c r="M30" s="303"/>
      <c r="N30" s="299"/>
      <c r="O30" s="302"/>
      <c r="P30" s="302"/>
      <c r="Q30" s="302"/>
      <c r="R30" s="303"/>
      <c r="S30" s="302"/>
      <c r="T30" s="302"/>
      <c r="U30" s="316" t="s">
        <v>656</v>
      </c>
    </row>
    <row r="31" spans="1:21" s="312" customFormat="1" ht="47.25" customHeight="1">
      <c r="A31" s="299">
        <v>28</v>
      </c>
      <c r="B31" s="547"/>
      <c r="C31" s="551">
        <v>45846</v>
      </c>
      <c r="D31" s="299"/>
      <c r="E31" s="552">
        <v>14</v>
      </c>
      <c r="F31" s="368"/>
      <c r="G31" s="368"/>
      <c r="H31" s="553"/>
      <c r="I31" s="299"/>
      <c r="J31" s="302"/>
      <c r="K31" s="302"/>
      <c r="L31" s="302"/>
      <c r="M31" s="303"/>
      <c r="N31" s="299"/>
      <c r="O31" s="302"/>
      <c r="P31" s="302"/>
      <c r="Q31" s="302"/>
      <c r="R31" s="303"/>
      <c r="S31" s="302"/>
      <c r="T31" s="302"/>
      <c r="U31" s="554" t="s">
        <v>655</v>
      </c>
    </row>
    <row r="32" spans="1:21" s="312" customFormat="1" ht="15.75" customHeight="1">
      <c r="A32" s="299">
        <v>29</v>
      </c>
      <c r="B32" s="547"/>
      <c r="C32" s="551">
        <v>45847</v>
      </c>
      <c r="D32" s="299"/>
      <c r="E32" s="552"/>
      <c r="F32" s="368"/>
      <c r="G32" s="553">
        <v>3.5</v>
      </c>
      <c r="H32" s="553"/>
      <c r="I32" s="299"/>
      <c r="J32" s="302"/>
      <c r="K32" s="302"/>
      <c r="L32" s="302"/>
      <c r="M32" s="303"/>
      <c r="N32" s="299"/>
      <c r="O32" s="302"/>
      <c r="P32" s="302"/>
      <c r="Q32" s="302"/>
      <c r="R32" s="303"/>
      <c r="S32" s="302"/>
      <c r="T32" s="302"/>
      <c r="U32" s="316" t="s">
        <v>656</v>
      </c>
    </row>
    <row r="33" spans="1:21" s="312" customFormat="1" ht="15.75" customHeight="1">
      <c r="A33" s="299">
        <v>30</v>
      </c>
      <c r="B33" s="547"/>
      <c r="C33" s="551">
        <v>45848</v>
      </c>
      <c r="D33" s="299"/>
      <c r="E33" s="368"/>
      <c r="F33" s="368"/>
      <c r="G33" s="553">
        <v>3.5</v>
      </c>
      <c r="H33" s="553"/>
      <c r="I33" s="299"/>
      <c r="J33" s="302"/>
      <c r="K33" s="302"/>
      <c r="L33" s="302"/>
      <c r="M33" s="303"/>
      <c r="N33" s="299"/>
      <c r="O33" s="302"/>
      <c r="P33" s="302"/>
      <c r="Q33" s="302"/>
      <c r="R33" s="303"/>
      <c r="S33" s="302"/>
      <c r="T33" s="302"/>
      <c r="U33" s="316" t="s">
        <v>656</v>
      </c>
    </row>
    <row r="34" spans="1:21" s="311" customFormat="1" ht="15.75" customHeight="1">
      <c r="A34" s="299">
        <v>31</v>
      </c>
      <c r="B34" s="322">
        <v>45901</v>
      </c>
      <c r="C34" s="551">
        <v>45925</v>
      </c>
      <c r="D34" s="299"/>
      <c r="E34" s="368"/>
      <c r="F34" s="368"/>
      <c r="G34" s="553">
        <v>3</v>
      </c>
      <c r="H34" s="553"/>
      <c r="I34" s="299"/>
      <c r="J34" s="302"/>
      <c r="K34" s="302"/>
      <c r="L34" s="302"/>
      <c r="M34" s="303"/>
      <c r="N34" s="299"/>
      <c r="O34" s="302"/>
      <c r="P34" s="302"/>
      <c r="Q34" s="302"/>
      <c r="R34" s="303"/>
      <c r="S34" s="302"/>
      <c r="T34" s="302"/>
      <c r="U34" s="316" t="s">
        <v>894</v>
      </c>
    </row>
    <row r="35" spans="1:21" s="311" customFormat="1" ht="15.75" customHeight="1">
      <c r="A35" s="299">
        <v>32</v>
      </c>
      <c r="B35" s="322"/>
      <c r="C35" s="551">
        <v>45925</v>
      </c>
      <c r="D35" s="299"/>
      <c r="E35" s="368">
        <v>4</v>
      </c>
      <c r="F35" s="368"/>
      <c r="G35" s="553"/>
      <c r="H35" s="553"/>
      <c r="I35" s="299"/>
      <c r="J35" s="302"/>
      <c r="K35" s="302"/>
      <c r="L35" s="302"/>
      <c r="M35" s="303"/>
      <c r="N35" s="299"/>
      <c r="O35" s="302"/>
      <c r="P35" s="302"/>
      <c r="Q35" s="302"/>
      <c r="R35" s="303"/>
      <c r="S35" s="302"/>
      <c r="T35" s="302"/>
      <c r="U35" s="316" t="s">
        <v>895</v>
      </c>
    </row>
    <row r="36" spans="1:21" s="311" customFormat="1" ht="15.75" customHeight="1">
      <c r="A36" s="299">
        <v>33</v>
      </c>
      <c r="B36" s="322"/>
      <c r="C36" s="551">
        <v>45925</v>
      </c>
      <c r="D36" s="299"/>
      <c r="E36" s="368">
        <v>4.5</v>
      </c>
      <c r="F36" s="368"/>
      <c r="G36" s="553"/>
      <c r="H36" s="553"/>
      <c r="I36" s="299"/>
      <c r="J36" s="302"/>
      <c r="K36" s="302"/>
      <c r="L36" s="302"/>
      <c r="M36" s="303"/>
      <c r="N36" s="299"/>
      <c r="O36" s="302"/>
      <c r="P36" s="302"/>
      <c r="Q36" s="302"/>
      <c r="R36" s="303"/>
      <c r="S36" s="302"/>
      <c r="T36" s="302"/>
      <c r="U36" s="316" t="s">
        <v>895</v>
      </c>
    </row>
    <row r="37" spans="1:21" s="311" customFormat="1" ht="15.75" customHeight="1">
      <c r="A37" s="299">
        <v>34</v>
      </c>
      <c r="B37" s="322">
        <v>45931</v>
      </c>
      <c r="C37" s="551">
        <v>45931</v>
      </c>
      <c r="D37" s="299"/>
      <c r="E37" s="368"/>
      <c r="F37" s="368"/>
      <c r="G37" s="553">
        <v>3</v>
      </c>
      <c r="H37" s="553"/>
      <c r="I37" s="299"/>
      <c r="J37" s="302"/>
      <c r="K37" s="302"/>
      <c r="L37" s="302"/>
      <c r="M37" s="303"/>
      <c r="N37" s="299"/>
      <c r="O37" s="302"/>
      <c r="P37" s="302"/>
      <c r="Q37" s="302"/>
      <c r="R37" s="303"/>
      <c r="S37" s="302"/>
      <c r="T37" s="302"/>
      <c r="U37" s="316" t="s">
        <v>894</v>
      </c>
    </row>
    <row r="38" spans="1:21" s="311" customFormat="1" ht="15.75" customHeight="1">
      <c r="A38" s="299">
        <v>35</v>
      </c>
      <c r="B38" s="322"/>
      <c r="C38" s="551">
        <v>45931</v>
      </c>
      <c r="D38" s="299"/>
      <c r="E38" s="368">
        <v>4</v>
      </c>
      <c r="F38" s="368"/>
      <c r="G38" s="553"/>
      <c r="H38" s="553"/>
      <c r="I38" s="299"/>
      <c r="J38" s="302"/>
      <c r="K38" s="302"/>
      <c r="L38" s="302"/>
      <c r="M38" s="303"/>
      <c r="N38" s="299"/>
      <c r="O38" s="302"/>
      <c r="P38" s="302"/>
      <c r="Q38" s="302"/>
      <c r="R38" s="303"/>
      <c r="S38" s="302"/>
      <c r="T38" s="302"/>
      <c r="U38" s="316" t="s">
        <v>895</v>
      </c>
    </row>
    <row r="39" spans="1:21" s="311" customFormat="1" ht="15.75" customHeight="1">
      <c r="A39" s="299">
        <v>36</v>
      </c>
      <c r="B39" s="322"/>
      <c r="C39" s="551">
        <v>45931</v>
      </c>
      <c r="D39" s="299"/>
      <c r="E39" s="368">
        <v>3.5</v>
      </c>
      <c r="F39" s="368"/>
      <c r="G39" s="553"/>
      <c r="H39" s="553"/>
      <c r="I39" s="299"/>
      <c r="J39" s="302"/>
      <c r="K39" s="302"/>
      <c r="L39" s="302"/>
      <c r="M39" s="303"/>
      <c r="N39" s="299"/>
      <c r="O39" s="302"/>
      <c r="P39" s="302"/>
      <c r="Q39" s="302"/>
      <c r="R39" s="303"/>
      <c r="S39" s="302"/>
      <c r="T39" s="302"/>
      <c r="U39" s="316" t="s">
        <v>895</v>
      </c>
    </row>
    <row r="40" spans="1:21" s="311" customFormat="1" ht="15.75" customHeight="1">
      <c r="A40" s="299">
        <v>37</v>
      </c>
      <c r="B40" s="322"/>
      <c r="C40" s="551">
        <v>45937</v>
      </c>
      <c r="D40" s="299"/>
      <c r="E40" s="368"/>
      <c r="F40" s="368"/>
      <c r="G40" s="553">
        <v>3</v>
      </c>
      <c r="H40" s="553"/>
      <c r="I40" s="299"/>
      <c r="J40" s="302"/>
      <c r="K40" s="302"/>
      <c r="L40" s="302"/>
      <c r="M40" s="303"/>
      <c r="N40" s="299"/>
      <c r="O40" s="302"/>
      <c r="P40" s="302"/>
      <c r="Q40" s="302"/>
      <c r="R40" s="303"/>
      <c r="S40" s="302"/>
      <c r="T40" s="302"/>
      <c r="U40" s="316" t="s">
        <v>894</v>
      </c>
    </row>
    <row r="41" spans="1:21" s="311" customFormat="1" ht="15.75" customHeight="1">
      <c r="A41" s="299">
        <v>38</v>
      </c>
      <c r="B41" s="322"/>
      <c r="C41" s="551">
        <v>45939</v>
      </c>
      <c r="D41" s="299"/>
      <c r="E41" s="368">
        <v>4</v>
      </c>
      <c r="F41" s="368"/>
      <c r="G41" s="553"/>
      <c r="H41" s="553"/>
      <c r="I41" s="299"/>
      <c r="J41" s="302"/>
      <c r="K41" s="302"/>
      <c r="L41" s="302"/>
      <c r="M41" s="303"/>
      <c r="N41" s="299"/>
      <c r="O41" s="302"/>
      <c r="P41" s="302"/>
      <c r="Q41" s="302"/>
      <c r="R41" s="303"/>
      <c r="S41" s="302"/>
      <c r="T41" s="302"/>
      <c r="U41" s="316" t="s">
        <v>895</v>
      </c>
    </row>
    <row r="42" spans="1:21" s="311" customFormat="1" ht="15.75" customHeight="1">
      <c r="A42" s="299">
        <v>39</v>
      </c>
      <c r="B42" s="322"/>
      <c r="C42" s="551">
        <v>45939</v>
      </c>
      <c r="D42" s="299"/>
      <c r="E42" s="368"/>
      <c r="F42" s="368"/>
      <c r="G42" s="553">
        <v>2</v>
      </c>
      <c r="H42" s="553"/>
      <c r="I42" s="299"/>
      <c r="J42" s="302"/>
      <c r="K42" s="302"/>
      <c r="L42" s="302"/>
      <c r="M42" s="303"/>
      <c r="N42" s="299"/>
      <c r="O42" s="302"/>
      <c r="P42" s="302"/>
      <c r="Q42" s="302"/>
      <c r="R42" s="303"/>
      <c r="S42" s="302"/>
      <c r="T42" s="302"/>
      <c r="U42" s="316" t="s">
        <v>894</v>
      </c>
    </row>
    <row r="43" spans="1:21" s="311" customFormat="1" ht="15.75" customHeight="1">
      <c r="A43" s="299">
        <v>40</v>
      </c>
      <c r="B43" s="322"/>
      <c r="C43" s="551">
        <v>45939</v>
      </c>
      <c r="D43" s="299"/>
      <c r="E43" s="368">
        <v>3</v>
      </c>
      <c r="F43" s="368"/>
      <c r="G43" s="553"/>
      <c r="H43" s="553"/>
      <c r="I43" s="299"/>
      <c r="J43" s="302"/>
      <c r="K43" s="302"/>
      <c r="L43" s="302"/>
      <c r="M43" s="303"/>
      <c r="N43" s="299"/>
      <c r="O43" s="302"/>
      <c r="P43" s="302"/>
      <c r="Q43" s="302"/>
      <c r="R43" s="303"/>
      <c r="S43" s="302"/>
      <c r="T43" s="302"/>
      <c r="U43" s="316" t="s">
        <v>895</v>
      </c>
    </row>
    <row r="44" spans="1:21" s="311" customFormat="1" ht="15.75" customHeight="1">
      <c r="A44" s="299">
        <v>41</v>
      </c>
      <c r="B44" s="322"/>
      <c r="C44" s="551">
        <v>45940</v>
      </c>
      <c r="D44" s="299"/>
      <c r="E44" s="368">
        <v>2</v>
      </c>
      <c r="F44" s="368"/>
      <c r="G44" s="553"/>
      <c r="H44" s="553"/>
      <c r="I44" s="299"/>
      <c r="J44" s="302"/>
      <c r="K44" s="302"/>
      <c r="L44" s="302"/>
      <c r="M44" s="303"/>
      <c r="N44" s="299"/>
      <c r="O44" s="302"/>
      <c r="P44" s="302"/>
      <c r="Q44" s="302"/>
      <c r="R44" s="303"/>
      <c r="S44" s="302"/>
      <c r="T44" s="302"/>
      <c r="U44" s="316" t="s">
        <v>895</v>
      </c>
    </row>
    <row r="45" spans="1:21" s="311" customFormat="1" ht="15.75" customHeight="1">
      <c r="A45" s="299">
        <v>42</v>
      </c>
      <c r="B45" s="322"/>
      <c r="C45" s="551">
        <v>45959</v>
      </c>
      <c r="D45" s="299"/>
      <c r="E45" s="368"/>
      <c r="F45" s="368"/>
      <c r="G45" s="553">
        <v>3</v>
      </c>
      <c r="H45" s="553"/>
      <c r="I45" s="299"/>
      <c r="J45" s="302"/>
      <c r="K45" s="302"/>
      <c r="L45" s="302"/>
      <c r="M45" s="303"/>
      <c r="N45" s="299"/>
      <c r="O45" s="302"/>
      <c r="P45" s="302"/>
      <c r="Q45" s="302"/>
      <c r="R45" s="303"/>
      <c r="S45" s="302"/>
      <c r="T45" s="302"/>
      <c r="U45" s="316" t="s">
        <v>894</v>
      </c>
    </row>
    <row r="46" spans="1:21" s="311" customFormat="1" ht="15.75" customHeight="1">
      <c r="A46" s="299">
        <v>43</v>
      </c>
      <c r="B46" s="322"/>
      <c r="C46" s="551">
        <v>45960</v>
      </c>
      <c r="D46" s="299"/>
      <c r="E46" s="368">
        <v>4</v>
      </c>
      <c r="F46" s="368"/>
      <c r="G46" s="553"/>
      <c r="H46" s="553"/>
      <c r="I46" s="299"/>
      <c r="J46" s="302"/>
      <c r="K46" s="302"/>
      <c r="L46" s="302"/>
      <c r="M46" s="303"/>
      <c r="N46" s="299"/>
      <c r="O46" s="302"/>
      <c r="P46" s="302"/>
      <c r="Q46" s="302"/>
      <c r="R46" s="303"/>
      <c r="S46" s="302"/>
      <c r="T46" s="302"/>
      <c r="U46" s="316" t="s">
        <v>895</v>
      </c>
    </row>
    <row r="47" spans="1:21" s="311" customFormat="1" ht="15.75" customHeight="1">
      <c r="A47" s="299">
        <v>44</v>
      </c>
      <c r="B47" s="322"/>
      <c r="C47" s="551">
        <v>45960</v>
      </c>
      <c r="D47" s="299"/>
      <c r="E47" s="368">
        <v>3.5</v>
      </c>
      <c r="F47" s="368"/>
      <c r="G47" s="553"/>
      <c r="H47" s="553"/>
      <c r="I47" s="299"/>
      <c r="J47" s="302"/>
      <c r="K47" s="302"/>
      <c r="L47" s="302"/>
      <c r="M47" s="303"/>
      <c r="N47" s="299"/>
      <c r="O47" s="302"/>
      <c r="P47" s="302"/>
      <c r="Q47" s="302"/>
      <c r="R47" s="303"/>
      <c r="S47" s="302"/>
      <c r="T47" s="302"/>
      <c r="U47" s="316"/>
    </row>
    <row r="48" spans="1:21" s="311" customFormat="1" ht="15.75" customHeight="1">
      <c r="A48" s="299">
        <v>45</v>
      </c>
      <c r="B48" s="322">
        <v>45962</v>
      </c>
      <c r="C48" s="551">
        <v>45972</v>
      </c>
      <c r="D48" s="299"/>
      <c r="E48" s="624"/>
      <c r="F48" s="368"/>
      <c r="G48" s="553"/>
      <c r="H48" s="553">
        <v>2.5</v>
      </c>
      <c r="I48" s="299"/>
      <c r="J48" s="302"/>
      <c r="K48" s="302"/>
      <c r="L48" s="302"/>
      <c r="M48" s="303"/>
      <c r="N48" s="299"/>
      <c r="O48" s="302"/>
      <c r="P48" s="302"/>
      <c r="Q48" s="302"/>
      <c r="R48" s="303"/>
      <c r="S48" s="302"/>
      <c r="T48" s="302"/>
      <c r="U48" s="316" t="s">
        <v>897</v>
      </c>
    </row>
    <row r="49" spans="1:21" s="311" customFormat="1" ht="15.75" customHeight="1">
      <c r="A49" s="299">
        <v>46</v>
      </c>
      <c r="B49" s="322"/>
      <c r="C49" s="551">
        <v>45978</v>
      </c>
      <c r="D49" s="299"/>
      <c r="E49" s="368">
        <v>4</v>
      </c>
      <c r="F49" s="368"/>
      <c r="G49" s="553"/>
      <c r="H49" s="553"/>
      <c r="I49" s="299"/>
      <c r="J49" s="302"/>
      <c r="K49" s="302"/>
      <c r="L49" s="302"/>
      <c r="M49" s="303"/>
      <c r="N49" s="299"/>
      <c r="O49" s="302"/>
      <c r="P49" s="302"/>
      <c r="Q49" s="302"/>
      <c r="R49" s="303"/>
      <c r="S49" s="302"/>
      <c r="T49" s="302"/>
      <c r="U49" s="316" t="s">
        <v>895</v>
      </c>
    </row>
    <row r="50" spans="1:21" s="311" customFormat="1" ht="15.75" customHeight="1">
      <c r="A50" s="299">
        <v>47</v>
      </c>
      <c r="B50" s="322"/>
      <c r="C50" s="551">
        <v>45978</v>
      </c>
      <c r="D50" s="299"/>
      <c r="E50" s="368"/>
      <c r="F50" s="368"/>
      <c r="G50" s="553"/>
      <c r="H50" s="553">
        <v>3.5</v>
      </c>
      <c r="I50" s="299"/>
      <c r="J50" s="302"/>
      <c r="K50" s="302"/>
      <c r="L50" s="302"/>
      <c r="M50" s="303"/>
      <c r="N50" s="299"/>
      <c r="O50" s="302"/>
      <c r="P50" s="302"/>
      <c r="Q50" s="302"/>
      <c r="R50" s="303"/>
      <c r="S50" s="302"/>
      <c r="T50" s="302"/>
      <c r="U50" s="316" t="s">
        <v>897</v>
      </c>
    </row>
    <row r="51" spans="1:21" s="311" customFormat="1" ht="15.75" customHeight="1">
      <c r="A51" s="299">
        <v>48</v>
      </c>
      <c r="B51" s="322"/>
      <c r="C51" s="551">
        <v>45979</v>
      </c>
      <c r="D51" s="299"/>
      <c r="E51" s="368"/>
      <c r="F51" s="368"/>
      <c r="G51" s="553"/>
      <c r="H51" s="553">
        <v>4.5</v>
      </c>
      <c r="I51" s="299"/>
      <c r="J51" s="302"/>
      <c r="K51" s="302"/>
      <c r="L51" s="302"/>
      <c r="M51" s="303"/>
      <c r="N51" s="299"/>
      <c r="O51" s="302"/>
      <c r="P51" s="302"/>
      <c r="Q51" s="302"/>
      <c r="R51" s="303"/>
      <c r="S51" s="302"/>
      <c r="T51" s="302"/>
      <c r="U51" s="316" t="s">
        <v>897</v>
      </c>
    </row>
    <row r="52" spans="1:21" s="311" customFormat="1" ht="15.75" customHeight="1">
      <c r="A52" s="299">
        <v>49</v>
      </c>
      <c r="B52" s="322"/>
      <c r="C52" s="551">
        <v>45980</v>
      </c>
      <c r="D52" s="299"/>
      <c r="E52" s="368">
        <v>3</v>
      </c>
      <c r="F52" s="368"/>
      <c r="G52" s="553"/>
      <c r="H52" s="553"/>
      <c r="I52" s="299"/>
      <c r="J52" s="302"/>
      <c r="K52" s="302"/>
      <c r="L52" s="302"/>
      <c r="M52" s="303"/>
      <c r="N52" s="299"/>
      <c r="O52" s="302"/>
      <c r="P52" s="302"/>
      <c r="Q52" s="302"/>
      <c r="R52" s="303"/>
      <c r="S52" s="302"/>
      <c r="T52" s="302"/>
      <c r="U52" s="316" t="s">
        <v>895</v>
      </c>
    </row>
    <row r="53" spans="1:21" s="311" customFormat="1" ht="15.75" customHeight="1">
      <c r="A53" s="299">
        <v>50</v>
      </c>
      <c r="B53" s="322"/>
      <c r="C53" s="551">
        <v>45980</v>
      </c>
      <c r="D53" s="299"/>
      <c r="E53" s="368"/>
      <c r="F53" s="368"/>
      <c r="G53" s="553"/>
      <c r="H53" s="553">
        <v>3.5</v>
      </c>
      <c r="I53" s="299"/>
      <c r="J53" s="302"/>
      <c r="K53" s="302"/>
      <c r="L53" s="302"/>
      <c r="M53" s="303"/>
      <c r="N53" s="299"/>
      <c r="O53" s="302"/>
      <c r="P53" s="302"/>
      <c r="Q53" s="302"/>
      <c r="R53" s="303"/>
      <c r="S53" s="302"/>
      <c r="T53" s="302"/>
      <c r="U53" s="316" t="s">
        <v>897</v>
      </c>
    </row>
    <row r="54" spans="1:21" s="311" customFormat="1" ht="15.75" customHeight="1">
      <c r="A54" s="299">
        <v>51</v>
      </c>
      <c r="B54" s="322"/>
      <c r="C54" s="551">
        <v>45981</v>
      </c>
      <c r="D54" s="299"/>
      <c r="E54" s="368"/>
      <c r="F54" s="368"/>
      <c r="G54" s="553"/>
      <c r="H54" s="553">
        <v>3.5</v>
      </c>
      <c r="I54" s="299"/>
      <c r="J54" s="302"/>
      <c r="K54" s="302"/>
      <c r="L54" s="302"/>
      <c r="M54" s="303"/>
      <c r="N54" s="299"/>
      <c r="O54" s="302"/>
      <c r="P54" s="302"/>
      <c r="Q54" s="302"/>
      <c r="R54" s="303"/>
      <c r="S54" s="302"/>
      <c r="T54" s="302"/>
      <c r="U54" s="316" t="s">
        <v>897</v>
      </c>
    </row>
    <row r="55" spans="1:21" s="311" customFormat="1" ht="15.75" customHeight="1">
      <c r="A55" s="299">
        <v>52</v>
      </c>
      <c r="B55" s="322"/>
      <c r="C55" s="551">
        <v>45985</v>
      </c>
      <c r="D55" s="299"/>
      <c r="E55" s="368"/>
      <c r="F55" s="368"/>
      <c r="G55" s="553"/>
      <c r="H55" s="553"/>
      <c r="I55" s="299"/>
      <c r="J55" s="302">
        <v>0.57999999999999996</v>
      </c>
      <c r="K55" s="302"/>
      <c r="L55" s="302"/>
      <c r="M55" s="303"/>
      <c r="N55" s="299"/>
      <c r="O55" s="302"/>
      <c r="P55" s="302"/>
      <c r="Q55" s="302"/>
      <c r="R55" s="303"/>
      <c r="S55" s="302"/>
      <c r="T55" s="302"/>
      <c r="U55" s="316" t="s">
        <v>895</v>
      </c>
    </row>
    <row r="56" spans="1:21" s="311" customFormat="1" ht="15.75" customHeight="1">
      <c r="A56" s="299">
        <v>53</v>
      </c>
      <c r="B56" s="322"/>
      <c r="C56" s="551">
        <v>45989</v>
      </c>
      <c r="D56" s="299"/>
      <c r="E56" s="368"/>
      <c r="F56" s="368"/>
      <c r="G56" s="553"/>
      <c r="H56" s="553">
        <v>3</v>
      </c>
      <c r="I56" s="299"/>
      <c r="J56" s="302"/>
      <c r="K56" s="302"/>
      <c r="L56" s="302"/>
      <c r="M56" s="303"/>
      <c r="N56" s="299"/>
      <c r="O56" s="302"/>
      <c r="P56" s="302"/>
      <c r="Q56" s="302"/>
      <c r="R56" s="303"/>
      <c r="S56" s="302"/>
      <c r="T56" s="302"/>
      <c r="U56" s="316" t="s">
        <v>897</v>
      </c>
    </row>
    <row r="57" spans="1:21" s="311" customFormat="1" ht="15.75" customHeight="1">
      <c r="A57" s="299">
        <v>54</v>
      </c>
      <c r="B57" s="322"/>
      <c r="C57" s="551">
        <v>45990</v>
      </c>
      <c r="D57" s="299"/>
      <c r="E57" s="368"/>
      <c r="F57" s="368"/>
      <c r="G57" s="553"/>
      <c r="H57" s="553">
        <v>7</v>
      </c>
      <c r="I57" s="299"/>
      <c r="J57" s="302"/>
      <c r="K57" s="302"/>
      <c r="L57" s="302"/>
      <c r="M57" s="303"/>
      <c r="N57" s="299"/>
      <c r="O57" s="302"/>
      <c r="P57" s="302"/>
      <c r="Q57" s="302"/>
      <c r="R57" s="303"/>
      <c r="S57" s="302"/>
      <c r="T57" s="302"/>
      <c r="U57" s="316" t="s">
        <v>897</v>
      </c>
    </row>
    <row r="58" spans="1:21" s="311" customFormat="1" ht="15.75" customHeight="1">
      <c r="A58" s="299">
        <v>55</v>
      </c>
      <c r="B58" s="322"/>
      <c r="C58" s="551">
        <v>45991</v>
      </c>
      <c r="D58" s="299"/>
      <c r="E58" s="368"/>
      <c r="F58" s="368"/>
      <c r="G58" s="553"/>
      <c r="H58" s="553">
        <v>3</v>
      </c>
      <c r="I58" s="299"/>
      <c r="J58" s="302"/>
      <c r="K58" s="302"/>
      <c r="L58" s="302"/>
      <c r="M58" s="303"/>
      <c r="N58" s="299"/>
      <c r="O58" s="302"/>
      <c r="P58" s="302"/>
      <c r="Q58" s="302"/>
      <c r="R58" s="303"/>
      <c r="S58" s="302"/>
      <c r="T58" s="302"/>
      <c r="U58" s="316" t="s">
        <v>897</v>
      </c>
    </row>
    <row r="59" spans="1:21" s="312" customFormat="1" ht="15.75" customHeight="1">
      <c r="A59" s="299">
        <v>56</v>
      </c>
      <c r="B59" s="547">
        <v>45992</v>
      </c>
      <c r="C59" s="625">
        <v>45992</v>
      </c>
      <c r="D59" s="299"/>
      <c r="E59" s="368"/>
      <c r="F59" s="368"/>
      <c r="G59" s="553"/>
      <c r="H59" s="553"/>
      <c r="I59" s="299"/>
      <c r="J59" s="553">
        <v>6.82</v>
      </c>
      <c r="K59" s="302"/>
      <c r="L59" s="302"/>
      <c r="M59" s="303"/>
      <c r="N59" s="299"/>
      <c r="O59" s="302"/>
      <c r="P59" s="302"/>
      <c r="Q59" s="302"/>
      <c r="R59" s="303"/>
      <c r="S59" s="302"/>
      <c r="T59" s="302"/>
      <c r="U59" s="316" t="s">
        <v>895</v>
      </c>
    </row>
    <row r="60" spans="1:21" s="312" customFormat="1" ht="15.75" customHeight="1">
      <c r="A60" s="299">
        <v>57</v>
      </c>
      <c r="B60" s="547"/>
      <c r="C60" s="625">
        <v>45993</v>
      </c>
      <c r="D60" s="299"/>
      <c r="E60" s="368"/>
      <c r="F60" s="368"/>
      <c r="G60" s="553"/>
      <c r="H60" s="553"/>
      <c r="I60" s="299"/>
      <c r="J60" s="553">
        <v>0.66</v>
      </c>
      <c r="K60" s="302"/>
      <c r="L60" s="302"/>
      <c r="M60" s="303"/>
      <c r="N60" s="299"/>
      <c r="O60" s="302"/>
      <c r="P60" s="302"/>
      <c r="Q60" s="302"/>
      <c r="R60" s="303"/>
      <c r="S60" s="302"/>
      <c r="T60" s="302"/>
      <c r="U60" s="316" t="s">
        <v>895</v>
      </c>
    </row>
    <row r="61" spans="1:21" s="312" customFormat="1" ht="15.75" customHeight="1">
      <c r="A61" s="299">
        <v>58</v>
      </c>
      <c r="C61" s="551">
        <v>45993</v>
      </c>
      <c r="D61" s="299"/>
      <c r="E61" s="368"/>
      <c r="F61" s="368"/>
      <c r="G61" s="553"/>
      <c r="H61" s="553">
        <v>3</v>
      </c>
      <c r="I61" s="299"/>
      <c r="J61" s="302"/>
      <c r="K61" s="302"/>
      <c r="L61" s="302"/>
      <c r="M61" s="303"/>
      <c r="N61" s="299"/>
      <c r="O61" s="302"/>
      <c r="P61" s="302"/>
      <c r="Q61" s="302"/>
      <c r="R61" s="303"/>
      <c r="S61" s="302"/>
      <c r="T61" s="302"/>
      <c r="U61" s="316" t="s">
        <v>897</v>
      </c>
    </row>
    <row r="62" spans="1:21" s="312" customFormat="1" ht="15.75" customHeight="1">
      <c r="A62" s="299">
        <v>59</v>
      </c>
      <c r="B62" s="547"/>
      <c r="C62" s="551">
        <v>45993</v>
      </c>
      <c r="D62" s="299"/>
      <c r="E62" s="368"/>
      <c r="F62" s="368"/>
      <c r="G62" s="553"/>
      <c r="H62" s="553">
        <v>4.5</v>
      </c>
      <c r="I62" s="299"/>
      <c r="J62" s="302"/>
      <c r="K62" s="302"/>
      <c r="L62" s="302"/>
      <c r="M62" s="303"/>
      <c r="N62" s="299"/>
      <c r="O62" s="302"/>
      <c r="P62" s="302"/>
      <c r="Q62" s="302"/>
      <c r="R62" s="303"/>
      <c r="S62" s="302"/>
      <c r="T62" s="302"/>
      <c r="U62" s="316" t="s">
        <v>897</v>
      </c>
    </row>
    <row r="63" spans="1:21" s="312" customFormat="1" ht="15.75" customHeight="1">
      <c r="A63" s="299">
        <v>60</v>
      </c>
      <c r="B63" s="547"/>
      <c r="C63" s="551">
        <v>45994</v>
      </c>
      <c r="D63" s="299"/>
      <c r="E63" s="368"/>
      <c r="F63" s="368"/>
      <c r="G63" s="553"/>
      <c r="H63" s="553">
        <v>6.5</v>
      </c>
      <c r="I63" s="299"/>
      <c r="J63" s="302"/>
      <c r="K63" s="302"/>
      <c r="L63" s="302"/>
      <c r="M63" s="303"/>
      <c r="N63" s="299"/>
      <c r="O63" s="302"/>
      <c r="P63" s="302"/>
      <c r="Q63" s="302"/>
      <c r="R63" s="303"/>
      <c r="S63" s="302"/>
      <c r="T63" s="302"/>
      <c r="U63" s="316" t="s">
        <v>897</v>
      </c>
    </row>
    <row r="64" spans="1:21" s="312" customFormat="1" ht="15.75" customHeight="1">
      <c r="A64" s="299">
        <v>61</v>
      </c>
      <c r="B64" s="547"/>
      <c r="C64" s="551">
        <v>45996</v>
      </c>
      <c r="D64" s="299"/>
      <c r="E64" s="368"/>
      <c r="F64" s="368"/>
      <c r="G64" s="553"/>
      <c r="H64" s="553">
        <v>3</v>
      </c>
      <c r="I64" s="299"/>
      <c r="J64" s="302"/>
      <c r="K64" s="302"/>
      <c r="L64" s="302"/>
      <c r="M64" s="303"/>
      <c r="N64" s="299"/>
      <c r="O64" s="302"/>
      <c r="P64" s="302"/>
      <c r="Q64" s="302"/>
      <c r="R64" s="303"/>
      <c r="S64" s="302"/>
      <c r="T64" s="302"/>
      <c r="U64" s="316" t="s">
        <v>897</v>
      </c>
    </row>
    <row r="65" spans="1:21" s="312" customFormat="1" ht="15.75" customHeight="1">
      <c r="A65" s="299">
        <v>62</v>
      </c>
      <c r="B65" s="547"/>
      <c r="C65" s="551">
        <v>45997</v>
      </c>
      <c r="D65" s="299"/>
      <c r="E65" s="368"/>
      <c r="F65" s="368"/>
      <c r="G65" s="553"/>
      <c r="H65" s="553">
        <v>6</v>
      </c>
      <c r="I65" s="299"/>
      <c r="J65" s="302"/>
      <c r="K65" s="302"/>
      <c r="L65" s="302"/>
      <c r="M65" s="303"/>
      <c r="N65" s="299"/>
      <c r="O65" s="302"/>
      <c r="P65" s="302"/>
      <c r="Q65" s="302"/>
      <c r="R65" s="303"/>
      <c r="S65" s="302"/>
      <c r="T65" s="302"/>
      <c r="U65" s="316" t="s">
        <v>897</v>
      </c>
    </row>
    <row r="66" spans="1:21" s="312" customFormat="1" ht="15.75" customHeight="1">
      <c r="A66" s="299">
        <v>63</v>
      </c>
      <c r="B66" s="547"/>
      <c r="C66" s="551">
        <v>45999</v>
      </c>
      <c r="D66" s="299"/>
      <c r="E66" s="368"/>
      <c r="F66" s="368"/>
      <c r="G66" s="553"/>
      <c r="H66" s="553">
        <v>2.5</v>
      </c>
      <c r="I66" s="299"/>
      <c r="J66" s="302"/>
      <c r="K66" s="302"/>
      <c r="L66" s="302"/>
      <c r="M66" s="303"/>
      <c r="N66" s="299"/>
      <c r="O66" s="302"/>
      <c r="P66" s="302"/>
      <c r="Q66" s="302"/>
      <c r="R66" s="303"/>
      <c r="S66" s="302"/>
      <c r="T66" s="302"/>
      <c r="U66" s="316" t="s">
        <v>897</v>
      </c>
    </row>
    <row r="67" spans="1:21" s="312" customFormat="1" ht="15.75" customHeight="1">
      <c r="A67" s="299">
        <v>64</v>
      </c>
      <c r="B67" s="547"/>
      <c r="C67" s="551">
        <v>46000</v>
      </c>
      <c r="D67" s="299"/>
      <c r="E67" s="368">
        <v>6.5</v>
      </c>
      <c r="F67" s="368"/>
      <c r="G67" s="553"/>
      <c r="H67" s="553"/>
      <c r="I67" s="299"/>
      <c r="J67" s="302"/>
      <c r="K67" s="302"/>
      <c r="L67" s="302"/>
      <c r="M67" s="303"/>
      <c r="N67" s="299"/>
      <c r="O67" s="302"/>
      <c r="P67" s="302"/>
      <c r="Q67" s="302"/>
      <c r="R67" s="303"/>
      <c r="S67" s="302"/>
      <c r="T67" s="302"/>
      <c r="U67" s="316" t="s">
        <v>895</v>
      </c>
    </row>
    <row r="68" spans="1:21" s="312" customFormat="1" ht="15.75" customHeight="1">
      <c r="A68" s="299">
        <v>65</v>
      </c>
      <c r="B68" s="547"/>
      <c r="C68" s="625">
        <v>46009</v>
      </c>
      <c r="D68" s="299"/>
      <c r="E68" s="368"/>
      <c r="F68" s="368"/>
      <c r="G68" s="553"/>
      <c r="H68" s="553"/>
      <c r="I68" s="299"/>
      <c r="J68" s="553">
        <v>1</v>
      </c>
      <c r="K68" s="302"/>
      <c r="L68" s="302"/>
      <c r="M68" s="303"/>
      <c r="N68" s="299"/>
      <c r="O68" s="302"/>
      <c r="P68" s="302"/>
      <c r="Q68" s="302"/>
      <c r="R68" s="303"/>
      <c r="S68" s="302"/>
      <c r="T68" s="302"/>
      <c r="U68" s="316" t="s">
        <v>895</v>
      </c>
    </row>
    <row r="69" spans="1:21" s="312" customFormat="1" ht="15.75" customHeight="1">
      <c r="A69" s="299">
        <v>66</v>
      </c>
      <c r="B69" s="547"/>
      <c r="C69" s="555" t="s">
        <v>1244</v>
      </c>
      <c r="D69" s="299"/>
      <c r="E69" s="368"/>
      <c r="F69" s="368"/>
      <c r="G69" s="553"/>
      <c r="H69" s="558">
        <v>2</v>
      </c>
      <c r="I69" s="299"/>
      <c r="J69" s="553"/>
      <c r="K69" s="302"/>
      <c r="L69" s="302"/>
      <c r="M69" s="303"/>
      <c r="N69" s="299"/>
      <c r="O69" s="302"/>
      <c r="P69" s="302"/>
      <c r="Q69" s="302"/>
      <c r="R69" s="303"/>
      <c r="S69" s="302"/>
      <c r="T69" s="302"/>
      <c r="U69" s="316" t="s">
        <v>897</v>
      </c>
    </row>
    <row r="70" spans="1:21" s="312" customFormat="1" ht="15.75" customHeight="1">
      <c r="A70" s="299">
        <v>67</v>
      </c>
      <c r="B70" s="547"/>
      <c r="C70" s="555" t="s">
        <v>1245</v>
      </c>
      <c r="D70" s="299"/>
      <c r="E70" s="368"/>
      <c r="F70" s="368"/>
      <c r="G70" s="553"/>
      <c r="H70" s="558">
        <v>3</v>
      </c>
      <c r="I70" s="299"/>
      <c r="J70" s="553"/>
      <c r="K70" s="302"/>
      <c r="L70" s="302"/>
      <c r="M70" s="303"/>
      <c r="N70" s="299"/>
      <c r="O70" s="302"/>
      <c r="P70" s="302"/>
      <c r="Q70" s="302"/>
      <c r="R70" s="303"/>
      <c r="S70" s="302"/>
      <c r="T70" s="302"/>
      <c r="U70" s="316" t="s">
        <v>897</v>
      </c>
    </row>
    <row r="71" spans="1:21" s="312" customFormat="1" ht="15.75" customHeight="1">
      <c r="A71" s="299">
        <v>68</v>
      </c>
      <c r="B71" s="547"/>
      <c r="C71" s="555" t="s">
        <v>1246</v>
      </c>
      <c r="D71" s="299"/>
      <c r="E71" s="368"/>
      <c r="F71" s="368"/>
      <c r="G71" s="553"/>
      <c r="H71" s="558">
        <v>3</v>
      </c>
      <c r="I71" s="299"/>
      <c r="J71" s="553"/>
      <c r="K71" s="302"/>
      <c r="L71" s="302"/>
      <c r="M71" s="303"/>
      <c r="N71" s="299"/>
      <c r="O71" s="302"/>
      <c r="P71" s="302"/>
      <c r="Q71" s="302"/>
      <c r="R71" s="303"/>
      <c r="S71" s="302"/>
      <c r="T71" s="302"/>
      <c r="U71" s="316" t="s">
        <v>897</v>
      </c>
    </row>
    <row r="72" spans="1:21" s="312" customFormat="1" ht="15.75" customHeight="1">
      <c r="A72" s="299">
        <v>69</v>
      </c>
      <c r="B72" s="547"/>
      <c r="C72" s="555" t="s">
        <v>1246</v>
      </c>
      <c r="D72" s="299"/>
      <c r="E72" s="368"/>
      <c r="F72" s="368"/>
      <c r="G72" s="553"/>
      <c r="H72" s="558">
        <v>3.5</v>
      </c>
      <c r="I72" s="299"/>
      <c r="J72" s="553"/>
      <c r="K72" s="302"/>
      <c r="L72" s="302"/>
      <c r="M72" s="303"/>
      <c r="N72" s="299"/>
      <c r="O72" s="302"/>
      <c r="P72" s="302"/>
      <c r="Q72" s="302"/>
      <c r="R72" s="303"/>
      <c r="S72" s="302"/>
      <c r="T72" s="302"/>
      <c r="U72" s="316" t="s">
        <v>897</v>
      </c>
    </row>
    <row r="73" spans="1:21" s="312" customFormat="1" ht="15.75" customHeight="1">
      <c r="A73" s="299">
        <v>70</v>
      </c>
      <c r="B73" s="547"/>
      <c r="C73" s="555" t="s">
        <v>1247</v>
      </c>
      <c r="D73" s="299"/>
      <c r="E73" s="368"/>
      <c r="F73" s="368"/>
      <c r="G73" s="553"/>
      <c r="H73" s="558">
        <v>3</v>
      </c>
      <c r="I73" s="299"/>
      <c r="J73" s="553"/>
      <c r="K73" s="302"/>
      <c r="L73" s="302"/>
      <c r="M73" s="303"/>
      <c r="N73" s="299"/>
      <c r="O73" s="302"/>
      <c r="P73" s="302"/>
      <c r="Q73" s="302"/>
      <c r="R73" s="303"/>
      <c r="S73" s="302"/>
      <c r="T73" s="302"/>
      <c r="U73" s="316" t="s">
        <v>897</v>
      </c>
    </row>
    <row r="74" spans="1:21" s="312" customFormat="1" ht="15.75" customHeight="1">
      <c r="A74" s="299">
        <v>71</v>
      </c>
      <c r="B74" s="547"/>
      <c r="C74" s="555" t="s">
        <v>1247</v>
      </c>
      <c r="D74" s="299"/>
      <c r="E74" s="368"/>
      <c r="F74" s="368"/>
      <c r="G74" s="553"/>
      <c r="H74" s="558">
        <v>3</v>
      </c>
      <c r="I74" s="299"/>
      <c r="J74" s="553"/>
      <c r="K74" s="302"/>
      <c r="L74" s="302"/>
      <c r="M74" s="303"/>
      <c r="N74" s="299"/>
      <c r="O74" s="302"/>
      <c r="P74" s="302"/>
      <c r="Q74" s="302"/>
      <c r="R74" s="303"/>
      <c r="S74" s="302"/>
      <c r="T74" s="302"/>
      <c r="U74" s="316" t="s">
        <v>897</v>
      </c>
    </row>
    <row r="75" spans="1:21" s="312" customFormat="1" ht="15.75" customHeight="1">
      <c r="A75" s="299">
        <v>72</v>
      </c>
      <c r="B75" s="547"/>
      <c r="C75" s="555" t="s">
        <v>1248</v>
      </c>
      <c r="D75" s="299"/>
      <c r="E75" s="368"/>
      <c r="F75" s="368"/>
      <c r="G75" s="553"/>
      <c r="H75" s="558">
        <v>3</v>
      </c>
      <c r="I75" s="299"/>
      <c r="J75" s="553"/>
      <c r="K75" s="302"/>
      <c r="L75" s="302"/>
      <c r="M75" s="303"/>
      <c r="N75" s="299"/>
      <c r="O75" s="302"/>
      <c r="P75" s="302"/>
      <c r="Q75" s="302"/>
      <c r="R75" s="303"/>
      <c r="S75" s="302"/>
      <c r="T75" s="302"/>
      <c r="U75" s="316" t="s">
        <v>897</v>
      </c>
    </row>
    <row r="76" spans="1:21" s="312" customFormat="1" ht="15.75" customHeight="1">
      <c r="A76" s="299">
        <v>73</v>
      </c>
      <c r="B76" s="547"/>
      <c r="C76" s="555" t="s">
        <v>1249</v>
      </c>
      <c r="D76" s="299"/>
      <c r="E76" s="368"/>
      <c r="F76" s="368"/>
      <c r="G76" s="553"/>
      <c r="H76" s="558">
        <v>3</v>
      </c>
      <c r="I76" s="299"/>
      <c r="J76" s="553"/>
      <c r="K76" s="302"/>
      <c r="L76" s="302"/>
      <c r="M76" s="303"/>
      <c r="N76" s="299"/>
      <c r="O76" s="302"/>
      <c r="P76" s="302"/>
      <c r="Q76" s="302"/>
      <c r="R76" s="303"/>
      <c r="S76" s="302"/>
      <c r="T76" s="302"/>
      <c r="U76" s="316" t="s">
        <v>897</v>
      </c>
    </row>
    <row r="77" spans="1:21" s="312" customFormat="1" ht="15.75" customHeight="1">
      <c r="A77" s="299">
        <v>74</v>
      </c>
      <c r="B77" s="547"/>
      <c r="C77" s="555" t="s">
        <v>1249</v>
      </c>
      <c r="D77" s="299"/>
      <c r="E77" s="368"/>
      <c r="F77" s="368"/>
      <c r="G77" s="553"/>
      <c r="H77" s="558">
        <v>2.5</v>
      </c>
      <c r="I77" s="299"/>
      <c r="J77" s="553"/>
      <c r="K77" s="302"/>
      <c r="L77" s="302"/>
      <c r="M77" s="303"/>
      <c r="N77" s="299"/>
      <c r="O77" s="302"/>
      <c r="P77" s="302"/>
      <c r="Q77" s="302"/>
      <c r="R77" s="303"/>
      <c r="S77" s="302"/>
      <c r="T77" s="302"/>
      <c r="U77" s="316" t="s">
        <v>897</v>
      </c>
    </row>
    <row r="78" spans="1:21" s="312" customFormat="1" ht="15.75" customHeight="1">
      <c r="A78" s="299">
        <v>75</v>
      </c>
      <c r="B78" s="547"/>
      <c r="C78" s="555" t="s">
        <v>1250</v>
      </c>
      <c r="D78" s="299"/>
      <c r="E78" s="368"/>
      <c r="F78" s="368"/>
      <c r="G78" s="553"/>
      <c r="H78" s="558">
        <v>3</v>
      </c>
      <c r="I78" s="299"/>
      <c r="J78" s="553"/>
      <c r="K78" s="302"/>
      <c r="L78" s="302"/>
      <c r="M78" s="303"/>
      <c r="N78" s="299"/>
      <c r="O78" s="302"/>
      <c r="P78" s="302"/>
      <c r="Q78" s="302"/>
      <c r="R78" s="303"/>
      <c r="S78" s="302"/>
      <c r="T78" s="302"/>
      <c r="U78" s="316" t="s">
        <v>897</v>
      </c>
    </row>
    <row r="79" spans="1:21" s="312" customFormat="1" ht="15.75" customHeight="1">
      <c r="A79" s="299">
        <v>76</v>
      </c>
      <c r="B79" s="547"/>
      <c r="C79" s="555" t="s">
        <v>1251</v>
      </c>
      <c r="D79" s="299"/>
      <c r="E79" s="368"/>
      <c r="F79" s="368"/>
      <c r="G79" s="553"/>
      <c r="H79" s="558">
        <v>3</v>
      </c>
      <c r="I79" s="299"/>
      <c r="J79" s="553"/>
      <c r="K79" s="302"/>
      <c r="L79" s="302"/>
      <c r="M79" s="303"/>
      <c r="N79" s="299"/>
      <c r="O79" s="302"/>
      <c r="P79" s="302"/>
      <c r="Q79" s="302"/>
      <c r="R79" s="303"/>
      <c r="S79" s="302"/>
      <c r="T79" s="302"/>
      <c r="U79" s="316" t="s">
        <v>897</v>
      </c>
    </row>
    <row r="80" spans="1:21" s="312" customFormat="1" ht="15.75" customHeight="1">
      <c r="A80" s="299">
        <v>77</v>
      </c>
      <c r="B80" s="547"/>
      <c r="C80" s="555" t="s">
        <v>1252</v>
      </c>
      <c r="D80" s="299"/>
      <c r="E80" s="368"/>
      <c r="F80" s="368"/>
      <c r="G80" s="553"/>
      <c r="H80" s="558">
        <v>3.5</v>
      </c>
      <c r="I80" s="299"/>
      <c r="J80" s="553"/>
      <c r="K80" s="302"/>
      <c r="L80" s="302"/>
      <c r="M80" s="303"/>
      <c r="N80" s="299"/>
      <c r="O80" s="302"/>
      <c r="P80" s="302"/>
      <c r="Q80" s="302"/>
      <c r="R80" s="303"/>
      <c r="S80" s="302"/>
      <c r="T80" s="302"/>
      <c r="U80" s="316" t="s">
        <v>897</v>
      </c>
    </row>
    <row r="81" spans="1:21" s="312" customFormat="1" ht="15.75" customHeight="1">
      <c r="A81" s="299">
        <v>78</v>
      </c>
      <c r="B81" s="547"/>
      <c r="C81" s="555" t="s">
        <v>1252</v>
      </c>
      <c r="D81" s="299"/>
      <c r="E81" s="368"/>
      <c r="F81" s="368"/>
      <c r="G81" s="553"/>
      <c r="H81" s="558">
        <v>4</v>
      </c>
      <c r="I81" s="299"/>
      <c r="J81" s="553"/>
      <c r="K81" s="302"/>
      <c r="L81" s="302"/>
      <c r="M81" s="303"/>
      <c r="N81" s="299"/>
      <c r="O81" s="302"/>
      <c r="P81" s="302"/>
      <c r="Q81" s="302"/>
      <c r="R81" s="303"/>
      <c r="S81" s="302"/>
      <c r="T81" s="302"/>
      <c r="U81" s="316" t="s">
        <v>897</v>
      </c>
    </row>
    <row r="82" spans="1:21" s="312" customFormat="1" ht="15.75" customHeight="1">
      <c r="A82" s="299">
        <v>79</v>
      </c>
      <c r="B82" s="547">
        <v>46023</v>
      </c>
      <c r="C82" s="555" t="s">
        <v>1253</v>
      </c>
      <c r="D82" s="299"/>
      <c r="E82" s="368"/>
      <c r="F82" s="368"/>
      <c r="G82" s="553"/>
      <c r="H82" s="558">
        <v>3.5</v>
      </c>
      <c r="I82" s="299"/>
      <c r="J82" s="553"/>
      <c r="K82" s="302"/>
      <c r="L82" s="302"/>
      <c r="M82" s="303"/>
      <c r="N82" s="299"/>
      <c r="O82" s="302"/>
      <c r="P82" s="302"/>
      <c r="Q82" s="302"/>
      <c r="R82" s="303"/>
      <c r="S82" s="302"/>
      <c r="T82" s="302"/>
      <c r="U82" s="316" t="s">
        <v>897</v>
      </c>
    </row>
    <row r="83" spans="1:21" s="312" customFormat="1" ht="15.75" customHeight="1">
      <c r="A83" s="299">
        <v>80</v>
      </c>
      <c r="B83" s="547"/>
      <c r="C83" s="555" t="s">
        <v>1254</v>
      </c>
      <c r="D83" s="299"/>
      <c r="E83" s="368"/>
      <c r="F83" s="368"/>
      <c r="G83" s="553"/>
      <c r="H83" s="558">
        <v>3.5</v>
      </c>
      <c r="I83" s="299"/>
      <c r="J83" s="553"/>
      <c r="K83" s="302"/>
      <c r="L83" s="302"/>
      <c r="M83" s="303"/>
      <c r="N83" s="299"/>
      <c r="O83" s="302"/>
      <c r="P83" s="302"/>
      <c r="Q83" s="302"/>
      <c r="R83" s="303"/>
      <c r="S83" s="302"/>
      <c r="T83" s="302"/>
      <c r="U83" s="316" t="s">
        <v>897</v>
      </c>
    </row>
    <row r="84" spans="1:21" s="312" customFormat="1" ht="15.75" customHeight="1">
      <c r="A84" s="299">
        <v>81</v>
      </c>
      <c r="B84" s="547"/>
      <c r="C84" s="555" t="s">
        <v>1255</v>
      </c>
      <c r="D84" s="299"/>
      <c r="E84" s="368"/>
      <c r="F84" s="368"/>
      <c r="G84" s="553"/>
      <c r="H84" s="558">
        <v>6</v>
      </c>
      <c r="I84" s="299"/>
      <c r="J84" s="553"/>
      <c r="K84" s="302"/>
      <c r="L84" s="302"/>
      <c r="M84" s="303"/>
      <c r="N84" s="299"/>
      <c r="O84" s="302"/>
      <c r="P84" s="302"/>
      <c r="Q84" s="302"/>
      <c r="R84" s="303"/>
      <c r="S84" s="302"/>
      <c r="T84" s="302"/>
      <c r="U84" s="316" t="s">
        <v>897</v>
      </c>
    </row>
    <row r="85" spans="1:21" s="312" customFormat="1" ht="15.75" customHeight="1">
      <c r="A85" s="299">
        <v>82</v>
      </c>
      <c r="B85" s="547"/>
      <c r="C85" s="555" t="s">
        <v>1259</v>
      </c>
      <c r="D85" s="299"/>
      <c r="E85" s="368"/>
      <c r="F85" s="368"/>
      <c r="G85" s="553"/>
      <c r="H85" s="550">
        <v>4</v>
      </c>
      <c r="I85" s="299"/>
      <c r="J85" s="553"/>
      <c r="K85" s="302"/>
      <c r="L85" s="302"/>
      <c r="M85" s="303"/>
      <c r="N85" s="299"/>
      <c r="O85" s="302"/>
      <c r="P85" s="302"/>
      <c r="Q85" s="302"/>
      <c r="R85" s="303"/>
      <c r="S85" s="302"/>
      <c r="T85" s="302"/>
      <c r="U85" s="316" t="s">
        <v>897</v>
      </c>
    </row>
    <row r="86" spans="1:21" s="312" customFormat="1" ht="15.75" customHeight="1">
      <c r="A86" s="299">
        <v>83</v>
      </c>
      <c r="B86" s="547"/>
      <c r="C86" s="555" t="s">
        <v>1260</v>
      </c>
      <c r="D86" s="299"/>
      <c r="E86" s="368"/>
      <c r="F86" s="368"/>
      <c r="G86" s="553"/>
      <c r="H86" s="553">
        <v>5.5</v>
      </c>
      <c r="I86" s="299"/>
      <c r="J86" s="553"/>
      <c r="K86" s="302"/>
      <c r="L86" s="302"/>
      <c r="M86" s="303"/>
      <c r="N86" s="299"/>
      <c r="O86" s="302"/>
      <c r="P86" s="302"/>
      <c r="Q86" s="302"/>
      <c r="R86" s="303"/>
      <c r="S86" s="302"/>
      <c r="T86" s="302"/>
      <c r="U86" s="316" t="s">
        <v>897</v>
      </c>
    </row>
    <row r="87" spans="1:21" s="312" customFormat="1" ht="15.75" customHeight="1">
      <c r="A87" s="299">
        <v>84</v>
      </c>
      <c r="B87" s="547"/>
      <c r="C87" s="555" t="s">
        <v>1261</v>
      </c>
      <c r="D87" s="299"/>
      <c r="E87" s="368"/>
      <c r="F87" s="368"/>
      <c r="G87" s="553"/>
      <c r="H87" s="553">
        <v>12</v>
      </c>
      <c r="I87" s="299"/>
      <c r="J87" s="553"/>
      <c r="K87" s="302"/>
      <c r="L87" s="302"/>
      <c r="M87" s="303"/>
      <c r="N87" s="299"/>
      <c r="O87" s="302"/>
      <c r="P87" s="302"/>
      <c r="Q87" s="302"/>
      <c r="R87" s="303"/>
      <c r="S87" s="302"/>
      <c r="T87" s="302"/>
      <c r="U87" s="316" t="s">
        <v>1265</v>
      </c>
    </row>
    <row r="88" spans="1:21" s="312" customFormat="1" ht="15.75" customHeight="1">
      <c r="A88" s="299">
        <v>85</v>
      </c>
      <c r="B88" s="547"/>
      <c r="C88" s="555" t="s">
        <v>1261</v>
      </c>
      <c r="D88" s="299"/>
      <c r="E88" s="368">
        <v>35</v>
      </c>
      <c r="F88" s="368"/>
      <c r="G88" s="553"/>
      <c r="H88" s="553"/>
      <c r="I88" s="299"/>
      <c r="J88" s="553"/>
      <c r="K88" s="302"/>
      <c r="L88" s="302"/>
      <c r="M88" s="303"/>
      <c r="N88" s="299"/>
      <c r="O88" s="302"/>
      <c r="P88" s="302"/>
      <c r="Q88" s="302"/>
      <c r="R88" s="303"/>
      <c r="S88" s="302"/>
      <c r="T88" s="302"/>
      <c r="U88" s="316" t="s">
        <v>1265</v>
      </c>
    </row>
    <row r="89" spans="1:21" s="312" customFormat="1" ht="15.75" customHeight="1">
      <c r="A89" s="299">
        <v>86</v>
      </c>
      <c r="B89" s="547"/>
      <c r="C89" s="555" t="s">
        <v>1262</v>
      </c>
      <c r="D89" s="299"/>
      <c r="E89" s="368">
        <v>69</v>
      </c>
      <c r="F89" s="368"/>
      <c r="G89" s="553"/>
      <c r="H89" s="553"/>
      <c r="I89" s="299"/>
      <c r="J89" s="553"/>
      <c r="K89" s="302"/>
      <c r="L89" s="302"/>
      <c r="M89" s="303"/>
      <c r="N89" s="299"/>
      <c r="O89" s="302"/>
      <c r="P89" s="302"/>
      <c r="Q89" s="302"/>
      <c r="R89" s="303"/>
      <c r="S89" s="302"/>
      <c r="T89" s="302"/>
      <c r="U89" s="316" t="s">
        <v>1265</v>
      </c>
    </row>
    <row r="90" spans="1:21" s="312" customFormat="1" ht="15.75" customHeight="1">
      <c r="A90" s="299">
        <v>87</v>
      </c>
      <c r="B90" s="547"/>
      <c r="C90" s="555" t="s">
        <v>1273</v>
      </c>
      <c r="D90" s="299"/>
      <c r="E90" s="368">
        <v>35</v>
      </c>
      <c r="F90" s="368"/>
      <c r="G90" s="553"/>
      <c r="H90" s="553">
        <v>12</v>
      </c>
      <c r="I90" s="299"/>
      <c r="J90" s="553"/>
      <c r="K90" s="302"/>
      <c r="L90" s="302"/>
      <c r="M90" s="303"/>
      <c r="N90" s="299"/>
      <c r="O90" s="302"/>
      <c r="P90" s="302"/>
      <c r="Q90" s="302"/>
      <c r="R90" s="303"/>
      <c r="S90" s="302"/>
      <c r="T90" s="302"/>
      <c r="U90" s="316" t="s">
        <v>1265</v>
      </c>
    </row>
    <row r="91" spans="1:21" s="312" customFormat="1" ht="15.75" customHeight="1">
      <c r="A91" s="299">
        <v>88</v>
      </c>
      <c r="B91" s="547"/>
      <c r="C91" s="555" t="s">
        <v>1274</v>
      </c>
      <c r="D91" s="299"/>
      <c r="E91" s="368">
        <v>28</v>
      </c>
      <c r="F91" s="368"/>
      <c r="G91" s="553"/>
      <c r="H91" s="553"/>
      <c r="I91" s="299"/>
      <c r="J91" s="553"/>
      <c r="K91" s="302"/>
      <c r="L91" s="302"/>
      <c r="M91" s="303"/>
      <c r="N91" s="299"/>
      <c r="O91" s="302"/>
      <c r="P91" s="302"/>
      <c r="Q91" s="302"/>
      <c r="R91" s="303"/>
      <c r="S91" s="302"/>
      <c r="T91" s="302"/>
      <c r="U91" s="316" t="s">
        <v>1265</v>
      </c>
    </row>
    <row r="92" spans="1:21" s="311" customFormat="1" ht="17.25" customHeight="1">
      <c r="A92" s="299">
        <v>89</v>
      </c>
      <c r="B92" s="322"/>
      <c r="C92" s="357" t="s">
        <v>1297</v>
      </c>
      <c r="D92" s="299"/>
      <c r="E92" s="317"/>
      <c r="F92" s="317"/>
      <c r="G92" s="448"/>
      <c r="H92" s="448">
        <v>15</v>
      </c>
      <c r="I92" s="299"/>
      <c r="J92" s="448"/>
      <c r="K92" s="302"/>
      <c r="L92" s="302"/>
      <c r="M92" s="303"/>
      <c r="N92" s="299"/>
      <c r="O92" s="302"/>
      <c r="P92" s="302"/>
      <c r="Q92" s="302"/>
      <c r="R92" s="303"/>
      <c r="S92" s="302"/>
      <c r="T92" s="302"/>
      <c r="U92" s="443" t="s">
        <v>1265</v>
      </c>
    </row>
    <row r="93" spans="1:21" s="311" customFormat="1" ht="15.75" customHeight="1">
      <c r="A93" s="299">
        <v>90</v>
      </c>
      <c r="B93" s="322"/>
      <c r="C93" s="357" t="s">
        <v>1297</v>
      </c>
      <c r="D93" s="299"/>
      <c r="E93" s="317">
        <v>104</v>
      </c>
      <c r="F93" s="317"/>
      <c r="G93" s="448"/>
      <c r="H93" s="448"/>
      <c r="I93" s="299"/>
      <c r="J93" s="448"/>
      <c r="K93" s="302"/>
      <c r="L93" s="302"/>
      <c r="M93" s="303"/>
      <c r="N93" s="299"/>
      <c r="O93" s="302"/>
      <c r="P93" s="302"/>
      <c r="Q93" s="302"/>
      <c r="R93" s="303"/>
      <c r="S93" s="302"/>
      <c r="T93" s="302"/>
      <c r="U93" s="443" t="s">
        <v>1265</v>
      </c>
    </row>
    <row r="94" spans="1:21" s="311" customFormat="1" ht="15.75" customHeight="1">
      <c r="A94" s="299"/>
      <c r="B94" s="322"/>
      <c r="C94" s="444"/>
      <c r="D94" s="299"/>
      <c r="E94" s="368"/>
      <c r="F94" s="317"/>
      <c r="G94" s="448"/>
      <c r="H94" s="448"/>
      <c r="I94" s="299"/>
      <c r="J94" s="302"/>
      <c r="K94" s="302"/>
      <c r="L94" s="302"/>
      <c r="M94" s="303"/>
      <c r="N94" s="299"/>
      <c r="O94" s="302"/>
      <c r="P94" s="302"/>
      <c r="Q94" s="302"/>
      <c r="R94" s="303"/>
      <c r="S94" s="302"/>
      <c r="T94" s="302"/>
      <c r="U94" s="443"/>
    </row>
    <row r="95" spans="1:21" s="311" customFormat="1" ht="15.75" customHeight="1">
      <c r="A95" s="299"/>
      <c r="B95" s="319"/>
      <c r="C95" s="306"/>
      <c r="D95" s="300"/>
      <c r="E95" s="307"/>
      <c r="F95" s="307"/>
      <c r="G95" s="307"/>
      <c r="H95" s="308"/>
      <c r="I95" s="300"/>
      <c r="J95" s="302"/>
      <c r="K95" s="302"/>
      <c r="L95" s="302"/>
      <c r="M95" s="303"/>
      <c r="N95" s="300"/>
      <c r="O95" s="302"/>
      <c r="P95" s="302"/>
      <c r="Q95" s="302"/>
      <c r="R95" s="303"/>
      <c r="S95" s="302"/>
      <c r="T95" s="307"/>
      <c r="U95" s="315"/>
    </row>
    <row r="96" spans="1:21" s="309" customFormat="1" ht="18.75">
      <c r="A96" s="301"/>
      <c r="B96" s="747" t="s">
        <v>57</v>
      </c>
      <c r="C96" s="748"/>
      <c r="D96" s="314">
        <f t="shared" ref="D96:S96" si="0">SUM(D4:D95)</f>
        <v>57.5</v>
      </c>
      <c r="E96" s="314">
        <f t="shared" si="0"/>
        <v>1901</v>
      </c>
      <c r="F96" s="314">
        <f t="shared" si="0"/>
        <v>0</v>
      </c>
      <c r="G96" s="314">
        <f t="shared" si="0"/>
        <v>82</v>
      </c>
      <c r="H96" s="314">
        <f t="shared" si="0"/>
        <v>157</v>
      </c>
      <c r="I96" s="314">
        <f t="shared" si="0"/>
        <v>25.9</v>
      </c>
      <c r="J96" s="314">
        <f t="shared" si="0"/>
        <v>9.06</v>
      </c>
      <c r="K96" s="314">
        <f t="shared" si="0"/>
        <v>0</v>
      </c>
      <c r="L96" s="314">
        <f t="shared" si="0"/>
        <v>0</v>
      </c>
      <c r="M96" s="314">
        <f t="shared" si="0"/>
        <v>0</v>
      </c>
      <c r="N96" s="314">
        <f t="shared" si="0"/>
        <v>0</v>
      </c>
      <c r="O96" s="314">
        <f t="shared" si="0"/>
        <v>0</v>
      </c>
      <c r="P96" s="314">
        <f t="shared" si="0"/>
        <v>0</v>
      </c>
      <c r="Q96" s="314">
        <f t="shared" si="0"/>
        <v>0</v>
      </c>
      <c r="R96" s="314">
        <f t="shared" si="0"/>
        <v>0</v>
      </c>
      <c r="S96" s="313">
        <f t="shared" si="0"/>
        <v>0</v>
      </c>
      <c r="T96" s="327">
        <f>SUM(D96:S96)</f>
        <v>2232.46</v>
      </c>
      <c r="U96" s="301"/>
    </row>
    <row r="97" spans="1:21" ht="15.75">
      <c r="A97" s="742"/>
      <c r="B97" s="743"/>
      <c r="C97" s="743"/>
      <c r="D97" s="743"/>
      <c r="E97" s="743"/>
      <c r="F97" s="743"/>
      <c r="G97" s="743"/>
      <c r="H97" s="743"/>
      <c r="I97" s="743"/>
      <c r="J97" s="743"/>
      <c r="K97" s="743"/>
      <c r="L97" s="743"/>
      <c r="M97" s="743"/>
      <c r="N97" s="743"/>
      <c r="O97" s="743"/>
      <c r="P97" s="743"/>
      <c r="Q97" s="743"/>
      <c r="R97" s="743"/>
      <c r="S97" s="743"/>
      <c r="T97" s="743"/>
      <c r="U97" s="744"/>
    </row>
    <row r="98" spans="1:21" ht="18.75">
      <c r="A98" s="320"/>
      <c r="B98" s="740" t="s">
        <v>484</v>
      </c>
      <c r="C98" s="741"/>
      <c r="D98" s="318">
        <f>D96</f>
        <v>57.5</v>
      </c>
      <c r="E98" s="318">
        <f t="shared" ref="E98:S98" si="1">E96</f>
        <v>1901</v>
      </c>
      <c r="F98" s="318">
        <f t="shared" si="1"/>
        <v>0</v>
      </c>
      <c r="G98" s="318">
        <f t="shared" si="1"/>
        <v>82</v>
      </c>
      <c r="H98" s="318">
        <f t="shared" si="1"/>
        <v>157</v>
      </c>
      <c r="I98" s="318">
        <f t="shared" si="1"/>
        <v>25.9</v>
      </c>
      <c r="J98" s="318">
        <f t="shared" si="1"/>
        <v>9.06</v>
      </c>
      <c r="K98" s="318">
        <f t="shared" si="1"/>
        <v>0</v>
      </c>
      <c r="L98" s="318">
        <f t="shared" si="1"/>
        <v>0</v>
      </c>
      <c r="M98" s="318">
        <f t="shared" si="1"/>
        <v>0</v>
      </c>
      <c r="N98" s="318">
        <f t="shared" ref="N98:R98" si="2">N96</f>
        <v>0</v>
      </c>
      <c r="O98" s="318">
        <f t="shared" si="2"/>
        <v>0</v>
      </c>
      <c r="P98" s="318">
        <f t="shared" si="2"/>
        <v>0</v>
      </c>
      <c r="Q98" s="318">
        <f t="shared" si="2"/>
        <v>0</v>
      </c>
      <c r="R98" s="318">
        <f t="shared" si="2"/>
        <v>0</v>
      </c>
      <c r="S98" s="318">
        <f t="shared" si="1"/>
        <v>0</v>
      </c>
      <c r="T98" s="370">
        <f>T96</f>
        <v>2232.46</v>
      </c>
    </row>
    <row r="99" spans="1:21" ht="50.25" customHeight="1">
      <c r="A99" s="320"/>
      <c r="B99" s="745" t="s">
        <v>543</v>
      </c>
      <c r="C99" s="746"/>
      <c r="D99" s="737">
        <f>SUM(D98:H98)</f>
        <v>2197.5</v>
      </c>
      <c r="E99" s="738"/>
      <c r="F99" s="738"/>
      <c r="G99" s="738"/>
      <c r="H99" s="739"/>
      <c r="I99" s="737">
        <f>SUM(I98:M98)</f>
        <v>34.96</v>
      </c>
      <c r="J99" s="738"/>
      <c r="K99" s="738"/>
      <c r="L99" s="738"/>
      <c r="M99" s="739"/>
      <c r="N99" s="737">
        <f>SUM(N98:R98)</f>
        <v>0</v>
      </c>
      <c r="O99" s="738"/>
      <c r="P99" s="738"/>
      <c r="Q99" s="738"/>
      <c r="R99" s="739"/>
      <c r="S99" s="355">
        <f>S98</f>
        <v>0</v>
      </c>
      <c r="T99" s="369">
        <f>D99+I99+S99+N99</f>
        <v>2232.46</v>
      </c>
    </row>
    <row r="100" spans="1:21" ht="18.75">
      <c r="A100" s="320"/>
      <c r="B100" s="740" t="s">
        <v>485</v>
      </c>
      <c r="C100" s="741"/>
      <c r="D100" s="737">
        <f>SUM(D99:R99)</f>
        <v>2232.46</v>
      </c>
      <c r="E100" s="738"/>
      <c r="F100" s="738"/>
      <c r="G100" s="738"/>
      <c r="H100" s="738"/>
      <c r="I100" s="738"/>
      <c r="J100" s="738"/>
      <c r="K100" s="738"/>
      <c r="L100" s="738"/>
      <c r="M100" s="738"/>
      <c r="N100" s="738"/>
      <c r="O100" s="738"/>
      <c r="P100" s="738"/>
      <c r="Q100" s="738"/>
      <c r="R100" s="739"/>
      <c r="S100" s="321"/>
      <c r="T100" s="321"/>
    </row>
  </sheetData>
  <mergeCells count="21">
    <mergeCell ref="D100:R100"/>
    <mergeCell ref="B100:C100"/>
    <mergeCell ref="N1:R1"/>
    <mergeCell ref="N2:R2"/>
    <mergeCell ref="N99:R99"/>
    <mergeCell ref="A97:U97"/>
    <mergeCell ref="B98:C98"/>
    <mergeCell ref="B99:C99"/>
    <mergeCell ref="D99:H99"/>
    <mergeCell ref="I99:M99"/>
    <mergeCell ref="B96:C96"/>
    <mergeCell ref="T1:T3"/>
    <mergeCell ref="U1:U3"/>
    <mergeCell ref="S1:S3"/>
    <mergeCell ref="D2:H2"/>
    <mergeCell ref="I2:M2"/>
    <mergeCell ref="A1:A3"/>
    <mergeCell ref="B1:B3"/>
    <mergeCell ref="C1:C3"/>
    <mergeCell ref="D1:H1"/>
    <mergeCell ref="I1:M1"/>
  </mergeCells>
  <printOptions horizontalCentered="1" gridLines="1"/>
  <pageMargins left="0.2" right="0.2" top="0.75" bottom="0.75" header="0.3" footer="0.3"/>
  <pageSetup scale="67" fitToHeight="0" orientation="landscape" r:id="rId1"/>
  <headerFooter>
    <oddHeader>&amp;A</oddHeader>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68"/>
  <sheetViews>
    <sheetView tabSelected="1" view="pageBreakPreview" zoomScale="70" zoomScaleNormal="91" zoomScaleSheetLayoutView="70" workbookViewId="0">
      <pane xSplit="3" ySplit="2" topLeftCell="D343" activePane="bottomRight" state="frozen"/>
      <selection pane="topRight" activeCell="D1" sqref="D1"/>
      <selection pane="bottomLeft" activeCell="A3" sqref="A3"/>
      <selection pane="bottomRight" activeCell="R351" sqref="R351"/>
    </sheetView>
  </sheetViews>
  <sheetFormatPr defaultColWidth="8.85546875" defaultRowHeight="15.75"/>
  <cols>
    <col min="1" max="1" width="6.5703125" style="342" customWidth="1"/>
    <col min="2" max="2" width="13.85546875" style="342" customWidth="1"/>
    <col min="3" max="3" width="16.28515625" style="342" customWidth="1"/>
    <col min="4" max="4" width="13.28515625" style="341" customWidth="1"/>
    <col min="5" max="5" width="12.7109375" style="342" customWidth="1"/>
    <col min="6" max="6" width="7" style="342" customWidth="1"/>
    <col min="7" max="7" width="13.140625" style="342" customWidth="1"/>
    <col min="8" max="8" width="15.140625" style="342" customWidth="1"/>
    <col min="9" max="9" width="15.28515625" style="342" customWidth="1"/>
    <col min="10" max="11" width="13.85546875" style="342" customWidth="1"/>
    <col min="12" max="12" width="13" style="342" customWidth="1"/>
    <col min="13" max="13" width="13.140625" style="342" customWidth="1"/>
    <col min="14" max="14" width="12" style="342" customWidth="1"/>
    <col min="15" max="15" width="10.28515625" style="342" customWidth="1"/>
    <col min="16" max="16" width="11.5703125" style="341" customWidth="1"/>
    <col min="17" max="17" width="24.42578125" style="341" customWidth="1"/>
    <col min="18" max="18" width="14.7109375" style="341" customWidth="1"/>
    <col min="19" max="19" width="15.140625" style="341" customWidth="1"/>
    <col min="20" max="20" width="10.140625" style="342" customWidth="1"/>
    <col min="21" max="16384" width="8.85546875" style="342"/>
  </cols>
  <sheetData>
    <row r="1" spans="1:20" ht="21">
      <c r="A1" s="709" t="s">
        <v>517</v>
      </c>
      <c r="B1" s="709"/>
      <c r="C1" s="709"/>
      <c r="D1" s="709"/>
      <c r="E1" s="709"/>
      <c r="F1" s="709"/>
      <c r="G1" s="709"/>
      <c r="H1" s="709"/>
      <c r="I1" s="709"/>
      <c r="J1" s="709"/>
      <c r="K1" s="709"/>
      <c r="L1" s="709"/>
      <c r="M1" s="709"/>
      <c r="N1" s="709"/>
      <c r="O1" s="709"/>
      <c r="P1" s="709"/>
      <c r="Q1" s="709"/>
      <c r="R1" s="709"/>
      <c r="S1" s="709"/>
      <c r="T1" s="341"/>
    </row>
    <row r="2" spans="1:20" ht="63">
      <c r="A2" s="330" t="s">
        <v>499</v>
      </c>
      <c r="B2" s="331" t="s">
        <v>440</v>
      </c>
      <c r="C2" s="330" t="s">
        <v>500</v>
      </c>
      <c r="D2" s="330" t="s">
        <v>534</v>
      </c>
      <c r="E2" s="330" t="s">
        <v>501</v>
      </c>
      <c r="F2" s="330" t="s">
        <v>3</v>
      </c>
      <c r="G2" s="330" t="s">
        <v>502</v>
      </c>
      <c r="H2" s="330" t="s">
        <v>518</v>
      </c>
      <c r="I2" s="330" t="s">
        <v>519</v>
      </c>
      <c r="J2" s="330" t="s">
        <v>520</v>
      </c>
      <c r="K2" s="330" t="s">
        <v>898</v>
      </c>
      <c r="L2" s="330" t="s">
        <v>503</v>
      </c>
      <c r="M2" s="330" t="s">
        <v>504</v>
      </c>
      <c r="N2" s="330" t="s">
        <v>505</v>
      </c>
      <c r="O2" s="330" t="s">
        <v>506</v>
      </c>
      <c r="P2" s="330" t="s">
        <v>507</v>
      </c>
      <c r="Q2" s="330" t="s">
        <v>508</v>
      </c>
      <c r="R2" s="330" t="s">
        <v>509</v>
      </c>
      <c r="S2" s="330" t="s">
        <v>510</v>
      </c>
      <c r="T2" s="330" t="s">
        <v>21</v>
      </c>
    </row>
    <row r="3" spans="1:20" s="367" customFormat="1" ht="20.25" customHeight="1">
      <c r="A3" s="361">
        <v>1</v>
      </c>
      <c r="B3" s="362">
        <v>45786</v>
      </c>
      <c r="C3" s="363" t="s">
        <v>522</v>
      </c>
      <c r="D3" s="360">
        <v>449</v>
      </c>
      <c r="E3" s="360" t="s">
        <v>541</v>
      </c>
      <c r="F3" s="360" t="s">
        <v>71</v>
      </c>
      <c r="G3" s="360">
        <v>7</v>
      </c>
      <c r="H3" s="360"/>
      <c r="I3" s="360"/>
      <c r="J3" s="360"/>
      <c r="K3" s="360"/>
      <c r="L3" s="364">
        <f t="shared" ref="L3:L8" si="0">G3*220</f>
        <v>1540</v>
      </c>
      <c r="M3" s="360">
        <v>1540</v>
      </c>
      <c r="N3" s="364">
        <f t="shared" ref="N3:N8" si="1">M3-L3</f>
        <v>0</v>
      </c>
      <c r="O3" s="365">
        <v>0.4513888888888889</v>
      </c>
      <c r="P3" s="365">
        <v>0.51041666666666663</v>
      </c>
      <c r="Q3" s="366" t="s">
        <v>497</v>
      </c>
      <c r="R3" s="366" t="s">
        <v>542</v>
      </c>
      <c r="S3" s="360" t="s">
        <v>512</v>
      </c>
      <c r="T3" s="360"/>
    </row>
    <row r="4" spans="1:20" s="367" customFormat="1" ht="20.25" customHeight="1">
      <c r="A4" s="361">
        <v>2</v>
      </c>
      <c r="B4" s="362">
        <v>45786</v>
      </c>
      <c r="C4" s="363" t="s">
        <v>527</v>
      </c>
      <c r="D4" s="360">
        <v>450</v>
      </c>
      <c r="E4" s="360" t="s">
        <v>541</v>
      </c>
      <c r="F4" s="360" t="s">
        <v>71</v>
      </c>
      <c r="G4" s="360">
        <v>7</v>
      </c>
      <c r="H4" s="360"/>
      <c r="I4" s="360"/>
      <c r="J4" s="360"/>
      <c r="K4" s="360"/>
      <c r="L4" s="364">
        <f t="shared" si="0"/>
        <v>1540</v>
      </c>
      <c r="M4" s="360">
        <v>1540</v>
      </c>
      <c r="N4" s="360">
        <f t="shared" si="1"/>
        <v>0</v>
      </c>
      <c r="O4" s="365">
        <v>0.52083333333333337</v>
      </c>
      <c r="P4" s="365">
        <v>0.56944444444444442</v>
      </c>
      <c r="Q4" s="366" t="s">
        <v>497</v>
      </c>
      <c r="R4" s="366" t="s">
        <v>542</v>
      </c>
      <c r="S4" s="360" t="s">
        <v>512</v>
      </c>
      <c r="T4" s="360"/>
    </row>
    <row r="5" spans="1:20" s="367" customFormat="1" ht="20.25" customHeight="1">
      <c r="A5" s="361">
        <v>3</v>
      </c>
      <c r="B5" s="362">
        <v>45786</v>
      </c>
      <c r="C5" s="363" t="s">
        <v>530</v>
      </c>
      <c r="D5" s="360">
        <v>451</v>
      </c>
      <c r="E5" s="360" t="s">
        <v>541</v>
      </c>
      <c r="F5" s="360" t="s">
        <v>71</v>
      </c>
      <c r="G5" s="360">
        <v>7</v>
      </c>
      <c r="H5" s="360"/>
      <c r="I5" s="360"/>
      <c r="J5" s="360"/>
      <c r="K5" s="360"/>
      <c r="L5" s="364">
        <f t="shared" si="0"/>
        <v>1540</v>
      </c>
      <c r="M5" s="360">
        <v>1540</v>
      </c>
      <c r="N5" s="360">
        <f t="shared" si="1"/>
        <v>0</v>
      </c>
      <c r="O5" s="365">
        <v>0.57777777777777783</v>
      </c>
      <c r="P5" s="365">
        <v>0.61111111111111105</v>
      </c>
      <c r="Q5" s="366" t="s">
        <v>497</v>
      </c>
      <c r="R5" s="366" t="s">
        <v>542</v>
      </c>
      <c r="S5" s="360" t="s">
        <v>512</v>
      </c>
      <c r="T5" s="360"/>
    </row>
    <row r="6" spans="1:20" s="367" customFormat="1" ht="20.25" customHeight="1">
      <c r="A6" s="361">
        <v>4</v>
      </c>
      <c r="B6" s="362">
        <v>45786</v>
      </c>
      <c r="C6" s="363" t="s">
        <v>522</v>
      </c>
      <c r="D6" s="360">
        <v>453</v>
      </c>
      <c r="E6" s="360" t="s">
        <v>541</v>
      </c>
      <c r="F6" s="360" t="s">
        <v>71</v>
      </c>
      <c r="G6" s="360">
        <v>7</v>
      </c>
      <c r="H6" s="360"/>
      <c r="I6" s="360"/>
      <c r="J6" s="360"/>
      <c r="K6" s="360"/>
      <c r="L6" s="364">
        <f t="shared" si="0"/>
        <v>1540</v>
      </c>
      <c r="M6" s="360">
        <v>1540</v>
      </c>
      <c r="N6" s="360">
        <f t="shared" si="1"/>
        <v>0</v>
      </c>
      <c r="O6" s="365">
        <v>0.61805555555555558</v>
      </c>
      <c r="P6" s="365">
        <v>0.66666666666666663</v>
      </c>
      <c r="Q6" s="366" t="s">
        <v>497</v>
      </c>
      <c r="R6" s="366" t="s">
        <v>542</v>
      </c>
      <c r="S6" s="360" t="s">
        <v>512</v>
      </c>
      <c r="T6" s="360"/>
    </row>
    <row r="7" spans="1:20" s="367" customFormat="1" ht="20.25" customHeight="1">
      <c r="A7" s="361">
        <v>5</v>
      </c>
      <c r="B7" s="362">
        <v>45786</v>
      </c>
      <c r="C7" s="363" t="s">
        <v>514</v>
      </c>
      <c r="D7" s="360">
        <v>454</v>
      </c>
      <c r="E7" s="360" t="s">
        <v>541</v>
      </c>
      <c r="F7" s="360" t="s">
        <v>71</v>
      </c>
      <c r="G7" s="360">
        <v>6</v>
      </c>
      <c r="H7" s="360"/>
      <c r="I7" s="360"/>
      <c r="J7" s="360"/>
      <c r="K7" s="360"/>
      <c r="L7" s="364">
        <f t="shared" si="0"/>
        <v>1320</v>
      </c>
      <c r="M7" s="360">
        <v>1320</v>
      </c>
      <c r="N7" s="360">
        <f t="shared" si="1"/>
        <v>0</v>
      </c>
      <c r="O7" s="365">
        <v>0.6875</v>
      </c>
      <c r="P7" s="365">
        <v>0.73958333333333337</v>
      </c>
      <c r="Q7" s="366" t="s">
        <v>497</v>
      </c>
      <c r="R7" s="366" t="s">
        <v>542</v>
      </c>
      <c r="S7" s="360" t="s">
        <v>512</v>
      </c>
      <c r="T7" s="360"/>
    </row>
    <row r="8" spans="1:20" s="367" customFormat="1" ht="20.25" customHeight="1">
      <c r="A8" s="361">
        <v>6</v>
      </c>
      <c r="B8" s="362">
        <v>45786</v>
      </c>
      <c r="C8" s="363" t="s">
        <v>530</v>
      </c>
      <c r="D8" s="360">
        <v>457</v>
      </c>
      <c r="E8" s="360" t="s">
        <v>541</v>
      </c>
      <c r="F8" s="360" t="s">
        <v>71</v>
      </c>
      <c r="G8" s="360">
        <v>6</v>
      </c>
      <c r="H8" s="360"/>
      <c r="I8" s="360"/>
      <c r="J8" s="360"/>
      <c r="K8" s="360"/>
      <c r="L8" s="364">
        <f t="shared" si="0"/>
        <v>1320</v>
      </c>
      <c r="M8" s="360">
        <v>1320</v>
      </c>
      <c r="N8" s="360">
        <f t="shared" si="1"/>
        <v>0</v>
      </c>
      <c r="O8" s="365">
        <v>0.77430555555555547</v>
      </c>
      <c r="P8" s="365">
        <v>0.8125</v>
      </c>
      <c r="Q8" s="366" t="s">
        <v>497</v>
      </c>
      <c r="R8" s="366" t="s">
        <v>542</v>
      </c>
      <c r="S8" s="360" t="s">
        <v>512</v>
      </c>
      <c r="T8" s="360"/>
    </row>
    <row r="9" spans="1:20" s="367" customFormat="1" ht="20.25" customHeight="1">
      <c r="A9" s="361">
        <v>7</v>
      </c>
      <c r="B9" s="362">
        <v>45789</v>
      </c>
      <c r="C9" s="363" t="s">
        <v>514</v>
      </c>
      <c r="D9" s="360">
        <v>487</v>
      </c>
      <c r="E9" s="360" t="s">
        <v>541</v>
      </c>
      <c r="F9" s="360" t="s">
        <v>71</v>
      </c>
      <c r="G9" s="360">
        <v>5</v>
      </c>
      <c r="H9" s="360"/>
      <c r="I9" s="360"/>
      <c r="J9" s="360"/>
      <c r="K9" s="360"/>
      <c r="L9" s="364">
        <f t="shared" ref="L9:L12" si="2">G9*220</f>
        <v>1100</v>
      </c>
      <c r="M9" s="360">
        <v>1096</v>
      </c>
      <c r="N9" s="360">
        <f t="shared" ref="N9:N12" si="3">M9-L9</f>
        <v>-4</v>
      </c>
      <c r="O9" s="365">
        <v>0.77430555555555547</v>
      </c>
      <c r="P9" s="365">
        <v>0.8125</v>
      </c>
      <c r="Q9" s="366" t="s">
        <v>497</v>
      </c>
      <c r="R9" s="366" t="s">
        <v>542</v>
      </c>
      <c r="S9" s="360" t="s">
        <v>512</v>
      </c>
      <c r="T9" s="360"/>
    </row>
    <row r="10" spans="1:20" s="367" customFormat="1" ht="20.25" customHeight="1">
      <c r="A10" s="361">
        <v>8</v>
      </c>
      <c r="B10" s="362">
        <v>45789</v>
      </c>
      <c r="C10" s="363" t="s">
        <v>514</v>
      </c>
      <c r="D10" s="360">
        <v>488</v>
      </c>
      <c r="E10" s="360" t="s">
        <v>541</v>
      </c>
      <c r="F10" s="360" t="s">
        <v>71</v>
      </c>
      <c r="G10" s="360">
        <v>5</v>
      </c>
      <c r="H10" s="360"/>
      <c r="I10" s="360"/>
      <c r="J10" s="360"/>
      <c r="K10" s="360"/>
      <c r="L10" s="364">
        <f t="shared" si="2"/>
        <v>1100</v>
      </c>
      <c r="M10" s="360">
        <v>1096</v>
      </c>
      <c r="N10" s="360">
        <f t="shared" si="3"/>
        <v>-4</v>
      </c>
      <c r="O10" s="365">
        <v>0.77430555555555547</v>
      </c>
      <c r="P10" s="365">
        <v>0.8125</v>
      </c>
      <c r="Q10" s="366" t="s">
        <v>497</v>
      </c>
      <c r="R10" s="366" t="s">
        <v>542</v>
      </c>
      <c r="S10" s="360" t="s">
        <v>512</v>
      </c>
      <c r="T10" s="360"/>
    </row>
    <row r="11" spans="1:20" s="367" customFormat="1" ht="20.25" customHeight="1">
      <c r="A11" s="361">
        <v>9</v>
      </c>
      <c r="B11" s="362">
        <v>45789</v>
      </c>
      <c r="C11" s="332" t="s">
        <v>528</v>
      </c>
      <c r="D11" s="360">
        <v>490</v>
      </c>
      <c r="E11" s="360" t="s">
        <v>541</v>
      </c>
      <c r="F11" s="360" t="s">
        <v>71</v>
      </c>
      <c r="G11" s="360">
        <v>5.5</v>
      </c>
      <c r="H11" s="360"/>
      <c r="I11" s="360"/>
      <c r="J11" s="360"/>
      <c r="K11" s="360"/>
      <c r="L11" s="364">
        <f t="shared" si="2"/>
        <v>1210</v>
      </c>
      <c r="M11" s="360">
        <v>1210</v>
      </c>
      <c r="N11" s="360">
        <f t="shared" si="3"/>
        <v>0</v>
      </c>
      <c r="O11" s="365">
        <v>0.77430555555555547</v>
      </c>
      <c r="P11" s="365">
        <v>0.8125</v>
      </c>
      <c r="Q11" s="366" t="s">
        <v>497</v>
      </c>
      <c r="R11" s="366" t="s">
        <v>542</v>
      </c>
      <c r="S11" s="360" t="s">
        <v>512</v>
      </c>
      <c r="T11" s="360"/>
    </row>
    <row r="12" spans="1:20" s="367" customFormat="1" ht="20.25" customHeight="1">
      <c r="A12" s="361">
        <v>10</v>
      </c>
      <c r="B12" s="362">
        <v>45789</v>
      </c>
      <c r="C12" s="332" t="s">
        <v>528</v>
      </c>
      <c r="D12" s="360">
        <v>494</v>
      </c>
      <c r="E12" s="360" t="s">
        <v>541</v>
      </c>
      <c r="F12" s="360" t="s">
        <v>71</v>
      </c>
      <c r="G12" s="360">
        <v>2</v>
      </c>
      <c r="H12" s="360"/>
      <c r="I12" s="360"/>
      <c r="J12" s="360"/>
      <c r="K12" s="360"/>
      <c r="L12" s="364">
        <f t="shared" si="2"/>
        <v>440</v>
      </c>
      <c r="M12" s="360">
        <v>440</v>
      </c>
      <c r="N12" s="360">
        <f t="shared" si="3"/>
        <v>0</v>
      </c>
      <c r="O12" s="365">
        <v>0.77430555555555547</v>
      </c>
      <c r="P12" s="365">
        <v>0.8125</v>
      </c>
      <c r="Q12" s="366" t="s">
        <v>497</v>
      </c>
      <c r="R12" s="366" t="s">
        <v>542</v>
      </c>
      <c r="S12" s="360" t="s">
        <v>512</v>
      </c>
      <c r="T12" s="360"/>
    </row>
    <row r="13" spans="1:20" s="341" customFormat="1" ht="20.25" customHeight="1">
      <c r="A13" s="361">
        <v>11</v>
      </c>
      <c r="B13" s="332" t="s">
        <v>521</v>
      </c>
      <c r="C13" s="332" t="s">
        <v>522</v>
      </c>
      <c r="D13" s="332">
        <v>721</v>
      </c>
      <c r="E13" s="332" t="s">
        <v>511</v>
      </c>
      <c r="F13" s="332" t="s">
        <v>71</v>
      </c>
      <c r="G13" s="343"/>
      <c r="H13" s="332">
        <v>7</v>
      </c>
      <c r="I13" s="332"/>
      <c r="J13" s="332"/>
      <c r="K13" s="332"/>
      <c r="L13" s="332">
        <f>H13*365</f>
        <v>2555</v>
      </c>
      <c r="M13" s="332">
        <v>2563</v>
      </c>
      <c r="N13" s="332">
        <f t="shared" ref="N13:N44" si="4">M13-L13</f>
        <v>8</v>
      </c>
      <c r="O13" s="333">
        <v>0.9375</v>
      </c>
      <c r="P13" s="333">
        <v>0.96388888888888891</v>
      </c>
      <c r="Q13" s="332" t="s">
        <v>531</v>
      </c>
      <c r="R13" s="332" t="s">
        <v>230</v>
      </c>
      <c r="S13" s="332" t="s">
        <v>512</v>
      </c>
      <c r="T13" s="332"/>
    </row>
    <row r="14" spans="1:20" s="341" customFormat="1" ht="20.25" customHeight="1">
      <c r="A14" s="361">
        <v>12</v>
      </c>
      <c r="B14" s="332" t="s">
        <v>521</v>
      </c>
      <c r="C14" s="332" t="s">
        <v>514</v>
      </c>
      <c r="D14" s="332">
        <v>722</v>
      </c>
      <c r="E14" s="332" t="s">
        <v>511</v>
      </c>
      <c r="F14" s="332" t="s">
        <v>71</v>
      </c>
      <c r="G14" s="343"/>
      <c r="H14" s="332">
        <v>7</v>
      </c>
      <c r="I14" s="332"/>
      <c r="J14" s="332"/>
      <c r="K14" s="332"/>
      <c r="L14" s="332">
        <f t="shared" ref="L14:L90" si="5">H14*365</f>
        <v>2555</v>
      </c>
      <c r="M14" s="332">
        <v>2558</v>
      </c>
      <c r="N14" s="332">
        <f t="shared" si="4"/>
        <v>3</v>
      </c>
      <c r="O14" s="333">
        <v>0.96666666666666667</v>
      </c>
      <c r="P14" s="333">
        <v>0.98125000000000007</v>
      </c>
      <c r="Q14" s="332" t="s">
        <v>531</v>
      </c>
      <c r="R14" s="332" t="s">
        <v>230</v>
      </c>
      <c r="S14" s="332" t="s">
        <v>512</v>
      </c>
      <c r="T14" s="332"/>
    </row>
    <row r="15" spans="1:20" s="341" customFormat="1" ht="20.25" customHeight="1">
      <c r="A15" s="361">
        <v>13</v>
      </c>
      <c r="B15" s="332" t="s">
        <v>521</v>
      </c>
      <c r="C15" s="332" t="s">
        <v>513</v>
      </c>
      <c r="D15" s="332">
        <v>723</v>
      </c>
      <c r="E15" s="332" t="s">
        <v>511</v>
      </c>
      <c r="F15" s="332" t="s">
        <v>71</v>
      </c>
      <c r="G15" s="343"/>
      <c r="H15" s="332">
        <v>7</v>
      </c>
      <c r="I15" s="332"/>
      <c r="J15" s="332"/>
      <c r="K15" s="332"/>
      <c r="L15" s="332">
        <f t="shared" si="5"/>
        <v>2555</v>
      </c>
      <c r="M15" s="332">
        <v>2564</v>
      </c>
      <c r="N15" s="332">
        <f t="shared" si="4"/>
        <v>9</v>
      </c>
      <c r="O15" s="333">
        <v>0.98541666666666661</v>
      </c>
      <c r="P15" s="333" t="s">
        <v>523</v>
      </c>
      <c r="Q15" s="332" t="s">
        <v>531</v>
      </c>
      <c r="R15" s="332" t="s">
        <v>230</v>
      </c>
      <c r="S15" s="332" t="s">
        <v>512</v>
      </c>
      <c r="T15" s="332"/>
    </row>
    <row r="16" spans="1:20" s="341" customFormat="1" ht="20.25" customHeight="1">
      <c r="A16" s="361">
        <v>14</v>
      </c>
      <c r="B16" s="332" t="s">
        <v>521</v>
      </c>
      <c r="C16" s="332" t="s">
        <v>524</v>
      </c>
      <c r="D16" s="332">
        <v>724</v>
      </c>
      <c r="E16" s="332" t="s">
        <v>511</v>
      </c>
      <c r="F16" s="332" t="s">
        <v>71</v>
      </c>
      <c r="G16" s="343"/>
      <c r="H16" s="332">
        <v>7</v>
      </c>
      <c r="I16" s="332"/>
      <c r="J16" s="332"/>
      <c r="K16" s="332"/>
      <c r="L16" s="332">
        <f t="shared" si="5"/>
        <v>2555</v>
      </c>
      <c r="M16" s="332">
        <v>2574</v>
      </c>
      <c r="N16" s="332">
        <f t="shared" si="4"/>
        <v>19</v>
      </c>
      <c r="O16" s="333">
        <v>0.50347222222222221</v>
      </c>
      <c r="P16" s="333">
        <v>1.3194444444444444E-2</v>
      </c>
      <c r="Q16" s="332" t="s">
        <v>531</v>
      </c>
      <c r="R16" s="332" t="s">
        <v>230</v>
      </c>
      <c r="S16" s="332" t="s">
        <v>512</v>
      </c>
      <c r="T16" s="332"/>
    </row>
    <row r="17" spans="1:20" s="341" customFormat="1" ht="20.25" customHeight="1">
      <c r="A17" s="752">
        <v>15</v>
      </c>
      <c r="B17" s="332" t="s">
        <v>521</v>
      </c>
      <c r="C17" s="332" t="s">
        <v>525</v>
      </c>
      <c r="D17" s="332">
        <v>725</v>
      </c>
      <c r="E17" s="332" t="s">
        <v>511</v>
      </c>
      <c r="F17" s="332" t="s">
        <v>71</v>
      </c>
      <c r="G17" s="343"/>
      <c r="H17" s="332">
        <v>5.5</v>
      </c>
      <c r="I17" s="332"/>
      <c r="J17" s="332"/>
      <c r="K17" s="332"/>
      <c r="L17" s="332">
        <f t="shared" si="5"/>
        <v>2007.5</v>
      </c>
      <c r="M17" s="332">
        <v>2018</v>
      </c>
      <c r="N17" s="332">
        <f t="shared" si="4"/>
        <v>10.5</v>
      </c>
      <c r="O17" s="333">
        <v>1.5972222222222224E-2</v>
      </c>
      <c r="P17" s="333">
        <v>2.9166666666666664E-2</v>
      </c>
      <c r="Q17" s="332" t="s">
        <v>531</v>
      </c>
      <c r="R17" s="332" t="s">
        <v>230</v>
      </c>
      <c r="S17" s="332" t="s">
        <v>512</v>
      </c>
      <c r="T17" s="332"/>
    </row>
    <row r="18" spans="1:20" s="341" customFormat="1" ht="20.25" customHeight="1">
      <c r="A18" s="753"/>
      <c r="B18" s="332" t="s">
        <v>521</v>
      </c>
      <c r="C18" s="332" t="s">
        <v>525</v>
      </c>
      <c r="D18" s="332">
        <v>726</v>
      </c>
      <c r="E18" s="332" t="s">
        <v>511</v>
      </c>
      <c r="F18" s="332" t="s">
        <v>71</v>
      </c>
      <c r="G18" s="343"/>
      <c r="H18" s="332">
        <v>1.5</v>
      </c>
      <c r="I18" s="332"/>
      <c r="J18" s="332"/>
      <c r="K18" s="332"/>
      <c r="L18" s="332">
        <f t="shared" si="5"/>
        <v>547.5</v>
      </c>
      <c r="M18" s="332">
        <v>548</v>
      </c>
      <c r="N18" s="332">
        <f t="shared" si="4"/>
        <v>0.5</v>
      </c>
      <c r="O18" s="333">
        <v>1.5972222222222224E-2</v>
      </c>
      <c r="P18" s="333">
        <v>2.9166666666666664E-2</v>
      </c>
      <c r="Q18" s="332" t="s">
        <v>531</v>
      </c>
      <c r="R18" s="332" t="s">
        <v>230</v>
      </c>
      <c r="S18" s="332" t="s">
        <v>512</v>
      </c>
      <c r="T18" s="332"/>
    </row>
    <row r="19" spans="1:20" s="341" customFormat="1" ht="20.25" customHeight="1">
      <c r="A19" s="334">
        <v>16</v>
      </c>
      <c r="B19" s="332" t="s">
        <v>521</v>
      </c>
      <c r="C19" s="332" t="s">
        <v>536</v>
      </c>
      <c r="D19" s="332">
        <v>905350012</v>
      </c>
      <c r="E19" s="332" t="s">
        <v>511</v>
      </c>
      <c r="F19" s="332" t="s">
        <v>71</v>
      </c>
      <c r="G19" s="343"/>
      <c r="H19" s="332">
        <v>7</v>
      </c>
      <c r="I19" s="332"/>
      <c r="J19" s="332"/>
      <c r="K19" s="332"/>
      <c r="L19" s="332">
        <f t="shared" si="5"/>
        <v>2555</v>
      </c>
      <c r="M19" s="332">
        <v>2555</v>
      </c>
      <c r="N19" s="332">
        <f t="shared" si="4"/>
        <v>0</v>
      </c>
      <c r="O19" s="333">
        <v>0.9375</v>
      </c>
      <c r="P19" s="333">
        <v>0.96319444444444446</v>
      </c>
      <c r="Q19" s="332" t="s">
        <v>531</v>
      </c>
      <c r="R19" s="332" t="s">
        <v>230</v>
      </c>
      <c r="S19" s="332" t="s">
        <v>535</v>
      </c>
      <c r="T19" s="332"/>
    </row>
    <row r="20" spans="1:20" s="341" customFormat="1" ht="20.25" customHeight="1">
      <c r="A20" s="334">
        <v>17</v>
      </c>
      <c r="B20" s="332" t="s">
        <v>521</v>
      </c>
      <c r="C20" s="332" t="s">
        <v>537</v>
      </c>
      <c r="D20" s="332">
        <v>905350013</v>
      </c>
      <c r="E20" s="332" t="s">
        <v>511</v>
      </c>
      <c r="F20" s="332" t="s">
        <v>71</v>
      </c>
      <c r="G20" s="343"/>
      <c r="H20" s="332">
        <v>7</v>
      </c>
      <c r="I20" s="332"/>
      <c r="J20" s="332"/>
      <c r="K20" s="332"/>
      <c r="L20" s="332">
        <f t="shared" si="5"/>
        <v>2555</v>
      </c>
      <c r="M20" s="332">
        <v>2555</v>
      </c>
      <c r="N20" s="332">
        <f t="shared" si="4"/>
        <v>0</v>
      </c>
      <c r="O20" s="333">
        <v>0.96736111111111101</v>
      </c>
      <c r="P20" s="333">
        <v>0.9868055555555556</v>
      </c>
      <c r="Q20" s="332" t="s">
        <v>531</v>
      </c>
      <c r="R20" s="332" t="s">
        <v>230</v>
      </c>
      <c r="S20" s="332" t="s">
        <v>535</v>
      </c>
      <c r="T20" s="332"/>
    </row>
    <row r="21" spans="1:20" s="341" customFormat="1" ht="20.25" customHeight="1">
      <c r="A21" s="356">
        <v>18</v>
      </c>
      <c r="B21" s="332" t="s">
        <v>521</v>
      </c>
      <c r="C21" s="332" t="s">
        <v>538</v>
      </c>
      <c r="D21" s="332">
        <v>905350014</v>
      </c>
      <c r="E21" s="332" t="s">
        <v>511</v>
      </c>
      <c r="F21" s="332" t="s">
        <v>71</v>
      </c>
      <c r="G21" s="343"/>
      <c r="H21" s="332">
        <v>7</v>
      </c>
      <c r="I21" s="332"/>
      <c r="J21" s="332"/>
      <c r="K21" s="332"/>
      <c r="L21" s="332">
        <f t="shared" si="5"/>
        <v>2555</v>
      </c>
      <c r="M21" s="332">
        <v>2555</v>
      </c>
      <c r="N21" s="332">
        <f t="shared" si="4"/>
        <v>0</v>
      </c>
      <c r="O21" s="333">
        <v>0.9868055555555556</v>
      </c>
      <c r="P21" s="333">
        <v>1.0083333333333333</v>
      </c>
      <c r="Q21" s="332" t="s">
        <v>531</v>
      </c>
      <c r="R21" s="332" t="s">
        <v>230</v>
      </c>
      <c r="S21" s="332" t="s">
        <v>535</v>
      </c>
      <c r="T21" s="332"/>
    </row>
    <row r="22" spans="1:20" s="341" customFormat="1" ht="20.25" customHeight="1">
      <c r="A22" s="400">
        <v>19</v>
      </c>
      <c r="B22" s="332" t="s">
        <v>521</v>
      </c>
      <c r="C22" s="332" t="s">
        <v>539</v>
      </c>
      <c r="D22" s="332">
        <v>905350015</v>
      </c>
      <c r="E22" s="332" t="s">
        <v>511</v>
      </c>
      <c r="F22" s="332" t="s">
        <v>71</v>
      </c>
      <c r="G22" s="343"/>
      <c r="H22" s="332">
        <v>7</v>
      </c>
      <c r="I22" s="332"/>
      <c r="J22" s="332"/>
      <c r="K22" s="332"/>
      <c r="L22" s="332">
        <f t="shared" si="5"/>
        <v>2555</v>
      </c>
      <c r="M22" s="332">
        <v>2556</v>
      </c>
      <c r="N22" s="332">
        <f t="shared" si="4"/>
        <v>1</v>
      </c>
      <c r="O22" s="333">
        <v>5.2777777777777778E-2</v>
      </c>
      <c r="P22" s="333">
        <v>7.1527777777777787E-2</v>
      </c>
      <c r="Q22" s="332" t="s">
        <v>531</v>
      </c>
      <c r="R22" s="332" t="s">
        <v>230</v>
      </c>
      <c r="S22" s="332" t="s">
        <v>535</v>
      </c>
      <c r="T22" s="332"/>
    </row>
    <row r="23" spans="1:20" s="341" customFormat="1" ht="20.25" customHeight="1">
      <c r="A23" s="400">
        <v>20</v>
      </c>
      <c r="B23" s="332" t="s">
        <v>521</v>
      </c>
      <c r="C23" s="332" t="s">
        <v>540</v>
      </c>
      <c r="D23" s="332">
        <v>905350016</v>
      </c>
      <c r="E23" s="332" t="s">
        <v>511</v>
      </c>
      <c r="F23" s="332" t="s">
        <v>71</v>
      </c>
      <c r="G23" s="343"/>
      <c r="H23" s="332">
        <v>7</v>
      </c>
      <c r="I23" s="332"/>
      <c r="J23" s="332"/>
      <c r="K23" s="332"/>
      <c r="L23" s="332">
        <f t="shared" si="5"/>
        <v>2555</v>
      </c>
      <c r="M23" s="332">
        <v>2555</v>
      </c>
      <c r="N23" s="332">
        <f t="shared" si="4"/>
        <v>0</v>
      </c>
      <c r="O23" s="333">
        <v>7.5694444444444439E-2</v>
      </c>
      <c r="P23" s="333">
        <v>8.6805555555555566E-2</v>
      </c>
      <c r="Q23" s="332" t="s">
        <v>531</v>
      </c>
      <c r="R23" s="332" t="s">
        <v>230</v>
      </c>
      <c r="S23" s="332" t="s">
        <v>535</v>
      </c>
      <c r="T23" s="332"/>
    </row>
    <row r="24" spans="1:20" s="341" customFormat="1" ht="20.25" customHeight="1">
      <c r="A24" s="400">
        <v>21</v>
      </c>
      <c r="B24" s="332" t="s">
        <v>526</v>
      </c>
      <c r="C24" s="332" t="s">
        <v>522</v>
      </c>
      <c r="D24" s="332">
        <v>727</v>
      </c>
      <c r="E24" s="332" t="s">
        <v>511</v>
      </c>
      <c r="F24" s="332" t="s">
        <v>71</v>
      </c>
      <c r="G24" s="343"/>
      <c r="H24" s="332">
        <v>7</v>
      </c>
      <c r="I24" s="332"/>
      <c r="J24" s="332"/>
      <c r="K24" s="332"/>
      <c r="L24" s="332">
        <f t="shared" si="5"/>
        <v>2555</v>
      </c>
      <c r="M24" s="332">
        <v>2561</v>
      </c>
      <c r="N24" s="332">
        <f t="shared" si="4"/>
        <v>6</v>
      </c>
      <c r="O24" s="333">
        <v>4.3055555555555562E-2</v>
      </c>
      <c r="P24" s="333">
        <v>7.6388888888888895E-2</v>
      </c>
      <c r="Q24" s="332" t="s">
        <v>531</v>
      </c>
      <c r="R24" s="332" t="s">
        <v>230</v>
      </c>
      <c r="S24" s="332" t="s">
        <v>512</v>
      </c>
      <c r="T24" s="332"/>
    </row>
    <row r="25" spans="1:20" s="341" customFormat="1" ht="20.25" customHeight="1">
      <c r="A25" s="400">
        <v>22</v>
      </c>
      <c r="B25" s="332" t="s">
        <v>526</v>
      </c>
      <c r="C25" s="332" t="s">
        <v>514</v>
      </c>
      <c r="D25" s="332">
        <v>728</v>
      </c>
      <c r="E25" s="332" t="s">
        <v>511</v>
      </c>
      <c r="F25" s="332" t="s">
        <v>71</v>
      </c>
      <c r="G25" s="343"/>
      <c r="H25" s="332">
        <v>7</v>
      </c>
      <c r="I25" s="332"/>
      <c r="J25" s="332"/>
      <c r="K25" s="332"/>
      <c r="L25" s="332">
        <f t="shared" si="5"/>
        <v>2555</v>
      </c>
      <c r="M25" s="332">
        <v>2551</v>
      </c>
      <c r="N25" s="332">
        <f t="shared" si="4"/>
        <v>-4</v>
      </c>
      <c r="O25" s="333">
        <v>7.7777777777777779E-2</v>
      </c>
      <c r="P25" s="333">
        <v>9.375E-2</v>
      </c>
      <c r="Q25" s="332" t="s">
        <v>531</v>
      </c>
      <c r="R25" s="332" t="s">
        <v>230</v>
      </c>
      <c r="S25" s="332" t="s">
        <v>512</v>
      </c>
      <c r="T25" s="332"/>
    </row>
    <row r="26" spans="1:20" s="341" customFormat="1" ht="20.25" customHeight="1">
      <c r="A26" s="400">
        <v>23</v>
      </c>
      <c r="B26" s="332" t="s">
        <v>526</v>
      </c>
      <c r="C26" s="332" t="s">
        <v>527</v>
      </c>
      <c r="D26" s="332">
        <v>729</v>
      </c>
      <c r="E26" s="332" t="s">
        <v>511</v>
      </c>
      <c r="F26" s="332" t="s">
        <v>71</v>
      </c>
      <c r="G26" s="343"/>
      <c r="H26" s="332">
        <v>7</v>
      </c>
      <c r="I26" s="332"/>
      <c r="J26" s="332"/>
      <c r="K26" s="332"/>
      <c r="L26" s="332">
        <f t="shared" si="5"/>
        <v>2555</v>
      </c>
      <c r="M26" s="332">
        <v>2557</v>
      </c>
      <c r="N26" s="332">
        <f t="shared" si="4"/>
        <v>2</v>
      </c>
      <c r="O26" s="333">
        <v>9.6527777777777768E-2</v>
      </c>
      <c r="P26" s="333">
        <v>0.10625</v>
      </c>
      <c r="Q26" s="332" t="s">
        <v>531</v>
      </c>
      <c r="R26" s="332" t="s">
        <v>230</v>
      </c>
      <c r="S26" s="332" t="s">
        <v>512</v>
      </c>
      <c r="T26" s="332"/>
    </row>
    <row r="27" spans="1:20" s="341" customFormat="1" ht="20.25" customHeight="1">
      <c r="A27" s="400">
        <v>24</v>
      </c>
      <c r="B27" s="332" t="s">
        <v>526</v>
      </c>
      <c r="C27" s="332" t="s">
        <v>513</v>
      </c>
      <c r="D27" s="332">
        <v>730</v>
      </c>
      <c r="E27" s="332" t="s">
        <v>511</v>
      </c>
      <c r="F27" s="332" t="s">
        <v>71</v>
      </c>
      <c r="G27" s="343"/>
      <c r="H27" s="332">
        <v>7</v>
      </c>
      <c r="I27" s="332"/>
      <c r="J27" s="332"/>
      <c r="K27" s="332"/>
      <c r="L27" s="332">
        <f t="shared" si="5"/>
        <v>2555</v>
      </c>
      <c r="M27" s="332">
        <v>2557</v>
      </c>
      <c r="N27" s="332">
        <f t="shared" si="4"/>
        <v>2</v>
      </c>
      <c r="O27" s="333">
        <v>0.1076388888888889</v>
      </c>
      <c r="P27" s="333">
        <v>0.12708333333333333</v>
      </c>
      <c r="Q27" s="332" t="s">
        <v>531</v>
      </c>
      <c r="R27" s="332" t="s">
        <v>230</v>
      </c>
      <c r="S27" s="332" t="s">
        <v>512</v>
      </c>
      <c r="T27" s="332"/>
    </row>
    <row r="28" spans="1:20" s="341" customFormat="1" ht="20.25" customHeight="1">
      <c r="A28" s="400">
        <v>25</v>
      </c>
      <c r="B28" s="332" t="s">
        <v>526</v>
      </c>
      <c r="C28" s="332" t="s">
        <v>528</v>
      </c>
      <c r="D28" s="332">
        <v>731</v>
      </c>
      <c r="E28" s="332" t="s">
        <v>511</v>
      </c>
      <c r="F28" s="332" t="s">
        <v>71</v>
      </c>
      <c r="G28" s="343"/>
      <c r="H28" s="332">
        <v>7</v>
      </c>
      <c r="I28" s="332"/>
      <c r="J28" s="332"/>
      <c r="K28" s="332"/>
      <c r="L28" s="332">
        <f t="shared" si="5"/>
        <v>2555</v>
      </c>
      <c r="M28" s="332">
        <v>2561</v>
      </c>
      <c r="N28" s="332">
        <f t="shared" si="4"/>
        <v>6</v>
      </c>
      <c r="O28" s="333">
        <v>0.12708333333333333</v>
      </c>
      <c r="P28" s="333">
        <v>0.14097222222222222</v>
      </c>
      <c r="Q28" s="332" t="s">
        <v>531</v>
      </c>
      <c r="R28" s="332" t="s">
        <v>230</v>
      </c>
      <c r="S28" s="332" t="s">
        <v>512</v>
      </c>
      <c r="T28" s="332"/>
    </row>
    <row r="29" spans="1:20" s="341" customFormat="1" ht="20.25" customHeight="1">
      <c r="A29" s="400">
        <v>26</v>
      </c>
      <c r="B29" s="332" t="s">
        <v>526</v>
      </c>
      <c r="C29" s="332" t="s">
        <v>529</v>
      </c>
      <c r="D29" s="332">
        <v>732</v>
      </c>
      <c r="E29" s="332" t="s">
        <v>511</v>
      </c>
      <c r="F29" s="332" t="s">
        <v>71</v>
      </c>
      <c r="G29" s="343"/>
      <c r="H29" s="332">
        <v>7</v>
      </c>
      <c r="I29" s="332"/>
      <c r="J29" s="332"/>
      <c r="K29" s="332"/>
      <c r="L29" s="332">
        <f t="shared" si="5"/>
        <v>2555</v>
      </c>
      <c r="M29" s="332">
        <v>2560</v>
      </c>
      <c r="N29" s="332">
        <f t="shared" si="4"/>
        <v>5</v>
      </c>
      <c r="O29" s="333">
        <v>0.14305555555555557</v>
      </c>
      <c r="P29" s="333">
        <v>0.15833333333333333</v>
      </c>
      <c r="Q29" s="332" t="s">
        <v>531</v>
      </c>
      <c r="R29" s="332" t="s">
        <v>230</v>
      </c>
      <c r="S29" s="332" t="s">
        <v>512</v>
      </c>
      <c r="T29" s="332"/>
    </row>
    <row r="30" spans="1:20" s="341" customFormat="1" ht="20.25" customHeight="1">
      <c r="A30" s="400">
        <v>27</v>
      </c>
      <c r="B30" s="332" t="s">
        <v>526</v>
      </c>
      <c r="C30" s="332" t="s">
        <v>522</v>
      </c>
      <c r="D30" s="332">
        <v>733</v>
      </c>
      <c r="E30" s="332" t="s">
        <v>511</v>
      </c>
      <c r="F30" s="332" t="s">
        <v>71</v>
      </c>
      <c r="G30" s="343"/>
      <c r="H30" s="332">
        <v>7</v>
      </c>
      <c r="I30" s="332"/>
      <c r="J30" s="332"/>
      <c r="K30" s="332"/>
      <c r="L30" s="332">
        <f t="shared" si="5"/>
        <v>2555</v>
      </c>
      <c r="M30" s="332">
        <v>2570</v>
      </c>
      <c r="N30" s="332">
        <f t="shared" si="4"/>
        <v>15</v>
      </c>
      <c r="O30" s="333">
        <v>0.16180555555555556</v>
      </c>
      <c r="P30" s="333">
        <v>0.17083333333333331</v>
      </c>
      <c r="Q30" s="332" t="s">
        <v>531</v>
      </c>
      <c r="R30" s="332" t="s">
        <v>230</v>
      </c>
      <c r="S30" s="332" t="s">
        <v>512</v>
      </c>
      <c r="T30" s="332"/>
    </row>
    <row r="31" spans="1:20" s="341" customFormat="1" ht="20.25" customHeight="1">
      <c r="A31" s="400">
        <v>28</v>
      </c>
      <c r="B31" s="332" t="s">
        <v>526</v>
      </c>
      <c r="C31" s="332" t="s">
        <v>525</v>
      </c>
      <c r="D31" s="332">
        <v>734</v>
      </c>
      <c r="E31" s="332" t="s">
        <v>511</v>
      </c>
      <c r="F31" s="332" t="s">
        <v>71</v>
      </c>
      <c r="G31" s="343"/>
      <c r="H31" s="332">
        <v>7</v>
      </c>
      <c r="I31" s="332"/>
      <c r="J31" s="332"/>
      <c r="K31" s="332"/>
      <c r="L31" s="332">
        <f t="shared" si="5"/>
        <v>2555</v>
      </c>
      <c r="M31" s="332">
        <v>2564</v>
      </c>
      <c r="N31" s="332">
        <f t="shared" si="4"/>
        <v>9</v>
      </c>
      <c r="O31" s="333">
        <v>0.1763888888888889</v>
      </c>
      <c r="P31" s="333">
        <v>0.18402777777777779</v>
      </c>
      <c r="Q31" s="332" t="s">
        <v>531</v>
      </c>
      <c r="R31" s="332" t="s">
        <v>230</v>
      </c>
      <c r="S31" s="332" t="s">
        <v>512</v>
      </c>
      <c r="T31" s="332"/>
    </row>
    <row r="32" spans="1:20" s="341" customFormat="1" ht="20.25" customHeight="1">
      <c r="A32" s="400">
        <v>29</v>
      </c>
      <c r="B32" s="332" t="s">
        <v>526</v>
      </c>
      <c r="C32" s="332" t="s">
        <v>514</v>
      </c>
      <c r="D32" s="332">
        <v>735</v>
      </c>
      <c r="E32" s="332" t="s">
        <v>511</v>
      </c>
      <c r="F32" s="332" t="s">
        <v>71</v>
      </c>
      <c r="G32" s="343"/>
      <c r="H32" s="332">
        <v>7</v>
      </c>
      <c r="I32" s="332"/>
      <c r="J32" s="332"/>
      <c r="K32" s="332"/>
      <c r="L32" s="332">
        <f t="shared" si="5"/>
        <v>2555</v>
      </c>
      <c r="M32" s="332">
        <v>2566</v>
      </c>
      <c r="N32" s="332">
        <f t="shared" si="4"/>
        <v>11</v>
      </c>
      <c r="O32" s="333">
        <v>0.19375000000000001</v>
      </c>
      <c r="P32" s="333">
        <v>0.2076388888888889</v>
      </c>
      <c r="Q32" s="332" t="s">
        <v>531</v>
      </c>
      <c r="R32" s="332" t="s">
        <v>230</v>
      </c>
      <c r="S32" s="332" t="s">
        <v>512</v>
      </c>
      <c r="T32" s="332"/>
    </row>
    <row r="33" spans="1:20" s="341" customFormat="1" ht="20.25" customHeight="1">
      <c r="A33" s="400">
        <v>30</v>
      </c>
      <c r="B33" s="332" t="s">
        <v>526</v>
      </c>
      <c r="C33" s="332" t="s">
        <v>530</v>
      </c>
      <c r="D33" s="332">
        <v>736</v>
      </c>
      <c r="E33" s="332" t="s">
        <v>511</v>
      </c>
      <c r="F33" s="332" t="s">
        <v>71</v>
      </c>
      <c r="G33" s="343"/>
      <c r="H33" s="332">
        <v>7</v>
      </c>
      <c r="I33" s="332"/>
      <c r="J33" s="332"/>
      <c r="K33" s="332"/>
      <c r="L33" s="332">
        <f t="shared" si="5"/>
        <v>2555</v>
      </c>
      <c r="M33" s="332">
        <v>2564</v>
      </c>
      <c r="N33" s="332">
        <f t="shared" si="4"/>
        <v>9</v>
      </c>
      <c r="O33" s="333">
        <v>0.21180555555555555</v>
      </c>
      <c r="P33" s="333">
        <v>0.2722222222222222</v>
      </c>
      <c r="Q33" s="332" t="s">
        <v>531</v>
      </c>
      <c r="R33" s="332" t="s">
        <v>230</v>
      </c>
      <c r="S33" s="332" t="s">
        <v>512</v>
      </c>
      <c r="T33" s="332"/>
    </row>
    <row r="34" spans="1:20" s="341" customFormat="1" ht="21.75" customHeight="1">
      <c r="A34" s="400">
        <v>31</v>
      </c>
      <c r="B34" s="332" t="s">
        <v>526</v>
      </c>
      <c r="C34" s="332" t="s">
        <v>527</v>
      </c>
      <c r="D34" s="332">
        <v>737</v>
      </c>
      <c r="E34" s="332" t="s">
        <v>511</v>
      </c>
      <c r="F34" s="332" t="s">
        <v>71</v>
      </c>
      <c r="G34" s="343"/>
      <c r="H34" s="338">
        <v>7</v>
      </c>
      <c r="I34" s="338"/>
      <c r="J34" s="338"/>
      <c r="K34" s="338"/>
      <c r="L34" s="332">
        <f t="shared" si="5"/>
        <v>2555</v>
      </c>
      <c r="M34" s="332">
        <v>2559</v>
      </c>
      <c r="N34" s="332">
        <f t="shared" si="4"/>
        <v>4</v>
      </c>
      <c r="O34" s="333">
        <v>0.27569444444444446</v>
      </c>
      <c r="P34" s="333">
        <v>0.30833333333333335</v>
      </c>
      <c r="Q34" s="332" t="s">
        <v>531</v>
      </c>
      <c r="R34" s="332" t="s">
        <v>230</v>
      </c>
      <c r="S34" s="332" t="s">
        <v>512</v>
      </c>
      <c r="T34" s="332"/>
    </row>
    <row r="35" spans="1:20" s="341" customFormat="1" ht="21.75" customHeight="1">
      <c r="A35" s="400">
        <v>32</v>
      </c>
      <c r="B35" s="332" t="s">
        <v>526</v>
      </c>
      <c r="C35" s="332" t="s">
        <v>528</v>
      </c>
      <c r="D35" s="332">
        <v>738</v>
      </c>
      <c r="E35" s="332" t="s">
        <v>511</v>
      </c>
      <c r="F35" s="332" t="s">
        <v>71</v>
      </c>
      <c r="G35" s="343"/>
      <c r="H35" s="338">
        <v>7</v>
      </c>
      <c r="I35" s="338"/>
      <c r="J35" s="338"/>
      <c r="K35" s="338"/>
      <c r="L35" s="332">
        <f t="shared" si="5"/>
        <v>2555</v>
      </c>
      <c r="M35" s="332">
        <v>2560</v>
      </c>
      <c r="N35" s="332">
        <f t="shared" si="4"/>
        <v>5</v>
      </c>
      <c r="O35" s="333">
        <v>0.31041666666666667</v>
      </c>
      <c r="P35" s="333">
        <v>0.32569444444444445</v>
      </c>
      <c r="Q35" s="332" t="s">
        <v>531</v>
      </c>
      <c r="R35" s="332" t="s">
        <v>230</v>
      </c>
      <c r="S35" s="332" t="s">
        <v>512</v>
      </c>
      <c r="T35" s="332"/>
    </row>
    <row r="36" spans="1:20" s="341" customFormat="1" ht="21.75" customHeight="1">
      <c r="A36" s="400">
        <v>33</v>
      </c>
      <c r="B36" s="332" t="s">
        <v>526</v>
      </c>
      <c r="C36" s="332" t="s">
        <v>529</v>
      </c>
      <c r="D36" s="332">
        <v>739</v>
      </c>
      <c r="E36" s="332" t="s">
        <v>511</v>
      </c>
      <c r="F36" s="332" t="s">
        <v>71</v>
      </c>
      <c r="G36" s="343"/>
      <c r="H36" s="338">
        <v>7</v>
      </c>
      <c r="I36" s="338"/>
      <c r="J36" s="338"/>
      <c r="K36" s="338"/>
      <c r="L36" s="332">
        <f t="shared" si="5"/>
        <v>2555</v>
      </c>
      <c r="M36" s="332">
        <v>2559</v>
      </c>
      <c r="N36" s="332">
        <f t="shared" si="4"/>
        <v>4</v>
      </c>
      <c r="O36" s="333">
        <v>0.30486111111111108</v>
      </c>
      <c r="P36" s="333">
        <v>0.34513888888888888</v>
      </c>
      <c r="Q36" s="332" t="s">
        <v>531</v>
      </c>
      <c r="R36" s="332" t="s">
        <v>230</v>
      </c>
      <c r="S36" s="332" t="s">
        <v>512</v>
      </c>
      <c r="T36" s="332"/>
    </row>
    <row r="37" spans="1:20" s="341" customFormat="1" ht="21.75" customHeight="1">
      <c r="A37" s="400">
        <v>34</v>
      </c>
      <c r="B37" s="332" t="s">
        <v>526</v>
      </c>
      <c r="C37" s="332" t="s">
        <v>530</v>
      </c>
      <c r="D37" s="332">
        <v>740</v>
      </c>
      <c r="E37" s="332" t="s">
        <v>511</v>
      </c>
      <c r="F37" s="332" t="s">
        <v>71</v>
      </c>
      <c r="G37" s="343"/>
      <c r="H37" s="338">
        <v>7</v>
      </c>
      <c r="I37" s="338"/>
      <c r="J37" s="338"/>
      <c r="K37" s="338"/>
      <c r="L37" s="332">
        <f t="shared" si="5"/>
        <v>2555</v>
      </c>
      <c r="M37" s="332">
        <v>2573</v>
      </c>
      <c r="N37" s="332">
        <f t="shared" si="4"/>
        <v>18</v>
      </c>
      <c r="O37" s="333">
        <v>0.35069444444444442</v>
      </c>
      <c r="P37" s="333">
        <v>0.38194444444444442</v>
      </c>
      <c r="Q37" s="332" t="s">
        <v>531</v>
      </c>
      <c r="R37" s="332" t="s">
        <v>230</v>
      </c>
      <c r="S37" s="332" t="s">
        <v>512</v>
      </c>
      <c r="T37" s="332"/>
    </row>
    <row r="38" spans="1:20" s="341" customFormat="1" ht="21.75" customHeight="1">
      <c r="A38" s="400">
        <v>35</v>
      </c>
      <c r="B38" s="332" t="s">
        <v>526</v>
      </c>
      <c r="C38" s="332" t="s">
        <v>514</v>
      </c>
      <c r="D38" s="332">
        <v>741</v>
      </c>
      <c r="E38" s="332" t="s">
        <v>511</v>
      </c>
      <c r="F38" s="332" t="s">
        <v>71</v>
      </c>
      <c r="G38" s="343"/>
      <c r="H38" s="338">
        <v>7</v>
      </c>
      <c r="I38" s="338"/>
      <c r="J38" s="338"/>
      <c r="K38" s="338"/>
      <c r="L38" s="332">
        <f t="shared" si="5"/>
        <v>2555</v>
      </c>
      <c r="M38" s="332">
        <v>2562</v>
      </c>
      <c r="N38" s="332">
        <f t="shared" si="4"/>
        <v>7</v>
      </c>
      <c r="O38" s="333">
        <v>0.38541666666666669</v>
      </c>
      <c r="P38" s="333">
        <v>0.40625</v>
      </c>
      <c r="Q38" s="332" t="s">
        <v>531</v>
      </c>
      <c r="R38" s="332" t="s">
        <v>230</v>
      </c>
      <c r="S38" s="332" t="s">
        <v>512</v>
      </c>
      <c r="T38" s="332"/>
    </row>
    <row r="39" spans="1:20" s="341" customFormat="1" ht="21.75" customHeight="1">
      <c r="A39" s="400">
        <v>36</v>
      </c>
      <c r="B39" s="332" t="s">
        <v>526</v>
      </c>
      <c r="C39" s="332" t="s">
        <v>513</v>
      </c>
      <c r="D39" s="332">
        <v>742</v>
      </c>
      <c r="E39" s="332" t="s">
        <v>511</v>
      </c>
      <c r="F39" s="332" t="s">
        <v>71</v>
      </c>
      <c r="G39" s="343"/>
      <c r="H39" s="338">
        <v>7</v>
      </c>
      <c r="I39" s="338"/>
      <c r="J39" s="338"/>
      <c r="K39" s="338"/>
      <c r="L39" s="332">
        <f t="shared" si="5"/>
        <v>2555</v>
      </c>
      <c r="M39" s="332">
        <v>2574</v>
      </c>
      <c r="N39" s="332">
        <f t="shared" si="4"/>
        <v>19</v>
      </c>
      <c r="O39" s="333">
        <v>0.40972222222222227</v>
      </c>
      <c r="P39" s="333">
        <v>0.44861111111111113</v>
      </c>
      <c r="Q39" s="332" t="s">
        <v>531</v>
      </c>
      <c r="R39" s="332" t="s">
        <v>230</v>
      </c>
      <c r="S39" s="332" t="s">
        <v>512</v>
      </c>
      <c r="T39" s="332"/>
    </row>
    <row r="40" spans="1:20" s="341" customFormat="1" ht="21.75" customHeight="1">
      <c r="A40" s="400">
        <v>37</v>
      </c>
      <c r="B40" s="332" t="s">
        <v>526</v>
      </c>
      <c r="C40" s="332" t="s">
        <v>522</v>
      </c>
      <c r="D40" s="332">
        <v>743</v>
      </c>
      <c r="E40" s="332" t="s">
        <v>511</v>
      </c>
      <c r="F40" s="332" t="s">
        <v>71</v>
      </c>
      <c r="G40" s="343"/>
      <c r="H40" s="338">
        <v>7</v>
      </c>
      <c r="I40" s="338"/>
      <c r="J40" s="338"/>
      <c r="K40" s="338"/>
      <c r="L40" s="332">
        <f t="shared" si="5"/>
        <v>2555</v>
      </c>
      <c r="M40" s="332">
        <v>2552</v>
      </c>
      <c r="N40" s="332">
        <f t="shared" si="4"/>
        <v>-3</v>
      </c>
      <c r="O40" s="333">
        <v>0.44791666666666669</v>
      </c>
      <c r="P40" s="333">
        <v>0.50347222222222221</v>
      </c>
      <c r="Q40" s="332" t="s">
        <v>531</v>
      </c>
      <c r="R40" s="332" t="s">
        <v>230</v>
      </c>
      <c r="S40" s="332" t="s">
        <v>512</v>
      </c>
      <c r="T40" s="332"/>
    </row>
    <row r="41" spans="1:20" s="341" customFormat="1" ht="21.75" customHeight="1">
      <c r="A41" s="400">
        <v>38</v>
      </c>
      <c r="B41" s="332" t="s">
        <v>526</v>
      </c>
      <c r="C41" s="332" t="s">
        <v>527</v>
      </c>
      <c r="D41" s="332">
        <v>744</v>
      </c>
      <c r="E41" s="332" t="s">
        <v>511</v>
      </c>
      <c r="F41" s="332" t="s">
        <v>71</v>
      </c>
      <c r="G41" s="343"/>
      <c r="H41" s="338">
        <v>7</v>
      </c>
      <c r="I41" s="338"/>
      <c r="J41" s="338"/>
      <c r="K41" s="338"/>
      <c r="L41" s="332">
        <f t="shared" si="5"/>
        <v>2555</v>
      </c>
      <c r="M41" s="332">
        <v>2569</v>
      </c>
      <c r="N41" s="332">
        <f t="shared" si="4"/>
        <v>14</v>
      </c>
      <c r="O41" s="333">
        <v>0.50763888888888886</v>
      </c>
      <c r="P41" s="333">
        <v>0.54166666666666663</v>
      </c>
      <c r="Q41" s="332" t="s">
        <v>531</v>
      </c>
      <c r="R41" s="332" t="s">
        <v>230</v>
      </c>
      <c r="S41" s="332" t="s">
        <v>512</v>
      </c>
      <c r="T41" s="332"/>
    </row>
    <row r="42" spans="1:20" s="341" customFormat="1" ht="21.75" customHeight="1">
      <c r="A42" s="400">
        <v>39</v>
      </c>
      <c r="B42" s="332" t="s">
        <v>526</v>
      </c>
      <c r="C42" s="332" t="s">
        <v>528</v>
      </c>
      <c r="D42" s="332">
        <v>745</v>
      </c>
      <c r="E42" s="332" t="s">
        <v>511</v>
      </c>
      <c r="F42" s="332" t="s">
        <v>71</v>
      </c>
      <c r="G42" s="343"/>
      <c r="H42" s="338">
        <v>7</v>
      </c>
      <c r="I42" s="338"/>
      <c r="J42" s="338"/>
      <c r="K42" s="338"/>
      <c r="L42" s="332">
        <f t="shared" si="5"/>
        <v>2555</v>
      </c>
      <c r="M42" s="332">
        <v>2563</v>
      </c>
      <c r="N42" s="332">
        <f t="shared" si="4"/>
        <v>8</v>
      </c>
      <c r="O42" s="333">
        <v>0.54166666666666663</v>
      </c>
      <c r="P42" s="333">
        <v>0.56805555555555554</v>
      </c>
      <c r="Q42" s="332" t="s">
        <v>531</v>
      </c>
      <c r="R42" s="332" t="s">
        <v>230</v>
      </c>
      <c r="S42" s="332" t="s">
        <v>512</v>
      </c>
      <c r="T42" s="332"/>
    </row>
    <row r="43" spans="1:20" s="341" customFormat="1" ht="21.75" customHeight="1">
      <c r="A43" s="400">
        <v>40</v>
      </c>
      <c r="B43" s="332" t="s">
        <v>526</v>
      </c>
      <c r="C43" s="332" t="s">
        <v>529</v>
      </c>
      <c r="D43" s="332">
        <v>746</v>
      </c>
      <c r="E43" s="332" t="s">
        <v>511</v>
      </c>
      <c r="F43" s="332" t="s">
        <v>71</v>
      </c>
      <c r="G43" s="343"/>
      <c r="H43" s="338">
        <v>7</v>
      </c>
      <c r="I43" s="338"/>
      <c r="J43" s="338"/>
      <c r="K43" s="338"/>
      <c r="L43" s="332">
        <f t="shared" si="5"/>
        <v>2555</v>
      </c>
      <c r="M43" s="332">
        <v>2563</v>
      </c>
      <c r="N43" s="332">
        <f t="shared" si="4"/>
        <v>8</v>
      </c>
      <c r="O43" s="333">
        <v>0.57013888888888886</v>
      </c>
      <c r="P43" s="333">
        <v>0.58333333333333337</v>
      </c>
      <c r="Q43" s="332" t="s">
        <v>531</v>
      </c>
      <c r="R43" s="332" t="s">
        <v>230</v>
      </c>
      <c r="S43" s="332" t="s">
        <v>512</v>
      </c>
      <c r="T43" s="332"/>
    </row>
    <row r="44" spans="1:20" s="341" customFormat="1" ht="21.75" customHeight="1">
      <c r="A44" s="400">
        <v>41</v>
      </c>
      <c r="B44" s="332" t="s">
        <v>526</v>
      </c>
      <c r="C44" s="332" t="s">
        <v>530</v>
      </c>
      <c r="D44" s="332">
        <v>747</v>
      </c>
      <c r="E44" s="332" t="s">
        <v>511</v>
      </c>
      <c r="F44" s="332" t="s">
        <v>71</v>
      </c>
      <c r="G44" s="343"/>
      <c r="H44" s="338">
        <v>7</v>
      </c>
      <c r="I44" s="338"/>
      <c r="J44" s="338"/>
      <c r="K44" s="338"/>
      <c r="L44" s="332">
        <f t="shared" si="5"/>
        <v>2555</v>
      </c>
      <c r="M44" s="332">
        <v>2555</v>
      </c>
      <c r="N44" s="332">
        <f t="shared" si="4"/>
        <v>0</v>
      </c>
      <c r="O44" s="333">
        <v>0.58333333333333337</v>
      </c>
      <c r="P44" s="333">
        <v>0.60138888888888886</v>
      </c>
      <c r="Q44" s="332" t="s">
        <v>531</v>
      </c>
      <c r="R44" s="332" t="s">
        <v>230</v>
      </c>
      <c r="S44" s="332" t="s">
        <v>512</v>
      </c>
      <c r="T44" s="332"/>
    </row>
    <row r="45" spans="1:20" s="341" customFormat="1" ht="21.75" customHeight="1">
      <c r="A45" s="400">
        <v>42</v>
      </c>
      <c r="B45" s="332" t="s">
        <v>526</v>
      </c>
      <c r="C45" s="332" t="s">
        <v>514</v>
      </c>
      <c r="D45" s="334">
        <v>748</v>
      </c>
      <c r="E45" s="332" t="s">
        <v>511</v>
      </c>
      <c r="F45" s="332" t="s">
        <v>71</v>
      </c>
      <c r="G45" s="357"/>
      <c r="H45" s="358">
        <v>7</v>
      </c>
      <c r="I45" s="358"/>
      <c r="J45" s="358"/>
      <c r="K45" s="358"/>
      <c r="L45" s="334">
        <f t="shared" si="5"/>
        <v>2555</v>
      </c>
      <c r="M45" s="334">
        <v>2560</v>
      </c>
      <c r="N45" s="332">
        <f t="shared" ref="N45:N108" si="6">M45-L45</f>
        <v>5</v>
      </c>
      <c r="O45" s="333">
        <v>0.60416666666666663</v>
      </c>
      <c r="P45" s="333">
        <v>0.62291666666666667</v>
      </c>
      <c r="Q45" s="332" t="s">
        <v>531</v>
      </c>
      <c r="R45" s="332" t="s">
        <v>230</v>
      </c>
      <c r="S45" s="332" t="s">
        <v>512</v>
      </c>
      <c r="T45" s="334"/>
    </row>
    <row r="46" spans="1:20" s="341" customFormat="1" ht="21.75" customHeight="1">
      <c r="A46" s="400">
        <v>43</v>
      </c>
      <c r="B46" s="332" t="s">
        <v>526</v>
      </c>
      <c r="C46" s="332" t="s">
        <v>513</v>
      </c>
      <c r="D46" s="334">
        <v>749</v>
      </c>
      <c r="E46" s="332" t="s">
        <v>511</v>
      </c>
      <c r="F46" s="332" t="s">
        <v>71</v>
      </c>
      <c r="G46" s="357"/>
      <c r="H46" s="358">
        <v>7</v>
      </c>
      <c r="I46" s="358"/>
      <c r="J46" s="358"/>
      <c r="K46" s="358"/>
      <c r="L46" s="334">
        <f t="shared" si="5"/>
        <v>2555</v>
      </c>
      <c r="M46" s="334">
        <v>2559</v>
      </c>
      <c r="N46" s="332">
        <f t="shared" si="6"/>
        <v>4</v>
      </c>
      <c r="O46" s="359">
        <v>0.62708333333333333</v>
      </c>
      <c r="P46" s="359">
        <v>0.64930555555555558</v>
      </c>
      <c r="Q46" s="332" t="s">
        <v>531</v>
      </c>
      <c r="R46" s="332" t="s">
        <v>230</v>
      </c>
      <c r="S46" s="332" t="s">
        <v>512</v>
      </c>
      <c r="T46" s="334"/>
    </row>
    <row r="47" spans="1:20" s="341" customFormat="1" ht="21.75" customHeight="1">
      <c r="A47" s="400">
        <v>44</v>
      </c>
      <c r="B47" s="332" t="s">
        <v>526</v>
      </c>
      <c r="C47" s="332" t="s">
        <v>527</v>
      </c>
      <c r="D47" s="334">
        <v>751</v>
      </c>
      <c r="E47" s="332" t="s">
        <v>511</v>
      </c>
      <c r="F47" s="332" t="s">
        <v>71</v>
      </c>
      <c r="G47" s="357"/>
      <c r="H47" s="358">
        <v>7</v>
      </c>
      <c r="I47" s="358"/>
      <c r="J47" s="358"/>
      <c r="K47" s="358"/>
      <c r="L47" s="334">
        <f t="shared" si="5"/>
        <v>2555</v>
      </c>
      <c r="M47" s="334">
        <v>2564</v>
      </c>
      <c r="N47" s="332">
        <f t="shared" si="6"/>
        <v>9</v>
      </c>
      <c r="O47" s="359">
        <v>0.65138888888888891</v>
      </c>
      <c r="P47" s="359">
        <v>0.66666666666666663</v>
      </c>
      <c r="Q47" s="332" t="s">
        <v>531</v>
      </c>
      <c r="R47" s="332" t="s">
        <v>230</v>
      </c>
      <c r="S47" s="332" t="s">
        <v>512</v>
      </c>
      <c r="T47" s="334"/>
    </row>
    <row r="48" spans="1:20" s="341" customFormat="1" ht="21.75" customHeight="1">
      <c r="A48" s="400">
        <v>45</v>
      </c>
      <c r="B48" s="332" t="s">
        <v>526</v>
      </c>
      <c r="C48" s="332" t="s">
        <v>528</v>
      </c>
      <c r="D48" s="334">
        <v>752</v>
      </c>
      <c r="E48" s="332" t="s">
        <v>511</v>
      </c>
      <c r="F48" s="332" t="s">
        <v>71</v>
      </c>
      <c r="G48" s="357"/>
      <c r="H48" s="358">
        <v>7</v>
      </c>
      <c r="I48" s="358"/>
      <c r="J48" s="358"/>
      <c r="K48" s="358"/>
      <c r="L48" s="334">
        <f t="shared" si="5"/>
        <v>2555</v>
      </c>
      <c r="M48" s="334">
        <v>2568</v>
      </c>
      <c r="N48" s="332">
        <f t="shared" si="6"/>
        <v>13</v>
      </c>
      <c r="O48" s="359">
        <v>0.70277777777777783</v>
      </c>
      <c r="P48" s="359">
        <v>0.72777777777777775</v>
      </c>
      <c r="Q48" s="332" t="s">
        <v>531</v>
      </c>
      <c r="R48" s="332" t="s">
        <v>230</v>
      </c>
      <c r="S48" s="332" t="s">
        <v>512</v>
      </c>
      <c r="T48" s="334"/>
    </row>
    <row r="49" spans="1:20" s="341" customFormat="1" ht="21.75" customHeight="1">
      <c r="A49" s="400">
        <v>46</v>
      </c>
      <c r="B49" s="332" t="s">
        <v>526</v>
      </c>
      <c r="C49" s="332" t="s">
        <v>529</v>
      </c>
      <c r="D49" s="334">
        <v>753</v>
      </c>
      <c r="E49" s="332" t="s">
        <v>511</v>
      </c>
      <c r="F49" s="332" t="s">
        <v>71</v>
      </c>
      <c r="G49" s="357"/>
      <c r="H49" s="358">
        <v>7</v>
      </c>
      <c r="I49" s="358"/>
      <c r="J49" s="358"/>
      <c r="K49" s="358"/>
      <c r="L49" s="334">
        <f t="shared" si="5"/>
        <v>2555</v>
      </c>
      <c r="M49" s="334">
        <v>2564</v>
      </c>
      <c r="N49" s="332">
        <f t="shared" si="6"/>
        <v>9</v>
      </c>
      <c r="O49" s="359">
        <v>0.6875</v>
      </c>
      <c r="P49" s="359">
        <v>0.69791666666666663</v>
      </c>
      <c r="Q49" s="332" t="s">
        <v>531</v>
      </c>
      <c r="R49" s="332" t="s">
        <v>230</v>
      </c>
      <c r="S49" s="332" t="s">
        <v>512</v>
      </c>
      <c r="T49" s="334"/>
    </row>
    <row r="50" spans="1:20" s="341" customFormat="1" ht="21.75" customHeight="1">
      <c r="A50" s="400">
        <v>47</v>
      </c>
      <c r="B50" s="332" t="s">
        <v>526</v>
      </c>
      <c r="C50" s="332" t="s">
        <v>530</v>
      </c>
      <c r="D50" s="334">
        <v>754</v>
      </c>
      <c r="E50" s="332" t="s">
        <v>511</v>
      </c>
      <c r="F50" s="332" t="s">
        <v>71</v>
      </c>
      <c r="G50" s="357"/>
      <c r="H50" s="358">
        <v>7</v>
      </c>
      <c r="I50" s="358"/>
      <c r="J50" s="358"/>
      <c r="K50" s="358"/>
      <c r="L50" s="334">
        <f t="shared" si="5"/>
        <v>2555</v>
      </c>
      <c r="M50" s="334">
        <v>2562</v>
      </c>
      <c r="N50" s="332">
        <f t="shared" si="6"/>
        <v>7</v>
      </c>
      <c r="O50" s="359">
        <v>0.73055555555555562</v>
      </c>
      <c r="P50" s="359">
        <v>0.73958333333333337</v>
      </c>
      <c r="Q50" s="332" t="s">
        <v>531</v>
      </c>
      <c r="R50" s="332" t="s">
        <v>230</v>
      </c>
      <c r="S50" s="332" t="s">
        <v>512</v>
      </c>
      <c r="T50" s="334"/>
    </row>
    <row r="51" spans="1:20" s="341" customFormat="1" ht="21.75" customHeight="1">
      <c r="A51" s="400">
        <v>48</v>
      </c>
      <c r="B51" s="332" t="s">
        <v>526</v>
      </c>
      <c r="C51" s="332" t="s">
        <v>514</v>
      </c>
      <c r="D51" s="334">
        <v>755</v>
      </c>
      <c r="E51" s="332" t="s">
        <v>511</v>
      </c>
      <c r="F51" s="332" t="s">
        <v>71</v>
      </c>
      <c r="G51" s="357"/>
      <c r="H51" s="358">
        <v>7</v>
      </c>
      <c r="I51" s="358"/>
      <c r="J51" s="358"/>
      <c r="K51" s="358"/>
      <c r="L51" s="334">
        <f t="shared" si="5"/>
        <v>2555</v>
      </c>
      <c r="M51" s="334">
        <v>2561</v>
      </c>
      <c r="N51" s="332">
        <f t="shared" si="6"/>
        <v>6</v>
      </c>
      <c r="O51" s="359">
        <v>0.7402777777777777</v>
      </c>
      <c r="P51" s="359">
        <v>0.75416666666666676</v>
      </c>
      <c r="Q51" s="332" t="s">
        <v>531</v>
      </c>
      <c r="R51" s="332" t="s">
        <v>230</v>
      </c>
      <c r="S51" s="332" t="s">
        <v>512</v>
      </c>
      <c r="T51" s="334"/>
    </row>
    <row r="52" spans="1:20" s="341" customFormat="1" ht="21.75" customHeight="1">
      <c r="A52" s="400">
        <v>49</v>
      </c>
      <c r="B52" s="332" t="s">
        <v>526</v>
      </c>
      <c r="C52" s="332" t="s">
        <v>513</v>
      </c>
      <c r="D52" s="334">
        <v>756</v>
      </c>
      <c r="E52" s="332" t="s">
        <v>511</v>
      </c>
      <c r="F52" s="332" t="s">
        <v>71</v>
      </c>
      <c r="G52" s="357"/>
      <c r="H52" s="358">
        <v>7</v>
      </c>
      <c r="I52" s="358"/>
      <c r="J52" s="358"/>
      <c r="K52" s="358"/>
      <c r="L52" s="334">
        <f t="shared" si="5"/>
        <v>2555</v>
      </c>
      <c r="M52" s="334">
        <v>2570</v>
      </c>
      <c r="N52" s="332">
        <f t="shared" si="6"/>
        <v>15</v>
      </c>
      <c r="O52" s="359">
        <v>0.76041666666666663</v>
      </c>
      <c r="P52" s="359">
        <v>0.77083333333333337</v>
      </c>
      <c r="Q52" s="332" t="s">
        <v>531</v>
      </c>
      <c r="R52" s="332" t="s">
        <v>230</v>
      </c>
      <c r="S52" s="332" t="s">
        <v>512</v>
      </c>
      <c r="T52" s="334"/>
    </row>
    <row r="53" spans="1:20" s="341" customFormat="1" ht="21.75" customHeight="1">
      <c r="A53" s="400">
        <v>50</v>
      </c>
      <c r="B53" s="332" t="s">
        <v>526</v>
      </c>
      <c r="C53" s="332" t="s">
        <v>527</v>
      </c>
      <c r="D53" s="334">
        <v>757</v>
      </c>
      <c r="E53" s="332" t="s">
        <v>511</v>
      </c>
      <c r="F53" s="332" t="s">
        <v>71</v>
      </c>
      <c r="G53" s="357"/>
      <c r="H53" s="358">
        <v>7</v>
      </c>
      <c r="I53" s="358"/>
      <c r="J53" s="358"/>
      <c r="K53" s="358"/>
      <c r="L53" s="334">
        <f t="shared" si="5"/>
        <v>2555</v>
      </c>
      <c r="M53" s="334">
        <v>2560</v>
      </c>
      <c r="N53" s="332">
        <f t="shared" si="6"/>
        <v>5</v>
      </c>
      <c r="O53" s="359">
        <v>0.78333333333333333</v>
      </c>
      <c r="P53" s="359">
        <v>0.81944444444444453</v>
      </c>
      <c r="Q53" s="332" t="s">
        <v>531</v>
      </c>
      <c r="R53" s="332" t="s">
        <v>230</v>
      </c>
      <c r="S53" s="332" t="s">
        <v>512</v>
      </c>
      <c r="T53" s="334"/>
    </row>
    <row r="54" spans="1:20" s="341" customFormat="1" ht="21.75" customHeight="1">
      <c r="A54" s="400">
        <v>51</v>
      </c>
      <c r="B54" s="332" t="s">
        <v>526</v>
      </c>
      <c r="C54" s="332" t="s">
        <v>528</v>
      </c>
      <c r="D54" s="334">
        <v>758</v>
      </c>
      <c r="E54" s="332" t="s">
        <v>511</v>
      </c>
      <c r="F54" s="332" t="s">
        <v>71</v>
      </c>
      <c r="G54" s="357"/>
      <c r="H54" s="358">
        <v>7</v>
      </c>
      <c r="I54" s="358"/>
      <c r="J54" s="358"/>
      <c r="K54" s="358"/>
      <c r="L54" s="334">
        <f t="shared" si="5"/>
        <v>2555</v>
      </c>
      <c r="M54" s="334">
        <v>2564</v>
      </c>
      <c r="N54" s="332">
        <f t="shared" si="6"/>
        <v>9</v>
      </c>
      <c r="O54" s="359">
        <v>0.82638888888888884</v>
      </c>
      <c r="P54" s="359">
        <v>0.83819444444444446</v>
      </c>
      <c r="Q54" s="332" t="s">
        <v>531</v>
      </c>
      <c r="R54" s="332" t="s">
        <v>230</v>
      </c>
      <c r="S54" s="332" t="s">
        <v>512</v>
      </c>
      <c r="T54" s="334"/>
    </row>
    <row r="55" spans="1:20" s="341" customFormat="1" ht="21.75" customHeight="1">
      <c r="A55" s="400">
        <v>52</v>
      </c>
      <c r="B55" s="332" t="s">
        <v>526</v>
      </c>
      <c r="C55" s="332" t="s">
        <v>529</v>
      </c>
      <c r="D55" s="334">
        <v>759</v>
      </c>
      <c r="E55" s="332" t="s">
        <v>511</v>
      </c>
      <c r="F55" s="332" t="s">
        <v>71</v>
      </c>
      <c r="G55" s="357"/>
      <c r="H55" s="358">
        <v>7</v>
      </c>
      <c r="I55" s="358"/>
      <c r="J55" s="358"/>
      <c r="K55" s="358"/>
      <c r="L55" s="334">
        <f t="shared" si="5"/>
        <v>2555</v>
      </c>
      <c r="M55" s="334">
        <v>2560</v>
      </c>
      <c r="N55" s="332">
        <f t="shared" si="6"/>
        <v>5</v>
      </c>
      <c r="O55" s="359">
        <v>0.85486111111111107</v>
      </c>
      <c r="P55" s="359">
        <v>0.87847222222222221</v>
      </c>
      <c r="Q55" s="332" t="s">
        <v>531</v>
      </c>
      <c r="R55" s="332" t="s">
        <v>230</v>
      </c>
      <c r="S55" s="332" t="s">
        <v>512</v>
      </c>
      <c r="T55" s="334"/>
    </row>
    <row r="56" spans="1:20" s="341" customFormat="1" ht="21.75" customHeight="1">
      <c r="A56" s="400">
        <v>53</v>
      </c>
      <c r="B56" s="332" t="s">
        <v>526</v>
      </c>
      <c r="C56" s="332" t="s">
        <v>530</v>
      </c>
      <c r="D56" s="334">
        <v>760</v>
      </c>
      <c r="E56" s="332" t="s">
        <v>511</v>
      </c>
      <c r="F56" s="332" t="s">
        <v>71</v>
      </c>
      <c r="G56" s="357"/>
      <c r="H56" s="358">
        <v>7</v>
      </c>
      <c r="I56" s="358"/>
      <c r="J56" s="358"/>
      <c r="K56" s="358"/>
      <c r="L56" s="334">
        <f t="shared" si="5"/>
        <v>2555</v>
      </c>
      <c r="M56" s="334">
        <v>2563</v>
      </c>
      <c r="N56" s="332">
        <f t="shared" si="6"/>
        <v>8</v>
      </c>
      <c r="O56" s="359">
        <v>0.88263888888888886</v>
      </c>
      <c r="P56" s="359">
        <v>0.97916666666666663</v>
      </c>
      <c r="Q56" s="332" t="s">
        <v>531</v>
      </c>
      <c r="R56" s="332" t="s">
        <v>230</v>
      </c>
      <c r="S56" s="332" t="s">
        <v>512</v>
      </c>
      <c r="T56" s="334"/>
    </row>
    <row r="57" spans="1:20" s="341" customFormat="1" ht="21.75" customHeight="1">
      <c r="A57" s="400">
        <v>54</v>
      </c>
      <c r="B57" s="332" t="s">
        <v>526</v>
      </c>
      <c r="C57" s="332" t="s">
        <v>522</v>
      </c>
      <c r="D57" s="334">
        <v>761</v>
      </c>
      <c r="E57" s="332" t="s">
        <v>511</v>
      </c>
      <c r="F57" s="332" t="s">
        <v>71</v>
      </c>
      <c r="G57" s="357"/>
      <c r="H57" s="358">
        <v>7</v>
      </c>
      <c r="I57" s="358"/>
      <c r="J57" s="358"/>
      <c r="K57" s="358"/>
      <c r="L57" s="334">
        <f t="shared" si="5"/>
        <v>2555</v>
      </c>
      <c r="M57" s="334">
        <v>2566</v>
      </c>
      <c r="N57" s="332">
        <f t="shared" si="6"/>
        <v>11</v>
      </c>
      <c r="O57" s="359">
        <v>1.0048611111111112</v>
      </c>
      <c r="P57" s="359">
        <v>1.0166666666666666</v>
      </c>
      <c r="Q57" s="332" t="s">
        <v>531</v>
      </c>
      <c r="R57" s="332" t="s">
        <v>230</v>
      </c>
      <c r="S57" s="332" t="s">
        <v>512</v>
      </c>
      <c r="T57" s="334"/>
    </row>
    <row r="58" spans="1:20" s="341" customFormat="1" ht="21.75" customHeight="1">
      <c r="A58" s="400">
        <v>55</v>
      </c>
      <c r="B58" s="332" t="s">
        <v>526</v>
      </c>
      <c r="C58" s="332" t="s">
        <v>514</v>
      </c>
      <c r="D58" s="334">
        <v>762</v>
      </c>
      <c r="E58" s="332" t="s">
        <v>511</v>
      </c>
      <c r="F58" s="332" t="s">
        <v>71</v>
      </c>
      <c r="G58" s="357"/>
      <c r="H58" s="358">
        <v>7</v>
      </c>
      <c r="I58" s="358"/>
      <c r="J58" s="358"/>
      <c r="K58" s="358"/>
      <c r="L58" s="334">
        <f t="shared" si="5"/>
        <v>2555</v>
      </c>
      <c r="M58" s="334">
        <v>2560</v>
      </c>
      <c r="N58" s="332">
        <f t="shared" si="6"/>
        <v>5</v>
      </c>
      <c r="O58" s="359">
        <v>1.0041666666666667</v>
      </c>
      <c r="P58" s="359">
        <v>1.0319444444444443</v>
      </c>
      <c r="Q58" s="332" t="s">
        <v>531</v>
      </c>
      <c r="R58" s="332" t="s">
        <v>230</v>
      </c>
      <c r="S58" s="332" t="s">
        <v>512</v>
      </c>
      <c r="T58" s="334"/>
    </row>
    <row r="59" spans="1:20" s="341" customFormat="1" ht="21.75" customHeight="1">
      <c r="A59" s="400">
        <v>56</v>
      </c>
      <c r="B59" s="332" t="s">
        <v>526</v>
      </c>
      <c r="C59" s="332" t="s">
        <v>513</v>
      </c>
      <c r="D59" s="334">
        <v>763</v>
      </c>
      <c r="E59" s="332" t="s">
        <v>511</v>
      </c>
      <c r="F59" s="332" t="s">
        <v>71</v>
      </c>
      <c r="G59" s="357"/>
      <c r="H59" s="358">
        <v>7</v>
      </c>
      <c r="I59" s="358"/>
      <c r="J59" s="358"/>
      <c r="K59" s="358"/>
      <c r="L59" s="334">
        <f t="shared" si="5"/>
        <v>2555</v>
      </c>
      <c r="M59" s="334">
        <v>2563</v>
      </c>
      <c r="N59" s="332">
        <f t="shared" si="6"/>
        <v>8</v>
      </c>
      <c r="O59" s="359">
        <v>1.0354166666666667</v>
      </c>
      <c r="P59" s="359">
        <v>4.7222222222222221E-2</v>
      </c>
      <c r="Q59" s="332" t="s">
        <v>531</v>
      </c>
      <c r="R59" s="332" t="s">
        <v>230</v>
      </c>
      <c r="S59" s="332" t="s">
        <v>512</v>
      </c>
      <c r="T59" s="334"/>
    </row>
    <row r="60" spans="1:20" s="341" customFormat="1" ht="21.75" customHeight="1">
      <c r="A60" s="400">
        <v>57</v>
      </c>
      <c r="B60" s="332" t="s">
        <v>526</v>
      </c>
      <c r="C60" s="332" t="s">
        <v>527</v>
      </c>
      <c r="D60" s="334">
        <v>764</v>
      </c>
      <c r="E60" s="332" t="s">
        <v>511</v>
      </c>
      <c r="F60" s="332" t="s">
        <v>71</v>
      </c>
      <c r="G60" s="357"/>
      <c r="H60" s="358">
        <v>7</v>
      </c>
      <c r="I60" s="358"/>
      <c r="J60" s="358"/>
      <c r="K60" s="358"/>
      <c r="L60" s="334">
        <f t="shared" si="5"/>
        <v>2555</v>
      </c>
      <c r="M60" s="334">
        <v>2561</v>
      </c>
      <c r="N60" s="332">
        <f t="shared" si="6"/>
        <v>6</v>
      </c>
      <c r="O60" s="359">
        <v>4.8611111111111112E-2</v>
      </c>
      <c r="P60" s="359">
        <v>6.9444444444444434E-2</v>
      </c>
      <c r="Q60" s="332" t="s">
        <v>531</v>
      </c>
      <c r="R60" s="332" t="s">
        <v>230</v>
      </c>
      <c r="S60" s="332" t="s">
        <v>512</v>
      </c>
      <c r="T60" s="334"/>
    </row>
    <row r="61" spans="1:20" s="341" customFormat="1" ht="21.75" customHeight="1">
      <c r="A61" s="400">
        <v>58</v>
      </c>
      <c r="B61" s="332" t="s">
        <v>526</v>
      </c>
      <c r="C61" s="332" t="s">
        <v>528</v>
      </c>
      <c r="D61" s="334">
        <v>765</v>
      </c>
      <c r="E61" s="332" t="s">
        <v>511</v>
      </c>
      <c r="F61" s="332" t="s">
        <v>71</v>
      </c>
      <c r="G61" s="357"/>
      <c r="H61" s="358">
        <v>7</v>
      </c>
      <c r="I61" s="358"/>
      <c r="J61" s="358"/>
      <c r="K61" s="358"/>
      <c r="L61" s="334">
        <f t="shared" si="5"/>
        <v>2555</v>
      </c>
      <c r="M61" s="334">
        <v>2552</v>
      </c>
      <c r="N61" s="332">
        <f t="shared" si="6"/>
        <v>-3</v>
      </c>
      <c r="O61" s="359">
        <v>7.1527777777777787E-2</v>
      </c>
      <c r="P61" s="359">
        <v>8.819444444444445E-2</v>
      </c>
      <c r="Q61" s="332" t="s">
        <v>531</v>
      </c>
      <c r="R61" s="332" t="s">
        <v>230</v>
      </c>
      <c r="S61" s="332" t="s">
        <v>512</v>
      </c>
      <c r="T61" s="334"/>
    </row>
    <row r="62" spans="1:20" s="341" customFormat="1" ht="21.75" customHeight="1">
      <c r="A62" s="400">
        <v>59</v>
      </c>
      <c r="B62" s="332" t="s">
        <v>526</v>
      </c>
      <c r="C62" s="332" t="s">
        <v>529</v>
      </c>
      <c r="D62" s="334">
        <v>766</v>
      </c>
      <c r="E62" s="332" t="s">
        <v>511</v>
      </c>
      <c r="F62" s="332" t="s">
        <v>71</v>
      </c>
      <c r="G62" s="357"/>
      <c r="H62" s="358">
        <v>7</v>
      </c>
      <c r="I62" s="358"/>
      <c r="J62" s="358"/>
      <c r="K62" s="358"/>
      <c r="L62" s="334">
        <f t="shared" si="5"/>
        <v>2555</v>
      </c>
      <c r="M62" s="334">
        <v>2566</v>
      </c>
      <c r="N62" s="332">
        <f t="shared" si="6"/>
        <v>11</v>
      </c>
      <c r="O62" s="359">
        <v>9.0277777777777776E-2</v>
      </c>
      <c r="P62" s="359">
        <v>0.11666666666666665</v>
      </c>
      <c r="Q62" s="332" t="s">
        <v>531</v>
      </c>
      <c r="R62" s="332" t="s">
        <v>230</v>
      </c>
      <c r="S62" s="332" t="s">
        <v>512</v>
      </c>
      <c r="T62" s="334"/>
    </row>
    <row r="63" spans="1:20" s="341" customFormat="1" ht="21.75" customHeight="1">
      <c r="A63" s="400">
        <v>60</v>
      </c>
      <c r="B63" s="332" t="s">
        <v>526</v>
      </c>
      <c r="C63" s="332" t="s">
        <v>536</v>
      </c>
      <c r="D63" s="334">
        <v>905350017</v>
      </c>
      <c r="E63" s="332" t="s">
        <v>511</v>
      </c>
      <c r="F63" s="332" t="s">
        <v>71</v>
      </c>
      <c r="G63" s="357"/>
      <c r="H63" s="358">
        <v>7</v>
      </c>
      <c r="I63" s="358"/>
      <c r="J63" s="358"/>
      <c r="K63" s="358"/>
      <c r="L63" s="334">
        <f t="shared" si="5"/>
        <v>2555</v>
      </c>
      <c r="M63" s="334">
        <v>2554</v>
      </c>
      <c r="N63" s="332">
        <f t="shared" si="6"/>
        <v>-1</v>
      </c>
      <c r="O63" s="359">
        <v>9.0972222222222218E-2</v>
      </c>
      <c r="P63" s="359">
        <v>0.10347222222222223</v>
      </c>
      <c r="Q63" s="332" t="s">
        <v>531</v>
      </c>
      <c r="R63" s="332" t="s">
        <v>230</v>
      </c>
      <c r="S63" s="332" t="s">
        <v>535</v>
      </c>
      <c r="T63" s="334"/>
    </row>
    <row r="64" spans="1:20" s="341" customFormat="1" ht="21.75" customHeight="1">
      <c r="A64" s="400">
        <v>61</v>
      </c>
      <c r="B64" s="332" t="s">
        <v>526</v>
      </c>
      <c r="C64" s="332" t="s">
        <v>537</v>
      </c>
      <c r="D64" s="334">
        <v>905350018</v>
      </c>
      <c r="E64" s="332" t="s">
        <v>511</v>
      </c>
      <c r="F64" s="332" t="s">
        <v>71</v>
      </c>
      <c r="G64" s="357"/>
      <c r="H64" s="358">
        <v>7</v>
      </c>
      <c r="I64" s="358"/>
      <c r="J64" s="358"/>
      <c r="K64" s="358"/>
      <c r="L64" s="334">
        <f t="shared" si="5"/>
        <v>2555</v>
      </c>
      <c r="M64" s="334">
        <v>2556</v>
      </c>
      <c r="N64" s="332">
        <f t="shared" si="6"/>
        <v>1</v>
      </c>
      <c r="O64" s="359">
        <v>0.10902777777777778</v>
      </c>
      <c r="P64" s="359">
        <v>0.12013888888888889</v>
      </c>
      <c r="Q64" s="332" t="s">
        <v>531</v>
      </c>
      <c r="R64" s="332" t="s">
        <v>230</v>
      </c>
      <c r="S64" s="332" t="s">
        <v>535</v>
      </c>
      <c r="T64" s="334"/>
    </row>
    <row r="65" spans="1:20" s="341" customFormat="1" ht="21.75" customHeight="1">
      <c r="A65" s="400">
        <v>62</v>
      </c>
      <c r="B65" s="332" t="s">
        <v>526</v>
      </c>
      <c r="C65" s="332" t="s">
        <v>538</v>
      </c>
      <c r="D65" s="334">
        <v>905350019</v>
      </c>
      <c r="E65" s="332" t="s">
        <v>511</v>
      </c>
      <c r="F65" s="332" t="s">
        <v>71</v>
      </c>
      <c r="G65" s="357"/>
      <c r="H65" s="358">
        <v>7</v>
      </c>
      <c r="I65" s="358"/>
      <c r="J65" s="358"/>
      <c r="K65" s="358"/>
      <c r="L65" s="334">
        <f t="shared" si="5"/>
        <v>2555</v>
      </c>
      <c r="M65" s="334">
        <v>2553</v>
      </c>
      <c r="N65" s="332">
        <f t="shared" si="6"/>
        <v>-2</v>
      </c>
      <c r="O65" s="359">
        <v>0.12361111111111112</v>
      </c>
      <c r="P65" s="359">
        <v>0.13472222222222222</v>
      </c>
      <c r="Q65" s="332" t="s">
        <v>531</v>
      </c>
      <c r="R65" s="332" t="s">
        <v>230</v>
      </c>
      <c r="S65" s="332" t="s">
        <v>535</v>
      </c>
      <c r="T65" s="334"/>
    </row>
    <row r="66" spans="1:20" s="341" customFormat="1" ht="21.75" customHeight="1">
      <c r="A66" s="400">
        <v>63</v>
      </c>
      <c r="B66" s="332" t="s">
        <v>526</v>
      </c>
      <c r="C66" s="332" t="s">
        <v>539</v>
      </c>
      <c r="D66" s="334">
        <v>905350020</v>
      </c>
      <c r="E66" s="332" t="s">
        <v>511</v>
      </c>
      <c r="F66" s="332" t="s">
        <v>71</v>
      </c>
      <c r="G66" s="357"/>
      <c r="H66" s="358">
        <v>7</v>
      </c>
      <c r="I66" s="358"/>
      <c r="J66" s="358"/>
      <c r="K66" s="358"/>
      <c r="L66" s="334">
        <f t="shared" si="5"/>
        <v>2555</v>
      </c>
      <c r="M66" s="334">
        <v>2557</v>
      </c>
      <c r="N66" s="332">
        <f t="shared" si="6"/>
        <v>2</v>
      </c>
      <c r="O66" s="359">
        <v>0.14375000000000002</v>
      </c>
      <c r="P66" s="359">
        <v>0.15277777777777776</v>
      </c>
      <c r="Q66" s="332" t="s">
        <v>531</v>
      </c>
      <c r="R66" s="332" t="s">
        <v>230</v>
      </c>
      <c r="S66" s="332" t="s">
        <v>535</v>
      </c>
      <c r="T66" s="334"/>
    </row>
    <row r="67" spans="1:20" s="341" customFormat="1" ht="21.75" customHeight="1">
      <c r="A67" s="400">
        <v>64</v>
      </c>
      <c r="B67" s="332" t="s">
        <v>526</v>
      </c>
      <c r="C67" s="332" t="s">
        <v>540</v>
      </c>
      <c r="D67" s="334">
        <v>905350021</v>
      </c>
      <c r="E67" s="332" t="s">
        <v>511</v>
      </c>
      <c r="F67" s="332" t="s">
        <v>71</v>
      </c>
      <c r="G67" s="357"/>
      <c r="H67" s="358">
        <v>7</v>
      </c>
      <c r="I67" s="358"/>
      <c r="J67" s="358"/>
      <c r="K67" s="358"/>
      <c r="L67" s="334">
        <f t="shared" si="5"/>
        <v>2555</v>
      </c>
      <c r="M67" s="334">
        <v>2556</v>
      </c>
      <c r="N67" s="332">
        <f t="shared" si="6"/>
        <v>1</v>
      </c>
      <c r="O67" s="359">
        <v>0.16250000000000001</v>
      </c>
      <c r="P67" s="359">
        <v>0.19166666666666665</v>
      </c>
      <c r="Q67" s="332" t="s">
        <v>531</v>
      </c>
      <c r="R67" s="332" t="s">
        <v>230</v>
      </c>
      <c r="S67" s="332" t="s">
        <v>535</v>
      </c>
      <c r="T67" s="334"/>
    </row>
    <row r="68" spans="1:20" s="341" customFormat="1" ht="21.75" customHeight="1">
      <c r="A68" s="400">
        <v>65</v>
      </c>
      <c r="B68" s="332" t="s">
        <v>526</v>
      </c>
      <c r="C68" s="332" t="s">
        <v>536</v>
      </c>
      <c r="D68" s="334">
        <v>905350022</v>
      </c>
      <c r="E68" s="332" t="s">
        <v>511</v>
      </c>
      <c r="F68" s="332" t="s">
        <v>71</v>
      </c>
      <c r="G68" s="357"/>
      <c r="H68" s="358">
        <v>7</v>
      </c>
      <c r="I68" s="358"/>
      <c r="J68" s="358"/>
      <c r="K68" s="358"/>
      <c r="L68" s="334">
        <f t="shared" si="5"/>
        <v>2555</v>
      </c>
      <c r="M68" s="334">
        <v>2552</v>
      </c>
      <c r="N68" s="332">
        <f t="shared" si="6"/>
        <v>-3</v>
      </c>
      <c r="O68" s="359">
        <v>0.19791666666666666</v>
      </c>
      <c r="P68" s="359">
        <v>0.21041666666666667</v>
      </c>
      <c r="Q68" s="332" t="s">
        <v>531</v>
      </c>
      <c r="R68" s="332" t="s">
        <v>230</v>
      </c>
      <c r="S68" s="332" t="s">
        <v>535</v>
      </c>
      <c r="T68" s="334"/>
    </row>
    <row r="69" spans="1:20" s="341" customFormat="1" ht="21.75" customHeight="1">
      <c r="A69" s="400">
        <v>66</v>
      </c>
      <c r="B69" s="332" t="s">
        <v>526</v>
      </c>
      <c r="C69" s="332" t="s">
        <v>537</v>
      </c>
      <c r="D69" s="334">
        <v>905350023</v>
      </c>
      <c r="E69" s="332" t="s">
        <v>511</v>
      </c>
      <c r="F69" s="332" t="s">
        <v>71</v>
      </c>
      <c r="G69" s="357"/>
      <c r="H69" s="358">
        <v>7</v>
      </c>
      <c r="I69" s="358"/>
      <c r="J69" s="358"/>
      <c r="K69" s="358"/>
      <c r="L69" s="334">
        <f t="shared" si="5"/>
        <v>2555</v>
      </c>
      <c r="M69" s="334">
        <v>2553</v>
      </c>
      <c r="N69" s="332">
        <f t="shared" si="6"/>
        <v>-2</v>
      </c>
      <c r="O69" s="359">
        <v>0.21527777777777779</v>
      </c>
      <c r="P69" s="359">
        <v>0.2298611111111111</v>
      </c>
      <c r="Q69" s="332" t="s">
        <v>531</v>
      </c>
      <c r="R69" s="332" t="s">
        <v>230</v>
      </c>
      <c r="S69" s="332" t="s">
        <v>535</v>
      </c>
      <c r="T69" s="334"/>
    </row>
    <row r="70" spans="1:20" s="341" customFormat="1" ht="21.75" customHeight="1">
      <c r="A70" s="400">
        <v>67</v>
      </c>
      <c r="B70" s="332" t="s">
        <v>526</v>
      </c>
      <c r="C70" s="332" t="s">
        <v>538</v>
      </c>
      <c r="D70" s="334">
        <v>905350024</v>
      </c>
      <c r="E70" s="332" t="s">
        <v>511</v>
      </c>
      <c r="F70" s="332" t="s">
        <v>71</v>
      </c>
      <c r="G70" s="357"/>
      <c r="H70" s="358">
        <v>7</v>
      </c>
      <c r="I70" s="358"/>
      <c r="J70" s="358"/>
      <c r="K70" s="358"/>
      <c r="L70" s="334">
        <f t="shared" si="5"/>
        <v>2555</v>
      </c>
      <c r="M70" s="334">
        <v>2555</v>
      </c>
      <c r="N70" s="332">
        <f t="shared" si="6"/>
        <v>0</v>
      </c>
      <c r="O70" s="359">
        <v>0.23333333333333331</v>
      </c>
      <c r="P70" s="359">
        <v>0.24374999999999999</v>
      </c>
      <c r="Q70" s="332" t="s">
        <v>531</v>
      </c>
      <c r="R70" s="332" t="s">
        <v>230</v>
      </c>
      <c r="S70" s="332" t="s">
        <v>535</v>
      </c>
      <c r="T70" s="334"/>
    </row>
    <row r="71" spans="1:20" s="341" customFormat="1" ht="21.75" customHeight="1">
      <c r="A71" s="400">
        <v>68</v>
      </c>
      <c r="B71" s="332" t="s">
        <v>532</v>
      </c>
      <c r="C71" s="332" t="s">
        <v>533</v>
      </c>
      <c r="D71" s="334">
        <v>767</v>
      </c>
      <c r="E71" s="332" t="s">
        <v>511</v>
      </c>
      <c r="F71" s="332" t="s">
        <v>71</v>
      </c>
      <c r="G71" s="357"/>
      <c r="H71" s="358">
        <v>7</v>
      </c>
      <c r="I71" s="358"/>
      <c r="J71" s="358"/>
      <c r="K71" s="358"/>
      <c r="L71" s="334">
        <f t="shared" si="5"/>
        <v>2555</v>
      </c>
      <c r="M71" s="334">
        <v>2562</v>
      </c>
      <c r="N71" s="332">
        <f t="shared" si="6"/>
        <v>7</v>
      </c>
      <c r="O71" s="359">
        <v>0.13125000000000001</v>
      </c>
      <c r="P71" s="359">
        <v>0.14791666666666667</v>
      </c>
      <c r="Q71" s="332" t="s">
        <v>531</v>
      </c>
      <c r="R71" s="332" t="s">
        <v>230</v>
      </c>
      <c r="S71" s="332" t="s">
        <v>512</v>
      </c>
      <c r="T71" s="334"/>
    </row>
    <row r="72" spans="1:20" s="341" customFormat="1" ht="21.75" customHeight="1">
      <c r="A72" s="400">
        <v>69</v>
      </c>
      <c r="B72" s="332" t="s">
        <v>532</v>
      </c>
      <c r="C72" s="332" t="s">
        <v>530</v>
      </c>
      <c r="D72" s="334">
        <v>768</v>
      </c>
      <c r="E72" s="332" t="s">
        <v>511</v>
      </c>
      <c r="F72" s="332" t="s">
        <v>71</v>
      </c>
      <c r="G72" s="357"/>
      <c r="H72" s="358">
        <v>7</v>
      </c>
      <c r="I72" s="358"/>
      <c r="J72" s="358"/>
      <c r="K72" s="358"/>
      <c r="L72" s="334">
        <f t="shared" si="5"/>
        <v>2555</v>
      </c>
      <c r="M72" s="334">
        <v>2558</v>
      </c>
      <c r="N72" s="332">
        <f t="shared" si="6"/>
        <v>3</v>
      </c>
      <c r="O72" s="359">
        <v>0.15486111111111112</v>
      </c>
      <c r="P72" s="359">
        <v>0.17430555555555557</v>
      </c>
      <c r="Q72" s="332" t="s">
        <v>531</v>
      </c>
      <c r="R72" s="332" t="s">
        <v>230</v>
      </c>
      <c r="S72" s="332" t="s">
        <v>512</v>
      </c>
      <c r="T72" s="334"/>
    </row>
    <row r="73" spans="1:20" s="341" customFormat="1" ht="21.75" customHeight="1">
      <c r="A73" s="400">
        <v>70</v>
      </c>
      <c r="B73" s="332" t="s">
        <v>532</v>
      </c>
      <c r="C73" s="332" t="s">
        <v>528</v>
      </c>
      <c r="D73" s="334">
        <v>771</v>
      </c>
      <c r="E73" s="332" t="s">
        <v>511</v>
      </c>
      <c r="F73" s="332" t="s">
        <v>71</v>
      </c>
      <c r="G73" s="357"/>
      <c r="H73" s="358">
        <v>7</v>
      </c>
      <c r="I73" s="358"/>
      <c r="J73" s="358"/>
      <c r="K73" s="358"/>
      <c r="L73" s="334">
        <f t="shared" si="5"/>
        <v>2555</v>
      </c>
      <c r="M73" s="334">
        <v>2565</v>
      </c>
      <c r="N73" s="332">
        <f t="shared" si="6"/>
        <v>10</v>
      </c>
      <c r="O73" s="359">
        <v>0.4513888888888889</v>
      </c>
      <c r="P73" s="359">
        <v>0.46249999999999997</v>
      </c>
      <c r="Q73" s="332" t="s">
        <v>531</v>
      </c>
      <c r="R73" s="332" t="s">
        <v>230</v>
      </c>
      <c r="S73" s="332" t="s">
        <v>512</v>
      </c>
      <c r="T73" s="334"/>
    </row>
    <row r="74" spans="1:20" s="341" customFormat="1" ht="21.75" customHeight="1">
      <c r="A74" s="400">
        <v>71</v>
      </c>
      <c r="B74" s="332" t="s">
        <v>532</v>
      </c>
      <c r="C74" s="332" t="s">
        <v>533</v>
      </c>
      <c r="D74" s="334">
        <v>772</v>
      </c>
      <c r="E74" s="332" t="s">
        <v>511</v>
      </c>
      <c r="F74" s="332" t="s">
        <v>71</v>
      </c>
      <c r="G74" s="357"/>
      <c r="H74" s="358">
        <v>7</v>
      </c>
      <c r="I74" s="358"/>
      <c r="J74" s="358"/>
      <c r="K74" s="358"/>
      <c r="L74" s="334">
        <f t="shared" si="5"/>
        <v>2555</v>
      </c>
      <c r="M74" s="334">
        <v>2562</v>
      </c>
      <c r="N74" s="332">
        <f t="shared" si="6"/>
        <v>7</v>
      </c>
      <c r="O74" s="359">
        <v>0.47013888888888888</v>
      </c>
      <c r="P74" s="359">
        <v>0.48541666666666666</v>
      </c>
      <c r="Q74" s="332" t="s">
        <v>531</v>
      </c>
      <c r="R74" s="332" t="s">
        <v>230</v>
      </c>
      <c r="S74" s="332" t="s">
        <v>512</v>
      </c>
      <c r="T74" s="334"/>
    </row>
    <row r="75" spans="1:20" s="341" customFormat="1" ht="21.75" customHeight="1">
      <c r="A75" s="400">
        <v>72</v>
      </c>
      <c r="B75" s="332" t="s">
        <v>532</v>
      </c>
      <c r="C75" s="332" t="s">
        <v>527</v>
      </c>
      <c r="D75" s="334">
        <v>773</v>
      </c>
      <c r="E75" s="332" t="s">
        <v>511</v>
      </c>
      <c r="F75" s="332" t="s">
        <v>71</v>
      </c>
      <c r="G75" s="357"/>
      <c r="H75" s="358">
        <v>7</v>
      </c>
      <c r="I75" s="358"/>
      <c r="J75" s="358"/>
      <c r="K75" s="358"/>
      <c r="L75" s="334">
        <f t="shared" si="5"/>
        <v>2555</v>
      </c>
      <c r="M75" s="334">
        <v>2561</v>
      </c>
      <c r="N75" s="332">
        <f t="shared" si="6"/>
        <v>6</v>
      </c>
      <c r="O75" s="359">
        <v>0.4861111111111111</v>
      </c>
      <c r="P75" s="359">
        <v>0.50069444444444444</v>
      </c>
      <c r="Q75" s="332" t="s">
        <v>531</v>
      </c>
      <c r="R75" s="332" t="s">
        <v>230</v>
      </c>
      <c r="S75" s="332" t="s">
        <v>512</v>
      </c>
      <c r="T75" s="334"/>
    </row>
    <row r="76" spans="1:20" s="341" customFormat="1" ht="21.75" customHeight="1">
      <c r="A76" s="400">
        <v>73</v>
      </c>
      <c r="B76" s="332" t="s">
        <v>532</v>
      </c>
      <c r="C76" s="332" t="s">
        <v>530</v>
      </c>
      <c r="D76" s="334">
        <v>774</v>
      </c>
      <c r="E76" s="332" t="s">
        <v>511</v>
      </c>
      <c r="F76" s="332" t="s">
        <v>71</v>
      </c>
      <c r="G76" s="357"/>
      <c r="H76" s="358">
        <v>7</v>
      </c>
      <c r="I76" s="358"/>
      <c r="J76" s="358"/>
      <c r="K76" s="358"/>
      <c r="L76" s="334">
        <f t="shared" si="5"/>
        <v>2555</v>
      </c>
      <c r="M76" s="334">
        <v>2565</v>
      </c>
      <c r="N76" s="332">
        <f t="shared" si="6"/>
        <v>10</v>
      </c>
      <c r="O76" s="359">
        <v>0.50208333333333333</v>
      </c>
      <c r="P76" s="359">
        <v>0.51111111111111118</v>
      </c>
      <c r="Q76" s="332" t="s">
        <v>531</v>
      </c>
      <c r="R76" s="332" t="s">
        <v>230</v>
      </c>
      <c r="S76" s="332" t="s">
        <v>512</v>
      </c>
      <c r="T76" s="334"/>
    </row>
    <row r="77" spans="1:20" s="341" customFormat="1" ht="21.75" customHeight="1">
      <c r="A77" s="400">
        <v>74</v>
      </c>
      <c r="B77" s="332" t="s">
        <v>532</v>
      </c>
      <c r="C77" s="332" t="s">
        <v>514</v>
      </c>
      <c r="D77" s="334">
        <v>775</v>
      </c>
      <c r="E77" s="332" t="s">
        <v>511</v>
      </c>
      <c r="F77" s="332" t="s">
        <v>71</v>
      </c>
      <c r="G77" s="357"/>
      <c r="H77" s="358">
        <v>7</v>
      </c>
      <c r="I77" s="358"/>
      <c r="J77" s="358"/>
      <c r="K77" s="358"/>
      <c r="L77" s="334">
        <f t="shared" si="5"/>
        <v>2555</v>
      </c>
      <c r="M77" s="334">
        <v>2563</v>
      </c>
      <c r="N77" s="332">
        <f t="shared" si="6"/>
        <v>8</v>
      </c>
      <c r="O77" s="359">
        <v>0.51944444444444449</v>
      </c>
      <c r="P77" s="359">
        <v>0.52708333333333335</v>
      </c>
      <c r="Q77" s="332" t="s">
        <v>531</v>
      </c>
      <c r="R77" s="332" t="s">
        <v>230</v>
      </c>
      <c r="S77" s="332" t="s">
        <v>512</v>
      </c>
      <c r="T77" s="334"/>
    </row>
    <row r="78" spans="1:20" s="341" customFormat="1" ht="21.75" customHeight="1">
      <c r="A78" s="400">
        <v>75</v>
      </c>
      <c r="B78" s="332" t="s">
        <v>532</v>
      </c>
      <c r="C78" s="332" t="s">
        <v>522</v>
      </c>
      <c r="D78" s="334">
        <v>776</v>
      </c>
      <c r="E78" s="332" t="s">
        <v>511</v>
      </c>
      <c r="F78" s="332" t="s">
        <v>71</v>
      </c>
      <c r="G78" s="357"/>
      <c r="H78" s="358">
        <v>7</v>
      </c>
      <c r="I78" s="358"/>
      <c r="J78" s="358"/>
      <c r="K78" s="358"/>
      <c r="L78" s="334">
        <f t="shared" si="5"/>
        <v>2555</v>
      </c>
      <c r="M78" s="334">
        <v>2565</v>
      </c>
      <c r="N78" s="332">
        <f t="shared" si="6"/>
        <v>10</v>
      </c>
      <c r="O78" s="359">
        <v>0.5541666666666667</v>
      </c>
      <c r="P78" s="359">
        <v>0.56388888888888888</v>
      </c>
      <c r="Q78" s="332" t="s">
        <v>531</v>
      </c>
      <c r="R78" s="332" t="s">
        <v>230</v>
      </c>
      <c r="S78" s="332" t="s">
        <v>512</v>
      </c>
      <c r="T78" s="334"/>
    </row>
    <row r="79" spans="1:20" s="341" customFormat="1" ht="21.75" customHeight="1">
      <c r="A79" s="400">
        <v>76</v>
      </c>
      <c r="B79" s="332" t="s">
        <v>532</v>
      </c>
      <c r="C79" s="332" t="s">
        <v>530</v>
      </c>
      <c r="D79" s="334">
        <v>777</v>
      </c>
      <c r="E79" s="332" t="s">
        <v>511</v>
      </c>
      <c r="F79" s="332" t="s">
        <v>71</v>
      </c>
      <c r="G79" s="357"/>
      <c r="H79" s="358">
        <v>7</v>
      </c>
      <c r="I79" s="358"/>
      <c r="J79" s="358"/>
      <c r="K79" s="358"/>
      <c r="L79" s="334">
        <f t="shared" si="5"/>
        <v>2555</v>
      </c>
      <c r="M79" s="334">
        <v>2557</v>
      </c>
      <c r="N79" s="332">
        <f t="shared" si="6"/>
        <v>2</v>
      </c>
      <c r="O79" s="359">
        <v>0.56597222222222221</v>
      </c>
      <c r="P79" s="359">
        <v>0.58611111111111114</v>
      </c>
      <c r="Q79" s="332" t="s">
        <v>531</v>
      </c>
      <c r="R79" s="332" t="s">
        <v>230</v>
      </c>
      <c r="S79" s="332" t="s">
        <v>512</v>
      </c>
      <c r="T79" s="334"/>
    </row>
    <row r="80" spans="1:20" s="341" customFormat="1" ht="21.75" customHeight="1">
      <c r="A80" s="400">
        <v>77</v>
      </c>
      <c r="B80" s="332" t="s">
        <v>532</v>
      </c>
      <c r="C80" s="332" t="s">
        <v>533</v>
      </c>
      <c r="D80" s="334">
        <v>778</v>
      </c>
      <c r="E80" s="332" t="s">
        <v>511</v>
      </c>
      <c r="F80" s="332" t="s">
        <v>71</v>
      </c>
      <c r="G80" s="357"/>
      <c r="H80" s="358">
        <v>7</v>
      </c>
      <c r="I80" s="358"/>
      <c r="J80" s="358"/>
      <c r="K80" s="358"/>
      <c r="L80" s="334">
        <f t="shared" si="5"/>
        <v>2555</v>
      </c>
      <c r="M80" s="334">
        <v>2558</v>
      </c>
      <c r="N80" s="332">
        <f t="shared" si="6"/>
        <v>3</v>
      </c>
      <c r="O80" s="359">
        <v>0.58958333333333335</v>
      </c>
      <c r="P80" s="359">
        <v>0.61041666666666672</v>
      </c>
      <c r="Q80" s="332" t="s">
        <v>531</v>
      </c>
      <c r="R80" s="332" t="s">
        <v>230</v>
      </c>
      <c r="S80" s="332" t="s">
        <v>512</v>
      </c>
      <c r="T80" s="334"/>
    </row>
    <row r="81" spans="1:20" s="341" customFormat="1" ht="21.75" customHeight="1">
      <c r="A81" s="400">
        <v>78</v>
      </c>
      <c r="B81" s="332" t="s">
        <v>532</v>
      </c>
      <c r="C81" s="332" t="s">
        <v>527</v>
      </c>
      <c r="D81" s="334">
        <v>779</v>
      </c>
      <c r="E81" s="332" t="s">
        <v>511</v>
      </c>
      <c r="F81" s="332" t="s">
        <v>71</v>
      </c>
      <c r="G81" s="357"/>
      <c r="H81" s="358">
        <v>7</v>
      </c>
      <c r="I81" s="358"/>
      <c r="J81" s="358"/>
      <c r="K81" s="358"/>
      <c r="L81" s="334">
        <f t="shared" si="5"/>
        <v>2555</v>
      </c>
      <c r="M81" s="334">
        <v>2566</v>
      </c>
      <c r="N81" s="332">
        <f t="shared" si="6"/>
        <v>11</v>
      </c>
      <c r="O81" s="359">
        <v>0.6118055555555556</v>
      </c>
      <c r="P81" s="359">
        <v>0.62638888888888888</v>
      </c>
      <c r="Q81" s="332" t="s">
        <v>531</v>
      </c>
      <c r="R81" s="332" t="s">
        <v>230</v>
      </c>
      <c r="S81" s="332" t="s">
        <v>512</v>
      </c>
      <c r="T81" s="334"/>
    </row>
    <row r="82" spans="1:20" s="341" customFormat="1" ht="21.75" customHeight="1">
      <c r="A82" s="400">
        <v>79</v>
      </c>
      <c r="B82" s="332" t="s">
        <v>532</v>
      </c>
      <c r="C82" s="332" t="s">
        <v>528</v>
      </c>
      <c r="D82" s="334">
        <v>780</v>
      </c>
      <c r="E82" s="332" t="s">
        <v>511</v>
      </c>
      <c r="F82" s="332" t="s">
        <v>71</v>
      </c>
      <c r="G82" s="357"/>
      <c r="H82" s="358">
        <v>7</v>
      </c>
      <c r="I82" s="358"/>
      <c r="J82" s="358"/>
      <c r="K82" s="358"/>
      <c r="L82" s="334">
        <f t="shared" si="5"/>
        <v>2555</v>
      </c>
      <c r="M82" s="334">
        <v>2571</v>
      </c>
      <c r="N82" s="332">
        <f t="shared" si="6"/>
        <v>16</v>
      </c>
      <c r="O82" s="359">
        <v>0.63263888888888886</v>
      </c>
      <c r="P82" s="359">
        <v>0.65</v>
      </c>
      <c r="Q82" s="332" t="s">
        <v>531</v>
      </c>
      <c r="R82" s="332" t="s">
        <v>230</v>
      </c>
      <c r="S82" s="332" t="s">
        <v>512</v>
      </c>
      <c r="T82" s="334"/>
    </row>
    <row r="83" spans="1:20" s="341" customFormat="1" ht="21.75" customHeight="1">
      <c r="A83" s="400">
        <v>80</v>
      </c>
      <c r="B83" s="332" t="s">
        <v>532</v>
      </c>
      <c r="C83" s="332" t="s">
        <v>529</v>
      </c>
      <c r="D83" s="334">
        <v>781</v>
      </c>
      <c r="E83" s="332" t="s">
        <v>511</v>
      </c>
      <c r="F83" s="332" t="s">
        <v>71</v>
      </c>
      <c r="G83" s="357"/>
      <c r="H83" s="358">
        <v>7</v>
      </c>
      <c r="I83" s="358"/>
      <c r="J83" s="358"/>
      <c r="K83" s="358"/>
      <c r="L83" s="334">
        <f t="shared" si="5"/>
        <v>2555</v>
      </c>
      <c r="M83" s="334">
        <v>2560</v>
      </c>
      <c r="N83" s="332">
        <f t="shared" si="6"/>
        <v>5</v>
      </c>
      <c r="O83" s="359">
        <v>0.65138888888888891</v>
      </c>
      <c r="P83" s="359">
        <v>0.68611111111111101</v>
      </c>
      <c r="Q83" s="332" t="s">
        <v>531</v>
      </c>
      <c r="R83" s="332" t="s">
        <v>230</v>
      </c>
      <c r="S83" s="332" t="s">
        <v>512</v>
      </c>
      <c r="T83" s="334"/>
    </row>
    <row r="84" spans="1:20" s="341" customFormat="1" ht="21.75" customHeight="1">
      <c r="A84" s="400">
        <v>81</v>
      </c>
      <c r="B84" s="332" t="s">
        <v>532</v>
      </c>
      <c r="C84" s="332" t="s">
        <v>514</v>
      </c>
      <c r="D84" s="334">
        <v>782</v>
      </c>
      <c r="E84" s="332" t="s">
        <v>511</v>
      </c>
      <c r="F84" s="332" t="s">
        <v>71</v>
      </c>
      <c r="G84" s="357"/>
      <c r="H84" s="358">
        <v>7</v>
      </c>
      <c r="I84" s="358"/>
      <c r="J84" s="358"/>
      <c r="K84" s="358"/>
      <c r="L84" s="334">
        <f t="shared" si="5"/>
        <v>2555</v>
      </c>
      <c r="M84" s="334">
        <v>2554</v>
      </c>
      <c r="N84" s="332">
        <f t="shared" si="6"/>
        <v>-1</v>
      </c>
      <c r="O84" s="359">
        <v>0.6875</v>
      </c>
      <c r="P84" s="359">
        <v>0.70833333333333337</v>
      </c>
      <c r="Q84" s="332" t="s">
        <v>531</v>
      </c>
      <c r="R84" s="332" t="s">
        <v>230</v>
      </c>
      <c r="S84" s="332" t="s">
        <v>512</v>
      </c>
      <c r="T84" s="334"/>
    </row>
    <row r="85" spans="1:20" s="341" customFormat="1" ht="21.75" customHeight="1">
      <c r="A85" s="400">
        <v>82</v>
      </c>
      <c r="B85" s="332" t="s">
        <v>532</v>
      </c>
      <c r="C85" s="332" t="s">
        <v>522</v>
      </c>
      <c r="D85" s="334">
        <v>783</v>
      </c>
      <c r="E85" s="332" t="s">
        <v>511</v>
      </c>
      <c r="F85" s="332" t="s">
        <v>71</v>
      </c>
      <c r="G85" s="357"/>
      <c r="H85" s="358">
        <v>7</v>
      </c>
      <c r="I85" s="358"/>
      <c r="J85" s="358"/>
      <c r="K85" s="358"/>
      <c r="L85" s="334">
        <f t="shared" si="5"/>
        <v>2555</v>
      </c>
      <c r="M85" s="334">
        <v>2558</v>
      </c>
      <c r="N85" s="332">
        <f t="shared" si="6"/>
        <v>3</v>
      </c>
      <c r="O85" s="359">
        <v>0.72083333333333333</v>
      </c>
      <c r="P85" s="359">
        <v>0.73055555555555562</v>
      </c>
      <c r="Q85" s="332" t="s">
        <v>531</v>
      </c>
      <c r="R85" s="332" t="s">
        <v>230</v>
      </c>
      <c r="S85" s="332" t="s">
        <v>512</v>
      </c>
      <c r="T85" s="334"/>
    </row>
    <row r="86" spans="1:20" s="341" customFormat="1" ht="21.75" customHeight="1">
      <c r="A86" s="400">
        <v>83</v>
      </c>
      <c r="B86" s="332" t="s">
        <v>532</v>
      </c>
      <c r="C86" s="332" t="s">
        <v>530</v>
      </c>
      <c r="D86" s="334">
        <v>784</v>
      </c>
      <c r="E86" s="332" t="s">
        <v>511</v>
      </c>
      <c r="F86" s="332" t="s">
        <v>71</v>
      </c>
      <c r="G86" s="357"/>
      <c r="H86" s="358">
        <v>7</v>
      </c>
      <c r="I86" s="358"/>
      <c r="J86" s="358"/>
      <c r="K86" s="358"/>
      <c r="L86" s="334">
        <f t="shared" si="5"/>
        <v>2555</v>
      </c>
      <c r="M86" s="334">
        <v>2560</v>
      </c>
      <c r="N86" s="332">
        <f t="shared" si="6"/>
        <v>5</v>
      </c>
      <c r="O86" s="359">
        <v>0.73819444444444438</v>
      </c>
      <c r="P86" s="359">
        <v>0.74513888888888891</v>
      </c>
      <c r="Q86" s="332" t="s">
        <v>531</v>
      </c>
      <c r="R86" s="332" t="s">
        <v>230</v>
      </c>
      <c r="S86" s="332" t="s">
        <v>512</v>
      </c>
      <c r="T86" s="334"/>
    </row>
    <row r="87" spans="1:20" s="341" customFormat="1" ht="21.75" customHeight="1">
      <c r="A87" s="400">
        <v>84</v>
      </c>
      <c r="B87" s="332" t="s">
        <v>532</v>
      </c>
      <c r="C87" s="332" t="s">
        <v>513</v>
      </c>
      <c r="D87" s="334">
        <v>785</v>
      </c>
      <c r="E87" s="332" t="s">
        <v>511</v>
      </c>
      <c r="F87" s="332" t="s">
        <v>71</v>
      </c>
      <c r="G87" s="357"/>
      <c r="H87" s="358">
        <v>7</v>
      </c>
      <c r="I87" s="358"/>
      <c r="J87" s="358"/>
      <c r="K87" s="358"/>
      <c r="L87" s="334">
        <f t="shared" si="5"/>
        <v>2555</v>
      </c>
      <c r="M87" s="334">
        <v>2562</v>
      </c>
      <c r="N87" s="332">
        <f t="shared" si="6"/>
        <v>7</v>
      </c>
      <c r="O87" s="359">
        <v>0.75</v>
      </c>
      <c r="P87" s="359">
        <v>0.78819444444444453</v>
      </c>
      <c r="Q87" s="332" t="s">
        <v>531</v>
      </c>
      <c r="R87" s="332" t="s">
        <v>230</v>
      </c>
      <c r="S87" s="332" t="s">
        <v>512</v>
      </c>
      <c r="T87" s="334"/>
    </row>
    <row r="88" spans="1:20" s="341" customFormat="1" ht="21.75" customHeight="1">
      <c r="A88" s="400">
        <v>85</v>
      </c>
      <c r="B88" s="332" t="s">
        <v>532</v>
      </c>
      <c r="C88" s="332" t="s">
        <v>528</v>
      </c>
      <c r="D88" s="334">
        <v>786</v>
      </c>
      <c r="E88" s="332" t="s">
        <v>511</v>
      </c>
      <c r="F88" s="332" t="s">
        <v>71</v>
      </c>
      <c r="G88" s="357"/>
      <c r="H88" s="358">
        <v>7</v>
      </c>
      <c r="I88" s="358"/>
      <c r="J88" s="358"/>
      <c r="K88" s="358"/>
      <c r="L88" s="334">
        <f t="shared" si="5"/>
        <v>2555</v>
      </c>
      <c r="M88" s="334">
        <v>2564</v>
      </c>
      <c r="N88" s="332">
        <f t="shared" si="6"/>
        <v>9</v>
      </c>
      <c r="O88" s="359">
        <v>0.79513888888888884</v>
      </c>
      <c r="P88" s="359">
        <v>0.80208333333333337</v>
      </c>
      <c r="Q88" s="332" t="s">
        <v>531</v>
      </c>
      <c r="R88" s="332" t="s">
        <v>230</v>
      </c>
      <c r="S88" s="332" t="s">
        <v>512</v>
      </c>
      <c r="T88" s="334"/>
    </row>
    <row r="89" spans="1:20" s="341" customFormat="1" ht="21.75" customHeight="1">
      <c r="A89" s="400">
        <v>86</v>
      </c>
      <c r="B89" s="332" t="s">
        <v>532</v>
      </c>
      <c r="C89" s="332" t="s">
        <v>527</v>
      </c>
      <c r="D89" s="334">
        <v>787</v>
      </c>
      <c r="E89" s="332" t="s">
        <v>511</v>
      </c>
      <c r="F89" s="332" t="s">
        <v>71</v>
      </c>
      <c r="G89" s="357"/>
      <c r="H89" s="358">
        <v>7</v>
      </c>
      <c r="I89" s="358"/>
      <c r="J89" s="358"/>
      <c r="K89" s="358"/>
      <c r="L89" s="334">
        <f t="shared" si="5"/>
        <v>2555</v>
      </c>
      <c r="M89" s="334">
        <v>2566</v>
      </c>
      <c r="N89" s="332">
        <f t="shared" si="6"/>
        <v>11</v>
      </c>
      <c r="O89" s="359">
        <v>0.80555555555555547</v>
      </c>
      <c r="P89" s="359">
        <v>0.81388888888888899</v>
      </c>
      <c r="Q89" s="332" t="s">
        <v>531</v>
      </c>
      <c r="R89" s="332" t="s">
        <v>230</v>
      </c>
      <c r="S89" s="332" t="s">
        <v>512</v>
      </c>
      <c r="T89" s="334"/>
    </row>
    <row r="90" spans="1:20" s="341" customFormat="1" ht="21.75" customHeight="1">
      <c r="A90" s="400">
        <v>87</v>
      </c>
      <c r="B90" s="332" t="s">
        <v>532</v>
      </c>
      <c r="C90" s="332" t="s">
        <v>528</v>
      </c>
      <c r="D90" s="334">
        <v>788</v>
      </c>
      <c r="E90" s="332" t="s">
        <v>511</v>
      </c>
      <c r="F90" s="332" t="s">
        <v>71</v>
      </c>
      <c r="G90" s="357"/>
      <c r="H90" s="358">
        <v>7</v>
      </c>
      <c r="I90" s="358"/>
      <c r="J90" s="358"/>
      <c r="K90" s="358"/>
      <c r="L90" s="334">
        <f t="shared" si="5"/>
        <v>2555</v>
      </c>
      <c r="M90" s="334">
        <v>2560</v>
      </c>
      <c r="N90" s="332">
        <f t="shared" si="6"/>
        <v>5</v>
      </c>
      <c r="O90" s="359">
        <v>0.81874999999999998</v>
      </c>
      <c r="P90" s="359">
        <v>0.82986111111111116</v>
      </c>
      <c r="Q90" s="332" t="s">
        <v>531</v>
      </c>
      <c r="R90" s="332" t="s">
        <v>230</v>
      </c>
      <c r="S90" s="332" t="s">
        <v>512</v>
      </c>
      <c r="T90" s="334"/>
    </row>
    <row r="91" spans="1:20" s="341" customFormat="1" ht="21.75" customHeight="1">
      <c r="A91" s="400">
        <v>88</v>
      </c>
      <c r="B91" s="332" t="s">
        <v>532</v>
      </c>
      <c r="C91" s="332" t="s">
        <v>529</v>
      </c>
      <c r="D91" s="334">
        <v>789</v>
      </c>
      <c r="E91" s="332" t="s">
        <v>511</v>
      </c>
      <c r="F91" s="332" t="s">
        <v>71</v>
      </c>
      <c r="G91" s="357"/>
      <c r="H91" s="358">
        <v>7</v>
      </c>
      <c r="I91" s="358"/>
      <c r="J91" s="358"/>
      <c r="K91" s="358"/>
      <c r="L91" s="334">
        <f t="shared" ref="L91:L118" si="7">H91*365</f>
        <v>2555</v>
      </c>
      <c r="M91" s="334">
        <v>2556</v>
      </c>
      <c r="N91" s="332">
        <f t="shared" si="6"/>
        <v>1</v>
      </c>
      <c r="O91" s="359">
        <v>0.8305555555555556</v>
      </c>
      <c r="P91" s="359">
        <v>0.84444444444444444</v>
      </c>
      <c r="Q91" s="332" t="s">
        <v>531</v>
      </c>
      <c r="R91" s="332" t="s">
        <v>230</v>
      </c>
      <c r="S91" s="332" t="s">
        <v>512</v>
      </c>
      <c r="T91" s="334"/>
    </row>
    <row r="92" spans="1:20" s="341" customFormat="1" ht="21.75" customHeight="1">
      <c r="A92" s="400">
        <v>89</v>
      </c>
      <c r="B92" s="332" t="s">
        <v>532</v>
      </c>
      <c r="C92" s="332" t="s">
        <v>514</v>
      </c>
      <c r="D92" s="334">
        <v>790</v>
      </c>
      <c r="E92" s="332" t="s">
        <v>511</v>
      </c>
      <c r="F92" s="332" t="s">
        <v>71</v>
      </c>
      <c r="G92" s="357"/>
      <c r="H92" s="358">
        <v>7</v>
      </c>
      <c r="I92" s="358"/>
      <c r="J92" s="358"/>
      <c r="K92" s="358"/>
      <c r="L92" s="334">
        <f t="shared" si="7"/>
        <v>2555</v>
      </c>
      <c r="M92" s="334">
        <v>2566</v>
      </c>
      <c r="N92" s="332">
        <f t="shared" si="6"/>
        <v>11</v>
      </c>
      <c r="O92" s="359">
        <v>0.8569444444444444</v>
      </c>
      <c r="P92" s="359">
        <v>0.87083333333333324</v>
      </c>
      <c r="Q92" s="332" t="s">
        <v>531</v>
      </c>
      <c r="R92" s="332" t="s">
        <v>230</v>
      </c>
      <c r="S92" s="332" t="s">
        <v>512</v>
      </c>
      <c r="T92" s="334"/>
    </row>
    <row r="93" spans="1:20" s="341" customFormat="1" ht="21.75" customHeight="1">
      <c r="A93" s="400">
        <v>90</v>
      </c>
      <c r="B93" s="332" t="s">
        <v>532</v>
      </c>
      <c r="C93" s="332" t="s">
        <v>522</v>
      </c>
      <c r="D93" s="334">
        <v>791</v>
      </c>
      <c r="E93" s="332" t="s">
        <v>511</v>
      </c>
      <c r="F93" s="332" t="s">
        <v>71</v>
      </c>
      <c r="G93" s="357"/>
      <c r="H93" s="358">
        <v>7</v>
      </c>
      <c r="I93" s="358"/>
      <c r="J93" s="358"/>
      <c r="K93" s="358"/>
      <c r="L93" s="334">
        <f t="shared" si="7"/>
        <v>2555</v>
      </c>
      <c r="M93" s="334">
        <v>2560</v>
      </c>
      <c r="N93" s="332">
        <f t="shared" si="6"/>
        <v>5</v>
      </c>
      <c r="O93" s="359">
        <v>0.87847222222222221</v>
      </c>
      <c r="P93" s="359">
        <v>0.90277777777777779</v>
      </c>
      <c r="Q93" s="332" t="s">
        <v>531</v>
      </c>
      <c r="R93" s="332" t="s">
        <v>230</v>
      </c>
      <c r="S93" s="332" t="s">
        <v>512</v>
      </c>
      <c r="T93" s="334"/>
    </row>
    <row r="94" spans="1:20" s="341" customFormat="1" ht="21.75" customHeight="1">
      <c r="A94" s="400">
        <v>91</v>
      </c>
      <c r="B94" s="332" t="s">
        <v>532</v>
      </c>
      <c r="C94" s="332" t="s">
        <v>513</v>
      </c>
      <c r="D94" s="334">
        <v>792</v>
      </c>
      <c r="E94" s="332" t="s">
        <v>511</v>
      </c>
      <c r="F94" s="332" t="s">
        <v>71</v>
      </c>
      <c r="G94" s="357"/>
      <c r="H94" s="358">
        <v>7</v>
      </c>
      <c r="I94" s="358"/>
      <c r="J94" s="358"/>
      <c r="K94" s="358"/>
      <c r="L94" s="334">
        <f t="shared" si="7"/>
        <v>2555</v>
      </c>
      <c r="M94" s="334">
        <v>2566</v>
      </c>
      <c r="N94" s="332">
        <f t="shared" si="6"/>
        <v>11</v>
      </c>
      <c r="O94" s="359">
        <v>0.91666666666666663</v>
      </c>
      <c r="P94" s="359">
        <v>0.9375</v>
      </c>
      <c r="Q94" s="332" t="s">
        <v>531</v>
      </c>
      <c r="R94" s="332" t="s">
        <v>230</v>
      </c>
      <c r="S94" s="332" t="s">
        <v>512</v>
      </c>
      <c r="T94" s="334"/>
    </row>
    <row r="95" spans="1:20" s="341" customFormat="1" ht="21.75" customHeight="1">
      <c r="A95" s="400">
        <v>92</v>
      </c>
      <c r="B95" s="332" t="s">
        <v>532</v>
      </c>
      <c r="C95" s="332" t="s">
        <v>533</v>
      </c>
      <c r="D95" s="334">
        <v>793</v>
      </c>
      <c r="E95" s="332" t="s">
        <v>511</v>
      </c>
      <c r="F95" s="332" t="s">
        <v>71</v>
      </c>
      <c r="G95" s="357"/>
      <c r="H95" s="358">
        <v>7</v>
      </c>
      <c r="I95" s="358"/>
      <c r="J95" s="358"/>
      <c r="K95" s="358"/>
      <c r="L95" s="334">
        <f t="shared" si="7"/>
        <v>2555</v>
      </c>
      <c r="M95" s="334">
        <v>2556</v>
      </c>
      <c r="N95" s="332">
        <f t="shared" si="6"/>
        <v>1</v>
      </c>
      <c r="O95" s="359">
        <v>0.94097222222222221</v>
      </c>
      <c r="P95" s="359">
        <v>0.97430555555555554</v>
      </c>
      <c r="Q95" s="332" t="s">
        <v>531</v>
      </c>
      <c r="R95" s="332" t="s">
        <v>230</v>
      </c>
      <c r="S95" s="332" t="s">
        <v>512</v>
      </c>
      <c r="T95" s="334"/>
    </row>
    <row r="96" spans="1:20" s="341" customFormat="1" ht="21.75" customHeight="1">
      <c r="A96" s="400">
        <v>93</v>
      </c>
      <c r="B96" s="332" t="s">
        <v>532</v>
      </c>
      <c r="C96" s="332" t="s">
        <v>530</v>
      </c>
      <c r="D96" s="334">
        <v>794</v>
      </c>
      <c r="E96" s="332" t="s">
        <v>511</v>
      </c>
      <c r="F96" s="332" t="s">
        <v>71</v>
      </c>
      <c r="G96" s="357"/>
      <c r="H96" s="358">
        <v>7</v>
      </c>
      <c r="I96" s="358"/>
      <c r="J96" s="358"/>
      <c r="K96" s="358"/>
      <c r="L96" s="334">
        <f t="shared" si="7"/>
        <v>2555</v>
      </c>
      <c r="M96" s="334">
        <v>2565</v>
      </c>
      <c r="N96" s="332">
        <f t="shared" si="6"/>
        <v>10</v>
      </c>
      <c r="O96" s="359">
        <v>0.97777777777777775</v>
      </c>
      <c r="P96" s="359">
        <v>0.99097222222222225</v>
      </c>
      <c r="Q96" s="332" t="s">
        <v>531</v>
      </c>
      <c r="R96" s="332" t="s">
        <v>230</v>
      </c>
      <c r="S96" s="332" t="s">
        <v>512</v>
      </c>
      <c r="T96" s="334"/>
    </row>
    <row r="97" spans="1:20" s="341" customFormat="1" ht="21.75" customHeight="1">
      <c r="A97" s="400">
        <v>94</v>
      </c>
      <c r="B97" s="332" t="s">
        <v>532</v>
      </c>
      <c r="C97" s="334" t="s">
        <v>540</v>
      </c>
      <c r="D97" s="334">
        <v>905350025</v>
      </c>
      <c r="E97" s="332" t="s">
        <v>511</v>
      </c>
      <c r="F97" s="332" t="s">
        <v>71</v>
      </c>
      <c r="G97" s="357"/>
      <c r="H97" s="358">
        <v>7</v>
      </c>
      <c r="I97" s="358"/>
      <c r="J97" s="358"/>
      <c r="K97" s="358"/>
      <c r="L97" s="334">
        <f t="shared" si="7"/>
        <v>2555</v>
      </c>
      <c r="M97" s="334">
        <v>2556</v>
      </c>
      <c r="N97" s="332">
        <f t="shared" si="6"/>
        <v>1</v>
      </c>
      <c r="O97" s="359">
        <v>6.0416666666666667E-2</v>
      </c>
      <c r="P97" s="359">
        <v>8.6805555555555566E-2</v>
      </c>
      <c r="Q97" s="332" t="s">
        <v>531</v>
      </c>
      <c r="R97" s="332" t="s">
        <v>230</v>
      </c>
      <c r="S97" s="334" t="s">
        <v>535</v>
      </c>
      <c r="T97" s="334"/>
    </row>
    <row r="98" spans="1:20" s="341" customFormat="1" ht="21.75" customHeight="1">
      <c r="A98" s="400">
        <v>95</v>
      </c>
      <c r="B98" s="332" t="s">
        <v>532</v>
      </c>
      <c r="C98" s="334" t="s">
        <v>537</v>
      </c>
      <c r="D98" s="334">
        <v>905350026</v>
      </c>
      <c r="E98" s="332" t="s">
        <v>511</v>
      </c>
      <c r="F98" s="332" t="s">
        <v>71</v>
      </c>
      <c r="G98" s="357"/>
      <c r="H98" s="358">
        <v>7</v>
      </c>
      <c r="I98" s="358"/>
      <c r="J98" s="358"/>
      <c r="K98" s="358"/>
      <c r="L98" s="334">
        <f t="shared" si="7"/>
        <v>2555</v>
      </c>
      <c r="M98" s="334">
        <v>2556</v>
      </c>
      <c r="N98" s="332">
        <f t="shared" si="6"/>
        <v>1</v>
      </c>
      <c r="O98" s="359">
        <v>9.0277777777777776E-2</v>
      </c>
      <c r="P98" s="359">
        <v>0.10833333333333334</v>
      </c>
      <c r="Q98" s="332" t="s">
        <v>531</v>
      </c>
      <c r="R98" s="332" t="s">
        <v>230</v>
      </c>
      <c r="S98" s="334" t="s">
        <v>535</v>
      </c>
      <c r="T98" s="334"/>
    </row>
    <row r="99" spans="1:20" s="341" customFormat="1" ht="21.75" customHeight="1">
      <c r="A99" s="400">
        <v>96</v>
      </c>
      <c r="B99" s="332" t="s">
        <v>532</v>
      </c>
      <c r="C99" s="334" t="s">
        <v>538</v>
      </c>
      <c r="D99" s="334">
        <v>905350028</v>
      </c>
      <c r="E99" s="332" t="s">
        <v>511</v>
      </c>
      <c r="F99" s="332" t="s">
        <v>71</v>
      </c>
      <c r="G99" s="357"/>
      <c r="H99" s="358">
        <v>7</v>
      </c>
      <c r="I99" s="358"/>
      <c r="J99" s="358"/>
      <c r="K99" s="358"/>
      <c r="L99" s="334">
        <f t="shared" si="7"/>
        <v>2555</v>
      </c>
      <c r="M99" s="334">
        <v>2556</v>
      </c>
      <c r="N99" s="332">
        <f t="shared" si="6"/>
        <v>1</v>
      </c>
      <c r="O99" s="359">
        <v>0.45694444444444443</v>
      </c>
      <c r="P99" s="359">
        <v>0.47916666666666669</v>
      </c>
      <c r="Q99" s="332" t="s">
        <v>531</v>
      </c>
      <c r="R99" s="332" t="s">
        <v>230</v>
      </c>
      <c r="S99" s="334" t="s">
        <v>535</v>
      </c>
      <c r="T99" s="334"/>
    </row>
    <row r="100" spans="1:20" s="341" customFormat="1" ht="21.75" customHeight="1">
      <c r="A100" s="400">
        <v>97</v>
      </c>
      <c r="B100" s="332" t="s">
        <v>532</v>
      </c>
      <c r="C100" s="334" t="s">
        <v>536</v>
      </c>
      <c r="D100" s="334">
        <v>905350029</v>
      </c>
      <c r="E100" s="332" t="s">
        <v>511</v>
      </c>
      <c r="F100" s="332" t="s">
        <v>71</v>
      </c>
      <c r="G100" s="357"/>
      <c r="H100" s="358">
        <v>7</v>
      </c>
      <c r="I100" s="358"/>
      <c r="J100" s="358"/>
      <c r="K100" s="358"/>
      <c r="L100" s="334">
        <f t="shared" si="7"/>
        <v>2555</v>
      </c>
      <c r="M100" s="334">
        <v>2555</v>
      </c>
      <c r="N100" s="332">
        <f t="shared" si="6"/>
        <v>0</v>
      </c>
      <c r="O100" s="359">
        <v>0.5131944444444444</v>
      </c>
      <c r="P100" s="359">
        <v>0.5541666666666667</v>
      </c>
      <c r="Q100" s="332" t="s">
        <v>531</v>
      </c>
      <c r="R100" s="332" t="s">
        <v>230</v>
      </c>
      <c r="S100" s="334" t="s">
        <v>535</v>
      </c>
      <c r="T100" s="334"/>
    </row>
    <row r="101" spans="1:20" s="341" customFormat="1" ht="21.75" customHeight="1">
      <c r="A101" s="400">
        <v>98</v>
      </c>
      <c r="B101" s="332" t="s">
        <v>532</v>
      </c>
      <c r="C101" s="334" t="s">
        <v>539</v>
      </c>
      <c r="D101" s="334">
        <v>905350030</v>
      </c>
      <c r="E101" s="332" t="s">
        <v>511</v>
      </c>
      <c r="F101" s="332" t="s">
        <v>71</v>
      </c>
      <c r="G101" s="357"/>
      <c r="H101" s="358">
        <v>7</v>
      </c>
      <c r="I101" s="358"/>
      <c r="J101" s="358"/>
      <c r="K101" s="358"/>
      <c r="L101" s="334">
        <f t="shared" si="7"/>
        <v>2555</v>
      </c>
      <c r="M101" s="334">
        <v>2553</v>
      </c>
      <c r="N101" s="332">
        <f t="shared" si="6"/>
        <v>-2</v>
      </c>
      <c r="O101" s="359">
        <v>0.49305555555555558</v>
      </c>
      <c r="P101" s="359">
        <v>0.50555555555555554</v>
      </c>
      <c r="Q101" s="332" t="s">
        <v>531</v>
      </c>
      <c r="R101" s="332" t="s">
        <v>230</v>
      </c>
      <c r="S101" s="334" t="s">
        <v>535</v>
      </c>
      <c r="T101" s="334"/>
    </row>
    <row r="102" spans="1:20" s="341" customFormat="1" ht="21.75" customHeight="1">
      <c r="A102" s="400">
        <v>99</v>
      </c>
      <c r="B102" s="332" t="s">
        <v>532</v>
      </c>
      <c r="C102" s="334" t="s">
        <v>540</v>
      </c>
      <c r="D102" s="334">
        <v>905350031</v>
      </c>
      <c r="E102" s="332" t="s">
        <v>511</v>
      </c>
      <c r="F102" s="332" t="s">
        <v>71</v>
      </c>
      <c r="G102" s="357"/>
      <c r="H102" s="358">
        <v>7</v>
      </c>
      <c r="I102" s="358"/>
      <c r="J102" s="358"/>
      <c r="K102" s="358"/>
      <c r="L102" s="334">
        <f t="shared" si="7"/>
        <v>2555</v>
      </c>
      <c r="M102" s="334">
        <v>2552</v>
      </c>
      <c r="N102" s="332">
        <f t="shared" si="6"/>
        <v>-3</v>
      </c>
      <c r="O102" s="359">
        <v>0.56111111111111112</v>
      </c>
      <c r="P102" s="359">
        <v>0.58194444444444449</v>
      </c>
      <c r="Q102" s="332" t="s">
        <v>531</v>
      </c>
      <c r="R102" s="332" t="s">
        <v>230</v>
      </c>
      <c r="S102" s="334" t="s">
        <v>535</v>
      </c>
      <c r="T102" s="334"/>
    </row>
    <row r="103" spans="1:20" s="341" customFormat="1" ht="21.75" customHeight="1">
      <c r="A103" s="400">
        <v>100</v>
      </c>
      <c r="B103" s="332" t="s">
        <v>532</v>
      </c>
      <c r="C103" s="334" t="s">
        <v>537</v>
      </c>
      <c r="D103" s="334">
        <v>905350032</v>
      </c>
      <c r="E103" s="332" t="s">
        <v>511</v>
      </c>
      <c r="F103" s="332" t="s">
        <v>71</v>
      </c>
      <c r="G103" s="357"/>
      <c r="H103" s="358">
        <v>7</v>
      </c>
      <c r="I103" s="358"/>
      <c r="J103" s="358"/>
      <c r="K103" s="358"/>
      <c r="L103" s="334">
        <f t="shared" si="7"/>
        <v>2555</v>
      </c>
      <c r="M103" s="334">
        <v>2554</v>
      </c>
      <c r="N103" s="332">
        <f t="shared" si="6"/>
        <v>-1</v>
      </c>
      <c r="O103" s="359">
        <v>0.58819444444444446</v>
      </c>
      <c r="P103" s="359">
        <v>0.60972222222222217</v>
      </c>
      <c r="Q103" s="332" t="s">
        <v>531</v>
      </c>
      <c r="R103" s="332" t="s">
        <v>230</v>
      </c>
      <c r="S103" s="334" t="s">
        <v>535</v>
      </c>
      <c r="T103" s="334"/>
    </row>
    <row r="104" spans="1:20" s="341" customFormat="1" ht="21.75" customHeight="1">
      <c r="A104" s="400">
        <v>101</v>
      </c>
      <c r="B104" s="332" t="s">
        <v>532</v>
      </c>
      <c r="C104" s="334" t="s">
        <v>538</v>
      </c>
      <c r="D104" s="334">
        <v>905350033</v>
      </c>
      <c r="E104" s="332" t="s">
        <v>511</v>
      </c>
      <c r="F104" s="332" t="s">
        <v>71</v>
      </c>
      <c r="G104" s="357"/>
      <c r="H104" s="358">
        <v>7</v>
      </c>
      <c r="I104" s="358"/>
      <c r="J104" s="358"/>
      <c r="K104" s="358"/>
      <c r="L104" s="334">
        <f t="shared" si="7"/>
        <v>2555</v>
      </c>
      <c r="M104" s="334">
        <v>2555</v>
      </c>
      <c r="N104" s="332">
        <f t="shared" si="6"/>
        <v>0</v>
      </c>
      <c r="O104" s="359">
        <v>0.61319444444444449</v>
      </c>
      <c r="P104" s="359">
        <v>0.64166666666666672</v>
      </c>
      <c r="Q104" s="332" t="s">
        <v>531</v>
      </c>
      <c r="R104" s="332" t="s">
        <v>230</v>
      </c>
      <c r="S104" s="334" t="s">
        <v>535</v>
      </c>
      <c r="T104" s="334"/>
    </row>
    <row r="105" spans="1:20" s="341" customFormat="1" ht="21.75" customHeight="1">
      <c r="A105" s="400">
        <v>102</v>
      </c>
      <c r="B105" s="332" t="s">
        <v>532</v>
      </c>
      <c r="C105" s="334" t="s">
        <v>539</v>
      </c>
      <c r="D105" s="334">
        <v>905350034</v>
      </c>
      <c r="E105" s="332" t="s">
        <v>511</v>
      </c>
      <c r="F105" s="332" t="s">
        <v>71</v>
      </c>
      <c r="G105" s="357"/>
      <c r="H105" s="358">
        <v>7</v>
      </c>
      <c r="I105" s="358"/>
      <c r="J105" s="358"/>
      <c r="K105" s="358"/>
      <c r="L105" s="334">
        <f t="shared" si="7"/>
        <v>2555</v>
      </c>
      <c r="M105" s="334">
        <v>2555</v>
      </c>
      <c r="N105" s="332">
        <f t="shared" si="6"/>
        <v>0</v>
      </c>
      <c r="O105" s="359">
        <v>0.64652777777777781</v>
      </c>
      <c r="P105" s="359">
        <v>0.65833333333333333</v>
      </c>
      <c r="Q105" s="332" t="s">
        <v>531</v>
      </c>
      <c r="R105" s="332" t="s">
        <v>230</v>
      </c>
      <c r="S105" s="334" t="s">
        <v>535</v>
      </c>
      <c r="T105" s="334"/>
    </row>
    <row r="106" spans="1:20" s="341" customFormat="1" ht="21.75" customHeight="1">
      <c r="A106" s="400">
        <v>103</v>
      </c>
      <c r="B106" s="332" t="s">
        <v>532</v>
      </c>
      <c r="C106" s="334" t="s">
        <v>536</v>
      </c>
      <c r="D106" s="334">
        <v>905350035</v>
      </c>
      <c r="E106" s="332" t="s">
        <v>511</v>
      </c>
      <c r="F106" s="332" t="s">
        <v>71</v>
      </c>
      <c r="G106" s="357"/>
      <c r="H106" s="358">
        <v>7</v>
      </c>
      <c r="I106" s="358"/>
      <c r="J106" s="358"/>
      <c r="K106" s="358"/>
      <c r="L106" s="334">
        <f t="shared" si="7"/>
        <v>2555</v>
      </c>
      <c r="M106" s="334">
        <v>2555</v>
      </c>
      <c r="N106" s="332">
        <f t="shared" si="6"/>
        <v>0</v>
      </c>
      <c r="O106" s="359">
        <v>0.66249999999999998</v>
      </c>
      <c r="P106" s="359">
        <v>0.6777777777777777</v>
      </c>
      <c r="Q106" s="332" t="s">
        <v>531</v>
      </c>
      <c r="R106" s="332" t="s">
        <v>230</v>
      </c>
      <c r="S106" s="334" t="s">
        <v>535</v>
      </c>
      <c r="T106" s="334"/>
    </row>
    <row r="107" spans="1:20" s="341" customFormat="1" ht="21.75" customHeight="1">
      <c r="A107" s="400">
        <v>104</v>
      </c>
      <c r="B107" s="332" t="s">
        <v>532</v>
      </c>
      <c r="C107" s="334" t="s">
        <v>540</v>
      </c>
      <c r="D107" s="334">
        <v>905350036</v>
      </c>
      <c r="E107" s="332" t="s">
        <v>511</v>
      </c>
      <c r="F107" s="332" t="s">
        <v>71</v>
      </c>
      <c r="G107" s="357"/>
      <c r="H107" s="358">
        <v>7</v>
      </c>
      <c r="I107" s="358"/>
      <c r="J107" s="358"/>
      <c r="K107" s="358"/>
      <c r="L107" s="334">
        <f t="shared" si="7"/>
        <v>2555</v>
      </c>
      <c r="M107" s="334">
        <v>2555</v>
      </c>
      <c r="N107" s="332">
        <f t="shared" si="6"/>
        <v>0</v>
      </c>
      <c r="O107" s="359">
        <v>0.68541666666666667</v>
      </c>
      <c r="P107" s="359">
        <v>0.70000000000000007</v>
      </c>
      <c r="Q107" s="332" t="s">
        <v>531</v>
      </c>
      <c r="R107" s="332" t="s">
        <v>230</v>
      </c>
      <c r="S107" s="334" t="s">
        <v>535</v>
      </c>
      <c r="T107" s="334"/>
    </row>
    <row r="108" spans="1:20" s="341" customFormat="1" ht="21.75" customHeight="1">
      <c r="A108" s="400">
        <v>105</v>
      </c>
      <c r="B108" s="332" t="s">
        <v>532</v>
      </c>
      <c r="C108" s="334" t="s">
        <v>537</v>
      </c>
      <c r="D108" s="334">
        <v>905350037</v>
      </c>
      <c r="E108" s="332" t="s">
        <v>511</v>
      </c>
      <c r="F108" s="332" t="s">
        <v>71</v>
      </c>
      <c r="G108" s="357"/>
      <c r="H108" s="358">
        <v>7</v>
      </c>
      <c r="I108" s="358"/>
      <c r="J108" s="358"/>
      <c r="K108" s="358"/>
      <c r="L108" s="334">
        <f t="shared" si="7"/>
        <v>2555</v>
      </c>
      <c r="M108" s="334">
        <v>2554</v>
      </c>
      <c r="N108" s="332">
        <f t="shared" si="6"/>
        <v>-1</v>
      </c>
      <c r="O108" s="359">
        <v>0.70416666666666661</v>
      </c>
      <c r="P108" s="359">
        <v>0.73125000000000007</v>
      </c>
      <c r="Q108" s="332" t="s">
        <v>531</v>
      </c>
      <c r="R108" s="332" t="s">
        <v>230</v>
      </c>
      <c r="S108" s="334" t="s">
        <v>535</v>
      </c>
      <c r="T108" s="334"/>
    </row>
    <row r="109" spans="1:20" s="341" customFormat="1" ht="21.75" customHeight="1">
      <c r="A109" s="400">
        <v>106</v>
      </c>
      <c r="B109" s="332" t="s">
        <v>532</v>
      </c>
      <c r="C109" s="334" t="s">
        <v>538</v>
      </c>
      <c r="D109" s="334">
        <v>905350038</v>
      </c>
      <c r="E109" s="332" t="s">
        <v>511</v>
      </c>
      <c r="F109" s="332" t="s">
        <v>71</v>
      </c>
      <c r="G109" s="357"/>
      <c r="H109" s="358">
        <v>7</v>
      </c>
      <c r="I109" s="358"/>
      <c r="J109" s="358"/>
      <c r="K109" s="358"/>
      <c r="L109" s="334">
        <f t="shared" si="7"/>
        <v>2555</v>
      </c>
      <c r="M109" s="334">
        <v>2555</v>
      </c>
      <c r="N109" s="332">
        <f t="shared" ref="N109:N118" si="8">M109-L109</f>
        <v>0</v>
      </c>
      <c r="O109" s="359">
        <v>0.73541666666666661</v>
      </c>
      <c r="P109" s="359">
        <v>0.7729166666666667</v>
      </c>
      <c r="Q109" s="332" t="s">
        <v>531</v>
      </c>
      <c r="R109" s="332" t="s">
        <v>230</v>
      </c>
      <c r="S109" s="334" t="s">
        <v>535</v>
      </c>
      <c r="T109" s="334"/>
    </row>
    <row r="110" spans="1:20" s="341" customFormat="1" ht="21.75" customHeight="1">
      <c r="A110" s="400">
        <v>107</v>
      </c>
      <c r="B110" s="332" t="s">
        <v>532</v>
      </c>
      <c r="C110" s="334" t="s">
        <v>539</v>
      </c>
      <c r="D110" s="334">
        <v>905350039</v>
      </c>
      <c r="E110" s="332" t="s">
        <v>511</v>
      </c>
      <c r="F110" s="332" t="s">
        <v>71</v>
      </c>
      <c r="G110" s="357"/>
      <c r="H110" s="358">
        <v>7</v>
      </c>
      <c r="I110" s="358"/>
      <c r="J110" s="358"/>
      <c r="K110" s="358"/>
      <c r="L110" s="334">
        <f t="shared" si="7"/>
        <v>2555</v>
      </c>
      <c r="M110" s="334">
        <v>2554</v>
      </c>
      <c r="N110" s="332">
        <f t="shared" si="8"/>
        <v>-1</v>
      </c>
      <c r="O110" s="359">
        <v>0.77708333333333324</v>
      </c>
      <c r="P110" s="359">
        <v>0.79513888888888884</v>
      </c>
      <c r="Q110" s="332" t="s">
        <v>531</v>
      </c>
      <c r="R110" s="332" t="s">
        <v>230</v>
      </c>
      <c r="S110" s="334" t="s">
        <v>535</v>
      </c>
      <c r="T110" s="334"/>
    </row>
    <row r="111" spans="1:20" s="341" customFormat="1" ht="21.75" customHeight="1">
      <c r="A111" s="400">
        <v>108</v>
      </c>
      <c r="B111" s="332" t="s">
        <v>532</v>
      </c>
      <c r="C111" s="334" t="s">
        <v>536</v>
      </c>
      <c r="D111" s="334">
        <v>905350041</v>
      </c>
      <c r="E111" s="332" t="s">
        <v>511</v>
      </c>
      <c r="F111" s="332" t="s">
        <v>71</v>
      </c>
      <c r="G111" s="357"/>
      <c r="H111" s="358">
        <v>7</v>
      </c>
      <c r="I111" s="358"/>
      <c r="J111" s="358"/>
      <c r="K111" s="358"/>
      <c r="L111" s="334">
        <f t="shared" si="7"/>
        <v>2555</v>
      </c>
      <c r="M111" s="334">
        <v>2555</v>
      </c>
      <c r="N111" s="332">
        <f t="shared" si="8"/>
        <v>0</v>
      </c>
      <c r="O111" s="359">
        <v>0.79861111111111116</v>
      </c>
      <c r="P111" s="359">
        <v>0.81319444444444444</v>
      </c>
      <c r="Q111" s="332" t="s">
        <v>531</v>
      </c>
      <c r="R111" s="332" t="s">
        <v>230</v>
      </c>
      <c r="S111" s="334" t="s">
        <v>535</v>
      </c>
      <c r="T111" s="334"/>
    </row>
    <row r="112" spans="1:20" s="341" customFormat="1" ht="21.75" customHeight="1">
      <c r="A112" s="400">
        <v>109</v>
      </c>
      <c r="B112" s="332" t="s">
        <v>532</v>
      </c>
      <c r="C112" s="356" t="s">
        <v>540</v>
      </c>
      <c r="D112" s="334">
        <v>905350042</v>
      </c>
      <c r="E112" s="332" t="s">
        <v>511</v>
      </c>
      <c r="F112" s="332" t="s">
        <v>71</v>
      </c>
      <c r="G112" s="357"/>
      <c r="H112" s="358">
        <v>7</v>
      </c>
      <c r="I112" s="358"/>
      <c r="J112" s="358"/>
      <c r="K112" s="358"/>
      <c r="L112" s="334">
        <f t="shared" si="7"/>
        <v>2555</v>
      </c>
      <c r="M112" s="356">
        <v>2555</v>
      </c>
      <c r="N112" s="332">
        <f t="shared" si="8"/>
        <v>0</v>
      </c>
      <c r="O112" s="359">
        <v>0.81666666666666676</v>
      </c>
      <c r="P112" s="359">
        <v>0.84444444444444444</v>
      </c>
      <c r="Q112" s="332" t="s">
        <v>531</v>
      </c>
      <c r="R112" s="332" t="s">
        <v>230</v>
      </c>
      <c r="S112" s="334" t="s">
        <v>535</v>
      </c>
      <c r="T112" s="334"/>
    </row>
    <row r="113" spans="1:20" s="341" customFormat="1" ht="21.75" customHeight="1">
      <c r="A113" s="400">
        <v>110</v>
      </c>
      <c r="B113" s="332" t="s">
        <v>532</v>
      </c>
      <c r="C113" s="356" t="s">
        <v>537</v>
      </c>
      <c r="D113" s="334">
        <v>905350043</v>
      </c>
      <c r="E113" s="332" t="s">
        <v>511</v>
      </c>
      <c r="F113" s="332" t="s">
        <v>71</v>
      </c>
      <c r="G113" s="357"/>
      <c r="H113" s="358">
        <v>7</v>
      </c>
      <c r="I113" s="358"/>
      <c r="J113" s="358"/>
      <c r="K113" s="358"/>
      <c r="L113" s="334">
        <f t="shared" si="7"/>
        <v>2555</v>
      </c>
      <c r="M113" s="356">
        <v>2553</v>
      </c>
      <c r="N113" s="332">
        <f t="shared" si="8"/>
        <v>-2</v>
      </c>
      <c r="O113" s="359">
        <v>0.85069444444444453</v>
      </c>
      <c r="P113" s="359">
        <v>0.875</v>
      </c>
      <c r="Q113" s="332" t="s">
        <v>531</v>
      </c>
      <c r="R113" s="332" t="s">
        <v>230</v>
      </c>
      <c r="S113" s="334" t="s">
        <v>535</v>
      </c>
      <c r="T113" s="334"/>
    </row>
    <row r="114" spans="1:20" s="341" customFormat="1" ht="21.75" customHeight="1">
      <c r="A114" s="400">
        <v>111</v>
      </c>
      <c r="B114" s="332" t="s">
        <v>532</v>
      </c>
      <c r="C114" s="356" t="s">
        <v>538</v>
      </c>
      <c r="D114" s="334">
        <v>905350044</v>
      </c>
      <c r="E114" s="332" t="s">
        <v>511</v>
      </c>
      <c r="F114" s="332" t="s">
        <v>71</v>
      </c>
      <c r="G114" s="357"/>
      <c r="H114" s="358">
        <v>7</v>
      </c>
      <c r="I114" s="358"/>
      <c r="J114" s="358"/>
      <c r="K114" s="358"/>
      <c r="L114" s="334">
        <f t="shared" si="7"/>
        <v>2555</v>
      </c>
      <c r="M114" s="334">
        <v>2554</v>
      </c>
      <c r="N114" s="332">
        <f t="shared" si="8"/>
        <v>-1</v>
      </c>
      <c r="O114" s="359">
        <v>0.88055555555555554</v>
      </c>
      <c r="P114" s="359">
        <v>0.90277777777777779</v>
      </c>
      <c r="Q114" s="332" t="s">
        <v>531</v>
      </c>
      <c r="R114" s="332" t="s">
        <v>230</v>
      </c>
      <c r="S114" s="334" t="s">
        <v>535</v>
      </c>
      <c r="T114" s="334"/>
    </row>
    <row r="115" spans="1:20" s="341" customFormat="1" ht="21.75" customHeight="1">
      <c r="A115" s="400">
        <v>112</v>
      </c>
      <c r="B115" s="332" t="s">
        <v>532</v>
      </c>
      <c r="C115" s="356" t="s">
        <v>539</v>
      </c>
      <c r="D115" s="334">
        <v>905350045</v>
      </c>
      <c r="E115" s="332" t="s">
        <v>511</v>
      </c>
      <c r="F115" s="332" t="s">
        <v>71</v>
      </c>
      <c r="G115" s="357"/>
      <c r="H115" s="358">
        <v>7</v>
      </c>
      <c r="I115" s="358"/>
      <c r="J115" s="358"/>
      <c r="K115" s="358"/>
      <c r="L115" s="334">
        <f t="shared" si="7"/>
        <v>2555</v>
      </c>
      <c r="M115" s="334">
        <v>2553</v>
      </c>
      <c r="N115" s="332">
        <f t="shared" si="8"/>
        <v>-2</v>
      </c>
      <c r="O115" s="359">
        <v>0.91666666666666663</v>
      </c>
      <c r="P115" s="359">
        <v>0.93402777777777779</v>
      </c>
      <c r="Q115" s="332" t="s">
        <v>531</v>
      </c>
      <c r="R115" s="332" t="s">
        <v>230</v>
      </c>
      <c r="S115" s="334" t="s">
        <v>535</v>
      </c>
      <c r="T115" s="334"/>
    </row>
    <row r="116" spans="1:20" s="341" customFormat="1" ht="21.75" customHeight="1">
      <c r="A116" s="400">
        <v>113</v>
      </c>
      <c r="B116" s="332" t="s">
        <v>532</v>
      </c>
      <c r="C116" s="356" t="s">
        <v>536</v>
      </c>
      <c r="D116" s="334">
        <v>905350046</v>
      </c>
      <c r="E116" s="332" t="s">
        <v>511</v>
      </c>
      <c r="F116" s="332" t="s">
        <v>71</v>
      </c>
      <c r="G116" s="357"/>
      <c r="H116" s="358">
        <v>7</v>
      </c>
      <c r="I116" s="358"/>
      <c r="J116" s="358"/>
      <c r="K116" s="358"/>
      <c r="L116" s="334">
        <f t="shared" si="7"/>
        <v>2555</v>
      </c>
      <c r="M116" s="356">
        <v>2553</v>
      </c>
      <c r="N116" s="332">
        <f t="shared" si="8"/>
        <v>-2</v>
      </c>
      <c r="O116" s="359">
        <v>0.93611111111111101</v>
      </c>
      <c r="P116" s="359">
        <v>0.96180555555555547</v>
      </c>
      <c r="Q116" s="332" t="s">
        <v>531</v>
      </c>
      <c r="R116" s="332" t="s">
        <v>230</v>
      </c>
      <c r="S116" s="334" t="s">
        <v>535</v>
      </c>
      <c r="T116" s="334"/>
    </row>
    <row r="117" spans="1:20" s="341" customFormat="1" ht="21.75" customHeight="1">
      <c r="A117" s="400">
        <v>114</v>
      </c>
      <c r="B117" s="332" t="s">
        <v>532</v>
      </c>
      <c r="C117" s="356" t="s">
        <v>540</v>
      </c>
      <c r="D117" s="334">
        <v>905350047</v>
      </c>
      <c r="E117" s="332" t="s">
        <v>511</v>
      </c>
      <c r="F117" s="332" t="s">
        <v>71</v>
      </c>
      <c r="G117" s="357"/>
      <c r="H117" s="358">
        <v>7</v>
      </c>
      <c r="I117" s="358"/>
      <c r="J117" s="358"/>
      <c r="K117" s="358"/>
      <c r="L117" s="334">
        <f t="shared" si="7"/>
        <v>2555</v>
      </c>
      <c r="M117" s="334">
        <v>2554</v>
      </c>
      <c r="N117" s="332">
        <f t="shared" si="8"/>
        <v>-1</v>
      </c>
      <c r="O117" s="359">
        <v>0.99305555555555547</v>
      </c>
      <c r="P117" s="359">
        <v>4.9999999999999996E-2</v>
      </c>
      <c r="Q117" s="332" t="s">
        <v>531</v>
      </c>
      <c r="R117" s="332" t="s">
        <v>230</v>
      </c>
      <c r="S117" s="334" t="s">
        <v>535</v>
      </c>
      <c r="T117" s="334"/>
    </row>
    <row r="118" spans="1:20" s="341" customFormat="1" ht="21.75" customHeight="1">
      <c r="A118" s="400">
        <v>115</v>
      </c>
      <c r="B118" s="332" t="s">
        <v>532</v>
      </c>
      <c r="C118" s="356" t="s">
        <v>537</v>
      </c>
      <c r="D118" s="334">
        <v>905350048</v>
      </c>
      <c r="E118" s="332" t="s">
        <v>511</v>
      </c>
      <c r="F118" s="332" t="s">
        <v>71</v>
      </c>
      <c r="G118" s="357"/>
      <c r="H118" s="358">
        <v>7</v>
      </c>
      <c r="I118" s="358"/>
      <c r="J118" s="358"/>
      <c r="K118" s="358"/>
      <c r="L118" s="334">
        <f t="shared" si="7"/>
        <v>2555</v>
      </c>
      <c r="M118" s="334">
        <v>2554</v>
      </c>
      <c r="N118" s="332">
        <f t="shared" si="8"/>
        <v>-1</v>
      </c>
      <c r="O118" s="359">
        <v>0.99652777777777779</v>
      </c>
      <c r="P118" s="359">
        <v>4.9999999999999996E-2</v>
      </c>
      <c r="Q118" s="332" t="s">
        <v>531</v>
      </c>
      <c r="R118" s="332" t="s">
        <v>230</v>
      </c>
      <c r="S118" s="334" t="s">
        <v>535</v>
      </c>
      <c r="T118" s="334"/>
    </row>
    <row r="119" spans="1:20" s="341" customFormat="1" ht="21.75" customHeight="1">
      <c r="A119" s="400">
        <v>116</v>
      </c>
      <c r="B119" s="332" t="s">
        <v>532</v>
      </c>
      <c r="C119" s="356" t="s">
        <v>538</v>
      </c>
      <c r="D119" s="356">
        <v>905350049</v>
      </c>
      <c r="E119" s="332" t="s">
        <v>511</v>
      </c>
      <c r="F119" s="332" t="s">
        <v>71</v>
      </c>
      <c r="G119" s="357"/>
      <c r="H119" s="358">
        <v>7</v>
      </c>
      <c r="I119" s="358"/>
      <c r="J119" s="358"/>
      <c r="K119" s="358"/>
      <c r="L119" s="356">
        <f t="shared" ref="L119" si="9">H119*365</f>
        <v>2555</v>
      </c>
      <c r="M119" s="356">
        <v>2554</v>
      </c>
      <c r="N119" s="332">
        <f t="shared" ref="N119" si="10">M119-L119</f>
        <v>-1</v>
      </c>
      <c r="O119" s="359">
        <v>5.5555555555555552E-2</v>
      </c>
      <c r="P119" s="359">
        <v>6.25E-2</v>
      </c>
      <c r="Q119" s="332" t="s">
        <v>531</v>
      </c>
      <c r="R119" s="332" t="s">
        <v>230</v>
      </c>
      <c r="S119" s="356" t="s">
        <v>535</v>
      </c>
      <c r="T119" s="356"/>
    </row>
    <row r="120" spans="1:20" s="341" customFormat="1" ht="21.75" customHeight="1">
      <c r="A120" s="400">
        <v>117</v>
      </c>
      <c r="B120" s="332" t="s">
        <v>532</v>
      </c>
      <c r="C120" s="356" t="s">
        <v>539</v>
      </c>
      <c r="D120" s="356">
        <v>905350050</v>
      </c>
      <c r="E120" s="332" t="s">
        <v>511</v>
      </c>
      <c r="F120" s="332" t="s">
        <v>71</v>
      </c>
      <c r="G120" s="357"/>
      <c r="H120" s="358">
        <v>7</v>
      </c>
      <c r="I120" s="358"/>
      <c r="J120" s="358"/>
      <c r="K120" s="358"/>
      <c r="L120" s="356">
        <f t="shared" ref="L120" si="11">H120*365</f>
        <v>2555</v>
      </c>
      <c r="M120" s="356">
        <v>2553</v>
      </c>
      <c r="N120" s="332">
        <f t="shared" ref="N120" si="12">M120-L120</f>
        <v>-2</v>
      </c>
      <c r="O120" s="359">
        <v>6.5972222222222224E-2</v>
      </c>
      <c r="P120" s="359">
        <v>7.2916666666666671E-2</v>
      </c>
      <c r="Q120" s="332" t="s">
        <v>531</v>
      </c>
      <c r="R120" s="332" t="s">
        <v>230</v>
      </c>
      <c r="S120" s="356" t="s">
        <v>535</v>
      </c>
      <c r="T120" s="356"/>
    </row>
    <row r="121" spans="1:20" s="341" customFormat="1" ht="21.75" customHeight="1">
      <c r="A121" s="400">
        <v>118</v>
      </c>
      <c r="B121" s="332" t="s">
        <v>532</v>
      </c>
      <c r="C121" s="356" t="s">
        <v>536</v>
      </c>
      <c r="D121" s="356">
        <v>905350051</v>
      </c>
      <c r="E121" s="332" t="s">
        <v>511</v>
      </c>
      <c r="F121" s="332" t="s">
        <v>71</v>
      </c>
      <c r="G121" s="357"/>
      <c r="H121" s="358">
        <v>7</v>
      </c>
      <c r="I121" s="358"/>
      <c r="J121" s="358"/>
      <c r="K121" s="358"/>
      <c r="L121" s="356">
        <f t="shared" ref="L121" si="13">H121*365</f>
        <v>2555</v>
      </c>
      <c r="M121" s="356">
        <v>2553</v>
      </c>
      <c r="N121" s="332">
        <f t="shared" ref="N121" si="14">M121-L121</f>
        <v>-2</v>
      </c>
      <c r="O121" s="359">
        <v>7.9861111111111105E-2</v>
      </c>
      <c r="P121" s="359">
        <v>9.375E-2</v>
      </c>
      <c r="Q121" s="332" t="s">
        <v>531</v>
      </c>
      <c r="R121" s="332" t="s">
        <v>230</v>
      </c>
      <c r="S121" s="356" t="s">
        <v>535</v>
      </c>
      <c r="T121" s="356"/>
    </row>
    <row r="122" spans="1:20" s="341" customFormat="1" ht="21.75" customHeight="1">
      <c r="A122" s="400">
        <v>119</v>
      </c>
      <c r="B122" s="332" t="s">
        <v>532</v>
      </c>
      <c r="C122" s="373" t="s">
        <v>540</v>
      </c>
      <c r="D122" s="373">
        <v>905350052</v>
      </c>
      <c r="E122" s="332" t="s">
        <v>511</v>
      </c>
      <c r="F122" s="332" t="s">
        <v>71</v>
      </c>
      <c r="G122" s="357"/>
      <c r="H122" s="358">
        <v>7</v>
      </c>
      <c r="I122" s="358"/>
      <c r="J122" s="358"/>
      <c r="K122" s="358"/>
      <c r="L122" s="373">
        <f t="shared" ref="L122:L167" si="15">H122*365</f>
        <v>2555</v>
      </c>
      <c r="M122" s="373">
        <v>2554</v>
      </c>
      <c r="N122" s="332">
        <f t="shared" ref="N122:N167" si="16">M122-L122</f>
        <v>-1</v>
      </c>
      <c r="O122" s="359">
        <v>8.3333333333333329E-2</v>
      </c>
      <c r="P122" s="359">
        <v>9.7222222222222224E-2</v>
      </c>
      <c r="Q122" s="332" t="s">
        <v>531</v>
      </c>
      <c r="R122" s="332" t="s">
        <v>230</v>
      </c>
      <c r="S122" s="373" t="s">
        <v>535</v>
      </c>
      <c r="T122" s="373"/>
    </row>
    <row r="123" spans="1:20" s="341" customFormat="1" ht="21.75" customHeight="1">
      <c r="A123" s="400">
        <v>120</v>
      </c>
      <c r="B123" s="400" t="s">
        <v>596</v>
      </c>
      <c r="C123" s="400" t="s">
        <v>538</v>
      </c>
      <c r="D123" s="400">
        <v>905350080</v>
      </c>
      <c r="E123" s="332" t="s">
        <v>511</v>
      </c>
      <c r="F123" s="332" t="s">
        <v>71</v>
      </c>
      <c r="G123" s="357"/>
      <c r="H123" s="358">
        <v>7</v>
      </c>
      <c r="I123" s="358"/>
      <c r="J123" s="358"/>
      <c r="K123" s="358"/>
      <c r="L123" s="400">
        <f t="shared" ref="L123" si="17">H123*365</f>
        <v>2555</v>
      </c>
      <c r="M123" s="400">
        <v>2555</v>
      </c>
      <c r="N123" s="332">
        <f t="shared" ref="N123" si="18">M123-L123</f>
        <v>0</v>
      </c>
      <c r="O123" s="359">
        <v>0.59027777777777779</v>
      </c>
      <c r="P123" s="359">
        <v>0.60416666666666663</v>
      </c>
      <c r="Q123" s="332" t="s">
        <v>588</v>
      </c>
      <c r="R123" s="332" t="s">
        <v>230</v>
      </c>
      <c r="S123" s="400" t="s">
        <v>535</v>
      </c>
      <c r="T123" s="400"/>
    </row>
    <row r="124" spans="1:20" s="341" customFormat="1" ht="21.75" customHeight="1">
      <c r="A124" s="400">
        <v>121</v>
      </c>
      <c r="B124" s="400" t="s">
        <v>596</v>
      </c>
      <c r="C124" s="400" t="s">
        <v>539</v>
      </c>
      <c r="D124" s="400">
        <v>905350081</v>
      </c>
      <c r="E124" s="332" t="s">
        <v>511</v>
      </c>
      <c r="F124" s="332" t="s">
        <v>71</v>
      </c>
      <c r="G124" s="357"/>
      <c r="H124" s="358">
        <v>7</v>
      </c>
      <c r="I124" s="358"/>
      <c r="J124" s="358"/>
      <c r="K124" s="358"/>
      <c r="L124" s="400">
        <f t="shared" ref="L124:L147" si="19">H124*365</f>
        <v>2555</v>
      </c>
      <c r="M124" s="400">
        <v>2556</v>
      </c>
      <c r="N124" s="332">
        <f t="shared" ref="N124:N148" si="20">M124-L124</f>
        <v>1</v>
      </c>
      <c r="O124" s="359">
        <v>0.60972222222222217</v>
      </c>
      <c r="P124" s="359">
        <v>0.6166666666666667</v>
      </c>
      <c r="Q124" s="332" t="s">
        <v>588</v>
      </c>
      <c r="R124" s="332" t="s">
        <v>230</v>
      </c>
      <c r="S124" s="400" t="s">
        <v>535</v>
      </c>
      <c r="T124" s="400"/>
    </row>
    <row r="125" spans="1:20" s="341" customFormat="1" ht="21.75" customHeight="1">
      <c r="A125" s="400">
        <v>122</v>
      </c>
      <c r="B125" s="400" t="s">
        <v>596</v>
      </c>
      <c r="C125" s="400" t="s">
        <v>536</v>
      </c>
      <c r="D125" s="400">
        <v>905350082</v>
      </c>
      <c r="E125" s="332" t="s">
        <v>511</v>
      </c>
      <c r="F125" s="332" t="s">
        <v>71</v>
      </c>
      <c r="G125" s="357"/>
      <c r="H125" s="358">
        <v>7</v>
      </c>
      <c r="I125" s="358"/>
      <c r="J125" s="358"/>
      <c r="K125" s="358"/>
      <c r="L125" s="400">
        <f t="shared" si="19"/>
        <v>2555</v>
      </c>
      <c r="M125" s="400">
        <v>2552</v>
      </c>
      <c r="N125" s="332">
        <f t="shared" si="20"/>
        <v>-3</v>
      </c>
      <c r="O125" s="359">
        <v>0.61944444444444446</v>
      </c>
      <c r="P125" s="359">
        <v>0.62777777777777777</v>
      </c>
      <c r="Q125" s="332" t="s">
        <v>588</v>
      </c>
      <c r="R125" s="332" t="s">
        <v>230</v>
      </c>
      <c r="S125" s="400" t="s">
        <v>535</v>
      </c>
      <c r="T125" s="400"/>
    </row>
    <row r="126" spans="1:20" s="341" customFormat="1" ht="21.75" customHeight="1">
      <c r="A126" s="400">
        <v>123</v>
      </c>
      <c r="B126" s="400" t="s">
        <v>596</v>
      </c>
      <c r="C126" s="400" t="s">
        <v>537</v>
      </c>
      <c r="D126" s="400">
        <v>905350083</v>
      </c>
      <c r="E126" s="332" t="s">
        <v>511</v>
      </c>
      <c r="F126" s="332" t="s">
        <v>71</v>
      </c>
      <c r="G126" s="357"/>
      <c r="H126" s="358">
        <v>7</v>
      </c>
      <c r="I126" s="358"/>
      <c r="J126" s="358"/>
      <c r="K126" s="358"/>
      <c r="L126" s="400">
        <f t="shared" si="19"/>
        <v>2555</v>
      </c>
      <c r="M126" s="400">
        <v>2554</v>
      </c>
      <c r="N126" s="332">
        <f t="shared" si="20"/>
        <v>-1</v>
      </c>
      <c r="O126" s="359">
        <v>0.65069444444444446</v>
      </c>
      <c r="P126" s="359">
        <v>0.65763888888888888</v>
      </c>
      <c r="Q126" s="332" t="s">
        <v>588</v>
      </c>
      <c r="R126" s="332" t="s">
        <v>230</v>
      </c>
      <c r="S126" s="400" t="s">
        <v>535</v>
      </c>
      <c r="T126" s="400"/>
    </row>
    <row r="127" spans="1:20" s="341" customFormat="1" ht="21.75" customHeight="1">
      <c r="A127" s="400">
        <v>124</v>
      </c>
      <c r="B127" s="400" t="s">
        <v>596</v>
      </c>
      <c r="C127" s="400" t="s">
        <v>540</v>
      </c>
      <c r="D127" s="400">
        <v>905350084</v>
      </c>
      <c r="E127" s="332" t="s">
        <v>511</v>
      </c>
      <c r="F127" s="332" t="s">
        <v>71</v>
      </c>
      <c r="G127" s="357"/>
      <c r="H127" s="358">
        <v>7</v>
      </c>
      <c r="I127" s="358"/>
      <c r="J127" s="358"/>
      <c r="K127" s="358"/>
      <c r="L127" s="400">
        <f t="shared" si="19"/>
        <v>2555</v>
      </c>
      <c r="M127" s="400">
        <v>2556</v>
      </c>
      <c r="N127" s="332">
        <f t="shared" si="20"/>
        <v>1</v>
      </c>
      <c r="O127" s="359">
        <v>0.65972222222222221</v>
      </c>
      <c r="P127" s="359">
        <v>0.67986111111111114</v>
      </c>
      <c r="Q127" s="332" t="s">
        <v>588</v>
      </c>
      <c r="R127" s="332" t="s">
        <v>230</v>
      </c>
      <c r="S127" s="400" t="s">
        <v>535</v>
      </c>
      <c r="T127" s="400"/>
    </row>
    <row r="128" spans="1:20" s="341" customFormat="1" ht="21.75" customHeight="1">
      <c r="A128" s="400">
        <v>125</v>
      </c>
      <c r="B128" s="400" t="s">
        <v>596</v>
      </c>
      <c r="C128" s="400" t="s">
        <v>538</v>
      </c>
      <c r="D128" s="400">
        <v>905350085</v>
      </c>
      <c r="E128" s="332" t="s">
        <v>511</v>
      </c>
      <c r="F128" s="332" t="s">
        <v>71</v>
      </c>
      <c r="G128" s="357"/>
      <c r="H128" s="358">
        <v>7</v>
      </c>
      <c r="I128" s="358"/>
      <c r="J128" s="358"/>
      <c r="K128" s="358"/>
      <c r="L128" s="400">
        <f t="shared" si="19"/>
        <v>2555</v>
      </c>
      <c r="M128" s="400">
        <v>2554</v>
      </c>
      <c r="N128" s="332">
        <f t="shared" si="20"/>
        <v>-1</v>
      </c>
      <c r="O128" s="359">
        <v>0.69097222222222221</v>
      </c>
      <c r="P128" s="359">
        <v>0.69930555555555562</v>
      </c>
      <c r="Q128" s="332" t="s">
        <v>588</v>
      </c>
      <c r="R128" s="332" t="s">
        <v>230</v>
      </c>
      <c r="S128" s="400" t="s">
        <v>535</v>
      </c>
      <c r="T128" s="400"/>
    </row>
    <row r="129" spans="1:20" s="341" customFormat="1" ht="21.75" customHeight="1">
      <c r="A129" s="400">
        <v>126</v>
      </c>
      <c r="B129" s="400" t="s">
        <v>596</v>
      </c>
      <c r="C129" s="400" t="s">
        <v>539</v>
      </c>
      <c r="D129" s="400">
        <v>905350086</v>
      </c>
      <c r="E129" s="332" t="s">
        <v>511</v>
      </c>
      <c r="F129" s="332" t="s">
        <v>71</v>
      </c>
      <c r="G129" s="357"/>
      <c r="H129" s="358">
        <v>7</v>
      </c>
      <c r="I129" s="358"/>
      <c r="J129" s="358"/>
      <c r="K129" s="358"/>
      <c r="L129" s="400">
        <f t="shared" si="19"/>
        <v>2555</v>
      </c>
      <c r="M129" s="400">
        <v>2556</v>
      </c>
      <c r="N129" s="332">
        <f t="shared" si="20"/>
        <v>1</v>
      </c>
      <c r="O129" s="359">
        <v>0.70416666666666661</v>
      </c>
      <c r="P129" s="359">
        <v>0.7090277777777777</v>
      </c>
      <c r="Q129" s="332" t="s">
        <v>588</v>
      </c>
      <c r="R129" s="332" t="s">
        <v>230</v>
      </c>
      <c r="S129" s="400" t="s">
        <v>535</v>
      </c>
      <c r="T129" s="400"/>
    </row>
    <row r="130" spans="1:20" s="341" customFormat="1" ht="21.75" customHeight="1">
      <c r="A130" s="400">
        <v>127</v>
      </c>
      <c r="B130" s="400" t="s">
        <v>596</v>
      </c>
      <c r="C130" s="400" t="s">
        <v>536</v>
      </c>
      <c r="D130" s="400">
        <v>905350087</v>
      </c>
      <c r="E130" s="332" t="s">
        <v>511</v>
      </c>
      <c r="F130" s="332" t="s">
        <v>71</v>
      </c>
      <c r="G130" s="357"/>
      <c r="H130" s="358">
        <v>7</v>
      </c>
      <c r="I130" s="358"/>
      <c r="J130" s="358"/>
      <c r="K130" s="358"/>
      <c r="L130" s="400">
        <f t="shared" si="19"/>
        <v>2555</v>
      </c>
      <c r="M130" s="400">
        <v>2556</v>
      </c>
      <c r="N130" s="332">
        <f t="shared" si="20"/>
        <v>1</v>
      </c>
      <c r="O130" s="359">
        <v>0.71527777777777779</v>
      </c>
      <c r="P130" s="359">
        <v>0.72222222222222221</v>
      </c>
      <c r="Q130" s="332" t="s">
        <v>588</v>
      </c>
      <c r="R130" s="332" t="s">
        <v>230</v>
      </c>
      <c r="S130" s="400" t="s">
        <v>535</v>
      </c>
      <c r="T130" s="400"/>
    </row>
    <row r="131" spans="1:20" s="341" customFormat="1" ht="21.75" customHeight="1">
      <c r="A131" s="400">
        <v>128</v>
      </c>
      <c r="B131" s="400" t="s">
        <v>596</v>
      </c>
      <c r="C131" s="400" t="s">
        <v>537</v>
      </c>
      <c r="D131" s="400">
        <v>905350094</v>
      </c>
      <c r="E131" s="332" t="s">
        <v>511</v>
      </c>
      <c r="F131" s="332" t="s">
        <v>71</v>
      </c>
      <c r="G131" s="357"/>
      <c r="H131" s="358">
        <v>7</v>
      </c>
      <c r="I131" s="358"/>
      <c r="J131" s="358"/>
      <c r="K131" s="358"/>
      <c r="L131" s="400">
        <f t="shared" si="19"/>
        <v>2555</v>
      </c>
      <c r="M131" s="400">
        <v>2555</v>
      </c>
      <c r="N131" s="332">
        <f t="shared" si="20"/>
        <v>0</v>
      </c>
      <c r="O131" s="359">
        <v>0.90555555555555556</v>
      </c>
      <c r="P131" s="359">
        <v>0.91388888888888886</v>
      </c>
      <c r="Q131" s="332" t="s">
        <v>588</v>
      </c>
      <c r="R131" s="332" t="s">
        <v>230</v>
      </c>
      <c r="S131" s="400" t="s">
        <v>535</v>
      </c>
      <c r="T131" s="400"/>
    </row>
    <row r="132" spans="1:20" s="341" customFormat="1" ht="21.75" customHeight="1">
      <c r="A132" s="400">
        <v>129</v>
      </c>
      <c r="B132" s="400" t="s">
        <v>596</v>
      </c>
      <c r="C132" s="400" t="s">
        <v>540</v>
      </c>
      <c r="D132" s="400">
        <v>905350089</v>
      </c>
      <c r="E132" s="332" t="s">
        <v>511</v>
      </c>
      <c r="F132" s="332" t="s">
        <v>71</v>
      </c>
      <c r="G132" s="357"/>
      <c r="H132" s="358">
        <v>7</v>
      </c>
      <c r="I132" s="358"/>
      <c r="J132" s="358"/>
      <c r="K132" s="358"/>
      <c r="L132" s="400">
        <f t="shared" si="19"/>
        <v>2555</v>
      </c>
      <c r="M132" s="400">
        <v>2556</v>
      </c>
      <c r="N132" s="332">
        <f t="shared" si="20"/>
        <v>1</v>
      </c>
      <c r="O132" s="359">
        <v>0.7631944444444444</v>
      </c>
      <c r="P132" s="359">
        <v>0.77083333333333337</v>
      </c>
      <c r="Q132" s="332" t="s">
        <v>588</v>
      </c>
      <c r="R132" s="332" t="s">
        <v>230</v>
      </c>
      <c r="S132" s="400" t="s">
        <v>535</v>
      </c>
      <c r="T132" s="400"/>
    </row>
    <row r="133" spans="1:20" s="341" customFormat="1" ht="21.75" customHeight="1">
      <c r="A133" s="400">
        <v>130</v>
      </c>
      <c r="B133" s="400" t="s">
        <v>596</v>
      </c>
      <c r="C133" s="400" t="s">
        <v>538</v>
      </c>
      <c r="D133" s="400">
        <v>905350090</v>
      </c>
      <c r="E133" s="332" t="s">
        <v>511</v>
      </c>
      <c r="F133" s="332" t="s">
        <v>71</v>
      </c>
      <c r="G133" s="357"/>
      <c r="H133" s="358">
        <v>7</v>
      </c>
      <c r="I133" s="358"/>
      <c r="J133" s="358"/>
      <c r="K133" s="358"/>
      <c r="L133" s="400">
        <f t="shared" si="19"/>
        <v>2555</v>
      </c>
      <c r="M133" s="400">
        <v>2555</v>
      </c>
      <c r="N133" s="332">
        <f t="shared" si="20"/>
        <v>0</v>
      </c>
      <c r="O133" s="359">
        <v>0.77361111111111114</v>
      </c>
      <c r="P133" s="359">
        <v>0.78541666666666676</v>
      </c>
      <c r="Q133" s="332" t="s">
        <v>588</v>
      </c>
      <c r="R133" s="332" t="s">
        <v>230</v>
      </c>
      <c r="S133" s="400" t="s">
        <v>535</v>
      </c>
      <c r="T133" s="400"/>
    </row>
    <row r="134" spans="1:20" s="341" customFormat="1" ht="21.75" customHeight="1">
      <c r="A134" s="400">
        <v>131</v>
      </c>
      <c r="B134" s="400" t="s">
        <v>596</v>
      </c>
      <c r="C134" s="400" t="s">
        <v>536</v>
      </c>
      <c r="D134" s="400">
        <v>905350091</v>
      </c>
      <c r="E134" s="332" t="s">
        <v>511</v>
      </c>
      <c r="F134" s="332" t="s">
        <v>71</v>
      </c>
      <c r="G134" s="357"/>
      <c r="H134" s="358">
        <v>7</v>
      </c>
      <c r="I134" s="358"/>
      <c r="J134" s="358"/>
      <c r="K134" s="358"/>
      <c r="L134" s="400">
        <f t="shared" si="19"/>
        <v>2555</v>
      </c>
      <c r="M134" s="400">
        <v>2557</v>
      </c>
      <c r="N134" s="332">
        <f t="shared" si="20"/>
        <v>2</v>
      </c>
      <c r="O134" s="359">
        <v>0.80138888888888893</v>
      </c>
      <c r="P134" s="359">
        <v>0.80902777777777779</v>
      </c>
      <c r="Q134" s="332" t="s">
        <v>588</v>
      </c>
      <c r="R134" s="332" t="s">
        <v>230</v>
      </c>
      <c r="S134" s="400" t="s">
        <v>535</v>
      </c>
      <c r="T134" s="400"/>
    </row>
    <row r="135" spans="1:20" s="341" customFormat="1" ht="21.75" customHeight="1">
      <c r="A135" s="400">
        <v>132</v>
      </c>
      <c r="B135" s="400" t="s">
        <v>596</v>
      </c>
      <c r="C135" s="400" t="s">
        <v>540</v>
      </c>
      <c r="D135" s="400">
        <v>905350092</v>
      </c>
      <c r="E135" s="332" t="s">
        <v>511</v>
      </c>
      <c r="F135" s="332" t="s">
        <v>71</v>
      </c>
      <c r="G135" s="357"/>
      <c r="H135" s="358">
        <v>7</v>
      </c>
      <c r="I135" s="358"/>
      <c r="J135" s="358"/>
      <c r="K135" s="358"/>
      <c r="L135" s="400">
        <f t="shared" si="19"/>
        <v>2555</v>
      </c>
      <c r="M135" s="400">
        <v>2555</v>
      </c>
      <c r="N135" s="332">
        <f t="shared" si="20"/>
        <v>0</v>
      </c>
      <c r="O135" s="359">
        <v>0.8125</v>
      </c>
      <c r="P135" s="359">
        <v>0.81944444444444453</v>
      </c>
      <c r="Q135" s="332" t="s">
        <v>588</v>
      </c>
      <c r="R135" s="332" t="s">
        <v>230</v>
      </c>
      <c r="S135" s="400" t="s">
        <v>535</v>
      </c>
      <c r="T135" s="400"/>
    </row>
    <row r="136" spans="1:20" s="341" customFormat="1" ht="21.75" customHeight="1">
      <c r="A136" s="400">
        <v>133</v>
      </c>
      <c r="B136" s="400" t="s">
        <v>596</v>
      </c>
      <c r="C136" s="400" t="s">
        <v>539</v>
      </c>
      <c r="D136" s="400">
        <v>905350093</v>
      </c>
      <c r="E136" s="332" t="s">
        <v>511</v>
      </c>
      <c r="F136" s="332" t="s">
        <v>71</v>
      </c>
      <c r="G136" s="357"/>
      <c r="H136" s="358">
        <v>7</v>
      </c>
      <c r="I136" s="358"/>
      <c r="J136" s="358"/>
      <c r="K136" s="358"/>
      <c r="L136" s="400">
        <f t="shared" si="19"/>
        <v>2555</v>
      </c>
      <c r="M136" s="400">
        <v>2555</v>
      </c>
      <c r="N136" s="332">
        <f t="shared" si="20"/>
        <v>0</v>
      </c>
      <c r="O136" s="359">
        <v>0.90555555555555556</v>
      </c>
      <c r="P136" s="359">
        <v>0.91249999999999998</v>
      </c>
      <c r="Q136" s="332" t="s">
        <v>588</v>
      </c>
      <c r="R136" s="332" t="s">
        <v>230</v>
      </c>
      <c r="S136" s="400" t="s">
        <v>535</v>
      </c>
      <c r="T136" s="400"/>
    </row>
    <row r="137" spans="1:20" s="341" customFormat="1" ht="21.75" customHeight="1">
      <c r="A137" s="400">
        <v>134</v>
      </c>
      <c r="B137" s="400" t="s">
        <v>596</v>
      </c>
      <c r="C137" s="400" t="s">
        <v>538</v>
      </c>
      <c r="D137" s="400">
        <v>905350095</v>
      </c>
      <c r="E137" s="332" t="s">
        <v>511</v>
      </c>
      <c r="F137" s="332" t="s">
        <v>71</v>
      </c>
      <c r="G137" s="357"/>
      <c r="H137" s="358">
        <v>7</v>
      </c>
      <c r="I137" s="358"/>
      <c r="J137" s="358"/>
      <c r="K137" s="358"/>
      <c r="L137" s="400">
        <f t="shared" si="19"/>
        <v>2555</v>
      </c>
      <c r="M137" s="400">
        <v>2554</v>
      </c>
      <c r="N137" s="332">
        <f t="shared" si="20"/>
        <v>-1</v>
      </c>
      <c r="O137" s="359">
        <v>0.9375</v>
      </c>
      <c r="P137" s="359">
        <v>0.96527777777777779</v>
      </c>
      <c r="Q137" s="332" t="s">
        <v>588</v>
      </c>
      <c r="R137" s="332" t="s">
        <v>230</v>
      </c>
      <c r="S137" s="400" t="s">
        <v>535</v>
      </c>
      <c r="T137" s="400"/>
    </row>
    <row r="138" spans="1:20" s="341" customFormat="1" ht="21.75" customHeight="1">
      <c r="A138" s="400">
        <v>135</v>
      </c>
      <c r="B138" s="400" t="s">
        <v>596</v>
      </c>
      <c r="C138" s="400" t="s">
        <v>536</v>
      </c>
      <c r="D138" s="400">
        <v>905350096</v>
      </c>
      <c r="E138" s="332" t="s">
        <v>511</v>
      </c>
      <c r="F138" s="332" t="s">
        <v>71</v>
      </c>
      <c r="G138" s="357"/>
      <c r="H138" s="358">
        <v>7</v>
      </c>
      <c r="I138" s="358"/>
      <c r="J138" s="358"/>
      <c r="K138" s="358"/>
      <c r="L138" s="400">
        <f t="shared" si="19"/>
        <v>2555</v>
      </c>
      <c r="M138" s="400">
        <v>2556</v>
      </c>
      <c r="N138" s="332">
        <f t="shared" si="20"/>
        <v>1</v>
      </c>
      <c r="O138" s="359">
        <v>0.91666666666666663</v>
      </c>
      <c r="P138" s="359">
        <v>0.93263888888888891</v>
      </c>
      <c r="Q138" s="332" t="s">
        <v>588</v>
      </c>
      <c r="R138" s="332" t="s">
        <v>230</v>
      </c>
      <c r="S138" s="400" t="s">
        <v>535</v>
      </c>
      <c r="T138" s="400"/>
    </row>
    <row r="139" spans="1:20" s="341" customFormat="1" ht="21.75" customHeight="1">
      <c r="A139" s="400">
        <v>136</v>
      </c>
      <c r="B139" s="400" t="s">
        <v>596</v>
      </c>
      <c r="C139" s="400" t="s">
        <v>537</v>
      </c>
      <c r="D139" s="400">
        <v>905350097</v>
      </c>
      <c r="E139" s="332" t="s">
        <v>511</v>
      </c>
      <c r="F139" s="332" t="s">
        <v>71</v>
      </c>
      <c r="G139" s="357"/>
      <c r="H139" s="358">
        <v>7</v>
      </c>
      <c r="I139" s="358"/>
      <c r="J139" s="358"/>
      <c r="K139" s="358"/>
      <c r="L139" s="400">
        <f t="shared" si="19"/>
        <v>2555</v>
      </c>
      <c r="M139" s="400">
        <v>2555</v>
      </c>
      <c r="N139" s="332">
        <f t="shared" si="20"/>
        <v>0</v>
      </c>
      <c r="O139" s="359">
        <v>0.97083333333333333</v>
      </c>
      <c r="P139" s="359">
        <v>0.99513888888888891</v>
      </c>
      <c r="Q139" s="332" t="s">
        <v>588</v>
      </c>
      <c r="R139" s="332" t="s">
        <v>230</v>
      </c>
      <c r="S139" s="400" t="s">
        <v>535</v>
      </c>
      <c r="T139" s="400"/>
    </row>
    <row r="140" spans="1:20" s="341" customFormat="1" ht="21.75" customHeight="1">
      <c r="A140" s="400">
        <v>137</v>
      </c>
      <c r="B140" s="400" t="s">
        <v>596</v>
      </c>
      <c r="C140" s="400" t="s">
        <v>540</v>
      </c>
      <c r="D140" s="400">
        <v>905350098</v>
      </c>
      <c r="E140" s="332" t="s">
        <v>511</v>
      </c>
      <c r="F140" s="332" t="s">
        <v>71</v>
      </c>
      <c r="G140" s="357"/>
      <c r="H140" s="358">
        <v>7</v>
      </c>
      <c r="I140" s="358"/>
      <c r="J140" s="358"/>
      <c r="K140" s="358"/>
      <c r="L140" s="400">
        <f t="shared" si="19"/>
        <v>2555</v>
      </c>
      <c r="M140" s="400">
        <v>2554</v>
      </c>
      <c r="N140" s="332">
        <f t="shared" si="20"/>
        <v>-1</v>
      </c>
      <c r="O140" s="359">
        <v>1.0083333333333333</v>
      </c>
      <c r="P140" s="359">
        <v>1.0222222222222224</v>
      </c>
      <c r="Q140" s="332" t="s">
        <v>588</v>
      </c>
      <c r="R140" s="332" t="s">
        <v>230</v>
      </c>
      <c r="S140" s="400" t="s">
        <v>535</v>
      </c>
      <c r="T140" s="400"/>
    </row>
    <row r="141" spans="1:20" s="341" customFormat="1" ht="21.75" customHeight="1">
      <c r="A141" s="400">
        <v>138</v>
      </c>
      <c r="B141" s="400" t="s">
        <v>596</v>
      </c>
      <c r="C141" s="400" t="s">
        <v>538</v>
      </c>
      <c r="D141" s="400">
        <v>905350099</v>
      </c>
      <c r="E141" s="332" t="s">
        <v>511</v>
      </c>
      <c r="F141" s="332" t="s">
        <v>71</v>
      </c>
      <c r="G141" s="357"/>
      <c r="H141" s="358">
        <v>7</v>
      </c>
      <c r="I141" s="358"/>
      <c r="J141" s="358"/>
      <c r="K141" s="358"/>
      <c r="L141" s="400">
        <f t="shared" si="19"/>
        <v>2555</v>
      </c>
      <c r="M141" s="400">
        <v>2555</v>
      </c>
      <c r="N141" s="332">
        <f t="shared" si="20"/>
        <v>0</v>
      </c>
      <c r="O141" s="359">
        <v>1.0250000000000001</v>
      </c>
      <c r="P141" s="359">
        <v>4.5138888888888888E-2</v>
      </c>
      <c r="Q141" s="332" t="s">
        <v>588</v>
      </c>
      <c r="R141" s="332" t="s">
        <v>230</v>
      </c>
      <c r="S141" s="400" t="s">
        <v>535</v>
      </c>
      <c r="T141" s="400"/>
    </row>
    <row r="142" spans="1:20" s="341" customFormat="1" ht="21.75" customHeight="1">
      <c r="A142" s="400">
        <v>139</v>
      </c>
      <c r="B142" s="400" t="s">
        <v>596</v>
      </c>
      <c r="C142" s="400" t="s">
        <v>536</v>
      </c>
      <c r="D142" s="400">
        <v>905350100</v>
      </c>
      <c r="E142" s="332" t="s">
        <v>511</v>
      </c>
      <c r="F142" s="332" t="s">
        <v>71</v>
      </c>
      <c r="G142" s="357"/>
      <c r="H142" s="358">
        <v>7</v>
      </c>
      <c r="I142" s="358"/>
      <c r="J142" s="358"/>
      <c r="K142" s="358"/>
      <c r="L142" s="400">
        <f t="shared" si="19"/>
        <v>2555</v>
      </c>
      <c r="M142" s="400">
        <v>2555</v>
      </c>
      <c r="N142" s="332">
        <f t="shared" si="20"/>
        <v>0</v>
      </c>
      <c r="O142" s="359">
        <v>4.8611111111111112E-2</v>
      </c>
      <c r="P142" s="359">
        <v>5.9027777777777783E-2</v>
      </c>
      <c r="Q142" s="332" t="s">
        <v>588</v>
      </c>
      <c r="R142" s="332" t="s">
        <v>230</v>
      </c>
      <c r="S142" s="400" t="s">
        <v>535</v>
      </c>
      <c r="T142" s="400"/>
    </row>
    <row r="143" spans="1:20" s="341" customFormat="1" ht="21.75" customHeight="1">
      <c r="A143" s="400">
        <v>140</v>
      </c>
      <c r="B143" s="400" t="s">
        <v>596</v>
      </c>
      <c r="C143" s="400" t="s">
        <v>539</v>
      </c>
      <c r="D143" s="400">
        <v>905350101</v>
      </c>
      <c r="E143" s="332" t="s">
        <v>511</v>
      </c>
      <c r="F143" s="332" t="s">
        <v>71</v>
      </c>
      <c r="G143" s="357"/>
      <c r="H143" s="358">
        <v>7</v>
      </c>
      <c r="I143" s="358"/>
      <c r="J143" s="358"/>
      <c r="K143" s="358"/>
      <c r="L143" s="400">
        <f t="shared" si="19"/>
        <v>2555</v>
      </c>
      <c r="M143" s="400">
        <v>2555</v>
      </c>
      <c r="N143" s="332">
        <f t="shared" si="20"/>
        <v>0</v>
      </c>
      <c r="O143" s="359">
        <v>6.458333333333334E-2</v>
      </c>
      <c r="P143" s="359">
        <v>7.4999999999999997E-2</v>
      </c>
      <c r="Q143" s="332" t="s">
        <v>588</v>
      </c>
      <c r="R143" s="332" t="s">
        <v>230</v>
      </c>
      <c r="S143" s="400" t="s">
        <v>535</v>
      </c>
      <c r="T143" s="400"/>
    </row>
    <row r="144" spans="1:20" s="341" customFormat="1" ht="21.75" customHeight="1">
      <c r="A144" s="400">
        <v>141</v>
      </c>
      <c r="B144" s="400" t="s">
        <v>597</v>
      </c>
      <c r="C144" s="400" t="s">
        <v>537</v>
      </c>
      <c r="D144" s="400">
        <v>905350102</v>
      </c>
      <c r="E144" s="332" t="s">
        <v>511</v>
      </c>
      <c r="F144" s="332" t="s">
        <v>71</v>
      </c>
      <c r="G144" s="357"/>
      <c r="H144" s="358">
        <v>2</v>
      </c>
      <c r="I144" s="358"/>
      <c r="J144" s="358"/>
      <c r="K144" s="358"/>
      <c r="L144" s="400">
        <f t="shared" si="19"/>
        <v>730</v>
      </c>
      <c r="M144" s="400">
        <v>730</v>
      </c>
      <c r="N144" s="332">
        <f t="shared" si="20"/>
        <v>0</v>
      </c>
      <c r="O144" s="359">
        <v>9.0277777777777776E-2</v>
      </c>
      <c r="P144" s="359">
        <v>9.3055555555555558E-2</v>
      </c>
      <c r="Q144" s="332" t="s">
        <v>588</v>
      </c>
      <c r="R144" s="332" t="s">
        <v>230</v>
      </c>
      <c r="S144" s="400" t="s">
        <v>535</v>
      </c>
      <c r="T144" s="400"/>
    </row>
    <row r="145" spans="1:20" s="341" customFormat="1" ht="21.75" customHeight="1">
      <c r="A145" s="400">
        <v>142</v>
      </c>
      <c r="B145" s="400" t="s">
        <v>594</v>
      </c>
      <c r="C145" s="400" t="s">
        <v>540</v>
      </c>
      <c r="D145" s="400">
        <v>905350111</v>
      </c>
      <c r="E145" s="332" t="s">
        <v>511</v>
      </c>
      <c r="F145" s="332" t="s">
        <v>71</v>
      </c>
      <c r="G145" s="357"/>
      <c r="H145" s="358">
        <v>7</v>
      </c>
      <c r="I145" s="358"/>
      <c r="J145" s="358"/>
      <c r="K145" s="358"/>
      <c r="L145" s="400">
        <f t="shared" si="19"/>
        <v>2555</v>
      </c>
      <c r="M145" s="400">
        <v>2555</v>
      </c>
      <c r="N145" s="332">
        <f t="shared" si="20"/>
        <v>0</v>
      </c>
      <c r="O145" s="359">
        <v>9.0277777777777776E-2</v>
      </c>
      <c r="P145" s="359">
        <v>0.11805555555555557</v>
      </c>
      <c r="Q145" s="332" t="s">
        <v>588</v>
      </c>
      <c r="R145" s="332" t="s">
        <v>230</v>
      </c>
      <c r="S145" s="400" t="s">
        <v>535</v>
      </c>
      <c r="T145" s="400"/>
    </row>
    <row r="146" spans="1:20" s="341" customFormat="1" ht="21.75" customHeight="1">
      <c r="A146" s="400">
        <v>143</v>
      </c>
      <c r="B146" s="400" t="s">
        <v>594</v>
      </c>
      <c r="C146" s="400" t="s">
        <v>536</v>
      </c>
      <c r="D146" s="400">
        <v>905350113</v>
      </c>
      <c r="E146" s="332" t="s">
        <v>511</v>
      </c>
      <c r="F146" s="332" t="s">
        <v>71</v>
      </c>
      <c r="G146" s="357"/>
      <c r="H146" s="358">
        <v>7</v>
      </c>
      <c r="I146" s="358"/>
      <c r="J146" s="358"/>
      <c r="K146" s="358"/>
      <c r="L146" s="400">
        <f t="shared" si="19"/>
        <v>2555</v>
      </c>
      <c r="M146" s="400">
        <v>2554</v>
      </c>
      <c r="N146" s="332">
        <f t="shared" si="20"/>
        <v>-1</v>
      </c>
      <c r="O146" s="359">
        <v>0.12152777777777778</v>
      </c>
      <c r="P146" s="359">
        <v>0.1875</v>
      </c>
      <c r="Q146" s="332" t="s">
        <v>588</v>
      </c>
      <c r="R146" s="332" t="s">
        <v>230</v>
      </c>
      <c r="S146" s="400" t="s">
        <v>535</v>
      </c>
      <c r="T146" s="400"/>
    </row>
    <row r="147" spans="1:20" s="341" customFormat="1" ht="21.75" customHeight="1">
      <c r="A147" s="400">
        <v>144</v>
      </c>
      <c r="B147" s="400" t="s">
        <v>594</v>
      </c>
      <c r="C147" s="400" t="s">
        <v>540</v>
      </c>
      <c r="D147" s="400">
        <v>905350115</v>
      </c>
      <c r="E147" s="332" t="s">
        <v>511</v>
      </c>
      <c r="F147" s="332" t="s">
        <v>71</v>
      </c>
      <c r="G147" s="357"/>
      <c r="H147" s="358">
        <v>7</v>
      </c>
      <c r="I147" s="358"/>
      <c r="J147" s="358"/>
      <c r="K147" s="358"/>
      <c r="L147" s="400">
        <f t="shared" si="19"/>
        <v>2555</v>
      </c>
      <c r="M147" s="400">
        <v>2555</v>
      </c>
      <c r="N147" s="332">
        <f t="shared" si="20"/>
        <v>0</v>
      </c>
      <c r="O147" s="359">
        <v>0.19097222222222221</v>
      </c>
      <c r="P147" s="359">
        <v>0.22708333333333333</v>
      </c>
      <c r="Q147" s="332" t="s">
        <v>588</v>
      </c>
      <c r="R147" s="332" t="s">
        <v>230</v>
      </c>
      <c r="S147" s="400" t="s">
        <v>535</v>
      </c>
      <c r="T147" s="400"/>
    </row>
    <row r="148" spans="1:20" s="341" customFormat="1" ht="21.75" customHeight="1">
      <c r="A148" s="400">
        <v>145</v>
      </c>
      <c r="B148" s="400" t="s">
        <v>594</v>
      </c>
      <c r="C148" s="400" t="s">
        <v>533</v>
      </c>
      <c r="D148" s="400">
        <v>1033</v>
      </c>
      <c r="E148" s="332" t="s">
        <v>511</v>
      </c>
      <c r="F148" s="332" t="s">
        <v>71</v>
      </c>
      <c r="G148" s="357"/>
      <c r="H148" s="358">
        <v>7</v>
      </c>
      <c r="I148" s="358"/>
      <c r="J148" s="358"/>
      <c r="K148" s="358"/>
      <c r="L148" s="400">
        <f t="shared" ref="L148:L149" si="21">H148*365</f>
        <v>2555</v>
      </c>
      <c r="M148" s="400">
        <v>2568</v>
      </c>
      <c r="N148" s="332">
        <f t="shared" si="20"/>
        <v>13</v>
      </c>
      <c r="O148" s="359">
        <v>0.5</v>
      </c>
      <c r="P148" s="359">
        <v>0.53263888888888888</v>
      </c>
      <c r="Q148" s="332" t="s">
        <v>588</v>
      </c>
      <c r="R148" s="332" t="s">
        <v>230</v>
      </c>
      <c r="S148" s="400" t="s">
        <v>512</v>
      </c>
      <c r="T148" s="400"/>
    </row>
    <row r="149" spans="1:20" s="341" customFormat="1" ht="21.75" customHeight="1">
      <c r="A149" s="400">
        <v>146</v>
      </c>
      <c r="B149" s="400" t="s">
        <v>594</v>
      </c>
      <c r="C149" s="400" t="s">
        <v>527</v>
      </c>
      <c r="D149" s="400">
        <v>1034</v>
      </c>
      <c r="E149" s="332" t="s">
        <v>511</v>
      </c>
      <c r="F149" s="332" t="s">
        <v>71</v>
      </c>
      <c r="G149" s="357"/>
      <c r="H149" s="358">
        <v>7</v>
      </c>
      <c r="I149" s="358"/>
      <c r="J149" s="358"/>
      <c r="K149" s="358"/>
      <c r="L149" s="400">
        <f t="shared" si="21"/>
        <v>2555</v>
      </c>
      <c r="M149" s="400">
        <v>2565</v>
      </c>
      <c r="N149" s="332">
        <f t="shared" ref="N149" si="22">M149-L149</f>
        <v>10</v>
      </c>
      <c r="O149" s="359">
        <v>0.53541666666666665</v>
      </c>
      <c r="P149" s="359">
        <v>0.56597222222222221</v>
      </c>
      <c r="Q149" s="332" t="s">
        <v>588</v>
      </c>
      <c r="R149" s="332" t="s">
        <v>230</v>
      </c>
      <c r="S149" s="400" t="s">
        <v>512</v>
      </c>
      <c r="T149" s="400"/>
    </row>
    <row r="150" spans="1:20" s="341" customFormat="1" ht="21.75" customHeight="1">
      <c r="A150" s="400">
        <v>147</v>
      </c>
      <c r="B150" s="400" t="s">
        <v>594</v>
      </c>
      <c r="C150" s="400" t="s">
        <v>530</v>
      </c>
      <c r="D150" s="400">
        <v>1036</v>
      </c>
      <c r="E150" s="332" t="s">
        <v>511</v>
      </c>
      <c r="F150" s="332" t="s">
        <v>71</v>
      </c>
      <c r="G150" s="357"/>
      <c r="H150" s="358">
        <v>7</v>
      </c>
      <c r="I150" s="358"/>
      <c r="J150" s="358"/>
      <c r="K150" s="358"/>
      <c r="L150" s="400">
        <f t="shared" ref="L150" si="23">H150*365</f>
        <v>2555</v>
      </c>
      <c r="M150" s="400">
        <v>2557</v>
      </c>
      <c r="N150" s="332">
        <f t="shared" ref="N150" si="24">M150-L150</f>
        <v>2</v>
      </c>
      <c r="O150" s="359">
        <v>0.57222222222222219</v>
      </c>
      <c r="P150" s="359">
        <v>0.58472222222222225</v>
      </c>
      <c r="Q150" s="332" t="s">
        <v>588</v>
      </c>
      <c r="R150" s="332" t="s">
        <v>230</v>
      </c>
      <c r="S150" s="400" t="s">
        <v>512</v>
      </c>
      <c r="T150" s="400"/>
    </row>
    <row r="151" spans="1:20" s="341" customFormat="1" ht="21.75" customHeight="1">
      <c r="A151" s="400">
        <v>148</v>
      </c>
      <c r="B151" s="400" t="s">
        <v>594</v>
      </c>
      <c r="C151" s="400" t="s">
        <v>513</v>
      </c>
      <c r="D151" s="400">
        <v>1038</v>
      </c>
      <c r="E151" s="332" t="s">
        <v>511</v>
      </c>
      <c r="F151" s="332" t="s">
        <v>71</v>
      </c>
      <c r="G151" s="357"/>
      <c r="H151" s="358">
        <v>7</v>
      </c>
      <c r="I151" s="358"/>
      <c r="J151" s="358"/>
      <c r="K151" s="358"/>
      <c r="L151" s="400">
        <f t="shared" ref="L151" si="25">H151*365</f>
        <v>2555</v>
      </c>
      <c r="M151" s="400">
        <v>2562</v>
      </c>
      <c r="N151" s="332">
        <f t="shared" ref="N151" si="26">M151-L151</f>
        <v>7</v>
      </c>
      <c r="O151" s="359">
        <v>0.59722222222222221</v>
      </c>
      <c r="P151" s="359">
        <v>0.61458333333333337</v>
      </c>
      <c r="Q151" s="332" t="s">
        <v>588</v>
      </c>
      <c r="R151" s="332" t="s">
        <v>230</v>
      </c>
      <c r="S151" s="400" t="s">
        <v>512</v>
      </c>
      <c r="T151" s="400"/>
    </row>
    <row r="152" spans="1:20" s="341" customFormat="1" ht="21.75" customHeight="1">
      <c r="A152" s="400">
        <v>149</v>
      </c>
      <c r="B152" s="400" t="s">
        <v>594</v>
      </c>
      <c r="C152" s="400" t="s">
        <v>529</v>
      </c>
      <c r="D152" s="400">
        <v>1040</v>
      </c>
      <c r="E152" s="332" t="s">
        <v>511</v>
      </c>
      <c r="F152" s="332" t="s">
        <v>71</v>
      </c>
      <c r="G152" s="357"/>
      <c r="H152" s="358">
        <v>7</v>
      </c>
      <c r="I152" s="358"/>
      <c r="J152" s="358"/>
      <c r="K152" s="358"/>
      <c r="L152" s="400">
        <f t="shared" ref="L152" si="27">H152*365</f>
        <v>2555</v>
      </c>
      <c r="M152" s="400">
        <v>2570</v>
      </c>
      <c r="N152" s="332">
        <f t="shared" ref="N152" si="28">M152-L152</f>
        <v>15</v>
      </c>
      <c r="O152" s="359">
        <v>0.63055555555555554</v>
      </c>
      <c r="P152" s="359">
        <v>0.65277777777777779</v>
      </c>
      <c r="Q152" s="332" t="s">
        <v>588</v>
      </c>
      <c r="R152" s="332" t="s">
        <v>230</v>
      </c>
      <c r="S152" s="400" t="s">
        <v>512</v>
      </c>
      <c r="T152" s="400"/>
    </row>
    <row r="153" spans="1:20" s="341" customFormat="1" ht="21.75" customHeight="1">
      <c r="A153" s="400">
        <v>150</v>
      </c>
      <c r="B153" s="400" t="s">
        <v>594</v>
      </c>
      <c r="C153" s="400" t="s">
        <v>530</v>
      </c>
      <c r="D153" s="400">
        <v>1041</v>
      </c>
      <c r="E153" s="332" t="s">
        <v>511</v>
      </c>
      <c r="F153" s="332" t="s">
        <v>71</v>
      </c>
      <c r="G153" s="357"/>
      <c r="H153" s="358">
        <v>7</v>
      </c>
      <c r="I153" s="358"/>
      <c r="J153" s="358"/>
      <c r="K153" s="358"/>
      <c r="L153" s="400">
        <f t="shared" ref="L153" si="29">H153*365</f>
        <v>2555</v>
      </c>
      <c r="M153" s="400">
        <v>2563</v>
      </c>
      <c r="N153" s="332">
        <f t="shared" ref="N153" si="30">M153-L153</f>
        <v>8</v>
      </c>
      <c r="O153" s="359">
        <v>0.65486111111111112</v>
      </c>
      <c r="P153" s="359">
        <v>0.68680555555555556</v>
      </c>
      <c r="Q153" s="332" t="s">
        <v>588</v>
      </c>
      <c r="R153" s="332" t="s">
        <v>230</v>
      </c>
      <c r="S153" s="400" t="s">
        <v>512</v>
      </c>
      <c r="T153" s="400"/>
    </row>
    <row r="154" spans="1:20" s="341" customFormat="1" ht="21.75" customHeight="1">
      <c r="A154" s="400">
        <v>151</v>
      </c>
      <c r="B154" s="400" t="s">
        <v>594</v>
      </c>
      <c r="C154" s="400" t="s">
        <v>513</v>
      </c>
      <c r="D154" s="400">
        <v>1042</v>
      </c>
      <c r="E154" s="332" t="s">
        <v>511</v>
      </c>
      <c r="F154" s="332" t="s">
        <v>71</v>
      </c>
      <c r="G154" s="357"/>
      <c r="H154" s="358">
        <v>7</v>
      </c>
      <c r="I154" s="358"/>
      <c r="J154" s="358"/>
      <c r="K154" s="358"/>
      <c r="L154" s="400">
        <f t="shared" ref="L154" si="31">H154*365</f>
        <v>2555</v>
      </c>
      <c r="M154" s="400">
        <v>2565</v>
      </c>
      <c r="N154" s="332">
        <f t="shared" ref="N154" si="32">M154-L154</f>
        <v>10</v>
      </c>
      <c r="O154" s="359">
        <v>0.68888888888888899</v>
      </c>
      <c r="P154" s="359">
        <v>0.73888888888888893</v>
      </c>
      <c r="Q154" s="332" t="s">
        <v>588</v>
      </c>
      <c r="R154" s="332" t="s">
        <v>230</v>
      </c>
      <c r="S154" s="400" t="s">
        <v>512</v>
      </c>
      <c r="T154" s="400"/>
    </row>
    <row r="155" spans="1:20" s="341" customFormat="1" ht="21.75" customHeight="1">
      <c r="A155" s="400">
        <v>152</v>
      </c>
      <c r="B155" s="400" t="s">
        <v>594</v>
      </c>
      <c r="C155" s="400" t="s">
        <v>522</v>
      </c>
      <c r="D155" s="400">
        <v>1043</v>
      </c>
      <c r="E155" s="332" t="s">
        <v>511</v>
      </c>
      <c r="F155" s="332" t="s">
        <v>71</v>
      </c>
      <c r="G155" s="357"/>
      <c r="H155" s="358">
        <v>7</v>
      </c>
      <c r="I155" s="358"/>
      <c r="J155" s="358"/>
      <c r="K155" s="358"/>
      <c r="L155" s="400">
        <f t="shared" ref="L155:L166" si="33">H155*365</f>
        <v>2555</v>
      </c>
      <c r="M155" s="400">
        <v>2560</v>
      </c>
      <c r="N155" s="332">
        <f t="shared" ref="N155:N166" si="34">M155-L155</f>
        <v>5</v>
      </c>
      <c r="O155" s="359">
        <v>0.74652777777777779</v>
      </c>
      <c r="P155" s="359">
        <v>0.77777777777777779</v>
      </c>
      <c r="Q155" s="332" t="s">
        <v>588</v>
      </c>
      <c r="R155" s="332" t="s">
        <v>230</v>
      </c>
      <c r="S155" s="400" t="s">
        <v>512</v>
      </c>
      <c r="T155" s="400"/>
    </row>
    <row r="156" spans="1:20" s="341" customFormat="1" ht="21.75" customHeight="1">
      <c r="A156" s="400">
        <v>153</v>
      </c>
      <c r="B156" s="400" t="s">
        <v>594</v>
      </c>
      <c r="C156" s="400" t="s">
        <v>530</v>
      </c>
      <c r="D156" s="400">
        <v>1044</v>
      </c>
      <c r="E156" s="332" t="s">
        <v>511</v>
      </c>
      <c r="F156" s="332" t="s">
        <v>71</v>
      </c>
      <c r="G156" s="357"/>
      <c r="H156" s="358">
        <v>7</v>
      </c>
      <c r="I156" s="358"/>
      <c r="J156" s="358"/>
      <c r="K156" s="358"/>
      <c r="L156" s="400">
        <f t="shared" si="33"/>
        <v>2555</v>
      </c>
      <c r="M156" s="400">
        <v>2567</v>
      </c>
      <c r="N156" s="332">
        <f t="shared" si="34"/>
        <v>12</v>
      </c>
      <c r="O156" s="359">
        <v>0.77986111111111101</v>
      </c>
      <c r="P156" s="359">
        <v>0.7944444444444444</v>
      </c>
      <c r="Q156" s="332" t="s">
        <v>588</v>
      </c>
      <c r="R156" s="332" t="s">
        <v>230</v>
      </c>
      <c r="S156" s="400" t="s">
        <v>512</v>
      </c>
      <c r="T156" s="400"/>
    </row>
    <row r="157" spans="1:20" s="341" customFormat="1" ht="21.75" customHeight="1">
      <c r="A157" s="400">
        <v>154</v>
      </c>
      <c r="B157" s="400" t="s">
        <v>594</v>
      </c>
      <c r="C157" s="400" t="s">
        <v>527</v>
      </c>
      <c r="D157" s="400">
        <v>1045</v>
      </c>
      <c r="E157" s="332" t="s">
        <v>511</v>
      </c>
      <c r="F157" s="332" t="s">
        <v>71</v>
      </c>
      <c r="G157" s="357"/>
      <c r="H157" s="358">
        <v>7</v>
      </c>
      <c r="I157" s="358"/>
      <c r="J157" s="358"/>
      <c r="K157" s="358"/>
      <c r="L157" s="400">
        <f t="shared" si="33"/>
        <v>2555</v>
      </c>
      <c r="M157" s="400">
        <v>2562</v>
      </c>
      <c r="N157" s="332">
        <f t="shared" si="34"/>
        <v>7</v>
      </c>
      <c r="O157" s="359">
        <v>0.8027777777777777</v>
      </c>
      <c r="P157" s="359">
        <v>0.84166666666666667</v>
      </c>
      <c r="Q157" s="332" t="s">
        <v>588</v>
      </c>
      <c r="R157" s="332" t="s">
        <v>230</v>
      </c>
      <c r="S157" s="400" t="s">
        <v>512</v>
      </c>
      <c r="T157" s="400"/>
    </row>
    <row r="158" spans="1:20" s="341" customFormat="1" ht="21.75" customHeight="1">
      <c r="A158" s="400">
        <v>155</v>
      </c>
      <c r="B158" s="400" t="s">
        <v>594</v>
      </c>
      <c r="C158" s="400" t="s">
        <v>529</v>
      </c>
      <c r="D158" s="400">
        <v>1046</v>
      </c>
      <c r="E158" s="332" t="s">
        <v>511</v>
      </c>
      <c r="F158" s="332" t="s">
        <v>71</v>
      </c>
      <c r="G158" s="357"/>
      <c r="H158" s="358">
        <v>7</v>
      </c>
      <c r="I158" s="358"/>
      <c r="J158" s="358"/>
      <c r="K158" s="358"/>
      <c r="L158" s="400">
        <f t="shared" si="33"/>
        <v>2555</v>
      </c>
      <c r="M158" s="400">
        <v>2561</v>
      </c>
      <c r="N158" s="332">
        <f t="shared" si="34"/>
        <v>6</v>
      </c>
      <c r="O158" s="359">
        <v>0.85972222222222217</v>
      </c>
      <c r="P158" s="359">
        <v>0.89166666666666661</v>
      </c>
      <c r="Q158" s="332" t="s">
        <v>588</v>
      </c>
      <c r="R158" s="332" t="s">
        <v>230</v>
      </c>
      <c r="S158" s="400" t="s">
        <v>512</v>
      </c>
      <c r="T158" s="400"/>
    </row>
    <row r="159" spans="1:20" s="341" customFormat="1" ht="21.75" customHeight="1">
      <c r="A159" s="400">
        <v>156</v>
      </c>
      <c r="B159" s="400" t="s">
        <v>594</v>
      </c>
      <c r="C159" s="400" t="s">
        <v>528</v>
      </c>
      <c r="D159" s="400">
        <v>1047</v>
      </c>
      <c r="E159" s="332" t="s">
        <v>511</v>
      </c>
      <c r="F159" s="332" t="s">
        <v>71</v>
      </c>
      <c r="G159" s="357"/>
      <c r="H159" s="358">
        <v>7</v>
      </c>
      <c r="I159" s="358"/>
      <c r="J159" s="358"/>
      <c r="K159" s="358"/>
      <c r="L159" s="400">
        <f t="shared" si="33"/>
        <v>2555</v>
      </c>
      <c r="M159" s="400">
        <v>2564</v>
      </c>
      <c r="N159" s="332">
        <f t="shared" si="34"/>
        <v>9</v>
      </c>
      <c r="O159" s="359">
        <v>0.89930555555555547</v>
      </c>
      <c r="P159" s="359">
        <v>0.91180555555555554</v>
      </c>
      <c r="Q159" s="332" t="s">
        <v>588</v>
      </c>
      <c r="R159" s="332" t="s">
        <v>230</v>
      </c>
      <c r="S159" s="400" t="s">
        <v>512</v>
      </c>
      <c r="T159" s="400"/>
    </row>
    <row r="160" spans="1:20" s="341" customFormat="1" ht="21.75" customHeight="1">
      <c r="A160" s="400">
        <v>157</v>
      </c>
      <c r="B160" s="400" t="s">
        <v>594</v>
      </c>
      <c r="C160" s="400" t="s">
        <v>522</v>
      </c>
      <c r="D160" s="400">
        <v>1048</v>
      </c>
      <c r="E160" s="332" t="s">
        <v>511</v>
      </c>
      <c r="F160" s="332" t="s">
        <v>71</v>
      </c>
      <c r="G160" s="357"/>
      <c r="H160" s="358">
        <v>7</v>
      </c>
      <c r="I160" s="358"/>
      <c r="J160" s="358"/>
      <c r="K160" s="358"/>
      <c r="L160" s="400">
        <f t="shared" si="33"/>
        <v>2555</v>
      </c>
      <c r="M160" s="400">
        <v>2559</v>
      </c>
      <c r="N160" s="332">
        <f t="shared" si="34"/>
        <v>4</v>
      </c>
      <c r="O160" s="359">
        <v>0.91666666666666663</v>
      </c>
      <c r="P160" s="359">
        <v>0.93819444444444444</v>
      </c>
      <c r="Q160" s="332" t="s">
        <v>588</v>
      </c>
      <c r="R160" s="332" t="s">
        <v>230</v>
      </c>
      <c r="S160" s="400" t="s">
        <v>512</v>
      </c>
      <c r="T160" s="400"/>
    </row>
    <row r="161" spans="1:20" s="341" customFormat="1" ht="21.75" customHeight="1">
      <c r="A161" s="400">
        <v>158</v>
      </c>
      <c r="B161" s="400" t="s">
        <v>594</v>
      </c>
      <c r="C161" s="400" t="s">
        <v>533</v>
      </c>
      <c r="D161" s="400">
        <v>1049</v>
      </c>
      <c r="E161" s="332" t="s">
        <v>511</v>
      </c>
      <c r="F161" s="332" t="s">
        <v>71</v>
      </c>
      <c r="G161" s="357"/>
      <c r="H161" s="358">
        <v>7</v>
      </c>
      <c r="I161" s="358"/>
      <c r="J161" s="358"/>
      <c r="K161" s="358"/>
      <c r="L161" s="400">
        <f t="shared" si="33"/>
        <v>2555</v>
      </c>
      <c r="M161" s="400">
        <v>2567</v>
      </c>
      <c r="N161" s="332">
        <f t="shared" si="34"/>
        <v>12</v>
      </c>
      <c r="O161" s="359">
        <v>0.93888888888888899</v>
      </c>
      <c r="P161" s="359">
        <v>0.95000000000000007</v>
      </c>
      <c r="Q161" s="332" t="s">
        <v>588</v>
      </c>
      <c r="R161" s="332" t="s">
        <v>230</v>
      </c>
      <c r="S161" s="400" t="s">
        <v>512</v>
      </c>
      <c r="T161" s="400"/>
    </row>
    <row r="162" spans="1:20" s="341" customFormat="1" ht="21.75" customHeight="1">
      <c r="A162" s="400">
        <v>159</v>
      </c>
      <c r="B162" s="400" t="s">
        <v>594</v>
      </c>
      <c r="C162" s="400" t="s">
        <v>530</v>
      </c>
      <c r="D162" s="400">
        <v>1050</v>
      </c>
      <c r="E162" s="332" t="s">
        <v>511</v>
      </c>
      <c r="F162" s="332" t="s">
        <v>71</v>
      </c>
      <c r="G162" s="357"/>
      <c r="H162" s="358">
        <v>7</v>
      </c>
      <c r="I162" s="358"/>
      <c r="J162" s="358"/>
      <c r="K162" s="358"/>
      <c r="L162" s="400">
        <f t="shared" si="33"/>
        <v>2555</v>
      </c>
      <c r="M162" s="400">
        <v>2562</v>
      </c>
      <c r="N162" s="332">
        <f t="shared" si="34"/>
        <v>7</v>
      </c>
      <c r="O162" s="359">
        <v>0.95347222222222217</v>
      </c>
      <c r="P162" s="359">
        <v>0.9868055555555556</v>
      </c>
      <c r="Q162" s="332" t="s">
        <v>588</v>
      </c>
      <c r="R162" s="332" t="s">
        <v>230</v>
      </c>
      <c r="S162" s="400" t="s">
        <v>512</v>
      </c>
      <c r="T162" s="400"/>
    </row>
    <row r="163" spans="1:20" s="341" customFormat="1" ht="21.75" customHeight="1">
      <c r="A163" s="400">
        <v>160</v>
      </c>
      <c r="B163" s="400" t="s">
        <v>594</v>
      </c>
      <c r="C163" s="400" t="s">
        <v>513</v>
      </c>
      <c r="D163" s="400">
        <v>1051</v>
      </c>
      <c r="E163" s="332" t="s">
        <v>511</v>
      </c>
      <c r="F163" s="332" t="s">
        <v>71</v>
      </c>
      <c r="G163" s="357"/>
      <c r="H163" s="358">
        <v>7</v>
      </c>
      <c r="I163" s="358"/>
      <c r="J163" s="358"/>
      <c r="K163" s="358"/>
      <c r="L163" s="400">
        <f t="shared" si="33"/>
        <v>2555</v>
      </c>
      <c r="M163" s="400">
        <v>2556</v>
      </c>
      <c r="N163" s="332">
        <f t="shared" si="34"/>
        <v>1</v>
      </c>
      <c r="O163" s="359">
        <v>0.92638888888888893</v>
      </c>
      <c r="P163" s="359">
        <v>0.9868055555555556</v>
      </c>
      <c r="Q163" s="332" t="s">
        <v>588</v>
      </c>
      <c r="R163" s="332" t="s">
        <v>230</v>
      </c>
      <c r="S163" s="400" t="s">
        <v>512</v>
      </c>
      <c r="T163" s="400"/>
    </row>
    <row r="164" spans="1:20" s="341" customFormat="1" ht="21.75" customHeight="1">
      <c r="A164" s="400">
        <v>161</v>
      </c>
      <c r="B164" s="400" t="s">
        <v>594</v>
      </c>
      <c r="C164" s="400" t="s">
        <v>527</v>
      </c>
      <c r="D164" s="400">
        <v>1052</v>
      </c>
      <c r="E164" s="332" t="s">
        <v>511</v>
      </c>
      <c r="F164" s="332" t="s">
        <v>71</v>
      </c>
      <c r="G164" s="357"/>
      <c r="H164" s="358">
        <v>7</v>
      </c>
      <c r="I164" s="358"/>
      <c r="J164" s="358"/>
      <c r="K164" s="358"/>
      <c r="L164" s="400">
        <f t="shared" si="33"/>
        <v>2555</v>
      </c>
      <c r="M164" s="400">
        <v>2568</v>
      </c>
      <c r="N164" s="332">
        <f t="shared" si="34"/>
        <v>13</v>
      </c>
      <c r="O164" s="359">
        <v>0.98958333333333337</v>
      </c>
      <c r="P164" s="359">
        <v>1.0027777777777778</v>
      </c>
      <c r="Q164" s="332" t="s">
        <v>588</v>
      </c>
      <c r="R164" s="332" t="s">
        <v>230</v>
      </c>
      <c r="S164" s="400" t="s">
        <v>512</v>
      </c>
      <c r="T164" s="400"/>
    </row>
    <row r="165" spans="1:20" s="341" customFormat="1" ht="21.75" customHeight="1">
      <c r="A165" s="400">
        <v>162</v>
      </c>
      <c r="B165" s="400" t="s">
        <v>594</v>
      </c>
      <c r="C165" s="400" t="s">
        <v>529</v>
      </c>
      <c r="D165" s="400">
        <v>1053</v>
      </c>
      <c r="E165" s="332" t="s">
        <v>511</v>
      </c>
      <c r="F165" s="332" t="s">
        <v>71</v>
      </c>
      <c r="G165" s="357"/>
      <c r="H165" s="358">
        <v>7</v>
      </c>
      <c r="I165" s="358"/>
      <c r="J165" s="358"/>
      <c r="K165" s="358"/>
      <c r="L165" s="400">
        <f t="shared" si="33"/>
        <v>2555</v>
      </c>
      <c r="M165" s="400">
        <v>2560</v>
      </c>
      <c r="N165" s="332">
        <f t="shared" si="34"/>
        <v>5</v>
      </c>
      <c r="O165" s="359">
        <v>1.0041666666666667</v>
      </c>
      <c r="P165" s="359">
        <v>1.0166666666666666</v>
      </c>
      <c r="Q165" s="332" t="s">
        <v>588</v>
      </c>
      <c r="R165" s="332" t="s">
        <v>230</v>
      </c>
      <c r="S165" s="400" t="s">
        <v>512</v>
      </c>
      <c r="T165" s="400"/>
    </row>
    <row r="166" spans="1:20" s="341" customFormat="1" ht="21.75" customHeight="1">
      <c r="A166" s="400">
        <v>163</v>
      </c>
      <c r="B166" s="400" t="s">
        <v>594</v>
      </c>
      <c r="C166" s="400" t="s">
        <v>528</v>
      </c>
      <c r="D166" s="400">
        <v>1054</v>
      </c>
      <c r="E166" s="332" t="s">
        <v>511</v>
      </c>
      <c r="F166" s="332" t="s">
        <v>71</v>
      </c>
      <c r="G166" s="357"/>
      <c r="H166" s="358">
        <v>7</v>
      </c>
      <c r="I166" s="358"/>
      <c r="J166" s="358"/>
      <c r="K166" s="358"/>
      <c r="L166" s="400">
        <f t="shared" si="33"/>
        <v>2555</v>
      </c>
      <c r="M166" s="400">
        <v>2565</v>
      </c>
      <c r="N166" s="332">
        <f t="shared" si="34"/>
        <v>10</v>
      </c>
      <c r="O166" s="359">
        <v>1.01875</v>
      </c>
      <c r="P166" s="359">
        <v>1.0374999999999999</v>
      </c>
      <c r="Q166" s="332" t="s">
        <v>588</v>
      </c>
      <c r="R166" s="332" t="s">
        <v>230</v>
      </c>
      <c r="S166" s="400" t="s">
        <v>512</v>
      </c>
      <c r="T166" s="400"/>
    </row>
    <row r="167" spans="1:20" s="341" customFormat="1" ht="21.75" customHeight="1">
      <c r="A167" s="400">
        <v>164</v>
      </c>
      <c r="B167" s="400" t="s">
        <v>586</v>
      </c>
      <c r="C167" s="400" t="s">
        <v>587</v>
      </c>
      <c r="D167" s="400">
        <v>471</v>
      </c>
      <c r="E167" s="332" t="s">
        <v>511</v>
      </c>
      <c r="F167" s="332" t="s">
        <v>71</v>
      </c>
      <c r="G167" s="357"/>
      <c r="H167" s="358">
        <v>7</v>
      </c>
      <c r="I167" s="358"/>
      <c r="J167" s="358"/>
      <c r="K167" s="358"/>
      <c r="L167" s="400">
        <f t="shared" si="15"/>
        <v>2555</v>
      </c>
      <c r="M167" s="400">
        <v>2552</v>
      </c>
      <c r="N167" s="332">
        <f t="shared" si="16"/>
        <v>-3</v>
      </c>
      <c r="O167" s="359">
        <v>0.52986111111111112</v>
      </c>
      <c r="P167" s="359">
        <v>0.54166666666666663</v>
      </c>
      <c r="Q167" s="332" t="s">
        <v>588</v>
      </c>
      <c r="R167" s="332" t="s">
        <v>230</v>
      </c>
      <c r="S167" s="400" t="s">
        <v>589</v>
      </c>
      <c r="T167" s="400"/>
    </row>
    <row r="168" spans="1:20" s="341" customFormat="1" ht="21.75" customHeight="1">
      <c r="A168" s="400">
        <v>165</v>
      </c>
      <c r="B168" s="400" t="s">
        <v>586</v>
      </c>
      <c r="C168" s="400" t="s">
        <v>590</v>
      </c>
      <c r="D168" s="400">
        <v>472</v>
      </c>
      <c r="E168" s="332" t="s">
        <v>511</v>
      </c>
      <c r="F168" s="332" t="s">
        <v>71</v>
      </c>
      <c r="G168" s="357"/>
      <c r="H168" s="358">
        <v>7</v>
      </c>
      <c r="I168" s="358"/>
      <c r="J168" s="358"/>
      <c r="K168" s="358"/>
      <c r="L168" s="400">
        <f t="shared" ref="L168" si="35">H168*365</f>
        <v>2555</v>
      </c>
      <c r="M168" s="400">
        <v>2554</v>
      </c>
      <c r="N168" s="332">
        <f t="shared" ref="N168" si="36">M168-L168</f>
        <v>-1</v>
      </c>
      <c r="O168" s="359">
        <v>0.5444444444444444</v>
      </c>
      <c r="P168" s="359">
        <v>0.55208333333333337</v>
      </c>
      <c r="Q168" s="332" t="s">
        <v>588</v>
      </c>
      <c r="R168" s="332" t="s">
        <v>230</v>
      </c>
      <c r="S168" s="400" t="s">
        <v>589</v>
      </c>
      <c r="T168" s="400"/>
    </row>
    <row r="169" spans="1:20" s="341" customFormat="1" ht="21.75" customHeight="1">
      <c r="A169" s="400">
        <v>166</v>
      </c>
      <c r="B169" s="400" t="s">
        <v>586</v>
      </c>
      <c r="C169" s="400" t="s">
        <v>591</v>
      </c>
      <c r="D169" s="400">
        <v>473</v>
      </c>
      <c r="E169" s="332" t="s">
        <v>511</v>
      </c>
      <c r="F169" s="332" t="s">
        <v>71</v>
      </c>
      <c r="G169" s="357"/>
      <c r="H169" s="358">
        <v>7</v>
      </c>
      <c r="I169" s="358"/>
      <c r="J169" s="358"/>
      <c r="K169" s="358"/>
      <c r="L169" s="400">
        <f t="shared" ref="L169" si="37">H169*365</f>
        <v>2555</v>
      </c>
      <c r="M169" s="400">
        <v>2556</v>
      </c>
      <c r="N169" s="332">
        <f t="shared" ref="N169" si="38">M169-L169</f>
        <v>1</v>
      </c>
      <c r="O169" s="359">
        <v>0.55486111111111114</v>
      </c>
      <c r="P169" s="359">
        <v>0.56388888888888888</v>
      </c>
      <c r="Q169" s="332" t="s">
        <v>588</v>
      </c>
      <c r="R169" s="332" t="s">
        <v>230</v>
      </c>
      <c r="S169" s="400" t="s">
        <v>589</v>
      </c>
      <c r="T169" s="400"/>
    </row>
    <row r="170" spans="1:20" s="341" customFormat="1" ht="21.75" customHeight="1">
      <c r="A170" s="400">
        <v>167</v>
      </c>
      <c r="B170" s="400" t="s">
        <v>586</v>
      </c>
      <c r="C170" s="400" t="s">
        <v>592</v>
      </c>
      <c r="D170" s="400">
        <v>474</v>
      </c>
      <c r="E170" s="332" t="s">
        <v>511</v>
      </c>
      <c r="F170" s="332" t="s">
        <v>71</v>
      </c>
      <c r="G170" s="357"/>
      <c r="H170" s="358">
        <v>7</v>
      </c>
      <c r="I170" s="358"/>
      <c r="J170" s="358"/>
      <c r="K170" s="358"/>
      <c r="L170" s="400">
        <f t="shared" ref="L170" si="39">H170*365</f>
        <v>2555</v>
      </c>
      <c r="M170" s="400">
        <v>2555</v>
      </c>
      <c r="N170" s="332">
        <f t="shared" ref="N170" si="40">M170-L170</f>
        <v>0</v>
      </c>
      <c r="O170" s="359">
        <v>0.56597222222222221</v>
      </c>
      <c r="P170" s="359">
        <v>0.57291666666666663</v>
      </c>
      <c r="Q170" s="332" t="s">
        <v>588</v>
      </c>
      <c r="R170" s="332" t="s">
        <v>230</v>
      </c>
      <c r="S170" s="400" t="s">
        <v>589</v>
      </c>
      <c r="T170" s="400"/>
    </row>
    <row r="171" spans="1:20" s="341" customFormat="1" ht="21.75" customHeight="1">
      <c r="A171" s="400">
        <v>168</v>
      </c>
      <c r="B171" s="400" t="s">
        <v>586</v>
      </c>
      <c r="C171" s="400" t="s">
        <v>593</v>
      </c>
      <c r="D171" s="400">
        <v>475</v>
      </c>
      <c r="E171" s="332" t="s">
        <v>511</v>
      </c>
      <c r="F171" s="332" t="s">
        <v>71</v>
      </c>
      <c r="G171" s="357"/>
      <c r="H171" s="358">
        <v>7</v>
      </c>
      <c r="I171" s="358"/>
      <c r="J171" s="358"/>
      <c r="K171" s="358"/>
      <c r="L171" s="400">
        <f t="shared" ref="L171" si="41">H171*365</f>
        <v>2555</v>
      </c>
      <c r="M171" s="400">
        <v>2556</v>
      </c>
      <c r="N171" s="332">
        <f t="shared" ref="N171" si="42">M171-L171</f>
        <v>1</v>
      </c>
      <c r="O171" s="359">
        <v>0.57777777777777783</v>
      </c>
      <c r="P171" s="359">
        <v>0.58680555555555558</v>
      </c>
      <c r="Q171" s="332" t="s">
        <v>588</v>
      </c>
      <c r="R171" s="332" t="s">
        <v>230</v>
      </c>
      <c r="S171" s="400" t="s">
        <v>589</v>
      </c>
      <c r="T171" s="400"/>
    </row>
    <row r="172" spans="1:20" s="341" customFormat="1" ht="21.75" customHeight="1">
      <c r="A172" s="400">
        <v>169</v>
      </c>
      <c r="B172" s="400" t="s">
        <v>586</v>
      </c>
      <c r="C172" s="400" t="s">
        <v>587</v>
      </c>
      <c r="D172" s="400">
        <v>476</v>
      </c>
      <c r="E172" s="332" t="s">
        <v>511</v>
      </c>
      <c r="F172" s="332" t="s">
        <v>71</v>
      </c>
      <c r="G172" s="357"/>
      <c r="H172" s="358">
        <v>7</v>
      </c>
      <c r="I172" s="358"/>
      <c r="J172" s="358"/>
      <c r="K172" s="358"/>
      <c r="L172" s="400">
        <f t="shared" ref="L172" si="43">H172*365</f>
        <v>2555</v>
      </c>
      <c r="M172" s="400">
        <v>2556.59</v>
      </c>
      <c r="N172" s="332">
        <f t="shared" ref="N172" si="44">M172-L172</f>
        <v>1.5900000000001455</v>
      </c>
      <c r="O172" s="359">
        <v>0.60416666666666663</v>
      </c>
      <c r="P172" s="359">
        <v>0.61111111111111105</v>
      </c>
      <c r="Q172" s="332" t="s">
        <v>588</v>
      </c>
      <c r="R172" s="332" t="s">
        <v>230</v>
      </c>
      <c r="S172" s="400" t="s">
        <v>589</v>
      </c>
      <c r="T172" s="400"/>
    </row>
    <row r="173" spans="1:20" s="341" customFormat="1" ht="21.75" customHeight="1">
      <c r="A173" s="400">
        <v>170</v>
      </c>
      <c r="B173" s="400" t="s">
        <v>586</v>
      </c>
      <c r="C173" s="400" t="s">
        <v>590</v>
      </c>
      <c r="D173" s="400">
        <v>477</v>
      </c>
      <c r="E173" s="332" t="s">
        <v>511</v>
      </c>
      <c r="F173" s="332" t="s">
        <v>71</v>
      </c>
      <c r="G173" s="357"/>
      <c r="H173" s="358">
        <v>8</v>
      </c>
      <c r="I173" s="358"/>
      <c r="J173" s="358"/>
      <c r="K173" s="358"/>
      <c r="L173" s="400">
        <f t="shared" ref="L173" si="45">H173*365</f>
        <v>2920</v>
      </c>
      <c r="M173" s="400">
        <v>2921.3</v>
      </c>
      <c r="N173" s="332">
        <f t="shared" ref="N173" si="46">M173-L173</f>
        <v>1.3000000000001819</v>
      </c>
      <c r="O173" s="359">
        <v>0.60416666666666663</v>
      </c>
      <c r="P173" s="359">
        <v>0.61111111111111105</v>
      </c>
      <c r="Q173" s="332" t="s">
        <v>588</v>
      </c>
      <c r="R173" s="332" t="s">
        <v>230</v>
      </c>
      <c r="S173" s="400" t="s">
        <v>589</v>
      </c>
      <c r="T173" s="400"/>
    </row>
    <row r="174" spans="1:20" s="341" customFormat="1" ht="21.75" customHeight="1">
      <c r="A174" s="400">
        <v>171</v>
      </c>
      <c r="B174" s="400" t="s">
        <v>586</v>
      </c>
      <c r="C174" s="400" t="s">
        <v>591</v>
      </c>
      <c r="D174" s="400">
        <v>478</v>
      </c>
      <c r="E174" s="332" t="s">
        <v>511</v>
      </c>
      <c r="F174" s="332" t="s">
        <v>71</v>
      </c>
      <c r="G174" s="357"/>
      <c r="H174" s="358">
        <v>8</v>
      </c>
      <c r="I174" s="358"/>
      <c r="J174" s="358"/>
      <c r="K174" s="358"/>
      <c r="L174" s="400">
        <f t="shared" ref="L174" si="47">H174*365</f>
        <v>2920</v>
      </c>
      <c r="M174" s="400">
        <v>2920.69</v>
      </c>
      <c r="N174" s="332">
        <f t="shared" ref="N174" si="48">M174-L174</f>
        <v>0.69000000000005457</v>
      </c>
      <c r="O174" s="359">
        <v>0.63124999999999998</v>
      </c>
      <c r="P174" s="359">
        <v>0.64513888888888882</v>
      </c>
      <c r="Q174" s="332" t="s">
        <v>588</v>
      </c>
      <c r="R174" s="332" t="s">
        <v>230</v>
      </c>
      <c r="S174" s="400" t="s">
        <v>589</v>
      </c>
      <c r="T174" s="400"/>
    </row>
    <row r="175" spans="1:20" s="341" customFormat="1" ht="21.75" customHeight="1">
      <c r="A175" s="400">
        <v>172</v>
      </c>
      <c r="B175" s="400" t="s">
        <v>586</v>
      </c>
      <c r="C175" s="400" t="s">
        <v>592</v>
      </c>
      <c r="D175" s="400">
        <v>479</v>
      </c>
      <c r="E175" s="332" t="s">
        <v>511</v>
      </c>
      <c r="F175" s="332" t="s">
        <v>71</v>
      </c>
      <c r="G175" s="357"/>
      <c r="H175" s="358">
        <v>8</v>
      </c>
      <c r="I175" s="358"/>
      <c r="J175" s="358"/>
      <c r="K175" s="358"/>
      <c r="L175" s="400">
        <f t="shared" ref="L175" si="49">H175*365</f>
        <v>2920</v>
      </c>
      <c r="M175" s="400">
        <v>2916.79</v>
      </c>
      <c r="N175" s="332">
        <f t="shared" ref="N175" si="50">M175-L175</f>
        <v>-3.2100000000000364</v>
      </c>
      <c r="O175" s="359">
        <v>0.6479166666666667</v>
      </c>
      <c r="P175" s="359">
        <v>0.65625</v>
      </c>
      <c r="Q175" s="332" t="s">
        <v>588</v>
      </c>
      <c r="R175" s="332" t="s">
        <v>230</v>
      </c>
      <c r="S175" s="400" t="s">
        <v>589</v>
      </c>
      <c r="T175" s="400"/>
    </row>
    <row r="176" spans="1:20" s="341" customFormat="1" ht="21.75" customHeight="1">
      <c r="A176" s="400">
        <v>173</v>
      </c>
      <c r="B176" s="400" t="s">
        <v>586</v>
      </c>
      <c r="C176" s="400" t="s">
        <v>593</v>
      </c>
      <c r="D176" s="400">
        <v>480</v>
      </c>
      <c r="E176" s="332" t="s">
        <v>511</v>
      </c>
      <c r="F176" s="332" t="s">
        <v>71</v>
      </c>
      <c r="G176" s="357"/>
      <c r="H176" s="358">
        <v>8</v>
      </c>
      <c r="I176" s="358"/>
      <c r="J176" s="358"/>
      <c r="K176" s="358"/>
      <c r="L176" s="400">
        <f t="shared" ref="L176" si="51">H176*365</f>
        <v>2920</v>
      </c>
      <c r="M176" s="400">
        <v>2918.69</v>
      </c>
      <c r="N176" s="332">
        <f t="shared" ref="N176:N184" si="52">M176-L176</f>
        <v>-1.3099999999999454</v>
      </c>
      <c r="O176" s="359">
        <v>0.66875000000000007</v>
      </c>
      <c r="P176" s="359">
        <v>0.69097222222222221</v>
      </c>
      <c r="Q176" s="332" t="s">
        <v>588</v>
      </c>
      <c r="R176" s="332" t="s">
        <v>230</v>
      </c>
      <c r="S176" s="400" t="s">
        <v>589</v>
      </c>
      <c r="T176" s="400"/>
    </row>
    <row r="177" spans="1:20" s="341" customFormat="1" ht="21.75" customHeight="1">
      <c r="A177" s="400">
        <v>174</v>
      </c>
      <c r="B177" s="400" t="s">
        <v>586</v>
      </c>
      <c r="C177" s="400" t="s">
        <v>587</v>
      </c>
      <c r="D177" s="400">
        <v>481</v>
      </c>
      <c r="E177" s="332" t="s">
        <v>511</v>
      </c>
      <c r="F177" s="332" t="s">
        <v>71</v>
      </c>
      <c r="G177" s="357"/>
      <c r="H177" s="358">
        <v>7</v>
      </c>
      <c r="I177" s="358"/>
      <c r="J177" s="358"/>
      <c r="K177" s="358"/>
      <c r="L177" s="400">
        <f t="shared" ref="L177" si="53">H177*365</f>
        <v>2555</v>
      </c>
      <c r="M177" s="400">
        <v>2554.5</v>
      </c>
      <c r="N177" s="332">
        <f t="shared" si="52"/>
        <v>-0.5</v>
      </c>
      <c r="O177" s="359">
        <v>0.71736111111111101</v>
      </c>
      <c r="P177" s="359">
        <v>0.71736111111111101</v>
      </c>
      <c r="Q177" s="332" t="s">
        <v>588</v>
      </c>
      <c r="R177" s="332" t="s">
        <v>230</v>
      </c>
      <c r="S177" s="400" t="s">
        <v>589</v>
      </c>
      <c r="T177" s="400"/>
    </row>
    <row r="178" spans="1:20" s="341" customFormat="1" ht="21.75" customHeight="1">
      <c r="A178" s="400">
        <v>175</v>
      </c>
      <c r="B178" s="400" t="s">
        <v>586</v>
      </c>
      <c r="C178" s="400" t="s">
        <v>590</v>
      </c>
      <c r="D178" s="400">
        <v>482</v>
      </c>
      <c r="E178" s="332" t="s">
        <v>511</v>
      </c>
      <c r="F178" s="332" t="s">
        <v>71</v>
      </c>
      <c r="G178" s="357"/>
      <c r="H178" s="358">
        <v>8</v>
      </c>
      <c r="I178" s="358"/>
      <c r="J178" s="358"/>
      <c r="K178" s="358"/>
      <c r="L178" s="400">
        <f t="shared" ref="L178" si="54">H178*365</f>
        <v>2920</v>
      </c>
      <c r="M178" s="400">
        <v>2919</v>
      </c>
      <c r="N178" s="332">
        <f t="shared" si="52"/>
        <v>-1</v>
      </c>
      <c r="O178" s="359">
        <v>0.71805555555555556</v>
      </c>
      <c r="P178" s="359">
        <v>0.73472222222222217</v>
      </c>
      <c r="Q178" s="332" t="s">
        <v>588</v>
      </c>
      <c r="R178" s="332" t="s">
        <v>230</v>
      </c>
      <c r="S178" s="400" t="s">
        <v>589</v>
      </c>
      <c r="T178" s="400"/>
    </row>
    <row r="179" spans="1:20" s="341" customFormat="1" ht="21.75" customHeight="1">
      <c r="A179" s="400">
        <v>176</v>
      </c>
      <c r="B179" s="400" t="s">
        <v>586</v>
      </c>
      <c r="C179" s="400" t="s">
        <v>591</v>
      </c>
      <c r="D179" s="400">
        <v>483</v>
      </c>
      <c r="E179" s="332" t="s">
        <v>511</v>
      </c>
      <c r="F179" s="332" t="s">
        <v>71</v>
      </c>
      <c r="G179" s="357"/>
      <c r="H179" s="358">
        <v>8</v>
      </c>
      <c r="I179" s="358"/>
      <c r="J179" s="358"/>
      <c r="K179" s="358"/>
      <c r="L179" s="400">
        <f t="shared" ref="L179" si="55">H179*365</f>
        <v>2920</v>
      </c>
      <c r="M179" s="400">
        <v>2919</v>
      </c>
      <c r="N179" s="332">
        <f t="shared" si="52"/>
        <v>-1</v>
      </c>
      <c r="O179" s="359">
        <v>0.73611111111111116</v>
      </c>
      <c r="P179" s="359">
        <v>0.75694444444444453</v>
      </c>
      <c r="Q179" s="332" t="s">
        <v>588</v>
      </c>
      <c r="R179" s="332" t="s">
        <v>230</v>
      </c>
      <c r="S179" s="400" t="s">
        <v>589</v>
      </c>
      <c r="T179" s="400"/>
    </row>
    <row r="180" spans="1:20" s="341" customFormat="1" ht="21.75" customHeight="1">
      <c r="A180" s="400">
        <v>177</v>
      </c>
      <c r="B180" s="400" t="s">
        <v>586</v>
      </c>
      <c r="C180" s="400" t="s">
        <v>592</v>
      </c>
      <c r="D180" s="400">
        <v>484</v>
      </c>
      <c r="E180" s="332" t="s">
        <v>511</v>
      </c>
      <c r="F180" s="332" t="s">
        <v>71</v>
      </c>
      <c r="G180" s="357"/>
      <c r="H180" s="358">
        <v>8</v>
      </c>
      <c r="I180" s="358"/>
      <c r="J180" s="358"/>
      <c r="K180" s="358"/>
      <c r="L180" s="400">
        <f t="shared" ref="L180" si="56">H180*365</f>
        <v>2920</v>
      </c>
      <c r="M180" s="400">
        <v>2917</v>
      </c>
      <c r="N180" s="332">
        <f t="shared" si="52"/>
        <v>-3</v>
      </c>
      <c r="O180" s="359">
        <v>0.77083333333333337</v>
      </c>
      <c r="P180" s="359">
        <v>0.80555555555555547</v>
      </c>
      <c r="Q180" s="332" t="s">
        <v>588</v>
      </c>
      <c r="R180" s="332" t="s">
        <v>230</v>
      </c>
      <c r="S180" s="400" t="s">
        <v>589</v>
      </c>
      <c r="T180" s="400"/>
    </row>
    <row r="181" spans="1:20" s="341" customFormat="1" ht="21.75" customHeight="1">
      <c r="A181" s="400">
        <v>178</v>
      </c>
      <c r="B181" s="400" t="s">
        <v>586</v>
      </c>
      <c r="C181" s="400" t="s">
        <v>590</v>
      </c>
      <c r="D181" s="400">
        <v>487</v>
      </c>
      <c r="E181" s="332" t="s">
        <v>511</v>
      </c>
      <c r="F181" s="332" t="s">
        <v>71</v>
      </c>
      <c r="G181" s="357"/>
      <c r="H181" s="358">
        <v>7</v>
      </c>
      <c r="I181" s="358"/>
      <c r="J181" s="358"/>
      <c r="K181" s="358"/>
      <c r="L181" s="400">
        <f t="shared" ref="L181" si="57">H181*365</f>
        <v>2555</v>
      </c>
      <c r="M181" s="400">
        <v>2555.6</v>
      </c>
      <c r="N181" s="332">
        <f t="shared" si="52"/>
        <v>0.59999999999990905</v>
      </c>
      <c r="O181" s="359">
        <v>0.83472222222222225</v>
      </c>
      <c r="P181" s="359">
        <v>0.80555555555555547</v>
      </c>
      <c r="Q181" s="332" t="s">
        <v>588</v>
      </c>
      <c r="R181" s="332" t="s">
        <v>230</v>
      </c>
      <c r="S181" s="400" t="s">
        <v>589</v>
      </c>
      <c r="T181" s="400"/>
    </row>
    <row r="182" spans="1:20" s="341" customFormat="1" ht="21.75" customHeight="1">
      <c r="A182" s="400">
        <v>179</v>
      </c>
      <c r="B182" s="400" t="s">
        <v>586</v>
      </c>
      <c r="C182" s="400" t="s">
        <v>587</v>
      </c>
      <c r="D182" s="400">
        <v>486</v>
      </c>
      <c r="E182" s="332" t="s">
        <v>511</v>
      </c>
      <c r="F182" s="332" t="s">
        <v>71</v>
      </c>
      <c r="G182" s="357"/>
      <c r="H182" s="358">
        <v>7</v>
      </c>
      <c r="I182" s="358"/>
      <c r="J182" s="358"/>
      <c r="K182" s="358"/>
      <c r="L182" s="400">
        <f t="shared" ref="L182" si="58">H182*365</f>
        <v>2555</v>
      </c>
      <c r="M182" s="400">
        <v>2555.6</v>
      </c>
      <c r="N182" s="332">
        <f t="shared" si="52"/>
        <v>0.59999999999990905</v>
      </c>
      <c r="O182" s="359">
        <v>0.83750000000000002</v>
      </c>
      <c r="P182" s="359">
        <v>0.87361111111111101</v>
      </c>
      <c r="Q182" s="332" t="s">
        <v>588</v>
      </c>
      <c r="R182" s="332" t="s">
        <v>230</v>
      </c>
      <c r="S182" s="400" t="s">
        <v>589</v>
      </c>
      <c r="T182" s="400"/>
    </row>
    <row r="183" spans="1:20" s="341" customFormat="1" ht="21.75" customHeight="1">
      <c r="A183" s="400">
        <v>180</v>
      </c>
      <c r="B183" s="400" t="s">
        <v>586</v>
      </c>
      <c r="C183" s="400" t="s">
        <v>593</v>
      </c>
      <c r="D183" s="400">
        <v>489</v>
      </c>
      <c r="E183" s="332" t="s">
        <v>511</v>
      </c>
      <c r="F183" s="332" t="s">
        <v>71</v>
      </c>
      <c r="G183" s="357"/>
      <c r="H183" s="358">
        <v>7</v>
      </c>
      <c r="I183" s="358"/>
      <c r="J183" s="358"/>
      <c r="K183" s="358"/>
      <c r="L183" s="400">
        <f t="shared" ref="L183" si="59">H183*365</f>
        <v>2555</v>
      </c>
      <c r="M183" s="400">
        <v>2555</v>
      </c>
      <c r="N183" s="332">
        <f t="shared" si="52"/>
        <v>0</v>
      </c>
      <c r="O183" s="359">
        <v>0.83750000000000002</v>
      </c>
      <c r="P183" s="359">
        <v>0.87361111111111101</v>
      </c>
      <c r="Q183" s="332" t="s">
        <v>588</v>
      </c>
      <c r="R183" s="332" t="s">
        <v>230</v>
      </c>
      <c r="S183" s="400" t="s">
        <v>589</v>
      </c>
      <c r="T183" s="400"/>
    </row>
    <row r="184" spans="1:20" s="341" customFormat="1" ht="21.75" customHeight="1">
      <c r="A184" s="400">
        <v>181</v>
      </c>
      <c r="B184" s="400" t="s">
        <v>586</v>
      </c>
      <c r="C184" s="400" t="s">
        <v>591</v>
      </c>
      <c r="D184" s="400">
        <v>488</v>
      </c>
      <c r="E184" s="332" t="s">
        <v>511</v>
      </c>
      <c r="F184" s="332" t="s">
        <v>71</v>
      </c>
      <c r="G184" s="357"/>
      <c r="H184" s="358">
        <v>7</v>
      </c>
      <c r="I184" s="358"/>
      <c r="J184" s="358"/>
      <c r="K184" s="358"/>
      <c r="L184" s="400">
        <f t="shared" ref="L184" si="60">H184*365</f>
        <v>2555</v>
      </c>
      <c r="M184" s="400">
        <v>2554.59</v>
      </c>
      <c r="N184" s="332">
        <f t="shared" si="52"/>
        <v>-0.40999999999985448</v>
      </c>
      <c r="O184" s="359">
        <v>0.89583333333333337</v>
      </c>
      <c r="P184" s="359">
        <v>0.91805555555555562</v>
      </c>
      <c r="Q184" s="332" t="s">
        <v>588</v>
      </c>
      <c r="R184" s="332" t="s">
        <v>230</v>
      </c>
      <c r="S184" s="400" t="s">
        <v>589</v>
      </c>
      <c r="T184" s="400"/>
    </row>
    <row r="185" spans="1:20" s="341" customFormat="1" ht="21.75" customHeight="1">
      <c r="A185" s="400">
        <v>182</v>
      </c>
      <c r="B185" s="400" t="s">
        <v>586</v>
      </c>
      <c r="C185" s="400" t="s">
        <v>533</v>
      </c>
      <c r="D185" s="400">
        <v>1055</v>
      </c>
      <c r="E185" s="332" t="s">
        <v>511</v>
      </c>
      <c r="F185" s="332" t="s">
        <v>71</v>
      </c>
      <c r="G185" s="357"/>
      <c r="H185" s="358">
        <v>7</v>
      </c>
      <c r="I185" s="358"/>
      <c r="J185" s="358"/>
      <c r="K185" s="358"/>
      <c r="L185" s="400">
        <f t="shared" ref="L185:L231" si="61">H185*365</f>
        <v>2555</v>
      </c>
      <c r="M185" s="400">
        <v>2555</v>
      </c>
      <c r="N185" s="332">
        <f t="shared" ref="N185:N231" si="62">M185-L185</f>
        <v>0</v>
      </c>
      <c r="O185" s="359">
        <v>1.0395833333333333</v>
      </c>
      <c r="P185" s="359">
        <v>4.9305555555555554E-2</v>
      </c>
      <c r="Q185" s="332" t="s">
        <v>588</v>
      </c>
      <c r="R185" s="332" t="s">
        <v>230</v>
      </c>
      <c r="S185" s="400" t="s">
        <v>512</v>
      </c>
      <c r="T185" s="400"/>
    </row>
    <row r="186" spans="1:20" s="341" customFormat="1" ht="21.75" customHeight="1">
      <c r="A186" s="400">
        <v>183</v>
      </c>
      <c r="B186" s="400" t="s">
        <v>586</v>
      </c>
      <c r="C186" s="400" t="s">
        <v>522</v>
      </c>
      <c r="D186" s="400">
        <v>1056</v>
      </c>
      <c r="E186" s="332" t="s">
        <v>511</v>
      </c>
      <c r="F186" s="332" t="s">
        <v>71</v>
      </c>
      <c r="G186" s="357"/>
      <c r="H186" s="358">
        <v>7</v>
      </c>
      <c r="I186" s="358"/>
      <c r="J186" s="358"/>
      <c r="K186" s="358"/>
      <c r="L186" s="400">
        <f t="shared" si="61"/>
        <v>2555</v>
      </c>
      <c r="M186" s="400">
        <v>2562</v>
      </c>
      <c r="N186" s="332">
        <f t="shared" si="62"/>
        <v>7</v>
      </c>
      <c r="O186" s="359">
        <v>5.0694444444444452E-2</v>
      </c>
      <c r="P186" s="359">
        <v>7.3611111111111113E-2</v>
      </c>
      <c r="Q186" s="332" t="s">
        <v>588</v>
      </c>
      <c r="R186" s="332" t="s">
        <v>230</v>
      </c>
      <c r="S186" s="400" t="s">
        <v>512</v>
      </c>
      <c r="T186" s="400"/>
    </row>
    <row r="187" spans="1:20" s="341" customFormat="1" ht="21.75" customHeight="1">
      <c r="A187" s="400">
        <v>184</v>
      </c>
      <c r="B187" s="400" t="s">
        <v>586</v>
      </c>
      <c r="C187" s="400" t="s">
        <v>530</v>
      </c>
      <c r="D187" s="400">
        <v>1057</v>
      </c>
      <c r="E187" s="332" t="s">
        <v>511</v>
      </c>
      <c r="F187" s="332" t="s">
        <v>71</v>
      </c>
      <c r="G187" s="357"/>
      <c r="H187" s="358">
        <v>7</v>
      </c>
      <c r="I187" s="358"/>
      <c r="J187" s="358"/>
      <c r="K187" s="358"/>
      <c r="L187" s="400">
        <f t="shared" si="61"/>
        <v>2555</v>
      </c>
      <c r="M187" s="400">
        <v>2561</v>
      </c>
      <c r="N187" s="332">
        <f t="shared" si="62"/>
        <v>6</v>
      </c>
      <c r="O187" s="359">
        <v>7.4999999999999997E-2</v>
      </c>
      <c r="P187" s="359">
        <v>8.4722222222222213E-2</v>
      </c>
      <c r="Q187" s="332" t="s">
        <v>588</v>
      </c>
      <c r="R187" s="332" t="s">
        <v>230</v>
      </c>
      <c r="S187" s="400" t="s">
        <v>512</v>
      </c>
      <c r="T187" s="400"/>
    </row>
    <row r="188" spans="1:20" s="341" customFormat="1" ht="21.75" customHeight="1">
      <c r="A188" s="400">
        <v>185</v>
      </c>
      <c r="B188" s="400" t="s">
        <v>586</v>
      </c>
      <c r="C188" s="400" t="s">
        <v>527</v>
      </c>
      <c r="D188" s="400">
        <v>1058</v>
      </c>
      <c r="E188" s="332" t="s">
        <v>511</v>
      </c>
      <c r="F188" s="332" t="s">
        <v>71</v>
      </c>
      <c r="G188" s="357"/>
      <c r="H188" s="358">
        <v>7</v>
      </c>
      <c r="I188" s="358"/>
      <c r="J188" s="358"/>
      <c r="K188" s="358"/>
      <c r="L188" s="400">
        <f t="shared" si="61"/>
        <v>2555</v>
      </c>
      <c r="M188" s="400">
        <v>2556</v>
      </c>
      <c r="N188" s="332">
        <f t="shared" si="62"/>
        <v>1</v>
      </c>
      <c r="O188" s="359">
        <v>8.6805555555555566E-2</v>
      </c>
      <c r="P188" s="359">
        <v>9.7222222222222224E-2</v>
      </c>
      <c r="Q188" s="332" t="s">
        <v>588</v>
      </c>
      <c r="R188" s="332" t="s">
        <v>230</v>
      </c>
      <c r="S188" s="400" t="s">
        <v>512</v>
      </c>
      <c r="T188" s="400"/>
    </row>
    <row r="189" spans="1:20" s="341" customFormat="1" ht="21.75" customHeight="1">
      <c r="A189" s="400">
        <v>186</v>
      </c>
      <c r="B189" s="400" t="s">
        <v>586</v>
      </c>
      <c r="C189" s="400" t="s">
        <v>528</v>
      </c>
      <c r="D189" s="400">
        <v>1059</v>
      </c>
      <c r="E189" s="332" t="s">
        <v>511</v>
      </c>
      <c r="F189" s="332" t="s">
        <v>71</v>
      </c>
      <c r="G189" s="357"/>
      <c r="H189" s="358">
        <v>7</v>
      </c>
      <c r="I189" s="358"/>
      <c r="J189" s="358"/>
      <c r="K189" s="358"/>
      <c r="L189" s="400">
        <f t="shared" si="61"/>
        <v>2555</v>
      </c>
      <c r="M189" s="400">
        <v>2560</v>
      </c>
      <c r="N189" s="332">
        <f t="shared" si="62"/>
        <v>5</v>
      </c>
      <c r="O189" s="359">
        <v>9.930555555555555E-2</v>
      </c>
      <c r="P189" s="359">
        <v>0.11041666666666666</v>
      </c>
      <c r="Q189" s="332" t="s">
        <v>588</v>
      </c>
      <c r="R189" s="332" t="s">
        <v>230</v>
      </c>
      <c r="S189" s="400" t="s">
        <v>512</v>
      </c>
      <c r="T189" s="400"/>
    </row>
    <row r="190" spans="1:20" s="341" customFormat="1" ht="21.75" customHeight="1">
      <c r="A190" s="400">
        <v>187</v>
      </c>
      <c r="B190" s="400" t="s">
        <v>586</v>
      </c>
      <c r="C190" s="400" t="s">
        <v>522</v>
      </c>
      <c r="D190" s="400">
        <v>1060</v>
      </c>
      <c r="E190" s="332" t="s">
        <v>511</v>
      </c>
      <c r="F190" s="332" t="s">
        <v>71</v>
      </c>
      <c r="G190" s="357"/>
      <c r="H190" s="358">
        <v>7</v>
      </c>
      <c r="I190" s="358"/>
      <c r="J190" s="358"/>
      <c r="K190" s="358"/>
      <c r="L190" s="400">
        <f t="shared" si="61"/>
        <v>2555</v>
      </c>
      <c r="M190" s="400">
        <v>2565</v>
      </c>
      <c r="N190" s="332">
        <f t="shared" si="62"/>
        <v>10</v>
      </c>
      <c r="O190" s="359">
        <v>0.1361111111111111</v>
      </c>
      <c r="P190" s="359">
        <v>0.15416666666666667</v>
      </c>
      <c r="Q190" s="332" t="s">
        <v>588</v>
      </c>
      <c r="R190" s="332" t="s">
        <v>230</v>
      </c>
      <c r="S190" s="400" t="s">
        <v>512</v>
      </c>
      <c r="T190" s="400"/>
    </row>
    <row r="191" spans="1:20" s="341" customFormat="1" ht="21.75" customHeight="1">
      <c r="A191" s="400">
        <v>188</v>
      </c>
      <c r="B191" s="400" t="s">
        <v>586</v>
      </c>
      <c r="C191" s="400" t="s">
        <v>527</v>
      </c>
      <c r="D191" s="400">
        <v>1062</v>
      </c>
      <c r="E191" s="332" t="s">
        <v>511</v>
      </c>
      <c r="F191" s="332" t="s">
        <v>71</v>
      </c>
      <c r="G191" s="357"/>
      <c r="H191" s="358">
        <v>7</v>
      </c>
      <c r="I191" s="358"/>
      <c r="J191" s="358"/>
      <c r="K191" s="358"/>
      <c r="L191" s="400">
        <f t="shared" si="61"/>
        <v>2555</v>
      </c>
      <c r="M191" s="400">
        <v>2562</v>
      </c>
      <c r="N191" s="332">
        <f t="shared" si="62"/>
        <v>7</v>
      </c>
      <c r="O191" s="359">
        <v>0.15625</v>
      </c>
      <c r="P191" s="359">
        <v>0.16458333333333333</v>
      </c>
      <c r="Q191" s="332" t="s">
        <v>588</v>
      </c>
      <c r="R191" s="332" t="s">
        <v>230</v>
      </c>
      <c r="S191" s="400" t="s">
        <v>512</v>
      </c>
      <c r="T191" s="400"/>
    </row>
    <row r="192" spans="1:20" s="341" customFormat="1" ht="21.75" customHeight="1">
      <c r="A192" s="400">
        <v>189</v>
      </c>
      <c r="B192" s="400" t="s">
        <v>586</v>
      </c>
      <c r="C192" s="400" t="s">
        <v>528</v>
      </c>
      <c r="D192" s="400">
        <v>1063</v>
      </c>
      <c r="E192" s="332" t="s">
        <v>511</v>
      </c>
      <c r="F192" s="332" t="s">
        <v>71</v>
      </c>
      <c r="G192" s="357"/>
      <c r="H192" s="358">
        <v>7</v>
      </c>
      <c r="I192" s="358"/>
      <c r="J192" s="358"/>
      <c r="K192" s="358"/>
      <c r="L192" s="400">
        <f t="shared" si="61"/>
        <v>2555</v>
      </c>
      <c r="M192" s="400">
        <v>2558</v>
      </c>
      <c r="N192" s="332">
        <f t="shared" si="62"/>
        <v>3</v>
      </c>
      <c r="O192" s="359">
        <v>0.16944444444444443</v>
      </c>
      <c r="P192" s="359">
        <v>0.18194444444444444</v>
      </c>
      <c r="Q192" s="332" t="s">
        <v>588</v>
      </c>
      <c r="R192" s="332" t="s">
        <v>230</v>
      </c>
      <c r="S192" s="400" t="s">
        <v>512</v>
      </c>
      <c r="T192" s="400"/>
    </row>
    <row r="193" spans="1:20" s="341" customFormat="1" ht="21.75" customHeight="1">
      <c r="A193" s="400">
        <v>190</v>
      </c>
      <c r="B193" s="400" t="s">
        <v>586</v>
      </c>
      <c r="C193" s="400" t="s">
        <v>522</v>
      </c>
      <c r="D193" s="400">
        <v>1064</v>
      </c>
      <c r="E193" s="332" t="s">
        <v>511</v>
      </c>
      <c r="F193" s="332" t="s">
        <v>71</v>
      </c>
      <c r="G193" s="357"/>
      <c r="H193" s="358">
        <v>7</v>
      </c>
      <c r="I193" s="358"/>
      <c r="J193" s="358"/>
      <c r="K193" s="358"/>
      <c r="L193" s="400">
        <f t="shared" si="61"/>
        <v>2555</v>
      </c>
      <c r="M193" s="400">
        <v>2561</v>
      </c>
      <c r="N193" s="332">
        <f t="shared" si="62"/>
        <v>6</v>
      </c>
      <c r="O193" s="359">
        <v>0.21180555555555555</v>
      </c>
      <c r="P193" s="359">
        <v>0.22291666666666665</v>
      </c>
      <c r="Q193" s="332" t="s">
        <v>588</v>
      </c>
      <c r="R193" s="332" t="s">
        <v>230</v>
      </c>
      <c r="S193" s="400" t="s">
        <v>512</v>
      </c>
      <c r="T193" s="400"/>
    </row>
    <row r="194" spans="1:20" s="341" customFormat="1" ht="21.75" customHeight="1">
      <c r="A194" s="400">
        <v>191</v>
      </c>
      <c r="B194" s="400" t="s">
        <v>586</v>
      </c>
      <c r="C194" s="400" t="s">
        <v>522</v>
      </c>
      <c r="D194" s="400">
        <v>1065</v>
      </c>
      <c r="E194" s="332" t="s">
        <v>511</v>
      </c>
      <c r="F194" s="332" t="s">
        <v>71</v>
      </c>
      <c r="G194" s="357"/>
      <c r="H194" s="358">
        <v>7</v>
      </c>
      <c r="I194" s="358"/>
      <c r="J194" s="358"/>
      <c r="K194" s="358"/>
      <c r="L194" s="400">
        <f t="shared" si="61"/>
        <v>2555</v>
      </c>
      <c r="M194" s="400">
        <v>2561</v>
      </c>
      <c r="N194" s="332">
        <f t="shared" si="62"/>
        <v>6</v>
      </c>
      <c r="O194" s="359">
        <v>0.40833333333333338</v>
      </c>
      <c r="P194" s="359">
        <v>0.4375</v>
      </c>
      <c r="Q194" s="332" t="s">
        <v>588</v>
      </c>
      <c r="R194" s="332" t="s">
        <v>230</v>
      </c>
      <c r="S194" s="400" t="s">
        <v>512</v>
      </c>
      <c r="T194" s="400"/>
    </row>
    <row r="195" spans="1:20" s="341" customFormat="1" ht="21.75" customHeight="1">
      <c r="A195" s="400">
        <v>192</v>
      </c>
      <c r="B195" s="400" t="s">
        <v>586</v>
      </c>
      <c r="C195" s="400" t="s">
        <v>513</v>
      </c>
      <c r="D195" s="400">
        <v>1066</v>
      </c>
      <c r="E195" s="332" t="s">
        <v>511</v>
      </c>
      <c r="F195" s="332" t="s">
        <v>71</v>
      </c>
      <c r="G195" s="357"/>
      <c r="H195" s="358">
        <v>7</v>
      </c>
      <c r="I195" s="358"/>
      <c r="J195" s="358"/>
      <c r="K195" s="358"/>
      <c r="L195" s="400">
        <f t="shared" si="61"/>
        <v>2555</v>
      </c>
      <c r="M195" s="400">
        <v>2558</v>
      </c>
      <c r="N195" s="332">
        <f t="shared" si="62"/>
        <v>3</v>
      </c>
      <c r="O195" s="359">
        <v>0.44097222222222227</v>
      </c>
      <c r="P195" s="359">
        <v>0.4513888888888889</v>
      </c>
      <c r="Q195" s="332" t="s">
        <v>588</v>
      </c>
      <c r="R195" s="332" t="s">
        <v>230</v>
      </c>
      <c r="S195" s="400" t="s">
        <v>512</v>
      </c>
      <c r="T195" s="400"/>
    </row>
    <row r="196" spans="1:20" s="341" customFormat="1" ht="21.75" customHeight="1">
      <c r="A196" s="400">
        <v>193</v>
      </c>
      <c r="B196" s="400" t="s">
        <v>586</v>
      </c>
      <c r="C196" s="400" t="s">
        <v>530</v>
      </c>
      <c r="D196" s="400">
        <v>1068</v>
      </c>
      <c r="E196" s="332" t="s">
        <v>511</v>
      </c>
      <c r="F196" s="332" t="s">
        <v>71</v>
      </c>
      <c r="G196" s="357"/>
      <c r="H196" s="358">
        <v>4</v>
      </c>
      <c r="I196" s="358"/>
      <c r="J196" s="358"/>
      <c r="K196" s="358"/>
      <c r="L196" s="400">
        <f t="shared" si="61"/>
        <v>1460</v>
      </c>
      <c r="M196" s="400">
        <v>1463</v>
      </c>
      <c r="N196" s="332">
        <f t="shared" si="62"/>
        <v>3</v>
      </c>
      <c r="O196" s="359">
        <v>0.47916666666666669</v>
      </c>
      <c r="P196" s="359">
        <v>0.48333333333333334</v>
      </c>
      <c r="Q196" s="332" t="s">
        <v>588</v>
      </c>
      <c r="R196" s="332" t="s">
        <v>230</v>
      </c>
      <c r="S196" s="400" t="s">
        <v>512</v>
      </c>
      <c r="T196" s="400"/>
    </row>
    <row r="197" spans="1:20" s="341" customFormat="1" ht="21.75" customHeight="1">
      <c r="A197" s="400">
        <v>194</v>
      </c>
      <c r="B197" s="400" t="s">
        <v>586</v>
      </c>
      <c r="C197" s="400" t="s">
        <v>530</v>
      </c>
      <c r="D197" s="400">
        <v>1069</v>
      </c>
      <c r="E197" s="332" t="s">
        <v>511</v>
      </c>
      <c r="F197" s="332" t="s">
        <v>71</v>
      </c>
      <c r="G197" s="357"/>
      <c r="H197" s="358">
        <v>7</v>
      </c>
      <c r="I197" s="358"/>
      <c r="J197" s="358"/>
      <c r="K197" s="358"/>
      <c r="L197" s="400">
        <f t="shared" si="61"/>
        <v>2555</v>
      </c>
      <c r="M197" s="400">
        <v>2556</v>
      </c>
      <c r="N197" s="332">
        <f t="shared" si="62"/>
        <v>1</v>
      </c>
      <c r="O197" s="359">
        <v>0.62152777777777779</v>
      </c>
      <c r="P197" s="359">
        <v>0.64097222222222217</v>
      </c>
      <c r="Q197" s="332" t="s">
        <v>588</v>
      </c>
      <c r="R197" s="332" t="s">
        <v>230</v>
      </c>
      <c r="S197" s="400" t="s">
        <v>512</v>
      </c>
      <c r="T197" s="400"/>
    </row>
    <row r="198" spans="1:20" s="341" customFormat="1" ht="21.75" customHeight="1">
      <c r="A198" s="400">
        <v>195</v>
      </c>
      <c r="B198" s="400" t="s">
        <v>586</v>
      </c>
      <c r="C198" s="400" t="s">
        <v>533</v>
      </c>
      <c r="D198" s="400">
        <v>1070</v>
      </c>
      <c r="E198" s="332" t="s">
        <v>511</v>
      </c>
      <c r="F198" s="332" t="s">
        <v>71</v>
      </c>
      <c r="G198" s="357"/>
      <c r="H198" s="358">
        <v>7</v>
      </c>
      <c r="I198" s="358"/>
      <c r="J198" s="358"/>
      <c r="K198" s="358"/>
      <c r="L198" s="400">
        <f t="shared" si="61"/>
        <v>2555</v>
      </c>
      <c r="M198" s="400">
        <v>2559</v>
      </c>
      <c r="N198" s="332">
        <f t="shared" si="62"/>
        <v>4</v>
      </c>
      <c r="O198" s="359">
        <v>0.64444444444444449</v>
      </c>
      <c r="P198" s="359">
        <v>0.65277777777777779</v>
      </c>
      <c r="Q198" s="332" t="s">
        <v>588</v>
      </c>
      <c r="R198" s="332" t="s">
        <v>230</v>
      </c>
      <c r="S198" s="400" t="s">
        <v>512</v>
      </c>
      <c r="T198" s="400"/>
    </row>
    <row r="199" spans="1:20" s="341" customFormat="1" ht="21.75" customHeight="1">
      <c r="A199" s="400">
        <v>196</v>
      </c>
      <c r="B199" s="400" t="s">
        <v>586</v>
      </c>
      <c r="C199" s="400" t="s">
        <v>522</v>
      </c>
      <c r="D199" s="400">
        <v>1071</v>
      </c>
      <c r="E199" s="332" t="s">
        <v>511</v>
      </c>
      <c r="F199" s="332" t="s">
        <v>71</v>
      </c>
      <c r="G199" s="357"/>
      <c r="H199" s="358">
        <v>7</v>
      </c>
      <c r="I199" s="358"/>
      <c r="J199" s="358"/>
      <c r="K199" s="358"/>
      <c r="L199" s="400">
        <f t="shared" si="61"/>
        <v>2555</v>
      </c>
      <c r="M199" s="400">
        <v>2560</v>
      </c>
      <c r="N199" s="332">
        <f t="shared" si="62"/>
        <v>5</v>
      </c>
      <c r="O199" s="359">
        <v>0.66041666666666665</v>
      </c>
      <c r="P199" s="359">
        <v>0.66597222222222219</v>
      </c>
      <c r="Q199" s="332" t="s">
        <v>588</v>
      </c>
      <c r="R199" s="332" t="s">
        <v>230</v>
      </c>
      <c r="S199" s="400" t="s">
        <v>512</v>
      </c>
      <c r="T199" s="400"/>
    </row>
    <row r="200" spans="1:20" s="341" customFormat="1" ht="21.75" customHeight="1">
      <c r="A200" s="400">
        <v>197</v>
      </c>
      <c r="B200" s="400" t="s">
        <v>586</v>
      </c>
      <c r="C200" s="400" t="s">
        <v>530</v>
      </c>
      <c r="D200" s="400">
        <v>1073</v>
      </c>
      <c r="E200" s="332" t="s">
        <v>511</v>
      </c>
      <c r="F200" s="332" t="s">
        <v>71</v>
      </c>
      <c r="G200" s="357"/>
      <c r="H200" s="358">
        <v>7</v>
      </c>
      <c r="I200" s="358"/>
      <c r="J200" s="358"/>
      <c r="K200" s="358"/>
      <c r="L200" s="400">
        <f t="shared" si="61"/>
        <v>2555</v>
      </c>
      <c r="M200" s="400">
        <v>2560</v>
      </c>
      <c r="N200" s="332">
        <f t="shared" si="62"/>
        <v>5</v>
      </c>
      <c r="O200" s="359">
        <v>0.69236111111111109</v>
      </c>
      <c r="P200" s="359">
        <v>0.70000000000000007</v>
      </c>
      <c r="Q200" s="332" t="s">
        <v>588</v>
      </c>
      <c r="R200" s="332" t="s">
        <v>230</v>
      </c>
      <c r="S200" s="400" t="s">
        <v>512</v>
      </c>
      <c r="T200" s="400"/>
    </row>
    <row r="201" spans="1:20" s="341" customFormat="1" ht="21.75" customHeight="1">
      <c r="A201" s="400">
        <v>198</v>
      </c>
      <c r="B201" s="400" t="s">
        <v>586</v>
      </c>
      <c r="C201" s="400" t="s">
        <v>522</v>
      </c>
      <c r="D201" s="400">
        <v>1075</v>
      </c>
      <c r="E201" s="332" t="s">
        <v>511</v>
      </c>
      <c r="F201" s="332" t="s">
        <v>71</v>
      </c>
      <c r="G201" s="357"/>
      <c r="H201" s="358">
        <v>7</v>
      </c>
      <c r="I201" s="358"/>
      <c r="J201" s="358"/>
      <c r="K201" s="358"/>
      <c r="L201" s="400">
        <f t="shared" si="61"/>
        <v>2555</v>
      </c>
      <c r="M201" s="400">
        <v>2557</v>
      </c>
      <c r="N201" s="332">
        <f t="shared" si="62"/>
        <v>2</v>
      </c>
      <c r="O201" s="359">
        <v>0.71319444444444446</v>
      </c>
      <c r="P201" s="359">
        <v>0.72361111111111109</v>
      </c>
      <c r="Q201" s="332" t="s">
        <v>588</v>
      </c>
      <c r="R201" s="332" t="s">
        <v>230</v>
      </c>
      <c r="S201" s="400" t="s">
        <v>512</v>
      </c>
      <c r="T201" s="400"/>
    </row>
    <row r="202" spans="1:20" s="341" customFormat="1" ht="21.75" customHeight="1">
      <c r="A202" s="400">
        <v>199</v>
      </c>
      <c r="B202" s="400" t="s">
        <v>586</v>
      </c>
      <c r="C202" s="400" t="s">
        <v>528</v>
      </c>
      <c r="D202" s="400">
        <v>1076</v>
      </c>
      <c r="E202" s="332" t="s">
        <v>511</v>
      </c>
      <c r="F202" s="332" t="s">
        <v>71</v>
      </c>
      <c r="G202" s="357"/>
      <c r="H202" s="358">
        <v>7</v>
      </c>
      <c r="I202" s="358"/>
      <c r="J202" s="358"/>
      <c r="K202" s="358"/>
      <c r="L202" s="400">
        <f t="shared" si="61"/>
        <v>2555</v>
      </c>
      <c r="M202" s="400">
        <v>2558</v>
      </c>
      <c r="N202" s="332">
        <f t="shared" si="62"/>
        <v>3</v>
      </c>
      <c r="O202" s="359">
        <v>0.74097222222222225</v>
      </c>
      <c r="P202" s="359">
        <v>0.76041666666666663</v>
      </c>
      <c r="Q202" s="332" t="s">
        <v>588</v>
      </c>
      <c r="R202" s="332" t="s">
        <v>230</v>
      </c>
      <c r="S202" s="400" t="s">
        <v>512</v>
      </c>
      <c r="T202" s="400"/>
    </row>
    <row r="203" spans="1:20" s="341" customFormat="1" ht="21.75" customHeight="1">
      <c r="A203" s="400">
        <v>200</v>
      </c>
      <c r="B203" s="400" t="s">
        <v>586</v>
      </c>
      <c r="C203" s="400" t="s">
        <v>530</v>
      </c>
      <c r="D203" s="400">
        <v>1077</v>
      </c>
      <c r="E203" s="332" t="s">
        <v>511</v>
      </c>
      <c r="F203" s="332" t="s">
        <v>71</v>
      </c>
      <c r="G203" s="357"/>
      <c r="H203" s="358">
        <v>7</v>
      </c>
      <c r="I203" s="358"/>
      <c r="J203" s="358"/>
      <c r="K203" s="358"/>
      <c r="L203" s="400">
        <f t="shared" si="61"/>
        <v>2555</v>
      </c>
      <c r="M203" s="400">
        <v>2568</v>
      </c>
      <c r="N203" s="332">
        <f t="shared" si="62"/>
        <v>13</v>
      </c>
      <c r="O203" s="359">
        <v>0.7715277777777777</v>
      </c>
      <c r="P203" s="359">
        <v>0.78472222222222221</v>
      </c>
      <c r="Q203" s="332" t="s">
        <v>588</v>
      </c>
      <c r="R203" s="332" t="s">
        <v>230</v>
      </c>
      <c r="S203" s="400" t="s">
        <v>512</v>
      </c>
      <c r="T203" s="400"/>
    </row>
    <row r="204" spans="1:20" s="341" customFormat="1" ht="21.75" customHeight="1">
      <c r="A204" s="400">
        <v>201</v>
      </c>
      <c r="B204" s="400" t="s">
        <v>586</v>
      </c>
      <c r="C204" s="400" t="s">
        <v>513</v>
      </c>
      <c r="D204" s="400">
        <v>1079</v>
      </c>
      <c r="E204" s="332" t="s">
        <v>511</v>
      </c>
      <c r="F204" s="332" t="s">
        <v>71</v>
      </c>
      <c r="G204" s="357"/>
      <c r="H204" s="358">
        <v>7</v>
      </c>
      <c r="I204" s="358"/>
      <c r="J204" s="358"/>
      <c r="K204" s="358"/>
      <c r="L204" s="400">
        <f t="shared" si="61"/>
        <v>2555</v>
      </c>
      <c r="M204" s="400">
        <v>2571</v>
      </c>
      <c r="N204" s="332">
        <f t="shared" si="62"/>
        <v>16</v>
      </c>
      <c r="O204" s="359">
        <v>0.7895833333333333</v>
      </c>
      <c r="P204" s="359">
        <v>0.79999999999999993</v>
      </c>
      <c r="Q204" s="332" t="s">
        <v>588</v>
      </c>
      <c r="R204" s="332" t="s">
        <v>230</v>
      </c>
      <c r="S204" s="400" t="s">
        <v>512</v>
      </c>
      <c r="T204" s="400"/>
    </row>
    <row r="205" spans="1:20" s="341" customFormat="1" ht="21.75" customHeight="1">
      <c r="A205" s="400">
        <v>202</v>
      </c>
      <c r="B205" s="400" t="s">
        <v>586</v>
      </c>
      <c r="C205" s="400" t="s">
        <v>528</v>
      </c>
      <c r="D205" s="400">
        <v>1080</v>
      </c>
      <c r="E205" s="332" t="s">
        <v>511</v>
      </c>
      <c r="F205" s="332" t="s">
        <v>71</v>
      </c>
      <c r="G205" s="357"/>
      <c r="H205" s="358">
        <v>7</v>
      </c>
      <c r="I205" s="358"/>
      <c r="J205" s="358"/>
      <c r="K205" s="358"/>
      <c r="L205" s="400">
        <f t="shared" si="61"/>
        <v>2555</v>
      </c>
      <c r="M205" s="400">
        <v>2566</v>
      </c>
      <c r="N205" s="332">
        <f t="shared" si="62"/>
        <v>11</v>
      </c>
      <c r="O205" s="359">
        <v>0.8041666666666667</v>
      </c>
      <c r="P205" s="359">
        <v>0.81527777777777777</v>
      </c>
      <c r="Q205" s="332" t="s">
        <v>588</v>
      </c>
      <c r="R205" s="332" t="s">
        <v>230</v>
      </c>
      <c r="S205" s="400" t="s">
        <v>512</v>
      </c>
      <c r="T205" s="400"/>
    </row>
    <row r="206" spans="1:20" s="341" customFormat="1" ht="21.75" customHeight="1">
      <c r="A206" s="400">
        <v>203</v>
      </c>
      <c r="B206" s="400" t="s">
        <v>586</v>
      </c>
      <c r="C206" s="400" t="s">
        <v>530</v>
      </c>
      <c r="D206" s="400">
        <v>1081</v>
      </c>
      <c r="E206" s="332" t="s">
        <v>511</v>
      </c>
      <c r="F206" s="332" t="s">
        <v>71</v>
      </c>
      <c r="G206" s="357"/>
      <c r="H206" s="358">
        <v>7</v>
      </c>
      <c r="I206" s="358"/>
      <c r="J206" s="358"/>
      <c r="K206" s="358"/>
      <c r="L206" s="400">
        <f t="shared" si="61"/>
        <v>2555</v>
      </c>
      <c r="M206" s="400">
        <v>2565</v>
      </c>
      <c r="N206" s="332">
        <f t="shared" si="62"/>
        <v>10</v>
      </c>
      <c r="O206" s="359">
        <v>0.8208333333333333</v>
      </c>
      <c r="P206" s="359">
        <v>0.83472222222222225</v>
      </c>
      <c r="Q206" s="332" t="s">
        <v>588</v>
      </c>
      <c r="R206" s="332" t="s">
        <v>230</v>
      </c>
      <c r="S206" s="400" t="s">
        <v>512</v>
      </c>
      <c r="T206" s="400"/>
    </row>
    <row r="207" spans="1:20" s="341" customFormat="1" ht="21.75" customHeight="1">
      <c r="A207" s="400">
        <v>204</v>
      </c>
      <c r="B207" s="400" t="s">
        <v>586</v>
      </c>
      <c r="C207" s="400" t="s">
        <v>513</v>
      </c>
      <c r="D207" s="400">
        <v>1082</v>
      </c>
      <c r="E207" s="332" t="s">
        <v>511</v>
      </c>
      <c r="F207" s="332" t="s">
        <v>71</v>
      </c>
      <c r="G207" s="357"/>
      <c r="H207" s="358">
        <v>7</v>
      </c>
      <c r="I207" s="358"/>
      <c r="J207" s="358"/>
      <c r="K207" s="358"/>
      <c r="L207" s="400">
        <f t="shared" si="61"/>
        <v>2555</v>
      </c>
      <c r="M207" s="400">
        <v>2563</v>
      </c>
      <c r="N207" s="332">
        <f t="shared" si="62"/>
        <v>8</v>
      </c>
      <c r="O207" s="359">
        <v>0.84305555555555556</v>
      </c>
      <c r="P207" s="359">
        <v>0.8569444444444444</v>
      </c>
      <c r="Q207" s="332" t="s">
        <v>588</v>
      </c>
      <c r="R207" s="332" t="s">
        <v>230</v>
      </c>
      <c r="S207" s="400" t="s">
        <v>512</v>
      </c>
      <c r="T207" s="400"/>
    </row>
    <row r="208" spans="1:20" s="341" customFormat="1" ht="21.75" customHeight="1">
      <c r="A208" s="400">
        <v>205</v>
      </c>
      <c r="B208" s="400" t="s">
        <v>586</v>
      </c>
      <c r="C208" s="400" t="s">
        <v>528</v>
      </c>
      <c r="D208" s="400">
        <v>1083</v>
      </c>
      <c r="E208" s="332" t="s">
        <v>511</v>
      </c>
      <c r="F208" s="332" t="s">
        <v>71</v>
      </c>
      <c r="G208" s="357"/>
      <c r="H208" s="358">
        <v>7</v>
      </c>
      <c r="I208" s="358"/>
      <c r="J208" s="358"/>
      <c r="K208" s="358"/>
      <c r="L208" s="400">
        <f t="shared" si="61"/>
        <v>2555</v>
      </c>
      <c r="M208" s="400">
        <v>2563</v>
      </c>
      <c r="N208" s="332">
        <f t="shared" si="62"/>
        <v>8</v>
      </c>
      <c r="O208" s="359">
        <v>0.8618055555555556</v>
      </c>
      <c r="P208" s="359">
        <v>0.88263888888888886</v>
      </c>
      <c r="Q208" s="332" t="s">
        <v>588</v>
      </c>
      <c r="R208" s="332" t="s">
        <v>230</v>
      </c>
      <c r="S208" s="400" t="s">
        <v>512</v>
      </c>
      <c r="T208" s="400"/>
    </row>
    <row r="209" spans="1:20" s="341" customFormat="1" ht="21.75" customHeight="1">
      <c r="A209" s="400">
        <v>206</v>
      </c>
      <c r="B209" s="400" t="s">
        <v>586</v>
      </c>
      <c r="C209" s="400" t="s">
        <v>530</v>
      </c>
      <c r="D209" s="400">
        <v>1084</v>
      </c>
      <c r="E209" s="332" t="s">
        <v>511</v>
      </c>
      <c r="F209" s="332" t="s">
        <v>71</v>
      </c>
      <c r="G209" s="357"/>
      <c r="H209" s="358">
        <v>7</v>
      </c>
      <c r="I209" s="358"/>
      <c r="J209" s="358"/>
      <c r="K209" s="358"/>
      <c r="L209" s="400">
        <f t="shared" si="61"/>
        <v>2555</v>
      </c>
      <c r="M209" s="400">
        <v>2558</v>
      </c>
      <c r="N209" s="332">
        <f t="shared" si="62"/>
        <v>3</v>
      </c>
      <c r="O209" s="359">
        <v>0.89236111111111116</v>
      </c>
      <c r="P209" s="359">
        <v>0.90277777777777779</v>
      </c>
      <c r="Q209" s="332" t="s">
        <v>588</v>
      </c>
      <c r="R209" s="332" t="s">
        <v>230</v>
      </c>
      <c r="S209" s="400" t="s">
        <v>512</v>
      </c>
      <c r="T209" s="400"/>
    </row>
    <row r="210" spans="1:20" s="341" customFormat="1" ht="21.75" customHeight="1">
      <c r="A210" s="400">
        <v>207</v>
      </c>
      <c r="B210" s="400" t="s">
        <v>586</v>
      </c>
      <c r="C210" s="400" t="s">
        <v>513</v>
      </c>
      <c r="D210" s="400">
        <v>1085</v>
      </c>
      <c r="E210" s="332" t="s">
        <v>511</v>
      </c>
      <c r="F210" s="332" t="s">
        <v>71</v>
      </c>
      <c r="G210" s="357"/>
      <c r="H210" s="358">
        <v>7</v>
      </c>
      <c r="I210" s="358"/>
      <c r="J210" s="358"/>
      <c r="K210" s="358"/>
      <c r="L210" s="400">
        <f t="shared" si="61"/>
        <v>2555</v>
      </c>
      <c r="M210" s="400">
        <v>2568</v>
      </c>
      <c r="N210" s="332">
        <f t="shared" si="62"/>
        <v>13</v>
      </c>
      <c r="O210" s="359">
        <v>0.90694444444444444</v>
      </c>
      <c r="P210" s="359">
        <v>0.94444444444444453</v>
      </c>
      <c r="Q210" s="332" t="s">
        <v>588</v>
      </c>
      <c r="R210" s="332" t="s">
        <v>230</v>
      </c>
      <c r="S210" s="400" t="s">
        <v>512</v>
      </c>
      <c r="T210" s="400"/>
    </row>
    <row r="211" spans="1:20" s="341" customFormat="1" ht="21.75" customHeight="1">
      <c r="A211" s="400">
        <v>208</v>
      </c>
      <c r="B211" s="400" t="s">
        <v>586</v>
      </c>
      <c r="C211" s="400" t="s">
        <v>522</v>
      </c>
      <c r="D211" s="400">
        <v>1086</v>
      </c>
      <c r="E211" s="332" t="s">
        <v>511</v>
      </c>
      <c r="F211" s="332" t="s">
        <v>71</v>
      </c>
      <c r="G211" s="357"/>
      <c r="H211" s="358">
        <v>7</v>
      </c>
      <c r="I211" s="358"/>
      <c r="J211" s="358"/>
      <c r="K211" s="358"/>
      <c r="L211" s="400">
        <f t="shared" si="61"/>
        <v>2555</v>
      </c>
      <c r="M211" s="400">
        <v>2566</v>
      </c>
      <c r="N211" s="332">
        <f t="shared" si="62"/>
        <v>11</v>
      </c>
      <c r="O211" s="359">
        <v>0.91666666666666663</v>
      </c>
      <c r="P211" s="359">
        <v>0.93472222222222223</v>
      </c>
      <c r="Q211" s="332" t="s">
        <v>588</v>
      </c>
      <c r="R211" s="332" t="s">
        <v>230</v>
      </c>
      <c r="S211" s="400" t="s">
        <v>512</v>
      </c>
      <c r="T211" s="400"/>
    </row>
    <row r="212" spans="1:20" s="341" customFormat="1" ht="21.75" customHeight="1">
      <c r="A212" s="400">
        <v>209</v>
      </c>
      <c r="B212" s="400" t="s">
        <v>586</v>
      </c>
      <c r="C212" s="400" t="s">
        <v>530</v>
      </c>
      <c r="D212" s="400">
        <v>1087</v>
      </c>
      <c r="E212" s="332" t="s">
        <v>511</v>
      </c>
      <c r="F212" s="332" t="s">
        <v>71</v>
      </c>
      <c r="G212" s="357"/>
      <c r="H212" s="358">
        <v>7</v>
      </c>
      <c r="I212" s="358"/>
      <c r="J212" s="358"/>
      <c r="K212" s="358"/>
      <c r="L212" s="400">
        <f t="shared" si="61"/>
        <v>2555</v>
      </c>
      <c r="M212" s="400">
        <v>2558</v>
      </c>
      <c r="N212" s="332">
        <f t="shared" si="62"/>
        <v>3</v>
      </c>
      <c r="O212" s="359">
        <v>0.95000000000000007</v>
      </c>
      <c r="P212" s="359">
        <v>0.97430555555555554</v>
      </c>
      <c r="Q212" s="332" t="s">
        <v>588</v>
      </c>
      <c r="R212" s="332" t="s">
        <v>230</v>
      </c>
      <c r="S212" s="400" t="s">
        <v>512</v>
      </c>
      <c r="T212" s="400"/>
    </row>
    <row r="213" spans="1:20" s="341" customFormat="1" ht="21.75" customHeight="1">
      <c r="A213" s="400">
        <v>210</v>
      </c>
      <c r="B213" s="400" t="s">
        <v>586</v>
      </c>
      <c r="C213" s="400" t="s">
        <v>528</v>
      </c>
      <c r="D213" s="400">
        <v>1088</v>
      </c>
      <c r="E213" s="332" t="s">
        <v>511</v>
      </c>
      <c r="F213" s="332" t="s">
        <v>71</v>
      </c>
      <c r="G213" s="357"/>
      <c r="H213" s="358">
        <v>7</v>
      </c>
      <c r="I213" s="358"/>
      <c r="J213" s="358"/>
      <c r="K213" s="358"/>
      <c r="L213" s="400">
        <f t="shared" si="61"/>
        <v>2555</v>
      </c>
      <c r="M213" s="400">
        <v>2561</v>
      </c>
      <c r="N213" s="332">
        <f t="shared" si="62"/>
        <v>6</v>
      </c>
      <c r="O213" s="359">
        <v>0.97638888888888886</v>
      </c>
      <c r="P213" s="359">
        <v>0.98958333333333337</v>
      </c>
      <c r="Q213" s="332" t="s">
        <v>588</v>
      </c>
      <c r="R213" s="332" t="s">
        <v>230</v>
      </c>
      <c r="S213" s="400" t="s">
        <v>512</v>
      </c>
      <c r="T213" s="400"/>
    </row>
    <row r="214" spans="1:20" s="341" customFormat="1" ht="21.75" customHeight="1">
      <c r="A214" s="400">
        <v>211</v>
      </c>
      <c r="B214" s="400" t="s">
        <v>586</v>
      </c>
      <c r="C214" s="400" t="s">
        <v>522</v>
      </c>
      <c r="D214" s="400">
        <v>1089</v>
      </c>
      <c r="E214" s="332" t="s">
        <v>511</v>
      </c>
      <c r="F214" s="332" t="s">
        <v>71</v>
      </c>
      <c r="G214" s="357"/>
      <c r="H214" s="358">
        <v>7</v>
      </c>
      <c r="I214" s="358"/>
      <c r="J214" s="358"/>
      <c r="K214" s="358"/>
      <c r="L214" s="400">
        <f t="shared" si="61"/>
        <v>2555</v>
      </c>
      <c r="M214" s="400">
        <v>2569</v>
      </c>
      <c r="N214" s="332">
        <f t="shared" si="62"/>
        <v>14</v>
      </c>
      <c r="O214" s="359">
        <v>1.0027777777777778</v>
      </c>
      <c r="P214" s="359">
        <v>1.0138888888888888</v>
      </c>
      <c r="Q214" s="332" t="s">
        <v>588</v>
      </c>
      <c r="R214" s="332" t="s">
        <v>230</v>
      </c>
      <c r="S214" s="400" t="s">
        <v>512</v>
      </c>
      <c r="T214" s="400"/>
    </row>
    <row r="215" spans="1:20" s="341" customFormat="1" ht="21.75" customHeight="1">
      <c r="A215" s="400">
        <v>212</v>
      </c>
      <c r="B215" s="400" t="s">
        <v>586</v>
      </c>
      <c r="C215" s="400" t="s">
        <v>513</v>
      </c>
      <c r="D215" s="400">
        <v>1090</v>
      </c>
      <c r="E215" s="332" t="s">
        <v>511</v>
      </c>
      <c r="F215" s="332" t="s">
        <v>71</v>
      </c>
      <c r="G215" s="357"/>
      <c r="H215" s="358">
        <v>7</v>
      </c>
      <c r="I215" s="358"/>
      <c r="J215" s="358"/>
      <c r="K215" s="358"/>
      <c r="L215" s="400">
        <f t="shared" si="61"/>
        <v>2555</v>
      </c>
      <c r="M215" s="400">
        <v>2563</v>
      </c>
      <c r="N215" s="332">
        <f t="shared" si="62"/>
        <v>8</v>
      </c>
      <c r="O215" s="359">
        <v>1.0166666666666666</v>
      </c>
      <c r="P215" s="359">
        <v>1.0354166666666667</v>
      </c>
      <c r="Q215" s="332" t="s">
        <v>588</v>
      </c>
      <c r="R215" s="332" t="s">
        <v>230</v>
      </c>
      <c r="S215" s="400" t="s">
        <v>512</v>
      </c>
      <c r="T215" s="400"/>
    </row>
    <row r="216" spans="1:20" s="341" customFormat="1" ht="21.75" customHeight="1">
      <c r="A216" s="400">
        <v>213</v>
      </c>
      <c r="B216" s="400" t="s">
        <v>586</v>
      </c>
      <c r="C216" s="400" t="s">
        <v>537</v>
      </c>
      <c r="D216" s="400">
        <v>905350120</v>
      </c>
      <c r="E216" s="332" t="s">
        <v>511</v>
      </c>
      <c r="F216" s="332" t="s">
        <v>71</v>
      </c>
      <c r="G216" s="357"/>
      <c r="H216" s="358">
        <v>7</v>
      </c>
      <c r="I216" s="358"/>
      <c r="J216" s="358"/>
      <c r="K216" s="358"/>
      <c r="L216" s="400">
        <f t="shared" ref="L216:L227" si="63">H216*365</f>
        <v>2555</v>
      </c>
      <c r="M216" s="400">
        <v>2556</v>
      </c>
      <c r="N216" s="332">
        <f t="shared" ref="N216:N227" si="64">M216-L216</f>
        <v>1</v>
      </c>
      <c r="O216" s="359">
        <v>0.15069444444444444</v>
      </c>
      <c r="P216" s="359">
        <v>0.20972222222222223</v>
      </c>
      <c r="Q216" s="332" t="s">
        <v>588</v>
      </c>
      <c r="R216" s="332" t="s">
        <v>230</v>
      </c>
      <c r="S216" s="400" t="s">
        <v>535</v>
      </c>
      <c r="T216" s="400"/>
    </row>
    <row r="217" spans="1:20" s="341" customFormat="1" ht="21.75" customHeight="1">
      <c r="A217" s="400">
        <v>214</v>
      </c>
      <c r="B217" s="400" t="s">
        <v>586</v>
      </c>
      <c r="C217" s="400" t="s">
        <v>540</v>
      </c>
      <c r="D217" s="400">
        <v>905350119</v>
      </c>
      <c r="E217" s="332" t="s">
        <v>511</v>
      </c>
      <c r="F217" s="332" t="s">
        <v>71</v>
      </c>
      <c r="G217" s="357"/>
      <c r="H217" s="358">
        <v>7</v>
      </c>
      <c r="I217" s="358"/>
      <c r="J217" s="358"/>
      <c r="K217" s="358"/>
      <c r="L217" s="400">
        <f t="shared" si="63"/>
        <v>2555</v>
      </c>
      <c r="M217" s="400">
        <v>2555</v>
      </c>
      <c r="N217" s="332">
        <f t="shared" si="64"/>
        <v>0</v>
      </c>
      <c r="O217" s="359">
        <v>0.21249999999999999</v>
      </c>
      <c r="P217" s="359">
        <v>0.21458333333333335</v>
      </c>
      <c r="Q217" s="332" t="s">
        <v>588</v>
      </c>
      <c r="R217" s="332" t="s">
        <v>230</v>
      </c>
      <c r="S217" s="400" t="s">
        <v>535</v>
      </c>
      <c r="T217" s="400"/>
    </row>
    <row r="218" spans="1:20" s="341" customFormat="1" ht="21.75" customHeight="1">
      <c r="A218" s="400">
        <v>215</v>
      </c>
      <c r="B218" s="400" t="s">
        <v>586</v>
      </c>
      <c r="C218" s="400" t="s">
        <v>538</v>
      </c>
      <c r="D218" s="400">
        <v>905350121</v>
      </c>
      <c r="E218" s="332" t="s">
        <v>511</v>
      </c>
      <c r="F218" s="332" t="s">
        <v>71</v>
      </c>
      <c r="G218" s="357"/>
      <c r="H218" s="358">
        <v>7</v>
      </c>
      <c r="I218" s="358"/>
      <c r="J218" s="358"/>
      <c r="K218" s="358"/>
      <c r="L218" s="400">
        <f t="shared" si="63"/>
        <v>2555</v>
      </c>
      <c r="M218" s="400">
        <v>2557</v>
      </c>
      <c r="N218" s="332">
        <f t="shared" si="64"/>
        <v>2</v>
      </c>
      <c r="O218" s="359">
        <v>0.22222222222222221</v>
      </c>
      <c r="P218" s="359">
        <v>0.23333333333333331</v>
      </c>
      <c r="Q218" s="332" t="s">
        <v>588</v>
      </c>
      <c r="R218" s="332" t="s">
        <v>230</v>
      </c>
      <c r="S218" s="400" t="s">
        <v>535</v>
      </c>
      <c r="T218" s="400"/>
    </row>
    <row r="219" spans="1:20" s="341" customFormat="1" ht="21.75" customHeight="1">
      <c r="A219" s="400">
        <v>216</v>
      </c>
      <c r="B219" s="400" t="s">
        <v>586</v>
      </c>
      <c r="C219" s="400" t="s">
        <v>536</v>
      </c>
      <c r="D219" s="400">
        <v>905350122</v>
      </c>
      <c r="E219" s="332" t="s">
        <v>511</v>
      </c>
      <c r="F219" s="332" t="s">
        <v>71</v>
      </c>
      <c r="G219" s="357"/>
      <c r="H219" s="358">
        <v>7</v>
      </c>
      <c r="I219" s="358"/>
      <c r="J219" s="358"/>
      <c r="K219" s="358"/>
      <c r="L219" s="400">
        <f t="shared" si="63"/>
        <v>2555</v>
      </c>
      <c r="M219" s="400">
        <v>2556</v>
      </c>
      <c r="N219" s="332">
        <f t="shared" si="64"/>
        <v>1</v>
      </c>
      <c r="O219" s="359">
        <v>0.23680555555555557</v>
      </c>
      <c r="P219" s="359">
        <v>0.25208333333333333</v>
      </c>
      <c r="Q219" s="332" t="s">
        <v>588</v>
      </c>
      <c r="R219" s="332" t="s">
        <v>230</v>
      </c>
      <c r="S219" s="400" t="s">
        <v>535</v>
      </c>
      <c r="T219" s="400"/>
    </row>
    <row r="220" spans="1:20" s="341" customFormat="1" ht="21.75" customHeight="1">
      <c r="A220" s="400">
        <v>217</v>
      </c>
      <c r="B220" s="400" t="s">
        <v>586</v>
      </c>
      <c r="C220" s="400" t="s">
        <v>539</v>
      </c>
      <c r="D220" s="400">
        <v>905350123</v>
      </c>
      <c r="E220" s="332" t="s">
        <v>511</v>
      </c>
      <c r="F220" s="332" t="s">
        <v>71</v>
      </c>
      <c r="G220" s="357"/>
      <c r="H220" s="358">
        <v>7</v>
      </c>
      <c r="I220" s="358"/>
      <c r="J220" s="358"/>
      <c r="K220" s="358"/>
      <c r="L220" s="400">
        <f t="shared" si="63"/>
        <v>2555</v>
      </c>
      <c r="M220" s="400">
        <v>2554</v>
      </c>
      <c r="N220" s="332">
        <f t="shared" si="64"/>
        <v>-1</v>
      </c>
      <c r="O220" s="359">
        <v>0.27291666666666664</v>
      </c>
      <c r="P220" s="359">
        <v>0.28125</v>
      </c>
      <c r="Q220" s="332" t="s">
        <v>588</v>
      </c>
      <c r="R220" s="332" t="s">
        <v>230</v>
      </c>
      <c r="S220" s="400" t="s">
        <v>535</v>
      </c>
      <c r="T220" s="400"/>
    </row>
    <row r="221" spans="1:20" s="341" customFormat="1" ht="21.75" customHeight="1">
      <c r="A221" s="400">
        <v>218</v>
      </c>
      <c r="B221" s="400" t="s">
        <v>586</v>
      </c>
      <c r="C221" s="400" t="s">
        <v>537</v>
      </c>
      <c r="D221" s="400">
        <v>905350124</v>
      </c>
      <c r="E221" s="332" t="s">
        <v>511</v>
      </c>
      <c r="F221" s="332" t="s">
        <v>71</v>
      </c>
      <c r="G221" s="357"/>
      <c r="H221" s="358">
        <v>7</v>
      </c>
      <c r="I221" s="358"/>
      <c r="J221" s="358"/>
      <c r="K221" s="358"/>
      <c r="L221" s="400">
        <f t="shared" si="63"/>
        <v>2555</v>
      </c>
      <c r="M221" s="400">
        <v>2556</v>
      </c>
      <c r="N221" s="332">
        <f t="shared" si="64"/>
        <v>1</v>
      </c>
      <c r="O221" s="359">
        <v>0.32083333333333336</v>
      </c>
      <c r="P221" s="359">
        <v>0.33819444444444446</v>
      </c>
      <c r="Q221" s="332" t="s">
        <v>588</v>
      </c>
      <c r="R221" s="332" t="s">
        <v>230</v>
      </c>
      <c r="S221" s="400" t="s">
        <v>535</v>
      </c>
      <c r="T221" s="400"/>
    </row>
    <row r="222" spans="1:20" s="341" customFormat="1" ht="21.75" customHeight="1">
      <c r="A222" s="400">
        <v>219</v>
      </c>
      <c r="B222" s="400" t="s">
        <v>586</v>
      </c>
      <c r="C222" s="400" t="s">
        <v>540</v>
      </c>
      <c r="D222" s="400">
        <v>905350125</v>
      </c>
      <c r="E222" s="332" t="s">
        <v>511</v>
      </c>
      <c r="F222" s="332" t="s">
        <v>71</v>
      </c>
      <c r="G222" s="357"/>
      <c r="H222" s="358">
        <v>7</v>
      </c>
      <c r="I222" s="358"/>
      <c r="J222" s="358"/>
      <c r="K222" s="358"/>
      <c r="L222" s="400">
        <f t="shared" si="63"/>
        <v>2555</v>
      </c>
      <c r="M222" s="400">
        <v>2557</v>
      </c>
      <c r="N222" s="332">
        <f t="shared" si="64"/>
        <v>2</v>
      </c>
      <c r="O222" s="359">
        <v>0.34166666666666662</v>
      </c>
      <c r="P222" s="359">
        <v>0.35416666666666669</v>
      </c>
      <c r="Q222" s="332" t="s">
        <v>588</v>
      </c>
      <c r="R222" s="332" t="s">
        <v>230</v>
      </c>
      <c r="S222" s="400" t="s">
        <v>535</v>
      </c>
      <c r="T222" s="400"/>
    </row>
    <row r="223" spans="1:20" s="341" customFormat="1" ht="21.75" customHeight="1">
      <c r="A223" s="400">
        <v>220</v>
      </c>
      <c r="B223" s="400" t="s">
        <v>586</v>
      </c>
      <c r="C223" s="400" t="s">
        <v>536</v>
      </c>
      <c r="D223" s="400">
        <v>905350126</v>
      </c>
      <c r="E223" s="332" t="s">
        <v>511</v>
      </c>
      <c r="F223" s="332" t="s">
        <v>71</v>
      </c>
      <c r="G223" s="357"/>
      <c r="H223" s="358">
        <v>7</v>
      </c>
      <c r="I223" s="358"/>
      <c r="J223" s="358"/>
      <c r="K223" s="358"/>
      <c r="L223" s="400">
        <f t="shared" si="63"/>
        <v>2555</v>
      </c>
      <c r="M223" s="400">
        <v>2555</v>
      </c>
      <c r="N223" s="332">
        <f t="shared" si="64"/>
        <v>0</v>
      </c>
      <c r="O223" s="359">
        <v>0.36041666666666666</v>
      </c>
      <c r="P223" s="359">
        <v>0.38541666666666669</v>
      </c>
      <c r="Q223" s="332" t="s">
        <v>588</v>
      </c>
      <c r="R223" s="332" t="s">
        <v>230</v>
      </c>
      <c r="S223" s="400" t="s">
        <v>535</v>
      </c>
      <c r="T223" s="400"/>
    </row>
    <row r="224" spans="1:20" s="341" customFormat="1" ht="21.75" customHeight="1">
      <c r="A224" s="400">
        <v>221</v>
      </c>
      <c r="B224" s="400" t="s">
        <v>586</v>
      </c>
      <c r="C224" s="400" t="s">
        <v>539</v>
      </c>
      <c r="D224" s="400">
        <v>905350128</v>
      </c>
      <c r="E224" s="332" t="s">
        <v>511</v>
      </c>
      <c r="F224" s="332" t="s">
        <v>71</v>
      </c>
      <c r="G224" s="357"/>
      <c r="H224" s="358">
        <v>7</v>
      </c>
      <c r="I224" s="358"/>
      <c r="J224" s="358"/>
      <c r="K224" s="358"/>
      <c r="L224" s="400">
        <f t="shared" si="63"/>
        <v>2555</v>
      </c>
      <c r="M224" s="400">
        <v>2555</v>
      </c>
      <c r="N224" s="332">
        <f t="shared" si="64"/>
        <v>0</v>
      </c>
      <c r="O224" s="359">
        <v>0.39166666666666666</v>
      </c>
      <c r="P224" s="359">
        <v>0.44791666666666669</v>
      </c>
      <c r="Q224" s="332" t="s">
        <v>588</v>
      </c>
      <c r="R224" s="332" t="s">
        <v>230</v>
      </c>
      <c r="S224" s="400" t="s">
        <v>535</v>
      </c>
      <c r="T224" s="400"/>
    </row>
    <row r="225" spans="1:20" s="341" customFormat="1" ht="21.75" customHeight="1">
      <c r="A225" s="400">
        <v>222</v>
      </c>
      <c r="B225" s="400" t="s">
        <v>586</v>
      </c>
      <c r="C225" s="400" t="s">
        <v>540</v>
      </c>
      <c r="D225" s="400">
        <v>905350130</v>
      </c>
      <c r="E225" s="332" t="s">
        <v>511</v>
      </c>
      <c r="F225" s="332" t="s">
        <v>71</v>
      </c>
      <c r="G225" s="357"/>
      <c r="H225" s="358">
        <v>7</v>
      </c>
      <c r="I225" s="358"/>
      <c r="J225" s="358"/>
      <c r="K225" s="358"/>
      <c r="L225" s="400">
        <f t="shared" si="63"/>
        <v>2555</v>
      </c>
      <c r="M225" s="400">
        <v>2555</v>
      </c>
      <c r="N225" s="332">
        <f t="shared" si="64"/>
        <v>0</v>
      </c>
      <c r="O225" s="359">
        <v>0.46111111111111108</v>
      </c>
      <c r="P225" s="359">
        <v>0.4826388888888889</v>
      </c>
      <c r="Q225" s="332" t="s">
        <v>588</v>
      </c>
      <c r="R225" s="332" t="s">
        <v>230</v>
      </c>
      <c r="S225" s="400" t="s">
        <v>535</v>
      </c>
      <c r="T225" s="400"/>
    </row>
    <row r="226" spans="1:20" s="341" customFormat="1" ht="21.75" customHeight="1">
      <c r="A226" s="400">
        <v>223</v>
      </c>
      <c r="B226" s="400" t="s">
        <v>586</v>
      </c>
      <c r="C226" s="400" t="s">
        <v>536</v>
      </c>
      <c r="D226" s="400">
        <v>905350131</v>
      </c>
      <c r="E226" s="332" t="s">
        <v>511</v>
      </c>
      <c r="F226" s="332" t="s">
        <v>71</v>
      </c>
      <c r="G226" s="357"/>
      <c r="H226" s="358">
        <v>7</v>
      </c>
      <c r="I226" s="358"/>
      <c r="J226" s="358"/>
      <c r="K226" s="358"/>
      <c r="L226" s="400">
        <f t="shared" si="63"/>
        <v>2555</v>
      </c>
      <c r="M226" s="400">
        <v>2555</v>
      </c>
      <c r="N226" s="332">
        <f t="shared" si="64"/>
        <v>0</v>
      </c>
      <c r="O226" s="359">
        <v>0.49027777777777781</v>
      </c>
      <c r="P226" s="359">
        <v>0.51250000000000007</v>
      </c>
      <c r="Q226" s="332" t="s">
        <v>588</v>
      </c>
      <c r="R226" s="332" t="s">
        <v>230</v>
      </c>
      <c r="S226" s="400" t="s">
        <v>535</v>
      </c>
      <c r="T226" s="400"/>
    </row>
    <row r="227" spans="1:20" s="341" customFormat="1" ht="21.75" customHeight="1">
      <c r="A227" s="400">
        <v>224</v>
      </c>
      <c r="B227" s="400" t="s">
        <v>586</v>
      </c>
      <c r="C227" s="400" t="s">
        <v>538</v>
      </c>
      <c r="D227" s="400">
        <v>905350132</v>
      </c>
      <c r="E227" s="332" t="s">
        <v>511</v>
      </c>
      <c r="F227" s="332" t="s">
        <v>71</v>
      </c>
      <c r="G227" s="357"/>
      <c r="H227" s="358">
        <v>7</v>
      </c>
      <c r="I227" s="358"/>
      <c r="J227" s="358"/>
      <c r="K227" s="358"/>
      <c r="L227" s="400">
        <f t="shared" si="63"/>
        <v>2555</v>
      </c>
      <c r="M227" s="400">
        <v>2555</v>
      </c>
      <c r="N227" s="332">
        <f t="shared" si="64"/>
        <v>0</v>
      </c>
      <c r="O227" s="359">
        <v>0.5493055555555556</v>
      </c>
      <c r="P227" s="359">
        <v>0.55833333333333335</v>
      </c>
      <c r="Q227" s="332" t="s">
        <v>588</v>
      </c>
      <c r="R227" s="332" t="s">
        <v>230</v>
      </c>
      <c r="S227" s="400" t="s">
        <v>535</v>
      </c>
      <c r="T227" s="400"/>
    </row>
    <row r="228" spans="1:20" s="341" customFormat="1" ht="21.75" customHeight="1">
      <c r="A228" s="400">
        <v>225</v>
      </c>
      <c r="B228" s="400" t="s">
        <v>595</v>
      </c>
      <c r="C228" s="400" t="s">
        <v>530</v>
      </c>
      <c r="D228" s="400">
        <v>1091</v>
      </c>
      <c r="E228" s="332" t="s">
        <v>511</v>
      </c>
      <c r="F228" s="332" t="s">
        <v>71</v>
      </c>
      <c r="G228" s="357"/>
      <c r="H228" s="358">
        <v>7</v>
      </c>
      <c r="I228" s="358"/>
      <c r="J228" s="358"/>
      <c r="K228" s="358"/>
      <c r="L228" s="400">
        <f t="shared" si="61"/>
        <v>2555</v>
      </c>
      <c r="M228" s="400">
        <v>2561</v>
      </c>
      <c r="N228" s="332">
        <f t="shared" si="62"/>
        <v>6</v>
      </c>
      <c r="O228" s="359">
        <v>1.038888888888889</v>
      </c>
      <c r="P228" s="359">
        <v>4.6527777777777779E-2</v>
      </c>
      <c r="Q228" s="332" t="s">
        <v>588</v>
      </c>
      <c r="R228" s="332" t="s">
        <v>230</v>
      </c>
      <c r="S228" s="400" t="s">
        <v>512</v>
      </c>
      <c r="T228" s="400"/>
    </row>
    <row r="229" spans="1:20" s="341" customFormat="1" ht="21.75" customHeight="1">
      <c r="A229" s="400">
        <v>226</v>
      </c>
      <c r="B229" s="400" t="s">
        <v>595</v>
      </c>
      <c r="C229" s="400" t="s">
        <v>528</v>
      </c>
      <c r="D229" s="400">
        <v>1092</v>
      </c>
      <c r="E229" s="332" t="s">
        <v>511</v>
      </c>
      <c r="F229" s="332" t="s">
        <v>71</v>
      </c>
      <c r="G229" s="357"/>
      <c r="H229" s="358">
        <v>7</v>
      </c>
      <c r="I229" s="358"/>
      <c r="J229" s="358"/>
      <c r="K229" s="358"/>
      <c r="L229" s="400">
        <f t="shared" si="61"/>
        <v>2555</v>
      </c>
      <c r="M229" s="400">
        <v>2559</v>
      </c>
      <c r="N229" s="332">
        <f t="shared" si="62"/>
        <v>4</v>
      </c>
      <c r="O229" s="359">
        <v>7.5694444444444439E-2</v>
      </c>
      <c r="P229" s="359">
        <v>9.4444444444444442E-2</v>
      </c>
      <c r="Q229" s="332" t="s">
        <v>588</v>
      </c>
      <c r="R229" s="332" t="s">
        <v>230</v>
      </c>
      <c r="S229" s="400" t="s">
        <v>512</v>
      </c>
      <c r="T229" s="400"/>
    </row>
    <row r="230" spans="1:20" s="341" customFormat="1" ht="21.75" customHeight="1">
      <c r="A230" s="400">
        <v>227</v>
      </c>
      <c r="B230" s="400" t="s">
        <v>595</v>
      </c>
      <c r="C230" s="400" t="s">
        <v>522</v>
      </c>
      <c r="D230" s="400">
        <v>1093</v>
      </c>
      <c r="E230" s="332" t="s">
        <v>511</v>
      </c>
      <c r="F230" s="332" t="s">
        <v>71</v>
      </c>
      <c r="G230" s="357"/>
      <c r="H230" s="358">
        <v>7</v>
      </c>
      <c r="I230" s="358"/>
      <c r="J230" s="358"/>
      <c r="K230" s="358"/>
      <c r="L230" s="400">
        <f t="shared" si="61"/>
        <v>2555</v>
      </c>
      <c r="M230" s="400">
        <v>2556</v>
      </c>
      <c r="N230" s="332">
        <f t="shared" si="62"/>
        <v>1</v>
      </c>
      <c r="O230" s="359">
        <v>9.9999999999999992E-2</v>
      </c>
      <c r="P230" s="359">
        <v>0.13055555555555556</v>
      </c>
      <c r="Q230" s="332" t="s">
        <v>588</v>
      </c>
      <c r="R230" s="332" t="s">
        <v>230</v>
      </c>
      <c r="S230" s="400" t="s">
        <v>512</v>
      </c>
      <c r="T230" s="400"/>
    </row>
    <row r="231" spans="1:20" s="341" customFormat="1" ht="21.75" customHeight="1">
      <c r="A231" s="400">
        <v>228</v>
      </c>
      <c r="B231" s="400" t="s">
        <v>595</v>
      </c>
      <c r="C231" s="400" t="s">
        <v>528</v>
      </c>
      <c r="D231" s="400">
        <v>1094</v>
      </c>
      <c r="E231" s="332" t="s">
        <v>511</v>
      </c>
      <c r="F231" s="332" t="s">
        <v>71</v>
      </c>
      <c r="G231" s="357"/>
      <c r="H231" s="358">
        <v>3</v>
      </c>
      <c r="I231" s="358"/>
      <c r="J231" s="358"/>
      <c r="K231" s="358"/>
      <c r="L231" s="400">
        <f t="shared" si="61"/>
        <v>1095</v>
      </c>
      <c r="M231" s="400">
        <v>1097</v>
      </c>
      <c r="N231" s="332">
        <f t="shared" si="62"/>
        <v>2</v>
      </c>
      <c r="O231" s="359">
        <v>0.21666666666666667</v>
      </c>
      <c r="P231" s="359">
        <v>0.21666666666666667</v>
      </c>
      <c r="Q231" s="332" t="s">
        <v>588</v>
      </c>
      <c r="R231" s="332" t="s">
        <v>230</v>
      </c>
      <c r="S231" s="400" t="s">
        <v>512</v>
      </c>
      <c r="T231" s="400"/>
    </row>
    <row r="232" spans="1:20" s="341" customFormat="1" ht="21.75" customHeight="1">
      <c r="A232" s="400">
        <v>229</v>
      </c>
      <c r="B232" s="400" t="s">
        <v>595</v>
      </c>
      <c r="C232" s="400" t="s">
        <v>539</v>
      </c>
      <c r="D232" s="400">
        <v>905350133</v>
      </c>
      <c r="E232" s="332" t="s">
        <v>511</v>
      </c>
      <c r="F232" s="332" t="s">
        <v>71</v>
      </c>
      <c r="G232" s="357"/>
      <c r="H232" s="358">
        <v>7</v>
      </c>
      <c r="I232" s="358"/>
      <c r="J232" s="358"/>
      <c r="K232" s="358"/>
      <c r="L232" s="400">
        <f t="shared" ref="L232:L238" si="65">H232*365</f>
        <v>2555</v>
      </c>
      <c r="M232" s="400">
        <v>2556</v>
      </c>
      <c r="N232" s="332">
        <f t="shared" ref="N232:N256" si="66">M232-L232</f>
        <v>1</v>
      </c>
      <c r="O232" s="359">
        <v>0.56736111111111109</v>
      </c>
      <c r="P232" s="359">
        <v>0.57291666666666663</v>
      </c>
      <c r="Q232" s="332" t="s">
        <v>588</v>
      </c>
      <c r="R232" s="332" t="s">
        <v>230</v>
      </c>
      <c r="S232" s="400" t="s">
        <v>535</v>
      </c>
      <c r="T232" s="400"/>
    </row>
    <row r="233" spans="1:20" s="341" customFormat="1" ht="21.75" customHeight="1">
      <c r="A233" s="400">
        <v>230</v>
      </c>
      <c r="B233" s="400" t="s">
        <v>595</v>
      </c>
      <c r="C233" s="400" t="s">
        <v>537</v>
      </c>
      <c r="D233" s="400">
        <v>905350134</v>
      </c>
      <c r="E233" s="332" t="s">
        <v>511</v>
      </c>
      <c r="F233" s="332" t="s">
        <v>71</v>
      </c>
      <c r="G233" s="357"/>
      <c r="H233" s="358">
        <v>7</v>
      </c>
      <c r="I233" s="358"/>
      <c r="J233" s="358"/>
      <c r="K233" s="358"/>
      <c r="L233" s="400">
        <f t="shared" si="65"/>
        <v>2555</v>
      </c>
      <c r="M233" s="400">
        <v>2555</v>
      </c>
      <c r="N233" s="332">
        <f t="shared" si="66"/>
        <v>0</v>
      </c>
      <c r="O233" s="359">
        <v>0.59791666666666665</v>
      </c>
      <c r="P233" s="359">
        <v>0.63124999999999998</v>
      </c>
      <c r="Q233" s="332" t="s">
        <v>588</v>
      </c>
      <c r="R233" s="332" t="s">
        <v>230</v>
      </c>
      <c r="S233" s="400" t="s">
        <v>535</v>
      </c>
      <c r="T233" s="400"/>
    </row>
    <row r="234" spans="1:20" s="341" customFormat="1" ht="21.75" customHeight="1">
      <c r="A234" s="400">
        <v>231</v>
      </c>
      <c r="B234" s="400" t="s">
        <v>595</v>
      </c>
      <c r="C234" s="400" t="s">
        <v>536</v>
      </c>
      <c r="D234" s="400">
        <v>905350135</v>
      </c>
      <c r="E234" s="332" t="s">
        <v>511</v>
      </c>
      <c r="F234" s="332" t="s">
        <v>71</v>
      </c>
      <c r="G234" s="357"/>
      <c r="H234" s="358">
        <v>7</v>
      </c>
      <c r="I234" s="358"/>
      <c r="J234" s="358"/>
      <c r="K234" s="358"/>
      <c r="L234" s="400">
        <f t="shared" si="65"/>
        <v>2555</v>
      </c>
      <c r="M234" s="400">
        <v>2555</v>
      </c>
      <c r="N234" s="332">
        <f t="shared" si="66"/>
        <v>0</v>
      </c>
      <c r="O234" s="359">
        <v>0.6381944444444444</v>
      </c>
      <c r="P234" s="359">
        <v>0.67291666666666661</v>
      </c>
      <c r="Q234" s="332" t="s">
        <v>588</v>
      </c>
      <c r="R234" s="332" t="s">
        <v>230</v>
      </c>
      <c r="S234" s="400" t="s">
        <v>535</v>
      </c>
      <c r="T234" s="400"/>
    </row>
    <row r="235" spans="1:20" s="341" customFormat="1" ht="21.75" customHeight="1">
      <c r="A235" s="400">
        <v>232</v>
      </c>
      <c r="B235" s="400" t="s">
        <v>595</v>
      </c>
      <c r="C235" s="400" t="s">
        <v>538</v>
      </c>
      <c r="D235" s="400">
        <v>905350136</v>
      </c>
      <c r="E235" s="332" t="s">
        <v>511</v>
      </c>
      <c r="F235" s="332" t="s">
        <v>71</v>
      </c>
      <c r="G235" s="357"/>
      <c r="H235" s="358">
        <v>7</v>
      </c>
      <c r="I235" s="358"/>
      <c r="J235" s="358"/>
      <c r="K235" s="358"/>
      <c r="L235" s="400">
        <f t="shared" si="65"/>
        <v>2555</v>
      </c>
      <c r="M235" s="400">
        <v>2555</v>
      </c>
      <c r="N235" s="332">
        <f t="shared" si="66"/>
        <v>0</v>
      </c>
      <c r="O235" s="359">
        <v>0.64236111111111105</v>
      </c>
      <c r="P235" s="359">
        <v>0.68055555555555547</v>
      </c>
      <c r="Q235" s="332" t="s">
        <v>588</v>
      </c>
      <c r="R235" s="332" t="s">
        <v>230</v>
      </c>
      <c r="S235" s="400" t="s">
        <v>535</v>
      </c>
      <c r="T235" s="400"/>
    </row>
    <row r="236" spans="1:20" s="341" customFormat="1" ht="21.75" customHeight="1">
      <c r="A236" s="400">
        <v>233</v>
      </c>
      <c r="B236" s="400" t="s">
        <v>595</v>
      </c>
      <c r="C236" s="400" t="s">
        <v>539</v>
      </c>
      <c r="D236" s="400">
        <v>905350137</v>
      </c>
      <c r="E236" s="332" t="s">
        <v>511</v>
      </c>
      <c r="F236" s="332" t="s">
        <v>71</v>
      </c>
      <c r="G236" s="357"/>
      <c r="H236" s="358">
        <v>7</v>
      </c>
      <c r="I236" s="358"/>
      <c r="J236" s="358"/>
      <c r="K236" s="358"/>
      <c r="L236" s="400">
        <f t="shared" si="65"/>
        <v>2555</v>
      </c>
      <c r="M236" s="400">
        <v>2556</v>
      </c>
      <c r="N236" s="332">
        <f t="shared" si="66"/>
        <v>1</v>
      </c>
      <c r="O236" s="359">
        <v>0.68402777777777779</v>
      </c>
      <c r="P236" s="359">
        <v>0.70138888888888884</v>
      </c>
      <c r="Q236" s="332" t="s">
        <v>588</v>
      </c>
      <c r="R236" s="332" t="s">
        <v>230</v>
      </c>
      <c r="S236" s="400" t="s">
        <v>535</v>
      </c>
      <c r="T236" s="400"/>
    </row>
    <row r="237" spans="1:20" s="341" customFormat="1" ht="21.75" customHeight="1">
      <c r="A237" s="400">
        <v>234</v>
      </c>
      <c r="B237" s="400" t="s">
        <v>595</v>
      </c>
      <c r="C237" s="400" t="s">
        <v>537</v>
      </c>
      <c r="D237" s="400">
        <v>905350138</v>
      </c>
      <c r="E237" s="332" t="s">
        <v>511</v>
      </c>
      <c r="F237" s="332" t="s">
        <v>71</v>
      </c>
      <c r="G237" s="357"/>
      <c r="H237" s="358">
        <v>7</v>
      </c>
      <c r="I237" s="358"/>
      <c r="J237" s="358"/>
      <c r="K237" s="358"/>
      <c r="L237" s="400">
        <f t="shared" si="65"/>
        <v>2555</v>
      </c>
      <c r="M237" s="400">
        <v>2555</v>
      </c>
      <c r="N237" s="332">
        <f t="shared" si="66"/>
        <v>0</v>
      </c>
      <c r="O237" s="359">
        <v>0.70486111111111116</v>
      </c>
      <c r="P237" s="359">
        <v>0.71875</v>
      </c>
      <c r="Q237" s="332" t="s">
        <v>588</v>
      </c>
      <c r="R237" s="332" t="s">
        <v>230</v>
      </c>
      <c r="S237" s="400" t="s">
        <v>535</v>
      </c>
      <c r="T237" s="400"/>
    </row>
    <row r="238" spans="1:20" s="341" customFormat="1" ht="21.75" customHeight="1">
      <c r="A238" s="400">
        <v>235</v>
      </c>
      <c r="B238" s="400" t="s">
        <v>595</v>
      </c>
      <c r="C238" s="400" t="s">
        <v>536</v>
      </c>
      <c r="D238" s="400">
        <v>905350139</v>
      </c>
      <c r="E238" s="332" t="s">
        <v>511</v>
      </c>
      <c r="F238" s="332" t="s">
        <v>71</v>
      </c>
      <c r="G238" s="357"/>
      <c r="H238" s="358">
        <v>7</v>
      </c>
      <c r="I238" s="358"/>
      <c r="J238" s="358"/>
      <c r="K238" s="358"/>
      <c r="L238" s="400">
        <f t="shared" si="65"/>
        <v>2555</v>
      </c>
      <c r="M238" s="400">
        <v>2555</v>
      </c>
      <c r="N238" s="332">
        <f t="shared" si="66"/>
        <v>0</v>
      </c>
      <c r="O238" s="359">
        <v>0.72222222222222221</v>
      </c>
      <c r="P238" s="359">
        <v>0.75694444444444453</v>
      </c>
      <c r="Q238" s="332" t="s">
        <v>588</v>
      </c>
      <c r="R238" s="332" t="s">
        <v>230</v>
      </c>
      <c r="S238" s="400" t="s">
        <v>535</v>
      </c>
      <c r="T238" s="400"/>
    </row>
    <row r="239" spans="1:20" s="556" customFormat="1" ht="21.75" customHeight="1">
      <c r="A239" s="555">
        <v>236</v>
      </c>
      <c r="B239" s="548">
        <v>45830</v>
      </c>
      <c r="C239" s="549" t="s">
        <v>537</v>
      </c>
      <c r="D239" s="549">
        <v>905350161</v>
      </c>
      <c r="E239" s="557" t="s">
        <v>657</v>
      </c>
      <c r="F239" s="557" t="s">
        <v>71</v>
      </c>
      <c r="G239" s="555"/>
      <c r="H239" s="555"/>
      <c r="I239" s="555"/>
      <c r="J239" s="549">
        <v>3</v>
      </c>
      <c r="K239" s="558"/>
      <c r="L239" s="555">
        <f>J239*415</f>
        <v>1245</v>
      </c>
      <c r="M239" s="555">
        <f>L239</f>
        <v>1245</v>
      </c>
      <c r="N239" s="557">
        <f t="shared" ref="N239:N245" si="67">M239-L239</f>
        <v>0</v>
      </c>
      <c r="O239" s="559"/>
      <c r="P239" s="559"/>
      <c r="Q239" s="557" t="s">
        <v>660</v>
      </c>
      <c r="R239" s="555" t="s">
        <v>659</v>
      </c>
      <c r="S239" s="555" t="s">
        <v>535</v>
      </c>
      <c r="T239" s="555"/>
    </row>
    <row r="240" spans="1:20" s="556" customFormat="1" ht="21.75" customHeight="1">
      <c r="A240" s="555">
        <v>237</v>
      </c>
      <c r="B240" s="548">
        <v>45831</v>
      </c>
      <c r="C240" s="549" t="s">
        <v>536</v>
      </c>
      <c r="D240" s="549">
        <v>905350165</v>
      </c>
      <c r="E240" s="557" t="s">
        <v>657</v>
      </c>
      <c r="F240" s="557" t="s">
        <v>71</v>
      </c>
      <c r="G240" s="555"/>
      <c r="H240" s="555"/>
      <c r="I240" s="555"/>
      <c r="J240" s="549">
        <v>4</v>
      </c>
      <c r="K240" s="558"/>
      <c r="L240" s="555">
        <f t="shared" ref="L240:L253" si="68">J240*415</f>
        <v>1660</v>
      </c>
      <c r="M240" s="555">
        <f t="shared" ref="M240:M292" si="69">L240</f>
        <v>1660</v>
      </c>
      <c r="N240" s="557">
        <f t="shared" si="67"/>
        <v>0</v>
      </c>
      <c r="O240" s="559"/>
      <c r="P240" s="559"/>
      <c r="Q240" s="557" t="s">
        <v>660</v>
      </c>
      <c r="R240" s="555" t="s">
        <v>659</v>
      </c>
      <c r="S240" s="555" t="s">
        <v>535</v>
      </c>
      <c r="T240" s="555"/>
    </row>
    <row r="241" spans="1:20" s="556" customFormat="1" ht="21.75" customHeight="1">
      <c r="A241" s="555">
        <v>238</v>
      </c>
      <c r="B241" s="548">
        <v>45832</v>
      </c>
      <c r="C241" s="549" t="s">
        <v>539</v>
      </c>
      <c r="D241" s="549">
        <v>905350166</v>
      </c>
      <c r="E241" s="557" t="s">
        <v>657</v>
      </c>
      <c r="F241" s="557" t="s">
        <v>71</v>
      </c>
      <c r="G241" s="555"/>
      <c r="H241" s="555"/>
      <c r="I241" s="555"/>
      <c r="J241" s="549">
        <v>5</v>
      </c>
      <c r="K241" s="558"/>
      <c r="L241" s="555">
        <f t="shared" si="68"/>
        <v>2075</v>
      </c>
      <c r="M241" s="555">
        <f t="shared" si="69"/>
        <v>2075</v>
      </c>
      <c r="N241" s="557">
        <f t="shared" si="67"/>
        <v>0</v>
      </c>
      <c r="O241" s="559"/>
      <c r="P241" s="559"/>
      <c r="Q241" s="557" t="s">
        <v>660</v>
      </c>
      <c r="R241" s="555" t="s">
        <v>659</v>
      </c>
      <c r="S241" s="555" t="s">
        <v>535</v>
      </c>
      <c r="T241" s="555"/>
    </row>
    <row r="242" spans="1:20" s="556" customFormat="1" ht="21.75" customHeight="1">
      <c r="A242" s="555">
        <v>239</v>
      </c>
      <c r="B242" s="548">
        <v>45833</v>
      </c>
      <c r="C242" s="549" t="s">
        <v>539</v>
      </c>
      <c r="D242" s="549">
        <v>905350167</v>
      </c>
      <c r="E242" s="557" t="s">
        <v>657</v>
      </c>
      <c r="F242" s="557" t="s">
        <v>71</v>
      </c>
      <c r="G242" s="555"/>
      <c r="H242" s="555"/>
      <c r="I242" s="555"/>
      <c r="J242" s="549">
        <v>5</v>
      </c>
      <c r="K242" s="558"/>
      <c r="L242" s="555">
        <f t="shared" si="68"/>
        <v>2075</v>
      </c>
      <c r="M242" s="555">
        <f t="shared" si="69"/>
        <v>2075</v>
      </c>
      <c r="N242" s="557">
        <f t="shared" si="67"/>
        <v>0</v>
      </c>
      <c r="O242" s="559"/>
      <c r="P242" s="559"/>
      <c r="Q242" s="557" t="s">
        <v>660</v>
      </c>
      <c r="R242" s="555" t="s">
        <v>659</v>
      </c>
      <c r="S242" s="555" t="s">
        <v>535</v>
      </c>
      <c r="T242" s="555"/>
    </row>
    <row r="243" spans="1:20" s="556" customFormat="1" ht="21.75" customHeight="1">
      <c r="A243" s="555">
        <v>240</v>
      </c>
      <c r="B243" s="548">
        <v>45834</v>
      </c>
      <c r="C243" s="549" t="s">
        <v>540</v>
      </c>
      <c r="D243" s="549">
        <v>905350168</v>
      </c>
      <c r="E243" s="557" t="s">
        <v>657</v>
      </c>
      <c r="F243" s="557" t="s">
        <v>71</v>
      </c>
      <c r="G243" s="555"/>
      <c r="H243" s="555"/>
      <c r="I243" s="555"/>
      <c r="J243" s="549">
        <v>6</v>
      </c>
      <c r="K243" s="558"/>
      <c r="L243" s="555">
        <f t="shared" si="68"/>
        <v>2490</v>
      </c>
      <c r="M243" s="555">
        <f t="shared" si="69"/>
        <v>2490</v>
      </c>
      <c r="N243" s="557">
        <f t="shared" si="67"/>
        <v>0</v>
      </c>
      <c r="O243" s="559"/>
      <c r="P243" s="559"/>
      <c r="Q243" s="557" t="s">
        <v>660</v>
      </c>
      <c r="R243" s="555" t="s">
        <v>659</v>
      </c>
      <c r="S243" s="555" t="s">
        <v>535</v>
      </c>
      <c r="T243" s="555"/>
    </row>
    <row r="244" spans="1:20" s="556" customFormat="1" ht="21.75" customHeight="1">
      <c r="A244" s="555">
        <v>241</v>
      </c>
      <c r="B244" s="548">
        <v>45835</v>
      </c>
      <c r="C244" s="549" t="s">
        <v>539</v>
      </c>
      <c r="D244" s="549">
        <v>905350171</v>
      </c>
      <c r="E244" s="557" t="s">
        <v>657</v>
      </c>
      <c r="F244" s="557" t="s">
        <v>71</v>
      </c>
      <c r="G244" s="555"/>
      <c r="H244" s="555"/>
      <c r="I244" s="555"/>
      <c r="J244" s="549">
        <v>4</v>
      </c>
      <c r="K244" s="558"/>
      <c r="L244" s="555">
        <f t="shared" si="68"/>
        <v>1660</v>
      </c>
      <c r="M244" s="555">
        <f t="shared" si="69"/>
        <v>1660</v>
      </c>
      <c r="N244" s="557">
        <f t="shared" si="67"/>
        <v>0</v>
      </c>
      <c r="O244" s="559"/>
      <c r="P244" s="559"/>
      <c r="Q244" s="557" t="s">
        <v>660</v>
      </c>
      <c r="R244" s="555" t="s">
        <v>659</v>
      </c>
      <c r="S244" s="555" t="s">
        <v>535</v>
      </c>
      <c r="T244" s="555"/>
    </row>
    <row r="245" spans="1:20" s="556" customFormat="1" ht="21.75" customHeight="1">
      <c r="A245" s="555">
        <v>242</v>
      </c>
      <c r="B245" s="548">
        <v>45837</v>
      </c>
      <c r="C245" s="549" t="s">
        <v>540</v>
      </c>
      <c r="D245" s="549">
        <v>905350190</v>
      </c>
      <c r="E245" s="557" t="s">
        <v>657</v>
      </c>
      <c r="F245" s="557" t="s">
        <v>71</v>
      </c>
      <c r="G245" s="555"/>
      <c r="H245" s="555"/>
      <c r="I245" s="555"/>
      <c r="J245" s="549">
        <v>3</v>
      </c>
      <c r="K245" s="558"/>
      <c r="L245" s="555">
        <f t="shared" si="68"/>
        <v>1245</v>
      </c>
      <c r="M245" s="555">
        <f t="shared" si="69"/>
        <v>1245</v>
      </c>
      <c r="N245" s="557">
        <f t="shared" si="67"/>
        <v>0</v>
      </c>
      <c r="O245" s="559"/>
      <c r="P245" s="559"/>
      <c r="Q245" s="557" t="s">
        <v>660</v>
      </c>
      <c r="R245" s="555" t="s">
        <v>659</v>
      </c>
      <c r="S245" s="555" t="s">
        <v>535</v>
      </c>
      <c r="T245" s="555"/>
    </row>
    <row r="246" spans="1:20" s="556" customFormat="1" ht="21.75" customHeight="1">
      <c r="A246" s="555">
        <v>243</v>
      </c>
      <c r="B246" s="560">
        <v>45839</v>
      </c>
      <c r="C246" s="549">
        <v>9655</v>
      </c>
      <c r="D246" s="555">
        <v>563</v>
      </c>
      <c r="E246" s="557" t="s">
        <v>657</v>
      </c>
      <c r="F246" s="557" t="s">
        <v>71</v>
      </c>
      <c r="G246" s="555"/>
      <c r="H246" s="555"/>
      <c r="I246" s="555"/>
      <c r="J246" s="550">
        <v>4</v>
      </c>
      <c r="K246" s="561"/>
      <c r="L246" s="555">
        <f t="shared" si="68"/>
        <v>1660</v>
      </c>
      <c r="M246" s="555">
        <f t="shared" si="69"/>
        <v>1660</v>
      </c>
      <c r="N246" s="557">
        <f t="shared" si="66"/>
        <v>0</v>
      </c>
      <c r="O246" s="559"/>
      <c r="P246" s="559"/>
      <c r="Q246" s="557" t="s">
        <v>660</v>
      </c>
      <c r="R246" s="555" t="s">
        <v>659</v>
      </c>
      <c r="S246" s="555" t="s">
        <v>589</v>
      </c>
      <c r="T246" s="555"/>
    </row>
    <row r="247" spans="1:20" s="556" customFormat="1" ht="21.75" customHeight="1">
      <c r="A247" s="555">
        <v>244</v>
      </c>
      <c r="B247" s="560">
        <v>45839</v>
      </c>
      <c r="C247" s="549" t="s">
        <v>593</v>
      </c>
      <c r="D247" s="555">
        <v>564</v>
      </c>
      <c r="E247" s="557" t="s">
        <v>657</v>
      </c>
      <c r="F247" s="557" t="s">
        <v>71</v>
      </c>
      <c r="G247" s="555"/>
      <c r="H247" s="555"/>
      <c r="I247" s="555"/>
      <c r="J247" s="550">
        <v>4</v>
      </c>
      <c r="K247" s="561"/>
      <c r="L247" s="555">
        <f t="shared" si="68"/>
        <v>1660</v>
      </c>
      <c r="M247" s="555">
        <f t="shared" si="69"/>
        <v>1660</v>
      </c>
      <c r="N247" s="557">
        <f t="shared" si="66"/>
        <v>0</v>
      </c>
      <c r="O247" s="559"/>
      <c r="P247" s="559"/>
      <c r="Q247" s="557" t="s">
        <v>660</v>
      </c>
      <c r="R247" s="555" t="s">
        <v>659</v>
      </c>
      <c r="S247" s="555" t="s">
        <v>589</v>
      </c>
      <c r="T247" s="555"/>
    </row>
    <row r="248" spans="1:20" s="556" customFormat="1" ht="21.75" customHeight="1">
      <c r="A248" s="555">
        <v>245</v>
      </c>
      <c r="B248" s="560">
        <v>45840</v>
      </c>
      <c r="C248" s="549">
        <v>9048</v>
      </c>
      <c r="D248" s="555">
        <v>565</v>
      </c>
      <c r="E248" s="557" t="s">
        <v>657</v>
      </c>
      <c r="F248" s="557" t="s">
        <v>71</v>
      </c>
      <c r="G248" s="555"/>
      <c r="H248" s="555"/>
      <c r="I248" s="555"/>
      <c r="J248" s="550">
        <v>4.5</v>
      </c>
      <c r="K248" s="561"/>
      <c r="L248" s="555">
        <f t="shared" si="68"/>
        <v>1867.5</v>
      </c>
      <c r="M248" s="555">
        <f t="shared" si="69"/>
        <v>1867.5</v>
      </c>
      <c r="N248" s="557">
        <f t="shared" si="66"/>
        <v>0</v>
      </c>
      <c r="O248" s="559"/>
      <c r="P248" s="559"/>
      <c r="Q248" s="557" t="s">
        <v>660</v>
      </c>
      <c r="R248" s="555" t="s">
        <v>659</v>
      </c>
      <c r="S248" s="555" t="s">
        <v>589</v>
      </c>
      <c r="T248" s="555"/>
    </row>
    <row r="249" spans="1:20" s="556" customFormat="1" ht="21.75" customHeight="1">
      <c r="A249" s="555">
        <v>246</v>
      </c>
      <c r="B249" s="560">
        <v>45842</v>
      </c>
      <c r="C249" s="549">
        <v>9048</v>
      </c>
      <c r="D249" s="555">
        <v>571</v>
      </c>
      <c r="E249" s="557" t="s">
        <v>657</v>
      </c>
      <c r="F249" s="557" t="s">
        <v>71</v>
      </c>
      <c r="G249" s="555"/>
      <c r="H249" s="555"/>
      <c r="I249" s="555"/>
      <c r="J249" s="549">
        <v>3.5</v>
      </c>
      <c r="K249" s="558"/>
      <c r="L249" s="555">
        <f t="shared" si="68"/>
        <v>1452.5</v>
      </c>
      <c r="M249" s="555">
        <f t="shared" si="69"/>
        <v>1452.5</v>
      </c>
      <c r="N249" s="557">
        <f t="shared" si="66"/>
        <v>0</v>
      </c>
      <c r="O249" s="559"/>
      <c r="P249" s="559"/>
      <c r="Q249" s="557" t="s">
        <v>660</v>
      </c>
      <c r="R249" s="555" t="s">
        <v>659</v>
      </c>
      <c r="S249" s="555" t="s">
        <v>589</v>
      </c>
      <c r="T249" s="555"/>
    </row>
    <row r="250" spans="1:20" s="556" customFormat="1" ht="21.75" customHeight="1">
      <c r="A250" s="555">
        <v>247</v>
      </c>
      <c r="B250" s="560">
        <v>45843</v>
      </c>
      <c r="C250" s="549">
        <v>9048</v>
      </c>
      <c r="D250" s="555">
        <v>582</v>
      </c>
      <c r="E250" s="557" t="s">
        <v>657</v>
      </c>
      <c r="F250" s="557" t="s">
        <v>71</v>
      </c>
      <c r="G250" s="555"/>
      <c r="H250" s="555"/>
      <c r="I250" s="555"/>
      <c r="J250" s="549">
        <v>4</v>
      </c>
      <c r="K250" s="558"/>
      <c r="L250" s="555">
        <f t="shared" si="68"/>
        <v>1660</v>
      </c>
      <c r="M250" s="555">
        <f t="shared" si="69"/>
        <v>1660</v>
      </c>
      <c r="N250" s="557">
        <f t="shared" si="66"/>
        <v>0</v>
      </c>
      <c r="O250" s="559"/>
      <c r="P250" s="559"/>
      <c r="Q250" s="557" t="s">
        <v>660</v>
      </c>
      <c r="R250" s="555" t="s">
        <v>659</v>
      </c>
      <c r="S250" s="555" t="s">
        <v>589</v>
      </c>
      <c r="T250" s="555"/>
    </row>
    <row r="251" spans="1:20" s="556" customFormat="1" ht="21.75" customHeight="1">
      <c r="A251" s="555">
        <v>248</v>
      </c>
      <c r="B251" s="560">
        <v>45843</v>
      </c>
      <c r="C251" s="549">
        <v>8917</v>
      </c>
      <c r="D251" s="555">
        <v>583</v>
      </c>
      <c r="E251" s="557" t="s">
        <v>657</v>
      </c>
      <c r="F251" s="557" t="s">
        <v>71</v>
      </c>
      <c r="G251" s="555"/>
      <c r="H251" s="555"/>
      <c r="I251" s="555"/>
      <c r="J251" s="549">
        <v>4</v>
      </c>
      <c r="K251" s="558"/>
      <c r="L251" s="555">
        <f t="shared" si="68"/>
        <v>1660</v>
      </c>
      <c r="M251" s="555">
        <f t="shared" si="69"/>
        <v>1660</v>
      </c>
      <c r="N251" s="557">
        <f t="shared" si="66"/>
        <v>0</v>
      </c>
      <c r="O251" s="559"/>
      <c r="P251" s="559"/>
      <c r="Q251" s="557" t="s">
        <v>660</v>
      </c>
      <c r="R251" s="555" t="s">
        <v>659</v>
      </c>
      <c r="S251" s="555" t="s">
        <v>589</v>
      </c>
      <c r="T251" s="555"/>
    </row>
    <row r="252" spans="1:20" s="556" customFormat="1" ht="21.75" customHeight="1">
      <c r="A252" s="555">
        <v>249</v>
      </c>
      <c r="B252" s="560">
        <v>45845</v>
      </c>
      <c r="C252" s="549" t="s">
        <v>587</v>
      </c>
      <c r="D252" s="555">
        <v>591</v>
      </c>
      <c r="E252" s="557" t="s">
        <v>657</v>
      </c>
      <c r="F252" s="557" t="s">
        <v>71</v>
      </c>
      <c r="G252" s="555"/>
      <c r="H252" s="555"/>
      <c r="I252" s="555"/>
      <c r="J252" s="549">
        <v>3</v>
      </c>
      <c r="K252" s="558"/>
      <c r="L252" s="555">
        <f t="shared" si="68"/>
        <v>1245</v>
      </c>
      <c r="M252" s="555">
        <f t="shared" si="69"/>
        <v>1245</v>
      </c>
      <c r="N252" s="557">
        <f t="shared" si="66"/>
        <v>0</v>
      </c>
      <c r="O252" s="559"/>
      <c r="P252" s="559"/>
      <c r="Q252" s="557" t="s">
        <v>660</v>
      </c>
      <c r="R252" s="555" t="s">
        <v>659</v>
      </c>
      <c r="S252" s="555" t="s">
        <v>589</v>
      </c>
      <c r="T252" s="555"/>
    </row>
    <row r="253" spans="1:20" s="556" customFormat="1" ht="21.75" customHeight="1">
      <c r="A253" s="555">
        <v>250</v>
      </c>
      <c r="B253" s="560">
        <v>45846</v>
      </c>
      <c r="C253" s="549" t="s">
        <v>587</v>
      </c>
      <c r="D253" s="555">
        <v>600</v>
      </c>
      <c r="E253" s="557" t="s">
        <v>657</v>
      </c>
      <c r="F253" s="557" t="s">
        <v>71</v>
      </c>
      <c r="G253" s="555"/>
      <c r="H253" s="555"/>
      <c r="I253" s="555"/>
      <c r="J253" s="549">
        <v>4</v>
      </c>
      <c r="K253" s="558"/>
      <c r="L253" s="555">
        <f t="shared" si="68"/>
        <v>1660</v>
      </c>
      <c r="M253" s="555">
        <f t="shared" si="69"/>
        <v>1660</v>
      </c>
      <c r="N253" s="557">
        <f t="shared" si="66"/>
        <v>0</v>
      </c>
      <c r="O253" s="559"/>
      <c r="P253" s="559"/>
      <c r="Q253" s="557" t="s">
        <v>660</v>
      </c>
      <c r="R253" s="555" t="s">
        <v>659</v>
      </c>
      <c r="S253" s="555" t="s">
        <v>589</v>
      </c>
      <c r="T253" s="555"/>
    </row>
    <row r="254" spans="1:20" s="556" customFormat="1" ht="21.75" customHeight="1">
      <c r="A254" s="555">
        <v>251</v>
      </c>
      <c r="B254" s="560">
        <v>45846</v>
      </c>
      <c r="C254" s="549" t="s">
        <v>587</v>
      </c>
      <c r="D254" s="555">
        <v>604</v>
      </c>
      <c r="E254" s="557" t="s">
        <v>511</v>
      </c>
      <c r="F254" s="557" t="s">
        <v>71</v>
      </c>
      <c r="G254" s="555"/>
      <c r="H254" s="555">
        <v>7</v>
      </c>
      <c r="I254" s="555"/>
      <c r="J254" s="549"/>
      <c r="K254" s="558"/>
      <c r="L254" s="555">
        <f>H254*365</f>
        <v>2555</v>
      </c>
      <c r="M254" s="555">
        <f t="shared" si="69"/>
        <v>2555</v>
      </c>
      <c r="N254" s="557">
        <f t="shared" si="66"/>
        <v>0</v>
      </c>
      <c r="O254" s="559"/>
      <c r="P254" s="559"/>
      <c r="Q254" s="557" t="s">
        <v>660</v>
      </c>
      <c r="R254" s="555" t="s">
        <v>658</v>
      </c>
      <c r="S254" s="555" t="s">
        <v>589</v>
      </c>
      <c r="T254" s="555"/>
    </row>
    <row r="255" spans="1:20" s="556" customFormat="1" ht="21.75" customHeight="1">
      <c r="A255" s="555">
        <v>252</v>
      </c>
      <c r="B255" s="560">
        <v>45846</v>
      </c>
      <c r="C255" s="549" t="s">
        <v>593</v>
      </c>
      <c r="D255" s="555">
        <v>603</v>
      </c>
      <c r="E255" s="557" t="s">
        <v>511</v>
      </c>
      <c r="F255" s="557" t="s">
        <v>71</v>
      </c>
      <c r="G255" s="555"/>
      <c r="H255" s="555">
        <v>7</v>
      </c>
      <c r="I255" s="555"/>
      <c r="J255" s="549"/>
      <c r="K255" s="558"/>
      <c r="L255" s="555">
        <f>H255*365</f>
        <v>2555</v>
      </c>
      <c r="M255" s="555">
        <f t="shared" si="69"/>
        <v>2555</v>
      </c>
      <c r="N255" s="557">
        <f t="shared" si="66"/>
        <v>0</v>
      </c>
      <c r="O255" s="559"/>
      <c r="P255" s="559"/>
      <c r="Q255" s="557" t="s">
        <v>660</v>
      </c>
      <c r="R255" s="555" t="s">
        <v>658</v>
      </c>
      <c r="S255" s="555" t="s">
        <v>589</v>
      </c>
      <c r="T255" s="555"/>
    </row>
    <row r="256" spans="1:20" s="556" customFormat="1" ht="21.75" customHeight="1">
      <c r="A256" s="555">
        <v>253</v>
      </c>
      <c r="B256" s="560">
        <v>45847</v>
      </c>
      <c r="C256" s="549">
        <v>9048</v>
      </c>
      <c r="D256" s="555">
        <v>605</v>
      </c>
      <c r="E256" s="557" t="s">
        <v>657</v>
      </c>
      <c r="F256" s="557" t="s">
        <v>71</v>
      </c>
      <c r="G256" s="555"/>
      <c r="H256" s="555"/>
      <c r="I256" s="555"/>
      <c r="J256" s="549">
        <v>3.5</v>
      </c>
      <c r="K256" s="558"/>
      <c r="L256" s="555">
        <f t="shared" ref="L256:L258" si="70">J256*415</f>
        <v>1452.5</v>
      </c>
      <c r="M256" s="555">
        <f t="shared" si="69"/>
        <v>1452.5</v>
      </c>
      <c r="N256" s="557">
        <f t="shared" si="66"/>
        <v>0</v>
      </c>
      <c r="O256" s="559"/>
      <c r="P256" s="559"/>
      <c r="Q256" s="557" t="s">
        <v>660</v>
      </c>
      <c r="R256" s="555" t="s">
        <v>659</v>
      </c>
      <c r="S256" s="555" t="s">
        <v>589</v>
      </c>
      <c r="T256" s="555"/>
    </row>
    <row r="257" spans="1:20" s="556" customFormat="1" ht="21.75" customHeight="1">
      <c r="A257" s="555">
        <v>254</v>
      </c>
      <c r="B257" s="560">
        <v>45848</v>
      </c>
      <c r="C257" s="549">
        <v>8917</v>
      </c>
      <c r="D257" s="555">
        <v>6009</v>
      </c>
      <c r="E257" s="557" t="s">
        <v>657</v>
      </c>
      <c r="F257" s="557" t="s">
        <v>71</v>
      </c>
      <c r="G257" s="555"/>
      <c r="H257" s="555"/>
      <c r="I257" s="555"/>
      <c r="J257" s="549">
        <v>3.5</v>
      </c>
      <c r="K257" s="558"/>
      <c r="L257" s="555">
        <f t="shared" si="70"/>
        <v>1452.5</v>
      </c>
      <c r="M257" s="555">
        <f t="shared" si="69"/>
        <v>1452.5</v>
      </c>
      <c r="N257" s="557">
        <f t="shared" ref="N257:N292" si="71">M257-L257</f>
        <v>0</v>
      </c>
      <c r="O257" s="559"/>
      <c r="P257" s="559"/>
      <c r="Q257" s="557" t="s">
        <v>660</v>
      </c>
      <c r="R257" s="555" t="s">
        <v>659</v>
      </c>
      <c r="S257" s="555" t="s">
        <v>589</v>
      </c>
      <c r="T257" s="555"/>
    </row>
    <row r="258" spans="1:20" s="556" customFormat="1" ht="21.75" customHeight="1">
      <c r="A258" s="555">
        <v>255</v>
      </c>
      <c r="B258" s="555" t="s">
        <v>899</v>
      </c>
      <c r="C258" s="555" t="s">
        <v>513</v>
      </c>
      <c r="D258" s="555">
        <v>1950</v>
      </c>
      <c r="E258" s="557" t="s">
        <v>477</v>
      </c>
      <c r="F258" s="557" t="s">
        <v>71</v>
      </c>
      <c r="G258" s="555"/>
      <c r="H258" s="555"/>
      <c r="I258" s="555"/>
      <c r="J258" s="555">
        <v>3</v>
      </c>
      <c r="K258" s="555"/>
      <c r="L258" s="555">
        <f t="shared" si="70"/>
        <v>1245</v>
      </c>
      <c r="M258" s="555">
        <f t="shared" si="69"/>
        <v>1245</v>
      </c>
      <c r="N258" s="557">
        <f t="shared" si="71"/>
        <v>0</v>
      </c>
      <c r="O258" s="559"/>
      <c r="P258" s="559"/>
      <c r="Q258" s="555" t="s">
        <v>1256</v>
      </c>
      <c r="R258" s="555" t="s">
        <v>909</v>
      </c>
      <c r="S258" s="555" t="s">
        <v>512</v>
      </c>
      <c r="T258" s="555"/>
    </row>
    <row r="259" spans="1:20" s="556" customFormat="1" ht="21.75" customHeight="1">
      <c r="A259" s="555">
        <v>256</v>
      </c>
      <c r="B259" s="555" t="s">
        <v>899</v>
      </c>
      <c r="C259" s="555" t="s">
        <v>513</v>
      </c>
      <c r="D259" s="555">
        <v>1957</v>
      </c>
      <c r="E259" s="557" t="s">
        <v>465</v>
      </c>
      <c r="F259" s="557" t="s">
        <v>71</v>
      </c>
      <c r="G259" s="555"/>
      <c r="H259" s="555">
        <v>4</v>
      </c>
      <c r="I259" s="555"/>
      <c r="J259" s="555"/>
      <c r="K259" s="555"/>
      <c r="L259" s="555">
        <f>H259*415</f>
        <v>1660</v>
      </c>
      <c r="M259" s="555">
        <f t="shared" si="69"/>
        <v>1660</v>
      </c>
      <c r="N259" s="557">
        <f t="shared" si="71"/>
        <v>0</v>
      </c>
      <c r="O259" s="559"/>
      <c r="P259" s="559"/>
      <c r="Q259" s="555" t="s">
        <v>453</v>
      </c>
      <c r="R259" s="555" t="s">
        <v>895</v>
      </c>
      <c r="S259" s="555" t="s">
        <v>512</v>
      </c>
      <c r="T259" s="555"/>
    </row>
    <row r="260" spans="1:20" s="556" customFormat="1" ht="21.75" customHeight="1">
      <c r="A260" s="555">
        <v>257</v>
      </c>
      <c r="B260" s="555" t="s">
        <v>899</v>
      </c>
      <c r="C260" s="555" t="s">
        <v>513</v>
      </c>
      <c r="D260" s="555">
        <v>1959</v>
      </c>
      <c r="E260" s="557" t="s">
        <v>465</v>
      </c>
      <c r="F260" s="557" t="s">
        <v>71</v>
      </c>
      <c r="G260" s="555"/>
      <c r="H260" s="555">
        <v>4.5</v>
      </c>
      <c r="I260" s="555"/>
      <c r="J260" s="555"/>
      <c r="K260" s="555"/>
      <c r="L260" s="555">
        <f>H260*415</f>
        <v>1867.5</v>
      </c>
      <c r="M260" s="555">
        <f t="shared" si="69"/>
        <v>1867.5</v>
      </c>
      <c r="N260" s="557">
        <f t="shared" si="71"/>
        <v>0</v>
      </c>
      <c r="O260" s="559"/>
      <c r="P260" s="559"/>
      <c r="Q260" s="555" t="s">
        <v>453</v>
      </c>
      <c r="R260" s="555" t="s">
        <v>895</v>
      </c>
      <c r="S260" s="555" t="s">
        <v>512</v>
      </c>
      <c r="T260" s="555"/>
    </row>
    <row r="261" spans="1:20" s="556" customFormat="1" ht="21.75" customHeight="1">
      <c r="A261" s="555">
        <v>258</v>
      </c>
      <c r="B261" s="555" t="s">
        <v>900</v>
      </c>
      <c r="C261" s="555" t="s">
        <v>533</v>
      </c>
      <c r="D261" s="555">
        <v>1990</v>
      </c>
      <c r="E261" s="557" t="s">
        <v>477</v>
      </c>
      <c r="F261" s="557" t="s">
        <v>71</v>
      </c>
      <c r="G261" s="555"/>
      <c r="H261" s="555"/>
      <c r="I261" s="555"/>
      <c r="J261" s="555">
        <v>3</v>
      </c>
      <c r="K261" s="555"/>
      <c r="L261" s="555">
        <f t="shared" ref="L261" si="72">J261*415</f>
        <v>1245</v>
      </c>
      <c r="M261" s="555">
        <f t="shared" si="69"/>
        <v>1245</v>
      </c>
      <c r="N261" s="557">
        <f t="shared" si="71"/>
        <v>0</v>
      </c>
      <c r="O261" s="559"/>
      <c r="P261" s="559"/>
      <c r="Q261" s="555" t="s">
        <v>1256</v>
      </c>
      <c r="R261" s="555" t="s">
        <v>909</v>
      </c>
      <c r="S261" s="555" t="s">
        <v>512</v>
      </c>
      <c r="T261" s="555"/>
    </row>
    <row r="262" spans="1:20" s="556" customFormat="1" ht="21.75" customHeight="1">
      <c r="A262" s="555">
        <v>259</v>
      </c>
      <c r="B262" s="555" t="s">
        <v>900</v>
      </c>
      <c r="C262" s="555" t="s">
        <v>514</v>
      </c>
      <c r="D262" s="555">
        <v>1993</v>
      </c>
      <c r="E262" s="557" t="s">
        <v>465</v>
      </c>
      <c r="F262" s="557" t="s">
        <v>71</v>
      </c>
      <c r="G262" s="555"/>
      <c r="H262" s="555">
        <v>4</v>
      </c>
      <c r="I262" s="555"/>
      <c r="J262" s="555"/>
      <c r="K262" s="555"/>
      <c r="L262" s="555">
        <f>H262*415</f>
        <v>1660</v>
      </c>
      <c r="M262" s="555">
        <f t="shared" si="69"/>
        <v>1660</v>
      </c>
      <c r="N262" s="557">
        <f t="shared" si="71"/>
        <v>0</v>
      </c>
      <c r="O262" s="559"/>
      <c r="P262" s="559"/>
      <c r="Q262" s="555" t="s">
        <v>453</v>
      </c>
      <c r="R262" s="555" t="s">
        <v>895</v>
      </c>
      <c r="S262" s="555" t="s">
        <v>512</v>
      </c>
      <c r="T262" s="555"/>
    </row>
    <row r="263" spans="1:20" s="556" customFormat="1" ht="21.75" customHeight="1">
      <c r="A263" s="555">
        <v>260</v>
      </c>
      <c r="B263" s="555" t="s">
        <v>900</v>
      </c>
      <c r="C263" s="555" t="s">
        <v>533</v>
      </c>
      <c r="D263" s="555">
        <v>1994</v>
      </c>
      <c r="E263" s="557" t="s">
        <v>465</v>
      </c>
      <c r="F263" s="557" t="s">
        <v>71</v>
      </c>
      <c r="G263" s="555"/>
      <c r="H263" s="555">
        <v>3.5</v>
      </c>
      <c r="I263" s="555"/>
      <c r="J263" s="555"/>
      <c r="K263" s="555"/>
      <c r="L263" s="555">
        <f>H263*415</f>
        <v>1452.5</v>
      </c>
      <c r="M263" s="555">
        <f t="shared" si="69"/>
        <v>1452.5</v>
      </c>
      <c r="N263" s="557">
        <f t="shared" si="71"/>
        <v>0</v>
      </c>
      <c r="O263" s="559"/>
      <c r="P263" s="559"/>
      <c r="Q263" s="555" t="s">
        <v>453</v>
      </c>
      <c r="R263" s="555" t="s">
        <v>895</v>
      </c>
      <c r="S263" s="555" t="s">
        <v>512</v>
      </c>
      <c r="T263" s="555"/>
    </row>
    <row r="264" spans="1:20" s="556" customFormat="1" ht="21.75" customHeight="1">
      <c r="A264" s="555">
        <v>261</v>
      </c>
      <c r="B264" s="555" t="s">
        <v>901</v>
      </c>
      <c r="C264" s="555" t="s">
        <v>533</v>
      </c>
      <c r="D264" s="555">
        <v>2037</v>
      </c>
      <c r="E264" s="557" t="s">
        <v>477</v>
      </c>
      <c r="F264" s="557" t="s">
        <v>71</v>
      </c>
      <c r="G264" s="555"/>
      <c r="H264" s="555"/>
      <c r="I264" s="555"/>
      <c r="J264" s="555">
        <v>3</v>
      </c>
      <c r="K264" s="555"/>
      <c r="L264" s="555">
        <f t="shared" ref="L264" si="73">J264*415</f>
        <v>1245</v>
      </c>
      <c r="M264" s="555">
        <f t="shared" si="69"/>
        <v>1245</v>
      </c>
      <c r="N264" s="557">
        <f t="shared" si="71"/>
        <v>0</v>
      </c>
      <c r="O264" s="559"/>
      <c r="P264" s="559"/>
      <c r="Q264" s="555" t="s">
        <v>1256</v>
      </c>
      <c r="R264" s="555" t="s">
        <v>909</v>
      </c>
      <c r="S264" s="555" t="s">
        <v>512</v>
      </c>
      <c r="T264" s="555"/>
    </row>
    <row r="265" spans="1:20" s="556" customFormat="1" ht="21.75" customHeight="1">
      <c r="A265" s="555">
        <v>262</v>
      </c>
      <c r="B265" s="555" t="s">
        <v>902</v>
      </c>
      <c r="C265" s="555" t="s">
        <v>527</v>
      </c>
      <c r="D265" s="555">
        <v>2071</v>
      </c>
      <c r="E265" s="557" t="s">
        <v>465</v>
      </c>
      <c r="F265" s="557" t="s">
        <v>71</v>
      </c>
      <c r="G265" s="555"/>
      <c r="H265" s="555">
        <v>4</v>
      </c>
      <c r="I265" s="555"/>
      <c r="J265" s="555"/>
      <c r="K265" s="555"/>
      <c r="L265" s="555">
        <f>H265*415</f>
        <v>1660</v>
      </c>
      <c r="M265" s="555">
        <f t="shared" si="69"/>
        <v>1660</v>
      </c>
      <c r="N265" s="557">
        <f t="shared" si="71"/>
        <v>0</v>
      </c>
      <c r="O265" s="559"/>
      <c r="P265" s="559"/>
      <c r="Q265" s="555" t="s">
        <v>453</v>
      </c>
      <c r="R265" s="555" t="s">
        <v>895</v>
      </c>
      <c r="S265" s="555" t="s">
        <v>512</v>
      </c>
      <c r="T265" s="555"/>
    </row>
    <row r="266" spans="1:20" s="556" customFormat="1" ht="21.75" customHeight="1">
      <c r="A266" s="555">
        <v>263</v>
      </c>
      <c r="B266" s="555" t="s">
        <v>902</v>
      </c>
      <c r="C266" s="555" t="s">
        <v>533</v>
      </c>
      <c r="D266" s="555">
        <v>2072</v>
      </c>
      <c r="E266" s="557" t="s">
        <v>477</v>
      </c>
      <c r="F266" s="557" t="s">
        <v>71</v>
      </c>
      <c r="G266" s="555"/>
      <c r="H266" s="555"/>
      <c r="I266" s="555"/>
      <c r="J266" s="555">
        <v>2</v>
      </c>
      <c r="K266" s="555"/>
      <c r="L266" s="555">
        <f t="shared" ref="L266" si="74">J266*415</f>
        <v>830</v>
      </c>
      <c r="M266" s="555">
        <f t="shared" si="69"/>
        <v>830</v>
      </c>
      <c r="N266" s="557">
        <f t="shared" si="71"/>
        <v>0</v>
      </c>
      <c r="O266" s="559"/>
      <c r="P266" s="559"/>
      <c r="Q266" s="555" t="s">
        <v>1256</v>
      </c>
      <c r="R266" s="555" t="s">
        <v>909</v>
      </c>
      <c r="S266" s="555" t="s">
        <v>512</v>
      </c>
      <c r="T266" s="555"/>
    </row>
    <row r="267" spans="1:20" s="556" customFormat="1" ht="21.75" customHeight="1">
      <c r="A267" s="555">
        <v>264</v>
      </c>
      <c r="B267" s="555" t="s">
        <v>902</v>
      </c>
      <c r="C267" s="555" t="s">
        <v>529</v>
      </c>
      <c r="D267" s="555">
        <v>2073</v>
      </c>
      <c r="E267" s="557" t="s">
        <v>465</v>
      </c>
      <c r="F267" s="557" t="s">
        <v>71</v>
      </c>
      <c r="G267" s="555"/>
      <c r="H267" s="555">
        <v>3</v>
      </c>
      <c r="I267" s="555"/>
      <c r="J267" s="555"/>
      <c r="K267" s="555"/>
      <c r="L267" s="555">
        <f>H267*415</f>
        <v>1245</v>
      </c>
      <c r="M267" s="555">
        <f t="shared" si="69"/>
        <v>1245</v>
      </c>
      <c r="N267" s="557">
        <f t="shared" si="71"/>
        <v>0</v>
      </c>
      <c r="O267" s="559"/>
      <c r="P267" s="559"/>
      <c r="Q267" s="555" t="s">
        <v>453</v>
      </c>
      <c r="R267" s="555" t="s">
        <v>895</v>
      </c>
      <c r="S267" s="555" t="s">
        <v>512</v>
      </c>
      <c r="T267" s="555"/>
    </row>
    <row r="268" spans="1:20" s="556" customFormat="1" ht="21.75" customHeight="1">
      <c r="A268" s="555">
        <v>265</v>
      </c>
      <c r="B268" s="555" t="s">
        <v>903</v>
      </c>
      <c r="C268" s="555" t="s">
        <v>514</v>
      </c>
      <c r="D268" s="555">
        <v>2087</v>
      </c>
      <c r="E268" s="557" t="s">
        <v>465</v>
      </c>
      <c r="F268" s="557" t="s">
        <v>71</v>
      </c>
      <c r="G268" s="555"/>
      <c r="H268" s="555">
        <v>2</v>
      </c>
      <c r="I268" s="555"/>
      <c r="J268" s="555"/>
      <c r="K268" s="555"/>
      <c r="L268" s="555">
        <f>H268*415</f>
        <v>830</v>
      </c>
      <c r="M268" s="555">
        <f t="shared" si="69"/>
        <v>830</v>
      </c>
      <c r="N268" s="557">
        <f t="shared" si="71"/>
        <v>0</v>
      </c>
      <c r="O268" s="559"/>
      <c r="P268" s="559"/>
      <c r="Q268" s="555" t="s">
        <v>453</v>
      </c>
      <c r="R268" s="555" t="s">
        <v>895</v>
      </c>
      <c r="S268" s="555" t="s">
        <v>512</v>
      </c>
      <c r="T268" s="555"/>
    </row>
    <row r="269" spans="1:20" s="556" customFormat="1" ht="21.75" customHeight="1">
      <c r="A269" s="555">
        <v>266</v>
      </c>
      <c r="B269" s="555" t="s">
        <v>904</v>
      </c>
      <c r="C269" s="555" t="s">
        <v>530</v>
      </c>
      <c r="D269" s="555">
        <v>2316</v>
      </c>
      <c r="E269" s="557" t="s">
        <v>477</v>
      </c>
      <c r="F269" s="557" t="s">
        <v>71</v>
      </c>
      <c r="G269" s="555"/>
      <c r="H269" s="555"/>
      <c r="I269" s="555"/>
      <c r="J269" s="555">
        <v>3</v>
      </c>
      <c r="K269" s="555"/>
      <c r="L269" s="555">
        <f t="shared" ref="L269" si="75">J269*415</f>
        <v>1245</v>
      </c>
      <c r="M269" s="555">
        <f t="shared" si="69"/>
        <v>1245</v>
      </c>
      <c r="N269" s="557">
        <f t="shared" si="71"/>
        <v>0</v>
      </c>
      <c r="O269" s="559"/>
      <c r="P269" s="559"/>
      <c r="Q269" s="555" t="s">
        <v>1256</v>
      </c>
      <c r="R269" s="555" t="s">
        <v>909</v>
      </c>
      <c r="S269" s="555" t="s">
        <v>512</v>
      </c>
      <c r="T269" s="555"/>
    </row>
    <row r="270" spans="1:20" s="556" customFormat="1" ht="21.75" customHeight="1">
      <c r="A270" s="555">
        <v>267</v>
      </c>
      <c r="B270" s="555" t="s">
        <v>905</v>
      </c>
      <c r="C270" s="555" t="s">
        <v>528</v>
      </c>
      <c r="D270" s="555">
        <v>2332</v>
      </c>
      <c r="E270" s="557" t="s">
        <v>465</v>
      </c>
      <c r="F270" s="557" t="s">
        <v>71</v>
      </c>
      <c r="G270" s="555"/>
      <c r="H270" s="555">
        <v>4</v>
      </c>
      <c r="I270" s="555"/>
      <c r="J270" s="555"/>
      <c r="K270" s="555"/>
      <c r="L270" s="555">
        <f>H270*415</f>
        <v>1660</v>
      </c>
      <c r="M270" s="555">
        <f t="shared" si="69"/>
        <v>1660</v>
      </c>
      <c r="N270" s="557">
        <f t="shared" si="71"/>
        <v>0</v>
      </c>
      <c r="O270" s="559"/>
      <c r="P270" s="559"/>
      <c r="Q270" s="555" t="s">
        <v>453</v>
      </c>
      <c r="R270" s="555" t="s">
        <v>895</v>
      </c>
      <c r="S270" s="555" t="s">
        <v>512</v>
      </c>
      <c r="T270" s="555"/>
    </row>
    <row r="271" spans="1:20" s="556" customFormat="1" ht="21.75" customHeight="1">
      <c r="A271" s="555">
        <v>268</v>
      </c>
      <c r="B271" s="555" t="s">
        <v>905</v>
      </c>
      <c r="C271" s="555" t="s">
        <v>529</v>
      </c>
      <c r="D271" s="555">
        <v>2338</v>
      </c>
      <c r="E271" s="557" t="s">
        <v>465</v>
      </c>
      <c r="F271" s="557" t="s">
        <v>71</v>
      </c>
      <c r="G271" s="555"/>
      <c r="H271" s="555">
        <v>3.5</v>
      </c>
      <c r="I271" s="555"/>
      <c r="J271" s="555"/>
      <c r="K271" s="555"/>
      <c r="L271" s="555">
        <f>H271*415</f>
        <v>1452.5</v>
      </c>
      <c r="M271" s="555">
        <f t="shared" si="69"/>
        <v>1452.5</v>
      </c>
      <c r="N271" s="557">
        <f t="shared" si="71"/>
        <v>0</v>
      </c>
      <c r="O271" s="559"/>
      <c r="P271" s="559"/>
      <c r="Q271" s="555" t="s">
        <v>453</v>
      </c>
      <c r="R271" s="555" t="s">
        <v>895</v>
      </c>
      <c r="S271" s="555" t="s">
        <v>512</v>
      </c>
      <c r="T271" s="555"/>
    </row>
    <row r="272" spans="1:20" s="556" customFormat="1" ht="21.75" customHeight="1">
      <c r="A272" s="555">
        <v>269</v>
      </c>
      <c r="B272" s="555" t="s">
        <v>906</v>
      </c>
      <c r="C272" s="555" t="s">
        <v>530</v>
      </c>
      <c r="D272" s="555">
        <v>2535</v>
      </c>
      <c r="E272" s="557" t="s">
        <v>738</v>
      </c>
      <c r="F272" s="557" t="s">
        <v>71</v>
      </c>
      <c r="G272" s="555"/>
      <c r="H272" s="555"/>
      <c r="I272" s="555"/>
      <c r="J272" s="555"/>
      <c r="K272" s="555">
        <v>2.5</v>
      </c>
      <c r="L272" s="555">
        <f>K272*415</f>
        <v>1037.5</v>
      </c>
      <c r="M272" s="555">
        <f t="shared" si="69"/>
        <v>1037.5</v>
      </c>
      <c r="N272" s="557">
        <f t="shared" si="71"/>
        <v>0</v>
      </c>
      <c r="O272" s="559"/>
      <c r="P272" s="559"/>
      <c r="Q272" s="555" t="s">
        <v>453</v>
      </c>
      <c r="R272" s="555" t="s">
        <v>910</v>
      </c>
      <c r="S272" s="555" t="s">
        <v>512</v>
      </c>
      <c r="T272" s="555"/>
    </row>
    <row r="273" spans="1:20" s="556" customFormat="1" ht="21.75" customHeight="1">
      <c r="A273" s="555">
        <v>270</v>
      </c>
      <c r="B273" s="555" t="s">
        <v>907</v>
      </c>
      <c r="C273" s="555" t="s">
        <v>514</v>
      </c>
      <c r="D273" s="626">
        <v>2615</v>
      </c>
      <c r="E273" s="557" t="s">
        <v>465</v>
      </c>
      <c r="F273" s="557" t="s">
        <v>71</v>
      </c>
      <c r="G273" s="626"/>
      <c r="H273" s="626">
        <v>4</v>
      </c>
      <c r="I273" s="626"/>
      <c r="J273" s="626"/>
      <c r="K273" s="626"/>
      <c r="L273" s="555">
        <f>H273*415</f>
        <v>1660</v>
      </c>
      <c r="M273" s="555">
        <f t="shared" si="69"/>
        <v>1660</v>
      </c>
      <c r="N273" s="557">
        <f t="shared" si="71"/>
        <v>0</v>
      </c>
      <c r="O273" s="559"/>
      <c r="P273" s="559"/>
      <c r="Q273" s="555" t="s">
        <v>453</v>
      </c>
      <c r="R273" s="555" t="s">
        <v>895</v>
      </c>
      <c r="S273" s="555" t="s">
        <v>512</v>
      </c>
      <c r="T273" s="555"/>
    </row>
    <row r="274" spans="1:20" s="556" customFormat="1" ht="21.75" customHeight="1">
      <c r="A274" s="555">
        <v>271</v>
      </c>
      <c r="B274" s="555" t="s">
        <v>907</v>
      </c>
      <c r="C274" s="555" t="s">
        <v>528</v>
      </c>
      <c r="D274" s="626">
        <v>2604</v>
      </c>
      <c r="E274" s="557" t="s">
        <v>738</v>
      </c>
      <c r="F274" s="557" t="s">
        <v>71</v>
      </c>
      <c r="G274" s="626"/>
      <c r="H274" s="626"/>
      <c r="I274" s="626"/>
      <c r="J274" s="626"/>
      <c r="K274" s="626">
        <v>3.5</v>
      </c>
      <c r="L274" s="555">
        <f>K274*415</f>
        <v>1452.5</v>
      </c>
      <c r="M274" s="555">
        <f t="shared" si="69"/>
        <v>1452.5</v>
      </c>
      <c r="N274" s="557">
        <f t="shared" si="71"/>
        <v>0</v>
      </c>
      <c r="O274" s="559"/>
      <c r="P274" s="559"/>
      <c r="Q274" s="555" t="s">
        <v>453</v>
      </c>
      <c r="R274" s="555" t="s">
        <v>910</v>
      </c>
      <c r="S274" s="555" t="s">
        <v>512</v>
      </c>
      <c r="T274" s="555"/>
    </row>
    <row r="275" spans="1:20" s="556" customFormat="1" ht="21.75" customHeight="1">
      <c r="A275" s="555">
        <v>272</v>
      </c>
      <c r="B275" s="555" t="s">
        <v>908</v>
      </c>
      <c r="C275" s="555" t="s">
        <v>529</v>
      </c>
      <c r="D275" s="626">
        <v>2633</v>
      </c>
      <c r="E275" s="557" t="s">
        <v>738</v>
      </c>
      <c r="F275" s="557" t="s">
        <v>71</v>
      </c>
      <c r="G275" s="626"/>
      <c r="H275" s="626"/>
      <c r="I275" s="626"/>
      <c r="J275" s="626"/>
      <c r="K275" s="626">
        <v>4.5</v>
      </c>
      <c r="L275" s="555">
        <f>K275*415</f>
        <v>1867.5</v>
      </c>
      <c r="M275" s="555">
        <f t="shared" si="69"/>
        <v>1867.5</v>
      </c>
      <c r="N275" s="557">
        <f t="shared" si="71"/>
        <v>0</v>
      </c>
      <c r="O275" s="559"/>
      <c r="P275" s="559"/>
      <c r="Q275" s="555" t="s">
        <v>453</v>
      </c>
      <c r="R275" s="555" t="s">
        <v>910</v>
      </c>
      <c r="S275" s="555" t="s">
        <v>512</v>
      </c>
      <c r="T275" s="555"/>
    </row>
    <row r="276" spans="1:20" s="556" customFormat="1" ht="21.75" customHeight="1">
      <c r="A276" s="555">
        <v>273</v>
      </c>
      <c r="B276" s="555" t="s">
        <v>911</v>
      </c>
      <c r="C276" s="555" t="s">
        <v>513</v>
      </c>
      <c r="D276" s="555">
        <v>2643</v>
      </c>
      <c r="E276" s="557" t="s">
        <v>465</v>
      </c>
      <c r="F276" s="557" t="s">
        <v>71</v>
      </c>
      <c r="G276" s="555"/>
      <c r="H276" s="555">
        <v>3</v>
      </c>
      <c r="I276" s="555"/>
      <c r="J276" s="558"/>
      <c r="K276" s="558"/>
      <c r="L276" s="555">
        <f>H276*415</f>
        <v>1245</v>
      </c>
      <c r="M276" s="555">
        <f t="shared" si="69"/>
        <v>1245</v>
      </c>
      <c r="N276" s="557">
        <f t="shared" si="71"/>
        <v>0</v>
      </c>
      <c r="O276" s="559"/>
      <c r="P276" s="559"/>
      <c r="Q276" s="555" t="s">
        <v>453</v>
      </c>
      <c r="R276" s="555" t="s">
        <v>895</v>
      </c>
      <c r="S276" s="555" t="s">
        <v>512</v>
      </c>
      <c r="T276" s="555"/>
    </row>
    <row r="277" spans="1:20" s="556" customFormat="1" ht="21.75" customHeight="1">
      <c r="A277" s="555">
        <v>274</v>
      </c>
      <c r="B277" s="555" t="s">
        <v>911</v>
      </c>
      <c r="C277" s="555" t="s">
        <v>514</v>
      </c>
      <c r="D277" s="555">
        <v>2661</v>
      </c>
      <c r="E277" s="557" t="s">
        <v>738</v>
      </c>
      <c r="F277" s="557" t="s">
        <v>71</v>
      </c>
      <c r="G277" s="555"/>
      <c r="H277" s="555"/>
      <c r="I277" s="555"/>
      <c r="J277" s="558"/>
      <c r="K277" s="550">
        <v>3.5</v>
      </c>
      <c r="L277" s="555">
        <f>K277*415</f>
        <v>1452.5</v>
      </c>
      <c r="M277" s="555">
        <f t="shared" si="69"/>
        <v>1452.5</v>
      </c>
      <c r="N277" s="557">
        <f t="shared" si="71"/>
        <v>0</v>
      </c>
      <c r="O277" s="559"/>
      <c r="P277" s="559"/>
      <c r="Q277" s="555" t="s">
        <v>453</v>
      </c>
      <c r="R277" s="555" t="s">
        <v>910</v>
      </c>
      <c r="S277" s="555" t="s">
        <v>512</v>
      </c>
      <c r="T277" s="555"/>
    </row>
    <row r="278" spans="1:20" s="556" customFormat="1" ht="21.75" customHeight="1">
      <c r="A278" s="555">
        <v>275</v>
      </c>
      <c r="B278" s="555" t="s">
        <v>912</v>
      </c>
      <c r="C278" s="555" t="s">
        <v>514</v>
      </c>
      <c r="D278" s="555">
        <v>2694</v>
      </c>
      <c r="E278" s="557" t="s">
        <v>738</v>
      </c>
      <c r="F278" s="557" t="s">
        <v>71</v>
      </c>
      <c r="G278" s="555"/>
      <c r="H278" s="555"/>
      <c r="I278" s="555"/>
      <c r="J278" s="558"/>
      <c r="K278" s="550">
        <v>3.5</v>
      </c>
      <c r="L278" s="555">
        <f t="shared" ref="L278:L290" si="76">K278*415</f>
        <v>1452.5</v>
      </c>
      <c r="M278" s="555">
        <f t="shared" si="69"/>
        <v>1452.5</v>
      </c>
      <c r="N278" s="557">
        <f t="shared" si="71"/>
        <v>0</v>
      </c>
      <c r="O278" s="559"/>
      <c r="P278" s="559"/>
      <c r="Q278" s="555" t="s">
        <v>453</v>
      </c>
      <c r="R278" s="555" t="s">
        <v>910</v>
      </c>
      <c r="S278" s="555" t="s">
        <v>512</v>
      </c>
      <c r="T278" s="555"/>
    </row>
    <row r="279" spans="1:20" s="556" customFormat="1" ht="21.75" customHeight="1">
      <c r="A279" s="555">
        <v>276</v>
      </c>
      <c r="B279" s="555" t="s">
        <v>913</v>
      </c>
      <c r="C279" s="555" t="s">
        <v>513</v>
      </c>
      <c r="D279" s="555">
        <v>2831</v>
      </c>
      <c r="E279" s="557" t="s">
        <v>738</v>
      </c>
      <c r="F279" s="557" t="s">
        <v>71</v>
      </c>
      <c r="G279" s="555"/>
      <c r="H279" s="555"/>
      <c r="I279" s="555"/>
      <c r="J279" s="558"/>
      <c r="K279" s="550">
        <v>3</v>
      </c>
      <c r="L279" s="555">
        <f t="shared" si="76"/>
        <v>1245</v>
      </c>
      <c r="M279" s="555">
        <f t="shared" si="69"/>
        <v>1245</v>
      </c>
      <c r="N279" s="557">
        <f t="shared" si="71"/>
        <v>0</v>
      </c>
      <c r="O279" s="559"/>
      <c r="P279" s="559"/>
      <c r="Q279" s="555" t="s">
        <v>453</v>
      </c>
      <c r="R279" s="555" t="s">
        <v>910</v>
      </c>
      <c r="S279" s="555" t="s">
        <v>512</v>
      </c>
      <c r="T279" s="555"/>
    </row>
    <row r="280" spans="1:20" s="556" customFormat="1" ht="21.75" customHeight="1">
      <c r="A280" s="555">
        <v>277</v>
      </c>
      <c r="B280" s="555" t="s">
        <v>914</v>
      </c>
      <c r="C280" s="555" t="s">
        <v>528</v>
      </c>
      <c r="D280" s="555">
        <v>2844</v>
      </c>
      <c r="E280" s="557" t="s">
        <v>738</v>
      </c>
      <c r="F280" s="557" t="s">
        <v>71</v>
      </c>
      <c r="G280" s="555"/>
      <c r="H280" s="555"/>
      <c r="I280" s="555"/>
      <c r="J280" s="558"/>
      <c r="K280" s="550">
        <v>3</v>
      </c>
      <c r="L280" s="555">
        <f t="shared" si="76"/>
        <v>1245</v>
      </c>
      <c r="M280" s="555">
        <f t="shared" si="69"/>
        <v>1245</v>
      </c>
      <c r="N280" s="557">
        <f t="shared" si="71"/>
        <v>0</v>
      </c>
      <c r="O280" s="559"/>
      <c r="P280" s="559"/>
      <c r="Q280" s="555" t="s">
        <v>453</v>
      </c>
      <c r="R280" s="555" t="s">
        <v>910</v>
      </c>
      <c r="S280" s="555" t="s">
        <v>512</v>
      </c>
      <c r="T280" s="555"/>
    </row>
    <row r="281" spans="1:20" s="556" customFormat="1" ht="21.75" customHeight="1">
      <c r="A281" s="555">
        <v>278</v>
      </c>
      <c r="B281" s="555" t="s">
        <v>914</v>
      </c>
      <c r="C281" s="555" t="s">
        <v>529</v>
      </c>
      <c r="D281" s="555">
        <v>2855</v>
      </c>
      <c r="E281" s="557" t="s">
        <v>738</v>
      </c>
      <c r="F281" s="557" t="s">
        <v>71</v>
      </c>
      <c r="G281" s="555"/>
      <c r="H281" s="555"/>
      <c r="I281" s="555"/>
      <c r="J281" s="558"/>
      <c r="K281" s="550">
        <v>4</v>
      </c>
      <c r="L281" s="555">
        <f t="shared" si="76"/>
        <v>1660</v>
      </c>
      <c r="M281" s="555">
        <f t="shared" si="69"/>
        <v>1660</v>
      </c>
      <c r="N281" s="557">
        <f t="shared" si="71"/>
        <v>0</v>
      </c>
      <c r="O281" s="559"/>
      <c r="P281" s="559"/>
      <c r="Q281" s="555" t="s">
        <v>453</v>
      </c>
      <c r="R281" s="555" t="s">
        <v>910</v>
      </c>
      <c r="S281" s="555" t="s">
        <v>512</v>
      </c>
      <c r="T281" s="555"/>
    </row>
    <row r="282" spans="1:20" s="556" customFormat="1" ht="21.75" customHeight="1">
      <c r="A282" s="555">
        <v>279</v>
      </c>
      <c r="B282" s="555" t="s">
        <v>915</v>
      </c>
      <c r="C282" s="555" t="s">
        <v>514</v>
      </c>
      <c r="D282" s="555">
        <v>2874</v>
      </c>
      <c r="E282" s="557" t="s">
        <v>738</v>
      </c>
      <c r="F282" s="557" t="s">
        <v>71</v>
      </c>
      <c r="G282" s="555"/>
      <c r="H282" s="555"/>
      <c r="I282" s="555"/>
      <c r="J282" s="558"/>
      <c r="K282" s="550">
        <v>3</v>
      </c>
      <c r="L282" s="555">
        <f t="shared" si="76"/>
        <v>1245</v>
      </c>
      <c r="M282" s="555">
        <f t="shared" si="69"/>
        <v>1245</v>
      </c>
      <c r="N282" s="557">
        <f t="shared" si="71"/>
        <v>0</v>
      </c>
      <c r="O282" s="559"/>
      <c r="P282" s="559"/>
      <c r="Q282" s="555" t="s">
        <v>453</v>
      </c>
      <c r="R282" s="555" t="s">
        <v>910</v>
      </c>
      <c r="S282" s="555" t="s">
        <v>512</v>
      </c>
      <c r="T282" s="555"/>
    </row>
    <row r="283" spans="1:20" s="556" customFormat="1" ht="21.75" customHeight="1">
      <c r="A283" s="555">
        <v>280</v>
      </c>
      <c r="B283" s="555" t="s">
        <v>916</v>
      </c>
      <c r="C283" s="555" t="s">
        <v>530</v>
      </c>
      <c r="D283" s="555">
        <v>2912</v>
      </c>
      <c r="E283" s="557" t="s">
        <v>738</v>
      </c>
      <c r="F283" s="557" t="s">
        <v>71</v>
      </c>
      <c r="G283" s="555"/>
      <c r="H283" s="555"/>
      <c r="I283" s="555"/>
      <c r="J283" s="558"/>
      <c r="K283" s="550">
        <v>3</v>
      </c>
      <c r="L283" s="555">
        <f t="shared" si="76"/>
        <v>1245</v>
      </c>
      <c r="M283" s="555">
        <f t="shared" si="69"/>
        <v>1245</v>
      </c>
      <c r="N283" s="557">
        <f t="shared" si="71"/>
        <v>0</v>
      </c>
      <c r="O283" s="559"/>
      <c r="P283" s="559"/>
      <c r="Q283" s="555" t="s">
        <v>453</v>
      </c>
      <c r="R283" s="555" t="s">
        <v>910</v>
      </c>
      <c r="S283" s="555" t="s">
        <v>512</v>
      </c>
      <c r="T283" s="555"/>
    </row>
    <row r="284" spans="1:20" s="556" customFormat="1" ht="21.75" customHeight="1">
      <c r="A284" s="555">
        <v>281</v>
      </c>
      <c r="B284" s="555" t="s">
        <v>916</v>
      </c>
      <c r="C284" s="555" t="s">
        <v>527</v>
      </c>
      <c r="D284" s="555">
        <v>2920</v>
      </c>
      <c r="E284" s="557" t="s">
        <v>738</v>
      </c>
      <c r="F284" s="557" t="s">
        <v>71</v>
      </c>
      <c r="G284" s="555"/>
      <c r="H284" s="555"/>
      <c r="I284" s="555"/>
      <c r="J284" s="558"/>
      <c r="K284" s="550">
        <v>4.5</v>
      </c>
      <c r="L284" s="555">
        <f t="shared" si="76"/>
        <v>1867.5</v>
      </c>
      <c r="M284" s="555">
        <f t="shared" si="69"/>
        <v>1867.5</v>
      </c>
      <c r="N284" s="557">
        <f t="shared" si="71"/>
        <v>0</v>
      </c>
      <c r="O284" s="559"/>
      <c r="P284" s="559"/>
      <c r="Q284" s="555" t="s">
        <v>453</v>
      </c>
      <c r="R284" s="555" t="s">
        <v>910</v>
      </c>
      <c r="S284" s="555" t="s">
        <v>512</v>
      </c>
      <c r="T284" s="555"/>
    </row>
    <row r="285" spans="1:20" s="556" customFormat="1" ht="21.75" customHeight="1">
      <c r="A285" s="555">
        <v>282</v>
      </c>
      <c r="B285" s="555" t="s">
        <v>917</v>
      </c>
      <c r="C285" s="555" t="s">
        <v>513</v>
      </c>
      <c r="D285" s="555">
        <v>2931</v>
      </c>
      <c r="E285" s="557" t="s">
        <v>738</v>
      </c>
      <c r="F285" s="557" t="s">
        <v>71</v>
      </c>
      <c r="G285" s="555"/>
      <c r="H285" s="555"/>
      <c r="I285" s="555"/>
      <c r="J285" s="558"/>
      <c r="K285" s="550">
        <v>3.5</v>
      </c>
      <c r="L285" s="555">
        <f t="shared" si="76"/>
        <v>1452.5</v>
      </c>
      <c r="M285" s="555">
        <f t="shared" si="69"/>
        <v>1452.5</v>
      </c>
      <c r="N285" s="557">
        <f t="shared" si="71"/>
        <v>0</v>
      </c>
      <c r="O285" s="559"/>
      <c r="P285" s="559"/>
      <c r="Q285" s="555" t="s">
        <v>453</v>
      </c>
      <c r="R285" s="555" t="s">
        <v>910</v>
      </c>
      <c r="S285" s="555" t="s">
        <v>512</v>
      </c>
      <c r="T285" s="555"/>
    </row>
    <row r="286" spans="1:20" s="556" customFormat="1" ht="21.75" customHeight="1">
      <c r="A286" s="555">
        <v>283</v>
      </c>
      <c r="B286" s="555" t="s">
        <v>917</v>
      </c>
      <c r="C286" s="555" t="s">
        <v>513</v>
      </c>
      <c r="D286" s="555">
        <v>2935</v>
      </c>
      <c r="E286" s="557" t="s">
        <v>738</v>
      </c>
      <c r="F286" s="557" t="s">
        <v>71</v>
      </c>
      <c r="G286" s="555"/>
      <c r="H286" s="555"/>
      <c r="I286" s="555"/>
      <c r="J286" s="558"/>
      <c r="K286" s="550">
        <v>3</v>
      </c>
      <c r="L286" s="555">
        <f t="shared" si="76"/>
        <v>1245</v>
      </c>
      <c r="M286" s="555">
        <f t="shared" si="69"/>
        <v>1245</v>
      </c>
      <c r="N286" s="557">
        <f t="shared" si="71"/>
        <v>0</v>
      </c>
      <c r="O286" s="559"/>
      <c r="P286" s="559"/>
      <c r="Q286" s="555" t="s">
        <v>453</v>
      </c>
      <c r="R286" s="555" t="s">
        <v>910</v>
      </c>
      <c r="S286" s="555" t="s">
        <v>512</v>
      </c>
      <c r="T286" s="555"/>
    </row>
    <row r="287" spans="1:20" s="556" customFormat="1" ht="21.75" customHeight="1">
      <c r="A287" s="555">
        <v>284</v>
      </c>
      <c r="B287" s="555" t="s">
        <v>918</v>
      </c>
      <c r="C287" s="555" t="s">
        <v>533</v>
      </c>
      <c r="D287" s="555">
        <v>2954</v>
      </c>
      <c r="E287" s="557" t="s">
        <v>738</v>
      </c>
      <c r="F287" s="557" t="s">
        <v>71</v>
      </c>
      <c r="G287" s="555"/>
      <c r="H287" s="555"/>
      <c r="I287" s="555"/>
      <c r="J287" s="558"/>
      <c r="K287" s="550">
        <v>3</v>
      </c>
      <c r="L287" s="555">
        <f t="shared" si="76"/>
        <v>1245</v>
      </c>
      <c r="M287" s="555">
        <f t="shared" si="69"/>
        <v>1245</v>
      </c>
      <c r="N287" s="557">
        <f t="shared" si="71"/>
        <v>0</v>
      </c>
      <c r="O287" s="559"/>
      <c r="P287" s="559"/>
      <c r="Q287" s="555" t="s">
        <v>453</v>
      </c>
      <c r="R287" s="555" t="s">
        <v>910</v>
      </c>
      <c r="S287" s="555" t="s">
        <v>512</v>
      </c>
      <c r="T287" s="555"/>
    </row>
    <row r="288" spans="1:20" s="556" customFormat="1" ht="21.75" customHeight="1">
      <c r="A288" s="555">
        <v>285</v>
      </c>
      <c r="B288" s="555" t="s">
        <v>919</v>
      </c>
      <c r="C288" s="555" t="s">
        <v>527</v>
      </c>
      <c r="D288" s="555">
        <v>2957</v>
      </c>
      <c r="E288" s="557" t="s">
        <v>738</v>
      </c>
      <c r="F288" s="557" t="s">
        <v>71</v>
      </c>
      <c r="G288" s="555"/>
      <c r="H288" s="555"/>
      <c r="I288" s="555"/>
      <c r="J288" s="558"/>
      <c r="K288" s="550">
        <v>3.5</v>
      </c>
      <c r="L288" s="555">
        <f t="shared" si="76"/>
        <v>1452.5</v>
      </c>
      <c r="M288" s="555">
        <f t="shared" si="69"/>
        <v>1452.5</v>
      </c>
      <c r="N288" s="557">
        <f t="shared" si="71"/>
        <v>0</v>
      </c>
      <c r="O288" s="559"/>
      <c r="P288" s="559"/>
      <c r="Q288" s="555" t="s">
        <v>453</v>
      </c>
      <c r="R288" s="555" t="s">
        <v>910</v>
      </c>
      <c r="S288" s="555" t="s">
        <v>512</v>
      </c>
      <c r="T288" s="555"/>
    </row>
    <row r="289" spans="1:20" s="556" customFormat="1" ht="21.75" customHeight="1">
      <c r="A289" s="555">
        <v>286</v>
      </c>
      <c r="B289" s="555" t="s">
        <v>919</v>
      </c>
      <c r="C289" s="555" t="s">
        <v>514</v>
      </c>
      <c r="D289" s="555">
        <v>2966</v>
      </c>
      <c r="E289" s="557" t="s">
        <v>738</v>
      </c>
      <c r="F289" s="557" t="s">
        <v>71</v>
      </c>
      <c r="G289" s="555"/>
      <c r="H289" s="555"/>
      <c r="I289" s="555"/>
      <c r="J289" s="558"/>
      <c r="K289" s="550">
        <v>2.5</v>
      </c>
      <c r="L289" s="555">
        <f t="shared" si="76"/>
        <v>1037.5</v>
      </c>
      <c r="M289" s="555">
        <f t="shared" si="69"/>
        <v>1037.5</v>
      </c>
      <c r="N289" s="557">
        <f t="shared" si="71"/>
        <v>0</v>
      </c>
      <c r="O289" s="559"/>
      <c r="P289" s="559"/>
      <c r="Q289" s="555" t="s">
        <v>453</v>
      </c>
      <c r="R289" s="555" t="s">
        <v>910</v>
      </c>
      <c r="S289" s="555" t="s">
        <v>512</v>
      </c>
      <c r="T289" s="555"/>
    </row>
    <row r="290" spans="1:20" s="556" customFormat="1" ht="21.75" customHeight="1">
      <c r="A290" s="555">
        <v>287</v>
      </c>
      <c r="B290" s="555" t="s">
        <v>920</v>
      </c>
      <c r="C290" s="555" t="s">
        <v>529</v>
      </c>
      <c r="D290" s="555">
        <v>2995</v>
      </c>
      <c r="E290" s="557" t="s">
        <v>738</v>
      </c>
      <c r="F290" s="557" t="s">
        <v>71</v>
      </c>
      <c r="G290" s="555"/>
      <c r="H290" s="555"/>
      <c r="I290" s="555"/>
      <c r="J290" s="558"/>
      <c r="K290" s="558">
        <v>2.5</v>
      </c>
      <c r="L290" s="555">
        <f t="shared" si="76"/>
        <v>1037.5</v>
      </c>
      <c r="M290" s="555">
        <f t="shared" si="69"/>
        <v>1037.5</v>
      </c>
      <c r="N290" s="557">
        <f t="shared" si="71"/>
        <v>0</v>
      </c>
      <c r="O290" s="559"/>
      <c r="P290" s="559"/>
      <c r="Q290" s="555" t="s">
        <v>453</v>
      </c>
      <c r="R290" s="555" t="s">
        <v>910</v>
      </c>
      <c r="S290" s="555" t="s">
        <v>512</v>
      </c>
      <c r="T290" s="555"/>
    </row>
    <row r="291" spans="1:20" s="556" customFormat="1" ht="21.75" customHeight="1">
      <c r="A291" s="555">
        <v>288</v>
      </c>
      <c r="B291" s="555" t="s">
        <v>921</v>
      </c>
      <c r="C291" s="555" t="s">
        <v>533</v>
      </c>
      <c r="D291" s="555">
        <v>3009</v>
      </c>
      <c r="E291" s="557" t="s">
        <v>465</v>
      </c>
      <c r="F291" s="557" t="s">
        <v>71</v>
      </c>
      <c r="G291" s="555"/>
      <c r="H291" s="555">
        <v>3.5</v>
      </c>
      <c r="I291" s="555"/>
      <c r="J291" s="558"/>
      <c r="K291" s="558"/>
      <c r="L291" s="555">
        <f t="shared" ref="L291:L292" si="77">H291*415</f>
        <v>1452.5</v>
      </c>
      <c r="M291" s="555">
        <f t="shared" si="69"/>
        <v>1452.5</v>
      </c>
      <c r="N291" s="557">
        <f t="shared" si="71"/>
        <v>0</v>
      </c>
      <c r="O291" s="559"/>
      <c r="P291" s="559"/>
      <c r="Q291" s="555" t="s">
        <v>453</v>
      </c>
      <c r="R291" s="555" t="s">
        <v>895</v>
      </c>
      <c r="S291" s="555" t="s">
        <v>512</v>
      </c>
      <c r="T291" s="555"/>
    </row>
    <row r="292" spans="1:20" s="556" customFormat="1" ht="21.75" customHeight="1">
      <c r="A292" s="555">
        <v>289</v>
      </c>
      <c r="B292" s="555" t="s">
        <v>921</v>
      </c>
      <c r="C292" s="555" t="s">
        <v>513</v>
      </c>
      <c r="D292" s="555">
        <v>3012</v>
      </c>
      <c r="E292" s="557" t="s">
        <v>465</v>
      </c>
      <c r="F292" s="557" t="s">
        <v>71</v>
      </c>
      <c r="G292" s="555"/>
      <c r="H292" s="555">
        <v>3</v>
      </c>
      <c r="I292" s="555"/>
      <c r="J292" s="558"/>
      <c r="K292" s="558"/>
      <c r="L292" s="555">
        <f t="shared" si="77"/>
        <v>1245</v>
      </c>
      <c r="M292" s="555">
        <f t="shared" si="69"/>
        <v>1245</v>
      </c>
      <c r="N292" s="557">
        <f t="shared" si="71"/>
        <v>0</v>
      </c>
      <c r="O292" s="559"/>
      <c r="P292" s="559"/>
      <c r="Q292" s="555" t="s">
        <v>453</v>
      </c>
      <c r="R292" s="555" t="s">
        <v>895</v>
      </c>
      <c r="S292" s="555" t="s">
        <v>512</v>
      </c>
      <c r="T292" s="555"/>
    </row>
    <row r="293" spans="1:20" s="556" customFormat="1" ht="21.75" customHeight="1">
      <c r="A293" s="555">
        <v>290</v>
      </c>
      <c r="B293" s="555" t="s">
        <v>1244</v>
      </c>
      <c r="C293" s="555" t="s">
        <v>528</v>
      </c>
      <c r="D293" s="555">
        <v>3183</v>
      </c>
      <c r="E293" s="557" t="s">
        <v>738</v>
      </c>
      <c r="F293" s="557" t="s">
        <v>71</v>
      </c>
      <c r="G293" s="555"/>
      <c r="H293" s="555"/>
      <c r="I293" s="555"/>
      <c r="J293" s="555"/>
      <c r="K293" s="558">
        <v>2</v>
      </c>
      <c r="L293" s="555">
        <f t="shared" ref="L293:L306" si="78">K293*415</f>
        <v>830</v>
      </c>
      <c r="M293" s="555"/>
      <c r="N293" s="557">
        <f t="shared" ref="N293:N309" si="79">M293-L293</f>
        <v>-830</v>
      </c>
      <c r="O293" s="555"/>
      <c r="P293" s="559"/>
      <c r="Q293" s="555" t="s">
        <v>453</v>
      </c>
      <c r="R293" s="555" t="s">
        <v>910</v>
      </c>
      <c r="S293" s="555" t="s">
        <v>512</v>
      </c>
      <c r="T293" s="555"/>
    </row>
    <row r="294" spans="1:20" s="556" customFormat="1" ht="21.75" customHeight="1">
      <c r="A294" s="555">
        <v>291</v>
      </c>
      <c r="B294" s="555" t="s">
        <v>1245</v>
      </c>
      <c r="C294" s="555" t="s">
        <v>514</v>
      </c>
      <c r="D294" s="555">
        <v>3197</v>
      </c>
      <c r="E294" s="557" t="s">
        <v>738</v>
      </c>
      <c r="F294" s="557" t="s">
        <v>71</v>
      </c>
      <c r="G294" s="555"/>
      <c r="H294" s="555"/>
      <c r="I294" s="555"/>
      <c r="J294" s="555"/>
      <c r="K294" s="558">
        <v>3</v>
      </c>
      <c r="L294" s="555">
        <f t="shared" si="78"/>
        <v>1245</v>
      </c>
      <c r="M294" s="555"/>
      <c r="N294" s="557">
        <f t="shared" si="79"/>
        <v>-1245</v>
      </c>
      <c r="O294" s="555"/>
      <c r="P294" s="559"/>
      <c r="Q294" s="555" t="s">
        <v>453</v>
      </c>
      <c r="R294" s="555" t="s">
        <v>910</v>
      </c>
      <c r="S294" s="555" t="s">
        <v>512</v>
      </c>
      <c r="T294" s="555"/>
    </row>
    <row r="295" spans="1:20" s="556" customFormat="1" ht="21.75" customHeight="1">
      <c r="A295" s="555">
        <v>292</v>
      </c>
      <c r="B295" s="555" t="s">
        <v>1246</v>
      </c>
      <c r="C295" s="555" t="s">
        <v>527</v>
      </c>
      <c r="D295" s="555">
        <v>3217</v>
      </c>
      <c r="E295" s="557" t="s">
        <v>738</v>
      </c>
      <c r="F295" s="557" t="s">
        <v>71</v>
      </c>
      <c r="G295" s="555"/>
      <c r="H295" s="555"/>
      <c r="I295" s="555"/>
      <c r="J295" s="555"/>
      <c r="K295" s="558">
        <v>3</v>
      </c>
      <c r="L295" s="555">
        <f t="shared" si="78"/>
        <v>1245</v>
      </c>
      <c r="M295" s="555"/>
      <c r="N295" s="557">
        <f t="shared" si="79"/>
        <v>-1245</v>
      </c>
      <c r="O295" s="555"/>
      <c r="P295" s="559"/>
      <c r="Q295" s="555" t="s">
        <v>453</v>
      </c>
      <c r="R295" s="555" t="s">
        <v>910</v>
      </c>
      <c r="S295" s="555" t="s">
        <v>512</v>
      </c>
      <c r="T295" s="555"/>
    </row>
    <row r="296" spans="1:20" s="556" customFormat="1" ht="21.75" customHeight="1">
      <c r="A296" s="555">
        <v>293</v>
      </c>
      <c r="B296" s="555" t="s">
        <v>1246</v>
      </c>
      <c r="C296" s="555" t="s">
        <v>527</v>
      </c>
      <c r="D296" s="555">
        <v>3220</v>
      </c>
      <c r="E296" s="557" t="s">
        <v>738</v>
      </c>
      <c r="F296" s="557" t="s">
        <v>71</v>
      </c>
      <c r="G296" s="555"/>
      <c r="H296" s="555"/>
      <c r="I296" s="555"/>
      <c r="J296" s="555"/>
      <c r="K296" s="558">
        <v>3.5</v>
      </c>
      <c r="L296" s="555">
        <f t="shared" si="78"/>
        <v>1452.5</v>
      </c>
      <c r="M296" s="555"/>
      <c r="N296" s="557">
        <f t="shared" si="79"/>
        <v>-1452.5</v>
      </c>
      <c r="O296" s="555"/>
      <c r="P296" s="559"/>
      <c r="Q296" s="555" t="s">
        <v>453</v>
      </c>
      <c r="R296" s="555" t="s">
        <v>910</v>
      </c>
      <c r="S296" s="555" t="s">
        <v>512</v>
      </c>
      <c r="T296" s="555"/>
    </row>
    <row r="297" spans="1:20" s="556" customFormat="1" ht="21.75" customHeight="1">
      <c r="A297" s="555">
        <v>294</v>
      </c>
      <c r="B297" s="555" t="s">
        <v>1247</v>
      </c>
      <c r="C297" s="555" t="s">
        <v>530</v>
      </c>
      <c r="D297" s="555">
        <v>3227</v>
      </c>
      <c r="E297" s="557" t="s">
        <v>738</v>
      </c>
      <c r="F297" s="557" t="s">
        <v>71</v>
      </c>
      <c r="G297" s="555"/>
      <c r="H297" s="555"/>
      <c r="I297" s="555"/>
      <c r="J297" s="555"/>
      <c r="K297" s="558">
        <v>3</v>
      </c>
      <c r="L297" s="555">
        <f t="shared" si="78"/>
        <v>1245</v>
      </c>
      <c r="M297" s="555"/>
      <c r="N297" s="557">
        <f t="shared" si="79"/>
        <v>-1245</v>
      </c>
      <c r="O297" s="555"/>
      <c r="P297" s="559"/>
      <c r="Q297" s="555" t="s">
        <v>453</v>
      </c>
      <c r="R297" s="555" t="s">
        <v>910</v>
      </c>
      <c r="S297" s="555" t="s">
        <v>512</v>
      </c>
      <c r="T297" s="555"/>
    </row>
    <row r="298" spans="1:20" s="556" customFormat="1" ht="21.75" customHeight="1">
      <c r="A298" s="555">
        <v>295</v>
      </c>
      <c r="B298" s="555" t="s">
        <v>1247</v>
      </c>
      <c r="C298" s="555" t="s">
        <v>529</v>
      </c>
      <c r="D298" s="555">
        <v>3231</v>
      </c>
      <c r="E298" s="557" t="s">
        <v>738</v>
      </c>
      <c r="F298" s="557" t="s">
        <v>71</v>
      </c>
      <c r="G298" s="555"/>
      <c r="H298" s="555"/>
      <c r="I298" s="555"/>
      <c r="J298" s="555"/>
      <c r="K298" s="558">
        <v>3</v>
      </c>
      <c r="L298" s="555">
        <f t="shared" si="78"/>
        <v>1245</v>
      </c>
      <c r="M298" s="555"/>
      <c r="N298" s="557">
        <f t="shared" si="79"/>
        <v>-1245</v>
      </c>
      <c r="O298" s="555"/>
      <c r="P298" s="559"/>
      <c r="Q298" s="555" t="s">
        <v>453</v>
      </c>
      <c r="R298" s="555" t="s">
        <v>910</v>
      </c>
      <c r="S298" s="555" t="s">
        <v>512</v>
      </c>
      <c r="T298" s="555"/>
    </row>
    <row r="299" spans="1:20" s="556" customFormat="1" ht="21.75" customHeight="1">
      <c r="A299" s="555">
        <v>296</v>
      </c>
      <c r="B299" s="555" t="s">
        <v>1248</v>
      </c>
      <c r="C299" s="555" t="s">
        <v>527</v>
      </c>
      <c r="D299" s="555">
        <v>3262</v>
      </c>
      <c r="E299" s="557" t="s">
        <v>738</v>
      </c>
      <c r="F299" s="557" t="s">
        <v>71</v>
      </c>
      <c r="G299" s="555"/>
      <c r="H299" s="555"/>
      <c r="I299" s="555"/>
      <c r="J299" s="555"/>
      <c r="K299" s="558">
        <v>3</v>
      </c>
      <c r="L299" s="555">
        <f t="shared" si="78"/>
        <v>1245</v>
      </c>
      <c r="M299" s="555"/>
      <c r="N299" s="557">
        <f t="shared" si="79"/>
        <v>-1245</v>
      </c>
      <c r="O299" s="555"/>
      <c r="P299" s="559"/>
      <c r="Q299" s="555" t="s">
        <v>453</v>
      </c>
      <c r="R299" s="555" t="s">
        <v>910</v>
      </c>
      <c r="S299" s="555" t="s">
        <v>512</v>
      </c>
      <c r="T299" s="555"/>
    </row>
    <row r="300" spans="1:20" s="556" customFormat="1" ht="21.75" customHeight="1">
      <c r="A300" s="555">
        <v>300</v>
      </c>
      <c r="B300" s="555" t="s">
        <v>1249</v>
      </c>
      <c r="C300" s="555" t="s">
        <v>529</v>
      </c>
      <c r="D300" s="555">
        <v>3292</v>
      </c>
      <c r="E300" s="557" t="s">
        <v>738</v>
      </c>
      <c r="F300" s="557" t="s">
        <v>71</v>
      </c>
      <c r="G300" s="555"/>
      <c r="H300" s="555"/>
      <c r="I300" s="555"/>
      <c r="J300" s="555"/>
      <c r="K300" s="558">
        <v>3</v>
      </c>
      <c r="L300" s="555">
        <f t="shared" si="78"/>
        <v>1245</v>
      </c>
      <c r="M300" s="555"/>
      <c r="N300" s="557">
        <f t="shared" si="79"/>
        <v>-1245</v>
      </c>
      <c r="O300" s="555"/>
      <c r="P300" s="559"/>
      <c r="Q300" s="555" t="s">
        <v>453</v>
      </c>
      <c r="R300" s="555" t="s">
        <v>910</v>
      </c>
      <c r="S300" s="555" t="s">
        <v>512</v>
      </c>
      <c r="T300" s="555"/>
    </row>
    <row r="301" spans="1:20" s="556" customFormat="1" ht="21.75" customHeight="1">
      <c r="A301" s="555">
        <v>301</v>
      </c>
      <c r="B301" s="555" t="s">
        <v>1249</v>
      </c>
      <c r="C301" s="555" t="s">
        <v>514</v>
      </c>
      <c r="D301" s="555">
        <v>3295</v>
      </c>
      <c r="E301" s="557" t="s">
        <v>738</v>
      </c>
      <c r="F301" s="557" t="s">
        <v>71</v>
      </c>
      <c r="G301" s="555"/>
      <c r="H301" s="555"/>
      <c r="I301" s="555"/>
      <c r="J301" s="555"/>
      <c r="K301" s="558">
        <v>2.5</v>
      </c>
      <c r="L301" s="555">
        <f t="shared" si="78"/>
        <v>1037.5</v>
      </c>
      <c r="M301" s="555"/>
      <c r="N301" s="557">
        <f t="shared" si="79"/>
        <v>-1037.5</v>
      </c>
      <c r="O301" s="555"/>
      <c r="P301" s="559"/>
      <c r="Q301" s="555" t="s">
        <v>453</v>
      </c>
      <c r="R301" s="555" t="s">
        <v>910</v>
      </c>
      <c r="S301" s="555" t="s">
        <v>512</v>
      </c>
      <c r="T301" s="555"/>
    </row>
    <row r="302" spans="1:20" s="556" customFormat="1" ht="21.75" customHeight="1">
      <c r="A302" s="555">
        <v>302</v>
      </c>
      <c r="B302" s="555" t="s">
        <v>1250</v>
      </c>
      <c r="C302" s="555" t="s">
        <v>530</v>
      </c>
      <c r="D302" s="555">
        <v>3312</v>
      </c>
      <c r="E302" s="557" t="s">
        <v>738</v>
      </c>
      <c r="F302" s="557" t="s">
        <v>71</v>
      </c>
      <c r="G302" s="555"/>
      <c r="H302" s="555"/>
      <c r="I302" s="555"/>
      <c r="J302" s="555"/>
      <c r="K302" s="558">
        <v>3</v>
      </c>
      <c r="L302" s="555">
        <f t="shared" si="78"/>
        <v>1245</v>
      </c>
      <c r="M302" s="555"/>
      <c r="N302" s="557">
        <f t="shared" si="79"/>
        <v>-1245</v>
      </c>
      <c r="O302" s="555"/>
      <c r="P302" s="559"/>
      <c r="Q302" s="555" t="s">
        <v>453</v>
      </c>
      <c r="R302" s="555" t="s">
        <v>910</v>
      </c>
      <c r="S302" s="555" t="s">
        <v>512</v>
      </c>
      <c r="T302" s="555"/>
    </row>
    <row r="303" spans="1:20" s="556" customFormat="1" ht="21.75" customHeight="1">
      <c r="A303" s="555">
        <v>303</v>
      </c>
      <c r="B303" s="555" t="s">
        <v>1251</v>
      </c>
      <c r="C303" s="555" t="s">
        <v>528</v>
      </c>
      <c r="D303" s="555">
        <v>3375</v>
      </c>
      <c r="E303" s="557" t="s">
        <v>738</v>
      </c>
      <c r="F303" s="557" t="s">
        <v>71</v>
      </c>
      <c r="G303" s="555"/>
      <c r="H303" s="555"/>
      <c r="I303" s="555"/>
      <c r="J303" s="555"/>
      <c r="K303" s="558">
        <v>3</v>
      </c>
      <c r="L303" s="555">
        <f t="shared" si="78"/>
        <v>1245</v>
      </c>
      <c r="M303" s="555"/>
      <c r="N303" s="557">
        <f t="shared" si="79"/>
        <v>-1245</v>
      </c>
      <c r="O303" s="555"/>
      <c r="P303" s="559"/>
      <c r="Q303" s="555" t="s">
        <v>453</v>
      </c>
      <c r="R303" s="555" t="s">
        <v>910</v>
      </c>
      <c r="S303" s="555" t="s">
        <v>512</v>
      </c>
      <c r="T303" s="555"/>
    </row>
    <row r="304" spans="1:20" s="556" customFormat="1" ht="21.75" customHeight="1">
      <c r="A304" s="555">
        <v>304</v>
      </c>
      <c r="B304" s="555" t="s">
        <v>1252</v>
      </c>
      <c r="C304" s="555" t="s">
        <v>513</v>
      </c>
      <c r="D304" s="555">
        <v>3405</v>
      </c>
      <c r="E304" s="557" t="s">
        <v>738</v>
      </c>
      <c r="F304" s="557" t="s">
        <v>71</v>
      </c>
      <c r="G304" s="555"/>
      <c r="H304" s="555"/>
      <c r="I304" s="555"/>
      <c r="J304" s="555"/>
      <c r="K304" s="558">
        <v>3.5</v>
      </c>
      <c r="L304" s="555">
        <f t="shared" si="78"/>
        <v>1452.5</v>
      </c>
      <c r="M304" s="555"/>
      <c r="N304" s="557">
        <f t="shared" si="79"/>
        <v>-1452.5</v>
      </c>
      <c r="O304" s="555"/>
      <c r="P304" s="559"/>
      <c r="Q304" s="555" t="s">
        <v>453</v>
      </c>
      <c r="R304" s="555" t="s">
        <v>910</v>
      </c>
      <c r="S304" s="555" t="s">
        <v>512</v>
      </c>
      <c r="T304" s="555"/>
    </row>
    <row r="305" spans="1:20" s="556" customFormat="1" ht="21.75" customHeight="1">
      <c r="A305" s="555">
        <v>305</v>
      </c>
      <c r="B305" s="555" t="s">
        <v>1252</v>
      </c>
      <c r="C305" s="555" t="s">
        <v>530</v>
      </c>
      <c r="D305" s="555">
        <v>3409</v>
      </c>
      <c r="E305" s="557" t="s">
        <v>738</v>
      </c>
      <c r="F305" s="557" t="s">
        <v>71</v>
      </c>
      <c r="G305" s="555"/>
      <c r="H305" s="555"/>
      <c r="I305" s="555"/>
      <c r="J305" s="555"/>
      <c r="K305" s="558">
        <v>4</v>
      </c>
      <c r="L305" s="555">
        <f t="shared" si="78"/>
        <v>1660</v>
      </c>
      <c r="M305" s="555"/>
      <c r="N305" s="557">
        <f t="shared" si="79"/>
        <v>-1660</v>
      </c>
      <c r="O305" s="555"/>
      <c r="P305" s="559"/>
      <c r="Q305" s="555" t="s">
        <v>453</v>
      </c>
      <c r="R305" s="555" t="s">
        <v>910</v>
      </c>
      <c r="S305" s="555" t="s">
        <v>512</v>
      </c>
      <c r="T305" s="555"/>
    </row>
    <row r="306" spans="1:20" s="556" customFormat="1" ht="21.75" customHeight="1">
      <c r="A306" s="555">
        <v>306</v>
      </c>
      <c r="B306" s="555" t="s">
        <v>1253</v>
      </c>
      <c r="C306" s="555" t="s">
        <v>533</v>
      </c>
      <c r="D306" s="555">
        <v>3420</v>
      </c>
      <c r="E306" s="557" t="s">
        <v>738</v>
      </c>
      <c r="F306" s="557" t="s">
        <v>71</v>
      </c>
      <c r="G306" s="555"/>
      <c r="H306" s="555"/>
      <c r="I306" s="555"/>
      <c r="J306" s="555"/>
      <c r="K306" s="558">
        <v>3.5</v>
      </c>
      <c r="L306" s="555">
        <f t="shared" si="78"/>
        <v>1452.5</v>
      </c>
      <c r="M306" s="555"/>
      <c r="N306" s="557">
        <f t="shared" si="79"/>
        <v>-1452.5</v>
      </c>
      <c r="O306" s="555"/>
      <c r="P306" s="559"/>
      <c r="Q306" s="555" t="s">
        <v>453</v>
      </c>
      <c r="R306" s="555" t="s">
        <v>910</v>
      </c>
      <c r="S306" s="555" t="s">
        <v>512</v>
      </c>
      <c r="T306" s="555"/>
    </row>
    <row r="307" spans="1:20" s="556" customFormat="1" ht="21.75" customHeight="1">
      <c r="A307" s="555">
        <v>309</v>
      </c>
      <c r="B307" s="555" t="s">
        <v>1254</v>
      </c>
      <c r="C307" s="555" t="s">
        <v>513</v>
      </c>
      <c r="D307" s="555">
        <v>3444</v>
      </c>
      <c r="E307" s="557" t="s">
        <v>738</v>
      </c>
      <c r="F307" s="557" t="s">
        <v>71</v>
      </c>
      <c r="G307" s="555"/>
      <c r="H307" s="555"/>
      <c r="I307" s="555"/>
      <c r="J307" s="555"/>
      <c r="K307" s="558">
        <v>3.5</v>
      </c>
      <c r="L307" s="555">
        <f t="shared" ref="L307:L312" si="80">K307*415</f>
        <v>1452.5</v>
      </c>
      <c r="M307" s="555"/>
      <c r="N307" s="557">
        <f t="shared" si="79"/>
        <v>-1452.5</v>
      </c>
      <c r="O307" s="555"/>
      <c r="P307" s="559"/>
      <c r="Q307" s="555" t="s">
        <v>453</v>
      </c>
      <c r="R307" s="555" t="s">
        <v>910</v>
      </c>
      <c r="S307" s="555" t="s">
        <v>512</v>
      </c>
      <c r="T307" s="555"/>
    </row>
    <row r="308" spans="1:20" s="556" customFormat="1" ht="21.75" customHeight="1">
      <c r="A308" s="555">
        <v>323</v>
      </c>
      <c r="B308" s="555" t="s">
        <v>1255</v>
      </c>
      <c r="C308" s="555" t="s">
        <v>530</v>
      </c>
      <c r="D308" s="555">
        <v>3453</v>
      </c>
      <c r="E308" s="557" t="s">
        <v>738</v>
      </c>
      <c r="F308" s="557" t="s">
        <v>71</v>
      </c>
      <c r="G308" s="555"/>
      <c r="H308" s="555"/>
      <c r="I308" s="555"/>
      <c r="J308" s="555"/>
      <c r="K308" s="558">
        <v>3</v>
      </c>
      <c r="L308" s="555">
        <f t="shared" si="80"/>
        <v>1245</v>
      </c>
      <c r="M308" s="555"/>
      <c r="N308" s="557">
        <f t="shared" si="79"/>
        <v>-1245</v>
      </c>
      <c r="O308" s="555"/>
      <c r="P308" s="559"/>
      <c r="Q308" s="555" t="s">
        <v>453</v>
      </c>
      <c r="R308" s="555" t="s">
        <v>910</v>
      </c>
      <c r="S308" s="555" t="s">
        <v>512</v>
      </c>
      <c r="T308" s="555"/>
    </row>
    <row r="309" spans="1:20" s="556" customFormat="1" ht="21.75" customHeight="1">
      <c r="A309" s="555">
        <v>324</v>
      </c>
      <c r="B309" s="555" t="s">
        <v>1255</v>
      </c>
      <c r="C309" s="555" t="s">
        <v>513</v>
      </c>
      <c r="D309" s="555">
        <v>3462</v>
      </c>
      <c r="E309" s="557" t="s">
        <v>738</v>
      </c>
      <c r="F309" s="557" t="s">
        <v>71</v>
      </c>
      <c r="G309" s="555"/>
      <c r="H309" s="555"/>
      <c r="I309" s="555"/>
      <c r="J309" s="555"/>
      <c r="K309" s="558">
        <v>3</v>
      </c>
      <c r="L309" s="555">
        <f t="shared" si="80"/>
        <v>1245</v>
      </c>
      <c r="M309" s="555"/>
      <c r="N309" s="557">
        <f t="shared" si="79"/>
        <v>-1245</v>
      </c>
      <c r="O309" s="555"/>
      <c r="P309" s="559"/>
      <c r="Q309" s="555" t="s">
        <v>453</v>
      </c>
      <c r="R309" s="555" t="s">
        <v>910</v>
      </c>
      <c r="S309" s="555" t="s">
        <v>512</v>
      </c>
      <c r="T309" s="555"/>
    </row>
    <row r="310" spans="1:20" s="556" customFormat="1" ht="21.75" customHeight="1">
      <c r="A310" s="555">
        <v>325</v>
      </c>
      <c r="B310" s="555" t="s">
        <v>1259</v>
      </c>
      <c r="C310" s="555" t="s">
        <v>513</v>
      </c>
      <c r="D310" s="555">
        <v>3478</v>
      </c>
      <c r="E310" s="557" t="s">
        <v>738</v>
      </c>
      <c r="F310" s="557" t="s">
        <v>71</v>
      </c>
      <c r="G310" s="555"/>
      <c r="H310" s="555"/>
      <c r="I310" s="555"/>
      <c r="J310" s="555"/>
      <c r="K310" s="558">
        <v>4</v>
      </c>
      <c r="L310" s="555">
        <f t="shared" si="80"/>
        <v>1660</v>
      </c>
      <c r="M310" s="555"/>
      <c r="N310" s="557">
        <f t="shared" ref="N310" si="81">M310-L310</f>
        <v>-1660</v>
      </c>
      <c r="O310" s="555"/>
      <c r="P310" s="559"/>
      <c r="Q310" s="555" t="s">
        <v>453</v>
      </c>
      <c r="R310" s="555" t="s">
        <v>910</v>
      </c>
      <c r="S310" s="555" t="s">
        <v>512</v>
      </c>
      <c r="T310" s="555"/>
    </row>
    <row r="311" spans="1:20" s="556" customFormat="1" ht="21.75" customHeight="1">
      <c r="A311" s="555">
        <v>326</v>
      </c>
      <c r="B311" s="555" t="s">
        <v>1260</v>
      </c>
      <c r="C311" s="555" t="s">
        <v>514</v>
      </c>
      <c r="D311" s="555">
        <v>3483</v>
      </c>
      <c r="E311" s="557" t="s">
        <v>738</v>
      </c>
      <c r="F311" s="557" t="s">
        <v>71</v>
      </c>
      <c r="G311" s="555"/>
      <c r="H311" s="555"/>
      <c r="I311" s="555"/>
      <c r="J311" s="555"/>
      <c r="K311" s="558">
        <v>3.5</v>
      </c>
      <c r="L311" s="555">
        <f t="shared" si="80"/>
        <v>1452.5</v>
      </c>
      <c r="M311" s="555"/>
      <c r="N311" s="557">
        <f t="shared" ref="N311" si="82">M311-L311</f>
        <v>-1452.5</v>
      </c>
      <c r="O311" s="555"/>
      <c r="P311" s="559"/>
      <c r="Q311" s="555" t="s">
        <v>453</v>
      </c>
      <c r="R311" s="555" t="s">
        <v>910</v>
      </c>
      <c r="S311" s="555" t="s">
        <v>512</v>
      </c>
      <c r="T311" s="555"/>
    </row>
    <row r="312" spans="1:20" s="556" customFormat="1" ht="21.75" customHeight="1">
      <c r="A312" s="555">
        <v>327</v>
      </c>
      <c r="B312" s="555" t="s">
        <v>1260</v>
      </c>
      <c r="C312" s="555" t="s">
        <v>513</v>
      </c>
      <c r="D312" s="555">
        <v>3488</v>
      </c>
      <c r="E312" s="557" t="s">
        <v>738</v>
      </c>
      <c r="F312" s="557" t="s">
        <v>71</v>
      </c>
      <c r="G312" s="555"/>
      <c r="H312" s="555"/>
      <c r="I312" s="555"/>
      <c r="J312" s="555"/>
      <c r="K312" s="558">
        <v>2</v>
      </c>
      <c r="L312" s="555">
        <f t="shared" si="80"/>
        <v>830</v>
      </c>
      <c r="M312" s="555"/>
      <c r="N312" s="557">
        <f t="shared" ref="N312:N342" si="83">M312-L312</f>
        <v>-830</v>
      </c>
      <c r="O312" s="555"/>
      <c r="P312" s="559"/>
      <c r="Q312" s="555" t="s">
        <v>453</v>
      </c>
      <c r="R312" s="555" t="s">
        <v>910</v>
      </c>
      <c r="S312" s="555" t="s">
        <v>512</v>
      </c>
      <c r="T312" s="555"/>
    </row>
    <row r="313" spans="1:20" s="556" customFormat="1" ht="21.75" customHeight="1">
      <c r="A313" s="555">
        <v>328</v>
      </c>
      <c r="B313" s="555" t="s">
        <v>1261</v>
      </c>
      <c r="C313" s="555" t="s">
        <v>540</v>
      </c>
      <c r="D313" s="555">
        <v>905351163</v>
      </c>
      <c r="E313" s="555" t="s">
        <v>738</v>
      </c>
      <c r="F313" s="557" t="s">
        <v>71</v>
      </c>
      <c r="G313" s="555"/>
      <c r="H313" s="555"/>
      <c r="I313" s="555"/>
      <c r="J313" s="555"/>
      <c r="K313" s="558">
        <v>4</v>
      </c>
      <c r="L313" s="555">
        <f t="shared" ref="L313:L315" si="84">K313*415</f>
        <v>1660</v>
      </c>
      <c r="M313" s="555"/>
      <c r="N313" s="557">
        <f t="shared" si="83"/>
        <v>-1660</v>
      </c>
      <c r="O313" s="555"/>
      <c r="P313" s="559"/>
      <c r="Q313" s="555" t="s">
        <v>1263</v>
      </c>
      <c r="R313" s="555" t="s">
        <v>1264</v>
      </c>
      <c r="S313" s="555" t="s">
        <v>535</v>
      </c>
      <c r="T313" s="555"/>
    </row>
    <row r="314" spans="1:20" s="556" customFormat="1" ht="21.75" customHeight="1">
      <c r="A314" s="555">
        <v>329</v>
      </c>
      <c r="B314" s="555" t="s">
        <v>1261</v>
      </c>
      <c r="C314" s="555" t="s">
        <v>539</v>
      </c>
      <c r="D314" s="555">
        <v>905351165</v>
      </c>
      <c r="E314" s="555" t="s">
        <v>738</v>
      </c>
      <c r="F314" s="557" t="s">
        <v>71</v>
      </c>
      <c r="G314" s="555"/>
      <c r="H314" s="555"/>
      <c r="I314" s="555"/>
      <c r="J314" s="555"/>
      <c r="K314" s="558">
        <v>4</v>
      </c>
      <c r="L314" s="555">
        <f t="shared" si="84"/>
        <v>1660</v>
      </c>
      <c r="M314" s="555"/>
      <c r="N314" s="557">
        <f t="shared" si="83"/>
        <v>-1660</v>
      </c>
      <c r="O314" s="555"/>
      <c r="P314" s="559"/>
      <c r="Q314" s="555" t="s">
        <v>1263</v>
      </c>
      <c r="R314" s="555" t="s">
        <v>1264</v>
      </c>
      <c r="S314" s="555" t="s">
        <v>535</v>
      </c>
      <c r="T314" s="555"/>
    </row>
    <row r="315" spans="1:20" s="556" customFormat="1" ht="21.75" customHeight="1">
      <c r="A315" s="555">
        <v>330</v>
      </c>
      <c r="B315" s="555" t="s">
        <v>1261</v>
      </c>
      <c r="C315" s="555" t="s">
        <v>538</v>
      </c>
      <c r="D315" s="555">
        <v>905351167</v>
      </c>
      <c r="E315" s="555" t="s">
        <v>738</v>
      </c>
      <c r="F315" s="557" t="s">
        <v>71</v>
      </c>
      <c r="G315" s="555"/>
      <c r="H315" s="555"/>
      <c r="I315" s="555"/>
      <c r="J315" s="555"/>
      <c r="K315" s="558">
        <v>4</v>
      </c>
      <c r="L315" s="555">
        <f t="shared" si="84"/>
        <v>1660</v>
      </c>
      <c r="M315" s="555"/>
      <c r="N315" s="557">
        <f t="shared" si="83"/>
        <v>-1660</v>
      </c>
      <c r="O315" s="555"/>
      <c r="P315" s="559"/>
      <c r="Q315" s="555" t="s">
        <v>1263</v>
      </c>
      <c r="R315" s="555" t="s">
        <v>1264</v>
      </c>
      <c r="S315" s="555" t="s">
        <v>535</v>
      </c>
      <c r="T315" s="555"/>
    </row>
    <row r="316" spans="1:20" s="556" customFormat="1" ht="21.75" customHeight="1">
      <c r="A316" s="555">
        <v>331</v>
      </c>
      <c r="B316" s="555" t="s">
        <v>1261</v>
      </c>
      <c r="C316" s="555" t="s">
        <v>540</v>
      </c>
      <c r="D316" s="555">
        <v>905351170</v>
      </c>
      <c r="E316" s="555" t="s">
        <v>465</v>
      </c>
      <c r="F316" s="557" t="s">
        <v>71</v>
      </c>
      <c r="G316" s="555"/>
      <c r="H316" s="558">
        <v>7</v>
      </c>
      <c r="I316" s="555"/>
      <c r="J316" s="555"/>
      <c r="K316" s="558"/>
      <c r="L316" s="555">
        <f>H316*365</f>
        <v>2555</v>
      </c>
      <c r="M316" s="555"/>
      <c r="N316" s="557">
        <f t="shared" si="83"/>
        <v>-2555</v>
      </c>
      <c r="O316" s="555"/>
      <c r="P316" s="559"/>
      <c r="Q316" s="555" t="s">
        <v>1263</v>
      </c>
      <c r="R316" s="555" t="s">
        <v>1264</v>
      </c>
      <c r="S316" s="555" t="s">
        <v>535</v>
      </c>
      <c r="T316" s="555"/>
    </row>
    <row r="317" spans="1:20" s="556" customFormat="1" ht="21.75" customHeight="1">
      <c r="A317" s="555">
        <v>332</v>
      </c>
      <c r="B317" s="555" t="s">
        <v>1261</v>
      </c>
      <c r="C317" s="555" t="s">
        <v>536</v>
      </c>
      <c r="D317" s="555">
        <v>905351171</v>
      </c>
      <c r="E317" s="555" t="s">
        <v>465</v>
      </c>
      <c r="F317" s="557" t="s">
        <v>71</v>
      </c>
      <c r="G317" s="555"/>
      <c r="H317" s="558">
        <v>7</v>
      </c>
      <c r="I317" s="555"/>
      <c r="J317" s="555"/>
      <c r="K317" s="558"/>
      <c r="L317" s="555">
        <f t="shared" ref="L317:L342" si="85">H317*365</f>
        <v>2555</v>
      </c>
      <c r="M317" s="555"/>
      <c r="N317" s="557">
        <f t="shared" si="83"/>
        <v>-2555</v>
      </c>
      <c r="O317" s="555"/>
      <c r="P317" s="559"/>
      <c r="Q317" s="555" t="s">
        <v>1263</v>
      </c>
      <c r="R317" s="555" t="s">
        <v>1264</v>
      </c>
      <c r="S317" s="555" t="s">
        <v>535</v>
      </c>
      <c r="T317" s="555"/>
    </row>
    <row r="318" spans="1:20" s="556" customFormat="1" ht="21.75" customHeight="1">
      <c r="A318" s="555">
        <v>333</v>
      </c>
      <c r="B318" s="555" t="s">
        <v>1261</v>
      </c>
      <c r="C318" s="555" t="s">
        <v>537</v>
      </c>
      <c r="D318" s="555">
        <v>905351172</v>
      </c>
      <c r="E318" s="555" t="s">
        <v>465</v>
      </c>
      <c r="F318" s="557" t="s">
        <v>71</v>
      </c>
      <c r="G318" s="555"/>
      <c r="H318" s="558">
        <v>7</v>
      </c>
      <c r="I318" s="555"/>
      <c r="J318" s="555"/>
      <c r="K318" s="558"/>
      <c r="L318" s="555">
        <f t="shared" si="85"/>
        <v>2555</v>
      </c>
      <c r="M318" s="555"/>
      <c r="N318" s="557">
        <f t="shared" si="83"/>
        <v>-2555</v>
      </c>
      <c r="O318" s="555"/>
      <c r="P318" s="559"/>
      <c r="Q318" s="555" t="s">
        <v>1263</v>
      </c>
      <c r="R318" s="555" t="s">
        <v>1264</v>
      </c>
      <c r="S318" s="555" t="s">
        <v>535</v>
      </c>
      <c r="T318" s="555"/>
    </row>
    <row r="319" spans="1:20" s="556" customFormat="1" ht="21.75" customHeight="1">
      <c r="A319" s="555">
        <v>334</v>
      </c>
      <c r="B319" s="555" t="s">
        <v>1261</v>
      </c>
      <c r="C319" s="555" t="s">
        <v>539</v>
      </c>
      <c r="D319" s="555">
        <v>905351173</v>
      </c>
      <c r="E319" s="555" t="s">
        <v>465</v>
      </c>
      <c r="F319" s="557" t="s">
        <v>71</v>
      </c>
      <c r="G319" s="555"/>
      <c r="H319" s="558">
        <v>7</v>
      </c>
      <c r="I319" s="555"/>
      <c r="J319" s="555"/>
      <c r="K319" s="558"/>
      <c r="L319" s="555">
        <f t="shared" si="85"/>
        <v>2555</v>
      </c>
      <c r="M319" s="555"/>
      <c r="N319" s="557">
        <f t="shared" si="83"/>
        <v>-2555</v>
      </c>
      <c r="O319" s="555"/>
      <c r="P319" s="559"/>
      <c r="Q319" s="555" t="s">
        <v>1263</v>
      </c>
      <c r="R319" s="555" t="s">
        <v>1264</v>
      </c>
      <c r="S319" s="555" t="s">
        <v>535</v>
      </c>
      <c r="T319" s="555"/>
    </row>
    <row r="320" spans="1:20" s="556" customFormat="1" ht="21.75" customHeight="1">
      <c r="A320" s="555">
        <v>335</v>
      </c>
      <c r="B320" s="555" t="s">
        <v>1261</v>
      </c>
      <c r="C320" s="555" t="s">
        <v>540</v>
      </c>
      <c r="D320" s="555">
        <v>905351174</v>
      </c>
      <c r="E320" s="555" t="s">
        <v>465</v>
      </c>
      <c r="F320" s="557" t="s">
        <v>71</v>
      </c>
      <c r="G320" s="555"/>
      <c r="H320" s="558">
        <v>7</v>
      </c>
      <c r="I320" s="555"/>
      <c r="J320" s="555"/>
      <c r="K320" s="558"/>
      <c r="L320" s="555">
        <f t="shared" si="85"/>
        <v>2555</v>
      </c>
      <c r="M320" s="555"/>
      <c r="N320" s="557">
        <f t="shared" si="83"/>
        <v>-2555</v>
      </c>
      <c r="O320" s="555"/>
      <c r="P320" s="559"/>
      <c r="Q320" s="555" t="s">
        <v>1263</v>
      </c>
      <c r="R320" s="555" t="s">
        <v>1264</v>
      </c>
      <c r="S320" s="555" t="s">
        <v>535</v>
      </c>
      <c r="T320" s="555"/>
    </row>
    <row r="321" spans="1:20" s="556" customFormat="1" ht="21.75" customHeight="1">
      <c r="A321" s="555">
        <v>336</v>
      </c>
      <c r="B321" s="555" t="s">
        <v>1262</v>
      </c>
      <c r="C321" s="555" t="s">
        <v>538</v>
      </c>
      <c r="D321" s="555">
        <v>905351175</v>
      </c>
      <c r="E321" s="555" t="s">
        <v>465</v>
      </c>
      <c r="F321" s="557" t="s">
        <v>71</v>
      </c>
      <c r="G321" s="555"/>
      <c r="H321" s="558">
        <v>7</v>
      </c>
      <c r="I321" s="555"/>
      <c r="J321" s="555"/>
      <c r="K321" s="558"/>
      <c r="L321" s="555">
        <f t="shared" si="85"/>
        <v>2555</v>
      </c>
      <c r="M321" s="555"/>
      <c r="N321" s="557">
        <f t="shared" si="83"/>
        <v>-2555</v>
      </c>
      <c r="O321" s="555"/>
      <c r="P321" s="559"/>
      <c r="Q321" s="555" t="s">
        <v>1263</v>
      </c>
      <c r="R321" s="555" t="s">
        <v>1264</v>
      </c>
      <c r="S321" s="555" t="s">
        <v>535</v>
      </c>
      <c r="T321" s="555"/>
    </row>
    <row r="322" spans="1:20" s="556" customFormat="1" ht="21.75" customHeight="1">
      <c r="A322" s="555">
        <v>337</v>
      </c>
      <c r="B322" s="555" t="s">
        <v>1262</v>
      </c>
      <c r="C322" s="555" t="s">
        <v>536</v>
      </c>
      <c r="D322" s="555">
        <v>905351176</v>
      </c>
      <c r="E322" s="555" t="s">
        <v>465</v>
      </c>
      <c r="F322" s="557" t="s">
        <v>71</v>
      </c>
      <c r="G322" s="555"/>
      <c r="H322" s="558">
        <v>7</v>
      </c>
      <c r="I322" s="555"/>
      <c r="J322" s="555"/>
      <c r="K322" s="558"/>
      <c r="L322" s="555">
        <f t="shared" si="85"/>
        <v>2555</v>
      </c>
      <c r="M322" s="555"/>
      <c r="N322" s="557">
        <f t="shared" si="83"/>
        <v>-2555</v>
      </c>
      <c r="O322" s="555"/>
      <c r="P322" s="559"/>
      <c r="Q322" s="555" t="s">
        <v>1263</v>
      </c>
      <c r="R322" s="555" t="s">
        <v>1264</v>
      </c>
      <c r="S322" s="555" t="s">
        <v>535</v>
      </c>
      <c r="T322" s="555"/>
    </row>
    <row r="323" spans="1:20" s="556" customFormat="1" ht="21.75" customHeight="1">
      <c r="A323" s="555">
        <v>338</v>
      </c>
      <c r="B323" s="555" t="s">
        <v>1262</v>
      </c>
      <c r="C323" s="555" t="s">
        <v>537</v>
      </c>
      <c r="D323" s="555">
        <v>905351177</v>
      </c>
      <c r="E323" s="555" t="s">
        <v>465</v>
      </c>
      <c r="F323" s="557" t="s">
        <v>71</v>
      </c>
      <c r="G323" s="555"/>
      <c r="H323" s="558">
        <v>7</v>
      </c>
      <c r="I323" s="555"/>
      <c r="J323" s="555"/>
      <c r="K323" s="558"/>
      <c r="L323" s="555">
        <f t="shared" si="85"/>
        <v>2555</v>
      </c>
      <c r="M323" s="555"/>
      <c r="N323" s="557">
        <f t="shared" si="83"/>
        <v>-2555</v>
      </c>
      <c r="O323" s="555"/>
      <c r="P323" s="559"/>
      <c r="Q323" s="555" t="s">
        <v>1263</v>
      </c>
      <c r="R323" s="555" t="s">
        <v>1264</v>
      </c>
      <c r="S323" s="555" t="s">
        <v>535</v>
      </c>
      <c r="T323" s="555"/>
    </row>
    <row r="324" spans="1:20" s="556" customFormat="1" ht="21.75" customHeight="1">
      <c r="A324" s="555">
        <v>339</v>
      </c>
      <c r="B324" s="555" t="s">
        <v>1262</v>
      </c>
      <c r="C324" s="555" t="s">
        <v>539</v>
      </c>
      <c r="D324" s="555">
        <v>905351178</v>
      </c>
      <c r="E324" s="555" t="s">
        <v>465</v>
      </c>
      <c r="F324" s="557" t="s">
        <v>71</v>
      </c>
      <c r="G324" s="555"/>
      <c r="H324" s="558">
        <v>7</v>
      </c>
      <c r="I324" s="555"/>
      <c r="J324" s="555"/>
      <c r="K324" s="558"/>
      <c r="L324" s="555">
        <f t="shared" si="85"/>
        <v>2555</v>
      </c>
      <c r="M324" s="555"/>
      <c r="N324" s="557">
        <f t="shared" si="83"/>
        <v>-2555</v>
      </c>
      <c r="O324" s="555"/>
      <c r="P324" s="559"/>
      <c r="Q324" s="555" t="s">
        <v>1263</v>
      </c>
      <c r="R324" s="555" t="s">
        <v>1264</v>
      </c>
      <c r="S324" s="555" t="s">
        <v>535</v>
      </c>
      <c r="T324" s="555"/>
    </row>
    <row r="325" spans="1:20" s="556" customFormat="1" ht="21.75" customHeight="1">
      <c r="A325" s="555">
        <v>340</v>
      </c>
      <c r="B325" s="555" t="s">
        <v>1262</v>
      </c>
      <c r="C325" s="555" t="s">
        <v>540</v>
      </c>
      <c r="D325" s="555">
        <v>905351179</v>
      </c>
      <c r="E325" s="555" t="s">
        <v>465</v>
      </c>
      <c r="F325" s="557" t="s">
        <v>71</v>
      </c>
      <c r="G325" s="555"/>
      <c r="H325" s="558">
        <v>7</v>
      </c>
      <c r="I325" s="555"/>
      <c r="J325" s="555"/>
      <c r="K325" s="558"/>
      <c r="L325" s="555">
        <f t="shared" si="85"/>
        <v>2555</v>
      </c>
      <c r="M325" s="555"/>
      <c r="N325" s="557">
        <f t="shared" si="83"/>
        <v>-2555</v>
      </c>
      <c r="O325" s="555"/>
      <c r="P325" s="559"/>
      <c r="Q325" s="555" t="s">
        <v>1263</v>
      </c>
      <c r="R325" s="555" t="s">
        <v>1264</v>
      </c>
      <c r="S325" s="555" t="s">
        <v>535</v>
      </c>
      <c r="T325" s="555"/>
    </row>
    <row r="326" spans="1:20" s="556" customFormat="1" ht="21.75" customHeight="1">
      <c r="A326" s="555">
        <v>341</v>
      </c>
      <c r="B326" s="555" t="s">
        <v>1262</v>
      </c>
      <c r="C326" s="555" t="s">
        <v>538</v>
      </c>
      <c r="D326" s="555">
        <v>905351180</v>
      </c>
      <c r="E326" s="555" t="s">
        <v>465</v>
      </c>
      <c r="F326" s="557" t="s">
        <v>71</v>
      </c>
      <c r="G326" s="555"/>
      <c r="H326" s="558">
        <v>7</v>
      </c>
      <c r="I326" s="555"/>
      <c r="J326" s="555"/>
      <c r="K326" s="558"/>
      <c r="L326" s="555">
        <f t="shared" si="85"/>
        <v>2555</v>
      </c>
      <c r="M326" s="555"/>
      <c r="N326" s="557">
        <f t="shared" si="83"/>
        <v>-2555</v>
      </c>
      <c r="O326" s="555"/>
      <c r="P326" s="559"/>
      <c r="Q326" s="555" t="s">
        <v>1263</v>
      </c>
      <c r="R326" s="555" t="s">
        <v>1264</v>
      </c>
      <c r="S326" s="555" t="s">
        <v>535</v>
      </c>
      <c r="T326" s="555"/>
    </row>
    <row r="327" spans="1:20" s="556" customFormat="1" ht="21.75" customHeight="1">
      <c r="A327" s="555">
        <v>342</v>
      </c>
      <c r="B327" s="555" t="s">
        <v>1262</v>
      </c>
      <c r="C327" s="555" t="s">
        <v>536</v>
      </c>
      <c r="D327" s="555">
        <v>905351181</v>
      </c>
      <c r="E327" s="555" t="s">
        <v>465</v>
      </c>
      <c r="F327" s="557" t="s">
        <v>71</v>
      </c>
      <c r="G327" s="555"/>
      <c r="H327" s="558">
        <v>7</v>
      </c>
      <c r="I327" s="555"/>
      <c r="J327" s="555"/>
      <c r="K327" s="558"/>
      <c r="L327" s="555">
        <f t="shared" si="85"/>
        <v>2555</v>
      </c>
      <c r="M327" s="555"/>
      <c r="N327" s="557">
        <f t="shared" si="83"/>
        <v>-2555</v>
      </c>
      <c r="O327" s="555"/>
      <c r="P327" s="559"/>
      <c r="Q327" s="555" t="s">
        <v>1263</v>
      </c>
      <c r="R327" s="555" t="s">
        <v>1264</v>
      </c>
      <c r="S327" s="555" t="s">
        <v>535</v>
      </c>
      <c r="T327" s="555"/>
    </row>
    <row r="328" spans="1:20" s="556" customFormat="1" ht="21.75" customHeight="1">
      <c r="A328" s="555">
        <v>343</v>
      </c>
      <c r="B328" s="555" t="s">
        <v>1262</v>
      </c>
      <c r="C328" s="555" t="s">
        <v>539</v>
      </c>
      <c r="D328" s="555">
        <v>905351182</v>
      </c>
      <c r="E328" s="555" t="s">
        <v>465</v>
      </c>
      <c r="F328" s="557" t="s">
        <v>71</v>
      </c>
      <c r="G328" s="555"/>
      <c r="H328" s="558">
        <v>7</v>
      </c>
      <c r="I328" s="555"/>
      <c r="J328" s="555"/>
      <c r="K328" s="558"/>
      <c r="L328" s="555">
        <f t="shared" si="85"/>
        <v>2555</v>
      </c>
      <c r="M328" s="555"/>
      <c r="N328" s="557">
        <f t="shared" si="83"/>
        <v>-2555</v>
      </c>
      <c r="O328" s="555"/>
      <c r="P328" s="559"/>
      <c r="Q328" s="555" t="s">
        <v>1263</v>
      </c>
      <c r="R328" s="555" t="s">
        <v>1264</v>
      </c>
      <c r="S328" s="555" t="s">
        <v>535</v>
      </c>
      <c r="T328" s="555"/>
    </row>
    <row r="329" spans="1:20" s="556" customFormat="1" ht="21.75" customHeight="1">
      <c r="A329" s="555">
        <v>344</v>
      </c>
      <c r="B329" s="555" t="s">
        <v>1262</v>
      </c>
      <c r="C329" s="555" t="s">
        <v>537</v>
      </c>
      <c r="D329" s="555">
        <v>905351183</v>
      </c>
      <c r="E329" s="555" t="s">
        <v>465</v>
      </c>
      <c r="F329" s="557" t="s">
        <v>71</v>
      </c>
      <c r="G329" s="555"/>
      <c r="H329" s="558">
        <v>7</v>
      </c>
      <c r="I329" s="555"/>
      <c r="J329" s="555"/>
      <c r="K329" s="558"/>
      <c r="L329" s="555">
        <f t="shared" si="85"/>
        <v>2555</v>
      </c>
      <c r="M329" s="555"/>
      <c r="N329" s="557">
        <f t="shared" si="83"/>
        <v>-2555</v>
      </c>
      <c r="O329" s="555"/>
      <c r="P329" s="559"/>
      <c r="Q329" s="555" t="s">
        <v>1263</v>
      </c>
      <c r="R329" s="555" t="s">
        <v>1264</v>
      </c>
      <c r="S329" s="555" t="s">
        <v>535</v>
      </c>
      <c r="T329" s="555"/>
    </row>
    <row r="330" spans="1:20" s="556" customFormat="1" ht="21.75" customHeight="1">
      <c r="A330" s="555">
        <v>345</v>
      </c>
      <c r="B330" s="555" t="s">
        <v>1262</v>
      </c>
      <c r="C330" s="555" t="s">
        <v>528</v>
      </c>
      <c r="D330" s="555">
        <v>3714</v>
      </c>
      <c r="E330" s="555" t="s">
        <v>465</v>
      </c>
      <c r="F330" s="557" t="s">
        <v>71</v>
      </c>
      <c r="G330" s="555"/>
      <c r="H330" s="558">
        <v>6</v>
      </c>
      <c r="I330" s="555"/>
      <c r="J330" s="555"/>
      <c r="K330" s="558"/>
      <c r="L330" s="555">
        <f t="shared" si="85"/>
        <v>2190</v>
      </c>
      <c r="M330" s="555"/>
      <c r="N330" s="557">
        <f t="shared" si="83"/>
        <v>-2190</v>
      </c>
      <c r="O330" s="555"/>
      <c r="P330" s="559"/>
      <c r="Q330" s="555" t="s">
        <v>1263</v>
      </c>
      <c r="R330" s="555" t="s">
        <v>1264</v>
      </c>
      <c r="S330" s="555" t="s">
        <v>512</v>
      </c>
      <c r="T330" s="555"/>
    </row>
    <row r="331" spans="1:20" s="556" customFormat="1" ht="21.75" customHeight="1">
      <c r="A331" s="555">
        <v>346</v>
      </c>
      <c r="B331" s="555" t="s">
        <v>1273</v>
      </c>
      <c r="C331" s="555" t="s">
        <v>514</v>
      </c>
      <c r="D331" s="555">
        <v>3858</v>
      </c>
      <c r="E331" s="557" t="s">
        <v>738</v>
      </c>
      <c r="F331" s="557" t="s">
        <v>71</v>
      </c>
      <c r="G331" s="555"/>
      <c r="H331" s="558"/>
      <c r="I331" s="555"/>
      <c r="J331" s="555"/>
      <c r="K331" s="558">
        <v>4</v>
      </c>
      <c r="L331" s="555">
        <f t="shared" ref="L331:L332" si="86">K331*415</f>
        <v>1660</v>
      </c>
      <c r="M331" s="555"/>
      <c r="N331" s="557">
        <f t="shared" si="83"/>
        <v>-1660</v>
      </c>
      <c r="O331" s="555"/>
      <c r="P331" s="559"/>
      <c r="Q331" s="555" t="s">
        <v>1263</v>
      </c>
      <c r="R331" s="555" t="s">
        <v>1264</v>
      </c>
      <c r="S331" s="555" t="s">
        <v>512</v>
      </c>
      <c r="T331" s="555"/>
    </row>
    <row r="332" spans="1:20" s="556" customFormat="1" ht="21.75" customHeight="1">
      <c r="A332" s="555">
        <v>347</v>
      </c>
      <c r="B332" s="555" t="s">
        <v>1273</v>
      </c>
      <c r="C332" s="555" t="s">
        <v>528</v>
      </c>
      <c r="D332" s="555">
        <v>3861</v>
      </c>
      <c r="E332" s="557" t="s">
        <v>738</v>
      </c>
      <c r="F332" s="557" t="s">
        <v>71</v>
      </c>
      <c r="G332" s="555"/>
      <c r="H332" s="558"/>
      <c r="I332" s="555"/>
      <c r="J332" s="555"/>
      <c r="K332" s="558">
        <v>4</v>
      </c>
      <c r="L332" s="555">
        <f t="shared" si="86"/>
        <v>1660</v>
      </c>
      <c r="M332" s="555"/>
      <c r="N332" s="557">
        <f t="shared" si="83"/>
        <v>-1660</v>
      </c>
      <c r="O332" s="555"/>
      <c r="P332" s="559"/>
      <c r="Q332" s="555" t="s">
        <v>1263</v>
      </c>
      <c r="R332" s="555" t="s">
        <v>1264</v>
      </c>
      <c r="S332" s="555" t="s">
        <v>512</v>
      </c>
      <c r="T332" s="555"/>
    </row>
    <row r="333" spans="1:20" s="556" customFormat="1" ht="21.75" customHeight="1">
      <c r="A333" s="555">
        <v>348</v>
      </c>
      <c r="B333" s="555" t="s">
        <v>1273</v>
      </c>
      <c r="C333" s="555" t="s">
        <v>513</v>
      </c>
      <c r="D333" s="555">
        <v>3863</v>
      </c>
      <c r="E333" s="555" t="s">
        <v>465</v>
      </c>
      <c r="F333" s="557" t="s">
        <v>71</v>
      </c>
      <c r="G333" s="555"/>
      <c r="H333" s="558">
        <v>7</v>
      </c>
      <c r="I333" s="555"/>
      <c r="J333" s="555"/>
      <c r="K333" s="558"/>
      <c r="L333" s="555">
        <f t="shared" si="85"/>
        <v>2555</v>
      </c>
      <c r="M333" s="555"/>
      <c r="N333" s="557">
        <f t="shared" si="83"/>
        <v>-2555</v>
      </c>
      <c r="O333" s="555"/>
      <c r="P333" s="559"/>
      <c r="Q333" s="555" t="s">
        <v>1263</v>
      </c>
      <c r="R333" s="555" t="s">
        <v>1264</v>
      </c>
      <c r="S333" s="555" t="s">
        <v>512</v>
      </c>
      <c r="T333" s="555"/>
    </row>
    <row r="334" spans="1:20" s="556" customFormat="1" ht="21.75" customHeight="1">
      <c r="A334" s="555">
        <v>349</v>
      </c>
      <c r="B334" s="555" t="s">
        <v>1273</v>
      </c>
      <c r="C334" s="555" t="s">
        <v>514</v>
      </c>
      <c r="D334" s="555">
        <v>3865</v>
      </c>
      <c r="E334" s="555" t="s">
        <v>465</v>
      </c>
      <c r="F334" s="557" t="s">
        <v>71</v>
      </c>
      <c r="G334" s="555"/>
      <c r="H334" s="558">
        <v>7</v>
      </c>
      <c r="I334" s="555"/>
      <c r="J334" s="555"/>
      <c r="K334" s="558"/>
      <c r="L334" s="555">
        <f t="shared" si="85"/>
        <v>2555</v>
      </c>
      <c r="M334" s="555"/>
      <c r="N334" s="557">
        <f t="shared" si="83"/>
        <v>-2555</v>
      </c>
      <c r="O334" s="555"/>
      <c r="P334" s="559"/>
      <c r="Q334" s="555" t="s">
        <v>1263</v>
      </c>
      <c r="R334" s="555" t="s">
        <v>1264</v>
      </c>
      <c r="S334" s="555" t="s">
        <v>512</v>
      </c>
      <c r="T334" s="555"/>
    </row>
    <row r="335" spans="1:20" s="556" customFormat="1" ht="21.75" customHeight="1">
      <c r="A335" s="555">
        <v>350</v>
      </c>
      <c r="B335" s="555" t="s">
        <v>1273</v>
      </c>
      <c r="C335" s="555" t="s">
        <v>529</v>
      </c>
      <c r="D335" s="555">
        <v>3866</v>
      </c>
      <c r="E335" s="557" t="s">
        <v>738</v>
      </c>
      <c r="F335" s="557" t="s">
        <v>71</v>
      </c>
      <c r="G335" s="555"/>
      <c r="H335" s="558"/>
      <c r="I335" s="555"/>
      <c r="J335" s="555"/>
      <c r="K335" s="558">
        <v>4</v>
      </c>
      <c r="L335" s="555">
        <f t="shared" ref="L335" si="87">K335*415</f>
        <v>1660</v>
      </c>
      <c r="M335" s="555"/>
      <c r="N335" s="557">
        <f t="shared" si="83"/>
        <v>-1660</v>
      </c>
      <c r="O335" s="555"/>
      <c r="P335" s="559"/>
      <c r="Q335" s="555" t="s">
        <v>1263</v>
      </c>
      <c r="R335" s="555" t="s">
        <v>1264</v>
      </c>
      <c r="S335" s="555" t="s">
        <v>512</v>
      </c>
      <c r="T335" s="555"/>
    </row>
    <row r="336" spans="1:20" s="556" customFormat="1" ht="21.75" customHeight="1">
      <c r="A336" s="555">
        <v>351</v>
      </c>
      <c r="B336" s="555" t="s">
        <v>1273</v>
      </c>
      <c r="C336" s="555" t="s">
        <v>528</v>
      </c>
      <c r="D336" s="555">
        <v>3868</v>
      </c>
      <c r="E336" s="555" t="s">
        <v>465</v>
      </c>
      <c r="F336" s="557" t="s">
        <v>71</v>
      </c>
      <c r="G336" s="555"/>
      <c r="H336" s="558">
        <v>7</v>
      </c>
      <c r="I336" s="555"/>
      <c r="J336" s="555"/>
      <c r="K336" s="558"/>
      <c r="L336" s="555">
        <f t="shared" si="85"/>
        <v>2555</v>
      </c>
      <c r="M336" s="555"/>
      <c r="N336" s="557">
        <f t="shared" si="83"/>
        <v>-2555</v>
      </c>
      <c r="O336" s="555"/>
      <c r="P336" s="559"/>
      <c r="Q336" s="555" t="s">
        <v>1263</v>
      </c>
      <c r="R336" s="555" t="s">
        <v>1264</v>
      </c>
      <c r="S336" s="555" t="s">
        <v>512</v>
      </c>
      <c r="T336" s="555"/>
    </row>
    <row r="337" spans="1:20" s="556" customFormat="1" ht="21.75" customHeight="1">
      <c r="A337" s="555">
        <v>352</v>
      </c>
      <c r="B337" s="555" t="s">
        <v>1273</v>
      </c>
      <c r="C337" s="555" t="s">
        <v>527</v>
      </c>
      <c r="D337" s="555">
        <v>3869</v>
      </c>
      <c r="E337" s="555" t="s">
        <v>465</v>
      </c>
      <c r="F337" s="557" t="s">
        <v>71</v>
      </c>
      <c r="G337" s="555"/>
      <c r="H337" s="558">
        <v>7</v>
      </c>
      <c r="I337" s="555"/>
      <c r="J337" s="555"/>
      <c r="K337" s="558"/>
      <c r="L337" s="555">
        <f t="shared" si="85"/>
        <v>2555</v>
      </c>
      <c r="M337" s="555"/>
      <c r="N337" s="557">
        <f t="shared" si="83"/>
        <v>-2555</v>
      </c>
      <c r="O337" s="555"/>
      <c r="P337" s="559"/>
      <c r="Q337" s="555" t="s">
        <v>1263</v>
      </c>
      <c r="R337" s="555" t="s">
        <v>1264</v>
      </c>
      <c r="S337" s="555" t="s">
        <v>512</v>
      </c>
      <c r="T337" s="555"/>
    </row>
    <row r="338" spans="1:20" s="556" customFormat="1" ht="21.75" customHeight="1">
      <c r="A338" s="555">
        <v>353</v>
      </c>
      <c r="B338" s="555" t="s">
        <v>1273</v>
      </c>
      <c r="C338" s="555" t="s">
        <v>513</v>
      </c>
      <c r="D338" s="555">
        <v>3870</v>
      </c>
      <c r="E338" s="555" t="s">
        <v>465</v>
      </c>
      <c r="F338" s="557" t="s">
        <v>71</v>
      </c>
      <c r="G338" s="555"/>
      <c r="H338" s="558">
        <v>7</v>
      </c>
      <c r="I338" s="555"/>
      <c r="J338" s="555"/>
      <c r="K338" s="558"/>
      <c r="L338" s="555">
        <f t="shared" si="85"/>
        <v>2555</v>
      </c>
      <c r="M338" s="555"/>
      <c r="N338" s="557">
        <f t="shared" si="83"/>
        <v>-2555</v>
      </c>
      <c r="O338" s="555"/>
      <c r="P338" s="559"/>
      <c r="Q338" s="555" t="s">
        <v>1263</v>
      </c>
      <c r="R338" s="555" t="s">
        <v>1264</v>
      </c>
      <c r="S338" s="555" t="s">
        <v>512</v>
      </c>
      <c r="T338" s="555"/>
    </row>
    <row r="339" spans="1:20" s="556" customFormat="1" ht="21.75" customHeight="1">
      <c r="A339" s="555">
        <v>354</v>
      </c>
      <c r="B339" s="555" t="s">
        <v>1274</v>
      </c>
      <c r="C339" s="555" t="s">
        <v>514</v>
      </c>
      <c r="D339" s="555">
        <v>3871</v>
      </c>
      <c r="E339" s="555" t="s">
        <v>465</v>
      </c>
      <c r="F339" s="557" t="s">
        <v>71</v>
      </c>
      <c r="G339" s="555"/>
      <c r="H339" s="558">
        <v>7</v>
      </c>
      <c r="I339" s="555"/>
      <c r="J339" s="555"/>
      <c r="K339" s="558"/>
      <c r="L339" s="555">
        <f t="shared" si="85"/>
        <v>2555</v>
      </c>
      <c r="M339" s="555"/>
      <c r="N339" s="557">
        <f t="shared" si="83"/>
        <v>-2555</v>
      </c>
      <c r="O339" s="555"/>
      <c r="P339" s="559"/>
      <c r="Q339" s="555" t="s">
        <v>1263</v>
      </c>
      <c r="R339" s="555" t="s">
        <v>1264</v>
      </c>
      <c r="S339" s="555" t="s">
        <v>512</v>
      </c>
      <c r="T339" s="555"/>
    </row>
    <row r="340" spans="1:20" s="556" customFormat="1" ht="21.75" customHeight="1">
      <c r="A340" s="555">
        <v>355</v>
      </c>
      <c r="B340" s="555" t="s">
        <v>1274</v>
      </c>
      <c r="C340" s="555" t="s">
        <v>530</v>
      </c>
      <c r="D340" s="555">
        <v>3872</v>
      </c>
      <c r="E340" s="555" t="s">
        <v>465</v>
      </c>
      <c r="F340" s="557" t="s">
        <v>71</v>
      </c>
      <c r="G340" s="555"/>
      <c r="H340" s="558">
        <v>7</v>
      </c>
      <c r="I340" s="555"/>
      <c r="J340" s="555"/>
      <c r="K340" s="558"/>
      <c r="L340" s="555">
        <f t="shared" si="85"/>
        <v>2555</v>
      </c>
      <c r="M340" s="555"/>
      <c r="N340" s="557">
        <f t="shared" si="83"/>
        <v>-2555</v>
      </c>
      <c r="O340" s="555"/>
      <c r="P340" s="559"/>
      <c r="Q340" s="555" t="s">
        <v>1263</v>
      </c>
      <c r="R340" s="555" t="s">
        <v>1264</v>
      </c>
      <c r="S340" s="555" t="s">
        <v>512</v>
      </c>
      <c r="T340" s="555"/>
    </row>
    <row r="341" spans="1:20" s="556" customFormat="1" ht="21.75" customHeight="1">
      <c r="A341" s="555">
        <v>356</v>
      </c>
      <c r="B341" s="555" t="s">
        <v>1274</v>
      </c>
      <c r="C341" s="555" t="s">
        <v>529</v>
      </c>
      <c r="D341" s="555">
        <v>3873</v>
      </c>
      <c r="E341" s="555" t="s">
        <v>465</v>
      </c>
      <c r="F341" s="557" t="s">
        <v>71</v>
      </c>
      <c r="G341" s="555"/>
      <c r="H341" s="558">
        <v>7</v>
      </c>
      <c r="I341" s="555"/>
      <c r="J341" s="555"/>
      <c r="K341" s="558"/>
      <c r="L341" s="555">
        <f t="shared" si="85"/>
        <v>2555</v>
      </c>
      <c r="M341" s="555"/>
      <c r="N341" s="557">
        <f t="shared" si="83"/>
        <v>-2555</v>
      </c>
      <c r="O341" s="555"/>
      <c r="P341" s="559"/>
      <c r="Q341" s="555" t="s">
        <v>1263</v>
      </c>
      <c r="R341" s="555" t="s">
        <v>1264</v>
      </c>
      <c r="S341" s="555" t="s">
        <v>512</v>
      </c>
      <c r="T341" s="555"/>
    </row>
    <row r="342" spans="1:20" s="556" customFormat="1" ht="21.75" customHeight="1">
      <c r="A342" s="555">
        <v>357</v>
      </c>
      <c r="B342" s="555" t="s">
        <v>1274</v>
      </c>
      <c r="C342" s="555" t="s">
        <v>528</v>
      </c>
      <c r="D342" s="555">
        <v>3874</v>
      </c>
      <c r="E342" s="555" t="s">
        <v>465</v>
      </c>
      <c r="F342" s="557" t="s">
        <v>71</v>
      </c>
      <c r="G342" s="555"/>
      <c r="H342" s="558">
        <v>7</v>
      </c>
      <c r="I342" s="555"/>
      <c r="J342" s="555"/>
      <c r="K342" s="558"/>
      <c r="L342" s="555">
        <f t="shared" si="85"/>
        <v>2555</v>
      </c>
      <c r="M342" s="555"/>
      <c r="N342" s="557">
        <f t="shared" si="83"/>
        <v>-2555</v>
      </c>
      <c r="O342" s="555"/>
      <c r="P342" s="559"/>
      <c r="Q342" s="555" t="s">
        <v>1263</v>
      </c>
      <c r="R342" s="555" t="s">
        <v>1264</v>
      </c>
      <c r="S342" s="555" t="s">
        <v>512</v>
      </c>
      <c r="T342" s="555"/>
    </row>
    <row r="343" spans="1:20" s="556" customFormat="1" ht="21.75" customHeight="1">
      <c r="A343" s="555">
        <v>357</v>
      </c>
      <c r="B343" s="555" t="s">
        <v>1274</v>
      </c>
      <c r="C343" s="555" t="s">
        <v>530</v>
      </c>
      <c r="D343" s="555">
        <v>3877</v>
      </c>
      <c r="E343" s="555" t="s">
        <v>738</v>
      </c>
      <c r="F343" s="557" t="s">
        <v>71</v>
      </c>
      <c r="G343" s="555"/>
      <c r="H343" s="558"/>
      <c r="I343" s="555"/>
      <c r="J343" s="555"/>
      <c r="K343" s="558">
        <v>3.5</v>
      </c>
      <c r="L343" s="555">
        <f>K343*365</f>
        <v>1277.5</v>
      </c>
      <c r="M343" s="555"/>
      <c r="N343" s="557">
        <f t="shared" ref="N343" si="88">M343-L343</f>
        <v>-1277.5</v>
      </c>
      <c r="O343" s="555"/>
      <c r="P343" s="559"/>
      <c r="Q343" s="555" t="s">
        <v>1305</v>
      </c>
      <c r="R343" s="555" t="s">
        <v>1303</v>
      </c>
      <c r="S343" s="555" t="s">
        <v>512</v>
      </c>
      <c r="T343" s="555"/>
    </row>
    <row r="344" spans="1:20" s="556" customFormat="1" ht="21.75" customHeight="1">
      <c r="A344" s="555">
        <v>357</v>
      </c>
      <c r="B344" s="555" t="s">
        <v>1274</v>
      </c>
      <c r="C344" s="555" t="s">
        <v>528</v>
      </c>
      <c r="D344" s="555">
        <v>3879</v>
      </c>
      <c r="E344" s="555" t="s">
        <v>738</v>
      </c>
      <c r="F344" s="557" t="s">
        <v>71</v>
      </c>
      <c r="G344" s="555"/>
      <c r="H344" s="558"/>
      <c r="I344" s="555"/>
      <c r="J344" s="555"/>
      <c r="K344" s="558">
        <v>2.5</v>
      </c>
      <c r="L344" s="555">
        <f>K344*365</f>
        <v>912.5</v>
      </c>
      <c r="M344" s="555"/>
      <c r="N344" s="557">
        <f t="shared" ref="N344" si="89">M344-L344</f>
        <v>-912.5</v>
      </c>
      <c r="O344" s="555"/>
      <c r="P344" s="559"/>
      <c r="Q344" s="555" t="s">
        <v>1305</v>
      </c>
      <c r="R344" s="555" t="s">
        <v>1303</v>
      </c>
      <c r="S344" s="555" t="s">
        <v>512</v>
      </c>
      <c r="T344" s="555"/>
    </row>
    <row r="345" spans="1:20" s="556" customFormat="1" ht="21.75" customHeight="1">
      <c r="A345" s="555">
        <v>357</v>
      </c>
      <c r="B345" s="555" t="s">
        <v>1304</v>
      </c>
      <c r="C345" s="555" t="s">
        <v>529</v>
      </c>
      <c r="D345" s="555">
        <v>3890</v>
      </c>
      <c r="E345" s="555" t="s">
        <v>738</v>
      </c>
      <c r="F345" s="557" t="s">
        <v>71</v>
      </c>
      <c r="G345" s="555"/>
      <c r="H345" s="558"/>
      <c r="I345" s="555"/>
      <c r="J345" s="555"/>
      <c r="K345" s="558">
        <v>3</v>
      </c>
      <c r="L345" s="555">
        <f>K345*365</f>
        <v>1095</v>
      </c>
      <c r="M345" s="555"/>
      <c r="N345" s="557">
        <f t="shared" ref="N345" si="90">M345-L345</f>
        <v>-1095</v>
      </c>
      <c r="O345" s="555"/>
      <c r="P345" s="559"/>
      <c r="Q345" s="555" t="s">
        <v>1305</v>
      </c>
      <c r="R345" s="555" t="s">
        <v>1303</v>
      </c>
      <c r="S345" s="555" t="s">
        <v>512</v>
      </c>
      <c r="T345" s="555"/>
    </row>
    <row r="346" spans="1:20" s="556" customFormat="1" ht="21.75" customHeight="1">
      <c r="A346" s="555">
        <v>357</v>
      </c>
      <c r="B346" s="555" t="s">
        <v>1304</v>
      </c>
      <c r="C346" s="555" t="s">
        <v>528</v>
      </c>
      <c r="D346" s="555">
        <v>3895</v>
      </c>
      <c r="E346" s="555" t="s">
        <v>738</v>
      </c>
      <c r="F346" s="557" t="s">
        <v>71</v>
      </c>
      <c r="G346" s="555"/>
      <c r="H346" s="558"/>
      <c r="I346" s="555"/>
      <c r="J346" s="555"/>
      <c r="K346" s="558">
        <v>3</v>
      </c>
      <c r="L346" s="555">
        <f>K346*365</f>
        <v>1095</v>
      </c>
      <c r="M346" s="555"/>
      <c r="N346" s="557">
        <f t="shared" ref="N346" si="91">M346-L346</f>
        <v>-1095</v>
      </c>
      <c r="O346" s="555"/>
      <c r="P346" s="559"/>
      <c r="Q346" s="555" t="s">
        <v>1305</v>
      </c>
      <c r="R346" s="555" t="s">
        <v>1303</v>
      </c>
      <c r="S346" s="555" t="s">
        <v>512</v>
      </c>
      <c r="T346" s="555"/>
    </row>
    <row r="347" spans="1:20" s="556" customFormat="1" ht="21.75" customHeight="1">
      <c r="A347" s="555">
        <v>357</v>
      </c>
      <c r="B347" s="555" t="s">
        <v>1306</v>
      </c>
      <c r="C347" s="555" t="s">
        <v>530</v>
      </c>
      <c r="D347" s="555">
        <v>3898</v>
      </c>
      <c r="E347" s="555" t="s">
        <v>738</v>
      </c>
      <c r="F347" s="557" t="s">
        <v>71</v>
      </c>
      <c r="G347" s="555"/>
      <c r="H347" s="558"/>
      <c r="I347" s="555"/>
      <c r="J347" s="555"/>
      <c r="K347" s="558">
        <v>2</v>
      </c>
      <c r="L347" s="555">
        <f>K347*365</f>
        <v>730</v>
      </c>
      <c r="M347" s="555"/>
      <c r="N347" s="557">
        <f t="shared" ref="N347" si="92">M347-L347</f>
        <v>-730</v>
      </c>
      <c r="O347" s="555"/>
      <c r="P347" s="559"/>
      <c r="Q347" s="555" t="s">
        <v>1305</v>
      </c>
      <c r="R347" s="555" t="s">
        <v>1303</v>
      </c>
      <c r="S347" s="555" t="s">
        <v>512</v>
      </c>
      <c r="T347" s="555"/>
    </row>
    <row r="348" spans="1:20" s="556" customFormat="1" ht="21.75" customHeight="1">
      <c r="A348" s="555">
        <v>357</v>
      </c>
      <c r="B348" s="555" t="s">
        <v>1306</v>
      </c>
      <c r="C348" s="555" t="s">
        <v>514</v>
      </c>
      <c r="D348" s="555">
        <v>3902</v>
      </c>
      <c r="E348" s="555" t="s">
        <v>738</v>
      </c>
      <c r="F348" s="557" t="s">
        <v>71</v>
      </c>
      <c r="G348" s="555"/>
      <c r="H348" s="558"/>
      <c r="I348" s="555"/>
      <c r="J348" s="555"/>
      <c r="K348" s="558">
        <v>3.5</v>
      </c>
      <c r="L348" s="555">
        <f>K348*365</f>
        <v>1277.5</v>
      </c>
      <c r="M348" s="555"/>
      <c r="N348" s="557">
        <f t="shared" ref="N348:N351" si="93">M348-L348</f>
        <v>-1277.5</v>
      </c>
      <c r="O348" s="555"/>
      <c r="P348" s="559"/>
      <c r="Q348" s="555" t="s">
        <v>1305</v>
      </c>
      <c r="R348" s="555" t="s">
        <v>1303</v>
      </c>
      <c r="S348" s="555" t="s">
        <v>512</v>
      </c>
      <c r="T348" s="555"/>
    </row>
    <row r="349" spans="1:20" s="556" customFormat="1" ht="21.75" customHeight="1">
      <c r="A349" s="555"/>
      <c r="B349" s="555" t="s">
        <v>1312</v>
      </c>
      <c r="C349" s="555" t="s">
        <v>1311</v>
      </c>
      <c r="D349" s="555">
        <v>905351269</v>
      </c>
      <c r="E349" s="555" t="s">
        <v>738</v>
      </c>
      <c r="F349" s="557" t="s">
        <v>71</v>
      </c>
      <c r="G349" s="555"/>
      <c r="H349" s="558"/>
      <c r="I349" s="555"/>
      <c r="J349" s="555"/>
      <c r="K349" s="558">
        <v>4</v>
      </c>
      <c r="L349" s="555">
        <f>K349*365</f>
        <v>1460</v>
      </c>
      <c r="M349" s="555"/>
      <c r="N349" s="557">
        <f t="shared" si="93"/>
        <v>-1460</v>
      </c>
      <c r="O349" s="555"/>
      <c r="P349" s="559"/>
      <c r="Q349" s="555" t="s">
        <v>1305</v>
      </c>
      <c r="R349" s="555" t="s">
        <v>1303</v>
      </c>
      <c r="S349" s="555" t="s">
        <v>535</v>
      </c>
      <c r="T349" s="555"/>
    </row>
    <row r="350" spans="1:20" s="556" customFormat="1" ht="21.75" customHeight="1">
      <c r="A350" s="555"/>
      <c r="B350" s="555" t="s">
        <v>1313</v>
      </c>
      <c r="C350" s="555" t="s">
        <v>1315</v>
      </c>
      <c r="D350" s="555">
        <v>905351276</v>
      </c>
      <c r="E350" s="555" t="s">
        <v>738</v>
      </c>
      <c r="F350" s="557" t="s">
        <v>71</v>
      </c>
      <c r="G350" s="555"/>
      <c r="H350" s="558"/>
      <c r="I350" s="555"/>
      <c r="J350" s="555"/>
      <c r="K350" s="558">
        <v>4</v>
      </c>
      <c r="L350" s="555">
        <f>K350*365</f>
        <v>1460</v>
      </c>
      <c r="M350" s="555"/>
      <c r="N350" s="557">
        <f t="shared" si="93"/>
        <v>-1460</v>
      </c>
      <c r="O350" s="555"/>
      <c r="P350" s="559"/>
      <c r="Q350" s="555" t="s">
        <v>1305</v>
      </c>
      <c r="R350" s="555" t="s">
        <v>1303</v>
      </c>
      <c r="S350" s="555" t="s">
        <v>535</v>
      </c>
      <c r="T350" s="555"/>
    </row>
    <row r="351" spans="1:20" s="556" customFormat="1" ht="21.75" customHeight="1">
      <c r="A351" s="555"/>
      <c r="B351" s="555" t="s">
        <v>1314</v>
      </c>
      <c r="C351" s="555" t="s">
        <v>1310</v>
      </c>
      <c r="D351" s="555">
        <v>905351299</v>
      </c>
      <c r="E351" s="555" t="s">
        <v>738</v>
      </c>
      <c r="F351" s="557" t="s">
        <v>71</v>
      </c>
      <c r="G351" s="555"/>
      <c r="H351" s="558"/>
      <c r="I351" s="555"/>
      <c r="J351" s="555"/>
      <c r="K351" s="558">
        <v>4.5</v>
      </c>
      <c r="L351" s="555">
        <f>K351*365</f>
        <v>1642.5</v>
      </c>
      <c r="M351" s="555"/>
      <c r="N351" s="557">
        <f t="shared" si="93"/>
        <v>-1642.5</v>
      </c>
      <c r="O351" s="555"/>
      <c r="P351" s="559"/>
      <c r="Q351" s="555" t="s">
        <v>1305</v>
      </c>
      <c r="R351" s="555" t="s">
        <v>1303</v>
      </c>
      <c r="S351" s="555" t="s">
        <v>535</v>
      </c>
      <c r="T351" s="555"/>
    </row>
    <row r="352" spans="1:20" s="556" customFormat="1" ht="21.75" customHeight="1">
      <c r="A352" s="555">
        <v>357</v>
      </c>
      <c r="B352" s="555" t="s">
        <v>1307</v>
      </c>
      <c r="C352" s="555" t="s">
        <v>1308</v>
      </c>
      <c r="D352" s="555">
        <v>905351342</v>
      </c>
      <c r="E352" s="555" t="s">
        <v>738</v>
      </c>
      <c r="F352" s="557" t="s">
        <v>71</v>
      </c>
      <c r="G352" s="555"/>
      <c r="H352" s="558"/>
      <c r="I352" s="555"/>
      <c r="J352" s="555"/>
      <c r="K352" s="558">
        <v>4</v>
      </c>
      <c r="L352" s="555">
        <f>K352*365</f>
        <v>1460</v>
      </c>
      <c r="M352" s="555"/>
      <c r="N352" s="557">
        <f t="shared" ref="N352" si="94">M352-L352</f>
        <v>-1460</v>
      </c>
      <c r="O352" s="555"/>
      <c r="P352" s="559"/>
      <c r="Q352" s="555" t="s">
        <v>1305</v>
      </c>
      <c r="R352" s="555" t="s">
        <v>1303</v>
      </c>
      <c r="S352" s="555" t="s">
        <v>535</v>
      </c>
      <c r="T352" s="555"/>
    </row>
    <row r="353" spans="1:20" s="556" customFormat="1" ht="21.75" customHeight="1">
      <c r="A353" s="555">
        <v>357</v>
      </c>
      <c r="B353" s="555" t="s">
        <v>1309</v>
      </c>
      <c r="C353" s="555" t="s">
        <v>1308</v>
      </c>
      <c r="D353" s="555">
        <v>905351359</v>
      </c>
      <c r="E353" s="555" t="s">
        <v>738</v>
      </c>
      <c r="F353" s="557" t="s">
        <v>71</v>
      </c>
      <c r="G353" s="555"/>
      <c r="H353" s="558"/>
      <c r="I353" s="555"/>
      <c r="J353" s="555"/>
      <c r="K353" s="558">
        <v>3</v>
      </c>
      <c r="L353" s="555">
        <f>K353*365</f>
        <v>1095</v>
      </c>
      <c r="M353" s="555"/>
      <c r="N353" s="557">
        <f t="shared" ref="N353" si="95">M353-L353</f>
        <v>-1095</v>
      </c>
      <c r="O353" s="555"/>
      <c r="P353" s="559"/>
      <c r="Q353" s="555" t="s">
        <v>1305</v>
      </c>
      <c r="R353" s="555" t="s">
        <v>1303</v>
      </c>
      <c r="S353" s="555" t="s">
        <v>535</v>
      </c>
      <c r="T353" s="555"/>
    </row>
    <row r="354" spans="1:20" s="556" customFormat="1" ht="21.75" customHeight="1">
      <c r="A354" s="555">
        <v>357</v>
      </c>
      <c r="B354" s="555" t="s">
        <v>1309</v>
      </c>
      <c r="C354" s="555" t="s">
        <v>1310</v>
      </c>
      <c r="D354" s="555">
        <v>905351361</v>
      </c>
      <c r="E354" s="555" t="s">
        <v>738</v>
      </c>
      <c r="F354" s="557" t="s">
        <v>71</v>
      </c>
      <c r="G354" s="555"/>
      <c r="H354" s="558"/>
      <c r="I354" s="555"/>
      <c r="J354" s="555"/>
      <c r="K354" s="558">
        <v>3.5</v>
      </c>
      <c r="L354" s="555">
        <f>K354*365</f>
        <v>1277.5</v>
      </c>
      <c r="M354" s="555"/>
      <c r="N354" s="557">
        <f t="shared" ref="N354" si="96">M354-L354</f>
        <v>-1277.5</v>
      </c>
      <c r="O354" s="555"/>
      <c r="P354" s="559"/>
      <c r="Q354" s="555" t="s">
        <v>1305</v>
      </c>
      <c r="R354" s="555" t="s">
        <v>1303</v>
      </c>
      <c r="S354" s="555" t="s">
        <v>535</v>
      </c>
      <c r="T354" s="555"/>
    </row>
    <row r="355" spans="1:20" s="556" customFormat="1" ht="21.75" customHeight="1">
      <c r="A355" s="555">
        <v>357</v>
      </c>
      <c r="B355" s="555" t="s">
        <v>1297</v>
      </c>
      <c r="C355" s="555" t="s">
        <v>1311</v>
      </c>
      <c r="D355" s="555">
        <v>905351380</v>
      </c>
      <c r="E355" s="555" t="s">
        <v>738</v>
      </c>
      <c r="F355" s="557" t="s">
        <v>71</v>
      </c>
      <c r="G355" s="555"/>
      <c r="H355" s="558"/>
      <c r="I355" s="555"/>
      <c r="J355" s="555"/>
      <c r="K355" s="558">
        <v>3</v>
      </c>
      <c r="L355" s="555">
        <f>K355*365</f>
        <v>1095</v>
      </c>
      <c r="M355" s="555"/>
      <c r="N355" s="557">
        <f t="shared" ref="N355" si="97">M355-L355</f>
        <v>-1095</v>
      </c>
      <c r="O355" s="555"/>
      <c r="P355" s="559"/>
      <c r="Q355" s="555" t="s">
        <v>1305</v>
      </c>
      <c r="R355" s="555" t="s">
        <v>1303</v>
      </c>
      <c r="S355" s="555" t="s">
        <v>535</v>
      </c>
      <c r="T355" s="555"/>
    </row>
    <row r="356" spans="1:20" s="556" customFormat="1" ht="21.75" customHeight="1">
      <c r="A356" s="555"/>
      <c r="B356" s="555"/>
      <c r="C356" s="555"/>
      <c r="D356" s="555"/>
      <c r="E356" s="555"/>
      <c r="F356" s="555"/>
      <c r="G356" s="555"/>
      <c r="H356" s="558"/>
      <c r="I356" s="555"/>
      <c r="J356" s="555"/>
      <c r="K356" s="558"/>
      <c r="L356" s="555"/>
      <c r="M356" s="555"/>
      <c r="N356" s="555"/>
      <c r="O356" s="555"/>
      <c r="P356" s="559"/>
      <c r="Q356" s="555"/>
      <c r="R356" s="555"/>
      <c r="S356" s="555"/>
      <c r="T356" s="555"/>
    </row>
    <row r="357" spans="1:20" s="556" customFormat="1" ht="21.75" customHeight="1">
      <c r="A357" s="555"/>
      <c r="B357" s="555"/>
      <c r="C357" s="555"/>
      <c r="D357" s="555"/>
      <c r="E357" s="555"/>
      <c r="F357" s="555"/>
      <c r="G357" s="555"/>
      <c r="H357" s="558"/>
      <c r="I357" s="555"/>
      <c r="J357" s="555"/>
      <c r="K357" s="558"/>
      <c r="L357" s="555"/>
      <c r="M357" s="555"/>
      <c r="N357" s="555"/>
      <c r="O357" s="555"/>
      <c r="P357" s="559"/>
      <c r="Q357" s="555"/>
      <c r="R357" s="555"/>
      <c r="S357" s="555"/>
      <c r="T357" s="555"/>
    </row>
    <row r="358" spans="1:20" s="556" customFormat="1" ht="21.75" customHeight="1">
      <c r="A358" s="555"/>
      <c r="B358" s="555"/>
      <c r="C358" s="555"/>
      <c r="D358" s="555"/>
      <c r="E358" s="555"/>
      <c r="F358" s="555"/>
      <c r="G358" s="555"/>
      <c r="H358" s="558"/>
      <c r="I358" s="555"/>
      <c r="J358" s="555"/>
      <c r="K358" s="558"/>
      <c r="L358" s="555"/>
      <c r="M358" s="555"/>
      <c r="N358" s="555"/>
      <c r="O358" s="555"/>
      <c r="P358" s="559"/>
      <c r="Q358" s="555"/>
      <c r="R358" s="555"/>
      <c r="S358" s="555"/>
      <c r="T358" s="555"/>
    </row>
    <row r="359" spans="1:20" s="556" customFormat="1" ht="21.75" customHeight="1">
      <c r="A359" s="555"/>
      <c r="B359" s="555"/>
      <c r="C359" s="555"/>
      <c r="D359" s="555"/>
      <c r="E359" s="555"/>
      <c r="F359" s="555"/>
      <c r="G359" s="555"/>
      <c r="H359" s="558"/>
      <c r="I359" s="555"/>
      <c r="J359" s="555"/>
      <c r="K359" s="558"/>
      <c r="L359" s="555"/>
      <c r="M359" s="555"/>
      <c r="N359" s="555"/>
      <c r="O359" s="555"/>
      <c r="P359" s="559"/>
      <c r="Q359" s="555"/>
      <c r="R359" s="555"/>
      <c r="S359" s="555"/>
      <c r="T359" s="555"/>
    </row>
    <row r="360" spans="1:20" s="556" customFormat="1" ht="21.75" customHeight="1">
      <c r="A360" s="555"/>
      <c r="B360" s="555"/>
      <c r="C360" s="555"/>
      <c r="D360" s="555"/>
      <c r="E360" s="555"/>
      <c r="F360" s="555"/>
      <c r="G360" s="555"/>
      <c r="H360" s="558"/>
      <c r="I360" s="555"/>
      <c r="J360" s="555"/>
      <c r="K360" s="558"/>
      <c r="L360" s="555"/>
      <c r="M360" s="555"/>
      <c r="N360" s="555"/>
      <c r="O360" s="555"/>
      <c r="P360" s="559"/>
      <c r="Q360" s="555"/>
      <c r="R360" s="555"/>
      <c r="S360" s="555"/>
      <c r="T360" s="555"/>
    </row>
    <row r="361" spans="1:20" s="556" customFormat="1" ht="21.75" customHeight="1">
      <c r="A361" s="555"/>
      <c r="B361" s="555"/>
      <c r="C361" s="555"/>
      <c r="D361" s="555"/>
      <c r="E361" s="555"/>
      <c r="F361" s="555"/>
      <c r="G361" s="555"/>
      <c r="H361" s="558"/>
      <c r="I361" s="555"/>
      <c r="J361" s="555"/>
      <c r="K361" s="558"/>
      <c r="L361" s="555"/>
      <c r="M361" s="555"/>
      <c r="N361" s="555"/>
      <c r="O361" s="555"/>
      <c r="P361" s="559"/>
      <c r="Q361" s="555"/>
      <c r="R361" s="555"/>
      <c r="S361" s="555"/>
      <c r="T361" s="555"/>
    </row>
    <row r="362" spans="1:20" s="556" customFormat="1" ht="21.75" customHeight="1">
      <c r="A362" s="555"/>
      <c r="B362" s="555"/>
      <c r="C362" s="555"/>
      <c r="D362" s="555"/>
      <c r="E362" s="555"/>
      <c r="F362" s="555"/>
      <c r="G362" s="555"/>
      <c r="H362" s="558"/>
      <c r="I362" s="555"/>
      <c r="J362" s="555"/>
      <c r="K362" s="558"/>
      <c r="L362" s="555"/>
      <c r="M362" s="555"/>
      <c r="N362" s="555"/>
      <c r="O362" s="555"/>
      <c r="P362" s="559"/>
      <c r="Q362" s="555"/>
      <c r="R362" s="555"/>
      <c r="S362" s="555"/>
      <c r="T362" s="555"/>
    </row>
    <row r="363" spans="1:20" s="341" customFormat="1" ht="21.75" customHeight="1">
      <c r="A363" s="400"/>
      <c r="B363" s="400"/>
      <c r="C363" s="400"/>
      <c r="D363" s="400"/>
      <c r="E363" s="400"/>
      <c r="F363" s="400"/>
      <c r="G363" s="357"/>
      <c r="H363" s="358"/>
      <c r="I363" s="358"/>
      <c r="J363" s="358"/>
      <c r="K363" s="358"/>
      <c r="L363" s="400"/>
      <c r="M363" s="400"/>
      <c r="N363" s="400"/>
      <c r="O363" s="359"/>
      <c r="P363" s="359"/>
      <c r="Q363" s="400"/>
      <c r="R363" s="400"/>
      <c r="S363" s="400"/>
      <c r="T363" s="400"/>
    </row>
    <row r="364" spans="1:20" ht="22.5" customHeight="1">
      <c r="A364" s="334"/>
      <c r="B364" s="334"/>
      <c r="C364" s="335"/>
      <c r="D364" s="334"/>
      <c r="E364" s="335"/>
      <c r="F364" s="334"/>
      <c r="G364" s="336"/>
      <c r="H364" s="337"/>
      <c r="I364" s="337"/>
      <c r="J364" s="337"/>
      <c r="K364" s="337"/>
      <c r="L364" s="335"/>
      <c r="M364" s="335"/>
      <c r="N364" s="335"/>
      <c r="O364" s="335"/>
      <c r="P364" s="334"/>
      <c r="Q364" s="334"/>
      <c r="R364" s="334"/>
      <c r="S364" s="334"/>
      <c r="T364" s="334"/>
    </row>
    <row r="365" spans="1:20" s="340" customFormat="1" ht="30" customHeight="1">
      <c r="A365" s="332"/>
      <c r="B365" s="710" t="s">
        <v>515</v>
      </c>
      <c r="C365" s="711"/>
      <c r="D365" s="338"/>
      <c r="E365" s="339"/>
      <c r="F365" s="339"/>
      <c r="G365" s="344">
        <f>SUM(G3:G364)</f>
        <v>57.5</v>
      </c>
      <c r="H365" s="344">
        <f t="shared" ref="H365:K365" si="98">SUM(H3:H364)</f>
        <v>1797</v>
      </c>
      <c r="I365" s="344">
        <f t="shared" si="98"/>
        <v>0</v>
      </c>
      <c r="J365" s="344">
        <f t="shared" si="98"/>
        <v>82</v>
      </c>
      <c r="K365" s="344">
        <f t="shared" si="98"/>
        <v>185.5</v>
      </c>
      <c r="L365" s="345">
        <f>SUM(L3:L364)</f>
        <v>779692.5</v>
      </c>
      <c r="M365" s="345">
        <f>SUM(M3:M364)</f>
        <v>668013.35</v>
      </c>
      <c r="N365" s="628">
        <f>SUM(N3:N364)</f>
        <v>-111679.15</v>
      </c>
      <c r="O365" s="339"/>
      <c r="P365" s="338"/>
      <c r="Q365" s="338"/>
      <c r="R365" s="338"/>
      <c r="S365" s="338"/>
      <c r="T365" s="332"/>
    </row>
    <row r="366" spans="1:20" s="348" customFormat="1" ht="24.75" customHeight="1">
      <c r="A366" s="349"/>
      <c r="B366" s="350"/>
      <c r="C366" s="350"/>
      <c r="D366" s="351"/>
      <c r="E366" s="352"/>
      <c r="F366" s="352"/>
      <c r="G366" s="754">
        <f>SUM(G365:K365)</f>
        <v>2122</v>
      </c>
      <c r="H366" s="755"/>
      <c r="I366" s="755"/>
      <c r="J366" s="755"/>
      <c r="K366" s="756"/>
      <c r="L366" s="346">
        <f>L365/50</f>
        <v>15593.85</v>
      </c>
      <c r="M366" s="346">
        <f>M365/50</f>
        <v>13360.267</v>
      </c>
      <c r="N366" s="347" t="s">
        <v>516</v>
      </c>
      <c r="O366" s="352"/>
      <c r="P366" s="351"/>
      <c r="Q366" s="351"/>
      <c r="R366" s="351"/>
      <c r="S366" s="351"/>
      <c r="T366" s="352"/>
    </row>
    <row r="368" spans="1:20">
      <c r="G368" s="344">
        <f>SUBTOTAL(9,G3:G364)</f>
        <v>57.5</v>
      </c>
      <c r="H368" s="344">
        <f>SUBTOTAL(9,H3:H364)</f>
        <v>1797</v>
      </c>
      <c r="I368" s="344">
        <f>SUBTOTAL(9,I3:I364)</f>
        <v>0</v>
      </c>
      <c r="J368" s="344">
        <f t="shared" ref="J368:K368" si="99">SUBTOTAL(9,J3:J364)</f>
        <v>82</v>
      </c>
      <c r="K368" s="344">
        <f t="shared" si="99"/>
        <v>185.5</v>
      </c>
    </row>
  </sheetData>
  <autoFilter ref="A2:T309"/>
  <mergeCells count="4">
    <mergeCell ref="A1:S1"/>
    <mergeCell ref="B365:C365"/>
    <mergeCell ref="A17:A18"/>
    <mergeCell ref="G366:K366"/>
  </mergeCells>
  <printOptions horizontalCentered="1"/>
  <pageMargins left="0.45" right="0.45" top="0.75" bottom="0.75" header="0.3" footer="0.3"/>
  <pageSetup scale="36" fitToHeight="0" orientation="portrait" r:id="rId1"/>
  <headerFooter>
    <oddHeader>&amp;A</oddHeader>
    <oddFooter>Page &amp;P of &amp;N</oddFooter>
  </headerFooter>
  <rowBreaks count="2" manualBreakCount="2">
    <brk id="159" max="18" man="1"/>
    <brk id="237" max="18" man="1"/>
  </rowBreaks>
  <ignoredErrors>
    <ignoredError sqref="L261:L274 L27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699"/>
  <sheetViews>
    <sheetView view="pageBreakPreview" zoomScaleSheetLayoutView="100" zoomScalePageLayoutView="70" workbookViewId="0">
      <pane ySplit="7" topLeftCell="A464" activePane="bottomLeft" state="frozen"/>
      <selection pane="bottomLeft" activeCell="I477" sqref="I477"/>
    </sheetView>
  </sheetViews>
  <sheetFormatPr defaultRowHeight="15"/>
  <cols>
    <col min="2" max="2" width="24.140625" customWidth="1"/>
    <col min="9" max="9" width="9.85546875" customWidth="1"/>
    <col min="10" max="10" width="11.140625" customWidth="1"/>
  </cols>
  <sheetData>
    <row r="1" spans="1:10">
      <c r="A1" s="66" t="s">
        <v>186</v>
      </c>
      <c r="B1" s="67"/>
      <c r="C1" s="67"/>
      <c r="D1" s="67"/>
      <c r="E1" s="67"/>
      <c r="F1" s="67"/>
      <c r="G1" s="67"/>
      <c r="H1" s="67"/>
      <c r="I1" s="67"/>
      <c r="J1" s="68"/>
    </row>
    <row r="2" spans="1:10">
      <c r="A2" s="69" t="s">
        <v>187</v>
      </c>
      <c r="B2" s="27"/>
      <c r="C2" s="27"/>
      <c r="D2" s="27"/>
      <c r="E2" s="27"/>
      <c r="F2" s="27"/>
      <c r="G2" s="27"/>
      <c r="H2" s="27"/>
      <c r="I2" s="27"/>
      <c r="J2" s="70"/>
    </row>
    <row r="3" spans="1:10">
      <c r="A3" s="69" t="s">
        <v>188</v>
      </c>
      <c r="B3" s="27"/>
      <c r="C3" s="27"/>
      <c r="D3" s="27"/>
      <c r="E3" s="27"/>
      <c r="F3" s="27"/>
      <c r="G3" s="27"/>
      <c r="H3" s="27"/>
      <c r="I3" s="27"/>
      <c r="J3" s="70"/>
    </row>
    <row r="4" spans="1:10">
      <c r="A4" s="69" t="s">
        <v>200</v>
      </c>
      <c r="B4" s="27"/>
      <c r="C4" s="27"/>
      <c r="D4" s="27"/>
      <c r="E4" s="27"/>
      <c r="F4" s="27"/>
      <c r="G4" s="27"/>
      <c r="H4" s="27"/>
      <c r="I4" s="27"/>
      <c r="J4" s="70"/>
    </row>
    <row r="5" spans="1:10">
      <c r="A5" s="71"/>
      <c r="B5" s="72"/>
      <c r="C5" s="72"/>
      <c r="D5" s="72"/>
      <c r="E5" s="72"/>
      <c r="F5" s="72"/>
      <c r="G5" s="72"/>
      <c r="H5" s="72"/>
      <c r="I5" s="72"/>
      <c r="J5" s="73"/>
    </row>
    <row r="6" spans="1:10">
      <c r="A6" s="719" t="s">
        <v>1</v>
      </c>
      <c r="B6" s="720" t="s">
        <v>190</v>
      </c>
      <c r="C6" s="720" t="s">
        <v>3</v>
      </c>
      <c r="D6" s="720" t="s">
        <v>64</v>
      </c>
      <c r="E6" s="720" t="s">
        <v>64</v>
      </c>
      <c r="F6" s="720" t="s">
        <v>191</v>
      </c>
      <c r="G6" s="720"/>
      <c r="H6" s="720"/>
      <c r="I6" s="720" t="s">
        <v>192</v>
      </c>
      <c r="J6" s="727" t="s">
        <v>21</v>
      </c>
    </row>
    <row r="7" spans="1:10">
      <c r="A7" s="719"/>
      <c r="B7" s="720"/>
      <c r="C7" s="720"/>
      <c r="D7" s="720"/>
      <c r="E7" s="720"/>
      <c r="F7" s="74" t="s">
        <v>61</v>
      </c>
      <c r="G7" s="74" t="s">
        <v>62</v>
      </c>
      <c r="H7" s="74" t="s">
        <v>193</v>
      </c>
      <c r="I7" s="720"/>
      <c r="J7" s="727"/>
    </row>
    <row r="8" spans="1:10" ht="30">
      <c r="A8" s="75"/>
      <c r="B8" s="76" t="s">
        <v>557</v>
      </c>
      <c r="C8" s="77"/>
      <c r="D8" s="77"/>
      <c r="E8" s="77"/>
      <c r="F8" s="77"/>
      <c r="G8" s="77"/>
      <c r="H8" s="77"/>
      <c r="I8" s="77"/>
      <c r="J8" s="78"/>
    </row>
    <row r="9" spans="1:10">
      <c r="A9" s="75">
        <v>1</v>
      </c>
      <c r="B9" s="77" t="s">
        <v>195</v>
      </c>
      <c r="C9" s="77" t="s">
        <v>71</v>
      </c>
      <c r="D9" s="77">
        <v>1</v>
      </c>
      <c r="E9" s="77">
        <v>1</v>
      </c>
      <c r="F9" s="375">
        <f>31.935+0.115+0.115</f>
        <v>32.164999999999999</v>
      </c>
      <c r="G9" s="375">
        <f>36.895+0.115+0.115</f>
        <v>37.125000000000007</v>
      </c>
      <c r="H9" s="375">
        <v>0.1</v>
      </c>
      <c r="I9" s="80">
        <f t="shared" ref="I9:I20" si="0">PRODUCT(D9:H9)</f>
        <v>119.41256250000002</v>
      </c>
      <c r="J9" s="721" t="s">
        <v>490</v>
      </c>
    </row>
    <row r="10" spans="1:10">
      <c r="A10" s="75">
        <v>2</v>
      </c>
      <c r="B10" s="77"/>
      <c r="C10" s="77" t="s">
        <v>71</v>
      </c>
      <c r="D10" s="77">
        <v>1</v>
      </c>
      <c r="E10" s="77">
        <v>1</v>
      </c>
      <c r="F10" s="375">
        <f>8.78+0.115+0.115</f>
        <v>9.01</v>
      </c>
      <c r="G10" s="375">
        <v>0.51500000000000001</v>
      </c>
      <c r="H10" s="375">
        <v>0.1</v>
      </c>
      <c r="I10" s="80">
        <f t="shared" si="0"/>
        <v>0.46401500000000007</v>
      </c>
      <c r="J10" s="722"/>
    </row>
    <row r="11" spans="1:10">
      <c r="A11" s="75">
        <v>3</v>
      </c>
      <c r="B11" s="77" t="s">
        <v>196</v>
      </c>
      <c r="C11" s="77" t="s">
        <v>71</v>
      </c>
      <c r="D11" s="77">
        <v>-1</v>
      </c>
      <c r="E11" s="77">
        <v>1</v>
      </c>
      <c r="F11" s="375">
        <v>11.005000000000001</v>
      </c>
      <c r="G11" s="375">
        <v>12.414999999999999</v>
      </c>
      <c r="H11" s="375">
        <v>0.1</v>
      </c>
      <c r="I11" s="80">
        <f t="shared" si="0"/>
        <v>-13.6627075</v>
      </c>
      <c r="J11" s="722"/>
    </row>
    <row r="12" spans="1:10">
      <c r="A12" s="75">
        <v>4</v>
      </c>
      <c r="B12" s="77" t="s">
        <v>197</v>
      </c>
      <c r="C12" s="77" t="s">
        <v>71</v>
      </c>
      <c r="D12" s="77">
        <v>-1</v>
      </c>
      <c r="E12" s="77">
        <v>1</v>
      </c>
      <c r="F12" s="375">
        <v>11.09</v>
      </c>
      <c r="G12" s="375">
        <v>10.285</v>
      </c>
      <c r="H12" s="375">
        <v>0.1</v>
      </c>
      <c r="I12" s="80">
        <f t="shared" si="0"/>
        <v>-11.406065</v>
      </c>
      <c r="J12" s="722"/>
    </row>
    <row r="13" spans="1:10">
      <c r="A13" s="75">
        <v>5</v>
      </c>
      <c r="B13" s="724" t="s">
        <v>198</v>
      </c>
      <c r="C13" s="77" t="s">
        <v>71</v>
      </c>
      <c r="D13" s="77">
        <v>-1</v>
      </c>
      <c r="E13" s="77">
        <v>1</v>
      </c>
      <c r="F13" s="375">
        <v>11.285</v>
      </c>
      <c r="G13" s="375">
        <v>3.72</v>
      </c>
      <c r="H13" s="375">
        <v>0.1</v>
      </c>
      <c r="I13" s="80">
        <f t="shared" si="0"/>
        <v>-4.1980200000000005</v>
      </c>
      <c r="J13" s="722"/>
    </row>
    <row r="14" spans="1:10">
      <c r="A14" s="75">
        <v>6</v>
      </c>
      <c r="B14" s="725"/>
      <c r="C14" s="77" t="s">
        <v>71</v>
      </c>
      <c r="D14" s="77">
        <v>-1</v>
      </c>
      <c r="E14" s="77">
        <v>1</v>
      </c>
      <c r="F14" s="375">
        <v>1.6950000000000001</v>
      </c>
      <c r="G14" s="375">
        <v>2.3149999999999999</v>
      </c>
      <c r="H14" s="375">
        <v>0.1</v>
      </c>
      <c r="I14" s="80">
        <f t="shared" si="0"/>
        <v>-0.39239250000000003</v>
      </c>
      <c r="J14" s="722"/>
    </row>
    <row r="15" spans="1:10">
      <c r="A15" s="75">
        <v>7</v>
      </c>
      <c r="B15" s="726"/>
      <c r="C15" s="77" t="s">
        <v>71</v>
      </c>
      <c r="D15" s="77">
        <v>-1</v>
      </c>
      <c r="E15" s="77">
        <v>1</v>
      </c>
      <c r="F15" s="375">
        <v>3.95</v>
      </c>
      <c r="G15" s="375">
        <v>1.5</v>
      </c>
      <c r="H15" s="375">
        <v>0.1</v>
      </c>
      <c r="I15" s="80">
        <f t="shared" si="0"/>
        <v>-0.59250000000000014</v>
      </c>
      <c r="J15" s="722"/>
    </row>
    <row r="16" spans="1:10">
      <c r="A16" s="75"/>
      <c r="B16" s="374"/>
      <c r="C16" s="77"/>
      <c r="D16" s="77">
        <v>-1</v>
      </c>
      <c r="E16" s="77">
        <v>1</v>
      </c>
      <c r="F16" s="375">
        <v>15.8</v>
      </c>
      <c r="G16" s="375">
        <f>0.115</f>
        <v>0.115</v>
      </c>
      <c r="H16" s="375">
        <v>0.1</v>
      </c>
      <c r="I16" s="80">
        <f t="shared" si="0"/>
        <v>-0.18170000000000003</v>
      </c>
      <c r="J16" s="722"/>
    </row>
    <row r="17" spans="1:10">
      <c r="A17" s="75">
        <v>8</v>
      </c>
      <c r="B17" s="724" t="s">
        <v>199</v>
      </c>
      <c r="C17" s="77" t="s">
        <v>71</v>
      </c>
      <c r="D17" s="77">
        <v>-1</v>
      </c>
      <c r="E17" s="77">
        <v>1</v>
      </c>
      <c r="F17" s="375">
        <v>9</v>
      </c>
      <c r="G17" s="375">
        <f>5.8+0.115</f>
        <v>5.915</v>
      </c>
      <c r="H17" s="375">
        <v>0.1</v>
      </c>
      <c r="I17" s="80">
        <f t="shared" si="0"/>
        <v>-5.3235000000000001</v>
      </c>
      <c r="J17" s="722"/>
    </row>
    <row r="18" spans="1:10">
      <c r="A18" s="75">
        <v>9</v>
      </c>
      <c r="B18" s="725"/>
      <c r="C18" s="77" t="s">
        <v>71</v>
      </c>
      <c r="D18" s="77">
        <v>-1</v>
      </c>
      <c r="E18" s="77">
        <v>1</v>
      </c>
      <c r="F18" s="375">
        <v>19.05</v>
      </c>
      <c r="G18" s="375">
        <v>10</v>
      </c>
      <c r="H18" s="375">
        <v>0.1</v>
      </c>
      <c r="I18" s="80">
        <f t="shared" si="0"/>
        <v>-19.05</v>
      </c>
      <c r="J18" s="722"/>
    </row>
    <row r="19" spans="1:10">
      <c r="A19" s="75">
        <v>10</v>
      </c>
      <c r="B19" s="725"/>
      <c r="C19" s="77" t="s">
        <v>71</v>
      </c>
      <c r="D19" s="77">
        <v>-1</v>
      </c>
      <c r="E19" s="77">
        <v>1</v>
      </c>
      <c r="F19" s="375">
        <v>6.2</v>
      </c>
      <c r="G19" s="375">
        <v>6.2</v>
      </c>
      <c r="H19" s="375">
        <v>0.1</v>
      </c>
      <c r="I19" s="80">
        <f t="shared" si="0"/>
        <v>-3.8440000000000007</v>
      </c>
      <c r="J19" s="722"/>
    </row>
    <row r="20" spans="1:10">
      <c r="A20" s="75">
        <v>11</v>
      </c>
      <c r="B20" s="726"/>
      <c r="C20" s="77" t="s">
        <v>71</v>
      </c>
      <c r="D20" s="77">
        <v>-1</v>
      </c>
      <c r="E20" s="77">
        <v>1</v>
      </c>
      <c r="F20" s="375">
        <f>11.7-6.2</f>
        <v>5.4999999999999991</v>
      </c>
      <c r="G20" s="375">
        <v>8.0500000000000007</v>
      </c>
      <c r="H20" s="375">
        <v>0.1</v>
      </c>
      <c r="I20" s="80">
        <f t="shared" si="0"/>
        <v>-4.4275000000000002</v>
      </c>
      <c r="J20" s="723"/>
    </row>
    <row r="21" spans="1:10">
      <c r="A21" s="75"/>
      <c r="B21" s="77"/>
      <c r="C21" s="77"/>
      <c r="D21" s="77"/>
      <c r="E21" s="77"/>
      <c r="F21" s="77"/>
      <c r="G21" s="77"/>
      <c r="H21" s="77"/>
      <c r="I21" s="80"/>
      <c r="J21" s="78"/>
    </row>
    <row r="22" spans="1:10">
      <c r="A22" s="75"/>
      <c r="B22" s="77"/>
      <c r="C22" s="77"/>
      <c r="D22" s="77"/>
      <c r="E22" s="77"/>
      <c r="F22" s="77"/>
      <c r="G22" s="77"/>
      <c r="H22" s="81" t="s">
        <v>57</v>
      </c>
      <c r="I22" s="82">
        <f>SUM(I8:I21)</f>
        <v>56.798192500000027</v>
      </c>
      <c r="J22" s="78"/>
    </row>
    <row r="23" spans="1:10" ht="30">
      <c r="A23" s="75">
        <v>1</v>
      </c>
      <c r="B23" s="77" t="s">
        <v>559</v>
      </c>
      <c r="C23" s="77" t="s">
        <v>71</v>
      </c>
      <c r="D23" s="77">
        <v>1</v>
      </c>
      <c r="E23" s="77">
        <v>1</v>
      </c>
      <c r="F23" s="79">
        <v>3</v>
      </c>
      <c r="G23" s="79">
        <v>1.5</v>
      </c>
      <c r="H23" s="79">
        <v>0.1</v>
      </c>
      <c r="I23" s="80">
        <f t="shared" ref="I23:I32" si="1">PRODUCT(D23:H23)</f>
        <v>0.45</v>
      </c>
      <c r="J23" s="721" t="s">
        <v>491</v>
      </c>
    </row>
    <row r="24" spans="1:10">
      <c r="A24" s="75">
        <v>2</v>
      </c>
      <c r="B24" s="77"/>
      <c r="C24" s="77" t="s">
        <v>71</v>
      </c>
      <c r="D24" s="77">
        <v>1</v>
      </c>
      <c r="E24" s="77">
        <v>1</v>
      </c>
      <c r="F24" s="79">
        <v>5.875</v>
      </c>
      <c r="G24" s="79">
        <v>1.5</v>
      </c>
      <c r="H24" s="79">
        <v>0.1</v>
      </c>
      <c r="I24" s="80">
        <f t="shared" si="1"/>
        <v>0.88125000000000009</v>
      </c>
      <c r="J24" s="722"/>
    </row>
    <row r="25" spans="1:10">
      <c r="A25" s="75">
        <v>3</v>
      </c>
      <c r="B25" s="77"/>
      <c r="C25" s="77" t="s">
        <v>71</v>
      </c>
      <c r="D25" s="77">
        <v>1</v>
      </c>
      <c r="E25" s="77">
        <v>1</v>
      </c>
      <c r="F25" s="79">
        <v>9.8249999999999993</v>
      </c>
      <c r="G25" s="79">
        <v>0.81499999999999995</v>
      </c>
      <c r="H25" s="79">
        <v>0.1</v>
      </c>
      <c r="I25" s="80">
        <f t="shared" si="1"/>
        <v>0.80073749999999999</v>
      </c>
      <c r="J25" s="722"/>
    </row>
    <row r="26" spans="1:10">
      <c r="A26" s="75">
        <v>4</v>
      </c>
      <c r="B26" s="77"/>
      <c r="C26" s="77" t="s">
        <v>71</v>
      </c>
      <c r="D26" s="77">
        <v>1</v>
      </c>
      <c r="E26" s="77">
        <v>1</v>
      </c>
      <c r="F26" s="79">
        <v>11.52</v>
      </c>
      <c r="G26" s="79">
        <v>1.405</v>
      </c>
      <c r="H26" s="79">
        <v>0.1</v>
      </c>
      <c r="I26" s="80">
        <f t="shared" si="1"/>
        <v>1.6185600000000002</v>
      </c>
      <c r="J26" s="722"/>
    </row>
    <row r="27" spans="1:10">
      <c r="A27" s="75">
        <v>5</v>
      </c>
      <c r="B27" s="77"/>
      <c r="C27" s="77" t="s">
        <v>71</v>
      </c>
      <c r="D27" s="77">
        <v>1</v>
      </c>
      <c r="E27" s="77">
        <v>1</v>
      </c>
      <c r="F27" s="79">
        <v>16.5</v>
      </c>
      <c r="G27" s="79">
        <v>1</v>
      </c>
      <c r="H27" s="79">
        <v>0.1</v>
      </c>
      <c r="I27" s="80">
        <f t="shared" si="1"/>
        <v>1.6500000000000001</v>
      </c>
      <c r="J27" s="722"/>
    </row>
    <row r="28" spans="1:10" ht="30">
      <c r="A28" s="75">
        <v>6</v>
      </c>
      <c r="B28" s="77" t="s">
        <v>558</v>
      </c>
      <c r="C28" s="77" t="s">
        <v>71</v>
      </c>
      <c r="D28" s="77">
        <v>1</v>
      </c>
      <c r="E28" s="77">
        <v>1</v>
      </c>
      <c r="F28" s="79">
        <v>11.03</v>
      </c>
      <c r="G28" s="79">
        <v>8.67</v>
      </c>
      <c r="H28" s="79">
        <v>0.1</v>
      </c>
      <c r="I28" s="80">
        <f t="shared" si="1"/>
        <v>9.5630100000000002</v>
      </c>
      <c r="J28" s="722"/>
    </row>
    <row r="29" spans="1:10">
      <c r="A29" s="75">
        <v>7</v>
      </c>
      <c r="B29" s="77"/>
      <c r="C29" s="77" t="s">
        <v>71</v>
      </c>
      <c r="D29" s="77">
        <v>1</v>
      </c>
      <c r="E29" s="77">
        <v>1</v>
      </c>
      <c r="F29" s="79">
        <v>11.545</v>
      </c>
      <c r="G29" s="79">
        <v>2.7149999999999999</v>
      </c>
      <c r="H29" s="79">
        <v>0.1</v>
      </c>
      <c r="I29" s="80">
        <f t="shared" si="1"/>
        <v>3.1344675</v>
      </c>
      <c r="J29" s="722"/>
    </row>
    <row r="30" spans="1:10">
      <c r="A30" s="75">
        <v>8</v>
      </c>
      <c r="B30" s="77"/>
      <c r="C30" s="77" t="s">
        <v>71</v>
      </c>
      <c r="D30" s="77">
        <v>1</v>
      </c>
      <c r="E30" s="77">
        <v>1</v>
      </c>
      <c r="F30" s="79">
        <v>6.0650000000000004</v>
      </c>
      <c r="G30" s="79">
        <v>2.5150000000000001</v>
      </c>
      <c r="H30" s="79">
        <v>0.1</v>
      </c>
      <c r="I30" s="80">
        <f t="shared" si="1"/>
        <v>1.5253475000000003</v>
      </c>
      <c r="J30" s="722"/>
    </row>
    <row r="31" spans="1:10">
      <c r="A31" s="75">
        <v>9</v>
      </c>
      <c r="B31" s="77"/>
      <c r="C31" s="77" t="s">
        <v>71</v>
      </c>
      <c r="D31" s="77">
        <v>1</v>
      </c>
      <c r="E31" s="77">
        <v>1</v>
      </c>
      <c r="F31" s="79">
        <v>1.05</v>
      </c>
      <c r="G31" s="79">
        <v>2</v>
      </c>
      <c r="H31" s="79">
        <v>0.1</v>
      </c>
      <c r="I31" s="80">
        <f t="shared" si="1"/>
        <v>0.21000000000000002</v>
      </c>
      <c r="J31" s="722"/>
    </row>
    <row r="32" spans="1:10">
      <c r="A32" s="75">
        <v>10</v>
      </c>
      <c r="B32" s="77"/>
      <c r="C32" s="77" t="s">
        <v>71</v>
      </c>
      <c r="D32" s="77">
        <v>1</v>
      </c>
      <c r="E32" s="77">
        <v>1</v>
      </c>
      <c r="F32" s="79">
        <v>8.67</v>
      </c>
      <c r="G32" s="79">
        <v>3.27</v>
      </c>
      <c r="H32" s="79">
        <v>0.1</v>
      </c>
      <c r="I32" s="80">
        <f t="shared" si="1"/>
        <v>2.8350900000000001</v>
      </c>
      <c r="J32" s="723"/>
    </row>
    <row r="33" spans="1:13">
      <c r="A33" s="75"/>
      <c r="B33" s="77"/>
      <c r="C33" s="77"/>
      <c r="D33" s="77"/>
      <c r="E33" s="77"/>
      <c r="F33" s="77"/>
      <c r="G33" s="77"/>
      <c r="H33" s="77"/>
      <c r="I33" s="80"/>
      <c r="J33" s="78"/>
    </row>
    <row r="34" spans="1:13">
      <c r="A34" s="75"/>
      <c r="B34" s="77"/>
      <c r="C34" s="77"/>
      <c r="D34" s="77"/>
      <c r="E34" s="77"/>
      <c r="F34" s="77"/>
      <c r="G34" s="77"/>
      <c r="H34" s="81" t="s">
        <v>57</v>
      </c>
      <c r="I34" s="82">
        <f>SUM(I23:I33)</f>
        <v>22.6684625</v>
      </c>
      <c r="J34" s="78"/>
    </row>
    <row r="35" spans="1:13" ht="15.75" thickBot="1">
      <c r="A35" s="83"/>
      <c r="B35" s="84"/>
      <c r="C35" s="84"/>
      <c r="D35" s="84"/>
      <c r="E35" s="84"/>
      <c r="F35" s="84"/>
      <c r="G35" s="84"/>
      <c r="H35" s="84"/>
      <c r="I35" s="84"/>
      <c r="J35" s="85"/>
    </row>
    <row r="36" spans="1:13">
      <c r="A36" s="719" t="s">
        <v>1</v>
      </c>
      <c r="B36" s="720" t="s">
        <v>190</v>
      </c>
      <c r="C36" s="720" t="s">
        <v>3</v>
      </c>
      <c r="D36" s="720" t="s">
        <v>64</v>
      </c>
      <c r="E36" s="720" t="s">
        <v>64</v>
      </c>
      <c r="F36" s="720" t="s">
        <v>191</v>
      </c>
      <c r="G36" s="720"/>
      <c r="H36" s="720"/>
      <c r="I36" s="720" t="s">
        <v>192</v>
      </c>
      <c r="J36" s="727" t="s">
        <v>21</v>
      </c>
    </row>
    <row r="37" spans="1:13">
      <c r="A37" s="719"/>
      <c r="B37" s="720"/>
      <c r="C37" s="720"/>
      <c r="D37" s="720"/>
      <c r="E37" s="720"/>
      <c r="F37" s="74" t="s">
        <v>61</v>
      </c>
      <c r="G37" s="74" t="s">
        <v>62</v>
      </c>
      <c r="H37" s="74" t="s">
        <v>193</v>
      </c>
      <c r="I37" s="720"/>
      <c r="J37" s="727"/>
    </row>
    <row r="38" spans="1:13" ht="30">
      <c r="A38" s="75"/>
      <c r="B38" s="76" t="s">
        <v>556</v>
      </c>
      <c r="C38" s="77"/>
      <c r="D38" s="77"/>
      <c r="E38" s="77"/>
      <c r="F38" s="77"/>
      <c r="G38" s="77"/>
      <c r="H38" s="77"/>
      <c r="I38" s="77"/>
      <c r="J38" s="78"/>
    </row>
    <row r="39" spans="1:13">
      <c r="A39" s="75">
        <v>1</v>
      </c>
      <c r="B39" s="77" t="s">
        <v>195</v>
      </c>
      <c r="C39" s="77" t="s">
        <v>71</v>
      </c>
      <c r="D39" s="77">
        <v>1</v>
      </c>
      <c r="E39" s="77">
        <v>1</v>
      </c>
      <c r="F39" s="375">
        <f>31.935</f>
        <v>31.934999999999999</v>
      </c>
      <c r="G39" s="375">
        <f>36.895</f>
        <v>36.895000000000003</v>
      </c>
      <c r="H39" s="375">
        <v>0.85</v>
      </c>
      <c r="I39" s="80">
        <f t="shared" ref="I39:I45" si="2">PRODUCT(D39:H39)</f>
        <v>1001.5055512500001</v>
      </c>
      <c r="J39" s="721" t="s">
        <v>490</v>
      </c>
    </row>
    <row r="40" spans="1:13">
      <c r="A40" s="75">
        <v>2</v>
      </c>
      <c r="B40" s="77"/>
      <c r="C40" s="77" t="s">
        <v>71</v>
      </c>
      <c r="D40" s="77">
        <v>1</v>
      </c>
      <c r="E40" s="77">
        <v>1</v>
      </c>
      <c r="F40" s="375">
        <f>8.78</f>
        <v>8.7799999999999994</v>
      </c>
      <c r="G40" s="375">
        <v>0.51500000000000001</v>
      </c>
      <c r="H40" s="375">
        <v>0.85</v>
      </c>
      <c r="I40" s="80">
        <f t="shared" si="2"/>
        <v>3.843445</v>
      </c>
      <c r="J40" s="722"/>
    </row>
    <row r="41" spans="1:13">
      <c r="A41" s="75">
        <v>3</v>
      </c>
      <c r="B41" s="77" t="s">
        <v>196</v>
      </c>
      <c r="C41" s="77" t="s">
        <v>71</v>
      </c>
      <c r="D41" s="77">
        <v>-1</v>
      </c>
      <c r="E41" s="77">
        <v>1</v>
      </c>
      <c r="F41" s="375">
        <v>11.005000000000001</v>
      </c>
      <c r="G41" s="375">
        <v>12.414999999999999</v>
      </c>
      <c r="H41" s="375">
        <v>0.85</v>
      </c>
      <c r="I41" s="80">
        <f t="shared" si="2"/>
        <v>-116.13301374999999</v>
      </c>
      <c r="J41" s="722"/>
    </row>
    <row r="42" spans="1:13">
      <c r="A42" s="75">
        <v>4</v>
      </c>
      <c r="B42" s="77" t="s">
        <v>197</v>
      </c>
      <c r="C42" s="77" t="s">
        <v>71</v>
      </c>
      <c r="D42" s="77">
        <v>-1</v>
      </c>
      <c r="E42" s="77">
        <v>1</v>
      </c>
      <c r="F42" s="375">
        <v>11.09</v>
      </c>
      <c r="G42" s="375">
        <v>10.285</v>
      </c>
      <c r="H42" s="375">
        <v>0.85</v>
      </c>
      <c r="I42" s="80">
        <f t="shared" si="2"/>
        <v>-96.951552499999991</v>
      </c>
      <c r="J42" s="722"/>
    </row>
    <row r="43" spans="1:13">
      <c r="A43" s="75">
        <v>5</v>
      </c>
      <c r="B43" s="724" t="s">
        <v>198</v>
      </c>
      <c r="C43" s="77" t="s">
        <v>71</v>
      </c>
      <c r="D43" s="77">
        <v>-1</v>
      </c>
      <c r="E43" s="77">
        <v>1</v>
      </c>
      <c r="F43" s="375">
        <v>11.285</v>
      </c>
      <c r="G43" s="375">
        <v>3.72</v>
      </c>
      <c r="H43" s="375">
        <v>0.85</v>
      </c>
      <c r="I43" s="80">
        <f t="shared" si="2"/>
        <v>-35.683170000000004</v>
      </c>
      <c r="J43" s="722"/>
    </row>
    <row r="44" spans="1:13">
      <c r="A44" s="75">
        <v>6</v>
      </c>
      <c r="B44" s="725"/>
      <c r="C44" s="77" t="s">
        <v>71</v>
      </c>
      <c r="D44" s="77">
        <v>-1</v>
      </c>
      <c r="E44" s="77">
        <v>1</v>
      </c>
      <c r="F44" s="375">
        <v>1.6950000000000001</v>
      </c>
      <c r="G44" s="375">
        <v>2.3149999999999999</v>
      </c>
      <c r="H44" s="375">
        <v>0.85</v>
      </c>
      <c r="I44" s="80">
        <f t="shared" si="2"/>
        <v>-3.3353362500000001</v>
      </c>
      <c r="J44" s="722"/>
    </row>
    <row r="45" spans="1:13">
      <c r="A45" s="75">
        <v>7</v>
      </c>
      <c r="B45" s="726"/>
      <c r="C45" s="77" t="s">
        <v>71</v>
      </c>
      <c r="D45" s="77">
        <v>-1</v>
      </c>
      <c r="E45" s="77">
        <v>1</v>
      </c>
      <c r="F45" s="375">
        <v>3.95</v>
      </c>
      <c r="G45" s="375">
        <v>1.5</v>
      </c>
      <c r="H45" s="375">
        <v>0.85</v>
      </c>
      <c r="I45" s="80">
        <f t="shared" si="2"/>
        <v>-5.0362500000000008</v>
      </c>
      <c r="J45" s="723"/>
    </row>
    <row r="46" spans="1:13">
      <c r="A46" s="75"/>
      <c r="B46" s="77"/>
      <c r="C46" s="77"/>
      <c r="D46" s="77"/>
      <c r="E46" s="77"/>
      <c r="F46" s="77"/>
      <c r="G46" s="77"/>
      <c r="H46" s="77"/>
      <c r="I46" s="80"/>
      <c r="J46" s="78"/>
    </row>
    <row r="47" spans="1:13">
      <c r="A47" s="75"/>
      <c r="B47" s="77"/>
      <c r="C47" s="77"/>
      <c r="D47" s="77"/>
      <c r="E47" s="77"/>
      <c r="F47" s="77"/>
      <c r="G47" s="77"/>
      <c r="H47" s="81" t="s">
        <v>57</v>
      </c>
      <c r="I47" s="82">
        <f>SUM(I38:I46)</f>
        <v>748.20967374999998</v>
      </c>
      <c r="J47" s="78"/>
    </row>
    <row r="48" spans="1:13">
      <c r="A48" s="75">
        <v>1</v>
      </c>
      <c r="B48" s="77" t="s">
        <v>195</v>
      </c>
      <c r="C48" s="77" t="s">
        <v>71</v>
      </c>
      <c r="D48" s="77">
        <v>1</v>
      </c>
      <c r="E48" s="77">
        <v>1</v>
      </c>
      <c r="F48" s="395">
        <f>31.935</f>
        <v>31.934999999999999</v>
      </c>
      <c r="G48" s="395">
        <v>40.164999999999999</v>
      </c>
      <c r="H48" s="395">
        <v>0.85</v>
      </c>
      <c r="I48" s="80">
        <f t="shared" ref="I48:I54" si="3">PRODUCT(D48:H48)</f>
        <v>1090.26888375</v>
      </c>
      <c r="J48" s="721" t="s">
        <v>491</v>
      </c>
      <c r="L48" s="396"/>
      <c r="M48" s="396"/>
    </row>
    <row r="49" spans="1:13">
      <c r="A49" s="75">
        <v>2</v>
      </c>
      <c r="B49" s="77"/>
      <c r="C49" s="77" t="s">
        <v>71</v>
      </c>
      <c r="D49" s="77">
        <v>1</v>
      </c>
      <c r="E49" s="77">
        <v>1</v>
      </c>
      <c r="F49" s="395">
        <f>8.78</f>
        <v>8.7799999999999994</v>
      </c>
      <c r="G49" s="395">
        <v>0.51500000000000001</v>
      </c>
      <c r="H49" s="395">
        <v>0.85</v>
      </c>
      <c r="I49" s="80">
        <f t="shared" si="3"/>
        <v>3.843445</v>
      </c>
      <c r="J49" s="722"/>
      <c r="L49" s="396"/>
      <c r="M49" s="396"/>
    </row>
    <row r="50" spans="1:13">
      <c r="A50" s="75">
        <v>3</v>
      </c>
      <c r="B50" s="77" t="s">
        <v>196</v>
      </c>
      <c r="C50" s="77" t="s">
        <v>71</v>
      </c>
      <c r="D50" s="77">
        <v>-1</v>
      </c>
      <c r="E50" s="77">
        <v>1</v>
      </c>
      <c r="F50" s="395">
        <v>14.275</v>
      </c>
      <c r="G50" s="395">
        <v>12.414999999999999</v>
      </c>
      <c r="H50" s="395">
        <v>0.85</v>
      </c>
      <c r="I50" s="80">
        <f t="shared" si="3"/>
        <v>-150.64050624999999</v>
      </c>
      <c r="J50" s="722"/>
      <c r="L50" s="396"/>
      <c r="M50" s="396"/>
    </row>
    <row r="51" spans="1:13">
      <c r="A51" s="75">
        <v>4</v>
      </c>
      <c r="B51" s="77" t="s">
        <v>197</v>
      </c>
      <c r="C51" s="77" t="s">
        <v>71</v>
      </c>
      <c r="D51" s="77">
        <v>-1</v>
      </c>
      <c r="E51" s="77">
        <v>1</v>
      </c>
      <c r="F51" s="395">
        <v>11.09</v>
      </c>
      <c r="G51" s="395">
        <v>10.285</v>
      </c>
      <c r="H51" s="395">
        <v>0.85</v>
      </c>
      <c r="I51" s="80">
        <f t="shared" si="3"/>
        <v>-96.951552499999991</v>
      </c>
      <c r="J51" s="722"/>
      <c r="L51" s="396"/>
      <c r="M51" s="396"/>
    </row>
    <row r="52" spans="1:13">
      <c r="A52" s="75">
        <v>5</v>
      </c>
      <c r="B52" s="724" t="s">
        <v>198</v>
      </c>
      <c r="C52" s="77" t="s">
        <v>71</v>
      </c>
      <c r="D52" s="77">
        <v>-1</v>
      </c>
      <c r="E52" s="77">
        <v>1</v>
      </c>
      <c r="F52" s="395">
        <v>14.555</v>
      </c>
      <c r="G52" s="395">
        <v>3.72</v>
      </c>
      <c r="H52" s="395">
        <v>0.85</v>
      </c>
      <c r="I52" s="80">
        <f t="shared" si="3"/>
        <v>-46.022910000000003</v>
      </c>
      <c r="J52" s="722"/>
      <c r="L52" s="396"/>
      <c r="M52" s="396"/>
    </row>
    <row r="53" spans="1:13">
      <c r="A53" s="75">
        <v>6</v>
      </c>
      <c r="B53" s="725"/>
      <c r="C53" s="77" t="s">
        <v>71</v>
      </c>
      <c r="D53" s="77">
        <v>-1</v>
      </c>
      <c r="E53" s="77">
        <v>1</v>
      </c>
      <c r="F53" s="395">
        <v>1.6950000000000001</v>
      </c>
      <c r="G53" s="395">
        <v>2.3149999999999999</v>
      </c>
      <c r="H53" s="395">
        <v>0.85</v>
      </c>
      <c r="I53" s="80">
        <f t="shared" si="3"/>
        <v>-3.3353362500000001</v>
      </c>
      <c r="J53" s="722"/>
      <c r="L53" s="396"/>
      <c r="M53" s="396"/>
    </row>
    <row r="54" spans="1:13">
      <c r="A54" s="75">
        <v>7</v>
      </c>
      <c r="B54" s="726"/>
      <c r="C54" s="77" t="s">
        <v>71</v>
      </c>
      <c r="D54" s="77">
        <v>-1</v>
      </c>
      <c r="E54" s="77">
        <v>1</v>
      </c>
      <c r="F54" s="395">
        <v>3.95</v>
      </c>
      <c r="G54" s="395">
        <v>1.5</v>
      </c>
      <c r="H54" s="395">
        <v>0.85</v>
      </c>
      <c r="I54" s="80">
        <f t="shared" si="3"/>
        <v>-5.0362500000000008</v>
      </c>
      <c r="J54" s="723"/>
      <c r="L54" s="396"/>
      <c r="M54" s="396"/>
    </row>
    <row r="55" spans="1:13">
      <c r="A55" s="75"/>
      <c r="B55" s="77"/>
      <c r="C55" s="77"/>
      <c r="D55" s="77"/>
      <c r="E55" s="77"/>
      <c r="F55" s="77"/>
      <c r="G55" s="77"/>
      <c r="H55" s="77"/>
      <c r="I55" s="80"/>
      <c r="J55" s="78"/>
    </row>
    <row r="56" spans="1:13">
      <c r="A56" s="75"/>
      <c r="B56" s="77"/>
      <c r="C56" s="77"/>
      <c r="D56" s="77"/>
      <c r="E56" s="77"/>
      <c r="F56" s="77"/>
      <c r="G56" s="77"/>
      <c r="H56" s="81" t="s">
        <v>57</v>
      </c>
      <c r="I56" s="82">
        <f>SUM(I48:I55)</f>
        <v>792.12577375000001</v>
      </c>
      <c r="J56" s="78"/>
    </row>
    <row r="57" spans="1:13">
      <c r="A57" s="75"/>
      <c r="B57" s="411" t="s">
        <v>652</v>
      </c>
      <c r="C57" s="77"/>
      <c r="D57" s="77"/>
      <c r="E57" s="77"/>
      <c r="F57" s="77"/>
      <c r="G57" s="77"/>
      <c r="H57" s="408"/>
      <c r="I57" s="409"/>
      <c r="J57" s="403"/>
    </row>
    <row r="58" spans="1:13">
      <c r="A58" s="75">
        <v>1</v>
      </c>
      <c r="B58" s="77" t="s">
        <v>619</v>
      </c>
      <c r="C58" s="77" t="s">
        <v>71</v>
      </c>
      <c r="D58" s="77">
        <v>1</v>
      </c>
      <c r="E58" s="77">
        <v>1</v>
      </c>
      <c r="F58" s="395">
        <v>15.8</v>
      </c>
      <c r="G58" s="395">
        <v>0.9</v>
      </c>
      <c r="H58" s="395">
        <v>0.85</v>
      </c>
      <c r="I58" s="80">
        <f>PRODUCT(D58:H58)</f>
        <v>12.087</v>
      </c>
      <c r="J58" s="721" t="s">
        <v>492</v>
      </c>
      <c r="L58" s="396"/>
      <c r="M58" s="396"/>
    </row>
    <row r="59" spans="1:13">
      <c r="A59" s="75"/>
      <c r="B59" s="434"/>
      <c r="C59" s="77"/>
      <c r="D59" s="77"/>
      <c r="E59" s="77"/>
      <c r="F59" s="395"/>
      <c r="G59" s="395"/>
      <c r="H59" s="395"/>
      <c r="I59" s="80"/>
      <c r="J59" s="722"/>
      <c r="L59" s="396"/>
      <c r="M59" s="396"/>
    </row>
    <row r="60" spans="1:13">
      <c r="A60" s="75"/>
      <c r="B60" s="434"/>
      <c r="C60" s="77"/>
      <c r="D60" s="77"/>
      <c r="E60" s="77"/>
      <c r="F60" s="395"/>
      <c r="G60" s="395"/>
      <c r="H60" s="81" t="s">
        <v>57</v>
      </c>
      <c r="I60" s="82">
        <f>SUBTOTAL(9,I58:I59)</f>
        <v>12.087</v>
      </c>
      <c r="J60" s="722"/>
      <c r="L60" s="396"/>
      <c r="M60" s="396"/>
    </row>
    <row r="61" spans="1:13" ht="30">
      <c r="A61" s="75"/>
      <c r="B61" s="81" t="s">
        <v>637</v>
      </c>
      <c r="C61" s="77"/>
      <c r="D61" s="77"/>
      <c r="E61" s="77"/>
      <c r="F61" s="395"/>
      <c r="G61" s="395"/>
      <c r="H61" s="395"/>
      <c r="I61" s="80"/>
      <c r="J61" s="722"/>
      <c r="L61" s="396"/>
      <c r="M61" s="396"/>
    </row>
    <row r="62" spans="1:13">
      <c r="A62" s="75">
        <v>1</v>
      </c>
      <c r="B62" s="153" t="s">
        <v>620</v>
      </c>
      <c r="C62" s="77" t="s">
        <v>71</v>
      </c>
      <c r="D62" s="414">
        <f>31*2-16</f>
        <v>46</v>
      </c>
      <c r="E62" s="77">
        <v>1</v>
      </c>
      <c r="F62" s="395">
        <v>0.3</v>
      </c>
      <c r="G62" s="395">
        <v>0.6</v>
      </c>
      <c r="H62" s="395">
        <v>1.48</v>
      </c>
      <c r="I62" s="80">
        <f t="shared" ref="I62:I91" si="4">PRODUCT(D62:H62)</f>
        <v>12.254399999999999</v>
      </c>
      <c r="J62" s="722"/>
      <c r="L62" s="396"/>
      <c r="M62" s="396"/>
    </row>
    <row r="63" spans="1:13">
      <c r="A63" s="420">
        <v>2</v>
      </c>
      <c r="B63" s="422" t="s">
        <v>640</v>
      </c>
      <c r="C63" s="417" t="s">
        <v>71</v>
      </c>
      <c r="D63" s="422">
        <v>6</v>
      </c>
      <c r="E63" s="417">
        <v>1</v>
      </c>
      <c r="F63" s="415">
        <v>0.3</v>
      </c>
      <c r="G63" s="415">
        <v>0.6</v>
      </c>
      <c r="H63" s="415">
        <v>1.68</v>
      </c>
      <c r="I63" s="419">
        <f t="shared" si="4"/>
        <v>1.8143999999999996</v>
      </c>
      <c r="J63" s="722"/>
      <c r="L63" s="396"/>
      <c r="M63" s="396"/>
    </row>
    <row r="64" spans="1:13">
      <c r="A64" s="420">
        <v>3</v>
      </c>
      <c r="B64" s="422" t="s">
        <v>641</v>
      </c>
      <c r="C64" s="417" t="s">
        <v>71</v>
      </c>
      <c r="D64" s="422">
        <v>6</v>
      </c>
      <c r="E64" s="417">
        <v>1</v>
      </c>
      <c r="F64" s="415">
        <v>0.3</v>
      </c>
      <c r="G64" s="415">
        <v>0.6</v>
      </c>
      <c r="H64" s="415">
        <v>1.68</v>
      </c>
      <c r="I64" s="419">
        <f t="shared" si="4"/>
        <v>1.8143999999999996</v>
      </c>
      <c r="J64" s="722"/>
      <c r="L64" s="396"/>
      <c r="M64" s="396"/>
    </row>
    <row r="65" spans="1:13">
      <c r="A65" s="420">
        <v>4</v>
      </c>
      <c r="B65" s="422" t="s">
        <v>642</v>
      </c>
      <c r="C65" s="417" t="s">
        <v>71</v>
      </c>
      <c r="D65" s="422">
        <v>2</v>
      </c>
      <c r="E65" s="417">
        <v>1</v>
      </c>
      <c r="F65" s="415">
        <v>0.3</v>
      </c>
      <c r="G65" s="415">
        <v>0.6</v>
      </c>
      <c r="H65" s="415">
        <v>1.68</v>
      </c>
      <c r="I65" s="419">
        <f t="shared" si="4"/>
        <v>0.6048</v>
      </c>
      <c r="J65" s="722"/>
      <c r="L65" s="396"/>
      <c r="M65" s="396"/>
    </row>
    <row r="66" spans="1:13">
      <c r="A66" s="420">
        <v>5</v>
      </c>
      <c r="B66" s="422" t="s">
        <v>646</v>
      </c>
      <c r="C66" s="417" t="s">
        <v>71</v>
      </c>
      <c r="D66" s="422">
        <v>2</v>
      </c>
      <c r="E66" s="417">
        <v>1</v>
      </c>
      <c r="F66" s="415">
        <v>0.3</v>
      </c>
      <c r="G66" s="415">
        <v>0.6</v>
      </c>
      <c r="H66" s="415">
        <v>1.68</v>
      </c>
      <c r="I66" s="419">
        <f t="shared" si="4"/>
        <v>0.6048</v>
      </c>
      <c r="J66" s="722"/>
      <c r="L66" s="396"/>
      <c r="M66" s="396"/>
    </row>
    <row r="67" spans="1:13">
      <c r="A67" s="377">
        <v>6</v>
      </c>
      <c r="B67" s="405" t="s">
        <v>621</v>
      </c>
      <c r="C67" s="77" t="s">
        <v>71</v>
      </c>
      <c r="D67" s="413">
        <f>15*2-6</f>
        <v>24</v>
      </c>
      <c r="E67" s="77">
        <v>1</v>
      </c>
      <c r="F67" s="395">
        <v>0.3</v>
      </c>
      <c r="G67" s="395">
        <v>0.7</v>
      </c>
      <c r="H67" s="395">
        <v>1.48</v>
      </c>
      <c r="I67" s="80">
        <f t="shared" si="4"/>
        <v>7.4591999999999983</v>
      </c>
      <c r="J67" s="722"/>
      <c r="L67" s="396"/>
      <c r="M67" s="396"/>
    </row>
    <row r="68" spans="1:13">
      <c r="A68" s="420">
        <v>7</v>
      </c>
      <c r="B68" s="418" t="s">
        <v>638</v>
      </c>
      <c r="C68" s="417" t="s">
        <v>71</v>
      </c>
      <c r="D68" s="418">
        <v>4</v>
      </c>
      <c r="E68" s="417">
        <v>1</v>
      </c>
      <c r="F68" s="415">
        <v>0.3</v>
      </c>
      <c r="G68" s="415">
        <v>0.7</v>
      </c>
      <c r="H68" s="415">
        <v>1.68</v>
      </c>
      <c r="I68" s="419">
        <f t="shared" si="4"/>
        <v>1.4111999999999998</v>
      </c>
      <c r="J68" s="722"/>
      <c r="L68" s="396"/>
      <c r="M68" s="396"/>
    </row>
    <row r="69" spans="1:13">
      <c r="A69" s="420">
        <v>8</v>
      </c>
      <c r="B69" s="418" t="s">
        <v>639</v>
      </c>
      <c r="C69" s="417" t="s">
        <v>71</v>
      </c>
      <c r="D69" s="418">
        <v>2</v>
      </c>
      <c r="E69" s="417">
        <v>1</v>
      </c>
      <c r="F69" s="415">
        <v>0.3</v>
      </c>
      <c r="G69" s="415">
        <v>0.7</v>
      </c>
      <c r="H69" s="415">
        <v>1.68</v>
      </c>
      <c r="I69" s="419">
        <f t="shared" si="4"/>
        <v>0.70559999999999989</v>
      </c>
      <c r="J69" s="722"/>
      <c r="L69" s="396"/>
      <c r="M69" s="396"/>
    </row>
    <row r="70" spans="1:13">
      <c r="A70" s="75">
        <v>9</v>
      </c>
      <c r="B70" s="405" t="s">
        <v>622</v>
      </c>
      <c r="C70" s="77" t="s">
        <v>71</v>
      </c>
      <c r="D70" s="413">
        <f>7*2</f>
        <v>14</v>
      </c>
      <c r="E70" s="77">
        <v>1</v>
      </c>
      <c r="F70" s="395">
        <v>0.3</v>
      </c>
      <c r="G70" s="395">
        <v>0.71499999999999997</v>
      </c>
      <c r="H70" s="395">
        <v>1.48</v>
      </c>
      <c r="I70" s="80">
        <f t="shared" si="4"/>
        <v>4.4444400000000002</v>
      </c>
      <c r="J70" s="722"/>
      <c r="L70" s="396"/>
      <c r="M70" s="396"/>
    </row>
    <row r="71" spans="1:13">
      <c r="A71" s="377">
        <v>10</v>
      </c>
      <c r="B71" s="413" t="s">
        <v>623</v>
      </c>
      <c r="C71" s="77" t="s">
        <v>71</v>
      </c>
      <c r="D71" s="413">
        <f>2*2-2</f>
        <v>2</v>
      </c>
      <c r="E71" s="77">
        <v>1</v>
      </c>
      <c r="F71" s="395">
        <v>0.3</v>
      </c>
      <c r="G71" s="395">
        <v>0.8</v>
      </c>
      <c r="H71" s="395">
        <v>1.48</v>
      </c>
      <c r="I71" s="80">
        <f t="shared" si="4"/>
        <v>0.71039999999999992</v>
      </c>
      <c r="J71" s="722"/>
      <c r="L71" s="396"/>
      <c r="M71" s="396"/>
    </row>
    <row r="72" spans="1:13">
      <c r="A72" s="420">
        <v>11</v>
      </c>
      <c r="B72" s="418" t="s">
        <v>623</v>
      </c>
      <c r="C72" s="417" t="s">
        <v>71</v>
      </c>
      <c r="D72" s="418">
        <v>2</v>
      </c>
      <c r="E72" s="417">
        <v>1</v>
      </c>
      <c r="F72" s="415">
        <v>0.3</v>
      </c>
      <c r="G72" s="415">
        <v>0.8</v>
      </c>
      <c r="H72" s="415">
        <v>1.68</v>
      </c>
      <c r="I72" s="419">
        <f t="shared" si="4"/>
        <v>0.80639999999999989</v>
      </c>
      <c r="J72" s="722"/>
      <c r="L72" s="396"/>
      <c r="M72" s="396"/>
    </row>
    <row r="73" spans="1:13">
      <c r="A73" s="377">
        <v>12</v>
      </c>
      <c r="B73" s="410" t="s">
        <v>624</v>
      </c>
      <c r="C73" s="77" t="s">
        <v>71</v>
      </c>
      <c r="D73" s="413">
        <f>1*2</f>
        <v>2</v>
      </c>
      <c r="E73" s="77">
        <v>1</v>
      </c>
      <c r="F73" s="395">
        <v>0.23</v>
      </c>
      <c r="G73" s="395">
        <v>0.65</v>
      </c>
      <c r="H73" s="395">
        <v>1.48</v>
      </c>
      <c r="I73" s="80">
        <f t="shared" si="4"/>
        <v>0.44252000000000008</v>
      </c>
      <c r="J73" s="722"/>
      <c r="L73" s="396"/>
      <c r="M73" s="396"/>
    </row>
    <row r="74" spans="1:13">
      <c r="A74" s="75">
        <v>13</v>
      </c>
      <c r="B74" s="410"/>
      <c r="C74" s="77" t="s">
        <v>71</v>
      </c>
      <c r="D74" s="413">
        <v>2</v>
      </c>
      <c r="E74" s="77">
        <v>1</v>
      </c>
      <c r="F74" s="395">
        <v>0.23</v>
      </c>
      <c r="G74" s="395">
        <f>1.65-0.23</f>
        <v>1.42</v>
      </c>
      <c r="H74" s="395">
        <v>1.48</v>
      </c>
      <c r="I74" s="80">
        <f t="shared" si="4"/>
        <v>0.96673600000000004</v>
      </c>
      <c r="J74" s="722"/>
      <c r="L74" s="396"/>
      <c r="M74" s="396"/>
    </row>
    <row r="75" spans="1:13">
      <c r="A75" s="377">
        <v>14</v>
      </c>
      <c r="B75" s="410" t="s">
        <v>625</v>
      </c>
      <c r="C75" s="77" t="s">
        <v>71</v>
      </c>
      <c r="D75" s="413">
        <f>1*2</f>
        <v>2</v>
      </c>
      <c r="E75" s="77">
        <v>1</v>
      </c>
      <c r="F75" s="395">
        <v>0.23</v>
      </c>
      <c r="G75" s="395">
        <v>0.65</v>
      </c>
      <c r="H75" s="395">
        <v>1.48</v>
      </c>
      <c r="I75" s="80">
        <f t="shared" si="4"/>
        <v>0.44252000000000008</v>
      </c>
      <c r="J75" s="722"/>
      <c r="L75" s="396"/>
      <c r="M75" s="396"/>
    </row>
    <row r="76" spans="1:13">
      <c r="A76" s="75">
        <v>15</v>
      </c>
      <c r="B76" s="410"/>
      <c r="C76" s="77" t="s">
        <v>71</v>
      </c>
      <c r="D76" s="413">
        <v>2</v>
      </c>
      <c r="E76" s="77">
        <v>1</v>
      </c>
      <c r="F76" s="395">
        <v>0.23</v>
      </c>
      <c r="G76" s="395">
        <f>1.85-0.23</f>
        <v>1.62</v>
      </c>
      <c r="H76" s="395">
        <v>1.48</v>
      </c>
      <c r="I76" s="80">
        <f t="shared" si="4"/>
        <v>1.1028960000000001</v>
      </c>
      <c r="J76" s="722"/>
      <c r="L76" s="396"/>
      <c r="M76" s="396"/>
    </row>
    <row r="77" spans="1:13">
      <c r="A77" s="377">
        <v>16</v>
      </c>
      <c r="B77" s="410" t="s">
        <v>626</v>
      </c>
      <c r="C77" s="77" t="s">
        <v>71</v>
      </c>
      <c r="D77" s="413">
        <f>1*2</f>
        <v>2</v>
      </c>
      <c r="E77" s="77">
        <v>1</v>
      </c>
      <c r="F77" s="395">
        <v>0.23</v>
      </c>
      <c r="G77" s="395">
        <v>1</v>
      </c>
      <c r="H77" s="395">
        <v>1.48</v>
      </c>
      <c r="I77" s="80">
        <f t="shared" si="4"/>
        <v>0.68080000000000007</v>
      </c>
      <c r="J77" s="722"/>
      <c r="L77" s="396"/>
      <c r="M77" s="396"/>
    </row>
    <row r="78" spans="1:13">
      <c r="A78" s="75">
        <v>17</v>
      </c>
      <c r="B78" s="410" t="s">
        <v>627</v>
      </c>
      <c r="C78" s="77" t="s">
        <v>71</v>
      </c>
      <c r="D78" s="413">
        <f>1*2</f>
        <v>2</v>
      </c>
      <c r="E78" s="77">
        <v>1</v>
      </c>
      <c r="F78" s="395">
        <v>0.23</v>
      </c>
      <c r="G78" s="395">
        <v>1.1499999999999999</v>
      </c>
      <c r="H78" s="395">
        <v>1.48</v>
      </c>
      <c r="I78" s="80">
        <f t="shared" si="4"/>
        <v>0.78292000000000006</v>
      </c>
      <c r="J78" s="722"/>
      <c r="L78" s="396"/>
      <c r="M78" s="396"/>
    </row>
    <row r="79" spans="1:13">
      <c r="A79" s="420">
        <v>18</v>
      </c>
      <c r="B79" s="416" t="s">
        <v>628</v>
      </c>
      <c r="C79" s="417" t="s">
        <v>71</v>
      </c>
      <c r="D79" s="418">
        <v>4</v>
      </c>
      <c r="E79" s="417">
        <v>1</v>
      </c>
      <c r="F79" s="415">
        <v>0.23</v>
      </c>
      <c r="G79" s="415">
        <v>1.7</v>
      </c>
      <c r="H79" s="415">
        <v>1.68</v>
      </c>
      <c r="I79" s="419">
        <f t="shared" si="4"/>
        <v>2.6275200000000001</v>
      </c>
      <c r="J79" s="722"/>
      <c r="L79" s="396"/>
      <c r="M79" s="396"/>
    </row>
    <row r="80" spans="1:13">
      <c r="A80" s="75">
        <v>19</v>
      </c>
      <c r="B80" s="410" t="s">
        <v>629</v>
      </c>
      <c r="C80" s="77" t="s">
        <v>71</v>
      </c>
      <c r="D80" s="413">
        <v>2</v>
      </c>
      <c r="E80" s="77">
        <v>1</v>
      </c>
      <c r="F80" s="395">
        <v>0.23</v>
      </c>
      <c r="G80" s="395">
        <v>1.1850000000000001</v>
      </c>
      <c r="H80" s="395">
        <v>1.48</v>
      </c>
      <c r="I80" s="80">
        <f t="shared" si="4"/>
        <v>0.80674800000000002</v>
      </c>
      <c r="J80" s="722"/>
      <c r="L80" s="396"/>
      <c r="M80" s="396"/>
    </row>
    <row r="81" spans="1:13">
      <c r="A81" s="420">
        <v>20</v>
      </c>
      <c r="B81" s="416" t="s">
        <v>629</v>
      </c>
      <c r="C81" s="417" t="s">
        <v>71</v>
      </c>
      <c r="D81" s="418">
        <v>2</v>
      </c>
      <c r="E81" s="417">
        <v>1</v>
      </c>
      <c r="F81" s="415">
        <v>0.23</v>
      </c>
      <c r="G81" s="415">
        <v>1.1850000000000001</v>
      </c>
      <c r="H81" s="415">
        <v>1.68</v>
      </c>
      <c r="I81" s="419">
        <f t="shared" si="4"/>
        <v>0.91576800000000003</v>
      </c>
      <c r="J81" s="722"/>
      <c r="L81" s="396"/>
      <c r="M81" s="396"/>
    </row>
    <row r="82" spans="1:13">
      <c r="A82" s="75">
        <v>21</v>
      </c>
      <c r="B82" s="410" t="s">
        <v>630</v>
      </c>
      <c r="C82" s="77" t="s">
        <v>71</v>
      </c>
      <c r="D82" s="413">
        <f>1*2</f>
        <v>2</v>
      </c>
      <c r="E82" s="77">
        <v>1</v>
      </c>
      <c r="F82" s="395">
        <v>0.23</v>
      </c>
      <c r="G82" s="395">
        <v>1.855</v>
      </c>
      <c r="H82" s="395">
        <v>1.48</v>
      </c>
      <c r="I82" s="80">
        <f t="shared" si="4"/>
        <v>1.2628840000000001</v>
      </c>
      <c r="J82" s="722"/>
      <c r="L82" s="396"/>
      <c r="M82" s="396"/>
    </row>
    <row r="83" spans="1:13">
      <c r="A83" s="377">
        <v>22</v>
      </c>
      <c r="B83" s="410" t="s">
        <v>631</v>
      </c>
      <c r="C83" s="77" t="s">
        <v>71</v>
      </c>
      <c r="D83" s="413">
        <v>1</v>
      </c>
      <c r="E83" s="77">
        <v>1</v>
      </c>
      <c r="F83" s="395">
        <v>0.23</v>
      </c>
      <c r="G83" s="395">
        <v>3.6</v>
      </c>
      <c r="H83" s="395">
        <v>1.48</v>
      </c>
      <c r="I83" s="80">
        <f t="shared" si="4"/>
        <v>1.2254400000000001</v>
      </c>
      <c r="J83" s="722"/>
      <c r="L83" s="396"/>
      <c r="M83" s="396"/>
    </row>
    <row r="84" spans="1:13">
      <c r="A84" s="75">
        <v>23</v>
      </c>
      <c r="B84" s="410" t="s">
        <v>632</v>
      </c>
      <c r="C84" s="77" t="s">
        <v>71</v>
      </c>
      <c r="D84" s="413">
        <f>3*2</f>
        <v>6</v>
      </c>
      <c r="E84" s="77">
        <v>1</v>
      </c>
      <c r="F84" s="395">
        <v>0.23</v>
      </c>
      <c r="G84" s="395">
        <v>0.65</v>
      </c>
      <c r="H84" s="395">
        <v>1.48</v>
      </c>
      <c r="I84" s="80">
        <f t="shared" si="4"/>
        <v>1.3275600000000001</v>
      </c>
      <c r="J84" s="722"/>
      <c r="L84" s="396"/>
      <c r="M84" s="396"/>
    </row>
    <row r="85" spans="1:13">
      <c r="A85" s="377">
        <v>24</v>
      </c>
      <c r="B85" s="410"/>
      <c r="C85" s="77" t="s">
        <v>71</v>
      </c>
      <c r="D85" s="413">
        <v>6</v>
      </c>
      <c r="E85" s="77">
        <v>1</v>
      </c>
      <c r="F85" s="395">
        <v>0.23</v>
      </c>
      <c r="G85" s="395">
        <f>1.85-0.23</f>
        <v>1.62</v>
      </c>
      <c r="H85" s="395">
        <v>1.48</v>
      </c>
      <c r="I85" s="80">
        <f t="shared" si="4"/>
        <v>3.3086880000000005</v>
      </c>
      <c r="J85" s="722"/>
      <c r="L85" s="396"/>
      <c r="M85" s="396"/>
    </row>
    <row r="86" spans="1:13">
      <c r="A86" s="420">
        <v>25</v>
      </c>
      <c r="B86" s="416" t="s">
        <v>633</v>
      </c>
      <c r="C86" s="417" t="s">
        <v>71</v>
      </c>
      <c r="D86" s="418">
        <f>1*2</f>
        <v>2</v>
      </c>
      <c r="E86" s="417">
        <v>1</v>
      </c>
      <c r="F86" s="415">
        <v>0.23</v>
      </c>
      <c r="G86" s="415">
        <v>3.4449999999999998</v>
      </c>
      <c r="H86" s="415">
        <v>1.68</v>
      </c>
      <c r="I86" s="419">
        <f t="shared" si="4"/>
        <v>2.662296</v>
      </c>
      <c r="J86" s="722"/>
      <c r="L86" s="396"/>
      <c r="M86" s="396"/>
    </row>
    <row r="87" spans="1:13">
      <c r="A87" s="420">
        <v>26</v>
      </c>
      <c r="B87" s="416" t="s">
        <v>634</v>
      </c>
      <c r="C87" s="417" t="s">
        <v>71</v>
      </c>
      <c r="D87" s="418">
        <f>1*2</f>
        <v>2</v>
      </c>
      <c r="E87" s="417">
        <v>1</v>
      </c>
      <c r="F87" s="415">
        <v>0.23</v>
      </c>
      <c r="G87" s="415">
        <v>4.0650000000000004</v>
      </c>
      <c r="H87" s="415">
        <v>1.68</v>
      </c>
      <c r="I87" s="419">
        <f t="shared" si="4"/>
        <v>3.1414320000000004</v>
      </c>
      <c r="J87" s="722"/>
      <c r="L87" s="396"/>
      <c r="M87" s="396"/>
    </row>
    <row r="88" spans="1:13">
      <c r="A88" s="420">
        <v>27</v>
      </c>
      <c r="B88" s="416" t="s">
        <v>635</v>
      </c>
      <c r="C88" s="417" t="s">
        <v>71</v>
      </c>
      <c r="D88" s="418">
        <f>1*2</f>
        <v>2</v>
      </c>
      <c r="E88" s="417">
        <v>1</v>
      </c>
      <c r="F88" s="415">
        <v>0.23</v>
      </c>
      <c r="G88" s="415">
        <v>0.65</v>
      </c>
      <c r="H88" s="415">
        <v>1.68</v>
      </c>
      <c r="I88" s="419">
        <f t="shared" si="4"/>
        <v>0.5023200000000001</v>
      </c>
      <c r="J88" s="722"/>
      <c r="L88" s="396"/>
      <c r="M88" s="396"/>
    </row>
    <row r="89" spans="1:13">
      <c r="A89" s="420">
        <v>28</v>
      </c>
      <c r="B89" s="416"/>
      <c r="C89" s="417" t="s">
        <v>71</v>
      </c>
      <c r="D89" s="418">
        <v>2</v>
      </c>
      <c r="E89" s="417">
        <v>1</v>
      </c>
      <c r="F89" s="415">
        <v>0.23</v>
      </c>
      <c r="G89" s="415">
        <f>1.535-0.23</f>
        <v>1.3049999999999999</v>
      </c>
      <c r="H89" s="415">
        <v>1.68</v>
      </c>
      <c r="I89" s="419">
        <f t="shared" si="4"/>
        <v>1.0085039999999998</v>
      </c>
      <c r="J89" s="722"/>
      <c r="L89" s="396"/>
      <c r="M89" s="396"/>
    </row>
    <row r="90" spans="1:13">
      <c r="A90" s="420">
        <v>29</v>
      </c>
      <c r="B90" s="416" t="s">
        <v>636</v>
      </c>
      <c r="C90" s="417" t="s">
        <v>71</v>
      </c>
      <c r="D90" s="418">
        <f>1*2</f>
        <v>2</v>
      </c>
      <c r="E90" s="417">
        <v>1</v>
      </c>
      <c r="F90" s="415">
        <v>0.2</v>
      </c>
      <c r="G90" s="415">
        <v>3.4449999999999998</v>
      </c>
      <c r="H90" s="415">
        <v>1.68</v>
      </c>
      <c r="I90" s="419">
        <f t="shared" si="4"/>
        <v>2.3150400000000002</v>
      </c>
      <c r="J90" s="722"/>
      <c r="L90" s="396"/>
      <c r="M90" s="396"/>
    </row>
    <row r="91" spans="1:13">
      <c r="A91" s="420">
        <v>30</v>
      </c>
      <c r="B91" s="421" t="s">
        <v>455</v>
      </c>
      <c r="C91" s="417" t="s">
        <v>71</v>
      </c>
      <c r="D91" s="418">
        <f>4*2</f>
        <v>8</v>
      </c>
      <c r="E91" s="417">
        <v>1</v>
      </c>
      <c r="F91" s="415">
        <v>0.23</v>
      </c>
      <c r="G91" s="415">
        <v>1.9</v>
      </c>
      <c r="H91" s="415">
        <v>1.68</v>
      </c>
      <c r="I91" s="419">
        <f t="shared" si="4"/>
        <v>5.8732799999999994</v>
      </c>
      <c r="J91" s="722"/>
      <c r="L91" s="396"/>
      <c r="M91" s="396"/>
    </row>
    <row r="92" spans="1:13">
      <c r="A92" s="75"/>
      <c r="B92" s="412"/>
      <c r="C92" s="77"/>
      <c r="D92" s="397"/>
      <c r="E92" s="77"/>
      <c r="F92" s="395"/>
      <c r="G92" s="395"/>
      <c r="H92" s="395"/>
      <c r="I92" s="80"/>
      <c r="J92" s="722"/>
      <c r="L92" s="396"/>
      <c r="M92" s="396"/>
    </row>
    <row r="93" spans="1:13">
      <c r="A93" s="75"/>
      <c r="B93" s="412"/>
      <c r="C93" s="77"/>
      <c r="D93" s="397"/>
      <c r="E93" s="77"/>
      <c r="F93" s="395"/>
      <c r="G93" s="395"/>
      <c r="H93" s="81" t="s">
        <v>57</v>
      </c>
      <c r="I93" s="82">
        <f>SUBTOTAL(9,I62:I92)</f>
        <v>64.025911999999991</v>
      </c>
      <c r="J93" s="433"/>
      <c r="L93" s="396"/>
      <c r="M93" s="396"/>
    </row>
    <row r="94" spans="1:13">
      <c r="A94" s="75"/>
      <c r="B94" s="77"/>
      <c r="C94" s="77"/>
      <c r="D94" s="77"/>
      <c r="E94" s="77"/>
      <c r="F94" s="77"/>
      <c r="G94" s="77"/>
      <c r="H94" s="77"/>
      <c r="I94" s="80"/>
      <c r="J94" s="78"/>
      <c r="M94" s="469"/>
    </row>
    <row r="95" spans="1:13">
      <c r="A95" s="75"/>
      <c r="B95" s="77"/>
      <c r="C95" s="77"/>
      <c r="D95" s="77"/>
      <c r="E95" s="77"/>
      <c r="F95" s="77"/>
      <c r="G95" s="77"/>
      <c r="H95" s="81" t="s">
        <v>57</v>
      </c>
      <c r="I95" s="82">
        <f>SUBTOTAL(9,I58:I94)</f>
        <v>76.112911999999966</v>
      </c>
      <c r="J95" s="78"/>
    </row>
    <row r="96" spans="1:13">
      <c r="A96" s="759"/>
      <c r="B96" s="759"/>
      <c r="C96" s="759"/>
      <c r="D96" s="759"/>
      <c r="E96" s="759"/>
      <c r="F96" s="759"/>
      <c r="G96" s="759"/>
      <c r="H96" s="759"/>
      <c r="I96" s="759"/>
      <c r="J96" s="759"/>
    </row>
    <row r="97" spans="1:13">
      <c r="A97" s="75"/>
      <c r="B97" s="411" t="s">
        <v>673</v>
      </c>
      <c r="C97" s="77"/>
      <c r="D97" s="77"/>
      <c r="E97" s="77"/>
      <c r="F97" s="77"/>
      <c r="G97" s="77"/>
      <c r="H97" s="408"/>
      <c r="I97" s="409"/>
      <c r="J97" s="721" t="s">
        <v>751</v>
      </c>
    </row>
    <row r="98" spans="1:13">
      <c r="A98" s="75">
        <v>1</v>
      </c>
      <c r="B98" s="167" t="s">
        <v>674</v>
      </c>
      <c r="C98" s="77" t="s">
        <v>71</v>
      </c>
      <c r="D98" s="77">
        <v>1</v>
      </c>
      <c r="E98" s="472">
        <v>2</v>
      </c>
      <c r="F98" s="235">
        <v>3.0249999999999999</v>
      </c>
      <c r="G98" s="235">
        <v>0.2</v>
      </c>
      <c r="H98" s="235">
        <f t="shared" ref="H98:H129" si="5">0.45-0.115</f>
        <v>0.33500000000000002</v>
      </c>
      <c r="I98" s="80">
        <f t="shared" ref="I98:I129" si="6">PRODUCT(D98:H98)</f>
        <v>0.40534999999999999</v>
      </c>
      <c r="J98" s="722"/>
      <c r="L98" s="396"/>
      <c r="M98" s="396"/>
    </row>
    <row r="99" spans="1:13">
      <c r="A99" s="75">
        <v>2</v>
      </c>
      <c r="B99" s="167" t="s">
        <v>674</v>
      </c>
      <c r="C99" s="77" t="s">
        <v>71</v>
      </c>
      <c r="D99" s="77">
        <v>1</v>
      </c>
      <c r="E99" s="472">
        <v>2</v>
      </c>
      <c r="F99" s="235">
        <v>2.8</v>
      </c>
      <c r="G99" s="235">
        <v>0.2</v>
      </c>
      <c r="H99" s="235">
        <f t="shared" si="5"/>
        <v>0.33500000000000002</v>
      </c>
      <c r="I99" s="80">
        <f t="shared" si="6"/>
        <v>0.37519999999999998</v>
      </c>
      <c r="J99" s="722"/>
      <c r="L99" s="396"/>
      <c r="M99" s="396"/>
    </row>
    <row r="100" spans="1:13">
      <c r="A100" s="75">
        <v>3</v>
      </c>
      <c r="B100" s="167" t="s">
        <v>675</v>
      </c>
      <c r="C100" s="77" t="s">
        <v>71</v>
      </c>
      <c r="D100" s="77">
        <v>1</v>
      </c>
      <c r="E100" s="472">
        <v>2</v>
      </c>
      <c r="F100" s="235">
        <v>3.3</v>
      </c>
      <c r="G100" s="235">
        <v>0.2</v>
      </c>
      <c r="H100" s="235">
        <f t="shared" si="5"/>
        <v>0.33500000000000002</v>
      </c>
      <c r="I100" s="80">
        <f t="shared" si="6"/>
        <v>0.44220000000000004</v>
      </c>
      <c r="J100" s="722"/>
      <c r="L100" s="396"/>
      <c r="M100" s="396"/>
    </row>
    <row r="101" spans="1:13">
      <c r="A101" s="75">
        <v>4</v>
      </c>
      <c r="B101" s="167" t="s">
        <v>676</v>
      </c>
      <c r="C101" s="77" t="s">
        <v>71</v>
      </c>
      <c r="D101" s="77">
        <v>1</v>
      </c>
      <c r="E101" s="472">
        <v>4</v>
      </c>
      <c r="F101" s="235">
        <v>1.395</v>
      </c>
      <c r="G101" s="235">
        <v>0.1</v>
      </c>
      <c r="H101" s="235">
        <f t="shared" si="5"/>
        <v>0.33500000000000002</v>
      </c>
      <c r="I101" s="80">
        <f t="shared" si="6"/>
        <v>0.18693000000000004</v>
      </c>
      <c r="J101" s="722"/>
      <c r="L101" s="396"/>
      <c r="M101" s="396"/>
    </row>
    <row r="102" spans="1:13">
      <c r="A102" s="75">
        <v>5</v>
      </c>
      <c r="B102" s="167" t="s">
        <v>676</v>
      </c>
      <c r="C102" s="77" t="s">
        <v>71</v>
      </c>
      <c r="D102" s="77">
        <v>1</v>
      </c>
      <c r="E102" s="472">
        <v>6</v>
      </c>
      <c r="F102" s="235">
        <v>1.4</v>
      </c>
      <c r="G102" s="235">
        <v>0.1</v>
      </c>
      <c r="H102" s="235">
        <f t="shared" si="5"/>
        <v>0.33500000000000002</v>
      </c>
      <c r="I102" s="80">
        <f t="shared" si="6"/>
        <v>0.28139999999999998</v>
      </c>
      <c r="J102" s="722"/>
      <c r="L102" s="396"/>
      <c r="M102" s="396"/>
    </row>
    <row r="103" spans="1:13">
      <c r="A103" s="75">
        <v>6</v>
      </c>
      <c r="B103" s="167" t="s">
        <v>676</v>
      </c>
      <c r="C103" s="77" t="s">
        <v>71</v>
      </c>
      <c r="D103" s="77">
        <v>1</v>
      </c>
      <c r="E103" s="472">
        <v>2</v>
      </c>
      <c r="F103" s="235">
        <v>1.2</v>
      </c>
      <c r="G103" s="235">
        <v>0.1</v>
      </c>
      <c r="H103" s="235">
        <f t="shared" si="5"/>
        <v>0.33500000000000002</v>
      </c>
      <c r="I103" s="80">
        <f t="shared" si="6"/>
        <v>8.0399999999999999E-2</v>
      </c>
      <c r="J103" s="722"/>
      <c r="L103" s="396"/>
      <c r="M103" s="396"/>
    </row>
    <row r="104" spans="1:13">
      <c r="A104" s="75">
        <v>7</v>
      </c>
      <c r="B104" s="167" t="s">
        <v>676</v>
      </c>
      <c r="C104" s="77" t="s">
        <v>71</v>
      </c>
      <c r="D104" s="77">
        <v>1</v>
      </c>
      <c r="E104" s="472">
        <v>6</v>
      </c>
      <c r="F104" s="235">
        <v>1.55</v>
      </c>
      <c r="G104" s="235">
        <v>0.1</v>
      </c>
      <c r="H104" s="235">
        <f t="shared" si="5"/>
        <v>0.33500000000000002</v>
      </c>
      <c r="I104" s="80">
        <f t="shared" si="6"/>
        <v>0.31155000000000005</v>
      </c>
      <c r="J104" s="722"/>
      <c r="L104" s="396"/>
      <c r="M104" s="396"/>
    </row>
    <row r="105" spans="1:13">
      <c r="A105" s="75">
        <v>8</v>
      </c>
      <c r="B105" s="167" t="s">
        <v>676</v>
      </c>
      <c r="C105" s="77" t="s">
        <v>71</v>
      </c>
      <c r="D105" s="77">
        <v>1</v>
      </c>
      <c r="E105" s="472">
        <v>6</v>
      </c>
      <c r="F105" s="235">
        <v>0.97</v>
      </c>
      <c r="G105" s="235">
        <v>0.1</v>
      </c>
      <c r="H105" s="235">
        <f t="shared" si="5"/>
        <v>0.33500000000000002</v>
      </c>
      <c r="I105" s="80">
        <f t="shared" si="6"/>
        <v>0.19497000000000003</v>
      </c>
      <c r="J105" s="722"/>
      <c r="L105" s="396"/>
      <c r="M105" s="396"/>
    </row>
    <row r="106" spans="1:13">
      <c r="A106" s="75">
        <v>9</v>
      </c>
      <c r="B106" s="167" t="s">
        <v>677</v>
      </c>
      <c r="C106" s="77" t="s">
        <v>71</v>
      </c>
      <c r="D106" s="77">
        <v>1</v>
      </c>
      <c r="E106" s="472">
        <v>6</v>
      </c>
      <c r="F106" s="235">
        <v>1.395</v>
      </c>
      <c r="G106" s="235">
        <v>0.2</v>
      </c>
      <c r="H106" s="235">
        <f t="shared" si="5"/>
        <v>0.33500000000000002</v>
      </c>
      <c r="I106" s="80">
        <f t="shared" si="6"/>
        <v>0.56079000000000012</v>
      </c>
      <c r="J106" s="722"/>
      <c r="L106" s="396"/>
      <c r="M106" s="396"/>
    </row>
    <row r="107" spans="1:13">
      <c r="A107" s="75">
        <v>10</v>
      </c>
      <c r="B107" s="167" t="s">
        <v>678</v>
      </c>
      <c r="C107" s="77" t="s">
        <v>71</v>
      </c>
      <c r="D107" s="77">
        <v>1</v>
      </c>
      <c r="E107" s="472">
        <v>2</v>
      </c>
      <c r="F107" s="235">
        <v>3.1</v>
      </c>
      <c r="G107" s="235">
        <v>0.2</v>
      </c>
      <c r="H107" s="235">
        <f t="shared" si="5"/>
        <v>0.33500000000000002</v>
      </c>
      <c r="I107" s="80">
        <f t="shared" si="6"/>
        <v>0.4154000000000001</v>
      </c>
      <c r="J107" s="722"/>
      <c r="L107" s="396"/>
      <c r="M107" s="396"/>
    </row>
    <row r="108" spans="1:13">
      <c r="A108" s="75">
        <v>11</v>
      </c>
      <c r="B108" s="167" t="s">
        <v>679</v>
      </c>
      <c r="C108" s="77" t="s">
        <v>71</v>
      </c>
      <c r="D108" s="77">
        <v>1</v>
      </c>
      <c r="E108" s="472">
        <v>1</v>
      </c>
      <c r="F108" s="235">
        <f>18.91-2.4</f>
        <v>16.510000000000002</v>
      </c>
      <c r="G108" s="235">
        <v>0.2</v>
      </c>
      <c r="H108" s="235">
        <f t="shared" si="5"/>
        <v>0.33500000000000002</v>
      </c>
      <c r="I108" s="80">
        <f t="shared" si="6"/>
        <v>1.1061700000000003</v>
      </c>
      <c r="J108" s="722"/>
      <c r="L108" s="396"/>
      <c r="M108" s="396"/>
    </row>
    <row r="109" spans="1:13">
      <c r="A109" s="75">
        <v>12</v>
      </c>
      <c r="B109" s="167" t="s">
        <v>680</v>
      </c>
      <c r="C109" s="77" t="s">
        <v>71</v>
      </c>
      <c r="D109" s="77">
        <v>1</v>
      </c>
      <c r="E109" s="472">
        <v>2</v>
      </c>
      <c r="F109" s="235">
        <v>2.875</v>
      </c>
      <c r="G109" s="235">
        <v>0.2</v>
      </c>
      <c r="H109" s="235">
        <f t="shared" si="5"/>
        <v>0.33500000000000002</v>
      </c>
      <c r="I109" s="80">
        <f t="shared" si="6"/>
        <v>0.38525000000000009</v>
      </c>
      <c r="J109" s="722"/>
      <c r="L109" s="396"/>
      <c r="M109" s="396"/>
    </row>
    <row r="110" spans="1:13">
      <c r="A110" s="75">
        <v>13</v>
      </c>
      <c r="B110" s="167" t="s">
        <v>680</v>
      </c>
      <c r="C110" s="77" t="s">
        <v>71</v>
      </c>
      <c r="D110" s="77">
        <v>1</v>
      </c>
      <c r="E110" s="472">
        <v>2</v>
      </c>
      <c r="F110" s="235">
        <v>2.93</v>
      </c>
      <c r="G110" s="235">
        <v>0.2</v>
      </c>
      <c r="H110" s="235">
        <f t="shared" si="5"/>
        <v>0.33500000000000002</v>
      </c>
      <c r="I110" s="80">
        <f t="shared" si="6"/>
        <v>0.39262000000000008</v>
      </c>
      <c r="J110" s="722"/>
      <c r="L110" s="396"/>
      <c r="M110" s="396"/>
    </row>
    <row r="111" spans="1:13">
      <c r="A111" s="75">
        <v>14</v>
      </c>
      <c r="B111" s="167" t="s">
        <v>681</v>
      </c>
      <c r="C111" s="77" t="s">
        <v>71</v>
      </c>
      <c r="D111" s="77">
        <v>1</v>
      </c>
      <c r="E111" s="472">
        <v>2</v>
      </c>
      <c r="F111" s="235">
        <v>3.16</v>
      </c>
      <c r="G111" s="235">
        <v>0.2</v>
      </c>
      <c r="H111" s="235">
        <f t="shared" si="5"/>
        <v>0.33500000000000002</v>
      </c>
      <c r="I111" s="80">
        <f t="shared" si="6"/>
        <v>0.42344000000000009</v>
      </c>
      <c r="J111" s="722"/>
      <c r="L111" s="396"/>
      <c r="M111" s="396"/>
    </row>
    <row r="112" spans="1:13">
      <c r="A112" s="75">
        <v>15</v>
      </c>
      <c r="B112" s="167" t="s">
        <v>682</v>
      </c>
      <c r="C112" s="77" t="s">
        <v>71</v>
      </c>
      <c r="D112" s="77">
        <v>1</v>
      </c>
      <c r="E112" s="472">
        <v>2</v>
      </c>
      <c r="F112" s="235">
        <v>5.6349999999999998</v>
      </c>
      <c r="G112" s="235">
        <v>0.2</v>
      </c>
      <c r="H112" s="235">
        <f t="shared" si="5"/>
        <v>0.33500000000000002</v>
      </c>
      <c r="I112" s="80">
        <f t="shared" si="6"/>
        <v>0.75509000000000004</v>
      </c>
      <c r="J112" s="722"/>
      <c r="L112" s="396"/>
      <c r="M112" s="396"/>
    </row>
    <row r="113" spans="1:13">
      <c r="A113" s="75">
        <v>16</v>
      </c>
      <c r="B113" s="167" t="s">
        <v>683</v>
      </c>
      <c r="C113" s="77" t="s">
        <v>71</v>
      </c>
      <c r="D113" s="77">
        <v>1</v>
      </c>
      <c r="E113" s="472">
        <v>2</v>
      </c>
      <c r="F113" s="235">
        <v>4.6900000000000004</v>
      </c>
      <c r="G113" s="235">
        <v>0.2</v>
      </c>
      <c r="H113" s="235">
        <f t="shared" si="5"/>
        <v>0.33500000000000002</v>
      </c>
      <c r="I113" s="80">
        <f t="shared" si="6"/>
        <v>0.62846000000000013</v>
      </c>
      <c r="J113" s="722"/>
      <c r="L113" s="396"/>
      <c r="M113" s="396"/>
    </row>
    <row r="114" spans="1:13">
      <c r="A114" s="75">
        <v>17</v>
      </c>
      <c r="B114" s="167" t="s">
        <v>684</v>
      </c>
      <c r="C114" s="77" t="s">
        <v>71</v>
      </c>
      <c r="D114" s="77">
        <v>1</v>
      </c>
      <c r="E114" s="472">
        <v>2</v>
      </c>
      <c r="F114" s="235">
        <v>5.76</v>
      </c>
      <c r="G114" s="235">
        <v>0.2</v>
      </c>
      <c r="H114" s="235">
        <f t="shared" si="5"/>
        <v>0.33500000000000002</v>
      </c>
      <c r="I114" s="80">
        <f t="shared" si="6"/>
        <v>0.77183999999999997</v>
      </c>
      <c r="J114" s="722"/>
      <c r="L114" s="396"/>
      <c r="M114" s="396"/>
    </row>
    <row r="115" spans="1:13">
      <c r="A115" s="75">
        <v>18</v>
      </c>
      <c r="B115" s="167" t="s">
        <v>685</v>
      </c>
      <c r="C115" s="77" t="s">
        <v>71</v>
      </c>
      <c r="D115" s="77">
        <v>1</v>
      </c>
      <c r="E115" s="472">
        <v>2</v>
      </c>
      <c r="F115" s="235">
        <v>2.2200000000000002</v>
      </c>
      <c r="G115" s="235">
        <v>0.2</v>
      </c>
      <c r="H115" s="235">
        <f t="shared" si="5"/>
        <v>0.33500000000000002</v>
      </c>
      <c r="I115" s="80">
        <f t="shared" si="6"/>
        <v>0.29748000000000008</v>
      </c>
      <c r="J115" s="722"/>
      <c r="L115" s="396"/>
      <c r="M115" s="396"/>
    </row>
    <row r="116" spans="1:13">
      <c r="A116" s="75">
        <v>19</v>
      </c>
      <c r="B116" s="167" t="s">
        <v>686</v>
      </c>
      <c r="C116" s="77" t="s">
        <v>71</v>
      </c>
      <c r="D116" s="77">
        <v>1</v>
      </c>
      <c r="E116" s="472">
        <v>2</v>
      </c>
      <c r="F116" s="235">
        <v>3.1150000000000002</v>
      </c>
      <c r="G116" s="235">
        <v>0.2</v>
      </c>
      <c r="H116" s="235">
        <f t="shared" si="5"/>
        <v>0.33500000000000002</v>
      </c>
      <c r="I116" s="80">
        <f t="shared" si="6"/>
        <v>0.41741000000000011</v>
      </c>
      <c r="J116" s="722"/>
      <c r="L116" s="396"/>
      <c r="M116" s="396"/>
    </row>
    <row r="117" spans="1:13">
      <c r="A117" s="75">
        <v>20</v>
      </c>
      <c r="B117" s="167" t="s">
        <v>687</v>
      </c>
      <c r="C117" s="77" t="s">
        <v>71</v>
      </c>
      <c r="D117" s="77">
        <v>1</v>
      </c>
      <c r="E117" s="472">
        <v>6</v>
      </c>
      <c r="F117" s="235">
        <v>7.6050000000000004</v>
      </c>
      <c r="G117" s="235">
        <v>0.2</v>
      </c>
      <c r="H117" s="235">
        <f t="shared" si="5"/>
        <v>0.33500000000000002</v>
      </c>
      <c r="I117" s="80">
        <f t="shared" si="6"/>
        <v>3.0572100000000004</v>
      </c>
      <c r="J117" s="722"/>
      <c r="L117" s="396"/>
      <c r="M117" s="396"/>
    </row>
    <row r="118" spans="1:13">
      <c r="A118" s="75">
        <v>21</v>
      </c>
      <c r="B118" s="167" t="s">
        <v>688</v>
      </c>
      <c r="C118" s="77" t="s">
        <v>71</v>
      </c>
      <c r="D118" s="77">
        <v>1</v>
      </c>
      <c r="E118" s="472">
        <v>2</v>
      </c>
      <c r="F118" s="235">
        <v>3.2149999999999999</v>
      </c>
      <c r="G118" s="235">
        <v>0.2</v>
      </c>
      <c r="H118" s="235">
        <f t="shared" si="5"/>
        <v>0.33500000000000002</v>
      </c>
      <c r="I118" s="80">
        <f t="shared" si="6"/>
        <v>0.43081000000000003</v>
      </c>
      <c r="J118" s="722"/>
      <c r="L118" s="396"/>
      <c r="M118" s="396"/>
    </row>
    <row r="119" spans="1:13">
      <c r="A119" s="75">
        <v>22</v>
      </c>
      <c r="B119" s="167" t="s">
        <v>689</v>
      </c>
      <c r="C119" s="77" t="s">
        <v>71</v>
      </c>
      <c r="D119" s="77">
        <v>1</v>
      </c>
      <c r="E119" s="472">
        <v>2</v>
      </c>
      <c r="F119" s="235">
        <v>2.76</v>
      </c>
      <c r="G119" s="235">
        <v>0.23</v>
      </c>
      <c r="H119" s="235">
        <f t="shared" si="5"/>
        <v>0.33500000000000002</v>
      </c>
      <c r="I119" s="80">
        <f t="shared" si="6"/>
        <v>0.42531600000000003</v>
      </c>
      <c r="J119" s="722"/>
      <c r="L119" s="396"/>
      <c r="M119" s="396"/>
    </row>
    <row r="120" spans="1:13">
      <c r="A120" s="75">
        <v>23</v>
      </c>
      <c r="B120" s="167" t="s">
        <v>690</v>
      </c>
      <c r="C120" s="77" t="s">
        <v>71</v>
      </c>
      <c r="D120" s="77">
        <v>1</v>
      </c>
      <c r="E120" s="472">
        <v>2</v>
      </c>
      <c r="F120" s="235">
        <f>17.43-1.185-0.3-0.6</f>
        <v>15.345000000000001</v>
      </c>
      <c r="G120" s="235">
        <v>0.23</v>
      </c>
      <c r="H120" s="235">
        <f t="shared" si="5"/>
        <v>0.33500000000000002</v>
      </c>
      <c r="I120" s="80">
        <f t="shared" si="6"/>
        <v>2.3646645000000004</v>
      </c>
      <c r="J120" s="722"/>
      <c r="L120" s="396"/>
      <c r="M120" s="396"/>
    </row>
    <row r="121" spans="1:13">
      <c r="A121" s="75">
        <v>24</v>
      </c>
      <c r="B121" s="167" t="s">
        <v>691</v>
      </c>
      <c r="C121" s="77" t="s">
        <v>71</v>
      </c>
      <c r="D121" s="77">
        <v>1</v>
      </c>
      <c r="E121" s="472">
        <v>2</v>
      </c>
      <c r="F121" s="235">
        <v>8.02</v>
      </c>
      <c r="G121" s="235">
        <v>0.2</v>
      </c>
      <c r="H121" s="235">
        <f t="shared" si="5"/>
        <v>0.33500000000000002</v>
      </c>
      <c r="I121" s="80">
        <f t="shared" si="6"/>
        <v>1.0746800000000001</v>
      </c>
      <c r="J121" s="722"/>
      <c r="L121" s="396"/>
      <c r="M121" s="396"/>
    </row>
    <row r="122" spans="1:13">
      <c r="A122" s="75">
        <v>25</v>
      </c>
      <c r="B122" s="167" t="s">
        <v>692</v>
      </c>
      <c r="C122" s="77" t="s">
        <v>71</v>
      </c>
      <c r="D122" s="77">
        <v>1</v>
      </c>
      <c r="E122" s="472">
        <v>2</v>
      </c>
      <c r="F122" s="235">
        <v>5.72</v>
      </c>
      <c r="G122" s="235">
        <v>0.2</v>
      </c>
      <c r="H122" s="235">
        <f t="shared" si="5"/>
        <v>0.33500000000000002</v>
      </c>
      <c r="I122" s="80">
        <f t="shared" si="6"/>
        <v>0.76647999999999994</v>
      </c>
      <c r="J122" s="722"/>
      <c r="L122" s="396"/>
      <c r="M122" s="396"/>
    </row>
    <row r="123" spans="1:13">
      <c r="A123" s="75">
        <v>26</v>
      </c>
      <c r="B123" s="167" t="s">
        <v>693</v>
      </c>
      <c r="C123" s="77" t="s">
        <v>71</v>
      </c>
      <c r="D123" s="77">
        <v>1</v>
      </c>
      <c r="E123" s="472">
        <v>2</v>
      </c>
      <c r="F123" s="235">
        <f>8.07-0.3</f>
        <v>7.7700000000000005</v>
      </c>
      <c r="G123" s="235">
        <v>0.2</v>
      </c>
      <c r="H123" s="235">
        <f t="shared" si="5"/>
        <v>0.33500000000000002</v>
      </c>
      <c r="I123" s="80">
        <f t="shared" si="6"/>
        <v>1.0411800000000002</v>
      </c>
      <c r="J123" s="722"/>
      <c r="L123" s="396"/>
      <c r="M123" s="396"/>
    </row>
    <row r="124" spans="1:13">
      <c r="A124" s="75">
        <v>27</v>
      </c>
      <c r="B124" s="167" t="s">
        <v>694</v>
      </c>
      <c r="C124" s="77" t="s">
        <v>71</v>
      </c>
      <c r="D124" s="77">
        <v>1</v>
      </c>
      <c r="E124" s="472">
        <v>6</v>
      </c>
      <c r="F124" s="235">
        <f>8.255-0.3</f>
        <v>7.955000000000001</v>
      </c>
      <c r="G124" s="235">
        <v>0.2</v>
      </c>
      <c r="H124" s="235">
        <f t="shared" si="5"/>
        <v>0.33500000000000002</v>
      </c>
      <c r="I124" s="80">
        <f t="shared" si="6"/>
        <v>3.1979100000000007</v>
      </c>
      <c r="J124" s="722"/>
      <c r="L124" s="396"/>
      <c r="M124" s="396"/>
    </row>
    <row r="125" spans="1:13">
      <c r="A125" s="75">
        <v>28</v>
      </c>
      <c r="B125" s="167" t="s">
        <v>695</v>
      </c>
      <c r="C125" s="77" t="s">
        <v>71</v>
      </c>
      <c r="D125" s="77">
        <v>1</v>
      </c>
      <c r="E125" s="472">
        <v>6</v>
      </c>
      <c r="F125" s="235">
        <f>6.345-0.6</f>
        <v>5.7450000000000001</v>
      </c>
      <c r="G125" s="235">
        <v>0.2</v>
      </c>
      <c r="H125" s="235">
        <f t="shared" si="5"/>
        <v>0.33500000000000002</v>
      </c>
      <c r="I125" s="80">
        <f t="shared" si="6"/>
        <v>2.3094900000000003</v>
      </c>
      <c r="J125" s="722"/>
      <c r="L125" s="396"/>
      <c r="M125" s="396"/>
    </row>
    <row r="126" spans="1:13">
      <c r="A126" s="75">
        <v>29</v>
      </c>
      <c r="B126" s="167" t="s">
        <v>696</v>
      </c>
      <c r="C126" s="77" t="s">
        <v>71</v>
      </c>
      <c r="D126" s="77">
        <v>1</v>
      </c>
      <c r="E126" s="472">
        <v>2</v>
      </c>
      <c r="F126" s="235">
        <v>5.125</v>
      </c>
      <c r="G126" s="235">
        <v>0.2</v>
      </c>
      <c r="H126" s="235">
        <f t="shared" si="5"/>
        <v>0.33500000000000002</v>
      </c>
      <c r="I126" s="80">
        <f t="shared" si="6"/>
        <v>0.68675000000000008</v>
      </c>
      <c r="J126" s="722"/>
      <c r="L126" s="396"/>
      <c r="M126" s="396"/>
    </row>
    <row r="127" spans="1:13">
      <c r="A127" s="75">
        <v>30</v>
      </c>
      <c r="B127" s="167" t="s">
        <v>697</v>
      </c>
      <c r="C127" s="77" t="s">
        <v>71</v>
      </c>
      <c r="D127" s="77">
        <v>1</v>
      </c>
      <c r="E127" s="472">
        <v>2</v>
      </c>
      <c r="F127" s="235">
        <v>1.4</v>
      </c>
      <c r="G127" s="235">
        <v>0.23</v>
      </c>
      <c r="H127" s="235">
        <f t="shared" si="5"/>
        <v>0.33500000000000002</v>
      </c>
      <c r="I127" s="80">
        <f t="shared" si="6"/>
        <v>0.21574000000000002</v>
      </c>
      <c r="J127" s="722"/>
      <c r="L127" s="396"/>
      <c r="M127" s="396"/>
    </row>
    <row r="128" spans="1:13">
      <c r="A128" s="75">
        <v>31</v>
      </c>
      <c r="B128" s="167" t="s">
        <v>698</v>
      </c>
      <c r="C128" s="77" t="s">
        <v>71</v>
      </c>
      <c r="D128" s="77">
        <v>1</v>
      </c>
      <c r="E128" s="472">
        <v>2</v>
      </c>
      <c r="F128" s="235">
        <f>7.425-0.6</f>
        <v>6.8250000000000002</v>
      </c>
      <c r="G128" s="235">
        <v>0.2</v>
      </c>
      <c r="H128" s="235">
        <f t="shared" si="5"/>
        <v>0.33500000000000002</v>
      </c>
      <c r="I128" s="80">
        <f t="shared" si="6"/>
        <v>0.9145500000000002</v>
      </c>
      <c r="J128" s="722"/>
      <c r="L128" s="396"/>
      <c r="M128" s="396"/>
    </row>
    <row r="129" spans="1:13">
      <c r="A129" s="75">
        <v>32</v>
      </c>
      <c r="B129" s="167" t="s">
        <v>698</v>
      </c>
      <c r="C129" s="77" t="s">
        <v>71</v>
      </c>
      <c r="D129" s="77">
        <v>1</v>
      </c>
      <c r="E129" s="472">
        <v>2</v>
      </c>
      <c r="F129" s="235">
        <v>2.93</v>
      </c>
      <c r="G129" s="235">
        <v>0.23</v>
      </c>
      <c r="H129" s="235">
        <f t="shared" si="5"/>
        <v>0.33500000000000002</v>
      </c>
      <c r="I129" s="80">
        <f t="shared" si="6"/>
        <v>0.45151300000000005</v>
      </c>
      <c r="J129" s="722"/>
      <c r="L129" s="396"/>
      <c r="M129" s="396"/>
    </row>
    <row r="130" spans="1:13">
      <c r="A130" s="75">
        <v>33</v>
      </c>
      <c r="B130" s="167" t="s">
        <v>699</v>
      </c>
      <c r="C130" s="77" t="s">
        <v>71</v>
      </c>
      <c r="D130" s="77">
        <v>1</v>
      </c>
      <c r="E130" s="472">
        <v>1</v>
      </c>
      <c r="F130" s="235">
        <f>18.91-2.4</f>
        <v>16.510000000000002</v>
      </c>
      <c r="G130" s="235">
        <v>0.23</v>
      </c>
      <c r="H130" s="235">
        <f t="shared" ref="H130:H166" si="7">0.45-0.115</f>
        <v>0.33500000000000002</v>
      </c>
      <c r="I130" s="80">
        <f t="shared" ref="I130:I161" si="8">PRODUCT(D130:H130)</f>
        <v>1.2720955000000003</v>
      </c>
      <c r="J130" s="722"/>
      <c r="L130" s="396"/>
      <c r="M130" s="396"/>
    </row>
    <row r="131" spans="1:13">
      <c r="A131" s="75">
        <v>34</v>
      </c>
      <c r="B131" s="167" t="s">
        <v>700</v>
      </c>
      <c r="C131" s="77" t="s">
        <v>71</v>
      </c>
      <c r="D131" s="77">
        <v>1</v>
      </c>
      <c r="E131" s="472">
        <v>2</v>
      </c>
      <c r="F131" s="235">
        <v>3.53</v>
      </c>
      <c r="G131" s="235">
        <v>0.23</v>
      </c>
      <c r="H131" s="235">
        <f t="shared" si="7"/>
        <v>0.33500000000000002</v>
      </c>
      <c r="I131" s="80">
        <f t="shared" si="8"/>
        <v>0.54397300000000004</v>
      </c>
      <c r="J131" s="722"/>
      <c r="L131" s="396"/>
      <c r="M131" s="396"/>
    </row>
    <row r="132" spans="1:13">
      <c r="A132" s="75">
        <v>35</v>
      </c>
      <c r="B132" s="167" t="s">
        <v>701</v>
      </c>
      <c r="C132" s="77" t="s">
        <v>71</v>
      </c>
      <c r="D132" s="77">
        <v>1</v>
      </c>
      <c r="E132" s="472">
        <v>2</v>
      </c>
      <c r="F132" s="235">
        <v>3.03</v>
      </c>
      <c r="G132" s="235">
        <v>0.2</v>
      </c>
      <c r="H132" s="235">
        <f t="shared" si="7"/>
        <v>0.33500000000000002</v>
      </c>
      <c r="I132" s="80">
        <f t="shared" si="8"/>
        <v>0.40601999999999999</v>
      </c>
      <c r="J132" s="722"/>
      <c r="L132" s="396"/>
      <c r="M132" s="396"/>
    </row>
    <row r="133" spans="1:13">
      <c r="A133" s="75">
        <v>36</v>
      </c>
      <c r="B133" s="167" t="s">
        <v>702</v>
      </c>
      <c r="C133" s="77" t="s">
        <v>71</v>
      </c>
      <c r="D133" s="77">
        <v>1</v>
      </c>
      <c r="E133" s="472">
        <v>2</v>
      </c>
      <c r="F133" s="235">
        <v>10.199999999999999</v>
      </c>
      <c r="G133" s="235">
        <v>0.2</v>
      </c>
      <c r="H133" s="235">
        <f t="shared" si="7"/>
        <v>0.33500000000000002</v>
      </c>
      <c r="I133" s="80">
        <f t="shared" si="8"/>
        <v>1.3668</v>
      </c>
      <c r="J133" s="722"/>
      <c r="L133" s="396"/>
      <c r="M133" s="396"/>
    </row>
    <row r="134" spans="1:13">
      <c r="A134" s="75">
        <v>37</v>
      </c>
      <c r="B134" s="167" t="s">
        <v>703</v>
      </c>
      <c r="C134" s="77" t="s">
        <v>71</v>
      </c>
      <c r="D134" s="77">
        <v>1</v>
      </c>
      <c r="E134" s="472">
        <v>2</v>
      </c>
      <c r="F134" s="235">
        <v>6.38</v>
      </c>
      <c r="G134" s="235">
        <v>0.2</v>
      </c>
      <c r="H134" s="235">
        <f t="shared" si="7"/>
        <v>0.33500000000000002</v>
      </c>
      <c r="I134" s="80">
        <f t="shared" si="8"/>
        <v>0.85492000000000001</v>
      </c>
      <c r="J134" s="722"/>
      <c r="L134" s="396"/>
      <c r="M134" s="396"/>
    </row>
    <row r="135" spans="1:13">
      <c r="A135" s="75">
        <v>38</v>
      </c>
      <c r="B135" s="167" t="s">
        <v>704</v>
      </c>
      <c r="C135" s="77" t="s">
        <v>71</v>
      </c>
      <c r="D135" s="77">
        <v>1</v>
      </c>
      <c r="E135" s="472">
        <v>6</v>
      </c>
      <c r="F135" s="235">
        <v>5.36</v>
      </c>
      <c r="G135" s="235">
        <v>0.2</v>
      </c>
      <c r="H135" s="235">
        <f t="shared" si="7"/>
        <v>0.33500000000000002</v>
      </c>
      <c r="I135" s="80">
        <f t="shared" si="8"/>
        <v>2.1547200000000006</v>
      </c>
      <c r="J135" s="722"/>
      <c r="L135" s="396"/>
      <c r="M135" s="396"/>
    </row>
    <row r="136" spans="1:13">
      <c r="A136" s="75">
        <v>39</v>
      </c>
      <c r="B136" s="167" t="s">
        <v>705</v>
      </c>
      <c r="C136" s="77" t="s">
        <v>71</v>
      </c>
      <c r="D136" s="77">
        <v>1</v>
      </c>
      <c r="E136" s="472">
        <v>20</v>
      </c>
      <c r="F136" s="235">
        <v>0.51500000000000001</v>
      </c>
      <c r="G136" s="235">
        <v>0.1</v>
      </c>
      <c r="H136" s="235">
        <f t="shared" si="7"/>
        <v>0.33500000000000002</v>
      </c>
      <c r="I136" s="80">
        <f t="shared" si="8"/>
        <v>0.34505000000000002</v>
      </c>
      <c r="J136" s="722"/>
      <c r="L136" s="396"/>
      <c r="M136" s="396"/>
    </row>
    <row r="137" spans="1:13">
      <c r="A137" s="75">
        <v>40</v>
      </c>
      <c r="B137" s="167" t="s">
        <v>706</v>
      </c>
      <c r="C137" s="77" t="s">
        <v>71</v>
      </c>
      <c r="D137" s="77">
        <v>1</v>
      </c>
      <c r="E137" s="472">
        <v>6</v>
      </c>
      <c r="F137" s="235">
        <v>3.45</v>
      </c>
      <c r="G137" s="235">
        <v>0.2</v>
      </c>
      <c r="H137" s="235">
        <f t="shared" si="7"/>
        <v>0.33500000000000002</v>
      </c>
      <c r="I137" s="80">
        <f t="shared" si="8"/>
        <v>1.3869000000000002</v>
      </c>
      <c r="J137" s="722"/>
      <c r="L137" s="396"/>
      <c r="M137" s="396"/>
    </row>
    <row r="138" spans="1:13">
      <c r="A138" s="75">
        <v>41</v>
      </c>
      <c r="B138" s="167" t="s">
        <v>707</v>
      </c>
      <c r="C138" s="77" t="s">
        <v>71</v>
      </c>
      <c r="D138" s="77">
        <v>1</v>
      </c>
      <c r="E138" s="472">
        <v>6</v>
      </c>
      <c r="F138" s="235">
        <v>2.91</v>
      </c>
      <c r="G138" s="235">
        <v>0.2</v>
      </c>
      <c r="H138" s="235">
        <f t="shared" si="7"/>
        <v>0.33500000000000002</v>
      </c>
      <c r="I138" s="80">
        <f t="shared" si="8"/>
        <v>1.1698200000000003</v>
      </c>
      <c r="J138" s="722"/>
      <c r="L138" s="396"/>
      <c r="M138" s="396"/>
    </row>
    <row r="139" spans="1:13">
      <c r="A139" s="75">
        <v>42</v>
      </c>
      <c r="B139" s="167" t="s">
        <v>708</v>
      </c>
      <c r="C139" s="77" t="s">
        <v>71</v>
      </c>
      <c r="D139" s="77">
        <v>1</v>
      </c>
      <c r="E139" s="472">
        <v>2</v>
      </c>
      <c r="F139" s="235">
        <f>7.88-1.5</f>
        <v>6.38</v>
      </c>
      <c r="G139" s="235">
        <v>0.2</v>
      </c>
      <c r="H139" s="235">
        <f t="shared" si="7"/>
        <v>0.33500000000000002</v>
      </c>
      <c r="I139" s="80">
        <f t="shared" si="8"/>
        <v>0.85492000000000001</v>
      </c>
      <c r="J139" s="722"/>
      <c r="L139" s="396"/>
      <c r="M139" s="396"/>
    </row>
    <row r="140" spans="1:13">
      <c r="A140" s="75">
        <v>43</v>
      </c>
      <c r="B140" s="167" t="s">
        <v>709</v>
      </c>
      <c r="C140" s="77" t="s">
        <v>71</v>
      </c>
      <c r="D140" s="77">
        <v>1</v>
      </c>
      <c r="E140" s="472">
        <v>6</v>
      </c>
      <c r="F140" s="235">
        <v>3.31</v>
      </c>
      <c r="G140" s="235">
        <v>0.2</v>
      </c>
      <c r="H140" s="235">
        <f t="shared" si="7"/>
        <v>0.33500000000000002</v>
      </c>
      <c r="I140" s="80">
        <f t="shared" si="8"/>
        <v>1.3306200000000001</v>
      </c>
      <c r="J140" s="722"/>
      <c r="L140" s="396"/>
      <c r="M140" s="396"/>
    </row>
    <row r="141" spans="1:13">
      <c r="A141" s="75">
        <v>44</v>
      </c>
      <c r="B141" s="167" t="s">
        <v>710</v>
      </c>
      <c r="C141" s="77" t="s">
        <v>71</v>
      </c>
      <c r="D141" s="77">
        <v>1</v>
      </c>
      <c r="E141" s="472">
        <v>4</v>
      </c>
      <c r="F141" s="235">
        <v>2.1949999999999998</v>
      </c>
      <c r="G141" s="235">
        <v>0.2</v>
      </c>
      <c r="H141" s="235">
        <f t="shared" si="7"/>
        <v>0.33500000000000002</v>
      </c>
      <c r="I141" s="80">
        <f t="shared" si="8"/>
        <v>0.58826000000000001</v>
      </c>
      <c r="J141" s="722"/>
      <c r="L141" s="396"/>
      <c r="M141" s="396"/>
    </row>
    <row r="142" spans="1:13">
      <c r="A142" s="75">
        <v>45</v>
      </c>
      <c r="B142" s="167" t="s">
        <v>711</v>
      </c>
      <c r="C142" s="77" t="s">
        <v>71</v>
      </c>
      <c r="D142" s="77">
        <v>1</v>
      </c>
      <c r="E142" s="472">
        <v>2</v>
      </c>
      <c r="F142" s="235">
        <v>5.2450000000000001</v>
      </c>
      <c r="G142" s="235">
        <v>0.2</v>
      </c>
      <c r="H142" s="235">
        <f t="shared" si="7"/>
        <v>0.33500000000000002</v>
      </c>
      <c r="I142" s="80">
        <f t="shared" si="8"/>
        <v>0.70283000000000018</v>
      </c>
      <c r="J142" s="722"/>
      <c r="L142" s="396"/>
      <c r="M142" s="396"/>
    </row>
    <row r="143" spans="1:13">
      <c r="A143" s="75">
        <v>46</v>
      </c>
      <c r="B143" s="167" t="s">
        <v>712</v>
      </c>
      <c r="C143" s="77" t="s">
        <v>71</v>
      </c>
      <c r="D143" s="77">
        <v>1</v>
      </c>
      <c r="E143" s="472">
        <v>2</v>
      </c>
      <c r="F143" s="235">
        <v>2.23</v>
      </c>
      <c r="G143" s="235">
        <v>0.2</v>
      </c>
      <c r="H143" s="235">
        <f t="shared" si="7"/>
        <v>0.33500000000000002</v>
      </c>
      <c r="I143" s="80">
        <f t="shared" si="8"/>
        <v>0.29882000000000003</v>
      </c>
      <c r="J143" s="722"/>
      <c r="L143" s="396"/>
      <c r="M143" s="396"/>
    </row>
    <row r="144" spans="1:13">
      <c r="A144" s="75">
        <v>47</v>
      </c>
      <c r="B144" s="167" t="s">
        <v>713</v>
      </c>
      <c r="C144" s="77" t="s">
        <v>71</v>
      </c>
      <c r="D144" s="77">
        <v>1</v>
      </c>
      <c r="E144" s="472">
        <v>2</v>
      </c>
      <c r="F144" s="235">
        <f>5.65-0.75</f>
        <v>4.9000000000000004</v>
      </c>
      <c r="G144" s="235">
        <v>0.2</v>
      </c>
      <c r="H144" s="235">
        <f t="shared" si="7"/>
        <v>0.33500000000000002</v>
      </c>
      <c r="I144" s="80">
        <f t="shared" si="8"/>
        <v>0.65660000000000007</v>
      </c>
      <c r="J144" s="722"/>
      <c r="L144" s="396"/>
      <c r="M144" s="396"/>
    </row>
    <row r="145" spans="1:13">
      <c r="A145" s="75">
        <v>48</v>
      </c>
      <c r="B145" s="167" t="s">
        <v>714</v>
      </c>
      <c r="C145" s="77" t="s">
        <v>71</v>
      </c>
      <c r="D145" s="77">
        <v>1</v>
      </c>
      <c r="E145" s="472">
        <v>2</v>
      </c>
      <c r="F145" s="235">
        <v>5.1449999999999996</v>
      </c>
      <c r="G145" s="235">
        <v>0.2</v>
      </c>
      <c r="H145" s="235">
        <f t="shared" si="7"/>
        <v>0.33500000000000002</v>
      </c>
      <c r="I145" s="80">
        <f t="shared" si="8"/>
        <v>0.68942999999999999</v>
      </c>
      <c r="J145" s="722"/>
      <c r="L145" s="396"/>
      <c r="M145" s="396"/>
    </row>
    <row r="146" spans="1:13">
      <c r="A146" s="75">
        <v>49</v>
      </c>
      <c r="B146" s="167" t="s">
        <v>715</v>
      </c>
      <c r="C146" s="77" t="s">
        <v>71</v>
      </c>
      <c r="D146" s="77">
        <v>1</v>
      </c>
      <c r="E146" s="472">
        <v>2</v>
      </c>
      <c r="F146" s="235">
        <v>3.2</v>
      </c>
      <c r="G146" s="235">
        <v>0.23</v>
      </c>
      <c r="H146" s="235">
        <f t="shared" si="7"/>
        <v>0.33500000000000002</v>
      </c>
      <c r="I146" s="80">
        <f t="shared" si="8"/>
        <v>0.49312000000000011</v>
      </c>
      <c r="J146" s="722"/>
      <c r="L146" s="396"/>
      <c r="M146" s="396"/>
    </row>
    <row r="147" spans="1:13">
      <c r="A147" s="75">
        <v>50</v>
      </c>
      <c r="B147" s="167" t="s">
        <v>716</v>
      </c>
      <c r="C147" s="77" t="s">
        <v>71</v>
      </c>
      <c r="D147" s="77">
        <v>1</v>
      </c>
      <c r="E147" s="472">
        <v>2</v>
      </c>
      <c r="F147" s="235">
        <v>2.95</v>
      </c>
      <c r="G147" s="235">
        <v>0.2</v>
      </c>
      <c r="H147" s="235">
        <f t="shared" si="7"/>
        <v>0.33500000000000002</v>
      </c>
      <c r="I147" s="80">
        <f t="shared" si="8"/>
        <v>0.3953000000000001</v>
      </c>
      <c r="J147" s="722"/>
      <c r="L147" s="396"/>
      <c r="M147" s="396"/>
    </row>
    <row r="148" spans="1:13">
      <c r="A148" s="75">
        <v>51</v>
      </c>
      <c r="B148" s="167" t="s">
        <v>717</v>
      </c>
      <c r="C148" s="77" t="s">
        <v>71</v>
      </c>
      <c r="D148" s="77">
        <v>1</v>
      </c>
      <c r="E148" s="472">
        <v>2</v>
      </c>
      <c r="F148" s="235">
        <v>3.8</v>
      </c>
      <c r="G148" s="235">
        <v>0.2</v>
      </c>
      <c r="H148" s="235">
        <f t="shared" si="7"/>
        <v>0.33500000000000002</v>
      </c>
      <c r="I148" s="80">
        <f t="shared" si="8"/>
        <v>0.50919999999999999</v>
      </c>
      <c r="J148" s="722"/>
      <c r="L148" s="396"/>
      <c r="M148" s="396"/>
    </row>
    <row r="149" spans="1:13">
      <c r="A149" s="75">
        <v>52</v>
      </c>
      <c r="B149" s="167" t="s">
        <v>718</v>
      </c>
      <c r="C149" s="77" t="s">
        <v>71</v>
      </c>
      <c r="D149" s="77">
        <v>1</v>
      </c>
      <c r="E149" s="472">
        <v>2</v>
      </c>
      <c r="F149" s="235">
        <v>4.55</v>
      </c>
      <c r="G149" s="235">
        <v>0.2</v>
      </c>
      <c r="H149" s="235">
        <f t="shared" si="7"/>
        <v>0.33500000000000002</v>
      </c>
      <c r="I149" s="80">
        <f t="shared" si="8"/>
        <v>0.60970000000000002</v>
      </c>
      <c r="J149" s="722"/>
      <c r="L149" s="396"/>
      <c r="M149" s="396"/>
    </row>
    <row r="150" spans="1:13">
      <c r="A150" s="75">
        <v>53</v>
      </c>
      <c r="B150" s="167" t="s">
        <v>719</v>
      </c>
      <c r="C150" s="77" t="s">
        <v>71</v>
      </c>
      <c r="D150" s="77">
        <v>1</v>
      </c>
      <c r="E150" s="472">
        <v>2</v>
      </c>
      <c r="F150" s="235">
        <v>3.05</v>
      </c>
      <c r="G150" s="235">
        <v>0.2</v>
      </c>
      <c r="H150" s="235">
        <f t="shared" si="7"/>
        <v>0.33500000000000002</v>
      </c>
      <c r="I150" s="80">
        <f t="shared" si="8"/>
        <v>0.40870000000000001</v>
      </c>
      <c r="J150" s="722"/>
      <c r="L150" s="396"/>
      <c r="M150" s="396"/>
    </row>
    <row r="151" spans="1:13">
      <c r="A151" s="75">
        <v>54</v>
      </c>
      <c r="B151" s="167" t="s">
        <v>720</v>
      </c>
      <c r="C151" s="77" t="s">
        <v>71</v>
      </c>
      <c r="D151" s="77">
        <v>1</v>
      </c>
      <c r="E151" s="472">
        <v>2</v>
      </c>
      <c r="F151" s="235">
        <v>3.1150000000000002</v>
      </c>
      <c r="G151" s="235">
        <v>0.2</v>
      </c>
      <c r="H151" s="235">
        <f t="shared" si="7"/>
        <v>0.33500000000000002</v>
      </c>
      <c r="I151" s="80">
        <f t="shared" si="8"/>
        <v>0.41741000000000011</v>
      </c>
      <c r="J151" s="722"/>
      <c r="L151" s="396"/>
      <c r="M151" s="396"/>
    </row>
    <row r="152" spans="1:13">
      <c r="A152" s="75">
        <v>55</v>
      </c>
      <c r="B152" s="167" t="s">
        <v>721</v>
      </c>
      <c r="C152" s="77" t="s">
        <v>71</v>
      </c>
      <c r="D152" s="77">
        <v>1</v>
      </c>
      <c r="E152" s="472">
        <v>2</v>
      </c>
      <c r="F152" s="235">
        <v>1.41</v>
      </c>
      <c r="G152" s="235">
        <v>0.2</v>
      </c>
      <c r="H152" s="235">
        <f t="shared" si="7"/>
        <v>0.33500000000000002</v>
      </c>
      <c r="I152" s="80">
        <f t="shared" si="8"/>
        <v>0.18894</v>
      </c>
      <c r="J152" s="722"/>
      <c r="L152" s="396"/>
      <c r="M152" s="396"/>
    </row>
    <row r="153" spans="1:13">
      <c r="A153" s="75">
        <v>56</v>
      </c>
      <c r="B153" s="167" t="s">
        <v>722</v>
      </c>
      <c r="C153" s="77" t="s">
        <v>71</v>
      </c>
      <c r="D153" s="77">
        <v>1</v>
      </c>
      <c r="E153" s="472">
        <v>2</v>
      </c>
      <c r="F153" s="235">
        <v>0.35</v>
      </c>
      <c r="G153" s="235">
        <v>0.2</v>
      </c>
      <c r="H153" s="235">
        <f t="shared" si="7"/>
        <v>0.33500000000000002</v>
      </c>
      <c r="I153" s="80">
        <f t="shared" si="8"/>
        <v>4.6899999999999997E-2</v>
      </c>
      <c r="J153" s="722"/>
      <c r="L153" s="396"/>
      <c r="M153" s="396"/>
    </row>
    <row r="154" spans="1:13">
      <c r="A154" s="75">
        <v>57</v>
      </c>
      <c r="B154" s="167" t="s">
        <v>723</v>
      </c>
      <c r="C154" s="77" t="s">
        <v>71</v>
      </c>
      <c r="D154" s="77">
        <v>1</v>
      </c>
      <c r="E154" s="472">
        <v>2</v>
      </c>
      <c r="F154" s="235">
        <v>2.37</v>
      </c>
      <c r="G154" s="235">
        <v>0.2</v>
      </c>
      <c r="H154" s="235">
        <f t="shared" si="7"/>
        <v>0.33500000000000002</v>
      </c>
      <c r="I154" s="80">
        <f t="shared" si="8"/>
        <v>0.31758000000000003</v>
      </c>
      <c r="J154" s="722"/>
      <c r="L154" s="396"/>
      <c r="M154" s="396"/>
    </row>
    <row r="155" spans="1:13">
      <c r="A155" s="75">
        <v>58</v>
      </c>
      <c r="B155" s="167" t="s">
        <v>724</v>
      </c>
      <c r="C155" s="77" t="s">
        <v>71</v>
      </c>
      <c r="D155" s="77">
        <v>1</v>
      </c>
      <c r="E155" s="472">
        <v>2</v>
      </c>
      <c r="F155" s="235">
        <v>3.2</v>
      </c>
      <c r="G155" s="235">
        <v>0.2</v>
      </c>
      <c r="H155" s="235">
        <f t="shared" si="7"/>
        <v>0.33500000000000002</v>
      </c>
      <c r="I155" s="80">
        <f t="shared" si="8"/>
        <v>0.42880000000000013</v>
      </c>
      <c r="J155" s="722"/>
      <c r="L155" s="396"/>
      <c r="M155" s="396"/>
    </row>
    <row r="156" spans="1:13">
      <c r="A156" s="75">
        <v>59</v>
      </c>
      <c r="B156" s="167" t="s">
        <v>725</v>
      </c>
      <c r="C156" s="77" t="s">
        <v>71</v>
      </c>
      <c r="D156" s="77">
        <v>1</v>
      </c>
      <c r="E156" s="472">
        <v>2</v>
      </c>
      <c r="F156" s="235">
        <f>15.59-0.3*2-0.23*2</f>
        <v>14.53</v>
      </c>
      <c r="G156" s="235">
        <v>0.2</v>
      </c>
      <c r="H156" s="235">
        <f t="shared" si="7"/>
        <v>0.33500000000000002</v>
      </c>
      <c r="I156" s="80">
        <f t="shared" si="8"/>
        <v>1.9470200000000002</v>
      </c>
      <c r="J156" s="722"/>
      <c r="L156" s="396"/>
      <c r="M156" s="396"/>
    </row>
    <row r="157" spans="1:13">
      <c r="A157" s="75">
        <v>60</v>
      </c>
      <c r="B157" s="167" t="s">
        <v>726</v>
      </c>
      <c r="C157" s="77" t="s">
        <v>71</v>
      </c>
      <c r="D157" s="77">
        <v>1</v>
      </c>
      <c r="E157" s="472">
        <v>4</v>
      </c>
      <c r="F157" s="235">
        <v>2.2250000000000001</v>
      </c>
      <c r="G157" s="235">
        <v>0.2</v>
      </c>
      <c r="H157" s="235">
        <f t="shared" si="7"/>
        <v>0.33500000000000002</v>
      </c>
      <c r="I157" s="80">
        <f t="shared" si="8"/>
        <v>0.59630000000000016</v>
      </c>
      <c r="J157" s="722"/>
      <c r="L157" s="396"/>
      <c r="M157" s="396"/>
    </row>
    <row r="158" spans="1:13">
      <c r="A158" s="75">
        <v>61</v>
      </c>
      <c r="B158" s="167" t="s">
        <v>727</v>
      </c>
      <c r="C158" s="77" t="s">
        <v>71</v>
      </c>
      <c r="D158" s="77">
        <v>1</v>
      </c>
      <c r="E158" s="472">
        <v>2</v>
      </c>
      <c r="F158" s="235">
        <v>3.06</v>
      </c>
      <c r="G158" s="235">
        <v>0.2</v>
      </c>
      <c r="H158" s="235">
        <f t="shared" si="7"/>
        <v>0.33500000000000002</v>
      </c>
      <c r="I158" s="80">
        <f t="shared" si="8"/>
        <v>0.41004000000000007</v>
      </c>
      <c r="J158" s="722"/>
      <c r="L158" s="396"/>
      <c r="M158" s="396"/>
    </row>
    <row r="159" spans="1:13">
      <c r="A159" s="75">
        <v>62</v>
      </c>
      <c r="B159" s="167" t="s">
        <v>728</v>
      </c>
      <c r="C159" s="77" t="s">
        <v>71</v>
      </c>
      <c r="D159" s="77">
        <v>1</v>
      </c>
      <c r="E159" s="472">
        <v>2</v>
      </c>
      <c r="F159" s="235">
        <v>3.06</v>
      </c>
      <c r="G159" s="235">
        <v>0.2</v>
      </c>
      <c r="H159" s="235">
        <f t="shared" si="7"/>
        <v>0.33500000000000002</v>
      </c>
      <c r="I159" s="80">
        <f t="shared" si="8"/>
        <v>0.41004000000000007</v>
      </c>
      <c r="J159" s="722"/>
      <c r="L159" s="396"/>
      <c r="M159" s="396"/>
    </row>
    <row r="160" spans="1:13">
      <c r="A160" s="75">
        <v>63</v>
      </c>
      <c r="B160" s="167" t="s">
        <v>729</v>
      </c>
      <c r="C160" s="77" t="s">
        <v>71</v>
      </c>
      <c r="D160" s="77">
        <v>1</v>
      </c>
      <c r="E160" s="472">
        <v>2</v>
      </c>
      <c r="F160" s="235">
        <v>1.6</v>
      </c>
      <c r="G160" s="235">
        <v>0.2</v>
      </c>
      <c r="H160" s="235">
        <f t="shared" si="7"/>
        <v>0.33500000000000002</v>
      </c>
      <c r="I160" s="80">
        <f t="shared" si="8"/>
        <v>0.21440000000000006</v>
      </c>
      <c r="J160" s="722"/>
      <c r="L160" s="396"/>
      <c r="M160" s="396"/>
    </row>
    <row r="161" spans="1:13">
      <c r="A161" s="75">
        <v>64</v>
      </c>
      <c r="B161" s="167" t="s">
        <v>730</v>
      </c>
      <c r="C161" s="77" t="s">
        <v>71</v>
      </c>
      <c r="D161" s="77">
        <v>1</v>
      </c>
      <c r="E161" s="472">
        <v>4</v>
      </c>
      <c r="F161" s="235">
        <v>3.05</v>
      </c>
      <c r="G161" s="235">
        <v>0.2</v>
      </c>
      <c r="H161" s="235">
        <f t="shared" si="7"/>
        <v>0.33500000000000002</v>
      </c>
      <c r="I161" s="80">
        <f t="shared" si="8"/>
        <v>0.81740000000000002</v>
      </c>
      <c r="J161" s="722"/>
      <c r="L161" s="396"/>
      <c r="M161" s="396"/>
    </row>
    <row r="162" spans="1:13">
      <c r="A162" s="75">
        <v>65</v>
      </c>
      <c r="B162" s="167" t="s">
        <v>731</v>
      </c>
      <c r="C162" s="77" t="s">
        <v>71</v>
      </c>
      <c r="D162" s="77">
        <v>1</v>
      </c>
      <c r="E162" s="472">
        <v>2</v>
      </c>
      <c r="F162" s="235">
        <f>7-0.46</f>
        <v>6.54</v>
      </c>
      <c r="G162" s="235">
        <v>0.2</v>
      </c>
      <c r="H162" s="235">
        <f t="shared" si="7"/>
        <v>0.33500000000000002</v>
      </c>
      <c r="I162" s="80">
        <f t="shared" ref="I162:I166" si="9">PRODUCT(D162:H162)</f>
        <v>0.87636000000000014</v>
      </c>
      <c r="J162" s="722"/>
      <c r="L162" s="396"/>
      <c r="M162" s="396"/>
    </row>
    <row r="163" spans="1:13">
      <c r="A163" s="75">
        <v>66</v>
      </c>
      <c r="B163" s="167" t="s">
        <v>732</v>
      </c>
      <c r="C163" s="77" t="s">
        <v>71</v>
      </c>
      <c r="D163" s="77">
        <v>1</v>
      </c>
      <c r="E163" s="472">
        <v>2</v>
      </c>
      <c r="F163" s="235">
        <f>7-0.6-0.23</f>
        <v>6.17</v>
      </c>
      <c r="G163" s="235">
        <v>0.2</v>
      </c>
      <c r="H163" s="235">
        <f t="shared" si="7"/>
        <v>0.33500000000000002</v>
      </c>
      <c r="I163" s="80">
        <f t="shared" si="9"/>
        <v>0.82678000000000007</v>
      </c>
      <c r="J163" s="722"/>
      <c r="L163" s="396"/>
      <c r="M163" s="396"/>
    </row>
    <row r="164" spans="1:13">
      <c r="A164" s="75">
        <v>67</v>
      </c>
      <c r="B164" s="167" t="s">
        <v>733</v>
      </c>
      <c r="C164" s="77" t="s">
        <v>71</v>
      </c>
      <c r="D164" s="77">
        <v>1</v>
      </c>
      <c r="E164" s="472">
        <v>4</v>
      </c>
      <c r="F164" s="235">
        <v>3.05</v>
      </c>
      <c r="G164" s="235">
        <v>0.2</v>
      </c>
      <c r="H164" s="235">
        <f t="shared" si="7"/>
        <v>0.33500000000000002</v>
      </c>
      <c r="I164" s="80">
        <f t="shared" si="9"/>
        <v>0.81740000000000002</v>
      </c>
      <c r="J164" s="722"/>
      <c r="L164" s="396"/>
      <c r="M164" s="396"/>
    </row>
    <row r="165" spans="1:13">
      <c r="A165" s="75">
        <v>68</v>
      </c>
      <c r="B165" s="167" t="s">
        <v>733</v>
      </c>
      <c r="C165" s="77" t="s">
        <v>71</v>
      </c>
      <c r="D165" s="77">
        <v>1</v>
      </c>
      <c r="E165" s="472">
        <v>4</v>
      </c>
      <c r="F165" s="235">
        <v>1.7</v>
      </c>
      <c r="G165" s="235">
        <v>0.2</v>
      </c>
      <c r="H165" s="235">
        <f t="shared" si="7"/>
        <v>0.33500000000000002</v>
      </c>
      <c r="I165" s="80">
        <f t="shared" si="9"/>
        <v>0.45560000000000006</v>
      </c>
      <c r="J165" s="722"/>
      <c r="L165" s="396"/>
      <c r="M165" s="396"/>
    </row>
    <row r="166" spans="1:13">
      <c r="A166" s="75">
        <v>69</v>
      </c>
      <c r="B166" s="167" t="s">
        <v>734</v>
      </c>
      <c r="C166" s="77" t="s">
        <v>71</v>
      </c>
      <c r="D166" s="77">
        <v>1</v>
      </c>
      <c r="E166" s="472">
        <v>2</v>
      </c>
      <c r="F166" s="235">
        <v>3.17</v>
      </c>
      <c r="G166" s="235">
        <v>0.2</v>
      </c>
      <c r="H166" s="235">
        <f t="shared" si="7"/>
        <v>0.33500000000000002</v>
      </c>
      <c r="I166" s="80">
        <f t="shared" si="9"/>
        <v>0.42478000000000005</v>
      </c>
      <c r="J166" s="722"/>
      <c r="L166" s="396"/>
      <c r="M166" s="396"/>
    </row>
    <row r="167" spans="1:13">
      <c r="A167" s="75"/>
      <c r="B167" s="471"/>
      <c r="C167" s="77"/>
      <c r="D167" s="77"/>
      <c r="E167" s="77"/>
      <c r="F167" s="395"/>
      <c r="G167" s="395"/>
      <c r="H167" s="395"/>
      <c r="I167" s="80"/>
      <c r="J167" s="722"/>
      <c r="L167" s="396"/>
      <c r="M167" s="396"/>
    </row>
    <row r="168" spans="1:13">
      <c r="A168" s="75"/>
      <c r="B168" s="471"/>
      <c r="C168" s="77"/>
      <c r="D168" s="77"/>
      <c r="E168" s="77"/>
      <c r="F168" s="395"/>
      <c r="G168" s="395"/>
      <c r="H168" s="81" t="s">
        <v>57</v>
      </c>
      <c r="I168" s="82">
        <f>SUBTOTAL(9,I98:I167)</f>
        <v>51.601791999999996</v>
      </c>
      <c r="J168" s="722"/>
      <c r="L168" s="396"/>
      <c r="M168" s="396"/>
    </row>
    <row r="169" spans="1:13" ht="45">
      <c r="A169" s="75"/>
      <c r="B169" s="81" t="s">
        <v>735</v>
      </c>
      <c r="C169" s="77"/>
      <c r="D169" s="77"/>
      <c r="E169" s="77"/>
      <c r="F169" s="395"/>
      <c r="G169" s="395"/>
      <c r="H169" s="395"/>
      <c r="I169" s="80"/>
      <c r="J169" s="722"/>
      <c r="L169" s="396"/>
      <c r="M169" s="396"/>
    </row>
    <row r="170" spans="1:13" s="116" customFormat="1" ht="30">
      <c r="A170" s="377">
        <v>1</v>
      </c>
      <c r="B170" s="562" t="s">
        <v>922</v>
      </c>
      <c r="C170" s="397" t="s">
        <v>71</v>
      </c>
      <c r="D170" s="414">
        <f>31*2</f>
        <v>62</v>
      </c>
      <c r="E170" s="397">
        <v>1</v>
      </c>
      <c r="F170" s="395">
        <v>0.3</v>
      </c>
      <c r="G170" s="395">
        <v>0.6</v>
      </c>
      <c r="H170" s="395">
        <v>0.45</v>
      </c>
      <c r="I170" s="475">
        <f t="shared" ref="I170:I191" si="10">PRODUCT(D170:H170)</f>
        <v>5.0219999999999994</v>
      </c>
      <c r="J170" s="722"/>
      <c r="L170" s="396"/>
      <c r="M170" s="396"/>
    </row>
    <row r="171" spans="1:13" s="116" customFormat="1">
      <c r="A171" s="377">
        <v>2</v>
      </c>
      <c r="B171" s="413" t="s">
        <v>621</v>
      </c>
      <c r="C171" s="397" t="s">
        <v>71</v>
      </c>
      <c r="D171" s="413">
        <f>15*2</f>
        <v>30</v>
      </c>
      <c r="E171" s="397">
        <v>1</v>
      </c>
      <c r="F171" s="395">
        <v>0.3</v>
      </c>
      <c r="G171" s="395">
        <v>0.7</v>
      </c>
      <c r="H171" s="395">
        <v>0.45</v>
      </c>
      <c r="I171" s="475">
        <f t="shared" si="10"/>
        <v>2.835</v>
      </c>
      <c r="J171" s="722"/>
      <c r="L171" s="396"/>
      <c r="M171" s="396"/>
    </row>
    <row r="172" spans="1:13" s="116" customFormat="1">
      <c r="A172" s="377">
        <v>3</v>
      </c>
      <c r="B172" s="413" t="s">
        <v>923</v>
      </c>
      <c r="C172" s="397" t="s">
        <v>71</v>
      </c>
      <c r="D172" s="413">
        <f>7*2</f>
        <v>14</v>
      </c>
      <c r="E172" s="397">
        <v>1</v>
      </c>
      <c r="F172" s="395">
        <v>0.3</v>
      </c>
      <c r="G172" s="395">
        <v>0.71499999999999997</v>
      </c>
      <c r="H172" s="395">
        <v>0.45</v>
      </c>
      <c r="I172" s="475">
        <f t="shared" si="10"/>
        <v>1.3513500000000001</v>
      </c>
      <c r="J172" s="722"/>
      <c r="L172" s="396"/>
      <c r="M172" s="396"/>
    </row>
    <row r="173" spans="1:13" s="116" customFormat="1">
      <c r="A173" s="377">
        <v>4</v>
      </c>
      <c r="B173" s="413" t="s">
        <v>623</v>
      </c>
      <c r="C173" s="397" t="s">
        <v>71</v>
      </c>
      <c r="D173" s="413">
        <f>2*2</f>
        <v>4</v>
      </c>
      <c r="E173" s="397">
        <v>1</v>
      </c>
      <c r="F173" s="395">
        <v>0.3</v>
      </c>
      <c r="G173" s="395">
        <v>0.8</v>
      </c>
      <c r="H173" s="395">
        <v>0.45</v>
      </c>
      <c r="I173" s="475">
        <f t="shared" si="10"/>
        <v>0.432</v>
      </c>
      <c r="J173" s="722"/>
      <c r="L173" s="396"/>
      <c r="M173" s="396"/>
    </row>
    <row r="174" spans="1:13" s="116" customFormat="1">
      <c r="A174" s="377">
        <v>5</v>
      </c>
      <c r="B174" s="410" t="s">
        <v>624</v>
      </c>
      <c r="C174" s="397" t="s">
        <v>71</v>
      </c>
      <c r="D174" s="413">
        <f t="shared" ref="D174:D179" si="11">1*2</f>
        <v>2</v>
      </c>
      <c r="E174" s="397">
        <v>1</v>
      </c>
      <c r="F174" s="395">
        <v>0.23</v>
      </c>
      <c r="G174" s="395">
        <v>0.65</v>
      </c>
      <c r="H174" s="395">
        <v>0.45</v>
      </c>
      <c r="I174" s="475">
        <f t="shared" si="10"/>
        <v>0.13455000000000003</v>
      </c>
      <c r="J174" s="722"/>
      <c r="L174" s="396"/>
      <c r="M174" s="396"/>
    </row>
    <row r="175" spans="1:13" s="116" customFormat="1">
      <c r="A175" s="377">
        <v>6</v>
      </c>
      <c r="B175" s="410"/>
      <c r="C175" s="397" t="s">
        <v>71</v>
      </c>
      <c r="D175" s="413">
        <f t="shared" si="11"/>
        <v>2</v>
      </c>
      <c r="E175" s="397">
        <v>1</v>
      </c>
      <c r="F175" s="395">
        <v>0.23</v>
      </c>
      <c r="G175" s="395">
        <f>1.65-0.23</f>
        <v>1.42</v>
      </c>
      <c r="H175" s="395">
        <v>0.45</v>
      </c>
      <c r="I175" s="475">
        <f t="shared" si="10"/>
        <v>0.29394000000000003</v>
      </c>
      <c r="J175" s="722"/>
      <c r="L175" s="396"/>
      <c r="M175" s="396"/>
    </row>
    <row r="176" spans="1:13" s="116" customFormat="1">
      <c r="A176" s="377">
        <v>7</v>
      </c>
      <c r="B176" s="410" t="s">
        <v>625</v>
      </c>
      <c r="C176" s="397" t="s">
        <v>71</v>
      </c>
      <c r="D176" s="413">
        <f t="shared" si="11"/>
        <v>2</v>
      </c>
      <c r="E176" s="397">
        <v>1</v>
      </c>
      <c r="F176" s="395">
        <v>0.23</v>
      </c>
      <c r="G176" s="395">
        <v>0.65</v>
      </c>
      <c r="H176" s="395">
        <v>0.45</v>
      </c>
      <c r="I176" s="475">
        <f t="shared" si="10"/>
        <v>0.13455000000000003</v>
      </c>
      <c r="J176" s="722"/>
      <c r="L176" s="396"/>
      <c r="M176" s="396"/>
    </row>
    <row r="177" spans="1:13" s="116" customFormat="1">
      <c r="A177" s="377">
        <v>8</v>
      </c>
      <c r="B177" s="410"/>
      <c r="C177" s="397" t="s">
        <v>71</v>
      </c>
      <c r="D177" s="413">
        <f t="shared" si="11"/>
        <v>2</v>
      </c>
      <c r="E177" s="397">
        <v>1</v>
      </c>
      <c r="F177" s="395">
        <v>0.23</v>
      </c>
      <c r="G177" s="395">
        <f>1.85-0.23</f>
        <v>1.62</v>
      </c>
      <c r="H177" s="395">
        <v>0.45</v>
      </c>
      <c r="I177" s="475">
        <f t="shared" si="10"/>
        <v>0.33534000000000003</v>
      </c>
      <c r="J177" s="722"/>
      <c r="L177" s="396"/>
      <c r="M177" s="396"/>
    </row>
    <row r="178" spans="1:13" s="116" customFormat="1">
      <c r="A178" s="377">
        <v>9</v>
      </c>
      <c r="B178" s="410" t="s">
        <v>626</v>
      </c>
      <c r="C178" s="397" t="s">
        <v>71</v>
      </c>
      <c r="D178" s="413">
        <f t="shared" si="11"/>
        <v>2</v>
      </c>
      <c r="E178" s="397">
        <v>1</v>
      </c>
      <c r="F178" s="395">
        <v>0.23</v>
      </c>
      <c r="G178" s="395">
        <v>1</v>
      </c>
      <c r="H178" s="395">
        <v>0.45</v>
      </c>
      <c r="I178" s="475">
        <f t="shared" si="10"/>
        <v>0.20700000000000002</v>
      </c>
      <c r="J178" s="722"/>
      <c r="L178" s="396"/>
      <c r="M178" s="396"/>
    </row>
    <row r="179" spans="1:13" s="116" customFormat="1">
      <c r="A179" s="377">
        <v>10</v>
      </c>
      <c r="B179" s="410" t="s">
        <v>627</v>
      </c>
      <c r="C179" s="397" t="s">
        <v>71</v>
      </c>
      <c r="D179" s="413">
        <f t="shared" si="11"/>
        <v>2</v>
      </c>
      <c r="E179" s="397">
        <v>1</v>
      </c>
      <c r="F179" s="395">
        <v>0.23</v>
      </c>
      <c r="G179" s="395">
        <v>1.1499999999999999</v>
      </c>
      <c r="H179" s="395">
        <v>0.45</v>
      </c>
      <c r="I179" s="475">
        <f t="shared" si="10"/>
        <v>0.23805000000000001</v>
      </c>
      <c r="J179" s="722"/>
      <c r="L179" s="396"/>
      <c r="M179" s="396"/>
    </row>
    <row r="180" spans="1:13" s="116" customFormat="1">
      <c r="A180" s="377">
        <v>11</v>
      </c>
      <c r="B180" s="410" t="s">
        <v>628</v>
      </c>
      <c r="C180" s="397" t="s">
        <v>71</v>
      </c>
      <c r="D180" s="413">
        <f>2*2</f>
        <v>4</v>
      </c>
      <c r="E180" s="397">
        <v>1</v>
      </c>
      <c r="F180" s="395">
        <v>0.23</v>
      </c>
      <c r="G180" s="395">
        <v>1.7</v>
      </c>
      <c r="H180" s="395">
        <v>0.45</v>
      </c>
      <c r="I180" s="475">
        <f t="shared" si="10"/>
        <v>0.70380000000000009</v>
      </c>
      <c r="J180" s="722"/>
      <c r="L180" s="396"/>
      <c r="M180" s="396"/>
    </row>
    <row r="181" spans="1:13" s="116" customFormat="1">
      <c r="A181" s="377">
        <v>12</v>
      </c>
      <c r="B181" s="410" t="s">
        <v>629</v>
      </c>
      <c r="C181" s="397" t="s">
        <v>71</v>
      </c>
      <c r="D181" s="413">
        <f>2*2</f>
        <v>4</v>
      </c>
      <c r="E181" s="397">
        <v>1</v>
      </c>
      <c r="F181" s="395">
        <v>0.23</v>
      </c>
      <c r="G181" s="395">
        <v>1.1850000000000001</v>
      </c>
      <c r="H181" s="395">
        <v>0.45</v>
      </c>
      <c r="I181" s="475">
        <f t="shared" si="10"/>
        <v>0.49059000000000003</v>
      </c>
      <c r="J181" s="722"/>
      <c r="L181" s="396"/>
      <c r="M181" s="396"/>
    </row>
    <row r="182" spans="1:13" s="116" customFormat="1">
      <c r="A182" s="377">
        <v>13</v>
      </c>
      <c r="B182" s="410" t="s">
        <v>630</v>
      </c>
      <c r="C182" s="397" t="s">
        <v>71</v>
      </c>
      <c r="D182" s="413">
        <f>1*2</f>
        <v>2</v>
      </c>
      <c r="E182" s="397">
        <v>1</v>
      </c>
      <c r="F182" s="395">
        <v>0.23</v>
      </c>
      <c r="G182" s="395">
        <v>1.855</v>
      </c>
      <c r="H182" s="395">
        <v>0.45</v>
      </c>
      <c r="I182" s="475">
        <f t="shared" si="10"/>
        <v>0.38398500000000002</v>
      </c>
      <c r="J182" s="722"/>
      <c r="L182" s="396"/>
      <c r="M182" s="396"/>
    </row>
    <row r="183" spans="1:13" s="116" customFormat="1">
      <c r="A183" s="377">
        <v>14</v>
      </c>
      <c r="B183" s="410" t="s">
        <v>631</v>
      </c>
      <c r="C183" s="397" t="s">
        <v>71</v>
      </c>
      <c r="D183" s="413">
        <v>1</v>
      </c>
      <c r="E183" s="397">
        <v>1</v>
      </c>
      <c r="F183" s="395">
        <v>0.23</v>
      </c>
      <c r="G183" s="395">
        <v>3.6</v>
      </c>
      <c r="H183" s="395">
        <v>0.45</v>
      </c>
      <c r="I183" s="475">
        <f t="shared" si="10"/>
        <v>0.37260000000000004</v>
      </c>
      <c r="J183" s="722"/>
      <c r="L183" s="396"/>
      <c r="M183" s="396"/>
    </row>
    <row r="184" spans="1:13" s="116" customFormat="1">
      <c r="A184" s="377">
        <v>15</v>
      </c>
      <c r="B184" s="410" t="s">
        <v>632</v>
      </c>
      <c r="C184" s="397" t="s">
        <v>71</v>
      </c>
      <c r="D184" s="413">
        <f>3*2</f>
        <v>6</v>
      </c>
      <c r="E184" s="397">
        <v>1</v>
      </c>
      <c r="F184" s="395">
        <v>0.23</v>
      </c>
      <c r="G184" s="395">
        <v>0.65</v>
      </c>
      <c r="H184" s="395">
        <v>0.45</v>
      </c>
      <c r="I184" s="475">
        <f t="shared" si="10"/>
        <v>0.40365000000000006</v>
      </c>
      <c r="J184" s="722"/>
      <c r="L184" s="396"/>
      <c r="M184" s="396"/>
    </row>
    <row r="185" spans="1:13" s="116" customFormat="1">
      <c r="A185" s="377">
        <v>16</v>
      </c>
      <c r="B185" s="410"/>
      <c r="C185" s="397" t="s">
        <v>71</v>
      </c>
      <c r="D185" s="413">
        <v>6</v>
      </c>
      <c r="E185" s="397">
        <v>1</v>
      </c>
      <c r="F185" s="395">
        <v>0.23</v>
      </c>
      <c r="G185" s="395">
        <f>1.85-0.23</f>
        <v>1.62</v>
      </c>
      <c r="H185" s="395">
        <v>0.45</v>
      </c>
      <c r="I185" s="475">
        <f t="shared" si="10"/>
        <v>1.0060200000000001</v>
      </c>
      <c r="J185" s="722"/>
      <c r="L185" s="396"/>
      <c r="M185" s="396"/>
    </row>
    <row r="186" spans="1:13" s="116" customFormat="1">
      <c r="A186" s="377">
        <v>17</v>
      </c>
      <c r="B186" s="410" t="s">
        <v>633</v>
      </c>
      <c r="C186" s="397" t="s">
        <v>71</v>
      </c>
      <c r="D186" s="413">
        <f>1*2</f>
        <v>2</v>
      </c>
      <c r="E186" s="397">
        <v>1</v>
      </c>
      <c r="F186" s="395">
        <v>0.23</v>
      </c>
      <c r="G186" s="395">
        <v>3.4449999999999998</v>
      </c>
      <c r="H186" s="395">
        <v>0.45</v>
      </c>
      <c r="I186" s="475">
        <f t="shared" si="10"/>
        <v>0.71311500000000005</v>
      </c>
      <c r="J186" s="722"/>
      <c r="L186" s="396"/>
      <c r="M186" s="396"/>
    </row>
    <row r="187" spans="1:13" s="116" customFormat="1">
      <c r="A187" s="377">
        <v>18</v>
      </c>
      <c r="B187" s="410" t="s">
        <v>634</v>
      </c>
      <c r="C187" s="397" t="s">
        <v>71</v>
      </c>
      <c r="D187" s="413">
        <f>1*2</f>
        <v>2</v>
      </c>
      <c r="E187" s="397">
        <v>1</v>
      </c>
      <c r="F187" s="395">
        <v>0.23</v>
      </c>
      <c r="G187" s="395">
        <v>4.0650000000000004</v>
      </c>
      <c r="H187" s="395">
        <v>0.45</v>
      </c>
      <c r="I187" s="475">
        <f t="shared" si="10"/>
        <v>0.84145500000000018</v>
      </c>
      <c r="J187" s="722"/>
      <c r="L187" s="396"/>
      <c r="M187" s="396"/>
    </row>
    <row r="188" spans="1:13" s="116" customFormat="1">
      <c r="A188" s="377">
        <v>19</v>
      </c>
      <c r="B188" s="410" t="s">
        <v>635</v>
      </c>
      <c r="C188" s="397" t="s">
        <v>71</v>
      </c>
      <c r="D188" s="413">
        <f>1*2</f>
        <v>2</v>
      </c>
      <c r="E188" s="397">
        <v>1</v>
      </c>
      <c r="F188" s="395">
        <v>0.23</v>
      </c>
      <c r="G188" s="395">
        <v>0.65</v>
      </c>
      <c r="H188" s="395">
        <v>0.45</v>
      </c>
      <c r="I188" s="475">
        <f t="shared" si="10"/>
        <v>0.13455000000000003</v>
      </c>
      <c r="J188" s="722"/>
      <c r="L188" s="396"/>
      <c r="M188" s="396"/>
    </row>
    <row r="189" spans="1:13" s="116" customFormat="1">
      <c r="A189" s="377">
        <v>20</v>
      </c>
      <c r="B189" s="410"/>
      <c r="C189" s="397" t="s">
        <v>71</v>
      </c>
      <c r="D189" s="413">
        <v>2</v>
      </c>
      <c r="E189" s="397">
        <v>1</v>
      </c>
      <c r="F189" s="395">
        <v>0.23</v>
      </c>
      <c r="G189" s="395">
        <f>1.535-0.23</f>
        <v>1.3049999999999999</v>
      </c>
      <c r="H189" s="395">
        <v>0.45</v>
      </c>
      <c r="I189" s="475">
        <f t="shared" si="10"/>
        <v>0.27013499999999996</v>
      </c>
      <c r="J189" s="722"/>
      <c r="L189" s="396"/>
      <c r="M189" s="396"/>
    </row>
    <row r="190" spans="1:13" s="116" customFormat="1">
      <c r="A190" s="377">
        <v>21</v>
      </c>
      <c r="B190" s="410" t="s">
        <v>636</v>
      </c>
      <c r="C190" s="397" t="s">
        <v>71</v>
      </c>
      <c r="D190" s="413">
        <f>1*2</f>
        <v>2</v>
      </c>
      <c r="E190" s="397">
        <v>1</v>
      </c>
      <c r="F190" s="395">
        <v>0.2</v>
      </c>
      <c r="G190" s="395">
        <v>3.4449999999999998</v>
      </c>
      <c r="H190" s="395">
        <v>0.45</v>
      </c>
      <c r="I190" s="475">
        <f t="shared" si="10"/>
        <v>0.6201000000000001</v>
      </c>
      <c r="J190" s="722"/>
      <c r="L190" s="396"/>
      <c r="M190" s="396"/>
    </row>
    <row r="191" spans="1:13" s="116" customFormat="1">
      <c r="A191" s="377">
        <v>22</v>
      </c>
      <c r="B191" s="476" t="s">
        <v>455</v>
      </c>
      <c r="C191" s="397" t="s">
        <v>71</v>
      </c>
      <c r="D191" s="413">
        <f>4*2</f>
        <v>8</v>
      </c>
      <c r="E191" s="397">
        <v>1</v>
      </c>
      <c r="F191" s="395">
        <v>0.23</v>
      </c>
      <c r="G191" s="395">
        <v>1.9</v>
      </c>
      <c r="H191" s="395">
        <v>0.45</v>
      </c>
      <c r="I191" s="475">
        <f t="shared" si="10"/>
        <v>1.5731999999999999</v>
      </c>
      <c r="J191" s="722"/>
      <c r="L191" s="396"/>
      <c r="M191" s="396"/>
    </row>
    <row r="192" spans="1:13">
      <c r="A192" s="75"/>
      <c r="B192" s="412"/>
      <c r="C192" s="77"/>
      <c r="D192" s="397"/>
      <c r="E192" s="77"/>
      <c r="F192" s="395"/>
      <c r="G192" s="395"/>
      <c r="H192" s="395"/>
      <c r="I192" s="80"/>
      <c r="J192" s="722"/>
      <c r="L192" s="396"/>
      <c r="M192" s="396"/>
    </row>
    <row r="193" spans="1:13">
      <c r="A193" s="75"/>
      <c r="B193" s="412"/>
      <c r="C193" s="77"/>
      <c r="D193" s="397"/>
      <c r="E193" s="77"/>
      <c r="F193" s="395"/>
      <c r="G193" s="395"/>
      <c r="H193" s="81" t="s">
        <v>57</v>
      </c>
      <c r="I193" s="82">
        <f>SUBTOTAL(9,I170:I192)</f>
        <v>18.496980000000001</v>
      </c>
      <c r="J193" s="722"/>
      <c r="L193" s="396"/>
      <c r="M193" s="396"/>
    </row>
    <row r="194" spans="1:13" ht="45">
      <c r="A194" s="75"/>
      <c r="B194" s="81" t="s">
        <v>754</v>
      </c>
      <c r="C194" s="77"/>
      <c r="D194" s="77"/>
      <c r="E194" s="77"/>
      <c r="F194" s="395"/>
      <c r="G194" s="395"/>
      <c r="H194" s="395"/>
      <c r="I194" s="80"/>
      <c r="J194" s="722"/>
      <c r="L194" s="396"/>
      <c r="M194" s="396"/>
    </row>
    <row r="195" spans="1:13" s="116" customFormat="1" ht="30">
      <c r="A195" s="377">
        <v>1</v>
      </c>
      <c r="B195" s="562" t="s">
        <v>922</v>
      </c>
      <c r="C195" s="397" t="s">
        <v>71</v>
      </c>
      <c r="D195" s="414">
        <v>31</v>
      </c>
      <c r="E195" s="397">
        <v>1</v>
      </c>
      <c r="F195" s="395">
        <v>0.3</v>
      </c>
      <c r="G195" s="395">
        <v>0.6</v>
      </c>
      <c r="H195" s="395">
        <v>2.5</v>
      </c>
      <c r="I195" s="475">
        <f t="shared" ref="I195:I215" si="12">PRODUCT(D195:H195)</f>
        <v>13.949999999999998</v>
      </c>
      <c r="J195" s="722"/>
      <c r="L195" s="396"/>
      <c r="M195" s="396"/>
    </row>
    <row r="196" spans="1:13" s="116" customFormat="1">
      <c r="A196" s="377">
        <v>2</v>
      </c>
      <c r="B196" s="413" t="s">
        <v>621</v>
      </c>
      <c r="C196" s="397" t="s">
        <v>71</v>
      </c>
      <c r="D196" s="413">
        <v>15</v>
      </c>
      <c r="E196" s="397">
        <v>1</v>
      </c>
      <c r="F196" s="395">
        <v>0.3</v>
      </c>
      <c r="G196" s="395">
        <v>0.7</v>
      </c>
      <c r="H196" s="395">
        <v>2.5</v>
      </c>
      <c r="I196" s="475">
        <f t="shared" si="12"/>
        <v>7.875</v>
      </c>
      <c r="J196" s="722"/>
      <c r="L196" s="396"/>
      <c r="M196" s="396"/>
    </row>
    <row r="197" spans="1:13" s="116" customFormat="1">
      <c r="A197" s="377">
        <v>3</v>
      </c>
      <c r="B197" s="413" t="s">
        <v>923</v>
      </c>
      <c r="C197" s="397" t="s">
        <v>71</v>
      </c>
      <c r="D197" s="413">
        <v>7</v>
      </c>
      <c r="E197" s="397">
        <v>1</v>
      </c>
      <c r="F197" s="395">
        <v>0.3</v>
      </c>
      <c r="G197" s="395">
        <v>0.71499999999999997</v>
      </c>
      <c r="H197" s="395">
        <v>2.5</v>
      </c>
      <c r="I197" s="475">
        <f t="shared" si="12"/>
        <v>3.7537500000000001</v>
      </c>
      <c r="J197" s="722"/>
      <c r="L197" s="396"/>
      <c r="M197" s="396"/>
    </row>
    <row r="198" spans="1:13" s="116" customFormat="1">
      <c r="A198" s="377">
        <v>4</v>
      </c>
      <c r="B198" s="413" t="s">
        <v>623</v>
      </c>
      <c r="C198" s="397" t="s">
        <v>71</v>
      </c>
      <c r="D198" s="413">
        <v>2</v>
      </c>
      <c r="E198" s="397">
        <v>1</v>
      </c>
      <c r="F198" s="395">
        <v>0.3</v>
      </c>
      <c r="G198" s="395">
        <v>0.8</v>
      </c>
      <c r="H198" s="395">
        <v>2.5</v>
      </c>
      <c r="I198" s="475">
        <f t="shared" si="12"/>
        <v>1.2</v>
      </c>
      <c r="J198" s="722"/>
      <c r="L198" s="396"/>
      <c r="M198" s="396"/>
    </row>
    <row r="199" spans="1:13" s="116" customFormat="1">
      <c r="A199" s="377">
        <v>5</v>
      </c>
      <c r="B199" s="410" t="s">
        <v>624</v>
      </c>
      <c r="C199" s="397" t="s">
        <v>71</v>
      </c>
      <c r="D199" s="413">
        <v>1</v>
      </c>
      <c r="E199" s="397">
        <v>1</v>
      </c>
      <c r="F199" s="395">
        <v>0.23</v>
      </c>
      <c r="G199" s="395">
        <v>0.65</v>
      </c>
      <c r="H199" s="395">
        <v>2.5</v>
      </c>
      <c r="I199" s="475">
        <f t="shared" si="12"/>
        <v>0.37375000000000003</v>
      </c>
      <c r="J199" s="722"/>
      <c r="L199" s="396"/>
      <c r="M199" s="396"/>
    </row>
    <row r="200" spans="1:13" s="116" customFormat="1">
      <c r="A200" s="377">
        <v>6</v>
      </c>
      <c r="B200" s="410"/>
      <c r="C200" s="397" t="s">
        <v>71</v>
      </c>
      <c r="D200" s="413">
        <v>1</v>
      </c>
      <c r="E200" s="397">
        <v>1</v>
      </c>
      <c r="F200" s="395">
        <v>0.23</v>
      </c>
      <c r="G200" s="395">
        <f>1.65-0.23</f>
        <v>1.42</v>
      </c>
      <c r="H200" s="395">
        <v>2.5</v>
      </c>
      <c r="I200" s="475">
        <f t="shared" si="12"/>
        <v>0.8165</v>
      </c>
      <c r="J200" s="722"/>
      <c r="L200" s="396"/>
      <c r="M200" s="396"/>
    </row>
    <row r="201" spans="1:13" s="116" customFormat="1">
      <c r="A201" s="377">
        <v>7</v>
      </c>
      <c r="B201" s="410" t="s">
        <v>625</v>
      </c>
      <c r="C201" s="397" t="s">
        <v>71</v>
      </c>
      <c r="D201" s="413">
        <v>1</v>
      </c>
      <c r="E201" s="397">
        <v>1</v>
      </c>
      <c r="F201" s="395">
        <v>0.23</v>
      </c>
      <c r="G201" s="395">
        <v>0.65</v>
      </c>
      <c r="H201" s="395">
        <v>2.5</v>
      </c>
      <c r="I201" s="475">
        <f t="shared" si="12"/>
        <v>0.37375000000000003</v>
      </c>
      <c r="J201" s="722"/>
      <c r="L201" s="396"/>
      <c r="M201" s="396"/>
    </row>
    <row r="202" spans="1:13" s="116" customFormat="1">
      <c r="A202" s="377">
        <v>8</v>
      </c>
      <c r="B202" s="410"/>
      <c r="C202" s="397" t="s">
        <v>71</v>
      </c>
      <c r="D202" s="413">
        <v>1</v>
      </c>
      <c r="E202" s="397">
        <v>1</v>
      </c>
      <c r="F202" s="395">
        <v>0.23</v>
      </c>
      <c r="G202" s="395">
        <f>1.85-0.23</f>
        <v>1.62</v>
      </c>
      <c r="H202" s="395">
        <v>2.5</v>
      </c>
      <c r="I202" s="475">
        <f t="shared" si="12"/>
        <v>0.93150000000000011</v>
      </c>
      <c r="J202" s="722"/>
      <c r="L202" s="396"/>
      <c r="M202" s="396"/>
    </row>
    <row r="203" spans="1:13" s="116" customFormat="1">
      <c r="A203" s="377">
        <v>9</v>
      </c>
      <c r="B203" s="410" t="s">
        <v>626</v>
      </c>
      <c r="C203" s="397" t="s">
        <v>71</v>
      </c>
      <c r="D203" s="413">
        <v>1</v>
      </c>
      <c r="E203" s="397">
        <v>1</v>
      </c>
      <c r="F203" s="395">
        <v>0.23</v>
      </c>
      <c r="G203" s="395">
        <v>1</v>
      </c>
      <c r="H203" s="395">
        <v>2.5</v>
      </c>
      <c r="I203" s="475">
        <f t="shared" si="12"/>
        <v>0.57500000000000007</v>
      </c>
      <c r="J203" s="722"/>
      <c r="L203" s="396"/>
      <c r="M203" s="396"/>
    </row>
    <row r="204" spans="1:13" s="116" customFormat="1">
      <c r="A204" s="377">
        <v>10</v>
      </c>
      <c r="B204" s="410" t="s">
        <v>627</v>
      </c>
      <c r="C204" s="397" t="s">
        <v>71</v>
      </c>
      <c r="D204" s="413">
        <v>1</v>
      </c>
      <c r="E204" s="397">
        <v>1</v>
      </c>
      <c r="F204" s="395">
        <v>0.23</v>
      </c>
      <c r="G204" s="395">
        <v>1.1499999999999999</v>
      </c>
      <c r="H204" s="395">
        <v>2.5</v>
      </c>
      <c r="I204" s="475">
        <f t="shared" si="12"/>
        <v>0.66125</v>
      </c>
      <c r="J204" s="722"/>
      <c r="L204" s="396"/>
      <c r="M204" s="396"/>
    </row>
    <row r="205" spans="1:13" s="116" customFormat="1">
      <c r="A205" s="377">
        <v>11</v>
      </c>
      <c r="B205" s="410" t="s">
        <v>628</v>
      </c>
      <c r="C205" s="397" t="s">
        <v>71</v>
      </c>
      <c r="D205" s="413">
        <v>2</v>
      </c>
      <c r="E205" s="397">
        <v>1</v>
      </c>
      <c r="F205" s="395">
        <v>0.23</v>
      </c>
      <c r="G205" s="395">
        <v>1.7</v>
      </c>
      <c r="H205" s="395">
        <v>2.5</v>
      </c>
      <c r="I205" s="475">
        <f t="shared" si="12"/>
        <v>1.9550000000000001</v>
      </c>
      <c r="J205" s="722"/>
      <c r="L205" s="396"/>
      <c r="M205" s="396"/>
    </row>
    <row r="206" spans="1:13" s="116" customFormat="1">
      <c r="A206" s="377">
        <v>12</v>
      </c>
      <c r="B206" s="410" t="s">
        <v>629</v>
      </c>
      <c r="C206" s="397" t="s">
        <v>71</v>
      </c>
      <c r="D206" s="413">
        <v>2</v>
      </c>
      <c r="E206" s="397">
        <v>1</v>
      </c>
      <c r="F206" s="395">
        <v>0.23</v>
      </c>
      <c r="G206" s="395">
        <v>1.1850000000000001</v>
      </c>
      <c r="H206" s="395">
        <v>2.5</v>
      </c>
      <c r="I206" s="475">
        <f t="shared" si="12"/>
        <v>1.3627500000000001</v>
      </c>
      <c r="J206" s="722"/>
      <c r="L206" s="396"/>
      <c r="M206" s="396"/>
    </row>
    <row r="207" spans="1:13" s="116" customFormat="1">
      <c r="A207" s="377">
        <v>13</v>
      </c>
      <c r="B207" s="410" t="s">
        <v>630</v>
      </c>
      <c r="C207" s="397" t="s">
        <v>71</v>
      </c>
      <c r="D207" s="413">
        <v>1</v>
      </c>
      <c r="E207" s="397">
        <v>1</v>
      </c>
      <c r="F207" s="395">
        <v>0.23</v>
      </c>
      <c r="G207" s="395">
        <v>1.855</v>
      </c>
      <c r="H207" s="395">
        <v>2.5</v>
      </c>
      <c r="I207" s="475">
        <f t="shared" si="12"/>
        <v>1.0666250000000002</v>
      </c>
      <c r="J207" s="722"/>
      <c r="L207" s="396"/>
      <c r="M207" s="396">
        <f>71+72</f>
        <v>143</v>
      </c>
    </row>
    <row r="208" spans="1:13" s="116" customFormat="1">
      <c r="A208" s="377">
        <v>14</v>
      </c>
      <c r="B208" s="410" t="s">
        <v>631</v>
      </c>
      <c r="C208" s="397" t="s">
        <v>71</v>
      </c>
      <c r="D208" s="413">
        <v>1</v>
      </c>
      <c r="E208" s="397">
        <v>1</v>
      </c>
      <c r="F208" s="395">
        <v>0.23</v>
      </c>
      <c r="G208" s="395">
        <v>3.6</v>
      </c>
      <c r="H208" s="395">
        <v>2.5</v>
      </c>
      <c r="I208" s="475">
        <f t="shared" si="12"/>
        <v>2.0700000000000003</v>
      </c>
      <c r="J208" s="722"/>
      <c r="L208" s="396"/>
      <c r="M208" s="396">
        <f>+M207-40</f>
        <v>103</v>
      </c>
    </row>
    <row r="209" spans="1:13" s="116" customFormat="1">
      <c r="A209" s="377">
        <v>15</v>
      </c>
      <c r="B209" s="410" t="s">
        <v>632</v>
      </c>
      <c r="C209" s="397" t="s">
        <v>71</v>
      </c>
      <c r="D209" s="413">
        <v>3</v>
      </c>
      <c r="E209" s="397">
        <v>1</v>
      </c>
      <c r="F209" s="395">
        <v>0.23</v>
      </c>
      <c r="G209" s="395">
        <v>0.65</v>
      </c>
      <c r="H209" s="395">
        <v>2.5</v>
      </c>
      <c r="I209" s="475">
        <f t="shared" si="12"/>
        <v>1.1212500000000001</v>
      </c>
      <c r="J209" s="722"/>
      <c r="L209" s="396"/>
      <c r="M209" s="396"/>
    </row>
    <row r="210" spans="1:13" s="116" customFormat="1">
      <c r="A210" s="377">
        <v>16</v>
      </c>
      <c r="B210" s="410"/>
      <c r="C210" s="397" t="s">
        <v>71</v>
      </c>
      <c r="D210" s="413">
        <v>3</v>
      </c>
      <c r="E210" s="397">
        <v>1</v>
      </c>
      <c r="F210" s="395">
        <v>0.23</v>
      </c>
      <c r="G210" s="395">
        <f>1.85-0.23</f>
        <v>1.62</v>
      </c>
      <c r="H210" s="395">
        <v>2.5</v>
      </c>
      <c r="I210" s="475">
        <f t="shared" si="12"/>
        <v>2.7945000000000002</v>
      </c>
      <c r="J210" s="722"/>
      <c r="L210" s="396"/>
      <c r="M210" s="396"/>
    </row>
    <row r="211" spans="1:13" s="116" customFormat="1">
      <c r="A211" s="377">
        <v>17</v>
      </c>
      <c r="B211" s="410" t="s">
        <v>633</v>
      </c>
      <c r="C211" s="397" t="s">
        <v>71</v>
      </c>
      <c r="D211" s="413">
        <v>1</v>
      </c>
      <c r="E211" s="397">
        <v>1</v>
      </c>
      <c r="F211" s="395">
        <v>0.23</v>
      </c>
      <c r="G211" s="395">
        <v>3.4449999999999998</v>
      </c>
      <c r="H211" s="395">
        <v>2.5</v>
      </c>
      <c r="I211" s="475">
        <f t="shared" si="12"/>
        <v>1.9808749999999999</v>
      </c>
      <c r="J211" s="722"/>
      <c r="L211" s="396"/>
      <c r="M211" s="396"/>
    </row>
    <row r="212" spans="1:13" s="116" customFormat="1">
      <c r="A212" s="377">
        <v>18</v>
      </c>
      <c r="B212" s="410" t="s">
        <v>634</v>
      </c>
      <c r="C212" s="397" t="s">
        <v>71</v>
      </c>
      <c r="D212" s="413">
        <v>1</v>
      </c>
      <c r="E212" s="397">
        <v>1</v>
      </c>
      <c r="F212" s="395">
        <v>0.23</v>
      </c>
      <c r="G212" s="395">
        <v>4.0650000000000004</v>
      </c>
      <c r="H212" s="395">
        <v>2.5</v>
      </c>
      <c r="I212" s="475">
        <f t="shared" si="12"/>
        <v>2.3373750000000006</v>
      </c>
      <c r="J212" s="722"/>
      <c r="L212" s="396"/>
      <c r="M212" s="396"/>
    </row>
    <row r="213" spans="1:13" s="116" customFormat="1">
      <c r="A213" s="377">
        <v>19</v>
      </c>
      <c r="B213" s="410" t="s">
        <v>635</v>
      </c>
      <c r="C213" s="397" t="s">
        <v>71</v>
      </c>
      <c r="D213" s="413">
        <v>1</v>
      </c>
      <c r="E213" s="397">
        <v>1</v>
      </c>
      <c r="F213" s="395">
        <v>0.23</v>
      </c>
      <c r="G213" s="395">
        <v>0.65</v>
      </c>
      <c r="H213" s="395">
        <v>2.5</v>
      </c>
      <c r="I213" s="475">
        <f t="shared" si="12"/>
        <v>0.37375000000000003</v>
      </c>
      <c r="J213" s="722"/>
      <c r="L213" s="396"/>
      <c r="M213" s="396"/>
    </row>
    <row r="214" spans="1:13" s="116" customFormat="1">
      <c r="A214" s="377">
        <v>20</v>
      </c>
      <c r="B214" s="410"/>
      <c r="C214" s="397" t="s">
        <v>71</v>
      </c>
      <c r="D214" s="413">
        <v>1</v>
      </c>
      <c r="E214" s="397">
        <v>1</v>
      </c>
      <c r="F214" s="395">
        <v>0.23</v>
      </c>
      <c r="G214" s="395">
        <f>1.535-0.23</f>
        <v>1.3049999999999999</v>
      </c>
      <c r="H214" s="395">
        <v>2.5</v>
      </c>
      <c r="I214" s="475">
        <f t="shared" si="12"/>
        <v>0.7503749999999999</v>
      </c>
      <c r="J214" s="722"/>
      <c r="L214" s="396"/>
      <c r="M214" s="396"/>
    </row>
    <row r="215" spans="1:13" s="116" customFormat="1">
      <c r="A215" s="377">
        <v>21</v>
      </c>
      <c r="B215" s="410" t="s">
        <v>636</v>
      </c>
      <c r="C215" s="397" t="s">
        <v>71</v>
      </c>
      <c r="D215" s="413">
        <v>1</v>
      </c>
      <c r="E215" s="397">
        <v>1</v>
      </c>
      <c r="F215" s="395">
        <v>0.2</v>
      </c>
      <c r="G215" s="395">
        <v>3.4449999999999998</v>
      </c>
      <c r="H215" s="395">
        <v>2.5</v>
      </c>
      <c r="I215" s="475">
        <f t="shared" si="12"/>
        <v>1.7225000000000001</v>
      </c>
      <c r="J215" s="722"/>
      <c r="L215" s="396"/>
      <c r="M215" s="396"/>
    </row>
    <row r="216" spans="1:13">
      <c r="A216" s="75"/>
      <c r="B216" s="412"/>
      <c r="C216" s="77"/>
      <c r="D216" s="397"/>
      <c r="E216" s="77"/>
      <c r="F216" s="395"/>
      <c r="G216" s="395"/>
      <c r="H216" s="395"/>
      <c r="I216" s="80"/>
      <c r="J216" s="722"/>
      <c r="L216" s="396"/>
      <c r="M216" s="396"/>
    </row>
    <row r="217" spans="1:13">
      <c r="A217" s="75"/>
      <c r="B217" s="412"/>
      <c r="C217" s="77"/>
      <c r="D217" s="397"/>
      <c r="E217" s="77"/>
      <c r="F217" s="395"/>
      <c r="G217" s="395"/>
      <c r="H217" s="81" t="s">
        <v>57</v>
      </c>
      <c r="I217" s="82">
        <f>SUBTOTAL(9,I195:I216)</f>
        <v>48.045500000000004</v>
      </c>
      <c r="J217" s="722"/>
      <c r="L217" s="396"/>
      <c r="M217" s="396"/>
    </row>
    <row r="218" spans="1:13">
      <c r="A218" s="75"/>
      <c r="B218" s="77"/>
      <c r="C218" s="77"/>
      <c r="D218" s="77"/>
      <c r="E218" s="77"/>
      <c r="F218" s="77"/>
      <c r="G218" s="77"/>
      <c r="H218" s="77"/>
      <c r="I218" s="80"/>
      <c r="J218" s="722"/>
      <c r="M218" s="469"/>
    </row>
    <row r="219" spans="1:13">
      <c r="A219" s="75"/>
      <c r="B219" s="77"/>
      <c r="C219" s="77"/>
      <c r="D219" s="77"/>
      <c r="E219" s="77"/>
      <c r="F219" s="77"/>
      <c r="G219" s="77"/>
      <c r="H219" s="81" t="s">
        <v>57</v>
      </c>
      <c r="I219" s="82">
        <f>SUBTOTAL(9,I97:I218)</f>
        <v>118.144272</v>
      </c>
      <c r="J219" s="723"/>
    </row>
    <row r="221" spans="1:13" ht="45">
      <c r="A221" s="75"/>
      <c r="B221" s="81" t="s">
        <v>930</v>
      </c>
      <c r="C221" s="77"/>
      <c r="D221" s="77"/>
      <c r="E221" s="77"/>
      <c r="F221" s="395"/>
      <c r="G221" s="395"/>
      <c r="H221" s="395"/>
      <c r="I221" s="80"/>
      <c r="J221" s="167"/>
      <c r="L221" s="396"/>
      <c r="M221" s="396"/>
    </row>
    <row r="222" spans="1:13" s="116" customFormat="1" ht="30">
      <c r="A222" s="377">
        <v>1</v>
      </c>
      <c r="B222" s="562" t="s">
        <v>922</v>
      </c>
      <c r="C222" s="397" t="s">
        <v>71</v>
      </c>
      <c r="D222" s="414">
        <v>31</v>
      </c>
      <c r="E222" s="397">
        <v>1</v>
      </c>
      <c r="F222" s="395">
        <v>0.3</v>
      </c>
      <c r="G222" s="395">
        <v>0.6</v>
      </c>
      <c r="H222" s="395">
        <v>2.5</v>
      </c>
      <c r="I222" s="577">
        <f t="shared" ref="I222:I242" si="13">PRODUCT(D222:H222)</f>
        <v>13.949999999999998</v>
      </c>
      <c r="J222" s="729" t="s">
        <v>931</v>
      </c>
      <c r="L222" s="396"/>
      <c r="M222" s="396"/>
    </row>
    <row r="223" spans="1:13" s="116" customFormat="1">
      <c r="A223" s="377">
        <v>2</v>
      </c>
      <c r="B223" s="413" t="s">
        <v>621</v>
      </c>
      <c r="C223" s="397" t="s">
        <v>71</v>
      </c>
      <c r="D223" s="413">
        <v>15</v>
      </c>
      <c r="E223" s="397">
        <v>1</v>
      </c>
      <c r="F223" s="395">
        <v>0.3</v>
      </c>
      <c r="G223" s="395">
        <v>0.7</v>
      </c>
      <c r="H223" s="395">
        <v>2.5</v>
      </c>
      <c r="I223" s="577">
        <f t="shared" si="13"/>
        <v>7.875</v>
      </c>
      <c r="J223" s="729"/>
      <c r="L223" s="396"/>
      <c r="M223" s="396"/>
    </row>
    <row r="224" spans="1:13" s="116" customFormat="1">
      <c r="A224" s="377">
        <v>3</v>
      </c>
      <c r="B224" s="413" t="s">
        <v>923</v>
      </c>
      <c r="C224" s="397" t="s">
        <v>71</v>
      </c>
      <c r="D224" s="413">
        <v>7</v>
      </c>
      <c r="E224" s="397">
        <v>1</v>
      </c>
      <c r="F224" s="395">
        <v>0.3</v>
      </c>
      <c r="G224" s="395">
        <v>0.71499999999999997</v>
      </c>
      <c r="H224" s="395">
        <v>2.5</v>
      </c>
      <c r="I224" s="577">
        <f t="shared" si="13"/>
        <v>3.7537500000000001</v>
      </c>
      <c r="J224" s="729"/>
      <c r="L224" s="396"/>
      <c r="M224" s="396"/>
    </row>
    <row r="225" spans="1:13" s="116" customFormat="1">
      <c r="A225" s="377">
        <v>4</v>
      </c>
      <c r="B225" s="413" t="s">
        <v>623</v>
      </c>
      <c r="C225" s="397" t="s">
        <v>71</v>
      </c>
      <c r="D225" s="413">
        <v>2</v>
      </c>
      <c r="E225" s="397">
        <v>1</v>
      </c>
      <c r="F225" s="395">
        <v>0.3</v>
      </c>
      <c r="G225" s="395">
        <v>0.8</v>
      </c>
      <c r="H225" s="395">
        <v>2.5</v>
      </c>
      <c r="I225" s="577">
        <f t="shared" si="13"/>
        <v>1.2</v>
      </c>
      <c r="J225" s="729"/>
      <c r="L225" s="396"/>
      <c r="M225" s="396"/>
    </row>
    <row r="226" spans="1:13" s="116" customFormat="1">
      <c r="A226" s="377">
        <v>5</v>
      </c>
      <c r="B226" s="410" t="s">
        <v>624</v>
      </c>
      <c r="C226" s="397" t="s">
        <v>71</v>
      </c>
      <c r="D226" s="413">
        <v>1</v>
      </c>
      <c r="E226" s="397">
        <v>1</v>
      </c>
      <c r="F226" s="395">
        <v>0.23</v>
      </c>
      <c r="G226" s="395">
        <v>0.65</v>
      </c>
      <c r="H226" s="395">
        <v>2.5</v>
      </c>
      <c r="I226" s="577">
        <f t="shared" si="13"/>
        <v>0.37375000000000003</v>
      </c>
      <c r="J226" s="729"/>
      <c r="L226" s="396"/>
      <c r="M226" s="396"/>
    </row>
    <row r="227" spans="1:13" s="116" customFormat="1">
      <c r="A227" s="377">
        <v>6</v>
      </c>
      <c r="B227" s="410"/>
      <c r="C227" s="397" t="s">
        <v>71</v>
      </c>
      <c r="D227" s="413">
        <v>1</v>
      </c>
      <c r="E227" s="397">
        <v>1</v>
      </c>
      <c r="F227" s="395">
        <v>0.23</v>
      </c>
      <c r="G227" s="395">
        <f>1.65-0.23</f>
        <v>1.42</v>
      </c>
      <c r="H227" s="395">
        <v>2.5</v>
      </c>
      <c r="I227" s="577">
        <f t="shared" si="13"/>
        <v>0.8165</v>
      </c>
      <c r="J227" s="729"/>
      <c r="L227" s="396"/>
      <c r="M227" s="396"/>
    </row>
    <row r="228" spans="1:13" s="116" customFormat="1">
      <c r="A228" s="377">
        <v>7</v>
      </c>
      <c r="B228" s="410" t="s">
        <v>625</v>
      </c>
      <c r="C228" s="397" t="s">
        <v>71</v>
      </c>
      <c r="D228" s="413">
        <v>1</v>
      </c>
      <c r="E228" s="397">
        <v>1</v>
      </c>
      <c r="F228" s="395">
        <v>0.23</v>
      </c>
      <c r="G228" s="395">
        <v>0.65</v>
      </c>
      <c r="H228" s="395">
        <v>2.5</v>
      </c>
      <c r="I228" s="577">
        <f t="shared" si="13"/>
        <v>0.37375000000000003</v>
      </c>
      <c r="J228" s="729"/>
      <c r="L228" s="396"/>
      <c r="M228" s="396"/>
    </row>
    <row r="229" spans="1:13" s="116" customFormat="1">
      <c r="A229" s="377">
        <v>8</v>
      </c>
      <c r="B229" s="410"/>
      <c r="C229" s="397" t="s">
        <v>71</v>
      </c>
      <c r="D229" s="413">
        <v>1</v>
      </c>
      <c r="E229" s="397">
        <v>1</v>
      </c>
      <c r="F229" s="395">
        <v>0.23</v>
      </c>
      <c r="G229" s="395">
        <f>1.85-0.23</f>
        <v>1.62</v>
      </c>
      <c r="H229" s="395">
        <v>2.5</v>
      </c>
      <c r="I229" s="577">
        <f t="shared" si="13"/>
        <v>0.93150000000000011</v>
      </c>
      <c r="J229" s="729"/>
      <c r="L229" s="396"/>
      <c r="M229" s="396"/>
    </row>
    <row r="230" spans="1:13" s="116" customFormat="1">
      <c r="A230" s="377">
        <v>9</v>
      </c>
      <c r="B230" s="410" t="s">
        <v>626</v>
      </c>
      <c r="C230" s="397" t="s">
        <v>71</v>
      </c>
      <c r="D230" s="413">
        <v>1</v>
      </c>
      <c r="E230" s="397">
        <v>1</v>
      </c>
      <c r="F230" s="395">
        <v>0.23</v>
      </c>
      <c r="G230" s="395">
        <v>1</v>
      </c>
      <c r="H230" s="395">
        <v>2.5</v>
      </c>
      <c r="I230" s="577">
        <f t="shared" si="13"/>
        <v>0.57500000000000007</v>
      </c>
      <c r="J230" s="729"/>
      <c r="L230" s="396"/>
      <c r="M230" s="396"/>
    </row>
    <row r="231" spans="1:13" s="116" customFormat="1">
      <c r="A231" s="377">
        <v>10</v>
      </c>
      <c r="B231" s="410" t="s">
        <v>627</v>
      </c>
      <c r="C231" s="397" t="s">
        <v>71</v>
      </c>
      <c r="D231" s="413">
        <v>1</v>
      </c>
      <c r="E231" s="397">
        <v>1</v>
      </c>
      <c r="F231" s="395">
        <v>0.23</v>
      </c>
      <c r="G231" s="395">
        <v>1.1499999999999999</v>
      </c>
      <c r="H231" s="395">
        <v>2.5</v>
      </c>
      <c r="I231" s="577">
        <f t="shared" si="13"/>
        <v>0.66125</v>
      </c>
      <c r="J231" s="729"/>
      <c r="L231" s="396"/>
      <c r="M231" s="396"/>
    </row>
    <row r="232" spans="1:13" s="116" customFormat="1">
      <c r="A232" s="377">
        <v>11</v>
      </c>
      <c r="B232" s="410" t="s">
        <v>628</v>
      </c>
      <c r="C232" s="397" t="s">
        <v>71</v>
      </c>
      <c r="D232" s="413">
        <v>2</v>
      </c>
      <c r="E232" s="397">
        <v>1</v>
      </c>
      <c r="F232" s="395">
        <v>0.23</v>
      </c>
      <c r="G232" s="395">
        <v>1.7</v>
      </c>
      <c r="H232" s="395">
        <v>2.5</v>
      </c>
      <c r="I232" s="577">
        <f t="shared" si="13"/>
        <v>1.9550000000000001</v>
      </c>
      <c r="J232" s="729"/>
      <c r="L232" s="396"/>
      <c r="M232" s="396"/>
    </row>
    <row r="233" spans="1:13" s="116" customFormat="1">
      <c r="A233" s="377">
        <v>12</v>
      </c>
      <c r="B233" s="410" t="s">
        <v>629</v>
      </c>
      <c r="C233" s="397" t="s">
        <v>71</v>
      </c>
      <c r="D233" s="413">
        <v>2</v>
      </c>
      <c r="E233" s="397">
        <v>1</v>
      </c>
      <c r="F233" s="395">
        <v>0.23</v>
      </c>
      <c r="G233" s="395">
        <v>1.1850000000000001</v>
      </c>
      <c r="H233" s="395">
        <v>2.5</v>
      </c>
      <c r="I233" s="577">
        <f t="shared" si="13"/>
        <v>1.3627500000000001</v>
      </c>
      <c r="J233" s="729"/>
      <c r="L233" s="396"/>
      <c r="M233" s="396"/>
    </row>
    <row r="234" spans="1:13" s="116" customFormat="1">
      <c r="A234" s="377">
        <v>13</v>
      </c>
      <c r="B234" s="410" t="s">
        <v>630</v>
      </c>
      <c r="C234" s="397" t="s">
        <v>71</v>
      </c>
      <c r="D234" s="413">
        <v>1</v>
      </c>
      <c r="E234" s="397">
        <v>1</v>
      </c>
      <c r="F234" s="395">
        <v>0.23</v>
      </c>
      <c r="G234" s="395">
        <v>1.855</v>
      </c>
      <c r="H234" s="395">
        <v>2.5</v>
      </c>
      <c r="I234" s="577">
        <f t="shared" si="13"/>
        <v>1.0666250000000002</v>
      </c>
      <c r="J234" s="729"/>
      <c r="L234" s="396"/>
      <c r="M234" s="396"/>
    </row>
    <row r="235" spans="1:13" s="116" customFormat="1">
      <c r="A235" s="377">
        <v>14</v>
      </c>
      <c r="B235" s="410" t="s">
        <v>631</v>
      </c>
      <c r="C235" s="397" t="s">
        <v>71</v>
      </c>
      <c r="D235" s="413">
        <v>0</v>
      </c>
      <c r="E235" s="397">
        <v>0</v>
      </c>
      <c r="F235" s="395">
        <v>0.23</v>
      </c>
      <c r="G235" s="395">
        <v>3.6</v>
      </c>
      <c r="H235" s="395">
        <v>2.5</v>
      </c>
      <c r="I235" s="577">
        <f t="shared" si="13"/>
        <v>0</v>
      </c>
      <c r="J235" s="729"/>
      <c r="L235" s="396"/>
      <c r="M235" s="396"/>
    </row>
    <row r="236" spans="1:13" s="116" customFormat="1">
      <c r="A236" s="377">
        <v>15</v>
      </c>
      <c r="B236" s="410" t="s">
        <v>632</v>
      </c>
      <c r="C236" s="397" t="s">
        <v>71</v>
      </c>
      <c r="D236" s="413">
        <v>3</v>
      </c>
      <c r="E236" s="397">
        <v>1</v>
      </c>
      <c r="F236" s="395">
        <v>0.23</v>
      </c>
      <c r="G236" s="395">
        <v>0.65</v>
      </c>
      <c r="H236" s="395">
        <v>2.5</v>
      </c>
      <c r="I236" s="577">
        <f t="shared" si="13"/>
        <v>1.1212500000000001</v>
      </c>
      <c r="J236" s="729"/>
      <c r="L236" s="396"/>
      <c r="M236" s="396"/>
    </row>
    <row r="237" spans="1:13" s="116" customFormat="1">
      <c r="A237" s="377">
        <v>16</v>
      </c>
      <c r="B237" s="410"/>
      <c r="C237" s="397" t="s">
        <v>71</v>
      </c>
      <c r="D237" s="413">
        <v>3</v>
      </c>
      <c r="E237" s="397">
        <v>1</v>
      </c>
      <c r="F237" s="395">
        <v>0.23</v>
      </c>
      <c r="G237" s="395">
        <f>1.85-0.23</f>
        <v>1.62</v>
      </c>
      <c r="H237" s="395">
        <v>2.5</v>
      </c>
      <c r="I237" s="577">
        <f t="shared" si="13"/>
        <v>2.7945000000000002</v>
      </c>
      <c r="J237" s="729"/>
      <c r="L237" s="396"/>
      <c r="M237" s="396"/>
    </row>
    <row r="238" spans="1:13" s="116" customFormat="1">
      <c r="A238" s="377">
        <v>17</v>
      </c>
      <c r="B238" s="410" t="s">
        <v>633</v>
      </c>
      <c r="C238" s="397" t="s">
        <v>71</v>
      </c>
      <c r="D238" s="413">
        <v>1</v>
      </c>
      <c r="E238" s="397">
        <v>1</v>
      </c>
      <c r="F238" s="395">
        <v>0.23</v>
      </c>
      <c r="G238" s="395">
        <v>3.4449999999999998</v>
      </c>
      <c r="H238" s="395">
        <v>2.5</v>
      </c>
      <c r="I238" s="577">
        <f t="shared" si="13"/>
        <v>1.9808749999999999</v>
      </c>
      <c r="J238" s="729"/>
      <c r="L238" s="396"/>
      <c r="M238" s="396"/>
    </row>
    <row r="239" spans="1:13" s="116" customFormat="1">
      <c r="A239" s="377">
        <v>18</v>
      </c>
      <c r="B239" s="410" t="s">
        <v>634</v>
      </c>
      <c r="C239" s="397" t="s">
        <v>71</v>
      </c>
      <c r="D239" s="413">
        <v>1</v>
      </c>
      <c r="E239" s="397">
        <v>1</v>
      </c>
      <c r="F239" s="395">
        <v>0.23</v>
      </c>
      <c r="G239" s="395">
        <v>4.0650000000000004</v>
      </c>
      <c r="H239" s="395">
        <v>2.5</v>
      </c>
      <c r="I239" s="577">
        <f t="shared" si="13"/>
        <v>2.3373750000000006</v>
      </c>
      <c r="J239" s="729"/>
      <c r="L239" s="396"/>
      <c r="M239" s="396"/>
    </row>
    <row r="240" spans="1:13" s="116" customFormat="1">
      <c r="A240" s="377">
        <v>19</v>
      </c>
      <c r="B240" s="410" t="s">
        <v>635</v>
      </c>
      <c r="C240" s="397" t="s">
        <v>71</v>
      </c>
      <c r="D240" s="413">
        <v>1</v>
      </c>
      <c r="E240" s="397">
        <v>1</v>
      </c>
      <c r="F240" s="395">
        <v>0.23</v>
      </c>
      <c r="G240" s="395">
        <v>0.65</v>
      </c>
      <c r="H240" s="395">
        <v>2.5</v>
      </c>
      <c r="I240" s="577">
        <f t="shared" si="13"/>
        <v>0.37375000000000003</v>
      </c>
      <c r="J240" s="729"/>
      <c r="L240" s="396"/>
      <c r="M240" s="396"/>
    </row>
    <row r="241" spans="1:13" s="116" customFormat="1">
      <c r="A241" s="377">
        <v>20</v>
      </c>
      <c r="B241" s="410"/>
      <c r="C241" s="397" t="s">
        <v>71</v>
      </c>
      <c r="D241" s="413">
        <v>1</v>
      </c>
      <c r="E241" s="397">
        <v>1</v>
      </c>
      <c r="F241" s="395">
        <v>0.23</v>
      </c>
      <c r="G241" s="395">
        <f>1.535-0.23</f>
        <v>1.3049999999999999</v>
      </c>
      <c r="H241" s="395">
        <v>2.5</v>
      </c>
      <c r="I241" s="577">
        <f t="shared" si="13"/>
        <v>0.7503749999999999</v>
      </c>
      <c r="J241" s="729"/>
      <c r="L241" s="396"/>
      <c r="M241" s="396"/>
    </row>
    <row r="242" spans="1:13" s="116" customFormat="1">
      <c r="A242" s="377">
        <v>21</v>
      </c>
      <c r="B242" s="410" t="s">
        <v>636</v>
      </c>
      <c r="C242" s="397" t="s">
        <v>71</v>
      </c>
      <c r="D242" s="413">
        <v>1</v>
      </c>
      <c r="E242" s="397">
        <v>1</v>
      </c>
      <c r="F242" s="395">
        <v>0.2</v>
      </c>
      <c r="G242" s="395">
        <v>3.4449999999999998</v>
      </c>
      <c r="H242" s="395">
        <v>2.5</v>
      </c>
      <c r="I242" s="577">
        <f t="shared" si="13"/>
        <v>1.7225000000000001</v>
      </c>
      <c r="J242" s="729"/>
      <c r="L242" s="396"/>
      <c r="M242" s="396"/>
    </row>
    <row r="243" spans="1:13" s="116" customFormat="1">
      <c r="A243" s="377"/>
      <c r="B243" s="410"/>
      <c r="C243" s="397"/>
      <c r="D243" s="414"/>
      <c r="E243" s="397"/>
      <c r="F243" s="395"/>
      <c r="G243" s="395"/>
      <c r="H243" s="395"/>
      <c r="I243" s="627">
        <f>SUBTOTAL(9,I222:I242)</f>
        <v>45.975499999999997</v>
      </c>
      <c r="J243" s="729"/>
      <c r="L243" s="396"/>
      <c r="M243" s="396"/>
    </row>
    <row r="244" spans="1:13" s="116" customFormat="1" ht="45">
      <c r="A244" s="377"/>
      <c r="B244" s="81" t="s">
        <v>1257</v>
      </c>
      <c r="C244" s="397"/>
      <c r="D244" s="414"/>
      <c r="E244" s="397"/>
      <c r="F244" s="395"/>
      <c r="G244" s="395"/>
      <c r="H244" s="395"/>
      <c r="I244" s="577"/>
      <c r="J244" s="729"/>
      <c r="L244" s="396"/>
      <c r="M244" s="396"/>
    </row>
    <row r="245" spans="1:13">
      <c r="A245" s="75">
        <v>1</v>
      </c>
      <c r="B245" s="153" t="s">
        <v>620</v>
      </c>
      <c r="C245" s="77" t="s">
        <v>71</v>
      </c>
      <c r="D245" s="414">
        <f>31*2-16</f>
        <v>46</v>
      </c>
      <c r="E245" s="77">
        <v>1</v>
      </c>
      <c r="F245" s="395">
        <v>0.3</v>
      </c>
      <c r="G245" s="395">
        <v>0.6</v>
      </c>
      <c r="H245" s="395">
        <v>0.2</v>
      </c>
      <c r="I245" s="80">
        <f t="shared" ref="I245:I259" si="14">PRODUCT(D245:H245)</f>
        <v>1.6559999999999999</v>
      </c>
      <c r="J245" s="729"/>
      <c r="L245" s="396"/>
      <c r="M245" s="396"/>
    </row>
    <row r="246" spans="1:13">
      <c r="A246" s="377">
        <v>2</v>
      </c>
      <c r="B246" s="613" t="s">
        <v>621</v>
      </c>
      <c r="C246" s="77" t="s">
        <v>71</v>
      </c>
      <c r="D246" s="413">
        <f>15*2-8</f>
        <v>22</v>
      </c>
      <c r="E246" s="77">
        <v>1</v>
      </c>
      <c r="F246" s="395">
        <v>0.3</v>
      </c>
      <c r="G246" s="395">
        <v>0.7</v>
      </c>
      <c r="H246" s="395">
        <v>0.2</v>
      </c>
      <c r="I246" s="80">
        <f t="shared" si="14"/>
        <v>0.92399999999999993</v>
      </c>
      <c r="J246" s="729"/>
      <c r="L246" s="396"/>
      <c r="M246" s="396"/>
    </row>
    <row r="247" spans="1:13">
      <c r="A247" s="75">
        <v>3</v>
      </c>
      <c r="B247" s="613" t="s">
        <v>622</v>
      </c>
      <c r="C247" s="77" t="s">
        <v>71</v>
      </c>
      <c r="D247" s="413">
        <f>7*2</f>
        <v>14</v>
      </c>
      <c r="E247" s="77">
        <v>1</v>
      </c>
      <c r="F247" s="395">
        <v>0.3</v>
      </c>
      <c r="G247" s="395">
        <v>0.71499999999999997</v>
      </c>
      <c r="H247" s="395">
        <v>0.2</v>
      </c>
      <c r="I247" s="80">
        <f t="shared" si="14"/>
        <v>0.60060000000000002</v>
      </c>
      <c r="J247" s="729"/>
      <c r="L247" s="396"/>
      <c r="M247" s="396"/>
    </row>
    <row r="248" spans="1:13">
      <c r="A248" s="377">
        <v>4</v>
      </c>
      <c r="B248" s="413" t="s">
        <v>623</v>
      </c>
      <c r="C248" s="77" t="s">
        <v>71</v>
      </c>
      <c r="D248" s="413">
        <f>2*2-2</f>
        <v>2</v>
      </c>
      <c r="E248" s="77">
        <v>1</v>
      </c>
      <c r="F248" s="395">
        <v>0.3</v>
      </c>
      <c r="G248" s="395">
        <v>0.8</v>
      </c>
      <c r="H248" s="395">
        <v>0.2</v>
      </c>
      <c r="I248" s="80">
        <f t="shared" si="14"/>
        <v>9.6000000000000002E-2</v>
      </c>
      <c r="J248" s="729"/>
      <c r="L248" s="396"/>
      <c r="M248" s="396"/>
    </row>
    <row r="249" spans="1:13">
      <c r="A249" s="75">
        <v>5</v>
      </c>
      <c r="B249" s="410" t="s">
        <v>624</v>
      </c>
      <c r="C249" s="77" t="s">
        <v>71</v>
      </c>
      <c r="D249" s="413">
        <f>1*2</f>
        <v>2</v>
      </c>
      <c r="E249" s="77">
        <v>1</v>
      </c>
      <c r="F249" s="395">
        <v>0.23</v>
      </c>
      <c r="G249" s="395">
        <v>0.65</v>
      </c>
      <c r="H249" s="395">
        <v>0.2</v>
      </c>
      <c r="I249" s="80">
        <f t="shared" si="14"/>
        <v>5.9800000000000013E-2</v>
      </c>
      <c r="J249" s="729"/>
      <c r="L249" s="396"/>
      <c r="M249" s="396"/>
    </row>
    <row r="250" spans="1:13">
      <c r="A250" s="377">
        <v>6</v>
      </c>
      <c r="B250" s="410"/>
      <c r="C250" s="77" t="s">
        <v>71</v>
      </c>
      <c r="D250" s="413">
        <v>2</v>
      </c>
      <c r="E250" s="77">
        <v>1</v>
      </c>
      <c r="F250" s="395">
        <v>0.23</v>
      </c>
      <c r="G250" s="395">
        <f>1.65-0.23</f>
        <v>1.42</v>
      </c>
      <c r="H250" s="395">
        <v>0.2</v>
      </c>
      <c r="I250" s="80">
        <f t="shared" si="14"/>
        <v>0.13064000000000001</v>
      </c>
      <c r="J250" s="729"/>
      <c r="L250" s="396"/>
      <c r="M250" s="396"/>
    </row>
    <row r="251" spans="1:13">
      <c r="A251" s="75">
        <v>7</v>
      </c>
      <c r="B251" s="410" t="s">
        <v>625</v>
      </c>
      <c r="C251" s="77" t="s">
        <v>71</v>
      </c>
      <c r="D251" s="413">
        <f>1*2</f>
        <v>2</v>
      </c>
      <c r="E251" s="77">
        <v>1</v>
      </c>
      <c r="F251" s="395">
        <v>0.23</v>
      </c>
      <c r="G251" s="395">
        <v>0.65</v>
      </c>
      <c r="H251" s="395">
        <v>0.2</v>
      </c>
      <c r="I251" s="80">
        <f t="shared" si="14"/>
        <v>5.9800000000000013E-2</v>
      </c>
      <c r="J251" s="729"/>
      <c r="L251" s="396"/>
      <c r="M251" s="396"/>
    </row>
    <row r="252" spans="1:13">
      <c r="A252" s="377">
        <v>8</v>
      </c>
      <c r="B252" s="410"/>
      <c r="C252" s="77" t="s">
        <v>71</v>
      </c>
      <c r="D252" s="413">
        <v>2</v>
      </c>
      <c r="E252" s="77">
        <v>1</v>
      </c>
      <c r="F252" s="395">
        <v>0.23</v>
      </c>
      <c r="G252" s="395">
        <f>1.85-0.23</f>
        <v>1.62</v>
      </c>
      <c r="H252" s="395">
        <v>0.2</v>
      </c>
      <c r="I252" s="80">
        <f t="shared" si="14"/>
        <v>0.14904000000000003</v>
      </c>
      <c r="J252" s="729"/>
      <c r="L252" s="396"/>
      <c r="M252" s="396"/>
    </row>
    <row r="253" spans="1:13">
      <c r="A253" s="75">
        <v>9</v>
      </c>
      <c r="B253" s="410" t="s">
        <v>626</v>
      </c>
      <c r="C253" s="77" t="s">
        <v>71</v>
      </c>
      <c r="D253" s="413">
        <f>1*2</f>
        <v>2</v>
      </c>
      <c r="E253" s="77">
        <v>1</v>
      </c>
      <c r="F253" s="395">
        <v>0.23</v>
      </c>
      <c r="G253" s="395">
        <v>1</v>
      </c>
      <c r="H253" s="395">
        <v>0.2</v>
      </c>
      <c r="I253" s="80">
        <f t="shared" si="14"/>
        <v>9.2000000000000012E-2</v>
      </c>
      <c r="J253" s="729"/>
      <c r="L253" s="396"/>
      <c r="M253" s="396"/>
    </row>
    <row r="254" spans="1:13">
      <c r="A254" s="377">
        <v>10</v>
      </c>
      <c r="B254" s="410" t="s">
        <v>627</v>
      </c>
      <c r="C254" s="77" t="s">
        <v>71</v>
      </c>
      <c r="D254" s="413">
        <f>1*2</f>
        <v>2</v>
      </c>
      <c r="E254" s="77">
        <v>1</v>
      </c>
      <c r="F254" s="395">
        <v>0.23</v>
      </c>
      <c r="G254" s="395">
        <v>1.1499999999999999</v>
      </c>
      <c r="H254" s="395">
        <v>0.2</v>
      </c>
      <c r="I254" s="80">
        <f t="shared" si="14"/>
        <v>0.10580000000000001</v>
      </c>
      <c r="J254" s="729"/>
      <c r="L254" s="396"/>
      <c r="M254" s="396"/>
    </row>
    <row r="255" spans="1:13">
      <c r="A255" s="75">
        <v>11</v>
      </c>
      <c r="B255" s="410" t="s">
        <v>629</v>
      </c>
      <c r="C255" s="77" t="s">
        <v>71</v>
      </c>
      <c r="D255" s="413">
        <v>2</v>
      </c>
      <c r="E255" s="77">
        <v>1</v>
      </c>
      <c r="F255" s="395">
        <v>0.23</v>
      </c>
      <c r="G255" s="395">
        <v>1.1850000000000001</v>
      </c>
      <c r="H255" s="395">
        <v>0.2</v>
      </c>
      <c r="I255" s="80">
        <f t="shared" si="14"/>
        <v>0.10902000000000001</v>
      </c>
      <c r="J255" s="729"/>
      <c r="L255" s="396"/>
      <c r="M255" s="396"/>
    </row>
    <row r="256" spans="1:13">
      <c r="A256" s="377">
        <v>12</v>
      </c>
      <c r="B256" s="410" t="s">
        <v>630</v>
      </c>
      <c r="C256" s="77" t="s">
        <v>71</v>
      </c>
      <c r="D256" s="413">
        <f>1*2</f>
        <v>2</v>
      </c>
      <c r="E256" s="77">
        <v>1</v>
      </c>
      <c r="F256" s="395">
        <v>0.23</v>
      </c>
      <c r="G256" s="395">
        <v>1.855</v>
      </c>
      <c r="H256" s="395">
        <v>0.2</v>
      </c>
      <c r="I256" s="80">
        <f t="shared" si="14"/>
        <v>0.17066000000000003</v>
      </c>
      <c r="J256" s="729"/>
      <c r="L256" s="396"/>
      <c r="M256" s="396"/>
    </row>
    <row r="257" spans="1:13">
      <c r="A257" s="75">
        <v>13</v>
      </c>
      <c r="B257" s="410" t="s">
        <v>631</v>
      </c>
      <c r="C257" s="77" t="s">
        <v>71</v>
      </c>
      <c r="D257" s="413">
        <v>1</v>
      </c>
      <c r="E257" s="77">
        <v>1</v>
      </c>
      <c r="F257" s="395">
        <v>0.23</v>
      </c>
      <c r="G257" s="395">
        <v>3.6</v>
      </c>
      <c r="H257" s="395">
        <v>0.2</v>
      </c>
      <c r="I257" s="80">
        <f t="shared" si="14"/>
        <v>0.16560000000000002</v>
      </c>
      <c r="J257" s="729"/>
      <c r="L257" s="396"/>
      <c r="M257" s="396"/>
    </row>
    <row r="258" spans="1:13">
      <c r="A258" s="377">
        <v>14</v>
      </c>
      <c r="B258" s="410" t="s">
        <v>632</v>
      </c>
      <c r="C258" s="77" t="s">
        <v>71</v>
      </c>
      <c r="D258" s="413">
        <f>3*2</f>
        <v>6</v>
      </c>
      <c r="E258" s="77">
        <v>1</v>
      </c>
      <c r="F258" s="395">
        <v>0.23</v>
      </c>
      <c r="G258" s="395">
        <v>0.65</v>
      </c>
      <c r="H258" s="395">
        <v>0.2</v>
      </c>
      <c r="I258" s="80">
        <f t="shared" si="14"/>
        <v>0.17940000000000003</v>
      </c>
      <c r="J258" s="729"/>
      <c r="L258" s="396"/>
      <c r="M258" s="396"/>
    </row>
    <row r="259" spans="1:13">
      <c r="A259" s="75">
        <v>15</v>
      </c>
      <c r="B259" s="410"/>
      <c r="C259" s="77" t="s">
        <v>71</v>
      </c>
      <c r="D259" s="413">
        <v>6</v>
      </c>
      <c r="E259" s="77">
        <v>1</v>
      </c>
      <c r="F259" s="395">
        <v>0.23</v>
      </c>
      <c r="G259" s="395">
        <f>1.85-0.23</f>
        <v>1.62</v>
      </c>
      <c r="H259" s="395">
        <v>0.2</v>
      </c>
      <c r="I259" s="80">
        <f t="shared" si="14"/>
        <v>0.44712000000000007</v>
      </c>
      <c r="J259" s="729"/>
      <c r="L259" s="396"/>
      <c r="M259" s="396"/>
    </row>
    <row r="260" spans="1:13">
      <c r="A260" s="75"/>
      <c r="B260" s="412"/>
      <c r="C260" s="77"/>
      <c r="D260" s="397"/>
      <c r="E260" s="77"/>
      <c r="F260" s="395"/>
      <c r="G260" s="395"/>
      <c r="H260" s="395"/>
      <c r="I260" s="627">
        <f>SUBTOTAL(9,I245:I259)</f>
        <v>4.9454800000000008</v>
      </c>
      <c r="J260" s="729"/>
      <c r="L260" s="396"/>
      <c r="M260" s="396"/>
    </row>
    <row r="261" spans="1:13">
      <c r="A261" s="75"/>
      <c r="B261" s="412"/>
      <c r="C261" s="77"/>
      <c r="D261" s="397"/>
      <c r="E261" s="77"/>
      <c r="F261" s="395"/>
      <c r="G261" s="395"/>
      <c r="H261" s="395"/>
      <c r="I261" s="578"/>
      <c r="J261" s="729"/>
      <c r="L261" s="396"/>
      <c r="M261" s="396"/>
    </row>
    <row r="262" spans="1:13">
      <c r="A262" s="167"/>
      <c r="B262" s="584" t="s">
        <v>956</v>
      </c>
      <c r="C262" s="267"/>
      <c r="D262" s="167"/>
      <c r="E262" s="167"/>
      <c r="F262" s="167"/>
      <c r="G262" s="167"/>
      <c r="H262" s="477"/>
      <c r="I262" s="581"/>
      <c r="J262" s="729"/>
    </row>
    <row r="263" spans="1:13">
      <c r="A263" s="167"/>
      <c r="B263" s="267"/>
      <c r="C263" s="267"/>
      <c r="D263" s="167"/>
      <c r="E263" s="167"/>
      <c r="F263" s="167"/>
      <c r="G263" s="167"/>
      <c r="H263" s="477"/>
      <c r="I263" s="581"/>
      <c r="J263" s="729"/>
    </row>
    <row r="264" spans="1:13">
      <c r="A264" s="167"/>
      <c r="B264" s="167" t="s">
        <v>958</v>
      </c>
      <c r="C264" s="397" t="s">
        <v>71</v>
      </c>
      <c r="D264" s="575">
        <v>1</v>
      </c>
      <c r="E264" s="251">
        <v>1</v>
      </c>
      <c r="F264" s="595">
        <v>3.0249999999999999</v>
      </c>
      <c r="G264" s="235">
        <v>0.5</v>
      </c>
      <c r="H264" s="235">
        <v>0.2</v>
      </c>
      <c r="I264" s="477">
        <f t="shared" ref="I264:I295" si="15">+PRODUCT(D264:H264)</f>
        <v>0.30249999999999999</v>
      </c>
      <c r="J264" s="729"/>
    </row>
    <row r="265" spans="1:13">
      <c r="A265" s="167"/>
      <c r="B265" s="167" t="s">
        <v>958</v>
      </c>
      <c r="C265" s="397" t="s">
        <v>71</v>
      </c>
      <c r="D265" s="575">
        <v>1</v>
      </c>
      <c r="E265" s="251">
        <v>1</v>
      </c>
      <c r="F265" s="595">
        <v>2.8</v>
      </c>
      <c r="G265" s="235">
        <v>0.5</v>
      </c>
      <c r="H265" s="235">
        <v>0.2</v>
      </c>
      <c r="I265" s="477">
        <f t="shared" si="15"/>
        <v>0.27999999999999997</v>
      </c>
      <c r="J265" s="729"/>
    </row>
    <row r="266" spans="1:13">
      <c r="A266" s="167"/>
      <c r="B266" s="167" t="s">
        <v>959</v>
      </c>
      <c r="C266" s="397" t="s">
        <v>71</v>
      </c>
      <c r="D266" s="575">
        <v>1</v>
      </c>
      <c r="E266" s="251">
        <v>1</v>
      </c>
      <c r="F266" s="595">
        <v>3.3</v>
      </c>
      <c r="G266" s="235">
        <v>0.5</v>
      </c>
      <c r="H266" s="235">
        <v>0.2</v>
      </c>
      <c r="I266" s="477">
        <f t="shared" si="15"/>
        <v>0.33</v>
      </c>
      <c r="J266" s="729"/>
    </row>
    <row r="267" spans="1:13">
      <c r="A267" s="167"/>
      <c r="B267" s="167" t="s">
        <v>999</v>
      </c>
      <c r="C267" s="397" t="s">
        <v>71</v>
      </c>
      <c r="D267" s="575">
        <v>1</v>
      </c>
      <c r="E267" s="251">
        <v>1</v>
      </c>
      <c r="F267" s="595">
        <v>1.395</v>
      </c>
      <c r="G267" s="235">
        <v>0.35</v>
      </c>
      <c r="H267" s="235">
        <v>0.1</v>
      </c>
      <c r="I267" s="477">
        <f t="shared" si="15"/>
        <v>4.8825E-2</v>
      </c>
      <c r="J267" s="729"/>
    </row>
    <row r="268" spans="1:13">
      <c r="A268" s="167"/>
      <c r="B268" s="167" t="s">
        <v>1000</v>
      </c>
      <c r="C268" s="397" t="s">
        <v>71</v>
      </c>
      <c r="D268" s="587">
        <v>1</v>
      </c>
      <c r="E268" s="251">
        <v>1</v>
      </c>
      <c r="F268" s="595">
        <v>1.395</v>
      </c>
      <c r="G268" s="235">
        <v>0.35</v>
      </c>
      <c r="H268" s="235">
        <v>0.115</v>
      </c>
      <c r="I268" s="477">
        <f t="shared" si="15"/>
        <v>5.6148749999999997E-2</v>
      </c>
      <c r="J268" s="729"/>
    </row>
    <row r="269" spans="1:13">
      <c r="A269" s="167"/>
      <c r="B269" s="167" t="s">
        <v>996</v>
      </c>
      <c r="C269" s="397" t="s">
        <v>71</v>
      </c>
      <c r="D269" s="575">
        <v>1</v>
      </c>
      <c r="E269" s="251">
        <v>1</v>
      </c>
      <c r="F269" s="595">
        <v>1.1850000000000001</v>
      </c>
      <c r="G269" s="235">
        <v>0.35</v>
      </c>
      <c r="H269" s="235">
        <v>0.1</v>
      </c>
      <c r="I269" s="477">
        <f t="shared" si="15"/>
        <v>4.1475000000000005E-2</v>
      </c>
      <c r="J269" s="729"/>
    </row>
    <row r="270" spans="1:13">
      <c r="A270" s="167"/>
      <c r="B270" s="167" t="s">
        <v>997</v>
      </c>
      <c r="C270" s="397" t="s">
        <v>71</v>
      </c>
      <c r="D270" s="575">
        <v>1</v>
      </c>
      <c r="E270" s="251">
        <v>3</v>
      </c>
      <c r="F270" s="595">
        <f>0.515+1.54</f>
        <v>2.0550000000000002</v>
      </c>
      <c r="G270" s="235">
        <v>0.35</v>
      </c>
      <c r="H270" s="235">
        <v>0.1</v>
      </c>
      <c r="I270" s="477">
        <f t="shared" si="15"/>
        <v>0.21577500000000002</v>
      </c>
      <c r="J270" s="729"/>
    </row>
    <row r="271" spans="1:13">
      <c r="A271" s="167"/>
      <c r="B271" s="167" t="s">
        <v>1001</v>
      </c>
      <c r="C271" s="397" t="s">
        <v>71</v>
      </c>
      <c r="D271" s="575">
        <v>1</v>
      </c>
      <c r="E271" s="251">
        <v>3</v>
      </c>
      <c r="F271" s="595">
        <f>1.07+0.415</f>
        <v>1.4850000000000001</v>
      </c>
      <c r="G271" s="235">
        <v>0.35</v>
      </c>
      <c r="H271" s="235">
        <v>0.1</v>
      </c>
      <c r="I271" s="477">
        <f t="shared" si="15"/>
        <v>0.15592500000000001</v>
      </c>
      <c r="J271" s="729"/>
    </row>
    <row r="272" spans="1:13">
      <c r="A272" s="167"/>
      <c r="B272" s="167" t="s">
        <v>998</v>
      </c>
      <c r="C272" s="397" t="s">
        <v>71</v>
      </c>
      <c r="D272" s="575">
        <v>1</v>
      </c>
      <c r="E272" s="251">
        <v>3</v>
      </c>
      <c r="F272" s="595">
        <f>1.9+0.415</f>
        <v>2.3149999999999999</v>
      </c>
      <c r="G272" s="235">
        <v>0.35</v>
      </c>
      <c r="H272" s="235">
        <v>0.1</v>
      </c>
      <c r="I272" s="477">
        <f t="shared" si="15"/>
        <v>0.24307499999999999</v>
      </c>
      <c r="J272" s="729"/>
    </row>
    <row r="273" spans="1:10">
      <c r="A273" s="167"/>
      <c r="B273" s="167" t="s">
        <v>1002</v>
      </c>
      <c r="C273" s="397" t="s">
        <v>71</v>
      </c>
      <c r="D273" s="575">
        <v>1</v>
      </c>
      <c r="E273" s="251">
        <v>2</v>
      </c>
      <c r="F273" s="595">
        <v>2.3149999999999999</v>
      </c>
      <c r="G273" s="235">
        <v>0.35</v>
      </c>
      <c r="H273" s="235">
        <v>0.1</v>
      </c>
      <c r="I273" s="477">
        <f t="shared" si="15"/>
        <v>0.16205</v>
      </c>
      <c r="J273" s="729"/>
    </row>
    <row r="274" spans="1:10">
      <c r="A274" s="167"/>
      <c r="B274" s="167" t="s">
        <v>1003</v>
      </c>
      <c r="C274" s="397" t="s">
        <v>71</v>
      </c>
      <c r="D274" s="575">
        <v>1</v>
      </c>
      <c r="E274" s="251">
        <v>2</v>
      </c>
      <c r="F274" s="595">
        <v>1.395</v>
      </c>
      <c r="G274" s="235">
        <v>0.35</v>
      </c>
      <c r="H274" s="235">
        <v>0.2</v>
      </c>
      <c r="I274" s="477">
        <f t="shared" si="15"/>
        <v>0.1953</v>
      </c>
      <c r="J274" s="729"/>
    </row>
    <row r="275" spans="1:10">
      <c r="A275" s="167"/>
      <c r="B275" s="167" t="s">
        <v>960</v>
      </c>
      <c r="C275" s="397" t="s">
        <v>71</v>
      </c>
      <c r="D275" s="575">
        <v>1</v>
      </c>
      <c r="E275" s="251">
        <v>1</v>
      </c>
      <c r="F275" s="595">
        <v>6.875</v>
      </c>
      <c r="G275" s="235">
        <v>0.45</v>
      </c>
      <c r="H275" s="235">
        <v>0.2</v>
      </c>
      <c r="I275" s="477">
        <f t="shared" si="15"/>
        <v>0.61875000000000002</v>
      </c>
      <c r="J275" s="729"/>
    </row>
    <row r="276" spans="1:10">
      <c r="A276" s="167"/>
      <c r="B276" s="167" t="s">
        <v>1005</v>
      </c>
      <c r="C276" s="397" t="s">
        <v>71</v>
      </c>
      <c r="D276" s="575">
        <v>1</v>
      </c>
      <c r="E276" s="251">
        <v>1</v>
      </c>
      <c r="F276" s="595">
        <v>3.16</v>
      </c>
      <c r="G276" s="235">
        <v>0.35</v>
      </c>
      <c r="H276" s="235">
        <v>0.23</v>
      </c>
      <c r="I276" s="477">
        <f t="shared" si="15"/>
        <v>0.25438</v>
      </c>
      <c r="J276" s="729"/>
    </row>
    <row r="277" spans="1:10">
      <c r="A277" s="167"/>
      <c r="B277" s="167" t="s">
        <v>961</v>
      </c>
      <c r="C277" s="397" t="s">
        <v>71</v>
      </c>
      <c r="D277" s="575">
        <v>1</v>
      </c>
      <c r="E277" s="251">
        <v>1</v>
      </c>
      <c r="F277" s="595">
        <v>2.7</v>
      </c>
      <c r="G277" s="235">
        <v>0.45</v>
      </c>
      <c r="H277" s="235">
        <v>0.2</v>
      </c>
      <c r="I277" s="477">
        <f t="shared" si="15"/>
        <v>0.24300000000000002</v>
      </c>
      <c r="J277" s="729"/>
    </row>
    <row r="278" spans="1:10">
      <c r="A278" s="167"/>
      <c r="B278" s="167" t="s">
        <v>962</v>
      </c>
      <c r="C278" s="397" t="s">
        <v>71</v>
      </c>
      <c r="D278" s="575">
        <v>1</v>
      </c>
      <c r="E278" s="251">
        <v>1</v>
      </c>
      <c r="F278" s="595">
        <v>2.875</v>
      </c>
      <c r="G278" s="235">
        <v>0.5</v>
      </c>
      <c r="H278" s="235">
        <v>0.2</v>
      </c>
      <c r="I278" s="477">
        <f t="shared" si="15"/>
        <v>0.28750000000000003</v>
      </c>
      <c r="J278" s="729"/>
    </row>
    <row r="279" spans="1:10">
      <c r="A279" s="167"/>
      <c r="B279" s="167" t="s">
        <v>963</v>
      </c>
      <c r="C279" s="397" t="s">
        <v>71</v>
      </c>
      <c r="D279" s="575">
        <v>1</v>
      </c>
      <c r="E279" s="251">
        <v>1</v>
      </c>
      <c r="F279" s="595">
        <v>2.93</v>
      </c>
      <c r="G279" s="235">
        <v>0.35</v>
      </c>
      <c r="H279" s="235">
        <v>0.2</v>
      </c>
      <c r="I279" s="477">
        <f t="shared" si="15"/>
        <v>0.20510000000000003</v>
      </c>
      <c r="J279" s="729"/>
    </row>
    <row r="280" spans="1:10">
      <c r="A280" s="167"/>
      <c r="B280" s="167" t="s">
        <v>964</v>
      </c>
      <c r="C280" s="397" t="s">
        <v>71</v>
      </c>
      <c r="D280" s="575">
        <v>1</v>
      </c>
      <c r="E280" s="251">
        <v>1</v>
      </c>
      <c r="F280" s="595">
        <v>4.6900000000000004</v>
      </c>
      <c r="G280" s="235">
        <v>0.5</v>
      </c>
      <c r="H280" s="235">
        <v>0.2</v>
      </c>
      <c r="I280" s="477">
        <f t="shared" si="15"/>
        <v>0.46900000000000008</v>
      </c>
      <c r="J280" s="729"/>
    </row>
    <row r="281" spans="1:10">
      <c r="A281" s="167"/>
      <c r="B281" s="167" t="s">
        <v>965</v>
      </c>
      <c r="C281" s="397" t="s">
        <v>71</v>
      </c>
      <c r="D281" s="575">
        <v>1</v>
      </c>
      <c r="E281" s="251">
        <v>1</v>
      </c>
      <c r="F281" s="595">
        <v>3.15</v>
      </c>
      <c r="G281" s="235">
        <v>0.5</v>
      </c>
      <c r="H281" s="235">
        <v>0.2</v>
      </c>
      <c r="I281" s="477">
        <f t="shared" si="15"/>
        <v>0.315</v>
      </c>
      <c r="J281" s="729"/>
    </row>
    <row r="282" spans="1:10">
      <c r="A282" s="167"/>
      <c r="B282" s="167" t="s">
        <v>966</v>
      </c>
      <c r="C282" s="397" t="s">
        <v>71</v>
      </c>
      <c r="D282" s="575">
        <v>1</v>
      </c>
      <c r="E282" s="251">
        <v>1</v>
      </c>
      <c r="F282" s="595">
        <v>4.6900000000000004</v>
      </c>
      <c r="G282" s="235">
        <v>0.45</v>
      </c>
      <c r="H282" s="235">
        <v>0.2</v>
      </c>
      <c r="I282" s="477">
        <f t="shared" si="15"/>
        <v>0.42210000000000003</v>
      </c>
      <c r="J282" s="729"/>
    </row>
    <row r="283" spans="1:10">
      <c r="A283" s="167"/>
      <c r="B283" s="167" t="s">
        <v>967</v>
      </c>
      <c r="C283" s="397" t="s">
        <v>71</v>
      </c>
      <c r="D283" s="575">
        <v>1</v>
      </c>
      <c r="E283" s="251">
        <v>1</v>
      </c>
      <c r="F283" s="595">
        <v>5.76</v>
      </c>
      <c r="G283" s="235">
        <v>0.45</v>
      </c>
      <c r="H283" s="235">
        <v>0.2</v>
      </c>
      <c r="I283" s="477">
        <f t="shared" si="15"/>
        <v>0.51840000000000008</v>
      </c>
      <c r="J283" s="729"/>
    </row>
    <row r="284" spans="1:10">
      <c r="A284" s="167"/>
      <c r="B284" s="167" t="s">
        <v>968</v>
      </c>
      <c r="C284" s="397" t="s">
        <v>71</v>
      </c>
      <c r="D284" s="575">
        <v>1</v>
      </c>
      <c r="E284" s="251">
        <v>1</v>
      </c>
      <c r="F284" s="595">
        <v>1.6</v>
      </c>
      <c r="G284" s="235">
        <v>0.35</v>
      </c>
      <c r="H284" s="235">
        <v>0.2</v>
      </c>
      <c r="I284" s="477">
        <f t="shared" si="15"/>
        <v>0.11199999999999999</v>
      </c>
      <c r="J284" s="729"/>
    </row>
    <row r="285" spans="1:10">
      <c r="A285" s="167"/>
      <c r="B285" s="167" t="s">
        <v>969</v>
      </c>
      <c r="C285" s="397" t="s">
        <v>71</v>
      </c>
      <c r="D285" s="575">
        <v>1</v>
      </c>
      <c r="E285" s="251">
        <v>1</v>
      </c>
      <c r="F285" s="595">
        <v>4.1050000000000004</v>
      </c>
      <c r="G285" s="235">
        <v>0.45</v>
      </c>
      <c r="H285" s="235">
        <v>0.2</v>
      </c>
      <c r="I285" s="477">
        <f t="shared" si="15"/>
        <v>0.36945000000000006</v>
      </c>
      <c r="J285" s="729"/>
    </row>
    <row r="286" spans="1:10">
      <c r="A286" s="167"/>
      <c r="B286" s="167" t="s">
        <v>970</v>
      </c>
      <c r="C286" s="397" t="s">
        <v>71</v>
      </c>
      <c r="D286" s="575">
        <v>1</v>
      </c>
      <c r="E286" s="251">
        <v>1</v>
      </c>
      <c r="F286" s="595">
        <v>1.5</v>
      </c>
      <c r="G286" s="235">
        <v>0.45</v>
      </c>
      <c r="H286" s="235">
        <v>0.2</v>
      </c>
      <c r="I286" s="477">
        <f t="shared" si="15"/>
        <v>0.13500000000000001</v>
      </c>
      <c r="J286" s="729"/>
    </row>
    <row r="287" spans="1:10">
      <c r="A287" s="167"/>
      <c r="B287" s="167" t="s">
        <v>970</v>
      </c>
      <c r="C287" s="397" t="s">
        <v>71</v>
      </c>
      <c r="D287" s="575">
        <v>1</v>
      </c>
      <c r="E287" s="251">
        <v>1</v>
      </c>
      <c r="F287" s="595">
        <v>2.2000000000000002</v>
      </c>
      <c r="G287" s="235">
        <v>0.45</v>
      </c>
      <c r="H287" s="235">
        <v>0.2</v>
      </c>
      <c r="I287" s="477">
        <f t="shared" si="15"/>
        <v>0.19800000000000004</v>
      </c>
      <c r="J287" s="729"/>
    </row>
    <row r="288" spans="1:10">
      <c r="A288" s="167"/>
      <c r="B288" s="167" t="s">
        <v>971</v>
      </c>
      <c r="C288" s="397" t="s">
        <v>71</v>
      </c>
      <c r="D288" s="575">
        <v>1</v>
      </c>
      <c r="E288" s="251">
        <v>1</v>
      </c>
      <c r="F288" s="595">
        <v>3.1150000000000002</v>
      </c>
      <c r="G288" s="235">
        <v>0.5</v>
      </c>
      <c r="H288" s="235">
        <v>0.2</v>
      </c>
      <c r="I288" s="477">
        <f t="shared" si="15"/>
        <v>0.31150000000000005</v>
      </c>
      <c r="J288" s="729"/>
    </row>
    <row r="289" spans="1:10">
      <c r="A289" s="167"/>
      <c r="B289" s="167" t="s">
        <v>972</v>
      </c>
      <c r="C289" s="397" t="s">
        <v>71</v>
      </c>
      <c r="D289" s="575">
        <v>1</v>
      </c>
      <c r="E289" s="251">
        <v>3</v>
      </c>
      <c r="F289" s="595">
        <v>1.02</v>
      </c>
      <c r="G289" s="235">
        <v>0.35</v>
      </c>
      <c r="H289" s="235">
        <v>0.2</v>
      </c>
      <c r="I289" s="477">
        <f t="shared" si="15"/>
        <v>0.2142</v>
      </c>
      <c r="J289" s="729"/>
    </row>
    <row r="290" spans="1:10">
      <c r="A290" s="167"/>
      <c r="B290" s="167" t="s">
        <v>973</v>
      </c>
      <c r="C290" s="397" t="s">
        <v>71</v>
      </c>
      <c r="D290" s="575">
        <v>1</v>
      </c>
      <c r="E290" s="251">
        <v>3</v>
      </c>
      <c r="F290" s="595">
        <v>3.35</v>
      </c>
      <c r="G290" s="235">
        <v>0.5</v>
      </c>
      <c r="H290" s="235">
        <v>0.2</v>
      </c>
      <c r="I290" s="477">
        <f t="shared" si="15"/>
        <v>1.0050000000000001</v>
      </c>
      <c r="J290" s="729"/>
    </row>
    <row r="291" spans="1:10">
      <c r="A291" s="167"/>
      <c r="B291" s="167" t="s">
        <v>973</v>
      </c>
      <c r="C291" s="397" t="s">
        <v>71</v>
      </c>
      <c r="D291" s="575">
        <v>1</v>
      </c>
      <c r="E291" s="251">
        <v>3</v>
      </c>
      <c r="F291" s="595">
        <v>3.25</v>
      </c>
      <c r="G291" s="235">
        <v>0.5</v>
      </c>
      <c r="H291" s="235">
        <v>0.2</v>
      </c>
      <c r="I291" s="477">
        <f t="shared" si="15"/>
        <v>0.97500000000000009</v>
      </c>
      <c r="J291" s="729"/>
    </row>
    <row r="292" spans="1:10">
      <c r="A292" s="167"/>
      <c r="B292" s="167" t="s">
        <v>974</v>
      </c>
      <c r="C292" s="397" t="s">
        <v>71</v>
      </c>
      <c r="D292" s="575">
        <v>1</v>
      </c>
      <c r="E292" s="251">
        <v>1</v>
      </c>
      <c r="F292" s="595">
        <v>3.2149999999999999</v>
      </c>
      <c r="G292" s="235">
        <v>0.5</v>
      </c>
      <c r="H292" s="235">
        <v>0.2</v>
      </c>
      <c r="I292" s="477">
        <f t="shared" si="15"/>
        <v>0.32150000000000001</v>
      </c>
      <c r="J292" s="729"/>
    </row>
    <row r="293" spans="1:10">
      <c r="A293" s="167"/>
      <c r="B293" s="167" t="s">
        <v>975</v>
      </c>
      <c r="C293" s="397" t="s">
        <v>71</v>
      </c>
      <c r="D293" s="575">
        <v>1</v>
      </c>
      <c r="E293" s="251">
        <v>1</v>
      </c>
      <c r="F293" s="595">
        <v>2.76</v>
      </c>
      <c r="G293" s="235">
        <v>0.5</v>
      </c>
      <c r="H293" s="235">
        <v>0.23</v>
      </c>
      <c r="I293" s="477">
        <f t="shared" si="15"/>
        <v>0.31740000000000002</v>
      </c>
      <c r="J293" s="729"/>
    </row>
    <row r="294" spans="1:10">
      <c r="A294" s="167"/>
      <c r="B294" s="167" t="s">
        <v>976</v>
      </c>
      <c r="C294" s="397" t="s">
        <v>71</v>
      </c>
      <c r="D294" s="575">
        <v>1</v>
      </c>
      <c r="E294" s="251">
        <v>1</v>
      </c>
      <c r="F294" s="595">
        <v>6.79</v>
      </c>
      <c r="G294" s="235">
        <v>0.45</v>
      </c>
      <c r="H294" s="235">
        <v>0.2</v>
      </c>
      <c r="I294" s="477">
        <f t="shared" si="15"/>
        <v>0.61109999999999998</v>
      </c>
      <c r="J294" s="729"/>
    </row>
    <row r="295" spans="1:10">
      <c r="A295" s="167"/>
      <c r="B295" s="167" t="s">
        <v>977</v>
      </c>
      <c r="C295" s="397" t="s">
        <v>71</v>
      </c>
      <c r="D295" s="575">
        <v>1</v>
      </c>
      <c r="E295" s="251">
        <v>1</v>
      </c>
      <c r="F295" s="595">
        <v>2.41</v>
      </c>
      <c r="G295" s="235">
        <v>0.35</v>
      </c>
      <c r="H295" s="235">
        <v>0.2</v>
      </c>
      <c r="I295" s="477">
        <f t="shared" si="15"/>
        <v>0.16870000000000002</v>
      </c>
      <c r="J295" s="729"/>
    </row>
    <row r="296" spans="1:10">
      <c r="A296" s="167"/>
      <c r="B296" s="167" t="s">
        <v>1004</v>
      </c>
      <c r="C296" s="397" t="s">
        <v>71</v>
      </c>
      <c r="D296" s="575">
        <v>1</v>
      </c>
      <c r="E296" s="251">
        <v>1</v>
      </c>
      <c r="F296" s="595">
        <v>5.76</v>
      </c>
      <c r="G296" s="235">
        <v>0.45</v>
      </c>
      <c r="H296" s="235">
        <v>0.23</v>
      </c>
      <c r="I296" s="477">
        <f t="shared" ref="I296:I327" si="16">+PRODUCT(D296:H296)</f>
        <v>0.59616000000000002</v>
      </c>
      <c r="J296" s="729"/>
    </row>
    <row r="297" spans="1:10">
      <c r="A297" s="167"/>
      <c r="B297" s="167" t="s">
        <v>978</v>
      </c>
      <c r="C297" s="397" t="s">
        <v>71</v>
      </c>
      <c r="D297" s="575">
        <v>1</v>
      </c>
      <c r="E297" s="251">
        <v>1</v>
      </c>
      <c r="F297" s="595">
        <v>4.6900000000000004</v>
      </c>
      <c r="G297" s="235">
        <v>0.45</v>
      </c>
      <c r="H297" s="235">
        <v>0.2</v>
      </c>
      <c r="I297" s="477">
        <f t="shared" si="16"/>
        <v>0.42210000000000003</v>
      </c>
      <c r="J297" s="729"/>
    </row>
    <row r="298" spans="1:10">
      <c r="A298" s="167"/>
      <c r="B298" s="167" t="s">
        <v>979</v>
      </c>
      <c r="C298" s="397" t="s">
        <v>71</v>
      </c>
      <c r="D298" s="575">
        <v>1</v>
      </c>
      <c r="E298" s="251">
        <v>1</v>
      </c>
      <c r="F298" s="595">
        <v>2.2200000000000002</v>
      </c>
      <c r="G298" s="235">
        <v>0.45</v>
      </c>
      <c r="H298" s="235">
        <v>0.2</v>
      </c>
      <c r="I298" s="477">
        <f t="shared" si="16"/>
        <v>0.19980000000000003</v>
      </c>
      <c r="J298" s="729"/>
    </row>
    <row r="299" spans="1:10">
      <c r="A299" s="167"/>
      <c r="B299" s="167" t="s">
        <v>980</v>
      </c>
      <c r="C299" s="397" t="s">
        <v>71</v>
      </c>
      <c r="D299" s="575">
        <v>1</v>
      </c>
      <c r="E299" s="251">
        <v>1</v>
      </c>
      <c r="F299" s="595">
        <v>5.63</v>
      </c>
      <c r="G299" s="235">
        <v>0.45</v>
      </c>
      <c r="H299" s="235">
        <v>0.2</v>
      </c>
      <c r="I299" s="477">
        <f t="shared" si="16"/>
        <v>0.50670000000000004</v>
      </c>
      <c r="J299" s="729"/>
    </row>
    <row r="300" spans="1:10">
      <c r="A300" s="167"/>
      <c r="B300" s="167" t="s">
        <v>981</v>
      </c>
      <c r="C300" s="397" t="s">
        <v>71</v>
      </c>
      <c r="D300" s="575">
        <v>1</v>
      </c>
      <c r="E300" s="251">
        <v>1</v>
      </c>
      <c r="F300" s="595">
        <v>1.5</v>
      </c>
      <c r="G300" s="235">
        <v>0.45</v>
      </c>
      <c r="H300" s="235">
        <v>0.2</v>
      </c>
      <c r="I300" s="477">
        <f t="shared" si="16"/>
        <v>0.13500000000000001</v>
      </c>
      <c r="J300" s="729"/>
    </row>
    <row r="301" spans="1:10">
      <c r="A301" s="167"/>
      <c r="B301" s="167" t="s">
        <v>1006</v>
      </c>
      <c r="C301" s="397" t="s">
        <v>71</v>
      </c>
      <c r="D301" s="575">
        <v>1</v>
      </c>
      <c r="E301" s="251">
        <v>1</v>
      </c>
      <c r="F301" s="595">
        <v>2.085</v>
      </c>
      <c r="G301" s="235">
        <v>0.5</v>
      </c>
      <c r="H301" s="235">
        <v>0.2</v>
      </c>
      <c r="I301" s="477">
        <f t="shared" si="16"/>
        <v>0.20850000000000002</v>
      </c>
      <c r="J301" s="729"/>
    </row>
    <row r="302" spans="1:10">
      <c r="A302" s="167"/>
      <c r="B302" s="167" t="s">
        <v>982</v>
      </c>
      <c r="C302" s="397" t="s">
        <v>71</v>
      </c>
      <c r="D302" s="575">
        <v>1</v>
      </c>
      <c r="E302" s="251">
        <v>1</v>
      </c>
      <c r="F302" s="595">
        <v>5.63</v>
      </c>
      <c r="G302" s="235">
        <v>0.45</v>
      </c>
      <c r="H302" s="235">
        <v>0.2</v>
      </c>
      <c r="I302" s="477">
        <f t="shared" si="16"/>
        <v>0.50670000000000004</v>
      </c>
      <c r="J302" s="729"/>
    </row>
    <row r="303" spans="1:10">
      <c r="A303" s="167"/>
      <c r="B303" s="167" t="s">
        <v>1007</v>
      </c>
      <c r="C303" s="397" t="s">
        <v>71</v>
      </c>
      <c r="D303" s="575">
        <v>1</v>
      </c>
      <c r="E303" s="251">
        <v>3</v>
      </c>
      <c r="F303" s="595">
        <v>3.2349999999999999</v>
      </c>
      <c r="G303" s="235">
        <v>0.45</v>
      </c>
      <c r="H303" s="235">
        <v>0.2</v>
      </c>
      <c r="I303" s="477">
        <f t="shared" si="16"/>
        <v>0.87345000000000006</v>
      </c>
      <c r="J303" s="729"/>
    </row>
    <row r="304" spans="1:10">
      <c r="A304" s="167"/>
      <c r="B304" s="167" t="s">
        <v>1007</v>
      </c>
      <c r="C304" s="397" t="s">
        <v>71</v>
      </c>
      <c r="D304" s="575">
        <v>1</v>
      </c>
      <c r="E304" s="251">
        <v>3</v>
      </c>
      <c r="F304" s="595">
        <v>4.72</v>
      </c>
      <c r="G304" s="235">
        <v>0.45</v>
      </c>
      <c r="H304" s="235">
        <v>0.2</v>
      </c>
      <c r="I304" s="477">
        <f t="shared" si="16"/>
        <v>1.2744</v>
      </c>
      <c r="J304" s="729"/>
    </row>
    <row r="305" spans="1:10">
      <c r="A305" s="167"/>
      <c r="B305" s="167" t="s">
        <v>1008</v>
      </c>
      <c r="C305" s="397" t="s">
        <v>71</v>
      </c>
      <c r="D305" s="575">
        <v>1</v>
      </c>
      <c r="E305" s="251">
        <v>3</v>
      </c>
      <c r="F305" s="595">
        <v>2.5750000000000002</v>
      </c>
      <c r="G305" s="235">
        <v>0.35</v>
      </c>
      <c r="H305" s="235">
        <v>0.2</v>
      </c>
      <c r="I305" s="477">
        <f t="shared" si="16"/>
        <v>0.54074999999999995</v>
      </c>
      <c r="J305" s="729"/>
    </row>
    <row r="306" spans="1:10">
      <c r="A306" s="167"/>
      <c r="B306" s="167" t="s">
        <v>1009</v>
      </c>
      <c r="C306" s="397" t="s">
        <v>71</v>
      </c>
      <c r="D306" s="587">
        <v>1</v>
      </c>
      <c r="E306" s="251">
        <v>3</v>
      </c>
      <c r="F306" s="595">
        <v>3.165</v>
      </c>
      <c r="G306" s="235">
        <v>0.5</v>
      </c>
      <c r="H306" s="235">
        <v>0.2</v>
      </c>
      <c r="I306" s="477">
        <f t="shared" si="16"/>
        <v>0.94950000000000012</v>
      </c>
      <c r="J306" s="729"/>
    </row>
    <row r="307" spans="1:10">
      <c r="A307" s="167"/>
      <c r="B307" s="167" t="s">
        <v>1010</v>
      </c>
      <c r="C307" s="397" t="s">
        <v>71</v>
      </c>
      <c r="D307" s="575">
        <v>1</v>
      </c>
      <c r="E307" s="251">
        <v>1</v>
      </c>
      <c r="F307" s="595">
        <v>5.125</v>
      </c>
      <c r="G307" s="235">
        <v>0.45</v>
      </c>
      <c r="H307" s="235">
        <v>0.2</v>
      </c>
      <c r="I307" s="477">
        <f t="shared" si="16"/>
        <v>0.46124999999999999</v>
      </c>
      <c r="J307" s="729"/>
    </row>
    <row r="308" spans="1:10">
      <c r="A308" s="167"/>
      <c r="B308" s="167" t="s">
        <v>983</v>
      </c>
      <c r="C308" s="397" t="s">
        <v>71</v>
      </c>
      <c r="D308" s="575">
        <v>1</v>
      </c>
      <c r="E308" s="251">
        <v>1</v>
      </c>
      <c r="F308" s="595">
        <v>1.9</v>
      </c>
      <c r="G308" s="235">
        <v>0.45</v>
      </c>
      <c r="H308" s="235">
        <v>0.2</v>
      </c>
      <c r="I308" s="477">
        <f t="shared" si="16"/>
        <v>0.17100000000000001</v>
      </c>
      <c r="J308" s="729"/>
    </row>
    <row r="309" spans="1:10">
      <c r="A309" s="167"/>
      <c r="B309" s="167" t="s">
        <v>983</v>
      </c>
      <c r="C309" s="397" t="s">
        <v>71</v>
      </c>
      <c r="D309" s="575">
        <v>1</v>
      </c>
      <c r="E309" s="251">
        <v>1</v>
      </c>
      <c r="F309" s="595">
        <v>1.9</v>
      </c>
      <c r="G309" s="235">
        <v>0.45</v>
      </c>
      <c r="H309" s="235">
        <v>0.2</v>
      </c>
      <c r="I309" s="477">
        <f t="shared" si="16"/>
        <v>0.17100000000000001</v>
      </c>
      <c r="J309" s="729"/>
    </row>
    <row r="310" spans="1:10">
      <c r="A310" s="167"/>
      <c r="B310" s="167" t="s">
        <v>983</v>
      </c>
      <c r="C310" s="397" t="s">
        <v>71</v>
      </c>
      <c r="D310" s="575">
        <v>1</v>
      </c>
      <c r="E310" s="251">
        <v>1</v>
      </c>
      <c r="F310" s="595">
        <v>1.4</v>
      </c>
      <c r="G310" s="235">
        <v>0.45</v>
      </c>
      <c r="H310" s="235">
        <v>0.2</v>
      </c>
      <c r="I310" s="477">
        <f t="shared" si="16"/>
        <v>0.126</v>
      </c>
      <c r="J310" s="729"/>
    </row>
    <row r="311" spans="1:10">
      <c r="A311" s="167"/>
      <c r="B311" s="167" t="s">
        <v>1011</v>
      </c>
      <c r="C311" s="397" t="s">
        <v>71</v>
      </c>
      <c r="D311" s="575">
        <v>1</v>
      </c>
      <c r="E311" s="251">
        <v>1</v>
      </c>
      <c r="F311" s="595">
        <v>2.93</v>
      </c>
      <c r="G311" s="235">
        <v>0.35</v>
      </c>
      <c r="H311" s="235">
        <v>0.2</v>
      </c>
      <c r="I311" s="477">
        <f t="shared" si="16"/>
        <v>0.20510000000000003</v>
      </c>
      <c r="J311" s="729"/>
    </row>
    <row r="312" spans="1:10">
      <c r="A312" s="167"/>
      <c r="B312" s="167" t="s">
        <v>1012</v>
      </c>
      <c r="C312" s="397" t="s">
        <v>71</v>
      </c>
      <c r="D312" s="587">
        <v>1</v>
      </c>
      <c r="E312" s="251">
        <v>1</v>
      </c>
      <c r="F312" s="595">
        <v>2.875</v>
      </c>
      <c r="G312" s="235">
        <v>0.5</v>
      </c>
      <c r="H312" s="235">
        <v>0.2</v>
      </c>
      <c r="I312" s="477">
        <f t="shared" si="16"/>
        <v>0.28750000000000003</v>
      </c>
      <c r="J312" s="729"/>
    </row>
    <row r="313" spans="1:10">
      <c r="A313" s="167"/>
      <c r="B313" s="167" t="s">
        <v>1064</v>
      </c>
      <c r="C313" s="397" t="s">
        <v>71</v>
      </c>
      <c r="D313" s="589">
        <v>1</v>
      </c>
      <c r="E313" s="251">
        <v>1</v>
      </c>
      <c r="F313" s="595">
        <v>3.95</v>
      </c>
      <c r="G313" s="235">
        <v>0.45</v>
      </c>
      <c r="H313" s="235">
        <v>0.2</v>
      </c>
      <c r="I313" s="477">
        <f t="shared" si="16"/>
        <v>0.35550000000000004</v>
      </c>
      <c r="J313" s="729"/>
    </row>
    <row r="314" spans="1:10">
      <c r="A314" s="167"/>
      <c r="B314" s="167" t="s">
        <v>1013</v>
      </c>
      <c r="C314" s="397" t="s">
        <v>71</v>
      </c>
      <c r="D314" s="575">
        <v>1</v>
      </c>
      <c r="E314" s="251">
        <v>1</v>
      </c>
      <c r="F314" s="595">
        <v>4.6900000000000004</v>
      </c>
      <c r="G314" s="235">
        <v>0.5</v>
      </c>
      <c r="H314" s="235">
        <v>0.2</v>
      </c>
      <c r="I314" s="477">
        <f t="shared" si="16"/>
        <v>0.46900000000000008</v>
      </c>
      <c r="J314" s="729"/>
    </row>
    <row r="315" spans="1:10">
      <c r="A315" s="167"/>
      <c r="B315" s="167" t="s">
        <v>1013</v>
      </c>
      <c r="C315" s="397" t="s">
        <v>71</v>
      </c>
      <c r="D315" s="587">
        <v>1</v>
      </c>
      <c r="E315" s="251">
        <v>1</v>
      </c>
      <c r="F315" s="595">
        <f>6.3/2</f>
        <v>3.15</v>
      </c>
      <c r="G315" s="235">
        <v>0.5</v>
      </c>
      <c r="H315" s="235">
        <v>0.2</v>
      </c>
      <c r="I315" s="477">
        <f t="shared" si="16"/>
        <v>0.315</v>
      </c>
      <c r="J315" s="729"/>
    </row>
    <row r="316" spans="1:10">
      <c r="A316" s="167"/>
      <c r="B316" s="167" t="s">
        <v>1065</v>
      </c>
      <c r="C316" s="397" t="s">
        <v>71</v>
      </c>
      <c r="D316" s="575">
        <v>1</v>
      </c>
      <c r="E316" s="251">
        <v>2</v>
      </c>
      <c r="F316" s="595">
        <v>1.9</v>
      </c>
      <c r="G316" s="235">
        <v>0.45</v>
      </c>
      <c r="H316" s="235">
        <v>0.23</v>
      </c>
      <c r="I316" s="477">
        <f t="shared" si="16"/>
        <v>0.39329999999999998</v>
      </c>
      <c r="J316" s="729"/>
    </row>
    <row r="317" spans="1:10">
      <c r="A317" s="167"/>
      <c r="B317" s="167" t="s">
        <v>1014</v>
      </c>
      <c r="C317" s="397" t="s">
        <v>71</v>
      </c>
      <c r="D317" s="575">
        <v>1</v>
      </c>
      <c r="E317" s="251">
        <v>1</v>
      </c>
      <c r="F317" s="595">
        <v>5.2350000000000003</v>
      </c>
      <c r="G317" s="235">
        <v>0.35</v>
      </c>
      <c r="H317" s="235">
        <v>0.2</v>
      </c>
      <c r="I317" s="477">
        <f t="shared" si="16"/>
        <v>0.36645</v>
      </c>
      <c r="J317" s="729"/>
    </row>
    <row r="318" spans="1:10">
      <c r="A318" s="167"/>
      <c r="B318" s="167" t="s">
        <v>1015</v>
      </c>
      <c r="C318" s="397" t="s">
        <v>71</v>
      </c>
      <c r="D318" s="575">
        <v>1</v>
      </c>
      <c r="E318" s="251">
        <v>1</v>
      </c>
      <c r="F318" s="595">
        <v>5.0999999999999996</v>
      </c>
      <c r="G318" s="235">
        <v>0.45</v>
      </c>
      <c r="H318" s="235">
        <v>0.23</v>
      </c>
      <c r="I318" s="477">
        <f t="shared" si="16"/>
        <v>0.52785000000000004</v>
      </c>
      <c r="J318" s="729"/>
    </row>
    <row r="319" spans="1:10">
      <c r="A319" s="167"/>
      <c r="B319" s="167" t="s">
        <v>1015</v>
      </c>
      <c r="C319" s="397" t="s">
        <v>71</v>
      </c>
      <c r="D319" s="575">
        <v>1</v>
      </c>
      <c r="E319" s="251">
        <v>1</v>
      </c>
      <c r="F319" s="595">
        <v>5.0999999999999996</v>
      </c>
      <c r="G319" s="235">
        <v>0.45</v>
      </c>
      <c r="H319" s="235">
        <v>0.23</v>
      </c>
      <c r="I319" s="477">
        <f t="shared" si="16"/>
        <v>0.52785000000000004</v>
      </c>
      <c r="J319" s="729"/>
    </row>
    <row r="320" spans="1:10">
      <c r="A320" s="167"/>
      <c r="B320" s="167" t="s">
        <v>1016</v>
      </c>
      <c r="C320" s="397" t="s">
        <v>71</v>
      </c>
      <c r="D320" s="575">
        <v>1</v>
      </c>
      <c r="E320" s="251">
        <v>2</v>
      </c>
      <c r="F320" s="595">
        <v>3.19</v>
      </c>
      <c r="G320" s="235">
        <v>0.5</v>
      </c>
      <c r="H320" s="235">
        <v>0.2</v>
      </c>
      <c r="I320" s="477">
        <f t="shared" si="16"/>
        <v>0.63800000000000001</v>
      </c>
      <c r="J320" s="729"/>
    </row>
    <row r="321" spans="1:10">
      <c r="A321" s="167"/>
      <c r="B321" s="167" t="s">
        <v>1017</v>
      </c>
      <c r="C321" s="397" t="s">
        <v>71</v>
      </c>
      <c r="D321" s="575">
        <v>1</v>
      </c>
      <c r="E321" s="251">
        <v>3</v>
      </c>
      <c r="F321" s="595">
        <v>1.81</v>
      </c>
      <c r="G321" s="235">
        <v>0.5</v>
      </c>
      <c r="H321" s="235">
        <v>0.2</v>
      </c>
      <c r="I321" s="477">
        <f t="shared" si="16"/>
        <v>0.54300000000000004</v>
      </c>
      <c r="J321" s="729"/>
    </row>
    <row r="322" spans="1:10">
      <c r="A322" s="167"/>
      <c r="B322" s="167" t="s">
        <v>1017</v>
      </c>
      <c r="C322" s="397" t="s">
        <v>71</v>
      </c>
      <c r="D322" s="587">
        <v>1</v>
      </c>
      <c r="E322" s="251">
        <v>3</v>
      </c>
      <c r="F322" s="595">
        <v>3.55</v>
      </c>
      <c r="G322" s="235">
        <v>0.5</v>
      </c>
      <c r="H322" s="235">
        <v>0.2</v>
      </c>
      <c r="I322" s="477">
        <f t="shared" si="16"/>
        <v>1.0649999999999999</v>
      </c>
      <c r="J322" s="729"/>
    </row>
    <row r="323" spans="1:10">
      <c r="A323" s="167"/>
      <c r="B323" s="167" t="s">
        <v>1018</v>
      </c>
      <c r="C323" s="397" t="s">
        <v>71</v>
      </c>
      <c r="D323" s="587">
        <v>1</v>
      </c>
      <c r="E323" s="251">
        <v>3</v>
      </c>
      <c r="F323" s="595">
        <v>0.51500000000000001</v>
      </c>
      <c r="G323" s="235">
        <v>0.5</v>
      </c>
      <c r="H323" s="235">
        <v>0.23</v>
      </c>
      <c r="I323" s="477">
        <f t="shared" si="16"/>
        <v>0.177675</v>
      </c>
      <c r="J323" s="729"/>
    </row>
    <row r="324" spans="1:10">
      <c r="A324" s="167"/>
      <c r="B324" s="167" t="s">
        <v>984</v>
      </c>
      <c r="C324" s="397" t="s">
        <v>71</v>
      </c>
      <c r="D324" s="575">
        <v>1</v>
      </c>
      <c r="E324" s="251">
        <v>3</v>
      </c>
      <c r="F324" s="595">
        <v>3.86</v>
      </c>
      <c r="G324" s="235">
        <v>0.45</v>
      </c>
      <c r="H324" s="235">
        <v>0.2</v>
      </c>
      <c r="I324" s="477">
        <f t="shared" si="16"/>
        <v>1.0422</v>
      </c>
      <c r="J324" s="729"/>
    </row>
    <row r="325" spans="1:10">
      <c r="A325" s="167"/>
      <c r="B325" s="167" t="s">
        <v>985</v>
      </c>
      <c r="C325" s="397" t="s">
        <v>71</v>
      </c>
      <c r="D325" s="575">
        <v>1</v>
      </c>
      <c r="E325" s="251">
        <v>3</v>
      </c>
      <c r="F325" s="595">
        <v>3.45</v>
      </c>
      <c r="G325" s="235">
        <v>0.45</v>
      </c>
      <c r="H325" s="235">
        <v>0.2</v>
      </c>
      <c r="I325" s="477">
        <f t="shared" si="16"/>
        <v>0.93150000000000022</v>
      </c>
      <c r="J325" s="729"/>
    </row>
    <row r="326" spans="1:10">
      <c r="A326" s="167"/>
      <c r="B326" s="167" t="s">
        <v>1019</v>
      </c>
      <c r="C326" s="397" t="s">
        <v>71</v>
      </c>
      <c r="D326" s="575">
        <v>1</v>
      </c>
      <c r="E326" s="251">
        <v>3</v>
      </c>
      <c r="F326" s="595">
        <v>2.91</v>
      </c>
      <c r="G326" s="235">
        <v>0.45</v>
      </c>
      <c r="H326" s="235">
        <v>0.2</v>
      </c>
      <c r="I326" s="477">
        <f t="shared" si="16"/>
        <v>0.78570000000000007</v>
      </c>
      <c r="J326" s="729"/>
    </row>
    <row r="327" spans="1:10">
      <c r="A327" s="167"/>
      <c r="B327" s="167" t="s">
        <v>1020</v>
      </c>
      <c r="C327" s="397" t="s">
        <v>71</v>
      </c>
      <c r="D327" s="587">
        <v>1</v>
      </c>
      <c r="E327" s="251">
        <v>3</v>
      </c>
      <c r="F327" s="595">
        <v>3.55</v>
      </c>
      <c r="G327" s="235">
        <v>0.35</v>
      </c>
      <c r="H327" s="235">
        <v>0.23</v>
      </c>
      <c r="I327" s="477">
        <f t="shared" si="16"/>
        <v>0.85732499999999989</v>
      </c>
      <c r="J327" s="729"/>
    </row>
    <row r="328" spans="1:10">
      <c r="A328" s="167"/>
      <c r="B328" s="167" t="s">
        <v>986</v>
      </c>
      <c r="C328" s="397" t="s">
        <v>71</v>
      </c>
      <c r="D328" s="575">
        <v>1</v>
      </c>
      <c r="E328" s="251">
        <v>2</v>
      </c>
      <c r="F328" s="595">
        <v>3</v>
      </c>
      <c r="G328" s="235">
        <v>0.45</v>
      </c>
      <c r="H328" s="235">
        <v>0.2</v>
      </c>
      <c r="I328" s="477">
        <f t="shared" ref="I328:I359" si="17">+PRODUCT(D328:H328)</f>
        <v>0.54</v>
      </c>
      <c r="J328" s="729"/>
    </row>
    <row r="329" spans="1:10">
      <c r="A329" s="167"/>
      <c r="B329" s="167" t="s">
        <v>1021</v>
      </c>
      <c r="C329" s="397" t="s">
        <v>71</v>
      </c>
      <c r="D329" s="587">
        <v>1</v>
      </c>
      <c r="E329" s="251">
        <v>2</v>
      </c>
      <c r="F329" s="595">
        <f>1.965+0.1</f>
        <v>2.0649999999999999</v>
      </c>
      <c r="G329" s="235">
        <v>0.35</v>
      </c>
      <c r="H329" s="235">
        <v>0.2</v>
      </c>
      <c r="I329" s="477">
        <f t="shared" si="17"/>
        <v>0.28909999999999997</v>
      </c>
      <c r="J329" s="729"/>
    </row>
    <row r="330" spans="1:10">
      <c r="A330" s="167"/>
      <c r="B330" s="167" t="s">
        <v>1022</v>
      </c>
      <c r="C330" s="397" t="s">
        <v>71</v>
      </c>
      <c r="D330" s="575">
        <v>1</v>
      </c>
      <c r="E330" s="251">
        <v>3</v>
      </c>
      <c r="F330" s="595">
        <v>3.31</v>
      </c>
      <c r="G330" s="235">
        <v>0.5</v>
      </c>
      <c r="H330" s="235">
        <v>0.2</v>
      </c>
      <c r="I330" s="477">
        <f t="shared" si="17"/>
        <v>0.99299999999999999</v>
      </c>
      <c r="J330" s="729"/>
    </row>
    <row r="331" spans="1:10">
      <c r="A331" s="167"/>
      <c r="B331" s="167" t="s">
        <v>987</v>
      </c>
      <c r="C331" s="397" t="s">
        <v>71</v>
      </c>
      <c r="D331" s="575">
        <v>1</v>
      </c>
      <c r="E331" s="251">
        <v>2</v>
      </c>
      <c r="F331" s="595">
        <v>3</v>
      </c>
      <c r="G331" s="235">
        <v>0.45</v>
      </c>
      <c r="H331" s="235">
        <v>0.2</v>
      </c>
      <c r="I331" s="477">
        <f t="shared" si="17"/>
        <v>0.54</v>
      </c>
      <c r="J331" s="729"/>
    </row>
    <row r="332" spans="1:10">
      <c r="A332" s="167"/>
      <c r="B332" s="167" t="s">
        <v>988</v>
      </c>
      <c r="C332" s="397" t="s">
        <v>71</v>
      </c>
      <c r="D332" s="575">
        <v>1</v>
      </c>
      <c r="E332" s="251">
        <v>1</v>
      </c>
      <c r="F332" s="595">
        <v>5.2450000000000001</v>
      </c>
      <c r="G332" s="235">
        <v>0.45</v>
      </c>
      <c r="H332" s="235">
        <v>0.2</v>
      </c>
      <c r="I332" s="477">
        <f t="shared" si="17"/>
        <v>0.47205000000000008</v>
      </c>
      <c r="J332" s="729"/>
    </row>
    <row r="333" spans="1:10">
      <c r="A333" s="167"/>
      <c r="B333" s="167" t="s">
        <v>1023</v>
      </c>
      <c r="C333" s="397" t="s">
        <v>71</v>
      </c>
      <c r="D333" s="575">
        <v>1</v>
      </c>
      <c r="E333" s="251">
        <v>1</v>
      </c>
      <c r="F333" s="595">
        <v>3</v>
      </c>
      <c r="G333" s="235">
        <v>0.45</v>
      </c>
      <c r="H333" s="235">
        <v>0.2</v>
      </c>
      <c r="I333" s="477">
        <f t="shared" si="17"/>
        <v>0.27</v>
      </c>
      <c r="J333" s="729"/>
    </row>
    <row r="334" spans="1:10">
      <c r="A334" s="167"/>
      <c r="B334" s="167" t="s">
        <v>1024</v>
      </c>
      <c r="C334" s="397" t="s">
        <v>71</v>
      </c>
      <c r="D334" s="587">
        <v>1</v>
      </c>
      <c r="E334" s="251">
        <v>1</v>
      </c>
      <c r="F334" s="595">
        <v>1.95</v>
      </c>
      <c r="G334" s="235">
        <v>0.35</v>
      </c>
      <c r="H334" s="235">
        <v>0.2</v>
      </c>
      <c r="I334" s="477">
        <f t="shared" si="17"/>
        <v>0.13650000000000001</v>
      </c>
      <c r="J334" s="729"/>
    </row>
    <row r="335" spans="1:10">
      <c r="A335" s="167"/>
      <c r="B335" s="167" t="s">
        <v>1025</v>
      </c>
      <c r="C335" s="397" t="s">
        <v>71</v>
      </c>
      <c r="D335" s="575">
        <v>1</v>
      </c>
      <c r="E335" s="251">
        <v>1</v>
      </c>
      <c r="F335" s="595">
        <v>2.23</v>
      </c>
      <c r="G335" s="235">
        <v>0.45</v>
      </c>
      <c r="H335" s="235">
        <v>0.2</v>
      </c>
      <c r="I335" s="477">
        <f t="shared" si="17"/>
        <v>0.20070000000000002</v>
      </c>
      <c r="J335" s="729"/>
    </row>
    <row r="336" spans="1:10">
      <c r="A336" s="167"/>
      <c r="B336" s="167" t="s">
        <v>989</v>
      </c>
      <c r="C336" s="397" t="s">
        <v>71</v>
      </c>
      <c r="D336" s="575">
        <v>1</v>
      </c>
      <c r="E336" s="251">
        <v>1</v>
      </c>
      <c r="F336" s="595">
        <v>5.1449999999999996</v>
      </c>
      <c r="G336" s="235">
        <v>0.5</v>
      </c>
      <c r="H336" s="235">
        <v>0.2</v>
      </c>
      <c r="I336" s="477">
        <f t="shared" si="17"/>
        <v>0.51449999999999996</v>
      </c>
      <c r="J336" s="729"/>
    </row>
    <row r="337" spans="1:10">
      <c r="A337" s="167"/>
      <c r="B337" s="167" t="s">
        <v>1026</v>
      </c>
      <c r="C337" s="397" t="s">
        <v>71</v>
      </c>
      <c r="D337" s="575">
        <v>1</v>
      </c>
      <c r="E337" s="251">
        <v>1</v>
      </c>
      <c r="F337" s="595">
        <v>3.8</v>
      </c>
      <c r="G337" s="235">
        <v>0.5</v>
      </c>
      <c r="H337" s="235">
        <v>0.2</v>
      </c>
      <c r="I337" s="477">
        <f t="shared" si="17"/>
        <v>0.38</v>
      </c>
      <c r="J337" s="729"/>
    </row>
    <row r="338" spans="1:10">
      <c r="A338" s="167"/>
      <c r="B338" s="167" t="s">
        <v>1027</v>
      </c>
      <c r="C338" s="397" t="s">
        <v>71</v>
      </c>
      <c r="D338" s="575">
        <v>1</v>
      </c>
      <c r="E338" s="251">
        <v>1</v>
      </c>
      <c r="F338" s="595">
        <v>2.95</v>
      </c>
      <c r="G338" s="235">
        <v>0.35</v>
      </c>
      <c r="H338" s="235">
        <v>0.2</v>
      </c>
      <c r="I338" s="477">
        <f t="shared" si="17"/>
        <v>0.20650000000000002</v>
      </c>
      <c r="J338" s="729"/>
    </row>
    <row r="339" spans="1:10">
      <c r="A339" s="167"/>
      <c r="B339" s="167" t="s">
        <v>1028</v>
      </c>
      <c r="C339" s="397" t="s">
        <v>71</v>
      </c>
      <c r="D339" s="575">
        <v>1</v>
      </c>
      <c r="E339" s="251">
        <v>1</v>
      </c>
      <c r="F339" s="595">
        <v>4.55</v>
      </c>
      <c r="G339" s="235">
        <v>0.45</v>
      </c>
      <c r="H339" s="235">
        <v>0.2</v>
      </c>
      <c r="I339" s="477">
        <f t="shared" si="17"/>
        <v>0.40949999999999998</v>
      </c>
      <c r="J339" s="729"/>
    </row>
    <row r="340" spans="1:10">
      <c r="A340" s="167"/>
      <c r="B340" s="167" t="s">
        <v>1029</v>
      </c>
      <c r="C340" s="397" t="s">
        <v>71</v>
      </c>
      <c r="D340" s="575">
        <v>1</v>
      </c>
      <c r="E340" s="251">
        <v>1</v>
      </c>
      <c r="F340" s="595">
        <v>3.05</v>
      </c>
      <c r="G340" s="235">
        <v>0.5</v>
      </c>
      <c r="H340" s="235">
        <v>0.2</v>
      </c>
      <c r="I340" s="477">
        <f t="shared" si="17"/>
        <v>0.30499999999999999</v>
      </c>
      <c r="J340" s="729"/>
    </row>
    <row r="341" spans="1:10">
      <c r="A341" s="167"/>
      <c r="B341" s="167" t="s">
        <v>1030</v>
      </c>
      <c r="C341" s="397" t="s">
        <v>71</v>
      </c>
      <c r="D341" s="575">
        <v>1</v>
      </c>
      <c r="E341" s="251">
        <v>1</v>
      </c>
      <c r="F341" s="595">
        <v>2.5</v>
      </c>
      <c r="G341" s="235">
        <v>0.45</v>
      </c>
      <c r="H341" s="235">
        <v>0.2</v>
      </c>
      <c r="I341" s="477">
        <f t="shared" si="17"/>
        <v>0.22500000000000001</v>
      </c>
      <c r="J341" s="729"/>
    </row>
    <row r="342" spans="1:10">
      <c r="A342" s="167"/>
      <c r="B342" s="167" t="s">
        <v>990</v>
      </c>
      <c r="C342" s="397" t="s">
        <v>71</v>
      </c>
      <c r="D342" s="575">
        <v>1</v>
      </c>
      <c r="E342" s="251">
        <v>1</v>
      </c>
      <c r="F342" s="595">
        <v>3.1150000000000002</v>
      </c>
      <c r="G342" s="235">
        <v>0.5</v>
      </c>
      <c r="H342" s="235">
        <v>0.23</v>
      </c>
      <c r="I342" s="477">
        <f t="shared" si="17"/>
        <v>0.35822500000000002</v>
      </c>
      <c r="J342" s="729"/>
    </row>
    <row r="343" spans="1:10">
      <c r="A343" s="167"/>
      <c r="B343" s="167" t="s">
        <v>1031</v>
      </c>
      <c r="C343" s="397" t="s">
        <v>71</v>
      </c>
      <c r="D343" s="575">
        <v>1</v>
      </c>
      <c r="E343" s="251">
        <v>1</v>
      </c>
      <c r="F343" s="595">
        <v>2.335</v>
      </c>
      <c r="G343" s="235">
        <v>0.35</v>
      </c>
      <c r="H343" s="235">
        <v>0.2</v>
      </c>
      <c r="I343" s="477">
        <f t="shared" si="17"/>
        <v>0.16344999999999998</v>
      </c>
      <c r="J343" s="729"/>
    </row>
    <row r="344" spans="1:10">
      <c r="A344" s="167"/>
      <c r="B344" s="167" t="s">
        <v>1032</v>
      </c>
      <c r="C344" s="397" t="s">
        <v>71</v>
      </c>
      <c r="D344" s="575">
        <v>1</v>
      </c>
      <c r="E344" s="251">
        <v>1</v>
      </c>
      <c r="F344" s="595">
        <v>3.2</v>
      </c>
      <c r="G344" s="235">
        <v>0.5</v>
      </c>
      <c r="H344" s="235">
        <v>0.23</v>
      </c>
      <c r="I344" s="477">
        <f t="shared" si="17"/>
        <v>0.36800000000000005</v>
      </c>
      <c r="J344" s="729"/>
    </row>
    <row r="345" spans="1:10">
      <c r="A345" s="167"/>
      <c r="B345" s="167" t="s">
        <v>991</v>
      </c>
      <c r="C345" s="397" t="s">
        <v>71</v>
      </c>
      <c r="D345" s="575">
        <v>1</v>
      </c>
      <c r="E345" s="251">
        <v>1</v>
      </c>
      <c r="F345" s="595">
        <v>0.35</v>
      </c>
      <c r="G345" s="235">
        <v>0.45</v>
      </c>
      <c r="H345" s="235">
        <v>0.23</v>
      </c>
      <c r="I345" s="477">
        <f t="shared" si="17"/>
        <v>3.6225E-2</v>
      </c>
      <c r="J345" s="729"/>
    </row>
    <row r="346" spans="1:10">
      <c r="A346" s="167"/>
      <c r="B346" s="167" t="s">
        <v>1033</v>
      </c>
      <c r="C346" s="397" t="s">
        <v>71</v>
      </c>
      <c r="D346" s="575">
        <v>1</v>
      </c>
      <c r="E346" s="251">
        <v>1</v>
      </c>
      <c r="F346" s="595">
        <f>1.61+0.35</f>
        <v>1.96</v>
      </c>
      <c r="G346" s="235">
        <v>0.45</v>
      </c>
      <c r="H346" s="235">
        <v>0.2</v>
      </c>
      <c r="I346" s="477">
        <f t="shared" si="17"/>
        <v>0.1764</v>
      </c>
      <c r="J346" s="729"/>
    </row>
    <row r="347" spans="1:10">
      <c r="A347" s="167"/>
      <c r="B347" s="167" t="s">
        <v>1034</v>
      </c>
      <c r="C347" s="397" t="s">
        <v>71</v>
      </c>
      <c r="D347" s="575">
        <v>1</v>
      </c>
      <c r="E347" s="251">
        <v>1</v>
      </c>
      <c r="F347" s="595">
        <v>3.2</v>
      </c>
      <c r="G347" s="235">
        <v>0.45</v>
      </c>
      <c r="H347" s="235">
        <v>0.23</v>
      </c>
      <c r="I347" s="477">
        <f t="shared" si="17"/>
        <v>0.33120000000000005</v>
      </c>
      <c r="J347" s="729"/>
    </row>
    <row r="348" spans="1:10">
      <c r="A348" s="167"/>
      <c r="B348" s="167" t="s">
        <v>992</v>
      </c>
      <c r="C348" s="397" t="s">
        <v>71</v>
      </c>
      <c r="D348" s="575">
        <v>1</v>
      </c>
      <c r="E348" s="251">
        <v>1</v>
      </c>
      <c r="F348" s="595">
        <v>2.335</v>
      </c>
      <c r="G348" s="235">
        <v>0.45</v>
      </c>
      <c r="H348" s="235">
        <v>0.2</v>
      </c>
      <c r="I348" s="477">
        <f t="shared" si="17"/>
        <v>0.21015000000000003</v>
      </c>
      <c r="J348" s="729"/>
    </row>
    <row r="349" spans="1:10">
      <c r="A349" s="167"/>
      <c r="B349" s="167" t="s">
        <v>1035</v>
      </c>
      <c r="C349" s="397" t="s">
        <v>71</v>
      </c>
      <c r="D349" s="575">
        <v>1</v>
      </c>
      <c r="E349" s="251">
        <v>1</v>
      </c>
      <c r="F349" s="595">
        <v>2.54</v>
      </c>
      <c r="G349" s="235">
        <v>0.5</v>
      </c>
      <c r="H349" s="235">
        <v>0.23</v>
      </c>
      <c r="I349" s="477">
        <f t="shared" si="17"/>
        <v>0.29210000000000003</v>
      </c>
      <c r="J349" s="729"/>
    </row>
    <row r="350" spans="1:10">
      <c r="A350" s="167"/>
      <c r="B350" s="167" t="s">
        <v>1036</v>
      </c>
      <c r="C350" s="397" t="s">
        <v>71</v>
      </c>
      <c r="D350" s="587">
        <v>1</v>
      </c>
      <c r="E350" s="251">
        <v>1</v>
      </c>
      <c r="F350" s="595">
        <v>3.43</v>
      </c>
      <c r="G350" s="235">
        <v>0.45</v>
      </c>
      <c r="H350" s="235">
        <v>0.23</v>
      </c>
      <c r="I350" s="477">
        <f t="shared" si="17"/>
        <v>0.35500500000000001</v>
      </c>
      <c r="J350" s="729"/>
    </row>
    <row r="351" spans="1:10">
      <c r="A351" s="167"/>
      <c r="B351" s="167" t="s">
        <v>1037</v>
      </c>
      <c r="C351" s="397" t="s">
        <v>71</v>
      </c>
      <c r="D351" s="575">
        <v>1</v>
      </c>
      <c r="E351" s="251">
        <v>1</v>
      </c>
      <c r="F351" s="595">
        <v>2.2250000000000001</v>
      </c>
      <c r="G351" s="235">
        <v>0.5</v>
      </c>
      <c r="H351" s="235">
        <v>0.2</v>
      </c>
      <c r="I351" s="477">
        <f t="shared" si="17"/>
        <v>0.22250000000000003</v>
      </c>
      <c r="J351" s="729"/>
    </row>
    <row r="352" spans="1:10">
      <c r="A352" s="167"/>
      <c r="B352" s="167" t="s">
        <v>993</v>
      </c>
      <c r="C352" s="397" t="s">
        <v>71</v>
      </c>
      <c r="D352" s="575">
        <v>1</v>
      </c>
      <c r="E352" s="251">
        <v>1</v>
      </c>
      <c r="F352" s="595">
        <v>3.14</v>
      </c>
      <c r="G352" s="235">
        <v>0.45</v>
      </c>
      <c r="H352" s="235">
        <v>0.2</v>
      </c>
      <c r="I352" s="477">
        <f t="shared" si="17"/>
        <v>0.28260000000000002</v>
      </c>
      <c r="J352" s="729"/>
    </row>
    <row r="353" spans="1:10">
      <c r="A353" s="167"/>
      <c r="B353" s="167" t="s">
        <v>1039</v>
      </c>
      <c r="C353" s="397" t="s">
        <v>71</v>
      </c>
      <c r="D353" s="575">
        <v>1</v>
      </c>
      <c r="E353" s="251">
        <v>1</v>
      </c>
      <c r="F353" s="595">
        <v>3.43</v>
      </c>
      <c r="G353" s="235">
        <v>0.45</v>
      </c>
      <c r="H353" s="235">
        <v>0.2</v>
      </c>
      <c r="I353" s="477">
        <f t="shared" si="17"/>
        <v>0.30870000000000003</v>
      </c>
      <c r="J353" s="729"/>
    </row>
    <row r="354" spans="1:10">
      <c r="A354" s="167"/>
      <c r="B354" s="167" t="s">
        <v>1040</v>
      </c>
      <c r="C354" s="397" t="s">
        <v>71</v>
      </c>
      <c r="D354" s="587">
        <v>1</v>
      </c>
      <c r="E354" s="251">
        <v>1</v>
      </c>
      <c r="F354" s="595">
        <v>1.99</v>
      </c>
      <c r="G354" s="235">
        <v>0.45</v>
      </c>
      <c r="H354" s="235">
        <v>0.23</v>
      </c>
      <c r="I354" s="477">
        <f t="shared" si="17"/>
        <v>0.20596500000000001</v>
      </c>
      <c r="J354" s="729"/>
    </row>
    <row r="355" spans="1:10">
      <c r="A355" s="167"/>
      <c r="B355" s="167" t="s">
        <v>1038</v>
      </c>
      <c r="C355" s="397" t="s">
        <v>71</v>
      </c>
      <c r="D355" s="575">
        <v>1</v>
      </c>
      <c r="E355" s="251">
        <v>1</v>
      </c>
      <c r="F355" s="595">
        <v>2.2250000000000001</v>
      </c>
      <c r="G355" s="235">
        <v>0.5</v>
      </c>
      <c r="H355" s="235">
        <v>0.2</v>
      </c>
      <c r="I355" s="477">
        <f t="shared" si="17"/>
        <v>0.22250000000000003</v>
      </c>
      <c r="J355" s="729"/>
    </row>
    <row r="356" spans="1:10">
      <c r="A356" s="167"/>
      <c r="B356" s="167" t="s">
        <v>994</v>
      </c>
      <c r="C356" s="397" t="s">
        <v>71</v>
      </c>
      <c r="D356" s="575">
        <v>1</v>
      </c>
      <c r="E356" s="251">
        <v>2</v>
      </c>
      <c r="F356" s="595">
        <v>3.06</v>
      </c>
      <c r="G356" s="235">
        <v>0.45</v>
      </c>
      <c r="H356" s="235">
        <v>0.2</v>
      </c>
      <c r="I356" s="477">
        <f t="shared" si="17"/>
        <v>0.55080000000000007</v>
      </c>
      <c r="J356" s="729"/>
    </row>
    <row r="357" spans="1:10">
      <c r="A357" s="167"/>
      <c r="B357" s="167" t="s">
        <v>1041</v>
      </c>
      <c r="C357" s="397" t="s">
        <v>71</v>
      </c>
      <c r="D357" s="575">
        <v>1</v>
      </c>
      <c r="E357" s="251">
        <v>2</v>
      </c>
      <c r="F357" s="595">
        <v>3.05</v>
      </c>
      <c r="G357" s="235">
        <v>0.35</v>
      </c>
      <c r="H357" s="235">
        <v>0.2</v>
      </c>
      <c r="I357" s="477">
        <f t="shared" si="17"/>
        <v>0.42699999999999999</v>
      </c>
      <c r="J357" s="729"/>
    </row>
    <row r="358" spans="1:10">
      <c r="A358" s="167"/>
      <c r="B358" s="167" t="s">
        <v>1041</v>
      </c>
      <c r="C358" s="397" t="s">
        <v>71</v>
      </c>
      <c r="D358" s="587">
        <v>1</v>
      </c>
      <c r="E358" s="251">
        <v>2</v>
      </c>
      <c r="F358" s="595">
        <v>0.38</v>
      </c>
      <c r="G358" s="235">
        <v>0.35</v>
      </c>
      <c r="H358" s="235">
        <v>0.2</v>
      </c>
      <c r="I358" s="477">
        <f t="shared" si="17"/>
        <v>5.3199999999999997E-2</v>
      </c>
      <c r="J358" s="729"/>
    </row>
    <row r="359" spans="1:10">
      <c r="A359" s="167"/>
      <c r="B359" s="167" t="s">
        <v>1042</v>
      </c>
      <c r="C359" s="397" t="s">
        <v>71</v>
      </c>
      <c r="D359" s="575">
        <v>1</v>
      </c>
      <c r="E359" s="251">
        <v>2</v>
      </c>
      <c r="F359" s="595">
        <v>3.3849999999999998</v>
      </c>
      <c r="G359" s="235">
        <v>0.45</v>
      </c>
      <c r="H359" s="235">
        <v>0.2</v>
      </c>
      <c r="I359" s="477">
        <f t="shared" si="17"/>
        <v>0.60930000000000006</v>
      </c>
      <c r="J359" s="729"/>
    </row>
    <row r="360" spans="1:10">
      <c r="A360" s="167"/>
      <c r="B360" s="167" t="s">
        <v>995</v>
      </c>
      <c r="C360" s="397" t="s">
        <v>71</v>
      </c>
      <c r="D360" s="575">
        <v>1</v>
      </c>
      <c r="E360" s="251">
        <v>2</v>
      </c>
      <c r="F360" s="595">
        <v>3.25</v>
      </c>
      <c r="G360" s="235">
        <v>0.45</v>
      </c>
      <c r="H360" s="235">
        <v>0.2</v>
      </c>
      <c r="I360" s="477">
        <f t="shared" ref="I360:I366" si="18">+PRODUCT(D360:H360)</f>
        <v>0.58500000000000008</v>
      </c>
      <c r="J360" s="729"/>
    </row>
    <row r="361" spans="1:10">
      <c r="A361" s="167"/>
      <c r="B361" s="167" t="s">
        <v>995</v>
      </c>
      <c r="C361" s="397" t="s">
        <v>71</v>
      </c>
      <c r="D361" s="587">
        <v>1</v>
      </c>
      <c r="E361" s="251">
        <v>2</v>
      </c>
      <c r="F361" s="595">
        <v>1.7</v>
      </c>
      <c r="G361" s="235">
        <v>0.45</v>
      </c>
      <c r="H361" s="235">
        <v>0.2</v>
      </c>
      <c r="I361" s="477">
        <f t="shared" si="18"/>
        <v>0.30600000000000005</v>
      </c>
      <c r="J361" s="729"/>
    </row>
    <row r="362" spans="1:10">
      <c r="A362" s="167"/>
      <c r="B362" s="167" t="s">
        <v>1043</v>
      </c>
      <c r="C362" s="397" t="s">
        <v>71</v>
      </c>
      <c r="D362" s="587">
        <v>1</v>
      </c>
      <c r="E362" s="251">
        <v>2</v>
      </c>
      <c r="F362" s="595">
        <v>1.385</v>
      </c>
      <c r="G362" s="235">
        <v>0.35</v>
      </c>
      <c r="H362" s="235">
        <v>0.2</v>
      </c>
      <c r="I362" s="477">
        <f t="shared" si="18"/>
        <v>0.19389999999999999</v>
      </c>
      <c r="J362" s="729"/>
    </row>
    <row r="363" spans="1:10">
      <c r="A363" s="167"/>
      <c r="B363" s="167" t="s">
        <v>1044</v>
      </c>
      <c r="C363" s="397" t="s">
        <v>71</v>
      </c>
      <c r="D363" s="587">
        <v>1</v>
      </c>
      <c r="E363" s="251">
        <v>2</v>
      </c>
      <c r="F363" s="595">
        <v>3.05</v>
      </c>
      <c r="G363" s="235">
        <v>0.45</v>
      </c>
      <c r="H363" s="235">
        <v>0.2</v>
      </c>
      <c r="I363" s="477">
        <f t="shared" si="18"/>
        <v>0.54900000000000004</v>
      </c>
      <c r="J363" s="729"/>
    </row>
    <row r="364" spans="1:10">
      <c r="A364" s="167"/>
      <c r="B364" s="167" t="s">
        <v>1044</v>
      </c>
      <c r="C364" s="397" t="s">
        <v>71</v>
      </c>
      <c r="D364" s="587">
        <v>1</v>
      </c>
      <c r="E364" s="251">
        <v>2</v>
      </c>
      <c r="F364" s="595">
        <v>1.7</v>
      </c>
      <c r="G364" s="235">
        <v>0.45</v>
      </c>
      <c r="H364" s="235">
        <v>0.2</v>
      </c>
      <c r="I364" s="477">
        <f t="shared" si="18"/>
        <v>0.30600000000000005</v>
      </c>
      <c r="J364" s="729"/>
    </row>
    <row r="365" spans="1:10">
      <c r="A365" s="167"/>
      <c r="B365" s="167" t="s">
        <v>1045</v>
      </c>
      <c r="C365" s="397" t="s">
        <v>71</v>
      </c>
      <c r="D365" s="587">
        <v>1</v>
      </c>
      <c r="E365" s="251">
        <v>1</v>
      </c>
      <c r="F365" s="595">
        <v>3.17</v>
      </c>
      <c r="G365" s="235">
        <v>0.35</v>
      </c>
      <c r="H365" s="235">
        <v>0.2</v>
      </c>
      <c r="I365" s="477">
        <f t="shared" si="18"/>
        <v>0.22189999999999999</v>
      </c>
      <c r="J365" s="729"/>
    </row>
    <row r="366" spans="1:10">
      <c r="A366" s="167"/>
      <c r="B366" s="167" t="s">
        <v>1046</v>
      </c>
      <c r="C366" s="397" t="s">
        <v>71</v>
      </c>
      <c r="D366" s="587">
        <v>1</v>
      </c>
      <c r="E366" s="592">
        <v>0.5</v>
      </c>
      <c r="F366" s="595">
        <v>5.78</v>
      </c>
      <c r="G366" s="235">
        <v>0.45</v>
      </c>
      <c r="H366" s="235">
        <v>0.2</v>
      </c>
      <c r="I366" s="477">
        <f t="shared" si="18"/>
        <v>0.2601</v>
      </c>
      <c r="J366" s="729"/>
    </row>
    <row r="367" spans="1:10">
      <c r="A367" s="167"/>
      <c r="B367" s="167"/>
      <c r="C367" s="397"/>
      <c r="D367" s="587"/>
      <c r="E367" s="251"/>
      <c r="F367" s="235"/>
      <c r="G367" s="235"/>
      <c r="H367" s="235"/>
      <c r="I367" s="477"/>
      <c r="J367" s="729"/>
    </row>
    <row r="368" spans="1:10">
      <c r="A368" s="167"/>
      <c r="B368" s="267"/>
      <c r="C368" s="267"/>
      <c r="D368" s="575"/>
      <c r="E368" s="167"/>
      <c r="F368" s="167"/>
      <c r="G368" s="167"/>
      <c r="H368" s="167"/>
      <c r="I368" s="583">
        <f>SUBTOTAL(9,I264:I367)</f>
        <v>39.810483749999989</v>
      </c>
      <c r="J368" s="729"/>
    </row>
    <row r="369" spans="1:10">
      <c r="A369" s="167"/>
      <c r="B369" s="267" t="s">
        <v>957</v>
      </c>
      <c r="C369" s="267"/>
      <c r="D369" s="575"/>
      <c r="E369" s="167"/>
      <c r="F369" s="167"/>
      <c r="G369" s="167"/>
      <c r="H369" s="477"/>
      <c r="I369" s="581"/>
      <c r="J369" s="729"/>
    </row>
    <row r="370" spans="1:10">
      <c r="A370" s="167"/>
      <c r="B370" s="167" t="s">
        <v>933</v>
      </c>
      <c r="C370" s="397" t="s">
        <v>71</v>
      </c>
      <c r="D370" s="575">
        <v>1</v>
      </c>
      <c r="E370" s="575">
        <v>1</v>
      </c>
      <c r="F370" s="235">
        <v>3.5750000000000002</v>
      </c>
      <c r="G370" s="235">
        <v>3.55</v>
      </c>
      <c r="H370" s="575">
        <v>0.13500000000000001</v>
      </c>
      <c r="I370" s="585">
        <f t="shared" ref="I370:I385" si="19">+PRODUCT(D370:H370)</f>
        <v>1.7133187500000002</v>
      </c>
      <c r="J370" s="729"/>
    </row>
    <row r="371" spans="1:10">
      <c r="A371" s="167"/>
      <c r="B371" s="167" t="s">
        <v>934</v>
      </c>
      <c r="C371" s="397" t="s">
        <v>71</v>
      </c>
      <c r="D371" s="575">
        <v>1</v>
      </c>
      <c r="E371" s="575">
        <v>1</v>
      </c>
      <c r="F371" s="235">
        <v>3.55</v>
      </c>
      <c r="G371" s="235">
        <v>3.2</v>
      </c>
      <c r="H371" s="575">
        <v>0.13500000000000001</v>
      </c>
      <c r="I371" s="585">
        <f t="shared" si="19"/>
        <v>1.5336000000000001</v>
      </c>
      <c r="J371" s="729"/>
    </row>
    <row r="372" spans="1:10">
      <c r="A372" s="167"/>
      <c r="B372" s="167" t="s">
        <v>935</v>
      </c>
      <c r="C372" s="397" t="s">
        <v>71</v>
      </c>
      <c r="D372" s="575">
        <v>1</v>
      </c>
      <c r="E372" s="575">
        <v>1</v>
      </c>
      <c r="F372" s="235">
        <v>3.145</v>
      </c>
      <c r="G372" s="235">
        <v>3.05</v>
      </c>
      <c r="H372" s="575">
        <v>0.125</v>
      </c>
      <c r="I372" s="585">
        <f t="shared" si="19"/>
        <v>1.19903125</v>
      </c>
      <c r="J372" s="729"/>
    </row>
    <row r="373" spans="1:10">
      <c r="A373" s="167"/>
      <c r="B373" s="167"/>
      <c r="C373" s="397" t="s">
        <v>71</v>
      </c>
      <c r="D373" s="575">
        <v>1</v>
      </c>
      <c r="E373" s="575">
        <v>1</v>
      </c>
      <c r="F373" s="235">
        <v>0.9</v>
      </c>
      <c r="G373" s="235">
        <v>0.4</v>
      </c>
      <c r="H373" s="575">
        <v>0.125</v>
      </c>
      <c r="I373" s="585">
        <f t="shared" si="19"/>
        <v>4.5000000000000005E-2</v>
      </c>
      <c r="J373" s="729"/>
    </row>
    <row r="374" spans="1:10">
      <c r="A374" s="167"/>
      <c r="B374" s="167" t="s">
        <v>936</v>
      </c>
      <c r="C374" s="397" t="s">
        <v>71</v>
      </c>
      <c r="D374" s="575">
        <v>1</v>
      </c>
      <c r="E374" s="575">
        <v>1</v>
      </c>
      <c r="F374" s="235">
        <v>1.165</v>
      </c>
      <c r="G374" s="235">
        <v>0.51500000000000001</v>
      </c>
      <c r="H374" s="575">
        <v>0.125</v>
      </c>
      <c r="I374" s="585">
        <f t="shared" si="19"/>
        <v>7.4996875000000005E-2</v>
      </c>
      <c r="J374" s="729"/>
    </row>
    <row r="375" spans="1:10">
      <c r="A375" s="167"/>
      <c r="B375" s="167" t="s">
        <v>937</v>
      </c>
      <c r="C375" s="397" t="s">
        <v>71</v>
      </c>
      <c r="D375" s="575">
        <v>1</v>
      </c>
      <c r="E375" s="575">
        <v>1</v>
      </c>
      <c r="F375" s="235">
        <v>3.5750000000000002</v>
      </c>
      <c r="G375" s="235">
        <v>1.57</v>
      </c>
      <c r="H375" s="575">
        <v>0.125</v>
      </c>
      <c r="I375" s="585">
        <f t="shared" si="19"/>
        <v>0.70159375000000002</v>
      </c>
      <c r="J375" s="729"/>
    </row>
    <row r="376" spans="1:10">
      <c r="A376" s="167"/>
      <c r="B376" s="167" t="s">
        <v>938</v>
      </c>
      <c r="C376" s="397" t="s">
        <v>71</v>
      </c>
      <c r="D376" s="575">
        <v>1</v>
      </c>
      <c r="E376" s="575">
        <v>1</v>
      </c>
      <c r="F376" s="235">
        <v>2.5</v>
      </c>
      <c r="G376" s="235">
        <v>1.6</v>
      </c>
      <c r="H376" s="575">
        <v>0.125</v>
      </c>
      <c r="I376" s="585">
        <f t="shared" si="19"/>
        <v>0.5</v>
      </c>
      <c r="J376" s="729"/>
    </row>
    <row r="377" spans="1:10">
      <c r="A377" s="167"/>
      <c r="B377" s="167" t="s">
        <v>939</v>
      </c>
      <c r="C377" s="397" t="s">
        <v>71</v>
      </c>
      <c r="D377" s="575">
        <v>1</v>
      </c>
      <c r="E377" s="575">
        <v>1</v>
      </c>
      <c r="F377" s="235">
        <v>2.7850000000000001</v>
      </c>
      <c r="G377" s="235">
        <v>1.2</v>
      </c>
      <c r="H377" s="575">
        <v>0.125</v>
      </c>
      <c r="I377" s="585">
        <f t="shared" si="19"/>
        <v>0.41775000000000001</v>
      </c>
      <c r="J377" s="729"/>
    </row>
    <row r="378" spans="1:10">
      <c r="A378" s="167"/>
      <c r="B378" s="167" t="s">
        <v>940</v>
      </c>
      <c r="C378" s="397" t="s">
        <v>71</v>
      </c>
      <c r="D378" s="575">
        <v>1</v>
      </c>
      <c r="E378" s="575">
        <v>1</v>
      </c>
      <c r="F378" s="235">
        <v>6.3650000000000002</v>
      </c>
      <c r="G378" s="235">
        <v>3.72</v>
      </c>
      <c r="H378" s="235">
        <v>0.15</v>
      </c>
      <c r="I378" s="585">
        <f t="shared" si="19"/>
        <v>3.5516700000000001</v>
      </c>
      <c r="J378" s="729"/>
    </row>
    <row r="379" spans="1:10">
      <c r="A379" s="167"/>
      <c r="B379" s="167"/>
      <c r="C379" s="397" t="s">
        <v>71</v>
      </c>
      <c r="D379" s="575">
        <v>1</v>
      </c>
      <c r="E379" s="575">
        <v>1</v>
      </c>
      <c r="F379" s="235">
        <v>4.1150000000000002</v>
      </c>
      <c r="G379" s="235">
        <v>0.38500000000000001</v>
      </c>
      <c r="H379" s="235">
        <v>0.15</v>
      </c>
      <c r="I379" s="585">
        <f t="shared" si="19"/>
        <v>0.23764125</v>
      </c>
      <c r="J379" s="729"/>
    </row>
    <row r="380" spans="1:10">
      <c r="A380" s="167"/>
      <c r="B380" s="167" t="s">
        <v>941</v>
      </c>
      <c r="C380" s="397" t="s">
        <v>71</v>
      </c>
      <c r="D380" s="575">
        <v>1</v>
      </c>
      <c r="E380" s="575">
        <v>1</v>
      </c>
      <c r="F380" s="235">
        <v>1.5</v>
      </c>
      <c r="G380" s="235">
        <v>1.0349999999999999</v>
      </c>
      <c r="H380" s="575">
        <v>0.125</v>
      </c>
      <c r="I380" s="585">
        <f t="shared" si="19"/>
        <v>0.19406249999999997</v>
      </c>
      <c r="J380" s="729"/>
    </row>
    <row r="381" spans="1:10">
      <c r="A381" s="167"/>
      <c r="B381" s="167" t="s">
        <v>942</v>
      </c>
      <c r="C381" s="397" t="s">
        <v>71</v>
      </c>
      <c r="D381" s="575">
        <v>1</v>
      </c>
      <c r="E381" s="575">
        <v>1</v>
      </c>
      <c r="F381" s="235">
        <v>2.85</v>
      </c>
      <c r="G381" s="235">
        <v>2.335</v>
      </c>
      <c r="H381" s="575">
        <v>0.13500000000000001</v>
      </c>
      <c r="I381" s="585">
        <f t="shared" si="19"/>
        <v>0.89839125000000009</v>
      </c>
      <c r="J381" s="729"/>
    </row>
    <row r="382" spans="1:10">
      <c r="A382" s="167"/>
      <c r="B382" s="167" t="s">
        <v>943</v>
      </c>
      <c r="C382" s="397" t="s">
        <v>71</v>
      </c>
      <c r="D382" s="575">
        <v>1</v>
      </c>
      <c r="E382" s="575">
        <v>1</v>
      </c>
      <c r="F382" s="235">
        <v>6.3</v>
      </c>
      <c r="G382" s="235">
        <v>2</v>
      </c>
      <c r="H382" s="235">
        <f>(0.2+0.165)/2</f>
        <v>0.1825</v>
      </c>
      <c r="I382" s="585">
        <f t="shared" si="19"/>
        <v>2.2995000000000001</v>
      </c>
      <c r="J382" s="729"/>
    </row>
    <row r="383" spans="1:10">
      <c r="A383" s="167"/>
      <c r="B383" s="167" t="s">
        <v>944</v>
      </c>
      <c r="C383" s="397" t="s">
        <v>71</v>
      </c>
      <c r="D383" s="575">
        <v>1</v>
      </c>
      <c r="E383" s="575">
        <v>1</v>
      </c>
      <c r="F383" s="235">
        <v>4.0650000000000004</v>
      </c>
      <c r="G383" s="235">
        <v>2</v>
      </c>
      <c r="H383" s="235">
        <f>(0.2+0.165)/2</f>
        <v>0.1825</v>
      </c>
      <c r="I383" s="585">
        <f t="shared" si="19"/>
        <v>1.4837250000000002</v>
      </c>
      <c r="J383" s="729"/>
    </row>
    <row r="384" spans="1:10">
      <c r="A384" s="167"/>
      <c r="B384" s="167" t="s">
        <v>945</v>
      </c>
      <c r="C384" s="397" t="s">
        <v>71</v>
      </c>
      <c r="D384" s="575">
        <v>1</v>
      </c>
      <c r="E384" s="575">
        <v>1</v>
      </c>
      <c r="F384" s="235">
        <v>1.4</v>
      </c>
      <c r="G384" s="235">
        <v>2</v>
      </c>
      <c r="H384" s="235">
        <f>(0.2+0.165)/2</f>
        <v>0.1825</v>
      </c>
      <c r="I384" s="585">
        <f t="shared" si="19"/>
        <v>0.51100000000000001</v>
      </c>
      <c r="J384" s="729"/>
    </row>
    <row r="385" spans="1:10">
      <c r="A385" s="167"/>
      <c r="B385" s="167"/>
      <c r="C385" s="397" t="s">
        <v>71</v>
      </c>
      <c r="D385" s="575">
        <v>1</v>
      </c>
      <c r="E385" s="587">
        <v>1</v>
      </c>
      <c r="F385" s="235">
        <v>1.1850000000000001</v>
      </c>
      <c r="G385" s="235">
        <v>0.435</v>
      </c>
      <c r="H385" s="235">
        <v>0.2</v>
      </c>
      <c r="I385" s="585">
        <f t="shared" si="19"/>
        <v>0.10309500000000001</v>
      </c>
      <c r="J385" s="729"/>
    </row>
    <row r="386" spans="1:10">
      <c r="A386" s="167"/>
      <c r="B386" s="267"/>
      <c r="C386" s="397"/>
      <c r="D386" s="575"/>
      <c r="E386" s="575"/>
      <c r="F386" s="235"/>
      <c r="G386" s="235"/>
      <c r="H386" s="575"/>
      <c r="I386" s="583">
        <f>SUBTOTAL(9,I370:I385)</f>
        <v>15.464375624999997</v>
      </c>
      <c r="J386" s="729"/>
    </row>
    <row r="387" spans="1:10">
      <c r="A387" s="167"/>
      <c r="B387" s="167"/>
      <c r="C387" s="397"/>
      <c r="D387" s="575"/>
      <c r="E387" s="575"/>
      <c r="F387" s="235"/>
      <c r="G387" s="235"/>
      <c r="H387" s="575"/>
      <c r="I387" s="585"/>
      <c r="J387" s="729"/>
    </row>
    <row r="388" spans="1:10">
      <c r="A388" s="167"/>
      <c r="B388" s="267" t="s">
        <v>1047</v>
      </c>
      <c r="C388" s="397"/>
      <c r="D388" s="575"/>
      <c r="E388" s="575"/>
      <c r="F388" s="235"/>
      <c r="G388" s="235"/>
      <c r="H388" s="575"/>
      <c r="I388" s="585">
        <f>+PRODUCT(E388:H388)</f>
        <v>0</v>
      </c>
      <c r="J388" s="729"/>
    </row>
    <row r="389" spans="1:10">
      <c r="A389" s="167"/>
      <c r="B389" s="167" t="s">
        <v>946</v>
      </c>
      <c r="C389" s="397" t="s">
        <v>71</v>
      </c>
      <c r="D389" s="575">
        <v>1</v>
      </c>
      <c r="E389" s="575">
        <v>1</v>
      </c>
      <c r="F389" s="235">
        <v>3.56</v>
      </c>
      <c r="G389" s="235">
        <v>3.2749999999999999</v>
      </c>
      <c r="H389" s="575">
        <v>0.13500000000000001</v>
      </c>
      <c r="I389" s="585">
        <f t="shared" ref="I389:I403" si="20">+PRODUCT(D389:H389)</f>
        <v>1.5739650000000003</v>
      </c>
      <c r="J389" s="729"/>
    </row>
    <row r="390" spans="1:10">
      <c r="A390" s="167"/>
      <c r="B390" s="167" t="s">
        <v>947</v>
      </c>
      <c r="C390" s="397" t="s">
        <v>71</v>
      </c>
      <c r="D390" s="575">
        <v>1</v>
      </c>
      <c r="E390" s="575">
        <v>1</v>
      </c>
      <c r="F390" s="235">
        <v>3.25</v>
      </c>
      <c r="G390" s="235">
        <v>2.9249999999999998</v>
      </c>
      <c r="H390" s="587">
        <v>0.13500000000000001</v>
      </c>
      <c r="I390" s="585">
        <f t="shared" si="20"/>
        <v>1.28334375</v>
      </c>
      <c r="J390" s="729"/>
    </row>
    <row r="391" spans="1:10">
      <c r="A391" s="167"/>
      <c r="B391" s="167" t="s">
        <v>948</v>
      </c>
      <c r="C391" s="397" t="s">
        <v>71</v>
      </c>
      <c r="D391" s="575">
        <v>1</v>
      </c>
      <c r="E391" s="575">
        <v>1</v>
      </c>
      <c r="F391" s="235">
        <v>3.58</v>
      </c>
      <c r="G391" s="235">
        <v>3.05</v>
      </c>
      <c r="H391" s="587">
        <v>0.13500000000000001</v>
      </c>
      <c r="I391" s="585">
        <f t="shared" si="20"/>
        <v>1.474065</v>
      </c>
      <c r="J391" s="729"/>
    </row>
    <row r="392" spans="1:10">
      <c r="A392" s="167"/>
      <c r="B392" s="167" t="s">
        <v>939</v>
      </c>
      <c r="C392" s="397" t="s">
        <v>71</v>
      </c>
      <c r="D392" s="575">
        <v>1</v>
      </c>
      <c r="E392" s="575">
        <v>1</v>
      </c>
      <c r="F392" s="235">
        <v>2.9249999999999998</v>
      </c>
      <c r="G392" s="235">
        <v>1.7</v>
      </c>
      <c r="H392" s="575">
        <v>0.125</v>
      </c>
      <c r="I392" s="585">
        <f t="shared" si="20"/>
        <v>0.62156249999999991</v>
      </c>
      <c r="J392" s="729"/>
    </row>
    <row r="393" spans="1:10">
      <c r="A393" s="167"/>
      <c r="B393" s="167" t="s">
        <v>949</v>
      </c>
      <c r="C393" s="397" t="s">
        <v>71</v>
      </c>
      <c r="D393" s="575">
        <v>1</v>
      </c>
      <c r="E393" s="575">
        <v>1</v>
      </c>
      <c r="F393" s="235">
        <v>3.25</v>
      </c>
      <c r="G393" s="235">
        <v>2.3650000000000002</v>
      </c>
      <c r="H393" s="575">
        <v>0.13500000000000001</v>
      </c>
      <c r="I393" s="585">
        <f t="shared" si="20"/>
        <v>1.0376437500000002</v>
      </c>
      <c r="J393" s="729"/>
    </row>
    <row r="394" spans="1:10">
      <c r="A394" s="167"/>
      <c r="B394" s="167" t="s">
        <v>950</v>
      </c>
      <c r="C394" s="397" t="s">
        <v>71</v>
      </c>
      <c r="D394" s="575">
        <v>1</v>
      </c>
      <c r="E394" s="575">
        <v>1</v>
      </c>
      <c r="F394" s="235">
        <v>5.23</v>
      </c>
      <c r="G394" s="235">
        <v>3.33</v>
      </c>
      <c r="H394" s="235">
        <v>0.15</v>
      </c>
      <c r="I394" s="585">
        <f t="shared" si="20"/>
        <v>2.6123850000000002</v>
      </c>
      <c r="J394" s="729"/>
    </row>
    <row r="395" spans="1:10">
      <c r="A395" s="167"/>
      <c r="B395" s="167"/>
      <c r="C395" s="397" t="s">
        <v>71</v>
      </c>
      <c r="D395" s="575">
        <v>1</v>
      </c>
      <c r="E395" s="575">
        <v>1</v>
      </c>
      <c r="F395" s="235">
        <v>3.4</v>
      </c>
      <c r="G395" s="235">
        <v>0.94</v>
      </c>
      <c r="H395" s="235">
        <v>0.15</v>
      </c>
      <c r="I395" s="585">
        <f t="shared" si="20"/>
        <v>0.47939999999999994</v>
      </c>
      <c r="J395" s="729"/>
    </row>
    <row r="396" spans="1:10">
      <c r="A396" s="167"/>
      <c r="B396" s="167"/>
      <c r="C396" s="397" t="s">
        <v>71</v>
      </c>
      <c r="D396" s="575">
        <v>1</v>
      </c>
      <c r="E396" s="575">
        <v>1</v>
      </c>
      <c r="F396" s="235">
        <v>2.5499999999999998</v>
      </c>
      <c r="G396" s="235">
        <v>1.47</v>
      </c>
      <c r="H396" s="235">
        <v>0.15</v>
      </c>
      <c r="I396" s="585">
        <f t="shared" si="20"/>
        <v>0.56227499999999986</v>
      </c>
      <c r="J396" s="729"/>
    </row>
    <row r="397" spans="1:10">
      <c r="A397" s="167"/>
      <c r="B397" s="167" t="s">
        <v>1060</v>
      </c>
      <c r="C397" s="397" t="s">
        <v>71</v>
      </c>
      <c r="D397" s="587">
        <v>1</v>
      </c>
      <c r="E397" s="587">
        <v>1</v>
      </c>
      <c r="F397" s="235">
        <v>2.41</v>
      </c>
      <c r="G397" s="235">
        <v>1.43</v>
      </c>
      <c r="H397" s="235">
        <v>0.125</v>
      </c>
      <c r="I397" s="585">
        <f t="shared" si="20"/>
        <v>0.43078749999999999</v>
      </c>
      <c r="J397" s="729"/>
    </row>
    <row r="398" spans="1:10">
      <c r="A398" s="167"/>
      <c r="B398" s="167" t="s">
        <v>937</v>
      </c>
      <c r="C398" s="397" t="s">
        <v>71</v>
      </c>
      <c r="D398" s="575">
        <v>1</v>
      </c>
      <c r="E398" s="575">
        <v>1</v>
      </c>
      <c r="F398" s="235">
        <v>2.2250000000000001</v>
      </c>
      <c r="G398" s="235">
        <v>1.4950000000000001</v>
      </c>
      <c r="H398" s="575">
        <v>0.125</v>
      </c>
      <c r="I398" s="585">
        <f t="shared" si="20"/>
        <v>0.41579687500000007</v>
      </c>
      <c r="J398" s="729"/>
    </row>
    <row r="399" spans="1:10">
      <c r="A399" s="167"/>
      <c r="B399" s="167" t="s">
        <v>938</v>
      </c>
      <c r="C399" s="397" t="s">
        <v>71</v>
      </c>
      <c r="D399" s="575">
        <v>1</v>
      </c>
      <c r="E399" s="575">
        <v>1</v>
      </c>
      <c r="F399" s="235">
        <v>3.3849999999999998</v>
      </c>
      <c r="G399" s="235">
        <v>1.425</v>
      </c>
      <c r="H399" s="575">
        <v>0.125</v>
      </c>
      <c r="I399" s="585">
        <f t="shared" si="20"/>
        <v>0.60295312499999998</v>
      </c>
      <c r="J399" s="729"/>
    </row>
    <row r="400" spans="1:10">
      <c r="A400" s="167"/>
      <c r="B400" s="167" t="s">
        <v>951</v>
      </c>
      <c r="C400" s="397" t="s">
        <v>71</v>
      </c>
      <c r="D400" s="575">
        <v>1</v>
      </c>
      <c r="E400" s="575">
        <v>1</v>
      </c>
      <c r="F400" s="235">
        <v>2.41</v>
      </c>
      <c r="G400" s="235">
        <v>1.54</v>
      </c>
      <c r="H400" s="575">
        <v>0.125</v>
      </c>
      <c r="I400" s="585">
        <f t="shared" si="20"/>
        <v>0.46392500000000003</v>
      </c>
      <c r="J400" s="729"/>
    </row>
    <row r="401" spans="1:10">
      <c r="A401" s="167"/>
      <c r="B401" s="167" t="s">
        <v>952</v>
      </c>
      <c r="C401" s="397" t="s">
        <v>71</v>
      </c>
      <c r="D401" s="575">
        <v>1</v>
      </c>
      <c r="E401" s="575">
        <v>1</v>
      </c>
      <c r="F401" s="235">
        <v>4.665</v>
      </c>
      <c r="G401" s="235">
        <v>2</v>
      </c>
      <c r="H401" s="235">
        <f>(0.2+0.165)/2</f>
        <v>0.1825</v>
      </c>
      <c r="I401" s="585">
        <f t="shared" si="20"/>
        <v>1.702725</v>
      </c>
      <c r="J401" s="729"/>
    </row>
    <row r="402" spans="1:10">
      <c r="A402" s="167"/>
      <c r="B402" s="167" t="s">
        <v>953</v>
      </c>
      <c r="C402" s="397" t="s">
        <v>71</v>
      </c>
      <c r="D402" s="575">
        <v>1</v>
      </c>
      <c r="E402" s="575">
        <v>1</v>
      </c>
      <c r="F402" s="235">
        <v>5.1050000000000004</v>
      </c>
      <c r="G402" s="235">
        <v>2</v>
      </c>
      <c r="H402" s="235">
        <f>(0.2+0.165)/2</f>
        <v>0.1825</v>
      </c>
      <c r="I402" s="585">
        <f t="shared" si="20"/>
        <v>1.8633250000000001</v>
      </c>
      <c r="J402" s="729"/>
    </row>
    <row r="403" spans="1:10">
      <c r="A403" s="167"/>
      <c r="B403" s="167" t="s">
        <v>954</v>
      </c>
      <c r="C403" s="397" t="s">
        <v>71</v>
      </c>
      <c r="D403" s="575">
        <v>1</v>
      </c>
      <c r="E403" s="575">
        <v>1</v>
      </c>
      <c r="F403" s="235">
        <v>3.2650000000000001</v>
      </c>
      <c r="G403" s="235">
        <v>2</v>
      </c>
      <c r="H403" s="235">
        <f>(0.2+0.165)/2</f>
        <v>0.1825</v>
      </c>
      <c r="I403" s="585">
        <f t="shared" si="20"/>
        <v>1.1917249999999999</v>
      </c>
      <c r="J403" s="729"/>
    </row>
    <row r="404" spans="1:10">
      <c r="A404" s="167"/>
      <c r="B404" s="267"/>
      <c r="C404" s="267"/>
      <c r="D404" s="575"/>
      <c r="E404" s="167"/>
      <c r="F404" s="586"/>
      <c r="G404" s="586"/>
      <c r="H404" s="167"/>
      <c r="I404" s="583">
        <f>SUBTOTAL(9,I389:I403)</f>
        <v>16.315877499999999</v>
      </c>
      <c r="J404" s="729"/>
    </row>
    <row r="405" spans="1:10">
      <c r="A405" s="167"/>
      <c r="B405" s="167"/>
      <c r="C405" s="397"/>
      <c r="D405" s="587"/>
      <c r="E405" s="587"/>
      <c r="F405" s="235"/>
      <c r="G405" s="235"/>
      <c r="H405" s="587"/>
      <c r="I405" s="585"/>
      <c r="J405" s="729"/>
    </row>
    <row r="406" spans="1:10">
      <c r="A406" s="167"/>
      <c r="B406" s="267" t="s">
        <v>1059</v>
      </c>
      <c r="C406" s="397"/>
      <c r="D406" s="587"/>
      <c r="E406" s="587"/>
      <c r="F406" s="235"/>
      <c r="G406" s="235"/>
      <c r="H406" s="587"/>
      <c r="I406" s="585">
        <f>+PRODUCT(E406:H406)</f>
        <v>0</v>
      </c>
      <c r="J406" s="729"/>
    </row>
    <row r="407" spans="1:10">
      <c r="A407" s="167"/>
      <c r="B407" s="167" t="s">
        <v>946</v>
      </c>
      <c r="C407" s="397" t="s">
        <v>71</v>
      </c>
      <c r="D407" s="587">
        <v>1</v>
      </c>
      <c r="E407" s="587">
        <v>1</v>
      </c>
      <c r="F407" s="595">
        <v>3.56</v>
      </c>
      <c r="G407" s="595">
        <v>3.2450000000000001</v>
      </c>
      <c r="H407" s="587">
        <v>0.125</v>
      </c>
      <c r="I407" s="585">
        <f t="shared" ref="I407:I417" si="21">+PRODUCT(D407:H407)</f>
        <v>1.4440250000000001</v>
      </c>
      <c r="J407" s="729"/>
    </row>
    <row r="408" spans="1:10">
      <c r="A408" s="167"/>
      <c r="B408" s="167" t="s">
        <v>947</v>
      </c>
      <c r="C408" s="397" t="s">
        <v>71</v>
      </c>
      <c r="D408" s="587">
        <v>1</v>
      </c>
      <c r="E408" s="587">
        <v>1</v>
      </c>
      <c r="F408" s="595">
        <v>3.25</v>
      </c>
      <c r="G408" s="595">
        <v>2.9249999999999998</v>
      </c>
      <c r="H408" s="587">
        <v>0.13500000000000001</v>
      </c>
      <c r="I408" s="585">
        <f t="shared" si="21"/>
        <v>1.28334375</v>
      </c>
      <c r="J408" s="729"/>
    </row>
    <row r="409" spans="1:10">
      <c r="A409" s="167"/>
      <c r="B409" s="167" t="s">
        <v>939</v>
      </c>
      <c r="C409" s="397" t="s">
        <v>71</v>
      </c>
      <c r="D409" s="587">
        <v>1</v>
      </c>
      <c r="E409" s="587">
        <v>1</v>
      </c>
      <c r="F409" s="595">
        <v>2.9249999999999998</v>
      </c>
      <c r="G409" s="595">
        <v>1.7</v>
      </c>
      <c r="H409" s="587">
        <v>0.125</v>
      </c>
      <c r="I409" s="585">
        <f t="shared" si="21"/>
        <v>0.62156249999999991</v>
      </c>
      <c r="J409" s="729"/>
    </row>
    <row r="410" spans="1:10">
      <c r="A410" s="167"/>
      <c r="B410" s="167" t="s">
        <v>949</v>
      </c>
      <c r="C410" s="397" t="s">
        <v>71</v>
      </c>
      <c r="D410" s="587">
        <v>1</v>
      </c>
      <c r="E410" s="587">
        <v>1</v>
      </c>
      <c r="F410" s="595">
        <v>3.25</v>
      </c>
      <c r="G410" s="595">
        <v>2.3650000000000002</v>
      </c>
      <c r="H410" s="587">
        <v>0.13500000000000001</v>
      </c>
      <c r="I410" s="585">
        <f t="shared" si="21"/>
        <v>1.0376437500000002</v>
      </c>
      <c r="J410" s="729"/>
    </row>
    <row r="411" spans="1:10">
      <c r="A411" s="167"/>
      <c r="B411" s="167" t="s">
        <v>950</v>
      </c>
      <c r="C411" s="397" t="s">
        <v>71</v>
      </c>
      <c r="D411" s="587">
        <v>1</v>
      </c>
      <c r="E411" s="587">
        <v>1</v>
      </c>
      <c r="F411" s="235">
        <v>5.23</v>
      </c>
      <c r="G411" s="235">
        <v>3.33</v>
      </c>
      <c r="H411" s="235">
        <v>0.15</v>
      </c>
      <c r="I411" s="585">
        <f t="shared" si="21"/>
        <v>2.6123850000000002</v>
      </c>
      <c r="J411" s="729"/>
    </row>
    <row r="412" spans="1:10">
      <c r="A412" s="167"/>
      <c r="B412" s="167"/>
      <c r="C412" s="397" t="s">
        <v>71</v>
      </c>
      <c r="D412" s="587">
        <v>1</v>
      </c>
      <c r="E412" s="587">
        <v>1</v>
      </c>
      <c r="F412" s="235">
        <v>3.4</v>
      </c>
      <c r="G412" s="235">
        <v>0.94</v>
      </c>
      <c r="H412" s="235">
        <v>0.15</v>
      </c>
      <c r="I412" s="585">
        <f t="shared" si="21"/>
        <v>0.47939999999999994</v>
      </c>
      <c r="J412" s="729"/>
    </row>
    <row r="413" spans="1:10">
      <c r="A413" s="167"/>
      <c r="B413" s="167"/>
      <c r="C413" s="397" t="s">
        <v>71</v>
      </c>
      <c r="D413" s="587">
        <v>1</v>
      </c>
      <c r="E413" s="587">
        <v>1</v>
      </c>
      <c r="F413" s="235">
        <v>2.5499999999999998</v>
      </c>
      <c r="G413" s="235">
        <v>1.47</v>
      </c>
      <c r="H413" s="235">
        <v>0.15</v>
      </c>
      <c r="I413" s="585">
        <f t="shared" si="21"/>
        <v>0.56227499999999986</v>
      </c>
      <c r="J413" s="729"/>
    </row>
    <row r="414" spans="1:10">
      <c r="A414" s="167"/>
      <c r="B414" s="167" t="s">
        <v>937</v>
      </c>
      <c r="C414" s="397" t="s">
        <v>71</v>
      </c>
      <c r="D414" s="587">
        <v>1</v>
      </c>
      <c r="E414" s="587">
        <v>1</v>
      </c>
      <c r="F414" s="235">
        <v>2.2250000000000001</v>
      </c>
      <c r="G414" s="235">
        <v>1.4950000000000001</v>
      </c>
      <c r="H414" s="587">
        <v>0.125</v>
      </c>
      <c r="I414" s="585">
        <f t="shared" si="21"/>
        <v>0.41579687500000007</v>
      </c>
      <c r="J414" s="729"/>
    </row>
    <row r="415" spans="1:10">
      <c r="A415" s="167"/>
      <c r="B415" s="167" t="s">
        <v>938</v>
      </c>
      <c r="C415" s="397" t="s">
        <v>71</v>
      </c>
      <c r="D415" s="587">
        <v>1</v>
      </c>
      <c r="E415" s="587">
        <v>1</v>
      </c>
      <c r="F415" s="595">
        <v>3.3849999999999998</v>
      </c>
      <c r="G415" s="235">
        <v>1.425</v>
      </c>
      <c r="H415" s="587">
        <v>0.125</v>
      </c>
      <c r="I415" s="585">
        <f t="shared" si="21"/>
        <v>0.60295312499999998</v>
      </c>
      <c r="J415" s="729"/>
    </row>
    <row r="416" spans="1:10">
      <c r="A416" s="167"/>
      <c r="B416" s="167" t="s">
        <v>952</v>
      </c>
      <c r="C416" s="397" t="s">
        <v>71</v>
      </c>
      <c r="D416" s="587">
        <v>1</v>
      </c>
      <c r="E416" s="587">
        <v>1</v>
      </c>
      <c r="F416" s="235">
        <v>4.665</v>
      </c>
      <c r="G416" s="235">
        <v>2</v>
      </c>
      <c r="H416" s="235">
        <f>(0.2+0.165)/2</f>
        <v>0.1825</v>
      </c>
      <c r="I416" s="585">
        <f t="shared" si="21"/>
        <v>1.702725</v>
      </c>
      <c r="J416" s="729"/>
    </row>
    <row r="417" spans="1:10">
      <c r="A417" s="167"/>
      <c r="B417" s="167" t="s">
        <v>953</v>
      </c>
      <c r="C417" s="397" t="s">
        <v>71</v>
      </c>
      <c r="D417" s="587">
        <v>1</v>
      </c>
      <c r="E417" s="587">
        <v>1</v>
      </c>
      <c r="F417" s="235">
        <v>5.1050000000000004</v>
      </c>
      <c r="G417" s="235">
        <v>2</v>
      </c>
      <c r="H417" s="235">
        <f>(0.2+0.165)/2</f>
        <v>0.1825</v>
      </c>
      <c r="I417" s="585">
        <f t="shared" si="21"/>
        <v>1.8633250000000001</v>
      </c>
      <c r="J417" s="729"/>
    </row>
    <row r="418" spans="1:10">
      <c r="A418" s="167"/>
      <c r="B418" s="267"/>
      <c r="C418" s="267"/>
      <c r="D418" s="587"/>
      <c r="E418" s="167"/>
      <c r="F418" s="586"/>
      <c r="G418" s="586"/>
      <c r="H418" s="167"/>
      <c r="I418" s="583">
        <f>SUBTOTAL(9,I407:I417)</f>
        <v>12.625435</v>
      </c>
      <c r="J418" s="729"/>
    </row>
    <row r="419" spans="1:10">
      <c r="A419" s="167"/>
      <c r="B419" s="167"/>
      <c r="C419" s="167"/>
      <c r="D419" s="575"/>
      <c r="E419" s="167"/>
      <c r="F419" s="586"/>
      <c r="G419" s="586"/>
      <c r="H419" s="167"/>
      <c r="I419" s="582"/>
      <c r="J419" s="729"/>
    </row>
    <row r="420" spans="1:10">
      <c r="A420" s="167"/>
      <c r="B420" s="267" t="s">
        <v>1048</v>
      </c>
      <c r="C420" s="267"/>
      <c r="D420" s="575"/>
      <c r="E420" s="167"/>
      <c r="F420" s="586"/>
      <c r="G420" s="586"/>
      <c r="H420" s="167"/>
      <c r="I420" s="582"/>
      <c r="J420" s="729"/>
    </row>
    <row r="421" spans="1:10">
      <c r="A421" s="167"/>
      <c r="B421" s="167" t="s">
        <v>946</v>
      </c>
      <c r="C421" s="167"/>
      <c r="D421" s="575">
        <v>3</v>
      </c>
      <c r="E421" s="167">
        <v>1</v>
      </c>
      <c r="F421" s="586">
        <v>3.86</v>
      </c>
      <c r="G421" s="586">
        <v>3.25</v>
      </c>
      <c r="H421" s="167">
        <v>0.13500000000000001</v>
      </c>
      <c r="I421" s="582">
        <f t="shared" ref="I421:I434" si="22">+PRODUCT(D421:H421)</f>
        <v>5.0807250000000002</v>
      </c>
      <c r="J421" s="729"/>
    </row>
    <row r="422" spans="1:10">
      <c r="A422" s="167"/>
      <c r="B422" s="167" t="s">
        <v>947</v>
      </c>
      <c r="C422" s="167"/>
      <c r="D422" s="587">
        <v>3</v>
      </c>
      <c r="E422" s="167">
        <v>1</v>
      </c>
      <c r="F422" s="586">
        <v>3.86</v>
      </c>
      <c r="G422" s="586">
        <v>3.335</v>
      </c>
      <c r="H422" s="167">
        <v>0.13500000000000001</v>
      </c>
      <c r="I422" s="582">
        <f t="shared" si="22"/>
        <v>5.2136055000000008</v>
      </c>
      <c r="J422" s="729"/>
    </row>
    <row r="423" spans="1:10">
      <c r="A423" s="167"/>
      <c r="B423" s="167" t="s">
        <v>948</v>
      </c>
      <c r="C423" s="167"/>
      <c r="D423" s="587">
        <v>3</v>
      </c>
      <c r="E423" s="167">
        <v>1</v>
      </c>
      <c r="F423" s="586">
        <v>3.55</v>
      </c>
      <c r="G423" s="586">
        <v>3.2650000000000001</v>
      </c>
      <c r="H423" s="167">
        <v>0.125</v>
      </c>
      <c r="I423" s="582">
        <f t="shared" si="22"/>
        <v>4.34653125</v>
      </c>
      <c r="J423" s="729"/>
    </row>
    <row r="424" spans="1:10">
      <c r="A424" s="167"/>
      <c r="B424" s="167" t="s">
        <v>940</v>
      </c>
      <c r="C424" s="167"/>
      <c r="D424" s="587">
        <v>3</v>
      </c>
      <c r="E424" s="167">
        <v>1</v>
      </c>
      <c r="F424" s="586">
        <v>6.2450000000000001</v>
      </c>
      <c r="G424" s="586">
        <v>3.3149999999999999</v>
      </c>
      <c r="H424" s="167">
        <v>0.15</v>
      </c>
      <c r="I424" s="582">
        <f t="shared" si="22"/>
        <v>9.3159787499999993</v>
      </c>
      <c r="J424" s="729"/>
    </row>
    <row r="425" spans="1:10">
      <c r="A425" s="167"/>
      <c r="B425" s="167"/>
      <c r="C425" s="167"/>
      <c r="D425" s="587">
        <v>3</v>
      </c>
      <c r="E425" s="167">
        <v>1</v>
      </c>
      <c r="F425" s="586">
        <v>3.17</v>
      </c>
      <c r="G425" s="586">
        <v>1.91</v>
      </c>
      <c r="H425" s="167">
        <v>0.15</v>
      </c>
      <c r="I425" s="582">
        <f t="shared" si="22"/>
        <v>2.7246149999999996</v>
      </c>
      <c r="J425" s="729"/>
    </row>
    <row r="426" spans="1:10">
      <c r="A426" s="167"/>
      <c r="B426" s="167" t="s">
        <v>949</v>
      </c>
      <c r="C426" s="167"/>
      <c r="D426" s="587">
        <v>3</v>
      </c>
      <c r="E426" s="167">
        <v>1</v>
      </c>
      <c r="F426" s="586">
        <v>3.4350000000000001</v>
      </c>
      <c r="G426" s="586">
        <v>2.3450000000000002</v>
      </c>
      <c r="H426" s="167">
        <v>0.13500000000000001</v>
      </c>
      <c r="I426" s="582">
        <f t="shared" si="22"/>
        <v>3.2623053750000008</v>
      </c>
      <c r="J426" s="729"/>
    </row>
    <row r="427" spans="1:10">
      <c r="A427" s="167"/>
      <c r="B427" s="167" t="s">
        <v>937</v>
      </c>
      <c r="C427" s="167"/>
      <c r="D427" s="587">
        <v>3</v>
      </c>
      <c r="E427" s="167">
        <v>1</v>
      </c>
      <c r="F427" s="586">
        <v>3.86</v>
      </c>
      <c r="G427" s="586">
        <v>1.44</v>
      </c>
      <c r="H427" s="167">
        <v>0.125</v>
      </c>
      <c r="I427" s="582">
        <f t="shared" si="22"/>
        <v>2.0844</v>
      </c>
      <c r="J427" s="729"/>
    </row>
    <row r="428" spans="1:10">
      <c r="A428" s="167"/>
      <c r="B428" s="167" t="s">
        <v>938</v>
      </c>
      <c r="C428" s="167"/>
      <c r="D428" s="587">
        <v>3</v>
      </c>
      <c r="E428" s="167">
        <v>1</v>
      </c>
      <c r="F428" s="586">
        <v>3.55</v>
      </c>
      <c r="G428" s="586">
        <v>1.425</v>
      </c>
      <c r="H428" s="167">
        <v>0.125</v>
      </c>
      <c r="I428" s="582">
        <f t="shared" si="22"/>
        <v>1.8970312499999997</v>
      </c>
      <c r="J428" s="729"/>
    </row>
    <row r="429" spans="1:10">
      <c r="A429" s="167"/>
      <c r="B429" s="167" t="s">
        <v>951</v>
      </c>
      <c r="C429" s="167"/>
      <c r="D429" s="587">
        <v>3</v>
      </c>
      <c r="E429" s="167">
        <v>1</v>
      </c>
      <c r="F429" s="586">
        <v>3.55</v>
      </c>
      <c r="G429" s="586">
        <v>1.425</v>
      </c>
      <c r="H429" s="167">
        <v>0.125</v>
      </c>
      <c r="I429" s="582">
        <f t="shared" si="22"/>
        <v>1.8970312499999997</v>
      </c>
      <c r="J429" s="729"/>
    </row>
    <row r="430" spans="1:10">
      <c r="A430" s="167"/>
      <c r="B430" s="167" t="s">
        <v>936</v>
      </c>
      <c r="C430" s="167"/>
      <c r="D430" s="587">
        <v>3</v>
      </c>
      <c r="E430" s="167">
        <v>1</v>
      </c>
      <c r="F430" s="586">
        <v>1.2450000000000001</v>
      </c>
      <c r="G430" s="586">
        <v>0.51500000000000001</v>
      </c>
      <c r="H430" s="167">
        <v>0.125</v>
      </c>
      <c r="I430" s="582">
        <f t="shared" si="22"/>
        <v>0.24044062500000002</v>
      </c>
      <c r="J430" s="729"/>
    </row>
    <row r="431" spans="1:10">
      <c r="A431" s="167"/>
      <c r="B431" s="167" t="s">
        <v>936</v>
      </c>
      <c r="C431" s="167"/>
      <c r="D431" s="587">
        <v>3</v>
      </c>
      <c r="E431" s="167">
        <v>1</v>
      </c>
      <c r="F431" s="586">
        <v>0.97</v>
      </c>
      <c r="G431" s="586">
        <v>0.41499999999999998</v>
      </c>
      <c r="H431" s="167">
        <v>0.125</v>
      </c>
      <c r="I431" s="582">
        <f t="shared" si="22"/>
        <v>0.15095624999999999</v>
      </c>
      <c r="J431" s="729"/>
    </row>
    <row r="432" spans="1:10">
      <c r="A432" s="167"/>
      <c r="B432" s="167" t="s">
        <v>952</v>
      </c>
      <c r="C432" s="167"/>
      <c r="D432" s="587">
        <v>3</v>
      </c>
      <c r="E432" s="167">
        <v>1</v>
      </c>
      <c r="F432" s="586">
        <v>5.93</v>
      </c>
      <c r="G432" s="586">
        <v>2</v>
      </c>
      <c r="H432" s="593">
        <f>(0.2+0.165)/2</f>
        <v>0.1825</v>
      </c>
      <c r="I432" s="582">
        <f t="shared" si="22"/>
        <v>6.4933499999999995</v>
      </c>
      <c r="J432" s="729"/>
    </row>
    <row r="433" spans="1:10">
      <c r="A433" s="167"/>
      <c r="B433" s="167" t="s">
        <v>953</v>
      </c>
      <c r="C433" s="167"/>
      <c r="D433" s="587">
        <v>3</v>
      </c>
      <c r="E433" s="167">
        <v>1</v>
      </c>
      <c r="F433" s="586">
        <f>3.515+0.05</f>
        <v>3.5649999999999999</v>
      </c>
      <c r="G433" s="586">
        <v>2</v>
      </c>
      <c r="H433" s="593">
        <f>(0.2+0.165)/2</f>
        <v>0.1825</v>
      </c>
      <c r="I433" s="582">
        <f t="shared" si="22"/>
        <v>3.9036750000000002</v>
      </c>
      <c r="J433" s="729"/>
    </row>
    <row r="434" spans="1:10">
      <c r="A434" s="167"/>
      <c r="B434" s="167" t="s">
        <v>954</v>
      </c>
      <c r="C434" s="167"/>
      <c r="D434" s="587">
        <v>3</v>
      </c>
      <c r="E434" s="167">
        <v>1</v>
      </c>
      <c r="F434" s="586">
        <v>1.55</v>
      </c>
      <c r="G434" s="586">
        <v>2</v>
      </c>
      <c r="H434" s="593">
        <f>(0.2+0.165)/2</f>
        <v>0.1825</v>
      </c>
      <c r="I434" s="582">
        <f t="shared" si="22"/>
        <v>1.6972500000000001</v>
      </c>
      <c r="J434" s="729"/>
    </row>
    <row r="435" spans="1:10">
      <c r="A435" s="167"/>
      <c r="B435" s="267"/>
      <c r="C435" s="267"/>
      <c r="D435" s="575"/>
      <c r="E435" s="267"/>
      <c r="F435" s="269"/>
      <c r="G435" s="269"/>
      <c r="H435" s="267"/>
      <c r="I435" s="583">
        <f>SUBTOTAL(9,I420:I434)</f>
        <v>48.307895249999987</v>
      </c>
      <c r="J435" s="729"/>
    </row>
    <row r="436" spans="1:10">
      <c r="A436" s="167"/>
      <c r="B436" s="167"/>
      <c r="C436" s="167"/>
      <c r="D436" s="575"/>
      <c r="E436" s="167"/>
      <c r="F436" s="586"/>
      <c r="G436" s="586"/>
      <c r="H436" s="167"/>
      <c r="I436" s="582"/>
      <c r="J436" s="729"/>
    </row>
    <row r="437" spans="1:10">
      <c r="A437" s="167"/>
      <c r="B437" s="267" t="s">
        <v>1050</v>
      </c>
      <c r="C437" s="167"/>
      <c r="D437" s="575">
        <v>1</v>
      </c>
      <c r="E437" s="167">
        <v>1</v>
      </c>
      <c r="F437" s="594">
        <v>5.09</v>
      </c>
      <c r="G437" s="594">
        <v>1.5</v>
      </c>
      <c r="H437" s="167">
        <v>0.125</v>
      </c>
      <c r="I437" s="582">
        <f t="shared" ref="I437:I442" si="23">+PRODUCT(D437:H437)</f>
        <v>0.95437499999999997</v>
      </c>
      <c r="J437" s="729"/>
    </row>
    <row r="438" spans="1:10">
      <c r="A438" s="167"/>
      <c r="B438" s="167"/>
      <c r="C438" s="167"/>
      <c r="D438" s="575">
        <v>1</v>
      </c>
      <c r="E438" s="167">
        <v>1</v>
      </c>
      <c r="F438" s="594">
        <v>3.14</v>
      </c>
      <c r="G438" s="594">
        <v>0.95499999999999996</v>
      </c>
      <c r="H438" s="167">
        <v>0.125</v>
      </c>
      <c r="I438" s="582">
        <f t="shared" si="23"/>
        <v>0.37483749999999999</v>
      </c>
      <c r="J438" s="729"/>
    </row>
    <row r="439" spans="1:10">
      <c r="A439" s="167"/>
      <c r="B439" s="267" t="s">
        <v>955</v>
      </c>
      <c r="C439" s="167"/>
      <c r="D439" s="575">
        <v>1</v>
      </c>
      <c r="E439" s="167">
        <v>1</v>
      </c>
      <c r="F439" s="594">
        <v>3.95</v>
      </c>
      <c r="G439" s="594">
        <v>1.61</v>
      </c>
      <c r="H439" s="167">
        <v>0.125</v>
      </c>
      <c r="I439" s="582">
        <f t="shared" si="23"/>
        <v>0.79493750000000007</v>
      </c>
      <c r="J439" s="729"/>
    </row>
    <row r="440" spans="1:10">
      <c r="A440" s="167"/>
      <c r="B440" s="167"/>
      <c r="C440" s="167"/>
      <c r="D440" s="575">
        <v>1</v>
      </c>
      <c r="E440" s="167">
        <v>1</v>
      </c>
      <c r="F440" s="594">
        <v>5.6349999999999998</v>
      </c>
      <c r="G440" s="594">
        <v>2.44</v>
      </c>
      <c r="H440" s="167">
        <v>0.125</v>
      </c>
      <c r="I440" s="582">
        <f t="shared" si="23"/>
        <v>1.718675</v>
      </c>
      <c r="J440" s="729"/>
    </row>
    <row r="441" spans="1:10">
      <c r="A441" s="167"/>
      <c r="B441" s="267" t="s">
        <v>1049</v>
      </c>
      <c r="C441" s="167"/>
      <c r="D441" s="575">
        <v>1</v>
      </c>
      <c r="E441" s="167">
        <v>1</v>
      </c>
      <c r="F441" s="594">
        <v>4.79</v>
      </c>
      <c r="G441" s="594">
        <v>3.19</v>
      </c>
      <c r="H441" s="167">
        <v>0.125</v>
      </c>
      <c r="I441" s="582">
        <f t="shared" si="23"/>
        <v>1.9100124999999999</v>
      </c>
      <c r="J441" s="729"/>
    </row>
    <row r="442" spans="1:10">
      <c r="A442" s="167"/>
      <c r="B442" s="167"/>
      <c r="C442" s="167"/>
      <c r="D442" s="575">
        <v>1</v>
      </c>
      <c r="E442" s="167">
        <v>1</v>
      </c>
      <c r="F442" s="594">
        <v>1.4</v>
      </c>
      <c r="G442" s="594">
        <v>0.65500000000000003</v>
      </c>
      <c r="H442" s="167">
        <v>0.125</v>
      </c>
      <c r="I442" s="582">
        <f t="shared" si="23"/>
        <v>0.11462499999999999</v>
      </c>
      <c r="J442" s="729"/>
    </row>
    <row r="443" spans="1:10">
      <c r="A443" s="167"/>
      <c r="B443" s="267" t="s">
        <v>1243</v>
      </c>
      <c r="C443" s="167"/>
      <c r="D443" s="575"/>
      <c r="E443" s="167"/>
      <c r="F443" s="586"/>
      <c r="G443" s="586"/>
      <c r="H443" s="167"/>
      <c r="I443" s="582"/>
      <c r="J443" s="729"/>
    </row>
    <row r="444" spans="1:10">
      <c r="A444" s="167"/>
      <c r="B444" s="167" t="s">
        <v>1052</v>
      </c>
      <c r="C444" s="167"/>
      <c r="D444" s="587">
        <v>1</v>
      </c>
      <c r="E444" s="167">
        <v>2</v>
      </c>
      <c r="F444" s="586">
        <v>1.5</v>
      </c>
      <c r="G444" s="586">
        <v>1.5</v>
      </c>
      <c r="H444" s="167">
        <v>0.17499999999999999</v>
      </c>
      <c r="I444" s="582">
        <f>+PRODUCT(D444:H444)</f>
        <v>0.78749999999999998</v>
      </c>
      <c r="J444" s="729"/>
    </row>
    <row r="445" spans="1:10">
      <c r="A445" s="167"/>
      <c r="B445" s="167" t="s">
        <v>1053</v>
      </c>
      <c r="C445" s="167"/>
      <c r="D445" s="575">
        <v>1</v>
      </c>
      <c r="E445" s="167">
        <v>2</v>
      </c>
      <c r="F445" s="586">
        <v>2.4089999999999998</v>
      </c>
      <c r="G445" s="586">
        <v>1.5</v>
      </c>
      <c r="H445" s="167">
        <v>0.17499999999999999</v>
      </c>
      <c r="I445" s="582">
        <f>+PRODUCT(D445:H445)</f>
        <v>1.2647249999999999</v>
      </c>
      <c r="J445" s="729"/>
    </row>
    <row r="446" spans="1:10">
      <c r="A446" s="167"/>
      <c r="B446" s="167" t="s">
        <v>1054</v>
      </c>
      <c r="C446" s="167"/>
      <c r="D446" s="587">
        <v>1</v>
      </c>
      <c r="E446" s="167">
        <v>1</v>
      </c>
      <c r="F446" s="586">
        <v>1.484</v>
      </c>
      <c r="G446" s="586">
        <v>1.5</v>
      </c>
      <c r="H446" s="167">
        <v>0.17499999999999999</v>
      </c>
      <c r="I446" s="582">
        <f>+PRODUCT(D446:H446)</f>
        <v>0.38954999999999995</v>
      </c>
      <c r="J446" s="729"/>
    </row>
    <row r="447" spans="1:10">
      <c r="A447" s="167"/>
      <c r="B447" s="167" t="s">
        <v>1055</v>
      </c>
      <c r="C447" s="167"/>
      <c r="D447" s="587">
        <v>1</v>
      </c>
      <c r="E447" s="167">
        <v>1</v>
      </c>
      <c r="F447" s="586">
        <v>3.96</v>
      </c>
      <c r="G447" s="586">
        <v>0.26</v>
      </c>
      <c r="H447" s="167">
        <v>0.17499999999999999</v>
      </c>
      <c r="I447" s="582">
        <f>+PRODUCT(D447:H447)</f>
        <v>0.18018000000000001</v>
      </c>
      <c r="J447" s="729"/>
    </row>
    <row r="448" spans="1:10">
      <c r="A448" s="167"/>
      <c r="B448" s="167" t="s">
        <v>1056</v>
      </c>
      <c r="C448" s="167"/>
      <c r="D448" s="587">
        <v>1</v>
      </c>
      <c r="E448" s="167">
        <v>1</v>
      </c>
      <c r="F448" s="586">
        <v>3.53</v>
      </c>
      <c r="G448" s="586">
        <v>0.45</v>
      </c>
      <c r="H448" s="167">
        <v>0.23</v>
      </c>
      <c r="I448" s="582">
        <f>+PRODUCT(D448:H448)</f>
        <v>0.36535500000000004</v>
      </c>
      <c r="J448" s="729"/>
    </row>
    <row r="449" spans="1:13">
      <c r="A449" s="167"/>
      <c r="B449" s="267" t="s">
        <v>1057</v>
      </c>
      <c r="C449" s="167"/>
      <c r="D449" s="575"/>
      <c r="E449" s="167"/>
      <c r="F449" s="586"/>
      <c r="G449" s="586"/>
      <c r="H449" s="167"/>
      <c r="I449" s="582"/>
      <c r="J449" s="729"/>
    </row>
    <row r="450" spans="1:13">
      <c r="A450" s="167"/>
      <c r="B450" s="167" t="s">
        <v>1058</v>
      </c>
      <c r="C450" s="167"/>
      <c r="D450" s="575">
        <v>1</v>
      </c>
      <c r="E450" s="167">
        <v>2</v>
      </c>
      <c r="F450" s="586">
        <v>3.2</v>
      </c>
      <c r="G450" s="586">
        <v>1.5</v>
      </c>
      <c r="H450" s="167">
        <v>0.17499999999999999</v>
      </c>
      <c r="I450" s="582">
        <f>+PRODUCT(D450:H450)</f>
        <v>1.6800000000000002</v>
      </c>
      <c r="J450" s="729"/>
    </row>
    <row r="451" spans="1:13">
      <c r="A451" s="167"/>
      <c r="B451" s="167" t="s">
        <v>1053</v>
      </c>
      <c r="C451" s="167"/>
      <c r="D451" s="587">
        <v>1</v>
      </c>
      <c r="E451" s="167">
        <v>2</v>
      </c>
      <c r="F451" s="586">
        <v>3.343</v>
      </c>
      <c r="G451" s="586">
        <v>1.5</v>
      </c>
      <c r="H451" s="167">
        <v>0.17499999999999999</v>
      </c>
      <c r="I451" s="582">
        <f>+PRODUCT(D451:H451)</f>
        <v>1.7550749999999999</v>
      </c>
      <c r="J451" s="729"/>
    </row>
    <row r="452" spans="1:13">
      <c r="A452" s="167"/>
      <c r="B452" s="167" t="s">
        <v>1056</v>
      </c>
      <c r="C452" s="167"/>
      <c r="D452" s="589">
        <v>1</v>
      </c>
      <c r="E452" s="167">
        <v>1</v>
      </c>
      <c r="F452" s="586">
        <v>3.2</v>
      </c>
      <c r="G452" s="586">
        <v>0.23</v>
      </c>
      <c r="H452" s="167">
        <v>0.45</v>
      </c>
      <c r="I452" s="582">
        <f>+PRODUCT(D452:H452)</f>
        <v>0.33120000000000005</v>
      </c>
      <c r="J452" s="729"/>
    </row>
    <row r="453" spans="1:13">
      <c r="A453" s="167"/>
      <c r="B453" s="167"/>
      <c r="C453" s="167"/>
      <c r="D453" s="575"/>
      <c r="E453" s="167"/>
      <c r="F453" s="586"/>
      <c r="G453" s="586"/>
      <c r="H453" s="167"/>
      <c r="I453" s="582"/>
      <c r="J453" s="729"/>
    </row>
    <row r="454" spans="1:13">
      <c r="A454" s="167"/>
      <c r="B454" s="167"/>
      <c r="C454" s="167"/>
      <c r="D454" s="575"/>
      <c r="E454" s="167"/>
      <c r="F454" s="167"/>
      <c r="G454" s="167"/>
      <c r="H454" s="167"/>
      <c r="I454" s="583">
        <f>SUBTOTAL(9,I437:I453)</f>
        <v>12.6210475</v>
      </c>
      <c r="J454" s="729"/>
    </row>
    <row r="455" spans="1:13" ht="45">
      <c r="A455" s="75"/>
      <c r="B455" s="408" t="s">
        <v>754</v>
      </c>
      <c r="C455" s="77"/>
      <c r="D455" s="77"/>
      <c r="E455" s="77"/>
      <c r="F455" s="395"/>
      <c r="G455" s="395"/>
      <c r="H455" s="395"/>
      <c r="I455" s="80"/>
      <c r="J455" s="729"/>
      <c r="L455" s="396"/>
      <c r="M455" s="396"/>
    </row>
    <row r="456" spans="1:13" s="116" customFormat="1" ht="30">
      <c r="A456" s="377">
        <v>1</v>
      </c>
      <c r="B456" s="562" t="s">
        <v>922</v>
      </c>
      <c r="C456" s="397" t="s">
        <v>71</v>
      </c>
      <c r="D456" s="414">
        <v>31</v>
      </c>
      <c r="E456" s="397">
        <v>1</v>
      </c>
      <c r="F456" s="395">
        <v>0.3</v>
      </c>
      <c r="G456" s="395">
        <v>0.6</v>
      </c>
      <c r="H456" s="395">
        <v>0.45</v>
      </c>
      <c r="I456" s="475">
        <f t="shared" ref="I456:I476" si="24">PRODUCT(D456:H456)</f>
        <v>2.5109999999999997</v>
      </c>
      <c r="J456" s="729"/>
      <c r="L456" s="396"/>
      <c r="M456" s="396"/>
    </row>
    <row r="457" spans="1:13" s="116" customFormat="1">
      <c r="A457" s="377">
        <v>2</v>
      </c>
      <c r="B457" s="413" t="s">
        <v>621</v>
      </c>
      <c r="C457" s="397" t="s">
        <v>71</v>
      </c>
      <c r="D457" s="413">
        <v>15</v>
      </c>
      <c r="E457" s="397">
        <v>1</v>
      </c>
      <c r="F457" s="395">
        <v>0.3</v>
      </c>
      <c r="G457" s="395">
        <v>0.7</v>
      </c>
      <c r="H457" s="395">
        <v>0.45</v>
      </c>
      <c r="I457" s="475">
        <f t="shared" si="24"/>
        <v>1.4175</v>
      </c>
      <c r="J457" s="729"/>
      <c r="L457" s="396"/>
      <c r="M457" s="396"/>
    </row>
    <row r="458" spans="1:13" s="116" customFormat="1">
      <c r="A458" s="377">
        <v>3</v>
      </c>
      <c r="B458" s="413" t="s">
        <v>923</v>
      </c>
      <c r="C458" s="397" t="s">
        <v>71</v>
      </c>
      <c r="D458" s="413">
        <v>7</v>
      </c>
      <c r="E458" s="397">
        <v>1</v>
      </c>
      <c r="F458" s="395">
        <v>0.3</v>
      </c>
      <c r="G458" s="395">
        <v>0.71499999999999997</v>
      </c>
      <c r="H458" s="395">
        <v>0.45</v>
      </c>
      <c r="I458" s="475">
        <f t="shared" si="24"/>
        <v>0.67567500000000003</v>
      </c>
      <c r="J458" s="729"/>
      <c r="L458" s="396"/>
      <c r="M458" s="396"/>
    </row>
    <row r="459" spans="1:13" s="116" customFormat="1">
      <c r="A459" s="377">
        <v>4</v>
      </c>
      <c r="B459" s="413" t="s">
        <v>623</v>
      </c>
      <c r="C459" s="397" t="s">
        <v>71</v>
      </c>
      <c r="D459" s="413">
        <v>2</v>
      </c>
      <c r="E459" s="397">
        <v>1</v>
      </c>
      <c r="F459" s="395">
        <v>0.3</v>
      </c>
      <c r="G459" s="395">
        <v>0.8</v>
      </c>
      <c r="H459" s="395">
        <v>0.45</v>
      </c>
      <c r="I459" s="475">
        <f t="shared" si="24"/>
        <v>0.216</v>
      </c>
      <c r="J459" s="729"/>
      <c r="L459" s="396"/>
      <c r="M459" s="396"/>
    </row>
    <row r="460" spans="1:13" s="116" customFormat="1">
      <c r="A460" s="377">
        <v>5</v>
      </c>
      <c r="B460" s="410" t="s">
        <v>624</v>
      </c>
      <c r="C460" s="397" t="s">
        <v>71</v>
      </c>
      <c r="D460" s="413">
        <v>1</v>
      </c>
      <c r="E460" s="397">
        <v>1</v>
      </c>
      <c r="F460" s="395">
        <v>0.23</v>
      </c>
      <c r="G460" s="395">
        <v>0.65</v>
      </c>
      <c r="H460" s="395">
        <v>0.45</v>
      </c>
      <c r="I460" s="475">
        <f t="shared" si="24"/>
        <v>6.7275000000000015E-2</v>
      </c>
      <c r="J460" s="729"/>
      <c r="L460" s="396"/>
      <c r="M460" s="396"/>
    </row>
    <row r="461" spans="1:13" s="116" customFormat="1">
      <c r="A461" s="377">
        <v>6</v>
      </c>
      <c r="B461" s="410"/>
      <c r="C461" s="397" t="s">
        <v>71</v>
      </c>
      <c r="D461" s="413">
        <v>1</v>
      </c>
      <c r="E461" s="397">
        <v>1</v>
      </c>
      <c r="F461" s="395">
        <v>0.23</v>
      </c>
      <c r="G461" s="395">
        <f>1.65-0.23</f>
        <v>1.42</v>
      </c>
      <c r="H461" s="395">
        <v>0.45</v>
      </c>
      <c r="I461" s="475">
        <f t="shared" si="24"/>
        <v>0.14697000000000002</v>
      </c>
      <c r="J461" s="729"/>
      <c r="L461" s="396"/>
      <c r="M461" s="396"/>
    </row>
    <row r="462" spans="1:13" s="116" customFormat="1">
      <c r="A462" s="377">
        <v>7</v>
      </c>
      <c r="B462" s="410" t="s">
        <v>625</v>
      </c>
      <c r="C462" s="397" t="s">
        <v>71</v>
      </c>
      <c r="D462" s="413">
        <v>1</v>
      </c>
      <c r="E462" s="397">
        <v>1</v>
      </c>
      <c r="F462" s="395">
        <v>0.23</v>
      </c>
      <c r="G462" s="395">
        <v>0.65</v>
      </c>
      <c r="H462" s="395">
        <v>0.45</v>
      </c>
      <c r="I462" s="475">
        <f t="shared" si="24"/>
        <v>6.7275000000000015E-2</v>
      </c>
      <c r="J462" s="729"/>
      <c r="L462" s="396"/>
      <c r="M462" s="396"/>
    </row>
    <row r="463" spans="1:13" s="116" customFormat="1">
      <c r="A463" s="377">
        <v>8</v>
      </c>
      <c r="B463" s="410"/>
      <c r="C463" s="397" t="s">
        <v>71</v>
      </c>
      <c r="D463" s="413">
        <v>1</v>
      </c>
      <c r="E463" s="397">
        <v>1</v>
      </c>
      <c r="F463" s="395">
        <v>0.23</v>
      </c>
      <c r="G463" s="395">
        <f>1.85-0.23</f>
        <v>1.62</v>
      </c>
      <c r="H463" s="395">
        <v>0.45</v>
      </c>
      <c r="I463" s="475">
        <f t="shared" si="24"/>
        <v>0.16767000000000001</v>
      </c>
      <c r="J463" s="729"/>
      <c r="L463" s="396"/>
      <c r="M463" s="396"/>
    </row>
    <row r="464" spans="1:13" s="116" customFormat="1">
      <c r="A464" s="377">
        <v>9</v>
      </c>
      <c r="B464" s="410" t="s">
        <v>626</v>
      </c>
      <c r="C464" s="397" t="s">
        <v>71</v>
      </c>
      <c r="D464" s="413">
        <v>1</v>
      </c>
      <c r="E464" s="397">
        <v>1</v>
      </c>
      <c r="F464" s="395">
        <v>0.23</v>
      </c>
      <c r="G464" s="395">
        <v>1</v>
      </c>
      <c r="H464" s="395">
        <v>0.45</v>
      </c>
      <c r="I464" s="475">
        <f t="shared" si="24"/>
        <v>0.10350000000000001</v>
      </c>
      <c r="J464" s="729"/>
      <c r="L464" s="396"/>
      <c r="M464" s="396"/>
    </row>
    <row r="465" spans="1:13" s="116" customFormat="1">
      <c r="A465" s="377">
        <v>10</v>
      </c>
      <c r="B465" s="410" t="s">
        <v>627</v>
      </c>
      <c r="C465" s="397" t="s">
        <v>71</v>
      </c>
      <c r="D465" s="413">
        <v>1</v>
      </c>
      <c r="E465" s="397">
        <v>1</v>
      </c>
      <c r="F465" s="395">
        <v>0.23</v>
      </c>
      <c r="G465" s="395">
        <v>1.1499999999999999</v>
      </c>
      <c r="H465" s="395">
        <v>0.45</v>
      </c>
      <c r="I465" s="475">
        <f t="shared" si="24"/>
        <v>0.11902500000000001</v>
      </c>
      <c r="J465" s="729"/>
      <c r="L465" s="396"/>
      <c r="M465" s="396"/>
    </row>
    <row r="466" spans="1:13" s="116" customFormat="1">
      <c r="A466" s="377">
        <v>11</v>
      </c>
      <c r="B466" s="410" t="s">
        <v>628</v>
      </c>
      <c r="C466" s="397" t="s">
        <v>71</v>
      </c>
      <c r="D466" s="413">
        <v>2</v>
      </c>
      <c r="E466" s="397">
        <v>1</v>
      </c>
      <c r="F466" s="395">
        <v>0.23</v>
      </c>
      <c r="G466" s="395">
        <v>1.7</v>
      </c>
      <c r="H466" s="395">
        <v>0.45</v>
      </c>
      <c r="I466" s="475">
        <f t="shared" si="24"/>
        <v>0.35190000000000005</v>
      </c>
      <c r="J466" s="729"/>
      <c r="L466" s="396"/>
      <c r="M466" s="396"/>
    </row>
    <row r="467" spans="1:13" s="116" customFormat="1">
      <c r="A467" s="377">
        <v>12</v>
      </c>
      <c r="B467" s="410" t="s">
        <v>629</v>
      </c>
      <c r="C467" s="397" t="s">
        <v>71</v>
      </c>
      <c r="D467" s="413">
        <v>2</v>
      </c>
      <c r="E467" s="397">
        <v>1</v>
      </c>
      <c r="F467" s="395">
        <v>0.23</v>
      </c>
      <c r="G467" s="395">
        <v>1.1850000000000001</v>
      </c>
      <c r="H467" s="395">
        <v>0.45</v>
      </c>
      <c r="I467" s="475">
        <f t="shared" si="24"/>
        <v>0.24529500000000001</v>
      </c>
      <c r="J467" s="729"/>
      <c r="L467" s="396"/>
      <c r="M467" s="396"/>
    </row>
    <row r="468" spans="1:13" s="116" customFormat="1">
      <c r="A468" s="377">
        <v>13</v>
      </c>
      <c r="B468" s="410" t="s">
        <v>630</v>
      </c>
      <c r="C468" s="397" t="s">
        <v>71</v>
      </c>
      <c r="D468" s="413">
        <v>1</v>
      </c>
      <c r="E468" s="397">
        <v>1</v>
      </c>
      <c r="F468" s="395">
        <v>0.23</v>
      </c>
      <c r="G468" s="395">
        <v>1.855</v>
      </c>
      <c r="H468" s="395">
        <v>0.45</v>
      </c>
      <c r="I468" s="475">
        <f t="shared" si="24"/>
        <v>0.19199250000000001</v>
      </c>
      <c r="J468" s="729"/>
      <c r="L468" s="396"/>
      <c r="M468" s="396"/>
    </row>
    <row r="469" spans="1:13" s="116" customFormat="1">
      <c r="A469" s="377">
        <v>14</v>
      </c>
      <c r="B469" s="410" t="s">
        <v>631</v>
      </c>
      <c r="C469" s="397" t="s">
        <v>71</v>
      </c>
      <c r="D469" s="413">
        <v>1</v>
      </c>
      <c r="E469" s="397">
        <v>1</v>
      </c>
      <c r="F469" s="395">
        <v>0.23</v>
      </c>
      <c r="G469" s="395">
        <v>3.6</v>
      </c>
      <c r="H469" s="395">
        <v>0.45</v>
      </c>
      <c r="I469" s="475">
        <f t="shared" si="24"/>
        <v>0.37260000000000004</v>
      </c>
      <c r="J469" s="729"/>
      <c r="L469" s="396"/>
      <c r="M469" s="396"/>
    </row>
    <row r="470" spans="1:13" s="116" customFormat="1">
      <c r="A470" s="377">
        <v>15</v>
      </c>
      <c r="B470" s="410" t="s">
        <v>632</v>
      </c>
      <c r="C470" s="397" t="s">
        <v>71</v>
      </c>
      <c r="D470" s="413">
        <v>3</v>
      </c>
      <c r="E470" s="397">
        <v>1</v>
      </c>
      <c r="F470" s="395">
        <v>0.23</v>
      </c>
      <c r="G470" s="395">
        <v>0.65</v>
      </c>
      <c r="H470" s="395">
        <v>0.45</v>
      </c>
      <c r="I470" s="475">
        <f t="shared" si="24"/>
        <v>0.20182500000000003</v>
      </c>
      <c r="J470" s="729"/>
      <c r="L470" s="396"/>
      <c r="M470" s="396"/>
    </row>
    <row r="471" spans="1:13" s="116" customFormat="1">
      <c r="A471" s="377">
        <v>16</v>
      </c>
      <c r="B471" s="410"/>
      <c r="C471" s="397" t="s">
        <v>71</v>
      </c>
      <c r="D471" s="413">
        <v>3</v>
      </c>
      <c r="E471" s="397">
        <v>1</v>
      </c>
      <c r="F471" s="395">
        <v>0.23</v>
      </c>
      <c r="G471" s="395">
        <f>1.85-0.23</f>
        <v>1.62</v>
      </c>
      <c r="H471" s="395">
        <v>0.45</v>
      </c>
      <c r="I471" s="475">
        <f t="shared" si="24"/>
        <v>0.50301000000000007</v>
      </c>
      <c r="J471" s="729"/>
      <c r="L471" s="396"/>
      <c r="M471" s="396"/>
    </row>
    <row r="472" spans="1:13" s="116" customFormat="1">
      <c r="A472" s="377">
        <v>17</v>
      </c>
      <c r="B472" s="410" t="s">
        <v>633</v>
      </c>
      <c r="C472" s="397" t="s">
        <v>71</v>
      </c>
      <c r="D472" s="413">
        <v>1</v>
      </c>
      <c r="E472" s="397">
        <v>1</v>
      </c>
      <c r="F472" s="395">
        <v>0.23</v>
      </c>
      <c r="G472" s="395">
        <v>3.4449999999999998</v>
      </c>
      <c r="H472" s="395">
        <v>0.45</v>
      </c>
      <c r="I472" s="475">
        <f t="shared" si="24"/>
        <v>0.35655750000000003</v>
      </c>
      <c r="J472" s="729"/>
      <c r="L472" s="396"/>
      <c r="M472" s="396"/>
    </row>
    <row r="473" spans="1:13" s="116" customFormat="1">
      <c r="A473" s="377">
        <v>18</v>
      </c>
      <c r="B473" s="410" t="s">
        <v>634</v>
      </c>
      <c r="C473" s="397" t="s">
        <v>71</v>
      </c>
      <c r="D473" s="413">
        <v>1</v>
      </c>
      <c r="E473" s="397">
        <v>1</v>
      </c>
      <c r="F473" s="395">
        <v>0.23</v>
      </c>
      <c r="G473" s="395">
        <v>4.0650000000000004</v>
      </c>
      <c r="H473" s="395">
        <v>0.45</v>
      </c>
      <c r="I473" s="475">
        <f t="shared" si="24"/>
        <v>0.42072750000000009</v>
      </c>
      <c r="J473" s="729"/>
      <c r="L473" s="396"/>
      <c r="M473" s="396"/>
    </row>
    <row r="474" spans="1:13" s="116" customFormat="1">
      <c r="A474" s="377">
        <v>19</v>
      </c>
      <c r="B474" s="410" t="s">
        <v>635</v>
      </c>
      <c r="C474" s="397" t="s">
        <v>71</v>
      </c>
      <c r="D474" s="413">
        <v>1</v>
      </c>
      <c r="E474" s="397">
        <v>1</v>
      </c>
      <c r="F474" s="395">
        <v>0.23</v>
      </c>
      <c r="G474" s="395">
        <v>0.65</v>
      </c>
      <c r="H474" s="395">
        <v>0.45</v>
      </c>
      <c r="I474" s="475">
        <f t="shared" si="24"/>
        <v>6.7275000000000015E-2</v>
      </c>
      <c r="J474" s="729"/>
      <c r="L474" s="396"/>
      <c r="M474" s="396"/>
    </row>
    <row r="475" spans="1:13" s="116" customFormat="1">
      <c r="A475" s="377">
        <v>20</v>
      </c>
      <c r="B475" s="410"/>
      <c r="C475" s="397" t="s">
        <v>71</v>
      </c>
      <c r="D475" s="413">
        <v>1</v>
      </c>
      <c r="E475" s="397">
        <v>1</v>
      </c>
      <c r="F475" s="395">
        <v>0.23</v>
      </c>
      <c r="G475" s="395">
        <f>1.535-0.23</f>
        <v>1.3049999999999999</v>
      </c>
      <c r="H475" s="395">
        <v>0.45</v>
      </c>
      <c r="I475" s="475">
        <f t="shared" si="24"/>
        <v>0.13506749999999998</v>
      </c>
      <c r="J475" s="729"/>
      <c r="L475" s="396"/>
      <c r="M475" s="396"/>
    </row>
    <row r="476" spans="1:13" s="116" customFormat="1">
      <c r="A476" s="377">
        <v>21</v>
      </c>
      <c r="B476" s="410" t="s">
        <v>636</v>
      </c>
      <c r="C476" s="397" t="s">
        <v>71</v>
      </c>
      <c r="D476" s="413">
        <v>1</v>
      </c>
      <c r="E476" s="397">
        <v>1</v>
      </c>
      <c r="F476" s="395">
        <v>0.2</v>
      </c>
      <c r="G476" s="395">
        <v>3.4449999999999998</v>
      </c>
      <c r="H476" s="395">
        <v>0.45</v>
      </c>
      <c r="I476" s="475">
        <f t="shared" si="24"/>
        <v>0.31005000000000005</v>
      </c>
      <c r="J476" s="729"/>
      <c r="L476" s="396"/>
      <c r="M476" s="396"/>
    </row>
    <row r="477" spans="1:13" s="116" customFormat="1">
      <c r="A477" s="397"/>
      <c r="B477" s="410"/>
      <c r="C477" s="397"/>
      <c r="D477" s="413"/>
      <c r="E477" s="397"/>
      <c r="F477" s="395"/>
      <c r="G477" s="395"/>
      <c r="H477" s="395"/>
      <c r="I477" s="580">
        <f>SUBTOTAL(9,I456:I476)</f>
        <v>8.6481900000000014</v>
      </c>
      <c r="J477" s="729"/>
      <c r="L477" s="396"/>
      <c r="M477" s="396"/>
    </row>
    <row r="478" spans="1:13" s="116" customFormat="1">
      <c r="A478" s="397"/>
      <c r="B478" s="410"/>
      <c r="C478" s="397"/>
      <c r="D478" s="413"/>
      <c r="E478" s="397"/>
      <c r="F478" s="395"/>
      <c r="G478" s="395"/>
      <c r="H478" s="395"/>
      <c r="I478" s="580">
        <f>SUBTOTAL(9,I263:I477)</f>
        <v>153.79330462499996</v>
      </c>
      <c r="J478" s="729"/>
      <c r="L478" s="396"/>
      <c r="M478" s="396"/>
    </row>
    <row r="479" spans="1:13">
      <c r="A479" s="167"/>
      <c r="B479" s="167"/>
      <c r="C479" s="167"/>
      <c r="D479" s="587"/>
      <c r="E479" s="167"/>
      <c r="F479" s="167"/>
      <c r="G479" s="167"/>
      <c r="H479" s="167"/>
      <c r="I479" s="580"/>
      <c r="J479" s="729"/>
    </row>
    <row r="480" spans="1:13" ht="15.75">
      <c r="A480" s="167"/>
      <c r="B480" s="167"/>
      <c r="C480" s="167"/>
      <c r="D480" s="167"/>
      <c r="E480" s="167"/>
      <c r="F480" s="167"/>
      <c r="G480" s="167"/>
      <c r="H480" s="167"/>
      <c r="I480" s="597">
        <f>SUBTOTAL(9,I222:I479)</f>
        <v>204.71428462499998</v>
      </c>
      <c r="J480" s="729"/>
    </row>
    <row r="482" spans="1:10">
      <c r="A482" s="167"/>
      <c r="B482" s="584" t="s">
        <v>956</v>
      </c>
      <c r="C482" s="267"/>
      <c r="D482" s="167"/>
      <c r="E482" s="167"/>
      <c r="F482" s="167"/>
      <c r="G482" s="167"/>
      <c r="H482" s="477"/>
      <c r="I482" s="581"/>
      <c r="J482" s="757" t="s">
        <v>1287</v>
      </c>
    </row>
    <row r="483" spans="1:10">
      <c r="A483" s="167"/>
      <c r="B483" s="267"/>
      <c r="C483" s="267"/>
      <c r="D483" s="167"/>
      <c r="E483" s="167"/>
      <c r="F483" s="167"/>
      <c r="G483" s="167"/>
      <c r="H483" s="477"/>
      <c r="I483" s="581"/>
      <c r="J483" s="758"/>
    </row>
    <row r="484" spans="1:10">
      <c r="A484" s="167"/>
      <c r="B484" s="167" t="s">
        <v>958</v>
      </c>
      <c r="C484" s="397" t="s">
        <v>71</v>
      </c>
      <c r="D484" s="645">
        <v>1</v>
      </c>
      <c r="E484" s="251">
        <v>1</v>
      </c>
      <c r="F484" s="595">
        <v>3.0249999999999999</v>
      </c>
      <c r="G484" s="235">
        <v>0.5</v>
      </c>
      <c r="H484" s="235">
        <v>0.2</v>
      </c>
      <c r="I484" s="582">
        <f t="shared" ref="I484:I547" si="25">+PRODUCT(D484:H484)</f>
        <v>0.30249999999999999</v>
      </c>
      <c r="J484" s="758"/>
    </row>
    <row r="485" spans="1:10">
      <c r="A485" s="167"/>
      <c r="B485" s="167" t="s">
        <v>958</v>
      </c>
      <c r="C485" s="397" t="s">
        <v>71</v>
      </c>
      <c r="D485" s="645">
        <v>1</v>
      </c>
      <c r="E485" s="251">
        <v>1</v>
      </c>
      <c r="F485" s="595">
        <v>2.8</v>
      </c>
      <c r="G485" s="235">
        <v>0.5</v>
      </c>
      <c r="H485" s="235">
        <v>0.2</v>
      </c>
      <c r="I485" s="582">
        <f t="shared" si="25"/>
        <v>0.27999999999999997</v>
      </c>
      <c r="J485" s="758"/>
    </row>
    <row r="486" spans="1:10">
      <c r="A486" s="167"/>
      <c r="B486" s="167" t="s">
        <v>959</v>
      </c>
      <c r="C486" s="397" t="s">
        <v>71</v>
      </c>
      <c r="D486" s="645">
        <v>1</v>
      </c>
      <c r="E486" s="251">
        <v>1</v>
      </c>
      <c r="F486" s="595">
        <v>3.3</v>
      </c>
      <c r="G486" s="235">
        <v>0.5</v>
      </c>
      <c r="H486" s="235">
        <v>0.2</v>
      </c>
      <c r="I486" s="582">
        <f t="shared" si="25"/>
        <v>0.33</v>
      </c>
      <c r="J486" s="758"/>
    </row>
    <row r="487" spans="1:10">
      <c r="A487" s="167"/>
      <c r="B487" s="167" t="s">
        <v>999</v>
      </c>
      <c r="C487" s="397" t="s">
        <v>71</v>
      </c>
      <c r="D487" s="645">
        <v>1</v>
      </c>
      <c r="E487" s="251">
        <v>1</v>
      </c>
      <c r="F487" s="595">
        <v>1.395</v>
      </c>
      <c r="G487" s="235">
        <v>0.35</v>
      </c>
      <c r="H487" s="235">
        <v>0.1</v>
      </c>
      <c r="I487" s="582">
        <f t="shared" si="25"/>
        <v>4.8825E-2</v>
      </c>
      <c r="J487" s="758"/>
    </row>
    <row r="488" spans="1:10">
      <c r="A488" s="167"/>
      <c r="B488" s="167" t="s">
        <v>1000</v>
      </c>
      <c r="C488" s="397" t="s">
        <v>71</v>
      </c>
      <c r="D488" s="645">
        <v>1</v>
      </c>
      <c r="E488" s="251">
        <v>1</v>
      </c>
      <c r="F488" s="595">
        <v>1.395</v>
      </c>
      <c r="G488" s="235">
        <v>0.35</v>
      </c>
      <c r="H488" s="235">
        <v>0.115</v>
      </c>
      <c r="I488" s="582">
        <f t="shared" si="25"/>
        <v>5.6148749999999997E-2</v>
      </c>
      <c r="J488" s="758"/>
    </row>
    <row r="489" spans="1:10">
      <c r="A489" s="167"/>
      <c r="B489" s="167" t="s">
        <v>996</v>
      </c>
      <c r="C489" s="397" t="s">
        <v>71</v>
      </c>
      <c r="D489" s="645">
        <v>1</v>
      </c>
      <c r="E489" s="251">
        <v>1</v>
      </c>
      <c r="F489" s="595">
        <v>1.1850000000000001</v>
      </c>
      <c r="G489" s="235">
        <v>0.35</v>
      </c>
      <c r="H489" s="235">
        <v>0.1</v>
      </c>
      <c r="I489" s="582">
        <f t="shared" si="25"/>
        <v>4.1475000000000005E-2</v>
      </c>
      <c r="J489" s="758"/>
    </row>
    <row r="490" spans="1:10">
      <c r="A490" s="167"/>
      <c r="B490" s="167" t="s">
        <v>997</v>
      </c>
      <c r="C490" s="397" t="s">
        <v>71</v>
      </c>
      <c r="D490" s="645">
        <v>1</v>
      </c>
      <c r="E490" s="251">
        <v>3</v>
      </c>
      <c r="F490" s="595">
        <f>0.515+1.54</f>
        <v>2.0550000000000002</v>
      </c>
      <c r="G490" s="235">
        <v>0.35</v>
      </c>
      <c r="H490" s="235">
        <v>0.1</v>
      </c>
      <c r="I490" s="582">
        <f t="shared" si="25"/>
        <v>0.21577500000000002</v>
      </c>
      <c r="J490" s="758"/>
    </row>
    <row r="491" spans="1:10">
      <c r="A491" s="167"/>
      <c r="B491" s="167" t="s">
        <v>1001</v>
      </c>
      <c r="C491" s="397" t="s">
        <v>71</v>
      </c>
      <c r="D491" s="645">
        <v>1</v>
      </c>
      <c r="E491" s="251">
        <v>3</v>
      </c>
      <c r="F491" s="595">
        <f>1.07+0.415</f>
        <v>1.4850000000000001</v>
      </c>
      <c r="G491" s="235">
        <v>0.35</v>
      </c>
      <c r="H491" s="235">
        <v>0.1</v>
      </c>
      <c r="I491" s="582">
        <f t="shared" si="25"/>
        <v>0.15592500000000001</v>
      </c>
      <c r="J491" s="758"/>
    </row>
    <row r="492" spans="1:10">
      <c r="A492" s="167"/>
      <c r="B492" s="167" t="s">
        <v>998</v>
      </c>
      <c r="C492" s="397" t="s">
        <v>71</v>
      </c>
      <c r="D492" s="645">
        <v>1</v>
      </c>
      <c r="E492" s="251">
        <v>3</v>
      </c>
      <c r="F492" s="595">
        <f>1.9+0.415</f>
        <v>2.3149999999999999</v>
      </c>
      <c r="G492" s="235">
        <v>0.35</v>
      </c>
      <c r="H492" s="235">
        <v>0.1</v>
      </c>
      <c r="I492" s="582">
        <f t="shared" si="25"/>
        <v>0.24307499999999999</v>
      </c>
      <c r="J492" s="758"/>
    </row>
    <row r="493" spans="1:10">
      <c r="A493" s="167"/>
      <c r="B493" s="167" t="s">
        <v>1002</v>
      </c>
      <c r="C493" s="397" t="s">
        <v>71</v>
      </c>
      <c r="D493" s="645">
        <v>1</v>
      </c>
      <c r="E493" s="251">
        <v>2</v>
      </c>
      <c r="F493" s="595">
        <v>2.3149999999999999</v>
      </c>
      <c r="G493" s="235">
        <v>0.35</v>
      </c>
      <c r="H493" s="235">
        <v>0.1</v>
      </c>
      <c r="I493" s="582">
        <f t="shared" si="25"/>
        <v>0.16205</v>
      </c>
      <c r="J493" s="758"/>
    </row>
    <row r="494" spans="1:10">
      <c r="A494" s="167"/>
      <c r="B494" s="167" t="s">
        <v>1003</v>
      </c>
      <c r="C494" s="397" t="s">
        <v>71</v>
      </c>
      <c r="D494" s="645">
        <v>1</v>
      </c>
      <c r="E494" s="251">
        <v>2</v>
      </c>
      <c r="F494" s="595">
        <v>1.395</v>
      </c>
      <c r="G494" s="235">
        <v>0.35</v>
      </c>
      <c r="H494" s="235">
        <v>0.2</v>
      </c>
      <c r="I494" s="582">
        <f t="shared" si="25"/>
        <v>0.1953</v>
      </c>
      <c r="J494" s="758"/>
    </row>
    <row r="495" spans="1:10">
      <c r="A495" s="167"/>
      <c r="B495" s="167" t="s">
        <v>960</v>
      </c>
      <c r="C495" s="397" t="s">
        <v>71</v>
      </c>
      <c r="D495" s="645">
        <v>1</v>
      </c>
      <c r="E495" s="251">
        <v>1</v>
      </c>
      <c r="F495" s="595">
        <v>6.875</v>
      </c>
      <c r="G495" s="235">
        <v>0.45</v>
      </c>
      <c r="H495" s="235">
        <v>0.2</v>
      </c>
      <c r="I495" s="582">
        <f t="shared" si="25"/>
        <v>0.61875000000000002</v>
      </c>
      <c r="J495" s="758"/>
    </row>
    <row r="496" spans="1:10">
      <c r="A496" s="167"/>
      <c r="B496" s="167" t="s">
        <v>1005</v>
      </c>
      <c r="C496" s="397" t="s">
        <v>71</v>
      </c>
      <c r="D496" s="645">
        <v>1</v>
      </c>
      <c r="E496" s="251">
        <v>1</v>
      </c>
      <c r="F496" s="595">
        <v>3.16</v>
      </c>
      <c r="G496" s="235">
        <v>0.35</v>
      </c>
      <c r="H496" s="235">
        <v>0.23</v>
      </c>
      <c r="I496" s="582">
        <f t="shared" si="25"/>
        <v>0.25438</v>
      </c>
      <c r="J496" s="758"/>
    </row>
    <row r="497" spans="1:10">
      <c r="A497" s="167"/>
      <c r="B497" s="167" t="s">
        <v>961</v>
      </c>
      <c r="C497" s="397" t="s">
        <v>71</v>
      </c>
      <c r="D497" s="645">
        <v>1</v>
      </c>
      <c r="E497" s="251">
        <v>1</v>
      </c>
      <c r="F497" s="595">
        <v>2.7</v>
      </c>
      <c r="G497" s="235">
        <v>0.45</v>
      </c>
      <c r="H497" s="235">
        <v>0.2</v>
      </c>
      <c r="I497" s="582">
        <f t="shared" si="25"/>
        <v>0.24300000000000002</v>
      </c>
      <c r="J497" s="758"/>
    </row>
    <row r="498" spans="1:10">
      <c r="A498" s="167"/>
      <c r="B498" s="167" t="s">
        <v>962</v>
      </c>
      <c r="C498" s="397" t="s">
        <v>71</v>
      </c>
      <c r="D498" s="645">
        <v>1</v>
      </c>
      <c r="E498" s="251">
        <v>1</v>
      </c>
      <c r="F498" s="595">
        <v>2.875</v>
      </c>
      <c r="G498" s="235">
        <v>0.5</v>
      </c>
      <c r="H498" s="235">
        <v>0.2</v>
      </c>
      <c r="I498" s="582">
        <f t="shared" si="25"/>
        <v>0.28750000000000003</v>
      </c>
      <c r="J498" s="758"/>
    </row>
    <row r="499" spans="1:10">
      <c r="A499" s="167"/>
      <c r="B499" s="167" t="s">
        <v>963</v>
      </c>
      <c r="C499" s="397" t="s">
        <v>71</v>
      </c>
      <c r="D499" s="645">
        <v>1</v>
      </c>
      <c r="E499" s="251">
        <v>1</v>
      </c>
      <c r="F499" s="595">
        <v>2.93</v>
      </c>
      <c r="G499" s="235">
        <v>0.35</v>
      </c>
      <c r="H499" s="235">
        <v>0.2</v>
      </c>
      <c r="I499" s="582">
        <f t="shared" si="25"/>
        <v>0.20510000000000003</v>
      </c>
      <c r="J499" s="758"/>
    </row>
    <row r="500" spans="1:10">
      <c r="A500" s="167"/>
      <c r="B500" s="167" t="s">
        <v>964</v>
      </c>
      <c r="C500" s="397" t="s">
        <v>71</v>
      </c>
      <c r="D500" s="645">
        <v>1</v>
      </c>
      <c r="E500" s="251">
        <v>1</v>
      </c>
      <c r="F500" s="595">
        <v>4.6900000000000004</v>
      </c>
      <c r="G500" s="235">
        <v>0.5</v>
      </c>
      <c r="H500" s="235">
        <v>0.2</v>
      </c>
      <c r="I500" s="582">
        <f t="shared" si="25"/>
        <v>0.46900000000000008</v>
      </c>
      <c r="J500" s="758"/>
    </row>
    <row r="501" spans="1:10">
      <c r="A501" s="167"/>
      <c r="B501" s="167" t="s">
        <v>965</v>
      </c>
      <c r="C501" s="397" t="s">
        <v>71</v>
      </c>
      <c r="D501" s="645">
        <v>1</v>
      </c>
      <c r="E501" s="251">
        <v>1</v>
      </c>
      <c r="F501" s="595">
        <v>3.15</v>
      </c>
      <c r="G501" s="235">
        <v>0.5</v>
      </c>
      <c r="H501" s="235">
        <v>0.2</v>
      </c>
      <c r="I501" s="582">
        <f t="shared" si="25"/>
        <v>0.315</v>
      </c>
      <c r="J501" s="758"/>
    </row>
    <row r="502" spans="1:10">
      <c r="A502" s="167"/>
      <c r="B502" s="167" t="s">
        <v>966</v>
      </c>
      <c r="C502" s="397" t="s">
        <v>71</v>
      </c>
      <c r="D502" s="645">
        <v>1</v>
      </c>
      <c r="E502" s="251">
        <v>1</v>
      </c>
      <c r="F502" s="595">
        <v>4.6900000000000004</v>
      </c>
      <c r="G502" s="235">
        <v>0.45</v>
      </c>
      <c r="H502" s="235">
        <v>0.2</v>
      </c>
      <c r="I502" s="582">
        <f t="shared" si="25"/>
        <v>0.42210000000000003</v>
      </c>
      <c r="J502" s="758"/>
    </row>
    <row r="503" spans="1:10">
      <c r="A503" s="167"/>
      <c r="B503" s="167" t="s">
        <v>967</v>
      </c>
      <c r="C503" s="397" t="s">
        <v>71</v>
      </c>
      <c r="D503" s="645">
        <v>1</v>
      </c>
      <c r="E503" s="251">
        <v>1</v>
      </c>
      <c r="F503" s="595">
        <v>5.76</v>
      </c>
      <c r="G503" s="235">
        <v>0.45</v>
      </c>
      <c r="H503" s="235">
        <v>0.2</v>
      </c>
      <c r="I503" s="582">
        <f t="shared" si="25"/>
        <v>0.51840000000000008</v>
      </c>
      <c r="J503" s="758"/>
    </row>
    <row r="504" spans="1:10">
      <c r="A504" s="167"/>
      <c r="B504" s="167" t="s">
        <v>968</v>
      </c>
      <c r="C504" s="397" t="s">
        <v>71</v>
      </c>
      <c r="D504" s="645">
        <v>1</v>
      </c>
      <c r="E504" s="251">
        <v>1</v>
      </c>
      <c r="F504" s="595">
        <v>1.6</v>
      </c>
      <c r="G504" s="235">
        <v>0.35</v>
      </c>
      <c r="H504" s="235">
        <v>0.2</v>
      </c>
      <c r="I504" s="582">
        <f t="shared" si="25"/>
        <v>0.11199999999999999</v>
      </c>
      <c r="J504" s="758"/>
    </row>
    <row r="505" spans="1:10">
      <c r="A505" s="167"/>
      <c r="B505" s="167" t="s">
        <v>969</v>
      </c>
      <c r="C505" s="397" t="s">
        <v>71</v>
      </c>
      <c r="D505" s="645">
        <v>1</v>
      </c>
      <c r="E505" s="251">
        <v>1</v>
      </c>
      <c r="F505" s="595">
        <v>4.1050000000000004</v>
      </c>
      <c r="G505" s="235">
        <v>0.45</v>
      </c>
      <c r="H505" s="235">
        <v>0.2</v>
      </c>
      <c r="I505" s="582">
        <f t="shared" si="25"/>
        <v>0.36945000000000006</v>
      </c>
      <c r="J505" s="758"/>
    </row>
    <row r="506" spans="1:10">
      <c r="A506" s="167"/>
      <c r="B506" s="167" t="s">
        <v>970</v>
      </c>
      <c r="C506" s="397" t="s">
        <v>71</v>
      </c>
      <c r="D506" s="645">
        <v>1</v>
      </c>
      <c r="E506" s="251">
        <v>1</v>
      </c>
      <c r="F506" s="595">
        <v>1.5</v>
      </c>
      <c r="G506" s="235">
        <v>0.45</v>
      </c>
      <c r="H506" s="235">
        <v>0.2</v>
      </c>
      <c r="I506" s="582">
        <f t="shared" si="25"/>
        <v>0.13500000000000001</v>
      </c>
      <c r="J506" s="758"/>
    </row>
    <row r="507" spans="1:10">
      <c r="A507" s="167"/>
      <c r="B507" s="167" t="s">
        <v>970</v>
      </c>
      <c r="C507" s="397" t="s">
        <v>71</v>
      </c>
      <c r="D507" s="645">
        <v>1</v>
      </c>
      <c r="E507" s="251">
        <v>1</v>
      </c>
      <c r="F507" s="595">
        <v>2.2000000000000002</v>
      </c>
      <c r="G507" s="235">
        <v>0.45</v>
      </c>
      <c r="H507" s="235">
        <v>0.2</v>
      </c>
      <c r="I507" s="582">
        <f t="shared" si="25"/>
        <v>0.19800000000000004</v>
      </c>
      <c r="J507" s="758"/>
    </row>
    <row r="508" spans="1:10">
      <c r="A508" s="167"/>
      <c r="B508" s="167" t="s">
        <v>971</v>
      </c>
      <c r="C508" s="397" t="s">
        <v>71</v>
      </c>
      <c r="D508" s="645">
        <v>1</v>
      </c>
      <c r="E508" s="251">
        <v>1</v>
      </c>
      <c r="F508" s="595">
        <v>3.1150000000000002</v>
      </c>
      <c r="G508" s="235">
        <v>0.5</v>
      </c>
      <c r="H508" s="235">
        <v>0.2</v>
      </c>
      <c r="I508" s="582">
        <f t="shared" si="25"/>
        <v>0.31150000000000005</v>
      </c>
      <c r="J508" s="758"/>
    </row>
    <row r="509" spans="1:10">
      <c r="A509" s="167"/>
      <c r="B509" s="167" t="s">
        <v>972</v>
      </c>
      <c r="C509" s="397" t="s">
        <v>71</v>
      </c>
      <c r="D509" s="645">
        <v>1</v>
      </c>
      <c r="E509" s="251">
        <v>3</v>
      </c>
      <c r="F509" s="595">
        <v>1.02</v>
      </c>
      <c r="G509" s="235">
        <v>0.35</v>
      </c>
      <c r="H509" s="235">
        <v>0.2</v>
      </c>
      <c r="I509" s="582">
        <f t="shared" si="25"/>
        <v>0.2142</v>
      </c>
      <c r="J509" s="758"/>
    </row>
    <row r="510" spans="1:10">
      <c r="A510" s="167"/>
      <c r="B510" s="167" t="s">
        <v>973</v>
      </c>
      <c r="C510" s="397" t="s">
        <v>71</v>
      </c>
      <c r="D510" s="645">
        <v>1</v>
      </c>
      <c r="E510" s="251">
        <v>3</v>
      </c>
      <c r="F510" s="595">
        <v>3.35</v>
      </c>
      <c r="G510" s="235">
        <v>0.5</v>
      </c>
      <c r="H510" s="235">
        <v>0.2</v>
      </c>
      <c r="I510" s="582">
        <f t="shared" si="25"/>
        <v>1.0050000000000001</v>
      </c>
      <c r="J510" s="758"/>
    </row>
    <row r="511" spans="1:10">
      <c r="A511" s="167"/>
      <c r="B511" s="167" t="s">
        <v>973</v>
      </c>
      <c r="C511" s="397" t="s">
        <v>71</v>
      </c>
      <c r="D511" s="645">
        <v>1</v>
      </c>
      <c r="E511" s="251">
        <v>3</v>
      </c>
      <c r="F511" s="595">
        <v>3.25</v>
      </c>
      <c r="G511" s="235">
        <v>0.5</v>
      </c>
      <c r="H511" s="235">
        <v>0.2</v>
      </c>
      <c r="I511" s="582">
        <f t="shared" si="25"/>
        <v>0.97500000000000009</v>
      </c>
      <c r="J511" s="758"/>
    </row>
    <row r="512" spans="1:10">
      <c r="A512" s="167"/>
      <c r="B512" s="167" t="s">
        <v>974</v>
      </c>
      <c r="C512" s="397" t="s">
        <v>71</v>
      </c>
      <c r="D512" s="645">
        <v>1</v>
      </c>
      <c r="E512" s="251">
        <v>1</v>
      </c>
      <c r="F512" s="595">
        <v>3.2149999999999999</v>
      </c>
      <c r="G512" s="235">
        <v>0.5</v>
      </c>
      <c r="H512" s="235">
        <v>0.2</v>
      </c>
      <c r="I512" s="582">
        <f t="shared" si="25"/>
        <v>0.32150000000000001</v>
      </c>
      <c r="J512" s="758"/>
    </row>
    <row r="513" spans="1:10">
      <c r="A513" s="167"/>
      <c r="B513" s="167" t="s">
        <v>975</v>
      </c>
      <c r="C513" s="397" t="s">
        <v>71</v>
      </c>
      <c r="D513" s="645">
        <v>1</v>
      </c>
      <c r="E513" s="251">
        <v>1</v>
      </c>
      <c r="F513" s="595">
        <v>2.76</v>
      </c>
      <c r="G513" s="235">
        <v>0.5</v>
      </c>
      <c r="H513" s="235">
        <v>0.23</v>
      </c>
      <c r="I513" s="582">
        <f t="shared" si="25"/>
        <v>0.31740000000000002</v>
      </c>
      <c r="J513" s="758"/>
    </row>
    <row r="514" spans="1:10">
      <c r="A514" s="167"/>
      <c r="B514" s="167" t="s">
        <v>976</v>
      </c>
      <c r="C514" s="397" t="s">
        <v>71</v>
      </c>
      <c r="D514" s="645">
        <v>1</v>
      </c>
      <c r="E514" s="251">
        <v>1</v>
      </c>
      <c r="F514" s="595">
        <v>6.79</v>
      </c>
      <c r="G514" s="235">
        <v>0.45</v>
      </c>
      <c r="H514" s="235">
        <v>0.2</v>
      </c>
      <c r="I514" s="582">
        <f t="shared" si="25"/>
        <v>0.61109999999999998</v>
      </c>
      <c r="J514" s="758"/>
    </row>
    <row r="515" spans="1:10">
      <c r="A515" s="167"/>
      <c r="B515" s="167" t="s">
        <v>977</v>
      </c>
      <c r="C515" s="397" t="s">
        <v>71</v>
      </c>
      <c r="D515" s="645">
        <v>1</v>
      </c>
      <c r="E515" s="251">
        <v>1</v>
      </c>
      <c r="F515" s="595">
        <v>2.41</v>
      </c>
      <c r="G515" s="235">
        <v>0.35</v>
      </c>
      <c r="H515" s="235">
        <v>0.2</v>
      </c>
      <c r="I515" s="582">
        <f t="shared" si="25"/>
        <v>0.16870000000000002</v>
      </c>
      <c r="J515" s="758"/>
    </row>
    <row r="516" spans="1:10">
      <c r="A516" s="167"/>
      <c r="B516" s="167" t="s">
        <v>1004</v>
      </c>
      <c r="C516" s="397" t="s">
        <v>71</v>
      </c>
      <c r="D516" s="645">
        <v>1</v>
      </c>
      <c r="E516" s="251">
        <v>1</v>
      </c>
      <c r="F516" s="595">
        <v>5.76</v>
      </c>
      <c r="G516" s="235">
        <v>0.45</v>
      </c>
      <c r="H516" s="235">
        <v>0.23</v>
      </c>
      <c r="I516" s="582">
        <f t="shared" si="25"/>
        <v>0.59616000000000002</v>
      </c>
      <c r="J516" s="758"/>
    </row>
    <row r="517" spans="1:10">
      <c r="A517" s="167"/>
      <c r="B517" s="167" t="s">
        <v>978</v>
      </c>
      <c r="C517" s="397" t="s">
        <v>71</v>
      </c>
      <c r="D517" s="645">
        <v>1</v>
      </c>
      <c r="E517" s="251">
        <v>1</v>
      </c>
      <c r="F517" s="595">
        <v>4.6900000000000004</v>
      </c>
      <c r="G517" s="235">
        <v>0.45</v>
      </c>
      <c r="H517" s="235">
        <v>0.2</v>
      </c>
      <c r="I517" s="582">
        <f t="shared" si="25"/>
        <v>0.42210000000000003</v>
      </c>
      <c r="J517" s="758"/>
    </row>
    <row r="518" spans="1:10">
      <c r="A518" s="167"/>
      <c r="B518" s="167" t="s">
        <v>979</v>
      </c>
      <c r="C518" s="397" t="s">
        <v>71</v>
      </c>
      <c r="D518" s="645">
        <v>1</v>
      </c>
      <c r="E518" s="251">
        <v>1</v>
      </c>
      <c r="F518" s="595">
        <v>2.2200000000000002</v>
      </c>
      <c r="G518" s="235">
        <v>0.45</v>
      </c>
      <c r="H518" s="235">
        <v>0.2</v>
      </c>
      <c r="I518" s="582">
        <f t="shared" si="25"/>
        <v>0.19980000000000003</v>
      </c>
      <c r="J518" s="758"/>
    </row>
    <row r="519" spans="1:10">
      <c r="A519" s="167"/>
      <c r="B519" s="167" t="s">
        <v>980</v>
      </c>
      <c r="C519" s="397" t="s">
        <v>71</v>
      </c>
      <c r="D519" s="645">
        <v>1</v>
      </c>
      <c r="E519" s="251">
        <v>1</v>
      </c>
      <c r="F519" s="595">
        <v>5.63</v>
      </c>
      <c r="G519" s="235">
        <v>0.45</v>
      </c>
      <c r="H519" s="235">
        <v>0.2</v>
      </c>
      <c r="I519" s="582">
        <f t="shared" si="25"/>
        <v>0.50670000000000004</v>
      </c>
      <c r="J519" s="758"/>
    </row>
    <row r="520" spans="1:10">
      <c r="A520" s="167"/>
      <c r="B520" s="167" t="s">
        <v>981</v>
      </c>
      <c r="C520" s="397" t="s">
        <v>71</v>
      </c>
      <c r="D520" s="645">
        <v>1</v>
      </c>
      <c r="E520" s="251">
        <v>1</v>
      </c>
      <c r="F520" s="595">
        <v>1.5</v>
      </c>
      <c r="G520" s="235">
        <v>0.45</v>
      </c>
      <c r="H520" s="235">
        <v>0.2</v>
      </c>
      <c r="I520" s="582">
        <f t="shared" si="25"/>
        <v>0.13500000000000001</v>
      </c>
      <c r="J520" s="758"/>
    </row>
    <row r="521" spans="1:10">
      <c r="A521" s="167"/>
      <c r="B521" s="167" t="s">
        <v>1006</v>
      </c>
      <c r="C521" s="397" t="s">
        <v>71</v>
      </c>
      <c r="D521" s="645">
        <v>1</v>
      </c>
      <c r="E521" s="251">
        <v>1</v>
      </c>
      <c r="F521" s="595">
        <v>2.085</v>
      </c>
      <c r="G521" s="235">
        <v>0.5</v>
      </c>
      <c r="H521" s="235">
        <v>0.2</v>
      </c>
      <c r="I521" s="582">
        <f t="shared" si="25"/>
        <v>0.20850000000000002</v>
      </c>
      <c r="J521" s="758"/>
    </row>
    <row r="522" spans="1:10">
      <c r="A522" s="167"/>
      <c r="B522" s="167" t="s">
        <v>982</v>
      </c>
      <c r="C522" s="397" t="s">
        <v>71</v>
      </c>
      <c r="D522" s="645">
        <v>1</v>
      </c>
      <c r="E522" s="251">
        <v>1</v>
      </c>
      <c r="F522" s="595">
        <v>5.63</v>
      </c>
      <c r="G522" s="235">
        <v>0.45</v>
      </c>
      <c r="H522" s="235">
        <v>0.2</v>
      </c>
      <c r="I522" s="582">
        <f t="shared" si="25"/>
        <v>0.50670000000000004</v>
      </c>
      <c r="J522" s="758"/>
    </row>
    <row r="523" spans="1:10">
      <c r="A523" s="167"/>
      <c r="B523" s="167" t="s">
        <v>1007</v>
      </c>
      <c r="C523" s="397" t="s">
        <v>71</v>
      </c>
      <c r="D523" s="645">
        <v>1</v>
      </c>
      <c r="E523" s="251">
        <v>3</v>
      </c>
      <c r="F523" s="595">
        <v>3.2349999999999999</v>
      </c>
      <c r="G523" s="235">
        <v>0.45</v>
      </c>
      <c r="H523" s="235">
        <v>0.2</v>
      </c>
      <c r="I523" s="582">
        <f t="shared" si="25"/>
        <v>0.87345000000000006</v>
      </c>
      <c r="J523" s="758"/>
    </row>
    <row r="524" spans="1:10">
      <c r="A524" s="167"/>
      <c r="B524" s="167" t="s">
        <v>1007</v>
      </c>
      <c r="C524" s="397" t="s">
        <v>71</v>
      </c>
      <c r="D524" s="645">
        <v>1</v>
      </c>
      <c r="E524" s="251">
        <v>3</v>
      </c>
      <c r="F524" s="595">
        <v>4.72</v>
      </c>
      <c r="G524" s="235">
        <v>0.45</v>
      </c>
      <c r="H524" s="235">
        <v>0.2</v>
      </c>
      <c r="I524" s="582">
        <f t="shared" si="25"/>
        <v>1.2744</v>
      </c>
      <c r="J524" s="758"/>
    </row>
    <row r="525" spans="1:10">
      <c r="A525" s="167"/>
      <c r="B525" s="167" t="s">
        <v>1008</v>
      </c>
      <c r="C525" s="397" t="s">
        <v>71</v>
      </c>
      <c r="D525" s="645">
        <v>1</v>
      </c>
      <c r="E525" s="251">
        <v>3</v>
      </c>
      <c r="F525" s="595">
        <v>2.5750000000000002</v>
      </c>
      <c r="G525" s="235">
        <v>0.35</v>
      </c>
      <c r="H525" s="235">
        <v>0.2</v>
      </c>
      <c r="I525" s="582">
        <f t="shared" si="25"/>
        <v>0.54074999999999995</v>
      </c>
      <c r="J525" s="758"/>
    </row>
    <row r="526" spans="1:10">
      <c r="A526" s="167"/>
      <c r="B526" s="167" t="s">
        <v>1009</v>
      </c>
      <c r="C526" s="397" t="s">
        <v>71</v>
      </c>
      <c r="D526" s="645">
        <v>1</v>
      </c>
      <c r="E526" s="251">
        <v>3</v>
      </c>
      <c r="F526" s="595">
        <v>3.165</v>
      </c>
      <c r="G526" s="235">
        <v>0.5</v>
      </c>
      <c r="H526" s="235">
        <v>0.2</v>
      </c>
      <c r="I526" s="582">
        <f t="shared" si="25"/>
        <v>0.94950000000000012</v>
      </c>
      <c r="J526" s="758"/>
    </row>
    <row r="527" spans="1:10">
      <c r="A527" s="167"/>
      <c r="B527" s="167" t="s">
        <v>1010</v>
      </c>
      <c r="C527" s="397" t="s">
        <v>71</v>
      </c>
      <c r="D527" s="645">
        <v>1</v>
      </c>
      <c r="E527" s="251">
        <v>1</v>
      </c>
      <c r="F527" s="595">
        <v>5.125</v>
      </c>
      <c r="G527" s="235">
        <v>0.45</v>
      </c>
      <c r="H527" s="235">
        <v>0.2</v>
      </c>
      <c r="I527" s="582">
        <f t="shared" si="25"/>
        <v>0.46124999999999999</v>
      </c>
      <c r="J527" s="758"/>
    </row>
    <row r="528" spans="1:10">
      <c r="A528" s="167"/>
      <c r="B528" s="167" t="s">
        <v>983</v>
      </c>
      <c r="C528" s="397" t="s">
        <v>71</v>
      </c>
      <c r="D528" s="645">
        <v>1</v>
      </c>
      <c r="E528" s="251">
        <v>1</v>
      </c>
      <c r="F528" s="595">
        <v>1.9</v>
      </c>
      <c r="G528" s="235">
        <v>0.45</v>
      </c>
      <c r="H528" s="235">
        <v>0.2</v>
      </c>
      <c r="I528" s="582">
        <f t="shared" si="25"/>
        <v>0.17100000000000001</v>
      </c>
      <c r="J528" s="758"/>
    </row>
    <row r="529" spans="1:10">
      <c r="A529" s="167"/>
      <c r="B529" s="167" t="s">
        <v>983</v>
      </c>
      <c r="C529" s="397" t="s">
        <v>71</v>
      </c>
      <c r="D529" s="645">
        <v>1</v>
      </c>
      <c r="E529" s="251">
        <v>1</v>
      </c>
      <c r="F529" s="595">
        <v>1.9</v>
      </c>
      <c r="G529" s="235">
        <v>0.45</v>
      </c>
      <c r="H529" s="235">
        <v>0.2</v>
      </c>
      <c r="I529" s="582">
        <f t="shared" si="25"/>
        <v>0.17100000000000001</v>
      </c>
      <c r="J529" s="758"/>
    </row>
    <row r="530" spans="1:10">
      <c r="A530" s="167"/>
      <c r="B530" s="167" t="s">
        <v>983</v>
      </c>
      <c r="C530" s="397" t="s">
        <v>71</v>
      </c>
      <c r="D530" s="645">
        <v>1</v>
      </c>
      <c r="E530" s="251">
        <v>1</v>
      </c>
      <c r="F530" s="595">
        <v>1.4</v>
      </c>
      <c r="G530" s="235">
        <v>0.45</v>
      </c>
      <c r="H530" s="235">
        <v>0.2</v>
      </c>
      <c r="I530" s="582">
        <f t="shared" si="25"/>
        <v>0.126</v>
      </c>
      <c r="J530" s="758"/>
    </row>
    <row r="531" spans="1:10">
      <c r="A531" s="167"/>
      <c r="B531" s="167" t="s">
        <v>1011</v>
      </c>
      <c r="C531" s="397" t="s">
        <v>71</v>
      </c>
      <c r="D531" s="645">
        <v>1</v>
      </c>
      <c r="E531" s="251">
        <v>1</v>
      </c>
      <c r="F531" s="595">
        <v>2.93</v>
      </c>
      <c r="G531" s="235">
        <v>0.35</v>
      </c>
      <c r="H531" s="235">
        <v>0.2</v>
      </c>
      <c r="I531" s="582">
        <f t="shared" si="25"/>
        <v>0.20510000000000003</v>
      </c>
      <c r="J531" s="758"/>
    </row>
    <row r="532" spans="1:10">
      <c r="A532" s="167"/>
      <c r="B532" s="167" t="s">
        <v>1012</v>
      </c>
      <c r="C532" s="397" t="s">
        <v>71</v>
      </c>
      <c r="D532" s="645">
        <v>1</v>
      </c>
      <c r="E532" s="251">
        <v>1</v>
      </c>
      <c r="F532" s="595">
        <v>2.875</v>
      </c>
      <c r="G532" s="235">
        <v>0.5</v>
      </c>
      <c r="H532" s="235">
        <v>0.2</v>
      </c>
      <c r="I532" s="582">
        <f t="shared" si="25"/>
        <v>0.28750000000000003</v>
      </c>
      <c r="J532" s="758"/>
    </row>
    <row r="533" spans="1:10">
      <c r="A533" s="167"/>
      <c r="B533" s="167" t="s">
        <v>1064</v>
      </c>
      <c r="C533" s="397" t="s">
        <v>71</v>
      </c>
      <c r="D533" s="645">
        <v>1</v>
      </c>
      <c r="E533" s="251">
        <v>1</v>
      </c>
      <c r="F533" s="595">
        <v>3.95</v>
      </c>
      <c r="G533" s="235">
        <v>0.45</v>
      </c>
      <c r="H533" s="235">
        <v>0.2</v>
      </c>
      <c r="I533" s="582">
        <f t="shared" si="25"/>
        <v>0.35550000000000004</v>
      </c>
      <c r="J533" s="758"/>
    </row>
    <row r="534" spans="1:10">
      <c r="A534" s="167"/>
      <c r="B534" s="167" t="s">
        <v>1013</v>
      </c>
      <c r="C534" s="397" t="s">
        <v>71</v>
      </c>
      <c r="D534" s="645">
        <v>1</v>
      </c>
      <c r="E534" s="251">
        <v>1</v>
      </c>
      <c r="F534" s="595">
        <v>4.6900000000000004</v>
      </c>
      <c r="G534" s="235">
        <v>0.5</v>
      </c>
      <c r="H534" s="235">
        <v>0.2</v>
      </c>
      <c r="I534" s="582">
        <f t="shared" si="25"/>
        <v>0.46900000000000008</v>
      </c>
      <c r="J534" s="758"/>
    </row>
    <row r="535" spans="1:10">
      <c r="A535" s="167"/>
      <c r="B535" s="167" t="s">
        <v>1013</v>
      </c>
      <c r="C535" s="397" t="s">
        <v>71</v>
      </c>
      <c r="D535" s="645">
        <v>1</v>
      </c>
      <c r="E535" s="251">
        <v>1</v>
      </c>
      <c r="F535" s="595">
        <f>6.3/2</f>
        <v>3.15</v>
      </c>
      <c r="G535" s="235">
        <v>0.5</v>
      </c>
      <c r="H535" s="235">
        <v>0.2</v>
      </c>
      <c r="I535" s="582">
        <f t="shared" si="25"/>
        <v>0.315</v>
      </c>
      <c r="J535" s="758"/>
    </row>
    <row r="536" spans="1:10">
      <c r="A536" s="167"/>
      <c r="B536" s="167" t="s">
        <v>1065</v>
      </c>
      <c r="C536" s="397" t="s">
        <v>71</v>
      </c>
      <c r="D536" s="645">
        <v>1</v>
      </c>
      <c r="E536" s="251">
        <v>2</v>
      </c>
      <c r="F536" s="595">
        <v>1.9</v>
      </c>
      <c r="G536" s="235">
        <v>0.45</v>
      </c>
      <c r="H536" s="235">
        <v>0.23</v>
      </c>
      <c r="I536" s="582">
        <f t="shared" si="25"/>
        <v>0.39329999999999998</v>
      </c>
      <c r="J536" s="758"/>
    </row>
    <row r="537" spans="1:10">
      <c r="A537" s="167"/>
      <c r="B537" s="167" t="s">
        <v>1014</v>
      </c>
      <c r="C537" s="397" t="s">
        <v>71</v>
      </c>
      <c r="D537" s="645">
        <v>1</v>
      </c>
      <c r="E537" s="251">
        <v>1</v>
      </c>
      <c r="F537" s="595">
        <v>5.2350000000000003</v>
      </c>
      <c r="G537" s="235">
        <v>0.35</v>
      </c>
      <c r="H537" s="235">
        <v>0.2</v>
      </c>
      <c r="I537" s="582">
        <f t="shared" si="25"/>
        <v>0.36645</v>
      </c>
      <c r="J537" s="758"/>
    </row>
    <row r="538" spans="1:10">
      <c r="A538" s="167"/>
      <c r="B538" s="167" t="s">
        <v>1015</v>
      </c>
      <c r="C538" s="397" t="s">
        <v>71</v>
      </c>
      <c r="D538" s="645">
        <v>1</v>
      </c>
      <c r="E538" s="251">
        <v>1</v>
      </c>
      <c r="F538" s="595">
        <v>5.0999999999999996</v>
      </c>
      <c r="G538" s="235">
        <v>0.45</v>
      </c>
      <c r="H538" s="235">
        <v>0.23</v>
      </c>
      <c r="I538" s="582">
        <f t="shared" si="25"/>
        <v>0.52785000000000004</v>
      </c>
      <c r="J538" s="758"/>
    </row>
    <row r="539" spans="1:10">
      <c r="A539" s="167"/>
      <c r="B539" s="167" t="s">
        <v>1015</v>
      </c>
      <c r="C539" s="397" t="s">
        <v>71</v>
      </c>
      <c r="D539" s="645">
        <v>1</v>
      </c>
      <c r="E539" s="251">
        <v>1</v>
      </c>
      <c r="F539" s="595">
        <v>5.0999999999999996</v>
      </c>
      <c r="G539" s="235">
        <v>0.45</v>
      </c>
      <c r="H539" s="235">
        <v>0.23</v>
      </c>
      <c r="I539" s="582">
        <f t="shared" si="25"/>
        <v>0.52785000000000004</v>
      </c>
      <c r="J539" s="758"/>
    </row>
    <row r="540" spans="1:10">
      <c r="A540" s="167"/>
      <c r="B540" s="167" t="s">
        <v>1016</v>
      </c>
      <c r="C540" s="397" t="s">
        <v>71</v>
      </c>
      <c r="D540" s="645">
        <v>1</v>
      </c>
      <c r="E540" s="251">
        <v>2</v>
      </c>
      <c r="F540" s="595">
        <v>3.19</v>
      </c>
      <c r="G540" s="235">
        <v>0.5</v>
      </c>
      <c r="H540" s="235">
        <v>0.2</v>
      </c>
      <c r="I540" s="582">
        <f t="shared" si="25"/>
        <v>0.63800000000000001</v>
      </c>
      <c r="J540" s="758"/>
    </row>
    <row r="541" spans="1:10">
      <c r="A541" s="167"/>
      <c r="B541" s="167" t="s">
        <v>1017</v>
      </c>
      <c r="C541" s="397" t="s">
        <v>71</v>
      </c>
      <c r="D541" s="645">
        <v>1</v>
      </c>
      <c r="E541" s="251">
        <v>3</v>
      </c>
      <c r="F541" s="595">
        <v>1.81</v>
      </c>
      <c r="G541" s="235">
        <v>0.5</v>
      </c>
      <c r="H541" s="235">
        <v>0.2</v>
      </c>
      <c r="I541" s="582">
        <f t="shared" si="25"/>
        <v>0.54300000000000004</v>
      </c>
      <c r="J541" s="758"/>
    </row>
    <row r="542" spans="1:10">
      <c r="A542" s="167"/>
      <c r="B542" s="167" t="s">
        <v>1017</v>
      </c>
      <c r="C542" s="397" t="s">
        <v>71</v>
      </c>
      <c r="D542" s="645">
        <v>1</v>
      </c>
      <c r="E542" s="251">
        <v>3</v>
      </c>
      <c r="F542" s="595">
        <v>3.55</v>
      </c>
      <c r="G542" s="235">
        <v>0.5</v>
      </c>
      <c r="H542" s="235">
        <v>0.2</v>
      </c>
      <c r="I542" s="582">
        <f t="shared" si="25"/>
        <v>1.0649999999999999</v>
      </c>
      <c r="J542" s="758"/>
    </row>
    <row r="543" spans="1:10">
      <c r="A543" s="167"/>
      <c r="B543" s="167" t="s">
        <v>1018</v>
      </c>
      <c r="C543" s="397" t="s">
        <v>71</v>
      </c>
      <c r="D543" s="645">
        <v>1</v>
      </c>
      <c r="E543" s="251">
        <v>3</v>
      </c>
      <c r="F543" s="595">
        <v>0.51500000000000001</v>
      </c>
      <c r="G543" s="235">
        <v>0.5</v>
      </c>
      <c r="H543" s="235">
        <v>0.23</v>
      </c>
      <c r="I543" s="582">
        <f t="shared" si="25"/>
        <v>0.177675</v>
      </c>
      <c r="J543" s="758"/>
    </row>
    <row r="544" spans="1:10">
      <c r="A544" s="167"/>
      <c r="B544" s="167" t="s">
        <v>984</v>
      </c>
      <c r="C544" s="397" t="s">
        <v>71</v>
      </c>
      <c r="D544" s="645">
        <v>1</v>
      </c>
      <c r="E544" s="251">
        <v>3</v>
      </c>
      <c r="F544" s="595">
        <v>3.86</v>
      </c>
      <c r="G544" s="235">
        <v>0.45</v>
      </c>
      <c r="H544" s="235">
        <v>0.2</v>
      </c>
      <c r="I544" s="582">
        <f t="shared" si="25"/>
        <v>1.0422</v>
      </c>
      <c r="J544" s="758"/>
    </row>
    <row r="545" spans="1:10">
      <c r="A545" s="167"/>
      <c r="B545" s="167" t="s">
        <v>985</v>
      </c>
      <c r="C545" s="397" t="s">
        <v>71</v>
      </c>
      <c r="D545" s="645">
        <v>1</v>
      </c>
      <c r="E545" s="251">
        <v>3</v>
      </c>
      <c r="F545" s="595">
        <v>3.45</v>
      </c>
      <c r="G545" s="235">
        <v>0.45</v>
      </c>
      <c r="H545" s="235">
        <v>0.2</v>
      </c>
      <c r="I545" s="582">
        <f t="shared" si="25"/>
        <v>0.93150000000000022</v>
      </c>
      <c r="J545" s="758"/>
    </row>
    <row r="546" spans="1:10">
      <c r="A546" s="167"/>
      <c r="B546" s="167" t="s">
        <v>1019</v>
      </c>
      <c r="C546" s="397" t="s">
        <v>71</v>
      </c>
      <c r="D546" s="645">
        <v>1</v>
      </c>
      <c r="E546" s="251">
        <v>3</v>
      </c>
      <c r="F546" s="595">
        <v>2.91</v>
      </c>
      <c r="G546" s="235">
        <v>0.45</v>
      </c>
      <c r="H546" s="235">
        <v>0.2</v>
      </c>
      <c r="I546" s="582">
        <f t="shared" si="25"/>
        <v>0.78570000000000007</v>
      </c>
      <c r="J546" s="758"/>
    </row>
    <row r="547" spans="1:10">
      <c r="A547" s="167"/>
      <c r="B547" s="167" t="s">
        <v>1020</v>
      </c>
      <c r="C547" s="397" t="s">
        <v>71</v>
      </c>
      <c r="D547" s="645">
        <v>1</v>
      </c>
      <c r="E547" s="251">
        <v>3</v>
      </c>
      <c r="F547" s="595">
        <v>3.55</v>
      </c>
      <c r="G547" s="235">
        <v>0.35</v>
      </c>
      <c r="H547" s="235">
        <v>0.23</v>
      </c>
      <c r="I547" s="582">
        <f t="shared" si="25"/>
        <v>0.85732499999999989</v>
      </c>
      <c r="J547" s="758"/>
    </row>
    <row r="548" spans="1:10">
      <c r="A548" s="167"/>
      <c r="B548" s="167" t="s">
        <v>986</v>
      </c>
      <c r="C548" s="397" t="s">
        <v>71</v>
      </c>
      <c r="D548" s="645">
        <v>1</v>
      </c>
      <c r="E548" s="251">
        <v>2</v>
      </c>
      <c r="F548" s="595">
        <v>3</v>
      </c>
      <c r="G548" s="235">
        <v>0.45</v>
      </c>
      <c r="H548" s="235">
        <v>0.2</v>
      </c>
      <c r="I548" s="582">
        <f t="shared" ref="I548:I586" si="26">+PRODUCT(D548:H548)</f>
        <v>0.54</v>
      </c>
      <c r="J548" s="758"/>
    </row>
    <row r="549" spans="1:10">
      <c r="A549" s="167"/>
      <c r="B549" s="167" t="s">
        <v>1021</v>
      </c>
      <c r="C549" s="397" t="s">
        <v>71</v>
      </c>
      <c r="D549" s="645">
        <v>1</v>
      </c>
      <c r="E549" s="251">
        <v>2</v>
      </c>
      <c r="F549" s="595">
        <f>1.965+0.1</f>
        <v>2.0649999999999999</v>
      </c>
      <c r="G549" s="235">
        <v>0.35</v>
      </c>
      <c r="H549" s="235">
        <v>0.2</v>
      </c>
      <c r="I549" s="582">
        <f t="shared" si="26"/>
        <v>0.28909999999999997</v>
      </c>
      <c r="J549" s="758"/>
    </row>
    <row r="550" spans="1:10">
      <c r="A550" s="167"/>
      <c r="B550" s="167" t="s">
        <v>1022</v>
      </c>
      <c r="C550" s="397" t="s">
        <v>71</v>
      </c>
      <c r="D550" s="645">
        <v>1</v>
      </c>
      <c r="E550" s="251">
        <v>3</v>
      </c>
      <c r="F550" s="595">
        <v>3.31</v>
      </c>
      <c r="G550" s="235">
        <v>0.5</v>
      </c>
      <c r="H550" s="235">
        <v>0.2</v>
      </c>
      <c r="I550" s="582">
        <f t="shared" si="26"/>
        <v>0.99299999999999999</v>
      </c>
      <c r="J550" s="758"/>
    </row>
    <row r="551" spans="1:10">
      <c r="A551" s="167"/>
      <c r="B551" s="167" t="s">
        <v>987</v>
      </c>
      <c r="C551" s="397" t="s">
        <v>71</v>
      </c>
      <c r="D551" s="645">
        <v>1</v>
      </c>
      <c r="E551" s="251">
        <v>2</v>
      </c>
      <c r="F551" s="595">
        <v>3</v>
      </c>
      <c r="G551" s="235">
        <v>0.45</v>
      </c>
      <c r="H551" s="235">
        <v>0.2</v>
      </c>
      <c r="I551" s="582">
        <f t="shared" si="26"/>
        <v>0.54</v>
      </c>
      <c r="J551" s="758"/>
    </row>
    <row r="552" spans="1:10">
      <c r="A552" s="167"/>
      <c r="B552" s="167" t="s">
        <v>988</v>
      </c>
      <c r="C552" s="397" t="s">
        <v>71</v>
      </c>
      <c r="D552" s="645">
        <v>1</v>
      </c>
      <c r="E552" s="251">
        <v>1</v>
      </c>
      <c r="F552" s="595">
        <v>5.2450000000000001</v>
      </c>
      <c r="G552" s="235">
        <v>0.45</v>
      </c>
      <c r="H552" s="235">
        <v>0.2</v>
      </c>
      <c r="I552" s="582">
        <f t="shared" si="26"/>
        <v>0.47205000000000008</v>
      </c>
      <c r="J552" s="758"/>
    </row>
    <row r="553" spans="1:10">
      <c r="A553" s="167"/>
      <c r="B553" s="167" t="s">
        <v>1023</v>
      </c>
      <c r="C553" s="397" t="s">
        <v>71</v>
      </c>
      <c r="D553" s="645">
        <v>1</v>
      </c>
      <c r="E553" s="251">
        <v>1</v>
      </c>
      <c r="F553" s="595">
        <v>3</v>
      </c>
      <c r="G553" s="235">
        <v>0.45</v>
      </c>
      <c r="H553" s="235">
        <v>0.2</v>
      </c>
      <c r="I553" s="582">
        <f t="shared" si="26"/>
        <v>0.27</v>
      </c>
      <c r="J553" s="758"/>
    </row>
    <row r="554" spans="1:10">
      <c r="A554" s="167"/>
      <c r="B554" s="167" t="s">
        <v>1024</v>
      </c>
      <c r="C554" s="397" t="s">
        <v>71</v>
      </c>
      <c r="D554" s="645">
        <v>1</v>
      </c>
      <c r="E554" s="251">
        <v>1</v>
      </c>
      <c r="F554" s="595">
        <v>1.95</v>
      </c>
      <c r="G554" s="235">
        <v>0.35</v>
      </c>
      <c r="H554" s="235">
        <v>0.2</v>
      </c>
      <c r="I554" s="582">
        <f t="shared" si="26"/>
        <v>0.13650000000000001</v>
      </c>
      <c r="J554" s="758"/>
    </row>
    <row r="555" spans="1:10">
      <c r="A555" s="167"/>
      <c r="B555" s="167" t="s">
        <v>1025</v>
      </c>
      <c r="C555" s="397" t="s">
        <v>71</v>
      </c>
      <c r="D555" s="645">
        <v>1</v>
      </c>
      <c r="E555" s="251">
        <v>1</v>
      </c>
      <c r="F555" s="595">
        <v>2.23</v>
      </c>
      <c r="G555" s="235">
        <v>0.45</v>
      </c>
      <c r="H555" s="235">
        <v>0.2</v>
      </c>
      <c r="I555" s="582">
        <f t="shared" si="26"/>
        <v>0.20070000000000002</v>
      </c>
      <c r="J555" s="758"/>
    </row>
    <row r="556" spans="1:10">
      <c r="A556" s="167"/>
      <c r="B556" s="167" t="s">
        <v>989</v>
      </c>
      <c r="C556" s="397" t="s">
        <v>71</v>
      </c>
      <c r="D556" s="645">
        <v>1</v>
      </c>
      <c r="E556" s="251">
        <v>1</v>
      </c>
      <c r="F556" s="595">
        <v>5.1449999999999996</v>
      </c>
      <c r="G556" s="235">
        <v>0.5</v>
      </c>
      <c r="H556" s="235">
        <v>0.2</v>
      </c>
      <c r="I556" s="582">
        <f t="shared" si="26"/>
        <v>0.51449999999999996</v>
      </c>
      <c r="J556" s="758"/>
    </row>
    <row r="557" spans="1:10">
      <c r="A557" s="167"/>
      <c r="B557" s="167" t="s">
        <v>1026</v>
      </c>
      <c r="C557" s="397" t="s">
        <v>71</v>
      </c>
      <c r="D557" s="645">
        <v>1</v>
      </c>
      <c r="E557" s="251">
        <v>1</v>
      </c>
      <c r="F557" s="595">
        <v>3.8</v>
      </c>
      <c r="G557" s="235">
        <v>0.5</v>
      </c>
      <c r="H557" s="235">
        <v>0.2</v>
      </c>
      <c r="I557" s="582">
        <f t="shared" si="26"/>
        <v>0.38</v>
      </c>
      <c r="J557" s="758"/>
    </row>
    <row r="558" spans="1:10">
      <c r="A558" s="167"/>
      <c r="B558" s="167" t="s">
        <v>1027</v>
      </c>
      <c r="C558" s="397" t="s">
        <v>71</v>
      </c>
      <c r="D558" s="645">
        <v>1</v>
      </c>
      <c r="E558" s="251">
        <v>1</v>
      </c>
      <c r="F558" s="595">
        <v>2.95</v>
      </c>
      <c r="G558" s="235">
        <v>0.35</v>
      </c>
      <c r="H558" s="235">
        <v>0.2</v>
      </c>
      <c r="I558" s="582">
        <f t="shared" si="26"/>
        <v>0.20650000000000002</v>
      </c>
      <c r="J558" s="758"/>
    </row>
    <row r="559" spans="1:10">
      <c r="A559" s="167"/>
      <c r="B559" s="167" t="s">
        <v>1028</v>
      </c>
      <c r="C559" s="397" t="s">
        <v>71</v>
      </c>
      <c r="D559" s="645">
        <v>1</v>
      </c>
      <c r="E559" s="251">
        <v>1</v>
      </c>
      <c r="F559" s="595">
        <v>4.55</v>
      </c>
      <c r="G559" s="235">
        <v>0.45</v>
      </c>
      <c r="H559" s="235">
        <v>0.2</v>
      </c>
      <c r="I559" s="582">
        <f t="shared" si="26"/>
        <v>0.40949999999999998</v>
      </c>
      <c r="J559" s="758"/>
    </row>
    <row r="560" spans="1:10">
      <c r="A560" s="167"/>
      <c r="B560" s="167" t="s">
        <v>1029</v>
      </c>
      <c r="C560" s="397" t="s">
        <v>71</v>
      </c>
      <c r="D560" s="645">
        <v>1</v>
      </c>
      <c r="E560" s="251">
        <v>1</v>
      </c>
      <c r="F560" s="595">
        <v>3.05</v>
      </c>
      <c r="G560" s="235">
        <v>0.5</v>
      </c>
      <c r="H560" s="235">
        <v>0.2</v>
      </c>
      <c r="I560" s="582">
        <f t="shared" si="26"/>
        <v>0.30499999999999999</v>
      </c>
      <c r="J560" s="758"/>
    </row>
    <row r="561" spans="1:10">
      <c r="A561" s="167"/>
      <c r="B561" s="167" t="s">
        <v>1030</v>
      </c>
      <c r="C561" s="397" t="s">
        <v>71</v>
      </c>
      <c r="D561" s="645">
        <v>1</v>
      </c>
      <c r="E561" s="251">
        <v>1</v>
      </c>
      <c r="F561" s="595">
        <v>2.5</v>
      </c>
      <c r="G561" s="235">
        <v>0.45</v>
      </c>
      <c r="H561" s="235">
        <v>0.2</v>
      </c>
      <c r="I561" s="582">
        <f t="shared" si="26"/>
        <v>0.22500000000000001</v>
      </c>
      <c r="J561" s="758"/>
    </row>
    <row r="562" spans="1:10">
      <c r="A562" s="167"/>
      <c r="B562" s="167" t="s">
        <v>990</v>
      </c>
      <c r="C562" s="397" t="s">
        <v>71</v>
      </c>
      <c r="D562" s="645">
        <v>1</v>
      </c>
      <c r="E562" s="251">
        <v>1</v>
      </c>
      <c r="F562" s="595">
        <v>3.1150000000000002</v>
      </c>
      <c r="G562" s="235">
        <v>0.5</v>
      </c>
      <c r="H562" s="235">
        <v>0.23</v>
      </c>
      <c r="I562" s="582">
        <f t="shared" si="26"/>
        <v>0.35822500000000002</v>
      </c>
      <c r="J562" s="758"/>
    </row>
    <row r="563" spans="1:10">
      <c r="A563" s="167"/>
      <c r="B563" s="167" t="s">
        <v>1031</v>
      </c>
      <c r="C563" s="397" t="s">
        <v>71</v>
      </c>
      <c r="D563" s="645">
        <v>1</v>
      </c>
      <c r="E563" s="251">
        <v>1</v>
      </c>
      <c r="F563" s="595">
        <v>2.335</v>
      </c>
      <c r="G563" s="235">
        <v>0.35</v>
      </c>
      <c r="H563" s="235">
        <v>0.2</v>
      </c>
      <c r="I563" s="582">
        <f t="shared" si="26"/>
        <v>0.16344999999999998</v>
      </c>
      <c r="J563" s="758"/>
    </row>
    <row r="564" spans="1:10">
      <c r="A564" s="167"/>
      <c r="B564" s="167" t="s">
        <v>1032</v>
      </c>
      <c r="C564" s="397" t="s">
        <v>71</v>
      </c>
      <c r="D564" s="645">
        <v>1</v>
      </c>
      <c r="E564" s="251">
        <v>1</v>
      </c>
      <c r="F564" s="595">
        <v>3.2</v>
      </c>
      <c r="G564" s="235">
        <v>0.5</v>
      </c>
      <c r="H564" s="235">
        <v>0.23</v>
      </c>
      <c r="I564" s="582">
        <f t="shared" si="26"/>
        <v>0.36800000000000005</v>
      </c>
      <c r="J564" s="758"/>
    </row>
    <row r="565" spans="1:10">
      <c r="A565" s="167"/>
      <c r="B565" s="167" t="s">
        <v>991</v>
      </c>
      <c r="C565" s="397" t="s">
        <v>71</v>
      </c>
      <c r="D565" s="645">
        <v>1</v>
      </c>
      <c r="E565" s="251">
        <v>1</v>
      </c>
      <c r="F565" s="595">
        <v>0.35</v>
      </c>
      <c r="G565" s="235">
        <v>0.45</v>
      </c>
      <c r="H565" s="235">
        <v>0.23</v>
      </c>
      <c r="I565" s="582">
        <f t="shared" si="26"/>
        <v>3.6225E-2</v>
      </c>
      <c r="J565" s="758"/>
    </row>
    <row r="566" spans="1:10">
      <c r="A566" s="167"/>
      <c r="B566" s="167" t="s">
        <v>1033</v>
      </c>
      <c r="C566" s="397" t="s">
        <v>71</v>
      </c>
      <c r="D566" s="645">
        <v>1</v>
      </c>
      <c r="E566" s="251">
        <v>1</v>
      </c>
      <c r="F566" s="595">
        <f>1.61+0.35</f>
        <v>1.96</v>
      </c>
      <c r="G566" s="235">
        <v>0.45</v>
      </c>
      <c r="H566" s="235">
        <v>0.2</v>
      </c>
      <c r="I566" s="582">
        <f t="shared" si="26"/>
        <v>0.1764</v>
      </c>
      <c r="J566" s="758"/>
    </row>
    <row r="567" spans="1:10">
      <c r="A567" s="167"/>
      <c r="B567" s="167" t="s">
        <v>1034</v>
      </c>
      <c r="C567" s="397" t="s">
        <v>71</v>
      </c>
      <c r="D567" s="645">
        <v>1</v>
      </c>
      <c r="E567" s="251">
        <v>1</v>
      </c>
      <c r="F567" s="595">
        <v>3.2</v>
      </c>
      <c r="G567" s="235">
        <v>0.45</v>
      </c>
      <c r="H567" s="235">
        <v>0.23</v>
      </c>
      <c r="I567" s="582">
        <f t="shared" si="26"/>
        <v>0.33120000000000005</v>
      </c>
      <c r="J567" s="758"/>
    </row>
    <row r="568" spans="1:10">
      <c r="A568" s="167"/>
      <c r="B568" s="167" t="s">
        <v>992</v>
      </c>
      <c r="C568" s="397" t="s">
        <v>71</v>
      </c>
      <c r="D568" s="645">
        <v>1</v>
      </c>
      <c r="E568" s="251">
        <v>1</v>
      </c>
      <c r="F568" s="595">
        <v>2.335</v>
      </c>
      <c r="G568" s="235">
        <v>0.45</v>
      </c>
      <c r="H568" s="235">
        <v>0.2</v>
      </c>
      <c r="I568" s="582">
        <f t="shared" si="26"/>
        <v>0.21015000000000003</v>
      </c>
      <c r="J568" s="758"/>
    </row>
    <row r="569" spans="1:10">
      <c r="A569" s="167"/>
      <c r="B569" s="167" t="s">
        <v>1035</v>
      </c>
      <c r="C569" s="397" t="s">
        <v>71</v>
      </c>
      <c r="D569" s="645">
        <v>1</v>
      </c>
      <c r="E569" s="251">
        <v>1</v>
      </c>
      <c r="F569" s="595">
        <v>2.54</v>
      </c>
      <c r="G569" s="235">
        <v>0.5</v>
      </c>
      <c r="H569" s="235">
        <v>0.23</v>
      </c>
      <c r="I569" s="582">
        <f t="shared" si="26"/>
        <v>0.29210000000000003</v>
      </c>
      <c r="J569" s="758"/>
    </row>
    <row r="570" spans="1:10">
      <c r="A570" s="167"/>
      <c r="B570" s="167" t="s">
        <v>1036</v>
      </c>
      <c r="C570" s="397" t="s">
        <v>71</v>
      </c>
      <c r="D570" s="645">
        <v>1</v>
      </c>
      <c r="E570" s="251">
        <v>1</v>
      </c>
      <c r="F570" s="595">
        <v>3.43</v>
      </c>
      <c r="G570" s="235">
        <v>0.45</v>
      </c>
      <c r="H570" s="235">
        <v>0.23</v>
      </c>
      <c r="I570" s="582">
        <f t="shared" si="26"/>
        <v>0.35500500000000001</v>
      </c>
      <c r="J570" s="758"/>
    </row>
    <row r="571" spans="1:10">
      <c r="A571" s="167"/>
      <c r="B571" s="167" t="s">
        <v>1037</v>
      </c>
      <c r="C571" s="397" t="s">
        <v>71</v>
      </c>
      <c r="D571" s="645">
        <v>1</v>
      </c>
      <c r="E571" s="251">
        <v>1</v>
      </c>
      <c r="F571" s="595">
        <v>2.2250000000000001</v>
      </c>
      <c r="G571" s="235">
        <v>0.5</v>
      </c>
      <c r="H571" s="235">
        <v>0.2</v>
      </c>
      <c r="I571" s="582">
        <f t="shared" si="26"/>
        <v>0.22250000000000003</v>
      </c>
      <c r="J571" s="758"/>
    </row>
    <row r="572" spans="1:10">
      <c r="A572" s="167"/>
      <c r="B572" s="167" t="s">
        <v>993</v>
      </c>
      <c r="C572" s="397" t="s">
        <v>71</v>
      </c>
      <c r="D572" s="645">
        <v>1</v>
      </c>
      <c r="E572" s="251">
        <v>1</v>
      </c>
      <c r="F572" s="595">
        <v>3.14</v>
      </c>
      <c r="G572" s="235">
        <v>0.45</v>
      </c>
      <c r="H572" s="235">
        <v>0.2</v>
      </c>
      <c r="I572" s="582">
        <f t="shared" si="26"/>
        <v>0.28260000000000002</v>
      </c>
      <c r="J572" s="758"/>
    </row>
    <row r="573" spans="1:10">
      <c r="A573" s="167"/>
      <c r="B573" s="167" t="s">
        <v>1039</v>
      </c>
      <c r="C573" s="397" t="s">
        <v>71</v>
      </c>
      <c r="D573" s="645">
        <v>1</v>
      </c>
      <c r="E573" s="251">
        <v>1</v>
      </c>
      <c r="F573" s="595">
        <v>3.43</v>
      </c>
      <c r="G573" s="235">
        <v>0.45</v>
      </c>
      <c r="H573" s="235">
        <v>0.2</v>
      </c>
      <c r="I573" s="582">
        <f t="shared" si="26"/>
        <v>0.30870000000000003</v>
      </c>
      <c r="J573" s="758"/>
    </row>
    <row r="574" spans="1:10">
      <c r="A574" s="167"/>
      <c r="B574" s="167" t="s">
        <v>1040</v>
      </c>
      <c r="C574" s="397" t="s">
        <v>71</v>
      </c>
      <c r="D574" s="645">
        <v>1</v>
      </c>
      <c r="E574" s="251">
        <v>1</v>
      </c>
      <c r="F574" s="595">
        <v>1.99</v>
      </c>
      <c r="G574" s="235">
        <v>0.45</v>
      </c>
      <c r="H574" s="235">
        <v>0.23</v>
      </c>
      <c r="I574" s="582">
        <f t="shared" si="26"/>
        <v>0.20596500000000001</v>
      </c>
      <c r="J574" s="758"/>
    </row>
    <row r="575" spans="1:10">
      <c r="A575" s="167"/>
      <c r="B575" s="167" t="s">
        <v>1038</v>
      </c>
      <c r="C575" s="397" t="s">
        <v>71</v>
      </c>
      <c r="D575" s="645">
        <v>1</v>
      </c>
      <c r="E575" s="251">
        <v>1</v>
      </c>
      <c r="F575" s="595">
        <v>2.2250000000000001</v>
      </c>
      <c r="G575" s="235">
        <v>0.5</v>
      </c>
      <c r="H575" s="235">
        <v>0.2</v>
      </c>
      <c r="I575" s="582">
        <f t="shared" si="26"/>
        <v>0.22250000000000003</v>
      </c>
      <c r="J575" s="758"/>
    </row>
    <row r="576" spans="1:10">
      <c r="A576" s="167"/>
      <c r="B576" s="167" t="s">
        <v>994</v>
      </c>
      <c r="C576" s="397" t="s">
        <v>71</v>
      </c>
      <c r="D576" s="645">
        <v>1</v>
      </c>
      <c r="E576" s="251">
        <v>2</v>
      </c>
      <c r="F576" s="595">
        <v>3.06</v>
      </c>
      <c r="G576" s="235">
        <v>0.45</v>
      </c>
      <c r="H576" s="235">
        <v>0.2</v>
      </c>
      <c r="I576" s="582">
        <f t="shared" si="26"/>
        <v>0.55080000000000007</v>
      </c>
      <c r="J576" s="758"/>
    </row>
    <row r="577" spans="1:10">
      <c r="A577" s="167"/>
      <c r="B577" s="167" t="s">
        <v>1041</v>
      </c>
      <c r="C577" s="397" t="s">
        <v>71</v>
      </c>
      <c r="D577" s="645">
        <v>1</v>
      </c>
      <c r="E577" s="251">
        <v>2</v>
      </c>
      <c r="F577" s="595">
        <v>3.05</v>
      </c>
      <c r="G577" s="235">
        <v>0.35</v>
      </c>
      <c r="H577" s="235">
        <v>0.2</v>
      </c>
      <c r="I577" s="582">
        <f t="shared" si="26"/>
        <v>0.42699999999999999</v>
      </c>
      <c r="J577" s="758"/>
    </row>
    <row r="578" spans="1:10">
      <c r="A578" s="167"/>
      <c r="B578" s="167" t="s">
        <v>1041</v>
      </c>
      <c r="C578" s="397" t="s">
        <v>71</v>
      </c>
      <c r="D578" s="645">
        <v>1</v>
      </c>
      <c r="E578" s="251">
        <v>2</v>
      </c>
      <c r="F578" s="595">
        <v>0.38</v>
      </c>
      <c r="G578" s="235">
        <v>0.35</v>
      </c>
      <c r="H578" s="235">
        <v>0.2</v>
      </c>
      <c r="I578" s="582">
        <f t="shared" si="26"/>
        <v>5.3199999999999997E-2</v>
      </c>
      <c r="J578" s="758"/>
    </row>
    <row r="579" spans="1:10">
      <c r="A579" s="167"/>
      <c r="B579" s="167" t="s">
        <v>1042</v>
      </c>
      <c r="C579" s="397" t="s">
        <v>71</v>
      </c>
      <c r="D579" s="645">
        <v>1</v>
      </c>
      <c r="E579" s="251">
        <v>2</v>
      </c>
      <c r="F579" s="595">
        <v>3.3849999999999998</v>
      </c>
      <c r="G579" s="235">
        <v>0.45</v>
      </c>
      <c r="H579" s="235">
        <v>0.2</v>
      </c>
      <c r="I579" s="582">
        <f t="shared" si="26"/>
        <v>0.60930000000000006</v>
      </c>
      <c r="J579" s="758"/>
    </row>
    <row r="580" spans="1:10">
      <c r="A580" s="167"/>
      <c r="B580" s="167" t="s">
        <v>995</v>
      </c>
      <c r="C580" s="397" t="s">
        <v>71</v>
      </c>
      <c r="D580" s="645">
        <v>1</v>
      </c>
      <c r="E580" s="251">
        <v>2</v>
      </c>
      <c r="F580" s="595">
        <v>3.25</v>
      </c>
      <c r="G580" s="235">
        <v>0.45</v>
      </c>
      <c r="H580" s="235">
        <v>0.2</v>
      </c>
      <c r="I580" s="582">
        <f t="shared" si="26"/>
        <v>0.58500000000000008</v>
      </c>
      <c r="J580" s="758"/>
    </row>
    <row r="581" spans="1:10">
      <c r="A581" s="167"/>
      <c r="B581" s="167" t="s">
        <v>995</v>
      </c>
      <c r="C581" s="397" t="s">
        <v>71</v>
      </c>
      <c r="D581" s="645">
        <v>1</v>
      </c>
      <c r="E581" s="251">
        <v>2</v>
      </c>
      <c r="F581" s="595">
        <v>1.7</v>
      </c>
      <c r="G581" s="235">
        <v>0.45</v>
      </c>
      <c r="H581" s="235">
        <v>0.2</v>
      </c>
      <c r="I581" s="582">
        <f t="shared" si="26"/>
        <v>0.30600000000000005</v>
      </c>
      <c r="J581" s="758"/>
    </row>
    <row r="582" spans="1:10">
      <c r="A582" s="167"/>
      <c r="B582" s="167" t="s">
        <v>1043</v>
      </c>
      <c r="C582" s="397" t="s">
        <v>71</v>
      </c>
      <c r="D582" s="645">
        <v>1</v>
      </c>
      <c r="E582" s="251">
        <v>2</v>
      </c>
      <c r="F582" s="595">
        <v>1.385</v>
      </c>
      <c r="G582" s="235">
        <v>0.35</v>
      </c>
      <c r="H582" s="235">
        <v>0.2</v>
      </c>
      <c r="I582" s="582">
        <f t="shared" si="26"/>
        <v>0.19389999999999999</v>
      </c>
      <c r="J582" s="758"/>
    </row>
    <row r="583" spans="1:10">
      <c r="A583" s="167"/>
      <c r="B583" s="167" t="s">
        <v>1044</v>
      </c>
      <c r="C583" s="397" t="s">
        <v>71</v>
      </c>
      <c r="D583" s="645">
        <v>1</v>
      </c>
      <c r="E583" s="251">
        <v>2</v>
      </c>
      <c r="F583" s="595">
        <v>3.05</v>
      </c>
      <c r="G583" s="235">
        <v>0.45</v>
      </c>
      <c r="H583" s="235">
        <v>0.2</v>
      </c>
      <c r="I583" s="582">
        <f t="shared" si="26"/>
        <v>0.54900000000000004</v>
      </c>
      <c r="J583" s="758"/>
    </row>
    <row r="584" spans="1:10">
      <c r="A584" s="167"/>
      <c r="B584" s="167" t="s">
        <v>1044</v>
      </c>
      <c r="C584" s="397" t="s">
        <v>71</v>
      </c>
      <c r="D584" s="645">
        <v>1</v>
      </c>
      <c r="E584" s="251">
        <v>2</v>
      </c>
      <c r="F584" s="595">
        <v>1.7</v>
      </c>
      <c r="G584" s="235">
        <v>0.45</v>
      </c>
      <c r="H584" s="235">
        <v>0.2</v>
      </c>
      <c r="I584" s="582">
        <f t="shared" si="26"/>
        <v>0.30600000000000005</v>
      </c>
      <c r="J584" s="758"/>
    </row>
    <row r="585" spans="1:10">
      <c r="A585" s="167"/>
      <c r="B585" s="167" t="s">
        <v>1045</v>
      </c>
      <c r="C585" s="397" t="s">
        <v>71</v>
      </c>
      <c r="D585" s="645">
        <v>1</v>
      </c>
      <c r="E585" s="251">
        <v>1</v>
      </c>
      <c r="F585" s="595">
        <v>3.17</v>
      </c>
      <c r="G585" s="235">
        <v>0.35</v>
      </c>
      <c r="H585" s="235">
        <v>0.2</v>
      </c>
      <c r="I585" s="582">
        <f t="shared" si="26"/>
        <v>0.22189999999999999</v>
      </c>
      <c r="J585" s="758"/>
    </row>
    <row r="586" spans="1:10">
      <c r="A586" s="167"/>
      <c r="B586" s="167" t="s">
        <v>1046</v>
      </c>
      <c r="C586" s="397" t="s">
        <v>71</v>
      </c>
      <c r="D586" s="645">
        <v>1</v>
      </c>
      <c r="E586" s="592">
        <v>0.5</v>
      </c>
      <c r="F586" s="595">
        <v>5.78</v>
      </c>
      <c r="G586" s="235">
        <v>0.45</v>
      </c>
      <c r="H586" s="235">
        <v>0.2</v>
      </c>
      <c r="I586" s="582">
        <f t="shared" si="26"/>
        <v>0.2601</v>
      </c>
      <c r="J586" s="758"/>
    </row>
    <row r="587" spans="1:10">
      <c r="A587" s="167"/>
      <c r="B587" s="167"/>
      <c r="C587" s="397"/>
      <c r="D587" s="645"/>
      <c r="E587" s="251"/>
      <c r="F587" s="235"/>
      <c r="G587" s="235"/>
      <c r="H587" s="235"/>
      <c r="I587" s="582"/>
      <c r="J587" s="758"/>
    </row>
    <row r="588" spans="1:10">
      <c r="A588" s="167"/>
      <c r="B588" s="267"/>
      <c r="C588" s="267"/>
      <c r="D588" s="645"/>
      <c r="E588" s="167"/>
      <c r="F588" s="167"/>
      <c r="G588" s="167"/>
      <c r="H588" s="167"/>
      <c r="I588" s="583">
        <f>SUBTOTAL(9,I484:I587)</f>
        <v>39.810483749999989</v>
      </c>
      <c r="J588" s="758"/>
    </row>
    <row r="589" spans="1:10">
      <c r="A589" s="167"/>
      <c r="B589" s="267" t="s">
        <v>1288</v>
      </c>
      <c r="C589" s="267"/>
      <c r="D589" s="645"/>
      <c r="E589" s="167"/>
      <c r="F589" s="167"/>
      <c r="G589" s="167"/>
      <c r="H589" s="477"/>
      <c r="I589" s="581"/>
      <c r="J589" s="758"/>
    </row>
    <row r="590" spans="1:10">
      <c r="A590" s="167"/>
      <c r="B590" s="167" t="s">
        <v>933</v>
      </c>
      <c r="C590" s="397" t="s">
        <v>71</v>
      </c>
      <c r="D590" s="645">
        <v>1</v>
      </c>
      <c r="E590" s="645">
        <v>1</v>
      </c>
      <c r="F590" s="235">
        <v>3.5750000000000002</v>
      </c>
      <c r="G590" s="235">
        <v>3.55</v>
      </c>
      <c r="H590" s="645">
        <v>0.13500000000000001</v>
      </c>
      <c r="I590" s="585">
        <f t="shared" ref="I590:I605" si="27">+PRODUCT(D590:H590)</f>
        <v>1.7133187500000002</v>
      </c>
      <c r="J590" s="758"/>
    </row>
    <row r="591" spans="1:10">
      <c r="A591" s="167"/>
      <c r="B591" s="167" t="s">
        <v>934</v>
      </c>
      <c r="C591" s="397" t="s">
        <v>71</v>
      </c>
      <c r="D591" s="645">
        <v>1</v>
      </c>
      <c r="E591" s="645">
        <v>1</v>
      </c>
      <c r="F591" s="235">
        <v>3.55</v>
      </c>
      <c r="G591" s="235">
        <v>3.2</v>
      </c>
      <c r="H591" s="645">
        <v>0.13500000000000001</v>
      </c>
      <c r="I591" s="585">
        <f t="shared" si="27"/>
        <v>1.5336000000000001</v>
      </c>
      <c r="J591" s="758"/>
    </row>
    <row r="592" spans="1:10">
      <c r="A592" s="167"/>
      <c r="B592" s="167" t="s">
        <v>935</v>
      </c>
      <c r="C592" s="397" t="s">
        <v>71</v>
      </c>
      <c r="D592" s="645">
        <v>1</v>
      </c>
      <c r="E592" s="645">
        <v>1</v>
      </c>
      <c r="F592" s="235">
        <v>3.145</v>
      </c>
      <c r="G592" s="235">
        <v>3.05</v>
      </c>
      <c r="H592" s="645">
        <v>0.125</v>
      </c>
      <c r="I592" s="585">
        <f t="shared" si="27"/>
        <v>1.19903125</v>
      </c>
      <c r="J592" s="758"/>
    </row>
    <row r="593" spans="1:10">
      <c r="A593" s="167"/>
      <c r="B593" s="167"/>
      <c r="C593" s="397" t="s">
        <v>71</v>
      </c>
      <c r="D593" s="645">
        <v>1</v>
      </c>
      <c r="E593" s="645">
        <v>1</v>
      </c>
      <c r="F593" s="235">
        <v>0.9</v>
      </c>
      <c r="G593" s="235">
        <v>0.4</v>
      </c>
      <c r="H593" s="645">
        <v>0.125</v>
      </c>
      <c r="I593" s="585">
        <f t="shared" si="27"/>
        <v>4.5000000000000005E-2</v>
      </c>
      <c r="J593" s="758"/>
    </row>
    <row r="594" spans="1:10">
      <c r="A594" s="167"/>
      <c r="B594" s="167" t="s">
        <v>936</v>
      </c>
      <c r="C594" s="397" t="s">
        <v>71</v>
      </c>
      <c r="D594" s="645">
        <v>1</v>
      </c>
      <c r="E594" s="645">
        <v>1</v>
      </c>
      <c r="F594" s="235">
        <v>1.165</v>
      </c>
      <c r="G594" s="235">
        <v>0.51500000000000001</v>
      </c>
      <c r="H594" s="645">
        <v>0.125</v>
      </c>
      <c r="I594" s="585">
        <f t="shared" si="27"/>
        <v>7.4996875000000005E-2</v>
      </c>
      <c r="J594" s="758"/>
    </row>
    <row r="595" spans="1:10">
      <c r="A595" s="167"/>
      <c r="B595" s="167" t="s">
        <v>937</v>
      </c>
      <c r="C595" s="397" t="s">
        <v>71</v>
      </c>
      <c r="D595" s="645">
        <v>1</v>
      </c>
      <c r="E595" s="645">
        <v>1</v>
      </c>
      <c r="F595" s="235">
        <v>3.5750000000000002</v>
      </c>
      <c r="G595" s="235">
        <v>1.57</v>
      </c>
      <c r="H595" s="645">
        <v>0.125</v>
      </c>
      <c r="I595" s="585">
        <f t="shared" si="27"/>
        <v>0.70159375000000002</v>
      </c>
      <c r="J595" s="758"/>
    </row>
    <row r="596" spans="1:10">
      <c r="A596" s="167"/>
      <c r="B596" s="167" t="s">
        <v>938</v>
      </c>
      <c r="C596" s="397" t="s">
        <v>71</v>
      </c>
      <c r="D596" s="645">
        <v>1</v>
      </c>
      <c r="E596" s="645">
        <v>1</v>
      </c>
      <c r="F596" s="235">
        <v>2.5</v>
      </c>
      <c r="G596" s="235">
        <v>1.6</v>
      </c>
      <c r="H596" s="645">
        <v>0.125</v>
      </c>
      <c r="I596" s="585">
        <f t="shared" si="27"/>
        <v>0.5</v>
      </c>
      <c r="J596" s="758"/>
    </row>
    <row r="597" spans="1:10">
      <c r="A597" s="167"/>
      <c r="B597" s="167" t="s">
        <v>939</v>
      </c>
      <c r="C597" s="397" t="s">
        <v>71</v>
      </c>
      <c r="D597" s="645">
        <v>1</v>
      </c>
      <c r="E597" s="645">
        <v>1</v>
      </c>
      <c r="F597" s="235">
        <v>2.7850000000000001</v>
      </c>
      <c r="G597" s="235">
        <v>1.2</v>
      </c>
      <c r="H597" s="645">
        <v>0.125</v>
      </c>
      <c r="I597" s="585">
        <f t="shared" si="27"/>
        <v>0.41775000000000001</v>
      </c>
      <c r="J597" s="758"/>
    </row>
    <row r="598" spans="1:10">
      <c r="A598" s="167"/>
      <c r="B598" s="167" t="s">
        <v>940</v>
      </c>
      <c r="C598" s="397" t="s">
        <v>71</v>
      </c>
      <c r="D598" s="645">
        <v>1</v>
      </c>
      <c r="E598" s="645">
        <v>1</v>
      </c>
      <c r="F598" s="235">
        <v>6.3650000000000002</v>
      </c>
      <c r="G598" s="235">
        <v>3.72</v>
      </c>
      <c r="H598" s="235">
        <v>0.15</v>
      </c>
      <c r="I598" s="585">
        <f t="shared" si="27"/>
        <v>3.5516700000000001</v>
      </c>
      <c r="J598" s="758"/>
    </row>
    <row r="599" spans="1:10">
      <c r="A599" s="167"/>
      <c r="B599" s="167"/>
      <c r="C599" s="397" t="s">
        <v>71</v>
      </c>
      <c r="D599" s="645">
        <v>1</v>
      </c>
      <c r="E599" s="645">
        <v>1</v>
      </c>
      <c r="F599" s="235">
        <v>4.1150000000000002</v>
      </c>
      <c r="G599" s="235">
        <v>0.38500000000000001</v>
      </c>
      <c r="H599" s="235">
        <v>0.15</v>
      </c>
      <c r="I599" s="585">
        <f t="shared" si="27"/>
        <v>0.23764125</v>
      </c>
      <c r="J599" s="758"/>
    </row>
    <row r="600" spans="1:10">
      <c r="A600" s="167"/>
      <c r="B600" s="167" t="s">
        <v>941</v>
      </c>
      <c r="C600" s="397" t="s">
        <v>71</v>
      </c>
      <c r="D600" s="645">
        <v>1</v>
      </c>
      <c r="E600" s="645">
        <v>1</v>
      </c>
      <c r="F600" s="235">
        <v>1.5</v>
      </c>
      <c r="G600" s="235">
        <v>1.0349999999999999</v>
      </c>
      <c r="H600" s="645">
        <v>0.125</v>
      </c>
      <c r="I600" s="585">
        <f t="shared" si="27"/>
        <v>0.19406249999999997</v>
      </c>
      <c r="J600" s="758"/>
    </row>
    <row r="601" spans="1:10">
      <c r="A601" s="167"/>
      <c r="B601" s="167" t="s">
        <v>942</v>
      </c>
      <c r="C601" s="397" t="s">
        <v>71</v>
      </c>
      <c r="D601" s="645">
        <v>1</v>
      </c>
      <c r="E601" s="645">
        <v>1</v>
      </c>
      <c r="F601" s="235">
        <v>2.85</v>
      </c>
      <c r="G601" s="235">
        <v>2.335</v>
      </c>
      <c r="H601" s="645">
        <v>0.13500000000000001</v>
      </c>
      <c r="I601" s="585">
        <f t="shared" si="27"/>
        <v>0.89839125000000009</v>
      </c>
      <c r="J601" s="758"/>
    </row>
    <row r="602" spans="1:10">
      <c r="A602" s="167"/>
      <c r="B602" s="167" t="s">
        <v>943</v>
      </c>
      <c r="C602" s="397" t="s">
        <v>71</v>
      </c>
      <c r="D602" s="645">
        <v>1</v>
      </c>
      <c r="E602" s="645">
        <v>1</v>
      </c>
      <c r="F602" s="235">
        <v>6.3</v>
      </c>
      <c r="G602" s="235">
        <v>2</v>
      </c>
      <c r="H602" s="235">
        <f>(0.2+0.165)/2</f>
        <v>0.1825</v>
      </c>
      <c r="I602" s="585">
        <f t="shared" si="27"/>
        <v>2.2995000000000001</v>
      </c>
      <c r="J602" s="758"/>
    </row>
    <row r="603" spans="1:10">
      <c r="A603" s="167"/>
      <c r="B603" s="167" t="s">
        <v>944</v>
      </c>
      <c r="C603" s="397" t="s">
        <v>71</v>
      </c>
      <c r="D603" s="645">
        <v>1</v>
      </c>
      <c r="E603" s="645">
        <v>1</v>
      </c>
      <c r="F603" s="235">
        <v>4.0650000000000004</v>
      </c>
      <c r="G603" s="235">
        <v>2</v>
      </c>
      <c r="H603" s="235">
        <f>(0.2+0.165)/2</f>
        <v>0.1825</v>
      </c>
      <c r="I603" s="585">
        <f t="shared" si="27"/>
        <v>1.4837250000000002</v>
      </c>
      <c r="J603" s="758"/>
    </row>
    <row r="604" spans="1:10">
      <c r="A604" s="167"/>
      <c r="B604" s="167" t="s">
        <v>945</v>
      </c>
      <c r="C604" s="397" t="s">
        <v>71</v>
      </c>
      <c r="D604" s="645">
        <v>1</v>
      </c>
      <c r="E604" s="645">
        <v>1</v>
      </c>
      <c r="F604" s="235">
        <v>1.4</v>
      </c>
      <c r="G604" s="235">
        <v>2</v>
      </c>
      <c r="H604" s="235">
        <f>(0.2+0.165)/2</f>
        <v>0.1825</v>
      </c>
      <c r="I604" s="585">
        <f t="shared" si="27"/>
        <v>0.51100000000000001</v>
      </c>
      <c r="J604" s="758"/>
    </row>
    <row r="605" spans="1:10">
      <c r="A605" s="167"/>
      <c r="B605" s="167"/>
      <c r="C605" s="397" t="s">
        <v>71</v>
      </c>
      <c r="D605" s="645">
        <v>1</v>
      </c>
      <c r="E605" s="645">
        <v>1</v>
      </c>
      <c r="F605" s="235">
        <v>1.1850000000000001</v>
      </c>
      <c r="G605" s="235">
        <v>0.435</v>
      </c>
      <c r="H605" s="235">
        <v>0.2</v>
      </c>
      <c r="I605" s="585">
        <f t="shared" si="27"/>
        <v>0.10309500000000001</v>
      </c>
      <c r="J605" s="758"/>
    </row>
    <row r="606" spans="1:10">
      <c r="A606" s="167"/>
      <c r="B606" s="267"/>
      <c r="C606" s="397"/>
      <c r="D606" s="645"/>
      <c r="E606" s="645"/>
      <c r="F606" s="235"/>
      <c r="G606" s="235"/>
      <c r="H606" s="645"/>
      <c r="I606" s="583">
        <f>SUBTOTAL(9,I590:I605)</f>
        <v>15.464375624999997</v>
      </c>
      <c r="J606" s="758"/>
    </row>
    <row r="607" spans="1:10">
      <c r="A607" s="167"/>
      <c r="B607" s="167"/>
      <c r="C607" s="397"/>
      <c r="D607" s="645"/>
      <c r="E607" s="645"/>
      <c r="F607" s="235"/>
      <c r="G607" s="235"/>
      <c r="H607" s="645"/>
      <c r="I607" s="585"/>
      <c r="J607" s="758"/>
    </row>
    <row r="608" spans="1:10">
      <c r="A608" s="167"/>
      <c r="B608" s="267" t="s">
        <v>1289</v>
      </c>
      <c r="C608" s="397"/>
      <c r="D608" s="645"/>
      <c r="E608" s="645"/>
      <c r="F608" s="235"/>
      <c r="G608" s="235"/>
      <c r="H608" s="645"/>
      <c r="I608" s="585">
        <f>+PRODUCT(E608:H608)</f>
        <v>0</v>
      </c>
      <c r="J608" s="758"/>
    </row>
    <row r="609" spans="1:10">
      <c r="A609" s="167"/>
      <c r="B609" s="167" t="s">
        <v>946</v>
      </c>
      <c r="C609" s="397" t="s">
        <v>71</v>
      </c>
      <c r="D609" s="645">
        <v>1</v>
      </c>
      <c r="E609" s="645">
        <v>1</v>
      </c>
      <c r="F609" s="235">
        <v>3.56</v>
      </c>
      <c r="G609" s="235">
        <v>3.2749999999999999</v>
      </c>
      <c r="H609" s="645">
        <v>0.13500000000000001</v>
      </c>
      <c r="I609" s="585">
        <f t="shared" ref="I609:I623" si="28">+PRODUCT(D609:H609)</f>
        <v>1.5739650000000003</v>
      </c>
      <c r="J609" s="758"/>
    </row>
    <row r="610" spans="1:10">
      <c r="A610" s="167"/>
      <c r="B610" s="167" t="s">
        <v>947</v>
      </c>
      <c r="C610" s="397" t="s">
        <v>71</v>
      </c>
      <c r="D610" s="645">
        <v>1</v>
      </c>
      <c r="E610" s="645">
        <v>1</v>
      </c>
      <c r="F610" s="235">
        <v>3.25</v>
      </c>
      <c r="G610" s="235">
        <v>2.9249999999999998</v>
      </c>
      <c r="H610" s="645">
        <v>0.13500000000000001</v>
      </c>
      <c r="I610" s="585">
        <f t="shared" si="28"/>
        <v>1.28334375</v>
      </c>
      <c r="J610" s="758"/>
    </row>
    <row r="611" spans="1:10">
      <c r="A611" s="167"/>
      <c r="B611" s="167" t="s">
        <v>948</v>
      </c>
      <c r="C611" s="397" t="s">
        <v>71</v>
      </c>
      <c r="D611" s="645">
        <v>1</v>
      </c>
      <c r="E611" s="645">
        <v>1</v>
      </c>
      <c r="F611" s="235">
        <v>3.58</v>
      </c>
      <c r="G611" s="235">
        <v>3.05</v>
      </c>
      <c r="H611" s="645">
        <v>0.13500000000000001</v>
      </c>
      <c r="I611" s="585">
        <f t="shared" si="28"/>
        <v>1.474065</v>
      </c>
      <c r="J611" s="758"/>
    </row>
    <row r="612" spans="1:10">
      <c r="A612" s="167"/>
      <c r="B612" s="167" t="s">
        <v>939</v>
      </c>
      <c r="C612" s="397" t="s">
        <v>71</v>
      </c>
      <c r="D612" s="645">
        <v>1</v>
      </c>
      <c r="E612" s="645">
        <v>1</v>
      </c>
      <c r="F612" s="235">
        <v>2.9249999999999998</v>
      </c>
      <c r="G612" s="235">
        <v>1.7</v>
      </c>
      <c r="H612" s="645">
        <v>0.125</v>
      </c>
      <c r="I612" s="585">
        <f t="shared" si="28"/>
        <v>0.62156249999999991</v>
      </c>
      <c r="J612" s="758"/>
    </row>
    <row r="613" spans="1:10">
      <c r="A613" s="167"/>
      <c r="B613" s="167" t="s">
        <v>949</v>
      </c>
      <c r="C613" s="397" t="s">
        <v>71</v>
      </c>
      <c r="D613" s="645">
        <v>1</v>
      </c>
      <c r="E613" s="645">
        <v>1</v>
      </c>
      <c r="F613" s="235">
        <v>3.25</v>
      </c>
      <c r="G613" s="235">
        <v>2.3650000000000002</v>
      </c>
      <c r="H613" s="645">
        <v>0.13500000000000001</v>
      </c>
      <c r="I613" s="585">
        <f t="shared" si="28"/>
        <v>1.0376437500000002</v>
      </c>
      <c r="J613" s="758"/>
    </row>
    <row r="614" spans="1:10">
      <c r="A614" s="167"/>
      <c r="B614" s="167" t="s">
        <v>950</v>
      </c>
      <c r="C614" s="397" t="s">
        <v>71</v>
      </c>
      <c r="D614" s="645">
        <v>1</v>
      </c>
      <c r="E614" s="645">
        <v>1</v>
      </c>
      <c r="F614" s="235">
        <v>5.23</v>
      </c>
      <c r="G614" s="235">
        <v>3.33</v>
      </c>
      <c r="H614" s="235">
        <v>0.15</v>
      </c>
      <c r="I614" s="585">
        <f t="shared" si="28"/>
        <v>2.6123850000000002</v>
      </c>
      <c r="J614" s="758"/>
    </row>
    <row r="615" spans="1:10">
      <c r="A615" s="167"/>
      <c r="B615" s="167"/>
      <c r="C615" s="397" t="s">
        <v>71</v>
      </c>
      <c r="D615" s="645">
        <v>1</v>
      </c>
      <c r="E615" s="645">
        <v>1</v>
      </c>
      <c r="F615" s="235">
        <v>3.4</v>
      </c>
      <c r="G615" s="235">
        <v>0.94</v>
      </c>
      <c r="H615" s="235">
        <v>0.15</v>
      </c>
      <c r="I615" s="585">
        <f t="shared" si="28"/>
        <v>0.47939999999999994</v>
      </c>
      <c r="J615" s="758"/>
    </row>
    <row r="616" spans="1:10">
      <c r="A616" s="167"/>
      <c r="B616" s="167"/>
      <c r="C616" s="397" t="s">
        <v>71</v>
      </c>
      <c r="D616" s="645">
        <v>1</v>
      </c>
      <c r="E616" s="645">
        <v>1</v>
      </c>
      <c r="F616" s="235">
        <v>2.5499999999999998</v>
      </c>
      <c r="G616" s="235">
        <v>1.47</v>
      </c>
      <c r="H616" s="235">
        <v>0.15</v>
      </c>
      <c r="I616" s="585">
        <f t="shared" si="28"/>
        <v>0.56227499999999986</v>
      </c>
      <c r="J616" s="758"/>
    </row>
    <row r="617" spans="1:10">
      <c r="A617" s="167"/>
      <c r="B617" s="167" t="s">
        <v>1060</v>
      </c>
      <c r="C617" s="397" t="s">
        <v>71</v>
      </c>
      <c r="D617" s="645">
        <v>1</v>
      </c>
      <c r="E617" s="645">
        <v>1</v>
      </c>
      <c r="F617" s="235">
        <v>2.41</v>
      </c>
      <c r="G617" s="235">
        <v>1.43</v>
      </c>
      <c r="H617" s="235">
        <v>0.125</v>
      </c>
      <c r="I617" s="585">
        <f t="shared" si="28"/>
        <v>0.43078749999999999</v>
      </c>
      <c r="J617" s="758"/>
    </row>
    <row r="618" spans="1:10">
      <c r="A618" s="167"/>
      <c r="B618" s="167" t="s">
        <v>937</v>
      </c>
      <c r="C618" s="397" t="s">
        <v>71</v>
      </c>
      <c r="D618" s="645">
        <v>1</v>
      </c>
      <c r="E618" s="645">
        <v>1</v>
      </c>
      <c r="F618" s="235">
        <v>2.2250000000000001</v>
      </c>
      <c r="G618" s="235">
        <v>1.4950000000000001</v>
      </c>
      <c r="H618" s="645">
        <v>0.125</v>
      </c>
      <c r="I618" s="585">
        <f t="shared" si="28"/>
        <v>0.41579687500000007</v>
      </c>
      <c r="J618" s="758"/>
    </row>
    <row r="619" spans="1:10">
      <c r="A619" s="167"/>
      <c r="B619" s="167" t="s">
        <v>938</v>
      </c>
      <c r="C619" s="397" t="s">
        <v>71</v>
      </c>
      <c r="D619" s="645">
        <v>1</v>
      </c>
      <c r="E619" s="645">
        <v>1</v>
      </c>
      <c r="F619" s="235">
        <v>3.3849999999999998</v>
      </c>
      <c r="G619" s="235">
        <v>1.425</v>
      </c>
      <c r="H619" s="645">
        <v>0.125</v>
      </c>
      <c r="I619" s="585">
        <f t="shared" si="28"/>
        <v>0.60295312499999998</v>
      </c>
      <c r="J619" s="758"/>
    </row>
    <row r="620" spans="1:10">
      <c r="A620" s="167"/>
      <c r="B620" s="167" t="s">
        <v>951</v>
      </c>
      <c r="C620" s="397" t="s">
        <v>71</v>
      </c>
      <c r="D620" s="645">
        <v>1</v>
      </c>
      <c r="E620" s="645">
        <v>1</v>
      </c>
      <c r="F620" s="235">
        <v>2.41</v>
      </c>
      <c r="G620" s="235">
        <v>1.54</v>
      </c>
      <c r="H620" s="645">
        <v>0.125</v>
      </c>
      <c r="I620" s="585">
        <f t="shared" si="28"/>
        <v>0.46392500000000003</v>
      </c>
      <c r="J620" s="758"/>
    </row>
    <row r="621" spans="1:10">
      <c r="A621" s="167"/>
      <c r="B621" s="167" t="s">
        <v>952</v>
      </c>
      <c r="C621" s="397" t="s">
        <v>71</v>
      </c>
      <c r="D621" s="645">
        <v>1</v>
      </c>
      <c r="E621" s="645">
        <v>1</v>
      </c>
      <c r="F621" s="235">
        <v>4.665</v>
      </c>
      <c r="G621" s="235">
        <v>2</v>
      </c>
      <c r="H621" s="235">
        <f>(0.2+0.165)/2</f>
        <v>0.1825</v>
      </c>
      <c r="I621" s="585">
        <f t="shared" si="28"/>
        <v>1.702725</v>
      </c>
      <c r="J621" s="758"/>
    </row>
    <row r="622" spans="1:10">
      <c r="A622" s="167"/>
      <c r="B622" s="167" t="s">
        <v>953</v>
      </c>
      <c r="C622" s="397" t="s">
        <v>71</v>
      </c>
      <c r="D622" s="645">
        <v>1</v>
      </c>
      <c r="E622" s="645">
        <v>1</v>
      </c>
      <c r="F622" s="235">
        <v>5.1050000000000004</v>
      </c>
      <c r="G622" s="235">
        <v>2</v>
      </c>
      <c r="H622" s="235">
        <f>(0.2+0.165)/2</f>
        <v>0.1825</v>
      </c>
      <c r="I622" s="585">
        <f t="shared" si="28"/>
        <v>1.8633250000000001</v>
      </c>
      <c r="J622" s="758"/>
    </row>
    <row r="623" spans="1:10">
      <c r="A623" s="167"/>
      <c r="B623" s="167" t="s">
        <v>954</v>
      </c>
      <c r="C623" s="397" t="s">
        <v>71</v>
      </c>
      <c r="D623" s="645">
        <v>1</v>
      </c>
      <c r="E623" s="645">
        <v>1</v>
      </c>
      <c r="F623" s="235">
        <v>3.2650000000000001</v>
      </c>
      <c r="G623" s="235">
        <v>2</v>
      </c>
      <c r="H623" s="235">
        <f>(0.2+0.165)/2</f>
        <v>0.1825</v>
      </c>
      <c r="I623" s="585">
        <f t="shared" si="28"/>
        <v>1.1917249999999999</v>
      </c>
      <c r="J623" s="758"/>
    </row>
    <row r="624" spans="1:10">
      <c r="A624" s="167"/>
      <c r="B624" s="267"/>
      <c r="C624" s="267"/>
      <c r="D624" s="645"/>
      <c r="E624" s="167"/>
      <c r="F624" s="586"/>
      <c r="G624" s="586"/>
      <c r="H624" s="167"/>
      <c r="I624" s="583">
        <f>SUBTOTAL(9,I609:I623)</f>
        <v>16.315877499999999</v>
      </c>
      <c r="J624" s="758"/>
    </row>
    <row r="625" spans="1:10">
      <c r="A625" s="167"/>
      <c r="B625" s="167"/>
      <c r="C625" s="397"/>
      <c r="D625" s="645"/>
      <c r="E625" s="645"/>
      <c r="F625" s="235"/>
      <c r="G625" s="235"/>
      <c r="H625" s="645"/>
      <c r="I625" s="585"/>
      <c r="J625" s="758"/>
    </row>
    <row r="626" spans="1:10">
      <c r="A626" s="167"/>
      <c r="B626" s="267" t="s">
        <v>1290</v>
      </c>
      <c r="C626" s="397"/>
      <c r="D626" s="645"/>
      <c r="E626" s="645"/>
      <c r="F626" s="235"/>
      <c r="G626" s="235"/>
      <c r="H626" s="645"/>
      <c r="I626" s="585">
        <f>+PRODUCT(E626:H626)</f>
        <v>0</v>
      </c>
      <c r="J626" s="758"/>
    </row>
    <row r="627" spans="1:10">
      <c r="A627" s="167"/>
      <c r="B627" s="167" t="s">
        <v>946</v>
      </c>
      <c r="C627" s="397" t="s">
        <v>71</v>
      </c>
      <c r="D627" s="645">
        <v>1</v>
      </c>
      <c r="E627" s="645">
        <v>1</v>
      </c>
      <c r="F627" s="595">
        <v>3.56</v>
      </c>
      <c r="G627" s="595">
        <v>3.2450000000000001</v>
      </c>
      <c r="H627" s="645">
        <v>0.125</v>
      </c>
      <c r="I627" s="585">
        <f t="shared" ref="I627:I637" si="29">+PRODUCT(D627:H627)</f>
        <v>1.4440250000000001</v>
      </c>
      <c r="J627" s="758"/>
    </row>
    <row r="628" spans="1:10">
      <c r="A628" s="167"/>
      <c r="B628" s="167" t="s">
        <v>947</v>
      </c>
      <c r="C628" s="397" t="s">
        <v>71</v>
      </c>
      <c r="D628" s="645">
        <v>1</v>
      </c>
      <c r="E628" s="645">
        <v>1</v>
      </c>
      <c r="F628" s="595">
        <v>3.25</v>
      </c>
      <c r="G628" s="595">
        <v>2.9249999999999998</v>
      </c>
      <c r="H628" s="645">
        <v>0.13500000000000001</v>
      </c>
      <c r="I628" s="585">
        <f t="shared" si="29"/>
        <v>1.28334375</v>
      </c>
      <c r="J628" s="758"/>
    </row>
    <row r="629" spans="1:10">
      <c r="A629" s="167"/>
      <c r="B629" s="167" t="s">
        <v>939</v>
      </c>
      <c r="C629" s="397" t="s">
        <v>71</v>
      </c>
      <c r="D629" s="645">
        <v>1</v>
      </c>
      <c r="E629" s="645">
        <v>1</v>
      </c>
      <c r="F629" s="595">
        <v>2.9249999999999998</v>
      </c>
      <c r="G629" s="595">
        <v>1.7</v>
      </c>
      <c r="H629" s="645">
        <v>0.125</v>
      </c>
      <c r="I629" s="585">
        <f t="shared" si="29"/>
        <v>0.62156249999999991</v>
      </c>
      <c r="J629" s="758"/>
    </row>
    <row r="630" spans="1:10">
      <c r="A630" s="167"/>
      <c r="B630" s="167" t="s">
        <v>949</v>
      </c>
      <c r="C630" s="397" t="s">
        <v>71</v>
      </c>
      <c r="D630" s="645">
        <v>1</v>
      </c>
      <c r="E630" s="645">
        <v>1</v>
      </c>
      <c r="F630" s="595">
        <v>3.25</v>
      </c>
      <c r="G630" s="595">
        <v>2.3650000000000002</v>
      </c>
      <c r="H630" s="645">
        <v>0.13500000000000001</v>
      </c>
      <c r="I630" s="585">
        <f t="shared" si="29"/>
        <v>1.0376437500000002</v>
      </c>
      <c r="J630" s="758"/>
    </row>
    <row r="631" spans="1:10">
      <c r="A631" s="167"/>
      <c r="B631" s="167" t="s">
        <v>950</v>
      </c>
      <c r="C631" s="397" t="s">
        <v>71</v>
      </c>
      <c r="D631" s="645">
        <v>1</v>
      </c>
      <c r="E631" s="645">
        <v>1</v>
      </c>
      <c r="F631" s="235">
        <v>5.23</v>
      </c>
      <c r="G631" s="235">
        <v>3.33</v>
      </c>
      <c r="H631" s="235">
        <v>0.15</v>
      </c>
      <c r="I631" s="585">
        <f t="shared" si="29"/>
        <v>2.6123850000000002</v>
      </c>
      <c r="J631" s="758"/>
    </row>
    <row r="632" spans="1:10">
      <c r="A632" s="167"/>
      <c r="B632" s="167"/>
      <c r="C632" s="397" t="s">
        <v>71</v>
      </c>
      <c r="D632" s="645">
        <v>1</v>
      </c>
      <c r="E632" s="645">
        <v>1</v>
      </c>
      <c r="F632" s="235">
        <v>3.4</v>
      </c>
      <c r="G632" s="235">
        <v>0.94</v>
      </c>
      <c r="H632" s="235">
        <v>0.15</v>
      </c>
      <c r="I632" s="585">
        <f t="shared" si="29"/>
        <v>0.47939999999999994</v>
      </c>
      <c r="J632" s="758"/>
    </row>
    <row r="633" spans="1:10">
      <c r="A633" s="167"/>
      <c r="B633" s="167"/>
      <c r="C633" s="397" t="s">
        <v>71</v>
      </c>
      <c r="D633" s="645">
        <v>1</v>
      </c>
      <c r="E633" s="645">
        <v>1</v>
      </c>
      <c r="F633" s="235">
        <v>2.5499999999999998</v>
      </c>
      <c r="G633" s="235">
        <v>1.47</v>
      </c>
      <c r="H633" s="235">
        <v>0.15</v>
      </c>
      <c r="I633" s="585">
        <f t="shared" si="29"/>
        <v>0.56227499999999986</v>
      </c>
      <c r="J633" s="758"/>
    </row>
    <row r="634" spans="1:10">
      <c r="A634" s="167"/>
      <c r="B634" s="167" t="s">
        <v>937</v>
      </c>
      <c r="C634" s="397" t="s">
        <v>71</v>
      </c>
      <c r="D634" s="645">
        <v>1</v>
      </c>
      <c r="E634" s="645">
        <v>1</v>
      </c>
      <c r="F634" s="235">
        <v>2.2250000000000001</v>
      </c>
      <c r="G634" s="235">
        <v>1.4950000000000001</v>
      </c>
      <c r="H634" s="645">
        <v>0.125</v>
      </c>
      <c r="I634" s="585">
        <f t="shared" si="29"/>
        <v>0.41579687500000007</v>
      </c>
      <c r="J634" s="758"/>
    </row>
    <row r="635" spans="1:10">
      <c r="A635" s="167"/>
      <c r="B635" s="167" t="s">
        <v>938</v>
      </c>
      <c r="C635" s="397" t="s">
        <v>71</v>
      </c>
      <c r="D635" s="645">
        <v>1</v>
      </c>
      <c r="E635" s="645">
        <v>1</v>
      </c>
      <c r="F635" s="595">
        <v>3.3849999999999998</v>
      </c>
      <c r="G635" s="235">
        <v>1.425</v>
      </c>
      <c r="H635" s="645">
        <v>0.125</v>
      </c>
      <c r="I635" s="585">
        <f t="shared" si="29"/>
        <v>0.60295312499999998</v>
      </c>
      <c r="J635" s="758"/>
    </row>
    <row r="636" spans="1:10">
      <c r="A636" s="167"/>
      <c r="B636" s="167" t="s">
        <v>952</v>
      </c>
      <c r="C636" s="397" t="s">
        <v>71</v>
      </c>
      <c r="D636" s="645">
        <v>1</v>
      </c>
      <c r="E636" s="645">
        <v>1</v>
      </c>
      <c r="F636" s="235">
        <v>4.665</v>
      </c>
      <c r="G636" s="235">
        <v>2</v>
      </c>
      <c r="H636" s="235">
        <f>(0.2+0.165)/2</f>
        <v>0.1825</v>
      </c>
      <c r="I636" s="585">
        <f t="shared" si="29"/>
        <v>1.702725</v>
      </c>
      <c r="J636" s="758"/>
    </row>
    <row r="637" spans="1:10">
      <c r="A637" s="167"/>
      <c r="B637" s="167" t="s">
        <v>953</v>
      </c>
      <c r="C637" s="397" t="s">
        <v>71</v>
      </c>
      <c r="D637" s="645">
        <v>1</v>
      </c>
      <c r="E637" s="645">
        <v>1</v>
      </c>
      <c r="F637" s="235">
        <v>5.1050000000000004</v>
      </c>
      <c r="G637" s="235">
        <v>2</v>
      </c>
      <c r="H637" s="235">
        <f>(0.2+0.165)/2</f>
        <v>0.1825</v>
      </c>
      <c r="I637" s="585">
        <f t="shared" si="29"/>
        <v>1.8633250000000001</v>
      </c>
      <c r="J637" s="758"/>
    </row>
    <row r="638" spans="1:10">
      <c r="A638" s="167"/>
      <c r="B638" s="267"/>
      <c r="C638" s="267"/>
      <c r="D638" s="645"/>
      <c r="E638" s="167"/>
      <c r="F638" s="586"/>
      <c r="G638" s="586"/>
      <c r="H638" s="167"/>
      <c r="I638" s="583">
        <f>SUBTOTAL(9,I627:I637)</f>
        <v>12.625435</v>
      </c>
      <c r="J638" s="758"/>
    </row>
    <row r="639" spans="1:10">
      <c r="A639" s="167"/>
      <c r="B639" s="167"/>
      <c r="C639" s="167"/>
      <c r="D639" s="645"/>
      <c r="E639" s="167"/>
      <c r="F639" s="586"/>
      <c r="G639" s="586"/>
      <c r="H639" s="167"/>
      <c r="I639" s="582"/>
      <c r="J639" s="758"/>
    </row>
    <row r="640" spans="1:10">
      <c r="A640" s="167"/>
      <c r="B640" s="267" t="s">
        <v>1291</v>
      </c>
      <c r="C640" s="267"/>
      <c r="D640" s="645"/>
      <c r="E640" s="167"/>
      <c r="F640" s="586"/>
      <c r="G640" s="586"/>
      <c r="H640" s="167"/>
      <c r="I640" s="582"/>
      <c r="J640" s="758"/>
    </row>
    <row r="641" spans="1:10">
      <c r="A641" s="167"/>
      <c r="B641" s="167" t="s">
        <v>946</v>
      </c>
      <c r="C641" s="167"/>
      <c r="D641" s="645">
        <v>3</v>
      </c>
      <c r="E641" s="167">
        <v>1</v>
      </c>
      <c r="F641" s="586">
        <v>3.86</v>
      </c>
      <c r="G641" s="586">
        <v>3.25</v>
      </c>
      <c r="H641" s="167">
        <v>0.13500000000000001</v>
      </c>
      <c r="I641" s="582">
        <f t="shared" ref="I641:I654" si="30">+PRODUCT(D641:H641)</f>
        <v>5.0807250000000002</v>
      </c>
      <c r="J641" s="758"/>
    </row>
    <row r="642" spans="1:10">
      <c r="A642" s="167"/>
      <c r="B642" s="167" t="s">
        <v>947</v>
      </c>
      <c r="C642" s="167"/>
      <c r="D642" s="645">
        <v>3</v>
      </c>
      <c r="E642" s="167">
        <v>1</v>
      </c>
      <c r="F642" s="586">
        <v>3.86</v>
      </c>
      <c r="G642" s="586">
        <v>3.335</v>
      </c>
      <c r="H642" s="167">
        <v>0.13500000000000001</v>
      </c>
      <c r="I642" s="582">
        <f t="shared" si="30"/>
        <v>5.2136055000000008</v>
      </c>
      <c r="J642" s="758"/>
    </row>
    <row r="643" spans="1:10">
      <c r="A643" s="167"/>
      <c r="B643" s="167" t="s">
        <v>948</v>
      </c>
      <c r="C643" s="167"/>
      <c r="D643" s="645">
        <v>3</v>
      </c>
      <c r="E643" s="167">
        <v>1</v>
      </c>
      <c r="F643" s="586">
        <v>3.55</v>
      </c>
      <c r="G643" s="586">
        <v>3.2650000000000001</v>
      </c>
      <c r="H643" s="167">
        <v>0.125</v>
      </c>
      <c r="I643" s="582">
        <f t="shared" si="30"/>
        <v>4.34653125</v>
      </c>
      <c r="J643" s="758"/>
    </row>
    <row r="644" spans="1:10">
      <c r="A644" s="167"/>
      <c r="B644" s="167" t="s">
        <v>940</v>
      </c>
      <c r="C644" s="167"/>
      <c r="D644" s="645">
        <v>3</v>
      </c>
      <c r="E644" s="167">
        <v>1</v>
      </c>
      <c r="F644" s="586">
        <v>6.2450000000000001</v>
      </c>
      <c r="G644" s="586">
        <v>3.3149999999999999</v>
      </c>
      <c r="H644" s="167">
        <v>0.15</v>
      </c>
      <c r="I644" s="582">
        <f t="shared" si="30"/>
        <v>9.3159787499999993</v>
      </c>
      <c r="J644" s="758"/>
    </row>
    <row r="645" spans="1:10">
      <c r="A645" s="167"/>
      <c r="B645" s="167"/>
      <c r="C645" s="167"/>
      <c r="D645" s="645">
        <v>3</v>
      </c>
      <c r="E645" s="167">
        <v>1</v>
      </c>
      <c r="F645" s="586">
        <v>3.17</v>
      </c>
      <c r="G645" s="586">
        <v>1.91</v>
      </c>
      <c r="H645" s="167">
        <v>0.15</v>
      </c>
      <c r="I645" s="582">
        <f t="shared" si="30"/>
        <v>2.7246149999999996</v>
      </c>
      <c r="J645" s="758"/>
    </row>
    <row r="646" spans="1:10">
      <c r="A646" s="167"/>
      <c r="B646" s="167" t="s">
        <v>949</v>
      </c>
      <c r="C646" s="167"/>
      <c r="D646" s="645">
        <v>3</v>
      </c>
      <c r="E646" s="167">
        <v>1</v>
      </c>
      <c r="F646" s="586">
        <v>3.4350000000000001</v>
      </c>
      <c r="G646" s="586">
        <v>2.3450000000000002</v>
      </c>
      <c r="H646" s="167">
        <v>0.13500000000000001</v>
      </c>
      <c r="I646" s="582">
        <f t="shared" si="30"/>
        <v>3.2623053750000008</v>
      </c>
      <c r="J646" s="758"/>
    </row>
    <row r="647" spans="1:10">
      <c r="A647" s="167"/>
      <c r="B647" s="167" t="s">
        <v>937</v>
      </c>
      <c r="C647" s="167"/>
      <c r="D647" s="645">
        <v>3</v>
      </c>
      <c r="E647" s="167">
        <v>1</v>
      </c>
      <c r="F647" s="586">
        <v>3.86</v>
      </c>
      <c r="G647" s="586">
        <v>1.44</v>
      </c>
      <c r="H647" s="167">
        <v>0.125</v>
      </c>
      <c r="I647" s="582">
        <f t="shared" si="30"/>
        <v>2.0844</v>
      </c>
      <c r="J647" s="758"/>
    </row>
    <row r="648" spans="1:10">
      <c r="A648" s="167"/>
      <c r="B648" s="167" t="s">
        <v>938</v>
      </c>
      <c r="C648" s="167"/>
      <c r="D648" s="645">
        <v>3</v>
      </c>
      <c r="E648" s="167">
        <v>1</v>
      </c>
      <c r="F648" s="586">
        <v>3.55</v>
      </c>
      <c r="G648" s="586">
        <v>1.425</v>
      </c>
      <c r="H648" s="167">
        <v>0.125</v>
      </c>
      <c r="I648" s="582">
        <f t="shared" si="30"/>
        <v>1.8970312499999997</v>
      </c>
      <c r="J648" s="758"/>
    </row>
    <row r="649" spans="1:10">
      <c r="A649" s="167"/>
      <c r="B649" s="167" t="s">
        <v>951</v>
      </c>
      <c r="C649" s="167"/>
      <c r="D649" s="645">
        <v>3</v>
      </c>
      <c r="E649" s="167">
        <v>1</v>
      </c>
      <c r="F649" s="586">
        <v>3.55</v>
      </c>
      <c r="G649" s="586">
        <v>1.425</v>
      </c>
      <c r="H649" s="167">
        <v>0.125</v>
      </c>
      <c r="I649" s="582">
        <f t="shared" si="30"/>
        <v>1.8970312499999997</v>
      </c>
      <c r="J649" s="758"/>
    </row>
    <row r="650" spans="1:10">
      <c r="A650" s="167"/>
      <c r="B650" s="167" t="s">
        <v>936</v>
      </c>
      <c r="C650" s="167"/>
      <c r="D650" s="645">
        <v>3</v>
      </c>
      <c r="E650" s="167">
        <v>1</v>
      </c>
      <c r="F650" s="586">
        <v>1.2450000000000001</v>
      </c>
      <c r="G650" s="586">
        <v>0.51500000000000001</v>
      </c>
      <c r="H650" s="167">
        <v>0.125</v>
      </c>
      <c r="I650" s="582">
        <f t="shared" si="30"/>
        <v>0.24044062500000002</v>
      </c>
      <c r="J650" s="758"/>
    </row>
    <row r="651" spans="1:10">
      <c r="A651" s="167"/>
      <c r="B651" s="167" t="s">
        <v>936</v>
      </c>
      <c r="C651" s="167"/>
      <c r="D651" s="645">
        <v>3</v>
      </c>
      <c r="E651" s="167">
        <v>1</v>
      </c>
      <c r="F651" s="586">
        <v>0.97</v>
      </c>
      <c r="G651" s="586">
        <v>0.41499999999999998</v>
      </c>
      <c r="H651" s="167">
        <v>0.125</v>
      </c>
      <c r="I651" s="582">
        <f t="shared" si="30"/>
        <v>0.15095624999999999</v>
      </c>
      <c r="J651" s="758"/>
    </row>
    <row r="652" spans="1:10">
      <c r="A652" s="167"/>
      <c r="B652" s="167" t="s">
        <v>952</v>
      </c>
      <c r="C652" s="167"/>
      <c r="D652" s="645">
        <v>3</v>
      </c>
      <c r="E652" s="167">
        <v>1</v>
      </c>
      <c r="F652" s="586">
        <v>5.93</v>
      </c>
      <c r="G652" s="586">
        <v>2</v>
      </c>
      <c r="H652" s="593">
        <f>(0.2+0.165)/2</f>
        <v>0.1825</v>
      </c>
      <c r="I652" s="582">
        <f t="shared" si="30"/>
        <v>6.4933499999999995</v>
      </c>
      <c r="J652" s="758"/>
    </row>
    <row r="653" spans="1:10">
      <c r="A653" s="167"/>
      <c r="B653" s="167" t="s">
        <v>953</v>
      </c>
      <c r="C653" s="167"/>
      <c r="D653" s="645">
        <v>3</v>
      </c>
      <c r="E653" s="167">
        <v>1</v>
      </c>
      <c r="F653" s="586">
        <f>3.515+0.05</f>
        <v>3.5649999999999999</v>
      </c>
      <c r="G653" s="586">
        <v>2</v>
      </c>
      <c r="H653" s="593">
        <f>(0.2+0.165)/2</f>
        <v>0.1825</v>
      </c>
      <c r="I653" s="582">
        <f t="shared" si="30"/>
        <v>3.9036750000000002</v>
      </c>
      <c r="J653" s="758"/>
    </row>
    <row r="654" spans="1:10">
      <c r="A654" s="167"/>
      <c r="B654" s="167" t="s">
        <v>954</v>
      </c>
      <c r="C654" s="167"/>
      <c r="D654" s="645">
        <v>3</v>
      </c>
      <c r="E654" s="167">
        <v>1</v>
      </c>
      <c r="F654" s="586">
        <v>1.55</v>
      </c>
      <c r="G654" s="586">
        <v>2</v>
      </c>
      <c r="H654" s="593">
        <f>(0.2+0.165)/2</f>
        <v>0.1825</v>
      </c>
      <c r="I654" s="582">
        <f t="shared" si="30"/>
        <v>1.6972500000000001</v>
      </c>
      <c r="J654" s="758"/>
    </row>
    <row r="655" spans="1:10">
      <c r="A655" s="167"/>
      <c r="B655" s="267"/>
      <c r="C655" s="267"/>
      <c r="D655" s="645"/>
      <c r="E655" s="267"/>
      <c r="F655" s="269"/>
      <c r="G655" s="269"/>
      <c r="H655" s="267"/>
      <c r="I655" s="583">
        <f>SUBTOTAL(9,I640:I654)</f>
        <v>48.307895249999987</v>
      </c>
      <c r="J655" s="758"/>
    </row>
    <row r="656" spans="1:10">
      <c r="A656" s="167"/>
      <c r="B656" s="167"/>
      <c r="C656" s="167"/>
      <c r="D656" s="645"/>
      <c r="E656" s="167"/>
      <c r="F656" s="586"/>
      <c r="G656" s="586"/>
      <c r="H656" s="167"/>
      <c r="I656" s="582"/>
      <c r="J656" s="758"/>
    </row>
    <row r="657" spans="1:10">
      <c r="A657" s="167"/>
      <c r="B657" s="267" t="s">
        <v>1292</v>
      </c>
      <c r="C657" s="167"/>
      <c r="D657" s="645">
        <v>1</v>
      </c>
      <c r="E657" s="167">
        <v>1</v>
      </c>
      <c r="F657" s="594">
        <v>5.09</v>
      </c>
      <c r="G657" s="594">
        <v>1.5</v>
      </c>
      <c r="H657" s="167">
        <v>0.125</v>
      </c>
      <c r="I657" s="582">
        <f t="shared" ref="I657:I662" si="31">+PRODUCT(D657:H657)</f>
        <v>0.95437499999999997</v>
      </c>
      <c r="J657" s="758"/>
    </row>
    <row r="658" spans="1:10">
      <c r="A658" s="167"/>
      <c r="B658" s="167"/>
      <c r="C658" s="167"/>
      <c r="D658" s="645">
        <v>1</v>
      </c>
      <c r="E658" s="167">
        <v>1</v>
      </c>
      <c r="F658" s="594">
        <v>3.14</v>
      </c>
      <c r="G658" s="594">
        <v>0.95499999999999996</v>
      </c>
      <c r="H658" s="167">
        <v>0.125</v>
      </c>
      <c r="I658" s="582">
        <f t="shared" si="31"/>
        <v>0.37483749999999999</v>
      </c>
      <c r="J658" s="758"/>
    </row>
    <row r="659" spans="1:10">
      <c r="A659" s="167"/>
      <c r="B659" s="267" t="s">
        <v>955</v>
      </c>
      <c r="C659" s="167"/>
      <c r="D659" s="645">
        <v>1</v>
      </c>
      <c r="E659" s="167">
        <v>1</v>
      </c>
      <c r="F659" s="594">
        <v>3.95</v>
      </c>
      <c r="G659" s="594">
        <v>1.61</v>
      </c>
      <c r="H659" s="167">
        <v>0.125</v>
      </c>
      <c r="I659" s="582">
        <f t="shared" si="31"/>
        <v>0.79493750000000007</v>
      </c>
      <c r="J659" s="758"/>
    </row>
    <row r="660" spans="1:10">
      <c r="A660" s="167"/>
      <c r="B660" s="167"/>
      <c r="C660" s="167"/>
      <c r="D660" s="645">
        <v>1</v>
      </c>
      <c r="E660" s="167">
        <v>1</v>
      </c>
      <c r="F660" s="594">
        <v>5.6349999999999998</v>
      </c>
      <c r="G660" s="594">
        <v>2.44</v>
      </c>
      <c r="H660" s="167">
        <v>0.125</v>
      </c>
      <c r="I660" s="582">
        <f t="shared" si="31"/>
        <v>1.718675</v>
      </c>
      <c r="J660" s="758"/>
    </row>
    <row r="661" spans="1:10">
      <c r="A661" s="167"/>
      <c r="B661" s="267" t="s">
        <v>1293</v>
      </c>
      <c r="C661" s="167"/>
      <c r="D661" s="645">
        <v>1</v>
      </c>
      <c r="E661" s="167">
        <v>1</v>
      </c>
      <c r="F661" s="594">
        <v>4.79</v>
      </c>
      <c r="G661" s="594">
        <v>3.19</v>
      </c>
      <c r="H661" s="167">
        <v>0.125</v>
      </c>
      <c r="I661" s="582">
        <f t="shared" si="31"/>
        <v>1.9100124999999999</v>
      </c>
      <c r="J661" s="758"/>
    </row>
    <row r="662" spans="1:10">
      <c r="A662" s="167"/>
      <c r="B662" s="167"/>
      <c r="C662" s="167"/>
      <c r="D662" s="645">
        <v>1</v>
      </c>
      <c r="E662" s="167">
        <v>1</v>
      </c>
      <c r="F662" s="594">
        <v>1.4</v>
      </c>
      <c r="G662" s="594">
        <v>0.65500000000000003</v>
      </c>
      <c r="H662" s="167">
        <v>0.125</v>
      </c>
      <c r="I662" s="582">
        <f t="shared" si="31"/>
        <v>0.11462499999999999</v>
      </c>
      <c r="J662" s="758"/>
    </row>
    <row r="663" spans="1:10">
      <c r="A663" s="167"/>
      <c r="B663" s="267" t="s">
        <v>1051</v>
      </c>
      <c r="C663" s="167"/>
      <c r="D663" s="645"/>
      <c r="E663" s="167"/>
      <c r="F663" s="586"/>
      <c r="G663" s="586"/>
      <c r="H663" s="167"/>
      <c r="I663" s="582"/>
      <c r="J663" s="758"/>
    </row>
    <row r="664" spans="1:10">
      <c r="A664" s="167"/>
      <c r="B664" s="167" t="s">
        <v>1052</v>
      </c>
      <c r="C664" s="167"/>
      <c r="D664" s="645">
        <v>1</v>
      </c>
      <c r="E664" s="167">
        <v>2</v>
      </c>
      <c r="F664" s="586">
        <v>1.5</v>
      </c>
      <c r="G664" s="586">
        <v>1.5</v>
      </c>
      <c r="H664" s="167">
        <v>0.17499999999999999</v>
      </c>
      <c r="I664" s="582">
        <f>+PRODUCT(D664:H664)</f>
        <v>0.78749999999999998</v>
      </c>
      <c r="J664" s="758"/>
    </row>
    <row r="665" spans="1:10">
      <c r="A665" s="167"/>
      <c r="B665" s="167" t="s">
        <v>1053</v>
      </c>
      <c r="C665" s="167"/>
      <c r="D665" s="645">
        <v>1</v>
      </c>
      <c r="E665" s="167">
        <v>2</v>
      </c>
      <c r="F665" s="586">
        <v>2.4089999999999998</v>
      </c>
      <c r="G665" s="586">
        <v>1.5</v>
      </c>
      <c r="H665" s="167">
        <v>0.17499999999999999</v>
      </c>
      <c r="I665" s="582">
        <f>+PRODUCT(D665:H665)</f>
        <v>1.2647249999999999</v>
      </c>
      <c r="J665" s="758"/>
    </row>
    <row r="666" spans="1:10">
      <c r="A666" s="167"/>
      <c r="B666" s="167" t="s">
        <v>1054</v>
      </c>
      <c r="C666" s="167"/>
      <c r="D666" s="645">
        <v>1</v>
      </c>
      <c r="E666" s="167">
        <v>1</v>
      </c>
      <c r="F666" s="586">
        <v>1.484</v>
      </c>
      <c r="G666" s="586">
        <v>1.5</v>
      </c>
      <c r="H666" s="167">
        <v>0.17499999999999999</v>
      </c>
      <c r="I666" s="582">
        <f>+PRODUCT(D666:H666)</f>
        <v>0.38954999999999995</v>
      </c>
      <c r="J666" s="758"/>
    </row>
    <row r="667" spans="1:10">
      <c r="A667" s="167"/>
      <c r="B667" s="167" t="s">
        <v>1055</v>
      </c>
      <c r="C667" s="167"/>
      <c r="D667" s="645">
        <v>1</v>
      </c>
      <c r="E667" s="167">
        <v>1</v>
      </c>
      <c r="F667" s="586">
        <v>3.96</v>
      </c>
      <c r="G667" s="586">
        <v>0.26</v>
      </c>
      <c r="H667" s="167">
        <v>0.17499999999999999</v>
      </c>
      <c r="I667" s="582">
        <f>+PRODUCT(D667:H667)</f>
        <v>0.18018000000000001</v>
      </c>
      <c r="J667" s="758"/>
    </row>
    <row r="668" spans="1:10">
      <c r="A668" s="167"/>
      <c r="B668" s="167" t="s">
        <v>1056</v>
      </c>
      <c r="C668" s="167"/>
      <c r="D668" s="645">
        <v>1</v>
      </c>
      <c r="E668" s="167">
        <v>1</v>
      </c>
      <c r="F668" s="586">
        <v>3.53</v>
      </c>
      <c r="G668" s="586">
        <v>0.45</v>
      </c>
      <c r="H668" s="167">
        <v>0.23</v>
      </c>
      <c r="I668" s="582">
        <f>+PRODUCT(D668:H668)</f>
        <v>0.36535500000000004</v>
      </c>
      <c r="J668" s="758"/>
    </row>
    <row r="669" spans="1:10">
      <c r="A669" s="167"/>
      <c r="B669" s="267" t="s">
        <v>1294</v>
      </c>
      <c r="C669" s="167"/>
      <c r="D669" s="645"/>
      <c r="E669" s="167"/>
      <c r="F669" s="586"/>
      <c r="G669" s="586"/>
      <c r="H669" s="167"/>
      <c r="I669" s="582"/>
      <c r="J669" s="758"/>
    </row>
    <row r="670" spans="1:10">
      <c r="A670" s="167"/>
      <c r="B670" s="167" t="s">
        <v>1058</v>
      </c>
      <c r="C670" s="167"/>
      <c r="D670" s="645">
        <v>1</v>
      </c>
      <c r="E670" s="167">
        <v>2</v>
      </c>
      <c r="F670" s="586">
        <v>3.2</v>
      </c>
      <c r="G670" s="586">
        <v>1.5</v>
      </c>
      <c r="H670" s="167">
        <v>0.17499999999999999</v>
      </c>
      <c r="I670" s="582">
        <f>+PRODUCT(D670:H670)</f>
        <v>1.6800000000000002</v>
      </c>
      <c r="J670" s="758"/>
    </row>
    <row r="671" spans="1:10">
      <c r="A671" s="167"/>
      <c r="B671" s="167" t="s">
        <v>1053</v>
      </c>
      <c r="C671" s="167"/>
      <c r="D671" s="645">
        <v>1</v>
      </c>
      <c r="E671" s="167">
        <v>2</v>
      </c>
      <c r="F671" s="586">
        <v>3.343</v>
      </c>
      <c r="G671" s="586">
        <v>1.5</v>
      </c>
      <c r="H671" s="167">
        <v>0.17499999999999999</v>
      </c>
      <c r="I671" s="582">
        <f>+PRODUCT(D671:H671)</f>
        <v>1.7550749999999999</v>
      </c>
      <c r="J671" s="758"/>
    </row>
    <row r="672" spans="1:10">
      <c r="A672" s="167"/>
      <c r="B672" s="167" t="s">
        <v>1056</v>
      </c>
      <c r="C672" s="167"/>
      <c r="D672" s="645">
        <v>1</v>
      </c>
      <c r="E672" s="167">
        <v>1</v>
      </c>
      <c r="F672" s="586">
        <v>3.2</v>
      </c>
      <c r="G672" s="586">
        <v>0.23</v>
      </c>
      <c r="H672" s="167">
        <v>0.45</v>
      </c>
      <c r="I672" s="582">
        <f>+PRODUCT(D672:H672)</f>
        <v>0.33120000000000005</v>
      </c>
      <c r="J672" s="758"/>
    </row>
    <row r="673" spans="1:13">
      <c r="A673" s="167"/>
      <c r="B673" s="167"/>
      <c r="C673" s="167"/>
      <c r="D673" s="645"/>
      <c r="E673" s="167"/>
      <c r="F673" s="586"/>
      <c r="G673" s="586"/>
      <c r="H673" s="167"/>
      <c r="I673" s="583">
        <f>SUBTOTAL(9,I657:I672)</f>
        <v>12.6210475</v>
      </c>
      <c r="J673" s="758"/>
    </row>
    <row r="674" spans="1:13" ht="45">
      <c r="A674" s="75"/>
      <c r="B674" s="408" t="s">
        <v>930</v>
      </c>
      <c r="C674" s="77"/>
      <c r="D674" s="77"/>
      <c r="E674" s="77"/>
      <c r="F674" s="395"/>
      <c r="G674" s="395"/>
      <c r="H674" s="395"/>
      <c r="I674" s="80"/>
      <c r="J674" s="758"/>
      <c r="L674" s="396"/>
      <c r="M674" s="396"/>
    </row>
    <row r="675" spans="1:13" s="116" customFormat="1" ht="30">
      <c r="A675" s="377">
        <v>1</v>
      </c>
      <c r="B675" s="562" t="s">
        <v>922</v>
      </c>
      <c r="C675" s="397" t="s">
        <v>71</v>
      </c>
      <c r="D675" s="414">
        <v>31</v>
      </c>
      <c r="E675" s="397">
        <v>1</v>
      </c>
      <c r="F675" s="395">
        <v>0.3</v>
      </c>
      <c r="G675" s="395">
        <v>0.6</v>
      </c>
      <c r="H675" s="395">
        <v>0.45</v>
      </c>
      <c r="I675" s="475">
        <f t="shared" ref="I675:I695" si="32">PRODUCT(D675:H675)</f>
        <v>2.5109999999999997</v>
      </c>
      <c r="J675" s="758"/>
      <c r="L675" s="396"/>
      <c r="M675" s="396"/>
    </row>
    <row r="676" spans="1:13" s="116" customFormat="1">
      <c r="A676" s="377">
        <v>2</v>
      </c>
      <c r="B676" s="413" t="s">
        <v>621</v>
      </c>
      <c r="C676" s="397" t="s">
        <v>71</v>
      </c>
      <c r="D676" s="413">
        <v>15</v>
      </c>
      <c r="E676" s="397">
        <v>1</v>
      </c>
      <c r="F676" s="395">
        <v>0.3</v>
      </c>
      <c r="G676" s="395">
        <v>0.7</v>
      </c>
      <c r="H676" s="395">
        <v>0.45</v>
      </c>
      <c r="I676" s="475">
        <f t="shared" si="32"/>
        <v>1.4175</v>
      </c>
      <c r="J676" s="758"/>
      <c r="L676" s="396"/>
      <c r="M676" s="396"/>
    </row>
    <row r="677" spans="1:13" s="116" customFormat="1">
      <c r="A677" s="377">
        <v>3</v>
      </c>
      <c r="B677" s="413" t="s">
        <v>923</v>
      </c>
      <c r="C677" s="397" t="s">
        <v>71</v>
      </c>
      <c r="D677" s="413">
        <v>7</v>
      </c>
      <c r="E677" s="397">
        <v>1</v>
      </c>
      <c r="F677" s="395">
        <v>0.3</v>
      </c>
      <c r="G677" s="395">
        <v>0.71499999999999997</v>
      </c>
      <c r="H677" s="395">
        <v>0.45</v>
      </c>
      <c r="I677" s="475">
        <f t="shared" si="32"/>
        <v>0.67567500000000003</v>
      </c>
      <c r="J677" s="758"/>
      <c r="L677" s="396"/>
      <c r="M677" s="396"/>
    </row>
    <row r="678" spans="1:13" s="116" customFormat="1">
      <c r="A678" s="377">
        <v>4</v>
      </c>
      <c r="B678" s="413" t="s">
        <v>623</v>
      </c>
      <c r="C678" s="397" t="s">
        <v>71</v>
      </c>
      <c r="D678" s="413">
        <v>2</v>
      </c>
      <c r="E678" s="397">
        <v>1</v>
      </c>
      <c r="F678" s="395">
        <v>0.3</v>
      </c>
      <c r="G678" s="395">
        <v>0.8</v>
      </c>
      <c r="H678" s="395">
        <v>0.45</v>
      </c>
      <c r="I678" s="475">
        <f t="shared" si="32"/>
        <v>0.216</v>
      </c>
      <c r="J678" s="758"/>
      <c r="L678" s="396"/>
      <c r="M678" s="396"/>
    </row>
    <row r="679" spans="1:13" s="116" customFormat="1">
      <c r="A679" s="377">
        <v>5</v>
      </c>
      <c r="B679" s="410" t="s">
        <v>624</v>
      </c>
      <c r="C679" s="397" t="s">
        <v>71</v>
      </c>
      <c r="D679" s="413">
        <v>1</v>
      </c>
      <c r="E679" s="397">
        <v>1</v>
      </c>
      <c r="F679" s="395">
        <v>0.23</v>
      </c>
      <c r="G679" s="395">
        <v>0.65</v>
      </c>
      <c r="H679" s="395">
        <v>0.45</v>
      </c>
      <c r="I679" s="475">
        <f t="shared" si="32"/>
        <v>6.7275000000000015E-2</v>
      </c>
      <c r="J679" s="758"/>
      <c r="L679" s="396"/>
      <c r="M679" s="396"/>
    </row>
    <row r="680" spans="1:13" s="116" customFormat="1">
      <c r="A680" s="377">
        <v>6</v>
      </c>
      <c r="B680" s="410"/>
      <c r="C680" s="397" t="s">
        <v>71</v>
      </c>
      <c r="D680" s="413">
        <v>1</v>
      </c>
      <c r="E680" s="397">
        <v>1</v>
      </c>
      <c r="F680" s="395">
        <v>0.23</v>
      </c>
      <c r="G680" s="395">
        <f>1.65-0.23</f>
        <v>1.42</v>
      </c>
      <c r="H680" s="395">
        <v>0.45</v>
      </c>
      <c r="I680" s="475">
        <f t="shared" si="32"/>
        <v>0.14697000000000002</v>
      </c>
      <c r="J680" s="758"/>
      <c r="L680" s="396"/>
      <c r="M680" s="396"/>
    </row>
    <row r="681" spans="1:13" s="116" customFormat="1">
      <c r="A681" s="377">
        <v>7</v>
      </c>
      <c r="B681" s="410" t="s">
        <v>625</v>
      </c>
      <c r="C681" s="397" t="s">
        <v>71</v>
      </c>
      <c r="D681" s="413">
        <v>1</v>
      </c>
      <c r="E681" s="397">
        <v>1</v>
      </c>
      <c r="F681" s="395">
        <v>0.23</v>
      </c>
      <c r="G681" s="395">
        <v>0.65</v>
      </c>
      <c r="H681" s="395">
        <v>0.45</v>
      </c>
      <c r="I681" s="475">
        <f t="shared" si="32"/>
        <v>6.7275000000000015E-2</v>
      </c>
      <c r="J681" s="758"/>
      <c r="L681" s="396"/>
      <c r="M681" s="396"/>
    </row>
    <row r="682" spans="1:13" s="116" customFormat="1">
      <c r="A682" s="377">
        <v>8</v>
      </c>
      <c r="B682" s="410"/>
      <c r="C682" s="397" t="s">
        <v>71</v>
      </c>
      <c r="D682" s="413">
        <v>1</v>
      </c>
      <c r="E682" s="397">
        <v>1</v>
      </c>
      <c r="F682" s="395">
        <v>0.23</v>
      </c>
      <c r="G682" s="395">
        <f>1.85-0.23</f>
        <v>1.62</v>
      </c>
      <c r="H682" s="395">
        <v>0.45</v>
      </c>
      <c r="I682" s="475">
        <f t="shared" si="32"/>
        <v>0.16767000000000001</v>
      </c>
      <c r="J682" s="758"/>
      <c r="L682" s="396"/>
      <c r="M682" s="396"/>
    </row>
    <row r="683" spans="1:13" s="116" customFormat="1">
      <c r="A683" s="377">
        <v>9</v>
      </c>
      <c r="B683" s="410" t="s">
        <v>626</v>
      </c>
      <c r="C683" s="397" t="s">
        <v>71</v>
      </c>
      <c r="D683" s="413">
        <v>1</v>
      </c>
      <c r="E683" s="397">
        <v>1</v>
      </c>
      <c r="F683" s="395">
        <v>0.23</v>
      </c>
      <c r="G683" s="395">
        <v>1</v>
      </c>
      <c r="H683" s="395">
        <v>0.45</v>
      </c>
      <c r="I683" s="475">
        <f t="shared" si="32"/>
        <v>0.10350000000000001</v>
      </c>
      <c r="J683" s="758"/>
      <c r="L683" s="396"/>
      <c r="M683" s="396"/>
    </row>
    <row r="684" spans="1:13" s="116" customFormat="1">
      <c r="A684" s="377">
        <v>10</v>
      </c>
      <c r="B684" s="410" t="s">
        <v>627</v>
      </c>
      <c r="C684" s="397" t="s">
        <v>71</v>
      </c>
      <c r="D684" s="413">
        <v>1</v>
      </c>
      <c r="E684" s="397">
        <v>1</v>
      </c>
      <c r="F684" s="395">
        <v>0.23</v>
      </c>
      <c r="G684" s="395">
        <v>1.1499999999999999</v>
      </c>
      <c r="H684" s="395">
        <v>0.45</v>
      </c>
      <c r="I684" s="475">
        <f t="shared" si="32"/>
        <v>0.11902500000000001</v>
      </c>
      <c r="J684" s="758"/>
      <c r="L684" s="396"/>
      <c r="M684" s="396"/>
    </row>
    <row r="685" spans="1:13" s="116" customFormat="1">
      <c r="A685" s="377">
        <v>11</v>
      </c>
      <c r="B685" s="410" t="s">
        <v>628</v>
      </c>
      <c r="C685" s="397" t="s">
        <v>71</v>
      </c>
      <c r="D685" s="413">
        <v>2</v>
      </c>
      <c r="E685" s="397">
        <v>1</v>
      </c>
      <c r="F685" s="395">
        <v>0.23</v>
      </c>
      <c r="G685" s="395">
        <v>1.7</v>
      </c>
      <c r="H685" s="395">
        <v>0.45</v>
      </c>
      <c r="I685" s="475">
        <f t="shared" si="32"/>
        <v>0.35190000000000005</v>
      </c>
      <c r="J685" s="758"/>
      <c r="L685" s="396"/>
      <c r="M685" s="396"/>
    </row>
    <row r="686" spans="1:13" s="116" customFormat="1">
      <c r="A686" s="377">
        <v>12</v>
      </c>
      <c r="B686" s="410" t="s">
        <v>629</v>
      </c>
      <c r="C686" s="397" t="s">
        <v>71</v>
      </c>
      <c r="D686" s="413">
        <v>2</v>
      </c>
      <c r="E686" s="397">
        <v>1</v>
      </c>
      <c r="F686" s="395">
        <v>0.23</v>
      </c>
      <c r="G686" s="395">
        <v>1.1850000000000001</v>
      </c>
      <c r="H686" s="395">
        <v>0.45</v>
      </c>
      <c r="I686" s="475">
        <f t="shared" si="32"/>
        <v>0.24529500000000001</v>
      </c>
      <c r="J686" s="758"/>
      <c r="L686" s="396"/>
      <c r="M686" s="396"/>
    </row>
    <row r="687" spans="1:13" s="116" customFormat="1">
      <c r="A687" s="377">
        <v>13</v>
      </c>
      <c r="B687" s="410" t="s">
        <v>630</v>
      </c>
      <c r="C687" s="397" t="s">
        <v>71</v>
      </c>
      <c r="D687" s="413">
        <v>1</v>
      </c>
      <c r="E687" s="397">
        <v>1</v>
      </c>
      <c r="F687" s="395">
        <v>0.23</v>
      </c>
      <c r="G687" s="395">
        <v>1.855</v>
      </c>
      <c r="H687" s="395">
        <v>0.45</v>
      </c>
      <c r="I687" s="475">
        <f t="shared" si="32"/>
        <v>0.19199250000000001</v>
      </c>
      <c r="J687" s="758"/>
      <c r="L687" s="396"/>
      <c r="M687" s="396"/>
    </row>
    <row r="688" spans="1:13" s="116" customFormat="1">
      <c r="A688" s="377">
        <v>14</v>
      </c>
      <c r="B688" s="410" t="s">
        <v>631</v>
      </c>
      <c r="C688" s="397" t="s">
        <v>71</v>
      </c>
      <c r="D688" s="413">
        <v>1</v>
      </c>
      <c r="E688" s="397">
        <v>1</v>
      </c>
      <c r="F688" s="395">
        <v>0.23</v>
      </c>
      <c r="G688" s="395">
        <v>3.6</v>
      </c>
      <c r="H688" s="395">
        <v>0.45</v>
      </c>
      <c r="I688" s="475">
        <f t="shared" si="32"/>
        <v>0.37260000000000004</v>
      </c>
      <c r="J688" s="758"/>
      <c r="L688" s="396"/>
      <c r="M688" s="396"/>
    </row>
    <row r="689" spans="1:13" s="116" customFormat="1">
      <c r="A689" s="377">
        <v>15</v>
      </c>
      <c r="B689" s="410" t="s">
        <v>632</v>
      </c>
      <c r="C689" s="397" t="s">
        <v>71</v>
      </c>
      <c r="D689" s="413">
        <v>3</v>
      </c>
      <c r="E689" s="397">
        <v>1</v>
      </c>
      <c r="F689" s="395">
        <v>0.23</v>
      </c>
      <c r="G689" s="395">
        <v>0.65</v>
      </c>
      <c r="H689" s="395">
        <v>0.45</v>
      </c>
      <c r="I689" s="475">
        <f t="shared" si="32"/>
        <v>0.20182500000000003</v>
      </c>
      <c r="J689" s="758"/>
      <c r="L689" s="396"/>
      <c r="M689" s="396"/>
    </row>
    <row r="690" spans="1:13" s="116" customFormat="1">
      <c r="A690" s="377">
        <v>16</v>
      </c>
      <c r="B690" s="410"/>
      <c r="C690" s="397" t="s">
        <v>71</v>
      </c>
      <c r="D690" s="413">
        <v>3</v>
      </c>
      <c r="E690" s="397">
        <v>1</v>
      </c>
      <c r="F690" s="395">
        <v>0.23</v>
      </c>
      <c r="G690" s="395">
        <f>1.85-0.23</f>
        <v>1.62</v>
      </c>
      <c r="H690" s="395">
        <v>0.45</v>
      </c>
      <c r="I690" s="475">
        <f t="shared" si="32"/>
        <v>0.50301000000000007</v>
      </c>
      <c r="J690" s="758"/>
      <c r="L690" s="396"/>
      <c r="M690" s="396"/>
    </row>
    <row r="691" spans="1:13" s="116" customFormat="1">
      <c r="A691" s="377">
        <v>17</v>
      </c>
      <c r="B691" s="410" t="s">
        <v>633</v>
      </c>
      <c r="C691" s="397" t="s">
        <v>71</v>
      </c>
      <c r="D691" s="413">
        <v>1</v>
      </c>
      <c r="E691" s="397">
        <v>1</v>
      </c>
      <c r="F691" s="395">
        <v>0.23</v>
      </c>
      <c r="G691" s="395">
        <v>3.4449999999999998</v>
      </c>
      <c r="H691" s="395">
        <v>0.45</v>
      </c>
      <c r="I691" s="475">
        <f t="shared" si="32"/>
        <v>0.35655750000000003</v>
      </c>
      <c r="J691" s="758"/>
      <c r="L691" s="396"/>
      <c r="M691" s="396"/>
    </row>
    <row r="692" spans="1:13" s="116" customFormat="1">
      <c r="A692" s="377">
        <v>18</v>
      </c>
      <c r="B692" s="410" t="s">
        <v>634</v>
      </c>
      <c r="C692" s="397" t="s">
        <v>71</v>
      </c>
      <c r="D692" s="413">
        <v>1</v>
      </c>
      <c r="E692" s="397">
        <v>1</v>
      </c>
      <c r="F692" s="395">
        <v>0.23</v>
      </c>
      <c r="G692" s="395">
        <v>4.0650000000000004</v>
      </c>
      <c r="H692" s="395">
        <v>0.45</v>
      </c>
      <c r="I692" s="475">
        <f t="shared" si="32"/>
        <v>0.42072750000000009</v>
      </c>
      <c r="J692" s="758"/>
      <c r="L692" s="396"/>
      <c r="M692" s="396"/>
    </row>
    <row r="693" spans="1:13" s="116" customFormat="1">
      <c r="A693" s="377">
        <v>19</v>
      </c>
      <c r="B693" s="410" t="s">
        <v>635</v>
      </c>
      <c r="C693" s="397" t="s">
        <v>71</v>
      </c>
      <c r="D693" s="413">
        <v>1</v>
      </c>
      <c r="E693" s="397">
        <v>1</v>
      </c>
      <c r="F693" s="395">
        <v>0.23</v>
      </c>
      <c r="G693" s="395">
        <v>0.65</v>
      </c>
      <c r="H693" s="395">
        <v>0.45</v>
      </c>
      <c r="I693" s="475">
        <f t="shared" si="32"/>
        <v>6.7275000000000015E-2</v>
      </c>
      <c r="J693" s="758"/>
      <c r="L693" s="396"/>
      <c r="M693" s="396"/>
    </row>
    <row r="694" spans="1:13" s="116" customFormat="1">
      <c r="A694" s="377">
        <v>20</v>
      </c>
      <c r="B694" s="410"/>
      <c r="C694" s="397" t="s">
        <v>71</v>
      </c>
      <c r="D694" s="413">
        <v>1</v>
      </c>
      <c r="E694" s="397">
        <v>1</v>
      </c>
      <c r="F694" s="395">
        <v>0.23</v>
      </c>
      <c r="G694" s="395">
        <f>1.535-0.23</f>
        <v>1.3049999999999999</v>
      </c>
      <c r="H694" s="395">
        <v>0.45</v>
      </c>
      <c r="I694" s="475">
        <f t="shared" si="32"/>
        <v>0.13506749999999998</v>
      </c>
      <c r="J694" s="758"/>
      <c r="L694" s="396"/>
      <c r="M694" s="396"/>
    </row>
    <row r="695" spans="1:13" s="116" customFormat="1">
      <c r="A695" s="377">
        <v>21</v>
      </c>
      <c r="B695" s="410" t="s">
        <v>636</v>
      </c>
      <c r="C695" s="397" t="s">
        <v>71</v>
      </c>
      <c r="D695" s="413">
        <v>1</v>
      </c>
      <c r="E695" s="397">
        <v>1</v>
      </c>
      <c r="F695" s="395">
        <v>0.2</v>
      </c>
      <c r="G695" s="395">
        <v>3.4449999999999998</v>
      </c>
      <c r="H695" s="395">
        <v>0.45</v>
      </c>
      <c r="I695" s="475">
        <f t="shared" si="32"/>
        <v>0.31005000000000005</v>
      </c>
      <c r="J695" s="758"/>
      <c r="L695" s="396"/>
      <c r="M695" s="396"/>
    </row>
    <row r="696" spans="1:13" s="116" customFormat="1">
      <c r="A696" s="397"/>
      <c r="B696" s="410"/>
      <c r="C696" s="397"/>
      <c r="D696" s="413"/>
      <c r="E696" s="397"/>
      <c r="F696" s="395"/>
      <c r="G696" s="395"/>
      <c r="H696" s="395"/>
      <c r="I696" s="580">
        <f>SUBTOTAL(9,I675:I695)</f>
        <v>8.6481900000000014</v>
      </c>
      <c r="J696" s="758"/>
      <c r="L696" s="396"/>
      <c r="M696" s="396"/>
    </row>
    <row r="697" spans="1:13">
      <c r="A697" s="167"/>
      <c r="B697" s="167"/>
      <c r="C697" s="167"/>
      <c r="D697" s="645"/>
      <c r="E697" s="167"/>
      <c r="F697" s="586"/>
      <c r="G697" s="586"/>
      <c r="H697" s="167"/>
      <c r="I697" s="582"/>
      <c r="J697" s="758"/>
    </row>
    <row r="698" spans="1:13" ht="15.75">
      <c r="A698" s="167"/>
      <c r="B698" s="167"/>
      <c r="C698" s="167"/>
      <c r="D698" s="645"/>
      <c r="E698" s="167"/>
      <c r="F698" s="586"/>
      <c r="G698" s="586"/>
      <c r="H698" s="167"/>
      <c r="I698" s="649">
        <f>SUBTOTAL(9,I483:I697)</f>
        <v>153.79330462499996</v>
      </c>
      <c r="J698" s="758"/>
    </row>
    <row r="699" spans="1:13">
      <c r="A699" s="167"/>
      <c r="B699" s="167"/>
      <c r="C699" s="167"/>
      <c r="D699" s="645"/>
      <c r="E699" s="167"/>
      <c r="F699" s="167"/>
      <c r="G699" s="167"/>
      <c r="H699" s="167"/>
      <c r="I699" s="583"/>
      <c r="J699" s="648"/>
    </row>
  </sheetData>
  <mergeCells count="29">
    <mergeCell ref="J482:J698"/>
    <mergeCell ref="A96:J96"/>
    <mergeCell ref="J97:J219"/>
    <mergeCell ref="J58:J92"/>
    <mergeCell ref="J48:J54"/>
    <mergeCell ref="B52:B54"/>
    <mergeCell ref="J222:J480"/>
    <mergeCell ref="F36:H36"/>
    <mergeCell ref="F6:H6"/>
    <mergeCell ref="J9:J20"/>
    <mergeCell ref="J23:J32"/>
    <mergeCell ref="I36:I37"/>
    <mergeCell ref="J36:J37"/>
    <mergeCell ref="B43:B45"/>
    <mergeCell ref="J39:J45"/>
    <mergeCell ref="I6:I7"/>
    <mergeCell ref="A36:A37"/>
    <mergeCell ref="B36:B37"/>
    <mergeCell ref="C36:C37"/>
    <mergeCell ref="D36:D37"/>
    <mergeCell ref="E36:E37"/>
    <mergeCell ref="A6:A7"/>
    <mergeCell ref="B6:B7"/>
    <mergeCell ref="C6:C7"/>
    <mergeCell ref="D6:D7"/>
    <mergeCell ref="E6:E7"/>
    <mergeCell ref="J6:J7"/>
    <mergeCell ref="B13:B15"/>
    <mergeCell ref="B17:B20"/>
  </mergeCells>
  <pageMargins left="0.7" right="0.7" top="0.75" bottom="0.75" header="0.3" footer="0.3"/>
  <pageSetup paperSize="9" scale="80" fitToHeight="0" orientation="portrait" r:id="rId1"/>
  <headerFooter scaleWithDoc="0" alignWithMargins="0"/>
  <rowBreaks count="4" manualBreakCount="4">
    <brk id="56" max="9" man="1"/>
    <brk id="176" max="9" man="1"/>
    <brk id="220" max="9" man="1"/>
    <brk id="460" max="9"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9"/>
  <sheetViews>
    <sheetView workbookViewId="0">
      <pane ySplit="3" topLeftCell="A10" activePane="bottomLeft" state="frozen"/>
      <selection pane="bottomLeft" activeCell="M19" sqref="M19"/>
    </sheetView>
  </sheetViews>
  <sheetFormatPr defaultRowHeight="15"/>
  <cols>
    <col min="2" max="2" width="56.5703125" customWidth="1"/>
    <col min="8" max="8" width="9.140625" style="133"/>
  </cols>
  <sheetData>
    <row r="1" spans="1:13">
      <c r="A1" s="728" t="s">
        <v>494</v>
      </c>
      <c r="B1" s="728"/>
      <c r="C1" s="728"/>
      <c r="D1" s="728"/>
      <c r="E1" s="728"/>
      <c r="F1" s="728"/>
      <c r="G1" s="728"/>
      <c r="H1" s="728"/>
      <c r="I1" s="728"/>
      <c r="J1" s="728"/>
      <c r="K1" s="728"/>
      <c r="L1" s="728"/>
      <c r="M1" s="728"/>
    </row>
    <row r="2" spans="1:13">
      <c r="A2" s="167"/>
      <c r="B2" s="167"/>
      <c r="C2" s="167"/>
      <c r="D2" s="728" t="s">
        <v>52</v>
      </c>
      <c r="E2" s="728"/>
      <c r="F2" s="728"/>
      <c r="G2" s="728"/>
      <c r="H2" s="728"/>
      <c r="I2" s="728"/>
      <c r="J2" s="728"/>
      <c r="K2" s="728"/>
      <c r="L2" s="728"/>
      <c r="M2" s="729" t="s">
        <v>57</v>
      </c>
    </row>
    <row r="3" spans="1:13">
      <c r="A3" s="32">
        <v>3</v>
      </c>
      <c r="B3" s="33" t="s">
        <v>97</v>
      </c>
      <c r="C3" s="162"/>
      <c r="D3" s="481" t="s">
        <v>490</v>
      </c>
      <c r="E3" s="264" t="s">
        <v>491</v>
      </c>
      <c r="F3" s="481" t="s">
        <v>492</v>
      </c>
      <c r="G3" s="481" t="s">
        <v>493</v>
      </c>
      <c r="H3" s="264" t="s">
        <v>752</v>
      </c>
      <c r="I3" s="168" t="s">
        <v>753</v>
      </c>
      <c r="J3" s="647" t="s">
        <v>1295</v>
      </c>
      <c r="K3" s="589"/>
      <c r="L3" s="168"/>
      <c r="M3" s="729"/>
    </row>
    <row r="4" spans="1:13" ht="109.9" customHeight="1">
      <c r="A4" s="32"/>
      <c r="B4" s="38" t="s">
        <v>163</v>
      </c>
      <c r="C4" s="162"/>
      <c r="D4" s="168"/>
      <c r="E4" s="168"/>
      <c r="F4" s="168"/>
      <c r="G4" s="481"/>
      <c r="H4" s="264"/>
      <c r="I4" s="168"/>
      <c r="J4" s="647"/>
      <c r="K4" s="589"/>
      <c r="L4" s="168"/>
      <c r="M4" s="168"/>
    </row>
    <row r="5" spans="1:13" ht="38.25">
      <c r="A5" s="32" t="s">
        <v>98</v>
      </c>
      <c r="B5" s="39" t="s">
        <v>99</v>
      </c>
      <c r="C5" s="162" t="s">
        <v>9</v>
      </c>
      <c r="D5" s="250">
        <v>93.612500000000011</v>
      </c>
      <c r="E5" s="250">
        <v>82.707000000000022</v>
      </c>
      <c r="F5" s="250">
        <v>619.20360000000005</v>
      </c>
      <c r="G5" s="250"/>
      <c r="H5" s="265">
        <v>849.97425000000021</v>
      </c>
      <c r="I5" s="168"/>
      <c r="J5" s="647"/>
      <c r="K5" s="589"/>
      <c r="L5" s="168"/>
      <c r="M5" s="250">
        <f>SUM(D5:L5)</f>
        <v>1645.4973500000003</v>
      </c>
    </row>
    <row r="6" spans="1:13" ht="63.75">
      <c r="A6" s="32" t="s">
        <v>100</v>
      </c>
      <c r="B6" s="39" t="s">
        <v>83</v>
      </c>
      <c r="C6" s="162"/>
      <c r="D6" s="168"/>
      <c r="E6" s="168"/>
      <c r="F6" s="168"/>
      <c r="G6" s="481"/>
      <c r="H6" s="264"/>
      <c r="I6" s="168"/>
      <c r="J6" s="647"/>
      <c r="K6" s="589"/>
      <c r="L6" s="168"/>
      <c r="M6" s="168"/>
    </row>
    <row r="7" spans="1:13">
      <c r="A7" s="32" t="s">
        <v>101</v>
      </c>
      <c r="B7" s="39" t="s">
        <v>85</v>
      </c>
      <c r="C7" s="162" t="s">
        <v>9</v>
      </c>
      <c r="D7" s="168"/>
      <c r="E7" s="168"/>
      <c r="F7" s="168"/>
      <c r="G7" s="481"/>
      <c r="H7" s="264"/>
      <c r="I7" s="265">
        <f>+'SHUTTERING WORK MB'!I802</f>
        <v>1195.8149499999995</v>
      </c>
      <c r="J7" s="268">
        <f>'SHUTTERING WORK MB'!I1243</f>
        <v>1195.8149499999995</v>
      </c>
      <c r="K7" s="589"/>
      <c r="L7" s="168"/>
      <c r="M7" s="250">
        <f>SUM(D7:L7)</f>
        <v>2391.629899999999</v>
      </c>
    </row>
    <row r="8" spans="1:13" ht="25.5">
      <c r="A8" s="32" t="s">
        <v>102</v>
      </c>
      <c r="B8" s="39" t="s">
        <v>87</v>
      </c>
      <c r="C8" s="162" t="s">
        <v>9</v>
      </c>
      <c r="D8" s="168"/>
      <c r="E8" s="168"/>
      <c r="F8" s="168"/>
      <c r="G8" s="481"/>
      <c r="H8" s="264"/>
      <c r="I8" s="168"/>
      <c r="J8" s="647"/>
      <c r="K8" s="589"/>
      <c r="L8" s="168"/>
      <c r="M8" s="250">
        <f t="shared" ref="M8:M9" si="0">SUM(D8:L8)</f>
        <v>0</v>
      </c>
    </row>
    <row r="9" spans="1:13" ht="25.5">
      <c r="A9" s="32" t="s">
        <v>103</v>
      </c>
      <c r="B9" s="39" t="s">
        <v>89</v>
      </c>
      <c r="C9" s="162" t="s">
        <v>9</v>
      </c>
      <c r="D9" s="168"/>
      <c r="E9" s="168"/>
      <c r="F9" s="168"/>
      <c r="G9" s="481"/>
      <c r="H9" s="264"/>
      <c r="I9" s="168"/>
      <c r="J9" s="647"/>
      <c r="K9" s="589"/>
      <c r="L9" s="168"/>
      <c r="M9" s="250">
        <f t="shared" si="0"/>
        <v>0</v>
      </c>
    </row>
    <row r="10" spans="1:13">
      <c r="A10" s="32"/>
      <c r="B10" s="40"/>
      <c r="C10" s="162"/>
      <c r="D10" s="168"/>
      <c r="E10" s="168"/>
      <c r="F10" s="168"/>
      <c r="G10" s="481"/>
      <c r="H10" s="264"/>
      <c r="I10" s="168"/>
      <c r="J10" s="647"/>
      <c r="K10" s="589"/>
      <c r="L10" s="168"/>
      <c r="M10" s="168"/>
    </row>
    <row r="11" spans="1:13" ht="51">
      <c r="A11" s="32" t="s">
        <v>104</v>
      </c>
      <c r="B11" s="39" t="s">
        <v>91</v>
      </c>
      <c r="C11" s="162"/>
      <c r="D11" s="168"/>
      <c r="E11" s="168"/>
      <c r="F11" s="168"/>
      <c r="G11" s="481"/>
      <c r="H11" s="264"/>
      <c r="I11" s="168"/>
      <c r="J11" s="647"/>
      <c r="K11" s="589"/>
      <c r="L11" s="168"/>
      <c r="M11" s="168"/>
    </row>
    <row r="12" spans="1:13">
      <c r="A12" s="32" t="s">
        <v>105</v>
      </c>
      <c r="B12" s="39" t="s">
        <v>85</v>
      </c>
      <c r="C12" s="162" t="s">
        <v>9</v>
      </c>
      <c r="D12" s="168"/>
      <c r="E12" s="168"/>
      <c r="F12" s="168"/>
      <c r="G12" s="481"/>
      <c r="H12" s="265">
        <v>246.83</v>
      </c>
      <c r="I12" s="265">
        <f>+'SHUTTERING WORK MB'!I361</f>
        <v>751.27899999999966</v>
      </c>
      <c r="J12" s="265"/>
      <c r="K12" s="268"/>
      <c r="L12" s="168"/>
      <c r="M12" s="250">
        <f t="shared" ref="M12:M16" si="1">SUM(D12:L12)</f>
        <v>998.1089999999997</v>
      </c>
    </row>
    <row r="13" spans="1:13" ht="25.5">
      <c r="A13" s="32" t="s">
        <v>106</v>
      </c>
      <c r="B13" s="39" t="s">
        <v>87</v>
      </c>
      <c r="C13" s="162" t="s">
        <v>9</v>
      </c>
      <c r="D13" s="168"/>
      <c r="E13" s="168"/>
      <c r="F13" s="168"/>
      <c r="G13" s="481"/>
      <c r="H13" s="264"/>
      <c r="I13" s="168"/>
      <c r="J13" s="647"/>
      <c r="K13" s="589"/>
      <c r="L13" s="168"/>
      <c r="M13" s="250">
        <f t="shared" si="1"/>
        <v>0</v>
      </c>
    </row>
    <row r="14" spans="1:13" ht="25.5">
      <c r="A14" s="32" t="s">
        <v>107</v>
      </c>
      <c r="B14" s="39" t="s">
        <v>89</v>
      </c>
      <c r="C14" s="162" t="s">
        <v>9</v>
      </c>
      <c r="D14" s="168"/>
      <c r="E14" s="168"/>
      <c r="F14" s="168"/>
      <c r="G14" s="481"/>
      <c r="H14" s="264"/>
      <c r="I14" s="168"/>
      <c r="J14" s="647"/>
      <c r="K14" s="589"/>
      <c r="L14" s="168"/>
      <c r="M14" s="250">
        <f t="shared" si="1"/>
        <v>0</v>
      </c>
    </row>
    <row r="15" spans="1:13">
      <c r="A15" s="32"/>
      <c r="B15" s="39"/>
      <c r="C15" s="162"/>
      <c r="D15" s="168"/>
      <c r="E15" s="168"/>
      <c r="F15" s="168"/>
      <c r="G15" s="481"/>
      <c r="H15" s="264"/>
      <c r="I15" s="168"/>
      <c r="J15" s="647"/>
      <c r="K15" s="589"/>
      <c r="L15" s="168"/>
      <c r="M15" s="168"/>
    </row>
    <row r="16" spans="1:13" ht="63.75">
      <c r="A16" s="32" t="s">
        <v>108</v>
      </c>
      <c r="B16" s="39" t="s">
        <v>164</v>
      </c>
      <c r="C16" s="162" t="s">
        <v>9</v>
      </c>
      <c r="D16" s="168"/>
      <c r="E16" s="168"/>
      <c r="F16" s="168"/>
      <c r="G16" s="481"/>
      <c r="H16" s="264"/>
      <c r="I16" s="168"/>
      <c r="J16" s="647"/>
      <c r="K16" s="589"/>
      <c r="L16" s="168"/>
      <c r="M16" s="250">
        <f t="shared" si="1"/>
        <v>0</v>
      </c>
    </row>
    <row r="17" spans="1:13">
      <c r="A17" s="167"/>
      <c r="B17" s="167"/>
      <c r="C17" s="168"/>
      <c r="D17" s="168"/>
      <c r="E17" s="168"/>
      <c r="F17" s="168"/>
      <c r="G17" s="481"/>
      <c r="H17" s="264"/>
      <c r="I17" s="168"/>
      <c r="J17" s="647"/>
      <c r="K17" s="589"/>
      <c r="L17" s="168"/>
      <c r="M17" s="168"/>
    </row>
    <row r="18" spans="1:13">
      <c r="A18" s="167"/>
      <c r="B18" s="167"/>
      <c r="C18" s="168"/>
      <c r="D18" s="250">
        <f>SUM(D4:D17)</f>
        <v>93.612500000000011</v>
      </c>
      <c r="E18" s="250">
        <f t="shared" ref="E18:J18" si="2">SUM(E4:E17)</f>
        <v>82.707000000000022</v>
      </c>
      <c r="F18" s="250">
        <f t="shared" si="2"/>
        <v>619.20360000000005</v>
      </c>
      <c r="G18" s="250">
        <f t="shared" si="2"/>
        <v>0</v>
      </c>
      <c r="H18" s="250">
        <f t="shared" si="2"/>
        <v>1096.8042500000001</v>
      </c>
      <c r="I18" s="250">
        <f t="shared" si="2"/>
        <v>1947.093949999999</v>
      </c>
      <c r="J18" s="250">
        <f t="shared" si="2"/>
        <v>1195.8149499999995</v>
      </c>
      <c r="K18" s="589"/>
      <c r="L18" s="170" t="s">
        <v>57</v>
      </c>
      <c r="M18" s="290">
        <f>SUM(M4:M17)</f>
        <v>5035.236249999999</v>
      </c>
    </row>
    <row r="19" spans="1:13">
      <c r="A19" s="167"/>
      <c r="B19" s="167"/>
      <c r="C19" s="168"/>
      <c r="D19" s="168"/>
      <c r="E19" s="168"/>
      <c r="F19" s="168"/>
      <c r="G19" s="481"/>
      <c r="H19" s="264"/>
      <c r="I19" s="168"/>
      <c r="J19" s="647"/>
      <c r="K19" s="589"/>
      <c r="L19" s="168"/>
      <c r="M19" s="168"/>
    </row>
  </sheetData>
  <mergeCells count="3">
    <mergeCell ref="D2:L2"/>
    <mergeCell ref="M2:M3"/>
    <mergeCell ref="A1:M1"/>
  </mergeCells>
  <pageMargins left="0.7" right="0.7" top="0.75" bottom="0.75" header="0.3" footer="0.3"/>
  <pageSetup paperSize="9" scale="81"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243"/>
  <sheetViews>
    <sheetView workbookViewId="0">
      <pane ySplit="7" topLeftCell="A1232" activePane="bottomLeft" state="frozen"/>
      <selection pane="bottomLeft" activeCell="I1243" sqref="I1243"/>
    </sheetView>
  </sheetViews>
  <sheetFormatPr defaultRowHeight="15"/>
  <cols>
    <col min="2" max="2" width="21.85546875" customWidth="1"/>
    <col min="9" max="9" width="9.85546875" customWidth="1"/>
    <col min="10" max="10" width="11.140625" customWidth="1"/>
  </cols>
  <sheetData>
    <row r="1" spans="1:11">
      <c r="A1" s="66" t="s">
        <v>186</v>
      </c>
      <c r="B1" s="67"/>
      <c r="C1" s="67"/>
      <c r="D1" s="67"/>
      <c r="E1" s="67"/>
      <c r="F1" s="67"/>
      <c r="G1" s="67"/>
      <c r="H1" s="67"/>
      <c r="I1" s="67"/>
      <c r="J1" s="27"/>
    </row>
    <row r="2" spans="1:11">
      <c r="A2" s="69" t="s">
        <v>187</v>
      </c>
      <c r="B2" s="27"/>
      <c r="C2" s="27"/>
      <c r="D2" s="27"/>
      <c r="E2" s="27"/>
      <c r="F2" s="27"/>
      <c r="G2" s="27"/>
      <c r="H2" s="27"/>
      <c r="I2" s="27"/>
      <c r="J2" s="27"/>
    </row>
    <row r="3" spans="1:11">
      <c r="A3" s="69" t="s">
        <v>188</v>
      </c>
      <c r="B3" s="27"/>
      <c r="C3" s="27"/>
      <c r="D3" s="27"/>
      <c r="E3" s="27"/>
      <c r="F3" s="27"/>
      <c r="G3" s="27"/>
      <c r="H3" s="27"/>
      <c r="I3" s="27"/>
      <c r="J3" s="27"/>
    </row>
    <row r="4" spans="1:11">
      <c r="A4" s="69" t="s">
        <v>1066</v>
      </c>
      <c r="B4" s="27"/>
      <c r="C4" s="27"/>
      <c r="D4" s="27"/>
      <c r="E4" s="27"/>
      <c r="F4" s="27"/>
      <c r="G4" s="27"/>
      <c r="H4" s="27"/>
      <c r="I4" s="27"/>
      <c r="J4" s="27"/>
    </row>
    <row r="5" spans="1:11">
      <c r="A5" s="407"/>
      <c r="B5" s="406"/>
      <c r="C5" s="406"/>
      <c r="D5" s="406"/>
      <c r="E5" s="406"/>
      <c r="F5" s="406"/>
      <c r="G5" s="406"/>
      <c r="H5" s="406"/>
      <c r="I5" s="406"/>
      <c r="J5" s="590"/>
    </row>
    <row r="6" spans="1:11">
      <c r="A6" s="719" t="s">
        <v>1</v>
      </c>
      <c r="B6" s="720" t="s">
        <v>190</v>
      </c>
      <c r="C6" s="720" t="s">
        <v>3</v>
      </c>
      <c r="D6" s="720" t="s">
        <v>64</v>
      </c>
      <c r="E6" s="720" t="s">
        <v>64</v>
      </c>
      <c r="F6" s="720" t="s">
        <v>191</v>
      </c>
      <c r="G6" s="720"/>
      <c r="H6" s="720"/>
      <c r="I6" s="720" t="s">
        <v>192</v>
      </c>
      <c r="J6" s="720" t="s">
        <v>21</v>
      </c>
      <c r="K6" s="167"/>
    </row>
    <row r="7" spans="1:11">
      <c r="A7" s="719"/>
      <c r="B7" s="720"/>
      <c r="C7" s="720"/>
      <c r="D7" s="720"/>
      <c r="E7" s="720"/>
      <c r="F7" s="404" t="s">
        <v>61</v>
      </c>
      <c r="G7" s="404" t="s">
        <v>62</v>
      </c>
      <c r="H7" s="404" t="s">
        <v>193</v>
      </c>
      <c r="I7" s="720"/>
      <c r="J7" s="720"/>
      <c r="K7" s="167"/>
    </row>
    <row r="8" spans="1:11">
      <c r="A8" s="75"/>
      <c r="B8" s="81" t="s">
        <v>201</v>
      </c>
      <c r="C8" s="77"/>
      <c r="D8" s="77"/>
      <c r="E8" s="77"/>
      <c r="F8" s="77"/>
      <c r="G8" s="77"/>
      <c r="H8" s="77"/>
      <c r="I8" s="77"/>
      <c r="J8" s="78"/>
    </row>
    <row r="9" spans="1:11" s="116" customFormat="1">
      <c r="A9" s="377">
        <v>1</v>
      </c>
      <c r="B9" s="77" t="s">
        <v>548</v>
      </c>
      <c r="C9" s="77" t="s">
        <v>9</v>
      </c>
      <c r="D9" s="77">
        <v>1</v>
      </c>
      <c r="E9" s="77">
        <v>1</v>
      </c>
      <c r="F9" s="375">
        <v>0.7</v>
      </c>
      <c r="G9" s="79"/>
      <c r="H9" s="79">
        <v>0.1</v>
      </c>
      <c r="I9" s="80">
        <f t="shared" ref="I9" si="0">PRODUCT(D9:H9)</f>
        <v>6.9999999999999993E-2</v>
      </c>
      <c r="J9" s="378"/>
      <c r="K9" s="761" t="s">
        <v>490</v>
      </c>
    </row>
    <row r="10" spans="1:11">
      <c r="A10" s="75">
        <v>2</v>
      </c>
      <c r="B10" s="77" t="s">
        <v>203</v>
      </c>
      <c r="C10" s="77" t="s">
        <v>9</v>
      </c>
      <c r="D10" s="77">
        <v>1</v>
      </c>
      <c r="E10" s="77">
        <v>1</v>
      </c>
      <c r="F10" s="375">
        <f>25.89+0.515+0.515</f>
        <v>26.92</v>
      </c>
      <c r="G10" s="79"/>
      <c r="H10" s="79">
        <v>0.1</v>
      </c>
      <c r="I10" s="80">
        <f t="shared" ref="I10:I20" si="1">PRODUCT(D10:H10)</f>
        <v>2.6920000000000002</v>
      </c>
      <c r="J10" s="78"/>
      <c r="K10" s="761"/>
    </row>
    <row r="11" spans="1:11">
      <c r="A11" s="75">
        <v>3</v>
      </c>
      <c r="B11" s="77" t="s">
        <v>204</v>
      </c>
      <c r="C11" s="77" t="s">
        <v>9</v>
      </c>
      <c r="D11" s="77">
        <v>1</v>
      </c>
      <c r="E11" s="77">
        <v>1</v>
      </c>
      <c r="F11" s="375">
        <v>21.65</v>
      </c>
      <c r="G11" s="79"/>
      <c r="H11" s="79">
        <v>0.1</v>
      </c>
      <c r="I11" s="80">
        <f t="shared" si="1"/>
        <v>2.165</v>
      </c>
      <c r="J11" s="78"/>
      <c r="K11" s="761"/>
    </row>
    <row r="12" spans="1:11">
      <c r="A12" s="75">
        <v>4</v>
      </c>
      <c r="B12" s="77" t="s">
        <v>205</v>
      </c>
      <c r="C12" s="77" t="s">
        <v>9</v>
      </c>
      <c r="D12" s="77">
        <v>1</v>
      </c>
      <c r="E12" s="77">
        <v>1</v>
      </c>
      <c r="F12" s="375">
        <v>11.09</v>
      </c>
      <c r="G12" s="79"/>
      <c r="H12" s="79">
        <v>0.1</v>
      </c>
      <c r="I12" s="80">
        <f t="shared" si="1"/>
        <v>1.109</v>
      </c>
      <c r="J12" s="78"/>
      <c r="K12" s="761"/>
    </row>
    <row r="13" spans="1:11">
      <c r="A13" s="75">
        <v>5</v>
      </c>
      <c r="B13" s="77" t="s">
        <v>206</v>
      </c>
      <c r="C13" s="77" t="s">
        <v>9</v>
      </c>
      <c r="D13" s="77">
        <v>1</v>
      </c>
      <c r="E13" s="77">
        <v>1</v>
      </c>
      <c r="F13" s="375">
        <v>10.285</v>
      </c>
      <c r="G13" s="79"/>
      <c r="H13" s="79">
        <v>0.1</v>
      </c>
      <c r="I13" s="80">
        <f t="shared" si="1"/>
        <v>1.0285</v>
      </c>
      <c r="J13" s="78"/>
      <c r="K13" s="761"/>
    </row>
    <row r="14" spans="1:11">
      <c r="A14" s="75">
        <v>6</v>
      </c>
      <c r="B14" s="77" t="s">
        <v>207</v>
      </c>
      <c r="C14" s="77" t="s">
        <v>9</v>
      </c>
      <c r="D14" s="77">
        <v>1</v>
      </c>
      <c r="E14" s="77">
        <v>1</v>
      </c>
      <c r="F14" s="375">
        <v>8.875</v>
      </c>
      <c r="G14" s="79"/>
      <c r="H14" s="79">
        <v>0.1</v>
      </c>
      <c r="I14" s="80">
        <f t="shared" si="1"/>
        <v>0.88750000000000007</v>
      </c>
      <c r="J14" s="78"/>
      <c r="K14" s="761"/>
    </row>
    <row r="15" spans="1:11">
      <c r="A15" s="75">
        <v>7</v>
      </c>
      <c r="B15" s="77" t="s">
        <v>208</v>
      </c>
      <c r="C15" s="77" t="s">
        <v>9</v>
      </c>
      <c r="D15" s="77">
        <v>1</v>
      </c>
      <c r="E15" s="77">
        <v>1</v>
      </c>
      <c r="F15" s="375">
        <v>1.5</v>
      </c>
      <c r="G15" s="79"/>
      <c r="H15" s="79">
        <v>0.1</v>
      </c>
      <c r="I15" s="80">
        <f t="shared" si="1"/>
        <v>0.15000000000000002</v>
      </c>
      <c r="J15" s="78"/>
      <c r="K15" s="761"/>
    </row>
    <row r="16" spans="1:11">
      <c r="A16" s="75">
        <v>8</v>
      </c>
      <c r="B16" s="77" t="s">
        <v>209</v>
      </c>
      <c r="C16" s="77" t="s">
        <v>9</v>
      </c>
      <c r="D16" s="77">
        <v>1</v>
      </c>
      <c r="E16" s="77">
        <v>1</v>
      </c>
      <c r="F16" s="375">
        <v>3.95</v>
      </c>
      <c r="G16" s="79"/>
      <c r="H16" s="79">
        <v>0.1</v>
      </c>
      <c r="I16" s="80">
        <f t="shared" si="1"/>
        <v>0.39500000000000002</v>
      </c>
      <c r="J16" s="78"/>
      <c r="K16" s="761"/>
    </row>
    <row r="17" spans="1:11">
      <c r="A17" s="75">
        <v>9</v>
      </c>
      <c r="B17" s="77" t="s">
        <v>210</v>
      </c>
      <c r="C17" s="77" t="s">
        <v>9</v>
      </c>
      <c r="D17" s="77">
        <v>1</v>
      </c>
      <c r="E17" s="77">
        <v>1</v>
      </c>
      <c r="F17" s="375">
        <v>0.81499999999999995</v>
      </c>
      <c r="G17" s="79"/>
      <c r="H17" s="79">
        <v>0.1</v>
      </c>
      <c r="I17" s="80">
        <f t="shared" si="1"/>
        <v>8.1500000000000003E-2</v>
      </c>
      <c r="J17" s="78"/>
      <c r="K17" s="761"/>
    </row>
    <row r="18" spans="1:11">
      <c r="A18" s="75">
        <v>10</v>
      </c>
      <c r="B18" s="77" t="s">
        <v>211</v>
      </c>
      <c r="C18" s="77" t="s">
        <v>9</v>
      </c>
      <c r="D18" s="77">
        <v>1</v>
      </c>
      <c r="E18" s="77">
        <v>1</v>
      </c>
      <c r="F18" s="375">
        <v>1.6950000000000001</v>
      </c>
      <c r="G18" s="79"/>
      <c r="H18" s="79">
        <v>0.1</v>
      </c>
      <c r="I18" s="80">
        <f t="shared" si="1"/>
        <v>0.16950000000000001</v>
      </c>
      <c r="J18" s="78"/>
      <c r="K18" s="761"/>
    </row>
    <row r="19" spans="1:11">
      <c r="A19" s="75">
        <v>11</v>
      </c>
      <c r="B19" s="77" t="s">
        <v>212</v>
      </c>
      <c r="C19" s="77" t="s">
        <v>9</v>
      </c>
      <c r="D19" s="77">
        <v>1</v>
      </c>
      <c r="E19" s="77">
        <v>1</v>
      </c>
      <c r="F19" s="375">
        <v>1.405</v>
      </c>
      <c r="G19" s="79"/>
      <c r="H19" s="79">
        <v>0.1</v>
      </c>
      <c r="I19" s="80">
        <f t="shared" si="1"/>
        <v>0.14050000000000001</v>
      </c>
      <c r="J19" s="78"/>
      <c r="K19" s="761"/>
    </row>
    <row r="20" spans="1:11" ht="30">
      <c r="A20" s="75">
        <v>12</v>
      </c>
      <c r="B20" s="77" t="s">
        <v>213</v>
      </c>
      <c r="C20" s="77" t="s">
        <v>9</v>
      </c>
      <c r="D20" s="77">
        <v>1</v>
      </c>
      <c r="E20" s="77">
        <v>1</v>
      </c>
      <c r="F20" s="375">
        <f>11.285-9</f>
        <v>2.2850000000000001</v>
      </c>
      <c r="G20" s="79"/>
      <c r="H20" s="79">
        <v>0.1</v>
      </c>
      <c r="I20" s="80">
        <f t="shared" si="1"/>
        <v>0.22850000000000004</v>
      </c>
      <c r="J20" s="376" t="s">
        <v>547</v>
      </c>
      <c r="K20" s="761"/>
    </row>
    <row r="21" spans="1:11">
      <c r="A21" s="75"/>
      <c r="B21" s="81" t="s">
        <v>214</v>
      </c>
      <c r="C21" s="77"/>
      <c r="D21" s="77"/>
      <c r="E21" s="77"/>
      <c r="F21" s="77"/>
      <c r="G21" s="77"/>
      <c r="H21" s="77"/>
      <c r="I21" s="77"/>
      <c r="J21" s="78"/>
      <c r="K21" s="761"/>
    </row>
    <row r="22" spans="1:11">
      <c r="A22" s="75">
        <v>1</v>
      </c>
      <c r="B22" s="77" t="s">
        <v>202</v>
      </c>
      <c r="C22" s="77" t="s">
        <v>9</v>
      </c>
      <c r="D22" s="77">
        <v>1</v>
      </c>
      <c r="E22" s="77">
        <v>1</v>
      </c>
      <c r="F22" s="375">
        <v>11.005000000000001</v>
      </c>
      <c r="G22" s="79"/>
      <c r="H22" s="79">
        <f t="shared" ref="H22:H34" si="2">0.85-0.3</f>
        <v>0.55000000000000004</v>
      </c>
      <c r="I22" s="80">
        <f t="shared" ref="I22:I35" si="3">PRODUCT(D22:H22)</f>
        <v>6.0527500000000005</v>
      </c>
      <c r="J22" s="78"/>
      <c r="K22" s="761"/>
    </row>
    <row r="23" spans="1:11">
      <c r="A23" s="75">
        <f>+A22+1</f>
        <v>2</v>
      </c>
      <c r="B23" s="77" t="s">
        <v>549</v>
      </c>
      <c r="C23" s="77" t="s">
        <v>9</v>
      </c>
      <c r="D23" s="77">
        <v>1</v>
      </c>
      <c r="E23" s="77">
        <v>1</v>
      </c>
      <c r="F23" s="375">
        <v>12.414999999999999</v>
      </c>
      <c r="G23" s="79"/>
      <c r="H23" s="79">
        <f t="shared" si="2"/>
        <v>0.55000000000000004</v>
      </c>
      <c r="I23" s="80">
        <f t="shared" ref="I23" si="4">PRODUCT(D23:H23)</f>
        <v>6.8282499999999997</v>
      </c>
      <c r="J23" s="78"/>
      <c r="K23" s="761"/>
    </row>
    <row r="24" spans="1:11">
      <c r="A24" s="75">
        <f t="shared" ref="A24:A35" si="5">+A23+1</f>
        <v>3</v>
      </c>
      <c r="B24" s="77" t="s">
        <v>203</v>
      </c>
      <c r="C24" s="77" t="s">
        <v>9</v>
      </c>
      <c r="D24" s="77">
        <v>1</v>
      </c>
      <c r="E24" s="77">
        <v>1</v>
      </c>
      <c r="F24" s="375">
        <f>25.89+0.515+0.515</f>
        <v>26.92</v>
      </c>
      <c r="G24" s="79"/>
      <c r="H24" s="79">
        <f t="shared" si="2"/>
        <v>0.55000000000000004</v>
      </c>
      <c r="I24" s="80">
        <f t="shared" si="3"/>
        <v>14.806000000000003</v>
      </c>
      <c r="J24" s="78"/>
      <c r="K24" s="761"/>
    </row>
    <row r="25" spans="1:11">
      <c r="A25" s="75">
        <f t="shared" si="5"/>
        <v>4</v>
      </c>
      <c r="B25" s="77" t="s">
        <v>204</v>
      </c>
      <c r="C25" s="77" t="s">
        <v>9</v>
      </c>
      <c r="D25" s="77">
        <v>1</v>
      </c>
      <c r="E25" s="77">
        <v>1</v>
      </c>
      <c r="F25" s="375">
        <v>21.65</v>
      </c>
      <c r="G25" s="79"/>
      <c r="H25" s="79">
        <f t="shared" si="2"/>
        <v>0.55000000000000004</v>
      </c>
      <c r="I25" s="80">
        <f t="shared" si="3"/>
        <v>11.907500000000001</v>
      </c>
      <c r="J25" s="78"/>
      <c r="K25" s="761"/>
    </row>
    <row r="26" spans="1:11">
      <c r="A26" s="75">
        <f t="shared" si="5"/>
        <v>5</v>
      </c>
      <c r="B26" s="77" t="s">
        <v>205</v>
      </c>
      <c r="C26" s="77" t="s">
        <v>9</v>
      </c>
      <c r="D26" s="77">
        <v>1</v>
      </c>
      <c r="E26" s="77">
        <v>1</v>
      </c>
      <c r="F26" s="375">
        <v>11.09</v>
      </c>
      <c r="G26" s="79"/>
      <c r="H26" s="79">
        <f t="shared" si="2"/>
        <v>0.55000000000000004</v>
      </c>
      <c r="I26" s="80">
        <f t="shared" si="3"/>
        <v>6.0995000000000008</v>
      </c>
      <c r="J26" s="78"/>
      <c r="K26" s="761"/>
    </row>
    <row r="27" spans="1:11">
      <c r="A27" s="75">
        <f t="shared" si="5"/>
        <v>6</v>
      </c>
      <c r="B27" s="77" t="s">
        <v>206</v>
      </c>
      <c r="C27" s="77" t="s">
        <v>9</v>
      </c>
      <c r="D27" s="77">
        <v>1</v>
      </c>
      <c r="E27" s="77">
        <v>1</v>
      </c>
      <c r="F27" s="375">
        <v>10.285</v>
      </c>
      <c r="G27" s="79"/>
      <c r="H27" s="79">
        <f t="shared" si="2"/>
        <v>0.55000000000000004</v>
      </c>
      <c r="I27" s="80">
        <f t="shared" si="3"/>
        <v>5.6567500000000006</v>
      </c>
      <c r="J27" s="78"/>
      <c r="K27" s="761"/>
    </row>
    <row r="28" spans="1:11">
      <c r="A28" s="75">
        <f t="shared" si="5"/>
        <v>7</v>
      </c>
      <c r="B28" s="77" t="s">
        <v>207</v>
      </c>
      <c r="C28" s="77" t="s">
        <v>9</v>
      </c>
      <c r="D28" s="77">
        <v>1</v>
      </c>
      <c r="E28" s="77">
        <v>1</v>
      </c>
      <c r="F28" s="375">
        <v>8.875</v>
      </c>
      <c r="G28" s="79"/>
      <c r="H28" s="79">
        <f t="shared" si="2"/>
        <v>0.55000000000000004</v>
      </c>
      <c r="I28" s="80">
        <f t="shared" si="3"/>
        <v>4.8812500000000005</v>
      </c>
      <c r="J28" s="78"/>
      <c r="K28" s="761"/>
    </row>
    <row r="29" spans="1:11">
      <c r="A29" s="75">
        <f t="shared" si="5"/>
        <v>8</v>
      </c>
      <c r="B29" s="77" t="s">
        <v>208</v>
      </c>
      <c r="C29" s="77" t="s">
        <v>9</v>
      </c>
      <c r="D29" s="77">
        <v>1</v>
      </c>
      <c r="E29" s="77">
        <v>1</v>
      </c>
      <c r="F29" s="375">
        <v>1.5</v>
      </c>
      <c r="G29" s="79"/>
      <c r="H29" s="79">
        <f t="shared" si="2"/>
        <v>0.55000000000000004</v>
      </c>
      <c r="I29" s="80">
        <f t="shared" si="3"/>
        <v>0.82500000000000007</v>
      </c>
      <c r="J29" s="78"/>
      <c r="K29" s="761"/>
    </row>
    <row r="30" spans="1:11">
      <c r="A30" s="75">
        <f t="shared" si="5"/>
        <v>9</v>
      </c>
      <c r="B30" s="77" t="s">
        <v>209</v>
      </c>
      <c r="C30" s="77" t="s">
        <v>9</v>
      </c>
      <c r="D30" s="77">
        <v>1</v>
      </c>
      <c r="E30" s="77">
        <v>1</v>
      </c>
      <c r="F30" s="375">
        <v>3.95</v>
      </c>
      <c r="G30" s="79"/>
      <c r="H30" s="79">
        <f t="shared" si="2"/>
        <v>0.55000000000000004</v>
      </c>
      <c r="I30" s="80">
        <f t="shared" si="3"/>
        <v>2.1725000000000003</v>
      </c>
      <c r="J30" s="78"/>
      <c r="K30" s="761"/>
    </row>
    <row r="31" spans="1:11">
      <c r="A31" s="75">
        <f t="shared" si="5"/>
        <v>10</v>
      </c>
      <c r="B31" s="77" t="s">
        <v>210</v>
      </c>
      <c r="C31" s="77" t="s">
        <v>9</v>
      </c>
      <c r="D31" s="77">
        <v>1</v>
      </c>
      <c r="E31" s="77">
        <v>1</v>
      </c>
      <c r="F31" s="375">
        <v>0.81499999999999995</v>
      </c>
      <c r="G31" s="79"/>
      <c r="H31" s="79">
        <f t="shared" si="2"/>
        <v>0.55000000000000004</v>
      </c>
      <c r="I31" s="80">
        <f t="shared" si="3"/>
        <v>0.44824999999999998</v>
      </c>
      <c r="J31" s="78"/>
      <c r="K31" s="761"/>
    </row>
    <row r="32" spans="1:11">
      <c r="A32" s="75">
        <f t="shared" si="5"/>
        <v>11</v>
      </c>
      <c r="B32" s="77" t="s">
        <v>211</v>
      </c>
      <c r="C32" s="77" t="s">
        <v>9</v>
      </c>
      <c r="D32" s="77">
        <v>1</v>
      </c>
      <c r="E32" s="77">
        <v>1</v>
      </c>
      <c r="F32" s="375">
        <v>1.6950000000000001</v>
      </c>
      <c r="G32" s="79"/>
      <c r="H32" s="79">
        <f t="shared" si="2"/>
        <v>0.55000000000000004</v>
      </c>
      <c r="I32" s="80">
        <f t="shared" si="3"/>
        <v>0.93225000000000013</v>
      </c>
      <c r="J32" s="78"/>
      <c r="K32" s="761"/>
    </row>
    <row r="33" spans="1:11">
      <c r="A33" s="75">
        <f t="shared" si="5"/>
        <v>12</v>
      </c>
      <c r="B33" s="77" t="s">
        <v>212</v>
      </c>
      <c r="C33" s="77" t="s">
        <v>9</v>
      </c>
      <c r="D33" s="77">
        <v>1</v>
      </c>
      <c r="E33" s="77">
        <v>1</v>
      </c>
      <c r="F33" s="375">
        <v>1.405</v>
      </c>
      <c r="G33" s="79"/>
      <c r="H33" s="79">
        <f t="shared" si="2"/>
        <v>0.55000000000000004</v>
      </c>
      <c r="I33" s="80">
        <f t="shared" si="3"/>
        <v>0.77275000000000005</v>
      </c>
      <c r="J33" s="78"/>
      <c r="K33" s="761"/>
    </row>
    <row r="34" spans="1:11">
      <c r="A34" s="75">
        <f t="shared" si="5"/>
        <v>13</v>
      </c>
      <c r="B34" s="77" t="s">
        <v>213</v>
      </c>
      <c r="C34" s="77" t="s">
        <v>9</v>
      </c>
      <c r="D34" s="77">
        <v>1</v>
      </c>
      <c r="E34" s="77">
        <v>1</v>
      </c>
      <c r="F34" s="375">
        <v>11.285</v>
      </c>
      <c r="G34" s="79"/>
      <c r="H34" s="79">
        <f t="shared" si="2"/>
        <v>0.55000000000000004</v>
      </c>
      <c r="I34" s="80">
        <f t="shared" si="3"/>
        <v>6.2067500000000004</v>
      </c>
      <c r="J34" s="78"/>
      <c r="K34" s="761"/>
    </row>
    <row r="35" spans="1:11">
      <c r="A35" s="75">
        <f t="shared" si="5"/>
        <v>14</v>
      </c>
      <c r="B35" s="77" t="s">
        <v>213</v>
      </c>
      <c r="C35" s="77" t="s">
        <v>9</v>
      </c>
      <c r="D35" s="77">
        <v>1</v>
      </c>
      <c r="E35" s="77">
        <v>1</v>
      </c>
      <c r="F35" s="375">
        <f>15.8</f>
        <v>15.8</v>
      </c>
      <c r="G35" s="79"/>
      <c r="H35" s="395">
        <f>0.85-0.4+0.3+0.16+0.16</f>
        <v>1.07</v>
      </c>
      <c r="I35" s="80">
        <f t="shared" si="3"/>
        <v>16.906000000000002</v>
      </c>
      <c r="J35" s="78"/>
      <c r="K35" s="761"/>
    </row>
    <row r="36" spans="1:11">
      <c r="A36" s="75"/>
      <c r="B36" s="77"/>
      <c r="C36" s="77"/>
      <c r="D36" s="77"/>
      <c r="E36" s="77"/>
      <c r="F36" s="77"/>
      <c r="G36" s="77"/>
      <c r="H36" s="77"/>
      <c r="I36" s="80"/>
      <c r="J36" s="78"/>
    </row>
    <row r="37" spans="1:11">
      <c r="A37" s="75"/>
      <c r="B37" s="77"/>
      <c r="C37" s="77"/>
      <c r="D37" s="77"/>
      <c r="E37" s="77"/>
      <c r="F37" s="77"/>
      <c r="G37" s="77"/>
      <c r="H37" s="81" t="s">
        <v>57</v>
      </c>
      <c r="I37" s="82">
        <f>SUM(I8:I36)</f>
        <v>93.612500000000011</v>
      </c>
      <c r="J37" s="78"/>
    </row>
    <row r="38" spans="1:11">
      <c r="A38" s="75"/>
      <c r="B38" s="81" t="s">
        <v>201</v>
      </c>
      <c r="C38" s="77"/>
      <c r="D38" s="77"/>
      <c r="E38" s="77"/>
      <c r="F38" s="77"/>
      <c r="G38" s="77"/>
      <c r="H38" s="77"/>
      <c r="I38" s="77"/>
      <c r="J38" s="78"/>
    </row>
    <row r="39" spans="1:11" s="116" customFormat="1" ht="30">
      <c r="A39" s="377">
        <v>1</v>
      </c>
      <c r="B39" s="77" t="s">
        <v>559</v>
      </c>
      <c r="C39" s="77" t="s">
        <v>9</v>
      </c>
      <c r="D39" s="77">
        <v>1</v>
      </c>
      <c r="E39" s="77">
        <v>1</v>
      </c>
      <c r="F39" s="395">
        <v>1.5</v>
      </c>
      <c r="G39" s="79"/>
      <c r="H39" s="79">
        <v>0.1</v>
      </c>
      <c r="I39" s="80">
        <f t="shared" ref="I39:I47" si="6">PRODUCT(D39:H39)</f>
        <v>0.15000000000000002</v>
      </c>
      <c r="J39" s="378"/>
      <c r="K39" s="761" t="s">
        <v>491</v>
      </c>
    </row>
    <row r="40" spans="1:11">
      <c r="A40" s="75">
        <v>2</v>
      </c>
      <c r="B40" s="77"/>
      <c r="C40" s="77" t="s">
        <v>9</v>
      </c>
      <c r="D40" s="77">
        <v>1</v>
      </c>
      <c r="E40" s="77">
        <v>1</v>
      </c>
      <c r="F40" s="395">
        <v>8.875</v>
      </c>
      <c r="G40" s="79"/>
      <c r="H40" s="79">
        <v>0.1</v>
      </c>
      <c r="I40" s="80">
        <f t="shared" si="6"/>
        <v>0.88750000000000007</v>
      </c>
      <c r="J40" s="78"/>
      <c r="K40" s="761"/>
    </row>
    <row r="41" spans="1:11">
      <c r="A41" s="377">
        <v>3</v>
      </c>
      <c r="B41" s="77"/>
      <c r="C41" s="77" t="s">
        <v>9</v>
      </c>
      <c r="D41" s="77">
        <v>1</v>
      </c>
      <c r="E41" s="77">
        <v>1</v>
      </c>
      <c r="F41" s="395">
        <v>1.5</v>
      </c>
      <c r="G41" s="79"/>
      <c r="H41" s="79">
        <v>0.1</v>
      </c>
      <c r="I41" s="80">
        <f t="shared" si="6"/>
        <v>0.15000000000000002</v>
      </c>
      <c r="J41" s="78"/>
      <c r="K41" s="761"/>
    </row>
    <row r="42" spans="1:11">
      <c r="A42" s="75">
        <v>4</v>
      </c>
      <c r="B42" s="77"/>
      <c r="C42" s="77" t="s">
        <v>9</v>
      </c>
      <c r="D42" s="77">
        <v>1</v>
      </c>
      <c r="E42" s="77">
        <v>1</v>
      </c>
      <c r="F42" s="395">
        <v>3.95</v>
      </c>
      <c r="G42" s="79"/>
      <c r="H42" s="79">
        <v>0.1</v>
      </c>
      <c r="I42" s="80">
        <f t="shared" si="6"/>
        <v>0.39500000000000002</v>
      </c>
      <c r="J42" s="78"/>
      <c r="K42" s="761"/>
    </row>
    <row r="43" spans="1:11">
      <c r="A43" s="377">
        <v>5</v>
      </c>
      <c r="B43" s="77"/>
      <c r="C43" s="77" t="s">
        <v>9</v>
      </c>
      <c r="D43" s="77">
        <v>1</v>
      </c>
      <c r="E43" s="77">
        <v>1</v>
      </c>
      <c r="F43" s="395">
        <v>0.81499999999999995</v>
      </c>
      <c r="G43" s="79"/>
      <c r="H43" s="79">
        <v>0.1</v>
      </c>
      <c r="I43" s="80">
        <f t="shared" si="6"/>
        <v>8.1500000000000003E-2</v>
      </c>
      <c r="J43" s="78"/>
      <c r="K43" s="761"/>
    </row>
    <row r="44" spans="1:11">
      <c r="A44" s="75">
        <v>6</v>
      </c>
      <c r="B44" s="77"/>
      <c r="C44" s="77" t="s">
        <v>9</v>
      </c>
      <c r="D44" s="77">
        <v>1</v>
      </c>
      <c r="E44" s="77">
        <v>1</v>
      </c>
      <c r="F44" s="395">
        <v>1.6950000000000001</v>
      </c>
      <c r="G44" s="79"/>
      <c r="H44" s="79">
        <v>0.1</v>
      </c>
      <c r="I44" s="80">
        <f t="shared" si="6"/>
        <v>0.16950000000000001</v>
      </c>
      <c r="J44" s="78"/>
      <c r="K44" s="761"/>
    </row>
    <row r="45" spans="1:11">
      <c r="A45" s="377">
        <v>7</v>
      </c>
      <c r="B45" s="77"/>
      <c r="C45" s="77" t="s">
        <v>9</v>
      </c>
      <c r="D45" s="77">
        <v>1</v>
      </c>
      <c r="E45" s="77">
        <v>1</v>
      </c>
      <c r="F45" s="395">
        <v>1.405</v>
      </c>
      <c r="G45" s="79"/>
      <c r="H45" s="79">
        <v>0.1</v>
      </c>
      <c r="I45" s="80">
        <f t="shared" si="6"/>
        <v>0.14050000000000001</v>
      </c>
      <c r="J45" s="78"/>
      <c r="K45" s="761"/>
    </row>
    <row r="46" spans="1:11">
      <c r="A46" s="75">
        <v>8</v>
      </c>
      <c r="B46" s="77"/>
      <c r="C46" s="77" t="s">
        <v>9</v>
      </c>
      <c r="D46" s="77">
        <v>1</v>
      </c>
      <c r="E46" s="77">
        <v>1</v>
      </c>
      <c r="F46" s="395">
        <v>1.98</v>
      </c>
      <c r="G46" s="79"/>
      <c r="H46" s="79">
        <v>0.1</v>
      </c>
      <c r="I46" s="80">
        <f t="shared" si="6"/>
        <v>0.19800000000000001</v>
      </c>
      <c r="J46" s="78"/>
      <c r="K46" s="761"/>
    </row>
    <row r="47" spans="1:11">
      <c r="A47" s="377">
        <v>9</v>
      </c>
      <c r="B47" s="77"/>
      <c r="C47" s="77" t="s">
        <v>9</v>
      </c>
      <c r="D47" s="77">
        <v>1</v>
      </c>
      <c r="E47" s="77">
        <v>1</v>
      </c>
      <c r="F47" s="395">
        <v>1</v>
      </c>
      <c r="G47" s="79"/>
      <c r="H47" s="79">
        <v>0.1</v>
      </c>
      <c r="I47" s="80">
        <f t="shared" si="6"/>
        <v>0.1</v>
      </c>
      <c r="J47" s="78"/>
      <c r="K47" s="761"/>
    </row>
    <row r="48" spans="1:11" ht="30">
      <c r="A48" s="75">
        <v>10</v>
      </c>
      <c r="B48" s="77" t="s">
        <v>558</v>
      </c>
      <c r="C48" s="77" t="s">
        <v>9</v>
      </c>
      <c r="D48" s="77">
        <v>1</v>
      </c>
      <c r="E48" s="77">
        <v>1</v>
      </c>
      <c r="F48" s="395">
        <v>11.03</v>
      </c>
      <c r="G48" s="79"/>
      <c r="H48" s="79">
        <v>0.1</v>
      </c>
      <c r="I48" s="80">
        <f t="shared" ref="I48:I51" si="7">PRODUCT(D48:H48)</f>
        <v>1.103</v>
      </c>
      <c r="J48" s="376"/>
      <c r="K48" s="761"/>
    </row>
    <row r="49" spans="1:11">
      <c r="A49" s="377">
        <v>11</v>
      </c>
      <c r="B49" s="77"/>
      <c r="C49" s="77" t="s">
        <v>9</v>
      </c>
      <c r="D49" s="77">
        <v>1</v>
      </c>
      <c r="E49" s="77">
        <v>1</v>
      </c>
      <c r="F49" s="395">
        <v>8.67</v>
      </c>
      <c r="G49" s="79"/>
      <c r="H49" s="79">
        <v>0.1</v>
      </c>
      <c r="I49" s="80">
        <f t="shared" si="7"/>
        <v>0.86699999999999999</v>
      </c>
      <c r="J49" s="376"/>
      <c r="K49" s="761"/>
    </row>
    <row r="50" spans="1:11">
      <c r="A50" s="75">
        <v>12</v>
      </c>
      <c r="B50" s="77"/>
      <c r="C50" s="77" t="s">
        <v>9</v>
      </c>
      <c r="D50" s="77">
        <v>1</v>
      </c>
      <c r="E50" s="77">
        <v>1</v>
      </c>
      <c r="F50" s="395">
        <v>0.51500000000000001</v>
      </c>
      <c r="G50" s="79"/>
      <c r="H50" s="79">
        <v>0.1</v>
      </c>
      <c r="I50" s="80">
        <f t="shared" si="7"/>
        <v>5.1500000000000004E-2</v>
      </c>
      <c r="J50" s="376"/>
      <c r="K50" s="761"/>
    </row>
    <row r="51" spans="1:11">
      <c r="A51" s="377">
        <v>13</v>
      </c>
      <c r="B51" s="77"/>
      <c r="C51" s="77" t="s">
        <v>9</v>
      </c>
      <c r="D51" s="77">
        <v>1</v>
      </c>
      <c r="E51" s="77">
        <v>1</v>
      </c>
      <c r="F51" s="395">
        <f>6.065+2.715</f>
        <v>8.7800000000000011</v>
      </c>
      <c r="G51" s="79"/>
      <c r="H51" s="79">
        <v>0.1</v>
      </c>
      <c r="I51" s="80">
        <f t="shared" si="7"/>
        <v>0.87800000000000011</v>
      </c>
      <c r="J51" s="376"/>
      <c r="K51" s="761"/>
    </row>
    <row r="52" spans="1:11">
      <c r="A52" s="75">
        <v>14</v>
      </c>
      <c r="B52" s="77"/>
      <c r="C52" s="77" t="s">
        <v>9</v>
      </c>
      <c r="D52" s="77">
        <v>1</v>
      </c>
      <c r="E52" s="77">
        <v>1</v>
      </c>
      <c r="F52" s="395">
        <v>0.51500000000000001</v>
      </c>
      <c r="G52" s="79"/>
      <c r="H52" s="79">
        <v>0.1</v>
      </c>
      <c r="I52" s="80">
        <f t="shared" ref="I52:I54" si="8">PRODUCT(D52:H52)</f>
        <v>5.1500000000000004E-2</v>
      </c>
      <c r="J52" s="376"/>
      <c r="K52" s="761"/>
    </row>
    <row r="53" spans="1:11">
      <c r="A53" s="377">
        <v>15</v>
      </c>
      <c r="B53" s="77"/>
      <c r="C53" s="77" t="s">
        <v>9</v>
      </c>
      <c r="D53" s="77">
        <v>1</v>
      </c>
      <c r="E53" s="77">
        <v>1</v>
      </c>
      <c r="F53" s="395">
        <f>1.05+8.67</f>
        <v>9.7200000000000006</v>
      </c>
      <c r="G53" s="79"/>
      <c r="H53" s="79">
        <v>0.1</v>
      </c>
      <c r="I53" s="80">
        <f t="shared" si="8"/>
        <v>0.97200000000000009</v>
      </c>
      <c r="J53" s="376"/>
      <c r="K53" s="761"/>
    </row>
    <row r="54" spans="1:11">
      <c r="A54" s="75">
        <v>16</v>
      </c>
      <c r="B54" s="77"/>
      <c r="C54" s="77" t="s">
        <v>9</v>
      </c>
      <c r="D54" s="77">
        <v>1</v>
      </c>
      <c r="E54" s="77">
        <v>1</v>
      </c>
      <c r="F54" s="395">
        <v>3.27</v>
      </c>
      <c r="G54" s="79"/>
      <c r="H54" s="79">
        <v>0.1</v>
      </c>
      <c r="I54" s="80">
        <f t="shared" si="8"/>
        <v>0.32700000000000001</v>
      </c>
      <c r="J54" s="376"/>
      <c r="K54" s="761"/>
    </row>
    <row r="55" spans="1:11">
      <c r="A55" s="75"/>
      <c r="B55" s="81" t="s">
        <v>214</v>
      </c>
      <c r="C55" s="77"/>
      <c r="D55" s="77"/>
      <c r="E55" s="77"/>
      <c r="F55" s="397"/>
      <c r="G55" s="77"/>
      <c r="H55" s="77"/>
      <c r="I55" s="77"/>
      <c r="J55" s="78"/>
      <c r="K55" s="761"/>
    </row>
    <row r="56" spans="1:11">
      <c r="A56" s="75">
        <v>1</v>
      </c>
      <c r="B56" s="77" t="s">
        <v>562</v>
      </c>
      <c r="C56" s="77" t="s">
        <v>9</v>
      </c>
      <c r="D56" s="77">
        <v>1</v>
      </c>
      <c r="E56" s="77">
        <v>1</v>
      </c>
      <c r="F56" s="395">
        <f>14.275</f>
        <v>14.275</v>
      </c>
      <c r="G56" s="79"/>
      <c r="H56" s="79">
        <f t="shared" ref="H56:H67" si="9">0.85-0.3</f>
        <v>0.55000000000000004</v>
      </c>
      <c r="I56" s="80">
        <f t="shared" ref="I56:I68" si="10">PRODUCT(D56:H56)</f>
        <v>7.8512500000000012</v>
      </c>
      <c r="J56" s="78"/>
      <c r="K56" s="761"/>
    </row>
    <row r="57" spans="1:11">
      <c r="A57" s="75">
        <f>+A56+1</f>
        <v>2</v>
      </c>
      <c r="B57" s="77" t="s">
        <v>563</v>
      </c>
      <c r="C57" s="77" t="s">
        <v>9</v>
      </c>
      <c r="D57" s="77">
        <v>1</v>
      </c>
      <c r="E57" s="77">
        <v>1</v>
      </c>
      <c r="F57" s="395">
        <v>12.414999999999999</v>
      </c>
      <c r="G57" s="79"/>
      <c r="H57" s="79">
        <f t="shared" si="9"/>
        <v>0.55000000000000004</v>
      </c>
      <c r="I57" s="80">
        <f t="shared" si="10"/>
        <v>6.8282499999999997</v>
      </c>
      <c r="J57" s="78"/>
      <c r="K57" s="761"/>
    </row>
    <row r="58" spans="1:11">
      <c r="A58" s="75">
        <f t="shared" ref="A58:A68" si="11">+A57+1</f>
        <v>3</v>
      </c>
      <c r="B58" s="77" t="s">
        <v>564</v>
      </c>
      <c r="C58" s="77" t="s">
        <v>9</v>
      </c>
      <c r="D58" s="77">
        <v>1</v>
      </c>
      <c r="E58" s="77">
        <v>1</v>
      </c>
      <c r="F58" s="395">
        <f>25.89+0.515+0.515</f>
        <v>26.92</v>
      </c>
      <c r="G58" s="79"/>
      <c r="H58" s="79">
        <f t="shared" si="9"/>
        <v>0.55000000000000004</v>
      </c>
      <c r="I58" s="80">
        <f t="shared" si="10"/>
        <v>14.806000000000003</v>
      </c>
      <c r="J58" s="78"/>
      <c r="K58" s="761"/>
    </row>
    <row r="59" spans="1:11">
      <c r="A59" s="75">
        <f t="shared" si="11"/>
        <v>4</v>
      </c>
      <c r="B59" s="77" t="s">
        <v>566</v>
      </c>
      <c r="C59" s="77" t="s">
        <v>9</v>
      </c>
      <c r="D59" s="77">
        <v>1</v>
      </c>
      <c r="E59" s="77">
        <v>1</v>
      </c>
      <c r="F59" s="395">
        <v>11.09</v>
      </c>
      <c r="G59" s="79"/>
      <c r="H59" s="79">
        <f t="shared" si="9"/>
        <v>0.55000000000000004</v>
      </c>
      <c r="I59" s="80">
        <f t="shared" si="10"/>
        <v>6.0995000000000008</v>
      </c>
      <c r="J59" s="78"/>
      <c r="K59" s="761"/>
    </row>
    <row r="60" spans="1:11">
      <c r="A60" s="75">
        <f t="shared" si="11"/>
        <v>5</v>
      </c>
      <c r="B60" s="77" t="s">
        <v>567</v>
      </c>
      <c r="C60" s="77" t="s">
        <v>9</v>
      </c>
      <c r="D60" s="77">
        <v>1</v>
      </c>
      <c r="E60" s="77">
        <v>1</v>
      </c>
      <c r="F60" s="395">
        <v>10.285</v>
      </c>
      <c r="G60" s="79"/>
      <c r="H60" s="79">
        <f t="shared" si="9"/>
        <v>0.55000000000000004</v>
      </c>
      <c r="I60" s="80">
        <f t="shared" si="10"/>
        <v>5.6567500000000006</v>
      </c>
      <c r="J60" s="78"/>
      <c r="K60" s="761"/>
    </row>
    <row r="61" spans="1:11">
      <c r="A61" s="75">
        <f t="shared" si="11"/>
        <v>6</v>
      </c>
      <c r="B61" s="77" t="s">
        <v>568</v>
      </c>
      <c r="C61" s="77" t="s">
        <v>9</v>
      </c>
      <c r="D61" s="77">
        <v>1</v>
      </c>
      <c r="E61" s="77">
        <v>1</v>
      </c>
      <c r="F61" s="395">
        <v>8.875</v>
      </c>
      <c r="G61" s="79"/>
      <c r="H61" s="79">
        <f t="shared" si="9"/>
        <v>0.55000000000000004</v>
      </c>
      <c r="I61" s="80">
        <f t="shared" si="10"/>
        <v>4.8812500000000005</v>
      </c>
      <c r="J61" s="78"/>
      <c r="K61" s="761"/>
    </row>
    <row r="62" spans="1:11">
      <c r="A62" s="75">
        <f t="shared" si="11"/>
        <v>7</v>
      </c>
      <c r="B62" s="77" t="s">
        <v>569</v>
      </c>
      <c r="C62" s="77" t="s">
        <v>9</v>
      </c>
      <c r="D62" s="77">
        <v>1</v>
      </c>
      <c r="E62" s="77">
        <v>1</v>
      </c>
      <c r="F62" s="395">
        <v>1.5</v>
      </c>
      <c r="G62" s="79"/>
      <c r="H62" s="79">
        <f t="shared" si="9"/>
        <v>0.55000000000000004</v>
      </c>
      <c r="I62" s="80">
        <f t="shared" si="10"/>
        <v>0.82500000000000007</v>
      </c>
      <c r="J62" s="78"/>
      <c r="K62" s="761"/>
    </row>
    <row r="63" spans="1:11">
      <c r="A63" s="75">
        <f t="shared" si="11"/>
        <v>8</v>
      </c>
      <c r="B63" s="77" t="s">
        <v>570</v>
      </c>
      <c r="C63" s="77" t="s">
        <v>9</v>
      </c>
      <c r="D63" s="77">
        <v>1</v>
      </c>
      <c r="E63" s="77">
        <v>1</v>
      </c>
      <c r="F63" s="395">
        <v>3.95</v>
      </c>
      <c r="G63" s="79"/>
      <c r="H63" s="79">
        <f t="shared" si="9"/>
        <v>0.55000000000000004</v>
      </c>
      <c r="I63" s="80">
        <f t="shared" si="10"/>
        <v>2.1725000000000003</v>
      </c>
      <c r="J63" s="78"/>
      <c r="K63" s="761"/>
    </row>
    <row r="64" spans="1:11">
      <c r="A64" s="75">
        <f t="shared" si="11"/>
        <v>9</v>
      </c>
      <c r="B64" s="77" t="s">
        <v>571</v>
      </c>
      <c r="C64" s="77" t="s">
        <v>9</v>
      </c>
      <c r="D64" s="77">
        <v>1</v>
      </c>
      <c r="E64" s="77">
        <v>1</v>
      </c>
      <c r="F64" s="395">
        <v>0.81499999999999995</v>
      </c>
      <c r="G64" s="79"/>
      <c r="H64" s="79">
        <f t="shared" si="9"/>
        <v>0.55000000000000004</v>
      </c>
      <c r="I64" s="80">
        <f t="shared" si="10"/>
        <v>0.44824999999999998</v>
      </c>
      <c r="J64" s="78"/>
      <c r="K64" s="761"/>
    </row>
    <row r="65" spans="1:14">
      <c r="A65" s="75">
        <f t="shared" si="11"/>
        <v>10</v>
      </c>
      <c r="B65" s="77" t="s">
        <v>572</v>
      </c>
      <c r="C65" s="77" t="s">
        <v>9</v>
      </c>
      <c r="D65" s="77">
        <v>1</v>
      </c>
      <c r="E65" s="77">
        <v>1</v>
      </c>
      <c r="F65" s="395">
        <v>1.6950000000000001</v>
      </c>
      <c r="G65" s="79"/>
      <c r="H65" s="79">
        <f t="shared" si="9"/>
        <v>0.55000000000000004</v>
      </c>
      <c r="I65" s="80">
        <f t="shared" si="10"/>
        <v>0.93225000000000013</v>
      </c>
      <c r="J65" s="78"/>
      <c r="K65" s="761"/>
    </row>
    <row r="66" spans="1:14">
      <c r="A66" s="75">
        <f t="shared" si="11"/>
        <v>11</v>
      </c>
      <c r="B66" s="77" t="s">
        <v>573</v>
      </c>
      <c r="C66" s="77" t="s">
        <v>9</v>
      </c>
      <c r="D66" s="77">
        <v>1</v>
      </c>
      <c r="E66" s="77">
        <v>1</v>
      </c>
      <c r="F66" s="395">
        <v>1.405</v>
      </c>
      <c r="G66" s="79"/>
      <c r="H66" s="79">
        <f t="shared" si="9"/>
        <v>0.55000000000000004</v>
      </c>
      <c r="I66" s="80">
        <f t="shared" si="10"/>
        <v>0.77275000000000005</v>
      </c>
      <c r="J66" s="78"/>
      <c r="K66" s="761"/>
    </row>
    <row r="67" spans="1:14">
      <c r="A67" s="75">
        <f t="shared" si="11"/>
        <v>12</v>
      </c>
      <c r="B67" s="77" t="s">
        <v>574</v>
      </c>
      <c r="C67" s="77" t="s">
        <v>9</v>
      </c>
      <c r="D67" s="77">
        <v>1</v>
      </c>
      <c r="E67" s="77">
        <v>1</v>
      </c>
      <c r="F67" s="395">
        <f>14.555</f>
        <v>14.555</v>
      </c>
      <c r="G67" s="79"/>
      <c r="H67" s="79">
        <f t="shared" si="9"/>
        <v>0.55000000000000004</v>
      </c>
      <c r="I67" s="80">
        <f t="shared" si="10"/>
        <v>8.0052500000000002</v>
      </c>
      <c r="J67" s="78"/>
      <c r="K67" s="761"/>
    </row>
    <row r="68" spans="1:14">
      <c r="A68" s="75">
        <f t="shared" si="11"/>
        <v>13</v>
      </c>
      <c r="B68" s="77" t="s">
        <v>213</v>
      </c>
      <c r="C68" s="77" t="s">
        <v>9</v>
      </c>
      <c r="D68" s="77">
        <v>1</v>
      </c>
      <c r="E68" s="77">
        <v>1</v>
      </c>
      <c r="F68" s="395">
        <f>15.8</f>
        <v>15.8</v>
      </c>
      <c r="G68" s="79"/>
      <c r="H68" s="395">
        <f>0.85-0.4+0.3+0.16+0.16</f>
        <v>1.07</v>
      </c>
      <c r="I68" s="80">
        <f t="shared" si="10"/>
        <v>16.906000000000002</v>
      </c>
      <c r="J68" s="78"/>
      <c r="K68" s="761"/>
    </row>
    <row r="69" spans="1:14">
      <c r="A69" s="75"/>
      <c r="B69" s="77"/>
      <c r="C69" s="77"/>
      <c r="D69" s="77"/>
      <c r="E69" s="77"/>
      <c r="F69" s="77"/>
      <c r="G69" s="77"/>
      <c r="H69" s="77"/>
      <c r="I69" s="80"/>
      <c r="J69" s="78"/>
    </row>
    <row r="70" spans="1:14">
      <c r="A70" s="75"/>
      <c r="B70" s="77"/>
      <c r="C70" s="77"/>
      <c r="D70" s="77"/>
      <c r="E70" s="77"/>
      <c r="F70" s="77"/>
      <c r="G70" s="77"/>
      <c r="H70" s="81" t="s">
        <v>57</v>
      </c>
      <c r="I70" s="82">
        <f>SUM(I38:I69)</f>
        <v>82.707000000000022</v>
      </c>
      <c r="J70" s="78"/>
    </row>
    <row r="71" spans="1:14">
      <c r="A71" s="75"/>
      <c r="B71" s="411" t="s">
        <v>652</v>
      </c>
      <c r="C71" s="77"/>
      <c r="D71" s="77"/>
      <c r="E71" s="77"/>
      <c r="F71" s="77"/>
      <c r="G71" s="77"/>
      <c r="H71" s="408"/>
      <c r="I71" s="409"/>
      <c r="J71" s="403"/>
    </row>
    <row r="72" spans="1:14">
      <c r="A72" s="75">
        <v>1</v>
      </c>
      <c r="B72" s="462" t="s">
        <v>619</v>
      </c>
      <c r="C72" s="77" t="s">
        <v>9</v>
      </c>
      <c r="D72" s="77">
        <v>1</v>
      </c>
      <c r="E72" s="77">
        <v>2</v>
      </c>
      <c r="F72" s="395"/>
      <c r="G72" s="395">
        <v>0.9</v>
      </c>
      <c r="H72" s="395">
        <v>0.85</v>
      </c>
      <c r="I72" s="80">
        <f t="shared" ref="I72" si="12">PRODUCT(D72:H72)</f>
        <v>1.53</v>
      </c>
      <c r="J72" s="398"/>
      <c r="K72" s="762" t="s">
        <v>492</v>
      </c>
      <c r="L72" s="396"/>
      <c r="M72" s="396"/>
    </row>
    <row r="73" spans="1:14" ht="30">
      <c r="A73" s="75"/>
      <c r="B73" s="81" t="s">
        <v>637</v>
      </c>
      <c r="C73" s="77"/>
      <c r="D73" s="77"/>
      <c r="E73" s="77"/>
      <c r="F73" s="395"/>
      <c r="G73" s="395"/>
      <c r="H73" s="395"/>
      <c r="I73" s="80"/>
      <c r="J73" s="398"/>
      <c r="K73" s="762"/>
      <c r="L73" s="396"/>
      <c r="M73" s="396"/>
    </row>
    <row r="74" spans="1:14">
      <c r="A74" s="75">
        <v>1</v>
      </c>
      <c r="B74" s="153" t="s">
        <v>620</v>
      </c>
      <c r="C74" s="77" t="s">
        <v>9</v>
      </c>
      <c r="D74" s="414">
        <v>46</v>
      </c>
      <c r="E74" s="77">
        <v>1</v>
      </c>
      <c r="F74" s="395">
        <v>0.3</v>
      </c>
      <c r="G74" s="395">
        <v>0.6</v>
      </c>
      <c r="H74" s="395">
        <v>1.48</v>
      </c>
      <c r="I74" s="80">
        <f>D74*E74*2*(F74+G74)*H74</f>
        <v>122.544</v>
      </c>
      <c r="J74" s="398"/>
      <c r="K74" s="762"/>
      <c r="L74" s="396"/>
      <c r="M74" s="396"/>
      <c r="N74" s="469"/>
    </row>
    <row r="75" spans="1:14">
      <c r="A75" s="420">
        <v>2</v>
      </c>
      <c r="B75" s="422" t="s">
        <v>640</v>
      </c>
      <c r="C75" s="417" t="s">
        <v>9</v>
      </c>
      <c r="D75" s="422">
        <v>6</v>
      </c>
      <c r="E75" s="417">
        <v>1</v>
      </c>
      <c r="F75" s="415">
        <v>0.3</v>
      </c>
      <c r="G75" s="415">
        <v>0.6</v>
      </c>
      <c r="H75" s="415">
        <v>1.68</v>
      </c>
      <c r="I75" s="419">
        <f t="shared" ref="I75:I103" si="13">D75*E75*2*(F75+G75)*H75</f>
        <v>18.143999999999998</v>
      </c>
      <c r="J75" s="398"/>
      <c r="K75" s="762"/>
      <c r="L75" s="396"/>
      <c r="M75" s="396"/>
      <c r="N75" s="469"/>
    </row>
    <row r="76" spans="1:14">
      <c r="A76" s="420">
        <v>3</v>
      </c>
      <c r="B76" s="422" t="s">
        <v>641</v>
      </c>
      <c r="C76" s="417" t="s">
        <v>9</v>
      </c>
      <c r="D76" s="422">
        <v>6</v>
      </c>
      <c r="E76" s="417">
        <v>1</v>
      </c>
      <c r="F76" s="415">
        <v>0.3</v>
      </c>
      <c r="G76" s="415">
        <v>0.6</v>
      </c>
      <c r="H76" s="415">
        <v>1.68</v>
      </c>
      <c r="I76" s="419">
        <f t="shared" si="13"/>
        <v>18.143999999999998</v>
      </c>
      <c r="J76" s="398"/>
      <c r="K76" s="762"/>
      <c r="L76" s="396"/>
      <c r="M76" s="396"/>
      <c r="N76" s="469"/>
    </row>
    <row r="77" spans="1:14">
      <c r="A77" s="420">
        <v>4</v>
      </c>
      <c r="B77" s="422" t="s">
        <v>642</v>
      </c>
      <c r="C77" s="417" t="s">
        <v>9</v>
      </c>
      <c r="D77" s="422">
        <v>2</v>
      </c>
      <c r="E77" s="417">
        <v>1</v>
      </c>
      <c r="F77" s="415">
        <v>0.3</v>
      </c>
      <c r="G77" s="415">
        <v>0.6</v>
      </c>
      <c r="H77" s="415">
        <v>1.68</v>
      </c>
      <c r="I77" s="419">
        <f t="shared" si="13"/>
        <v>6.0479999999999992</v>
      </c>
      <c r="J77" s="398"/>
      <c r="K77" s="762"/>
      <c r="L77" s="396"/>
      <c r="M77" s="396"/>
      <c r="N77" s="469"/>
    </row>
    <row r="78" spans="1:14">
      <c r="A78" s="420">
        <v>5</v>
      </c>
      <c r="B78" s="422" t="s">
        <v>642</v>
      </c>
      <c r="C78" s="417" t="s">
        <v>9</v>
      </c>
      <c r="D78" s="422">
        <v>2</v>
      </c>
      <c r="E78" s="417">
        <v>1</v>
      </c>
      <c r="F78" s="415">
        <v>0.3</v>
      </c>
      <c r="G78" s="415">
        <v>0.6</v>
      </c>
      <c r="H78" s="415">
        <v>1.68</v>
      </c>
      <c r="I78" s="419">
        <f t="shared" si="13"/>
        <v>6.0479999999999992</v>
      </c>
      <c r="J78" s="398"/>
      <c r="K78" s="762"/>
      <c r="L78" s="396"/>
      <c r="M78" s="396"/>
      <c r="N78" s="469"/>
    </row>
    <row r="79" spans="1:14">
      <c r="A79" s="377">
        <v>6</v>
      </c>
      <c r="B79" s="405" t="s">
        <v>621</v>
      </c>
      <c r="C79" s="77" t="s">
        <v>9</v>
      </c>
      <c r="D79" s="413">
        <v>24</v>
      </c>
      <c r="E79" s="77">
        <v>1</v>
      </c>
      <c r="F79" s="395">
        <v>0.3</v>
      </c>
      <c r="G79" s="395">
        <v>0.7</v>
      </c>
      <c r="H79" s="395">
        <v>1.48</v>
      </c>
      <c r="I79" s="80">
        <f t="shared" si="13"/>
        <v>71.039999999999992</v>
      </c>
      <c r="J79" s="398"/>
      <c r="K79" s="762"/>
      <c r="L79" s="396"/>
      <c r="M79" s="396"/>
      <c r="N79" s="469"/>
    </row>
    <row r="80" spans="1:14">
      <c r="A80" s="420">
        <v>7</v>
      </c>
      <c r="B80" s="418" t="s">
        <v>638</v>
      </c>
      <c r="C80" s="417" t="s">
        <v>9</v>
      </c>
      <c r="D80" s="418">
        <v>4</v>
      </c>
      <c r="E80" s="417">
        <v>1</v>
      </c>
      <c r="F80" s="415">
        <v>0.3</v>
      </c>
      <c r="G80" s="415">
        <v>0.7</v>
      </c>
      <c r="H80" s="415">
        <v>1.68</v>
      </c>
      <c r="I80" s="419">
        <f t="shared" si="13"/>
        <v>13.44</v>
      </c>
      <c r="J80" s="398"/>
      <c r="K80" s="762"/>
      <c r="L80" s="396"/>
      <c r="M80" s="396"/>
      <c r="N80" s="469"/>
    </row>
    <row r="81" spans="1:14">
      <c r="A81" s="420">
        <v>8</v>
      </c>
      <c r="B81" s="418" t="s">
        <v>639</v>
      </c>
      <c r="C81" s="417" t="s">
        <v>9</v>
      </c>
      <c r="D81" s="418">
        <v>2</v>
      </c>
      <c r="E81" s="417">
        <v>1</v>
      </c>
      <c r="F81" s="415">
        <v>0.3</v>
      </c>
      <c r="G81" s="415">
        <v>0.7</v>
      </c>
      <c r="H81" s="415">
        <v>1.68</v>
      </c>
      <c r="I81" s="419">
        <f t="shared" si="13"/>
        <v>6.72</v>
      </c>
      <c r="J81" s="398"/>
      <c r="K81" s="762"/>
      <c r="L81" s="396"/>
      <c r="M81" s="396"/>
      <c r="N81" s="469"/>
    </row>
    <row r="82" spans="1:14">
      <c r="A82" s="75">
        <v>9</v>
      </c>
      <c r="B82" s="405" t="s">
        <v>622</v>
      </c>
      <c r="C82" s="77" t="s">
        <v>9</v>
      </c>
      <c r="D82" s="413">
        <v>14</v>
      </c>
      <c r="E82" s="77">
        <v>1</v>
      </c>
      <c r="F82" s="395">
        <v>0.3</v>
      </c>
      <c r="G82" s="395">
        <v>0.71499999999999997</v>
      </c>
      <c r="H82" s="395">
        <v>1.48</v>
      </c>
      <c r="I82" s="80">
        <f t="shared" si="13"/>
        <v>42.061599999999999</v>
      </c>
      <c r="J82" s="398"/>
      <c r="K82" s="762"/>
      <c r="L82" s="396"/>
      <c r="M82" s="396"/>
      <c r="N82" s="469"/>
    </row>
    <row r="83" spans="1:14">
      <c r="A83" s="377">
        <v>10</v>
      </c>
      <c r="B83" s="413" t="s">
        <v>623</v>
      </c>
      <c r="C83" s="77" t="s">
        <v>9</v>
      </c>
      <c r="D83" s="413">
        <v>2</v>
      </c>
      <c r="E83" s="77">
        <v>1</v>
      </c>
      <c r="F83" s="395">
        <v>0.3</v>
      </c>
      <c r="G83" s="395">
        <v>0.8</v>
      </c>
      <c r="H83" s="395">
        <v>1.48</v>
      </c>
      <c r="I83" s="80">
        <f t="shared" si="13"/>
        <v>6.5120000000000005</v>
      </c>
      <c r="J83" s="398"/>
      <c r="K83" s="762"/>
      <c r="L83" s="396"/>
      <c r="M83" s="396"/>
      <c r="N83" s="469"/>
    </row>
    <row r="84" spans="1:14">
      <c r="A84" s="420">
        <v>11</v>
      </c>
      <c r="B84" s="418" t="s">
        <v>623</v>
      </c>
      <c r="C84" s="417" t="s">
        <v>9</v>
      </c>
      <c r="D84" s="418">
        <v>2</v>
      </c>
      <c r="E84" s="417">
        <v>1</v>
      </c>
      <c r="F84" s="415">
        <v>0.3</v>
      </c>
      <c r="G84" s="415">
        <v>0.8</v>
      </c>
      <c r="H84" s="415">
        <v>1.68</v>
      </c>
      <c r="I84" s="419">
        <f t="shared" si="13"/>
        <v>7.3920000000000003</v>
      </c>
      <c r="J84" s="398"/>
      <c r="K84" s="762"/>
      <c r="L84" s="396"/>
      <c r="M84" s="396"/>
      <c r="N84" s="469"/>
    </row>
    <row r="85" spans="1:14">
      <c r="A85" s="377">
        <v>12</v>
      </c>
      <c r="B85" s="410" t="s">
        <v>624</v>
      </c>
      <c r="C85" s="77" t="s">
        <v>9</v>
      </c>
      <c r="D85" s="413">
        <v>2</v>
      </c>
      <c r="E85" s="77">
        <v>1</v>
      </c>
      <c r="F85" s="395">
        <v>0.23</v>
      </c>
      <c r="G85" s="395">
        <v>0.65</v>
      </c>
      <c r="H85" s="395">
        <v>1.48</v>
      </c>
      <c r="I85" s="80">
        <f>D85*E85*2*(F85+G85)*H85</f>
        <v>5.2096</v>
      </c>
      <c r="J85" s="398"/>
      <c r="K85" s="762"/>
      <c r="L85" s="396"/>
      <c r="M85" s="396"/>
      <c r="N85" s="469"/>
    </row>
    <row r="86" spans="1:14">
      <c r="A86" s="75">
        <v>13</v>
      </c>
      <c r="B86" s="410"/>
      <c r="C86" s="77" t="s">
        <v>9</v>
      </c>
      <c r="D86" s="413">
        <v>2</v>
      </c>
      <c r="E86" s="77">
        <v>1</v>
      </c>
      <c r="F86" s="395">
        <v>0</v>
      </c>
      <c r="G86" s="395">
        <v>1.42</v>
      </c>
      <c r="H86" s="395">
        <v>1.48</v>
      </c>
      <c r="I86" s="80">
        <f t="shared" si="13"/>
        <v>8.4063999999999997</v>
      </c>
      <c r="J86" s="398"/>
      <c r="K86" s="762"/>
      <c r="L86" s="396"/>
      <c r="M86" s="396"/>
      <c r="N86" s="469"/>
    </row>
    <row r="87" spans="1:14">
      <c r="A87" s="377">
        <v>14</v>
      </c>
      <c r="B87" s="410" t="s">
        <v>625</v>
      </c>
      <c r="C87" s="77" t="s">
        <v>9</v>
      </c>
      <c r="D87" s="413">
        <v>2</v>
      </c>
      <c r="E87" s="77">
        <v>1</v>
      </c>
      <c r="F87" s="395">
        <v>0.23</v>
      </c>
      <c r="G87" s="395">
        <v>0.65</v>
      </c>
      <c r="H87" s="395">
        <v>1.48</v>
      </c>
      <c r="I87" s="80">
        <f t="shared" si="13"/>
        <v>5.2096</v>
      </c>
      <c r="J87" s="398"/>
      <c r="K87" s="762"/>
      <c r="L87" s="396"/>
      <c r="M87" s="396"/>
      <c r="N87" s="469"/>
    </row>
    <row r="88" spans="1:14">
      <c r="A88" s="75">
        <v>15</v>
      </c>
      <c r="B88" s="410"/>
      <c r="C88" s="77" t="s">
        <v>9</v>
      </c>
      <c r="D88" s="413">
        <v>2</v>
      </c>
      <c r="E88" s="77">
        <v>1</v>
      </c>
      <c r="F88" s="395">
        <v>0</v>
      </c>
      <c r="G88" s="395">
        <v>1.62</v>
      </c>
      <c r="H88" s="395">
        <v>1.48</v>
      </c>
      <c r="I88" s="80">
        <f t="shared" si="13"/>
        <v>9.5904000000000007</v>
      </c>
      <c r="J88" s="398"/>
      <c r="K88" s="762"/>
      <c r="L88" s="396"/>
      <c r="M88" s="396"/>
      <c r="N88" s="469"/>
    </row>
    <row r="89" spans="1:14">
      <c r="A89" s="377">
        <v>16</v>
      </c>
      <c r="B89" s="410" t="s">
        <v>626</v>
      </c>
      <c r="C89" s="77" t="s">
        <v>9</v>
      </c>
      <c r="D89" s="413">
        <v>2</v>
      </c>
      <c r="E89" s="77">
        <v>1</v>
      </c>
      <c r="F89" s="395">
        <v>0.23</v>
      </c>
      <c r="G89" s="395">
        <v>1</v>
      </c>
      <c r="H89" s="395">
        <v>1.48</v>
      </c>
      <c r="I89" s="80">
        <f t="shared" si="13"/>
        <v>7.2816000000000001</v>
      </c>
      <c r="J89" s="398"/>
      <c r="K89" s="762"/>
      <c r="L89" s="396"/>
      <c r="M89" s="396"/>
      <c r="N89" s="469"/>
    </row>
    <row r="90" spans="1:14">
      <c r="A90" s="75">
        <v>17</v>
      </c>
      <c r="B90" s="410" t="s">
        <v>627</v>
      </c>
      <c r="C90" s="77" t="s">
        <v>9</v>
      </c>
      <c r="D90" s="413">
        <v>2</v>
      </c>
      <c r="E90" s="77">
        <v>1</v>
      </c>
      <c r="F90" s="395">
        <v>0.23</v>
      </c>
      <c r="G90" s="395">
        <v>1.1499999999999999</v>
      </c>
      <c r="H90" s="395">
        <v>1.48</v>
      </c>
      <c r="I90" s="80">
        <f t="shared" si="13"/>
        <v>8.1695999999999991</v>
      </c>
      <c r="J90" s="398"/>
      <c r="K90" s="762"/>
      <c r="L90" s="396"/>
      <c r="M90" s="396"/>
      <c r="N90" s="469"/>
    </row>
    <row r="91" spans="1:14">
      <c r="A91" s="420">
        <v>18</v>
      </c>
      <c r="B91" s="416" t="s">
        <v>628</v>
      </c>
      <c r="C91" s="417" t="s">
        <v>9</v>
      </c>
      <c r="D91" s="418">
        <v>4</v>
      </c>
      <c r="E91" s="417">
        <v>1</v>
      </c>
      <c r="F91" s="415">
        <v>0.23</v>
      </c>
      <c r="G91" s="415">
        <v>1.7</v>
      </c>
      <c r="H91" s="415">
        <v>1.68</v>
      </c>
      <c r="I91" s="419">
        <f t="shared" si="13"/>
        <v>25.9392</v>
      </c>
      <c r="J91" s="398"/>
      <c r="K91" s="762"/>
      <c r="L91" s="396"/>
      <c r="M91" s="396"/>
      <c r="N91" s="469"/>
    </row>
    <row r="92" spans="1:14">
      <c r="A92" s="75">
        <v>19</v>
      </c>
      <c r="B92" s="410" t="s">
        <v>629</v>
      </c>
      <c r="C92" s="77" t="s">
        <v>9</v>
      </c>
      <c r="D92" s="413">
        <v>2</v>
      </c>
      <c r="E92" s="77">
        <v>1</v>
      </c>
      <c r="F92" s="395">
        <v>0.23</v>
      </c>
      <c r="G92" s="395">
        <v>1.1850000000000001</v>
      </c>
      <c r="H92" s="395">
        <v>1.48</v>
      </c>
      <c r="I92" s="80">
        <f t="shared" si="13"/>
        <v>8.3767999999999994</v>
      </c>
      <c r="J92" s="398"/>
      <c r="K92" s="762"/>
      <c r="L92" s="396"/>
      <c r="M92" s="396"/>
      <c r="N92" s="469"/>
    </row>
    <row r="93" spans="1:14">
      <c r="A93" s="420">
        <v>20</v>
      </c>
      <c r="B93" s="416" t="s">
        <v>629</v>
      </c>
      <c r="C93" s="417" t="s">
        <v>9</v>
      </c>
      <c r="D93" s="418">
        <v>2</v>
      </c>
      <c r="E93" s="417">
        <v>1</v>
      </c>
      <c r="F93" s="415">
        <v>0.23</v>
      </c>
      <c r="G93" s="415">
        <v>1.1850000000000001</v>
      </c>
      <c r="H93" s="415">
        <v>1.68</v>
      </c>
      <c r="I93" s="419">
        <f t="shared" si="13"/>
        <v>9.508799999999999</v>
      </c>
      <c r="J93" s="398"/>
      <c r="K93" s="762"/>
      <c r="L93" s="396"/>
      <c r="M93" s="396"/>
      <c r="N93" s="469"/>
    </row>
    <row r="94" spans="1:14">
      <c r="A94" s="75">
        <v>21</v>
      </c>
      <c r="B94" s="410" t="s">
        <v>630</v>
      </c>
      <c r="C94" s="77" t="s">
        <v>9</v>
      </c>
      <c r="D94" s="413">
        <v>2</v>
      </c>
      <c r="E94" s="77">
        <v>1</v>
      </c>
      <c r="F94" s="395">
        <v>0.23</v>
      </c>
      <c r="G94" s="395">
        <v>1.855</v>
      </c>
      <c r="H94" s="395">
        <v>1.48</v>
      </c>
      <c r="I94" s="80">
        <f t="shared" si="13"/>
        <v>12.3432</v>
      </c>
      <c r="J94" s="398"/>
      <c r="K94" s="762"/>
      <c r="L94" s="396"/>
      <c r="M94" s="396"/>
      <c r="N94" s="469"/>
    </row>
    <row r="95" spans="1:14">
      <c r="A95" s="377">
        <v>22</v>
      </c>
      <c r="B95" s="410" t="s">
        <v>631</v>
      </c>
      <c r="C95" s="77" t="s">
        <v>9</v>
      </c>
      <c r="D95" s="413">
        <v>1</v>
      </c>
      <c r="E95" s="77">
        <v>1</v>
      </c>
      <c r="F95" s="395">
        <v>0.23</v>
      </c>
      <c r="G95" s="395">
        <v>3.6</v>
      </c>
      <c r="H95" s="395">
        <v>1.48</v>
      </c>
      <c r="I95" s="80">
        <f t="shared" si="13"/>
        <v>11.3368</v>
      </c>
      <c r="J95" s="398"/>
      <c r="K95" s="762"/>
      <c r="L95" s="396"/>
      <c r="M95" s="396"/>
      <c r="N95" s="469"/>
    </row>
    <row r="96" spans="1:14">
      <c r="A96" s="75">
        <v>23</v>
      </c>
      <c r="B96" s="410" t="s">
        <v>632</v>
      </c>
      <c r="C96" s="77" t="s">
        <v>9</v>
      </c>
      <c r="D96" s="413">
        <v>6</v>
      </c>
      <c r="E96" s="77">
        <v>1</v>
      </c>
      <c r="F96" s="395">
        <v>0.23</v>
      </c>
      <c r="G96" s="395">
        <v>0.65</v>
      </c>
      <c r="H96" s="395">
        <v>1.48</v>
      </c>
      <c r="I96" s="80">
        <f t="shared" si="13"/>
        <v>15.6288</v>
      </c>
      <c r="J96" s="398"/>
      <c r="K96" s="762"/>
      <c r="L96" s="396"/>
      <c r="M96" s="396"/>
      <c r="N96" s="469"/>
    </row>
    <row r="97" spans="1:14">
      <c r="A97" s="377">
        <v>24</v>
      </c>
      <c r="B97" s="410"/>
      <c r="C97" s="77" t="s">
        <v>9</v>
      </c>
      <c r="D97" s="413">
        <v>6</v>
      </c>
      <c r="E97" s="77">
        <v>1</v>
      </c>
      <c r="F97" s="395">
        <v>0</v>
      </c>
      <c r="G97" s="395">
        <v>1.62</v>
      </c>
      <c r="H97" s="395">
        <v>1.48</v>
      </c>
      <c r="I97" s="80">
        <f t="shared" si="13"/>
        <v>28.7712</v>
      </c>
      <c r="J97" s="398"/>
      <c r="K97" s="762"/>
      <c r="L97" s="396"/>
      <c r="M97" s="396"/>
      <c r="N97" s="469"/>
    </row>
    <row r="98" spans="1:14">
      <c r="A98" s="420">
        <v>25</v>
      </c>
      <c r="B98" s="416" t="s">
        <v>633</v>
      </c>
      <c r="C98" s="417" t="s">
        <v>9</v>
      </c>
      <c r="D98" s="418">
        <v>2</v>
      </c>
      <c r="E98" s="417">
        <v>1</v>
      </c>
      <c r="F98" s="415">
        <v>0.23</v>
      </c>
      <c r="G98" s="415">
        <v>3.4449999999999998</v>
      </c>
      <c r="H98" s="415">
        <v>1.68</v>
      </c>
      <c r="I98" s="419">
        <f t="shared" si="13"/>
        <v>24.695999999999998</v>
      </c>
      <c r="J98" s="398"/>
      <c r="K98" s="762"/>
      <c r="L98" s="396"/>
      <c r="M98" s="396"/>
      <c r="N98" s="469"/>
    </row>
    <row r="99" spans="1:14">
      <c r="A99" s="420">
        <v>26</v>
      </c>
      <c r="B99" s="416" t="s">
        <v>634</v>
      </c>
      <c r="C99" s="417" t="s">
        <v>9</v>
      </c>
      <c r="D99" s="418">
        <v>2</v>
      </c>
      <c r="E99" s="417">
        <v>1</v>
      </c>
      <c r="F99" s="415">
        <v>0.23</v>
      </c>
      <c r="G99" s="415">
        <v>4.0650000000000004</v>
      </c>
      <c r="H99" s="415">
        <v>1.68</v>
      </c>
      <c r="I99" s="419">
        <f t="shared" si="13"/>
        <v>28.862400000000004</v>
      </c>
      <c r="J99" s="398"/>
      <c r="K99" s="762"/>
      <c r="L99" s="396"/>
      <c r="M99" s="396"/>
      <c r="N99" s="469"/>
    </row>
    <row r="100" spans="1:14">
      <c r="A100" s="420">
        <v>27</v>
      </c>
      <c r="B100" s="416" t="s">
        <v>635</v>
      </c>
      <c r="C100" s="417" t="s">
        <v>9</v>
      </c>
      <c r="D100" s="418">
        <v>2</v>
      </c>
      <c r="E100" s="417">
        <v>1</v>
      </c>
      <c r="F100" s="415">
        <v>0.23</v>
      </c>
      <c r="G100" s="415">
        <v>0.65</v>
      </c>
      <c r="H100" s="415">
        <v>1.68</v>
      </c>
      <c r="I100" s="419">
        <f t="shared" si="13"/>
        <v>5.9135999999999997</v>
      </c>
      <c r="J100" s="398"/>
      <c r="K100" s="762"/>
      <c r="L100" s="396"/>
      <c r="M100" s="396"/>
      <c r="N100" s="469"/>
    </row>
    <row r="101" spans="1:14">
      <c r="A101" s="420">
        <v>28</v>
      </c>
      <c r="B101" s="416"/>
      <c r="C101" s="417" t="s">
        <v>9</v>
      </c>
      <c r="D101" s="418">
        <v>2</v>
      </c>
      <c r="E101" s="417">
        <v>1</v>
      </c>
      <c r="F101" s="415">
        <v>0</v>
      </c>
      <c r="G101" s="415">
        <v>1.3049999999999999</v>
      </c>
      <c r="H101" s="415">
        <v>1.68</v>
      </c>
      <c r="I101" s="419">
        <f t="shared" si="13"/>
        <v>8.7695999999999987</v>
      </c>
      <c r="J101" s="398"/>
      <c r="K101" s="762"/>
      <c r="L101" s="396"/>
      <c r="M101" s="396"/>
      <c r="N101" s="469"/>
    </row>
    <row r="102" spans="1:14">
      <c r="A102" s="420">
        <v>29</v>
      </c>
      <c r="B102" s="416" t="s">
        <v>636</v>
      </c>
      <c r="C102" s="417" t="s">
        <v>9</v>
      </c>
      <c r="D102" s="418">
        <v>2</v>
      </c>
      <c r="E102" s="417">
        <v>1</v>
      </c>
      <c r="F102" s="415">
        <v>0.2</v>
      </c>
      <c r="G102" s="415">
        <v>3.4449999999999998</v>
      </c>
      <c r="H102" s="415">
        <v>1.68</v>
      </c>
      <c r="I102" s="419">
        <f t="shared" si="13"/>
        <v>24.494399999999999</v>
      </c>
      <c r="J102" s="398"/>
      <c r="K102" s="762"/>
      <c r="L102" s="396"/>
      <c r="M102" s="396"/>
      <c r="N102" s="469"/>
    </row>
    <row r="103" spans="1:14">
      <c r="A103" s="420">
        <v>30</v>
      </c>
      <c r="B103" s="421" t="s">
        <v>455</v>
      </c>
      <c r="C103" s="417" t="s">
        <v>9</v>
      </c>
      <c r="D103" s="418">
        <v>8</v>
      </c>
      <c r="E103" s="417">
        <v>1</v>
      </c>
      <c r="F103" s="415">
        <v>0</v>
      </c>
      <c r="G103" s="415">
        <v>1.9</v>
      </c>
      <c r="H103" s="415">
        <v>1.68</v>
      </c>
      <c r="I103" s="419">
        <f t="shared" si="13"/>
        <v>51.071999999999996</v>
      </c>
      <c r="J103" s="398"/>
      <c r="K103" s="762"/>
      <c r="L103" s="396"/>
      <c r="M103" s="396"/>
      <c r="N103" s="469"/>
    </row>
    <row r="104" spans="1:14">
      <c r="A104" s="75"/>
      <c r="B104" s="412"/>
      <c r="C104" s="77"/>
      <c r="D104" s="397"/>
      <c r="E104" s="77"/>
      <c r="F104" s="395"/>
      <c r="G104" s="395"/>
      <c r="H104" s="395"/>
      <c r="I104" s="80"/>
      <c r="J104" s="398"/>
      <c r="K104" s="762"/>
      <c r="L104" s="396"/>
      <c r="M104" s="396"/>
    </row>
    <row r="105" spans="1:14">
      <c r="A105" s="75"/>
      <c r="B105" s="77"/>
      <c r="C105" s="77"/>
      <c r="D105" s="77"/>
      <c r="E105" s="77"/>
      <c r="F105" s="77"/>
      <c r="G105" s="77"/>
      <c r="H105" s="77"/>
      <c r="I105" s="80"/>
      <c r="J105" s="78"/>
      <c r="K105" s="762"/>
    </row>
    <row r="106" spans="1:14">
      <c r="A106" s="75"/>
      <c r="B106" s="77"/>
      <c r="C106" s="77"/>
      <c r="D106" s="77"/>
      <c r="E106" s="77"/>
      <c r="F106" s="77"/>
      <c r="G106" s="77"/>
      <c r="H106" s="81" t="s">
        <v>57</v>
      </c>
      <c r="I106" s="82">
        <f>SUM(I72:I105)</f>
        <v>619.20360000000005</v>
      </c>
      <c r="J106" s="78"/>
      <c r="K106" s="762"/>
    </row>
    <row r="107" spans="1:14" ht="15.75" thickBot="1">
      <c r="A107" s="83"/>
      <c r="B107" s="84"/>
      <c r="C107" s="84"/>
      <c r="D107" s="84"/>
      <c r="E107" s="84"/>
      <c r="F107" s="84"/>
      <c r="G107" s="84"/>
      <c r="H107" s="84"/>
      <c r="I107" s="84"/>
      <c r="J107" s="470"/>
    </row>
    <row r="108" spans="1:14" ht="30">
      <c r="A108" s="167"/>
      <c r="B108" s="411" t="s">
        <v>673</v>
      </c>
      <c r="C108" s="267"/>
      <c r="D108" s="167"/>
      <c r="E108" s="167"/>
      <c r="F108" s="167"/>
      <c r="G108" s="167"/>
      <c r="H108" s="477"/>
      <c r="I108" s="167"/>
      <c r="J108" s="167"/>
    </row>
    <row r="109" spans="1:14">
      <c r="A109" s="167"/>
      <c r="B109" s="167" t="s">
        <v>674</v>
      </c>
      <c r="C109" s="472" t="s">
        <v>9</v>
      </c>
      <c r="D109" s="472">
        <v>4</v>
      </c>
      <c r="E109" s="472"/>
      <c r="F109" s="235">
        <v>3.0249999999999999</v>
      </c>
      <c r="G109" s="235"/>
      <c r="H109" s="235">
        <v>0.33500000000000002</v>
      </c>
      <c r="I109" s="478">
        <f t="shared" ref="I109:I140" si="14">+PRODUCT(D109:H109)</f>
        <v>4.0535000000000005</v>
      </c>
      <c r="J109" s="472"/>
      <c r="K109" s="729" t="s">
        <v>752</v>
      </c>
    </row>
    <row r="110" spans="1:14">
      <c r="A110" s="167"/>
      <c r="B110" s="167"/>
      <c r="C110" s="472" t="s">
        <v>9</v>
      </c>
      <c r="D110" s="472">
        <v>4</v>
      </c>
      <c r="E110" s="472"/>
      <c r="F110" s="235">
        <v>2.8</v>
      </c>
      <c r="G110" s="235"/>
      <c r="H110" s="235">
        <v>0.33500000000000002</v>
      </c>
      <c r="I110" s="478">
        <f t="shared" si="14"/>
        <v>3.7519999999999998</v>
      </c>
      <c r="J110" s="472"/>
      <c r="K110" s="729"/>
    </row>
    <row r="111" spans="1:14">
      <c r="A111" s="167"/>
      <c r="B111" s="167" t="s">
        <v>740</v>
      </c>
      <c r="C111" s="472" t="s">
        <v>9</v>
      </c>
      <c r="D111" s="472">
        <v>2</v>
      </c>
      <c r="E111" s="472"/>
      <c r="F111" s="235">
        <v>3.0249999999999999</v>
      </c>
      <c r="G111" s="235"/>
      <c r="H111" s="235">
        <v>0.2</v>
      </c>
      <c r="I111" s="478">
        <f t="shared" si="14"/>
        <v>1.21</v>
      </c>
      <c r="J111" s="472"/>
      <c r="K111" s="729"/>
    </row>
    <row r="112" spans="1:14">
      <c r="A112" s="167"/>
      <c r="B112" s="167"/>
      <c r="C112" s="472" t="s">
        <v>9</v>
      </c>
      <c r="D112" s="472">
        <v>2</v>
      </c>
      <c r="E112" s="472"/>
      <c r="F112" s="235">
        <v>2.8</v>
      </c>
      <c r="G112" s="235"/>
      <c r="H112" s="235">
        <v>0.2</v>
      </c>
      <c r="I112" s="478">
        <f t="shared" si="14"/>
        <v>1.1199999999999999</v>
      </c>
      <c r="J112" s="472"/>
      <c r="K112" s="729"/>
    </row>
    <row r="113" spans="1:11">
      <c r="A113" s="167"/>
      <c r="B113" s="167" t="s">
        <v>675</v>
      </c>
      <c r="C113" s="472" t="s">
        <v>9</v>
      </c>
      <c r="D113" s="472">
        <v>4</v>
      </c>
      <c r="E113" s="472"/>
      <c r="F113" s="235">
        <v>3.3</v>
      </c>
      <c r="G113" s="235"/>
      <c r="H113" s="235">
        <v>0.33500000000000002</v>
      </c>
      <c r="I113" s="478">
        <f t="shared" si="14"/>
        <v>4.4219999999999997</v>
      </c>
      <c r="J113" s="472"/>
      <c r="K113" s="729"/>
    </row>
    <row r="114" spans="1:11">
      <c r="A114" s="167"/>
      <c r="B114" s="167" t="s">
        <v>740</v>
      </c>
      <c r="C114" s="472" t="s">
        <v>9</v>
      </c>
      <c r="D114" s="472">
        <v>2</v>
      </c>
      <c r="E114" s="472"/>
      <c r="F114" s="235">
        <v>3.3</v>
      </c>
      <c r="G114" s="235"/>
      <c r="H114" s="235">
        <v>0.2</v>
      </c>
      <c r="I114" s="478">
        <f t="shared" si="14"/>
        <v>1.32</v>
      </c>
      <c r="J114" s="472"/>
      <c r="K114" s="729"/>
    </row>
    <row r="115" spans="1:11">
      <c r="A115" s="167"/>
      <c r="B115" s="167" t="s">
        <v>676</v>
      </c>
      <c r="C115" s="472" t="s">
        <v>9</v>
      </c>
      <c r="D115" s="472">
        <v>8</v>
      </c>
      <c r="E115" s="472"/>
      <c r="F115" s="235">
        <v>1.395</v>
      </c>
      <c r="G115" s="235"/>
      <c r="H115" s="235">
        <v>0.33500000000000002</v>
      </c>
      <c r="I115" s="478">
        <f t="shared" si="14"/>
        <v>3.7386000000000004</v>
      </c>
      <c r="J115" s="472"/>
      <c r="K115" s="729"/>
    </row>
    <row r="116" spans="1:11">
      <c r="A116" s="167"/>
      <c r="B116" s="167" t="s">
        <v>740</v>
      </c>
      <c r="C116" s="472" t="s">
        <v>9</v>
      </c>
      <c r="D116" s="472">
        <v>4</v>
      </c>
      <c r="E116" s="472"/>
      <c r="F116" s="235">
        <v>1.395</v>
      </c>
      <c r="G116" s="235"/>
      <c r="H116" s="235">
        <v>0.1</v>
      </c>
      <c r="I116" s="478">
        <f t="shared" si="14"/>
        <v>0.55800000000000005</v>
      </c>
      <c r="J116" s="472"/>
      <c r="K116" s="729"/>
    </row>
    <row r="117" spans="1:11">
      <c r="A117" s="167"/>
      <c r="B117" s="167" t="s">
        <v>676</v>
      </c>
      <c r="C117" s="472" t="s">
        <v>9</v>
      </c>
      <c r="D117" s="472">
        <v>12</v>
      </c>
      <c r="E117" s="472"/>
      <c r="F117" s="235">
        <v>1.4</v>
      </c>
      <c r="G117" s="235"/>
      <c r="H117" s="235">
        <v>0.33500000000000002</v>
      </c>
      <c r="I117" s="478">
        <f t="shared" si="14"/>
        <v>5.6279999999999992</v>
      </c>
      <c r="J117" s="472"/>
      <c r="K117" s="729"/>
    </row>
    <row r="118" spans="1:11">
      <c r="A118" s="167"/>
      <c r="B118" s="167" t="s">
        <v>740</v>
      </c>
      <c r="C118" s="472" t="s">
        <v>9</v>
      </c>
      <c r="D118" s="472">
        <v>6</v>
      </c>
      <c r="E118" s="472"/>
      <c r="F118" s="235">
        <v>1.4</v>
      </c>
      <c r="G118" s="235"/>
      <c r="H118" s="235">
        <v>0.1</v>
      </c>
      <c r="I118" s="478">
        <f t="shared" si="14"/>
        <v>0.83999999999999986</v>
      </c>
      <c r="J118" s="472"/>
      <c r="K118" s="729"/>
    </row>
    <row r="119" spans="1:11">
      <c r="A119" s="167"/>
      <c r="B119" s="167" t="s">
        <v>676</v>
      </c>
      <c r="C119" s="472" t="s">
        <v>9</v>
      </c>
      <c r="D119" s="472">
        <v>4</v>
      </c>
      <c r="E119" s="472"/>
      <c r="F119" s="235">
        <v>1.2</v>
      </c>
      <c r="G119" s="235"/>
      <c r="H119" s="235">
        <v>0.33500000000000002</v>
      </c>
      <c r="I119" s="478">
        <f t="shared" si="14"/>
        <v>1.6080000000000001</v>
      </c>
      <c r="J119" s="472"/>
      <c r="K119" s="729"/>
    </row>
    <row r="120" spans="1:11">
      <c r="A120" s="167"/>
      <c r="B120" s="167" t="s">
        <v>740</v>
      </c>
      <c r="C120" s="472" t="s">
        <v>9</v>
      </c>
      <c r="D120" s="472">
        <v>2</v>
      </c>
      <c r="E120" s="472"/>
      <c r="F120" s="235">
        <v>1.2</v>
      </c>
      <c r="G120" s="235"/>
      <c r="H120" s="235">
        <v>0.1</v>
      </c>
      <c r="I120" s="478">
        <f t="shared" si="14"/>
        <v>0.24</v>
      </c>
      <c r="J120" s="472"/>
      <c r="K120" s="729"/>
    </row>
    <row r="121" spans="1:11">
      <c r="A121" s="167"/>
      <c r="B121" s="167" t="s">
        <v>676</v>
      </c>
      <c r="C121" s="472" t="s">
        <v>9</v>
      </c>
      <c r="D121" s="472">
        <v>12</v>
      </c>
      <c r="E121" s="472"/>
      <c r="F121" s="235">
        <v>1.55</v>
      </c>
      <c r="G121" s="235"/>
      <c r="H121" s="235">
        <v>0.33500000000000002</v>
      </c>
      <c r="I121" s="478">
        <f t="shared" si="14"/>
        <v>6.2310000000000008</v>
      </c>
      <c r="J121" s="472"/>
      <c r="K121" s="729"/>
    </row>
    <row r="122" spans="1:11">
      <c r="A122" s="167"/>
      <c r="B122" s="167" t="s">
        <v>740</v>
      </c>
      <c r="C122" s="472" t="s">
        <v>9</v>
      </c>
      <c r="D122" s="472">
        <v>6</v>
      </c>
      <c r="E122" s="472"/>
      <c r="F122" s="235">
        <v>1.55</v>
      </c>
      <c r="G122" s="235"/>
      <c r="H122" s="235">
        <v>0.1</v>
      </c>
      <c r="I122" s="478">
        <f t="shared" si="14"/>
        <v>0.93000000000000016</v>
      </c>
      <c r="J122" s="472"/>
      <c r="K122" s="729"/>
    </row>
    <row r="123" spans="1:11">
      <c r="A123" s="167"/>
      <c r="B123" s="167" t="s">
        <v>676</v>
      </c>
      <c r="C123" s="472" t="s">
        <v>9</v>
      </c>
      <c r="D123" s="472">
        <v>12</v>
      </c>
      <c r="E123" s="472"/>
      <c r="F123" s="235">
        <v>0.97</v>
      </c>
      <c r="G123" s="235"/>
      <c r="H123" s="235">
        <v>0.33500000000000002</v>
      </c>
      <c r="I123" s="478">
        <f t="shared" si="14"/>
        <v>3.8994000000000004</v>
      </c>
      <c r="J123" s="472"/>
      <c r="K123" s="729"/>
    </row>
    <row r="124" spans="1:11">
      <c r="A124" s="167"/>
      <c r="B124" s="167" t="s">
        <v>740</v>
      </c>
      <c r="C124" s="472" t="s">
        <v>9</v>
      </c>
      <c r="D124" s="472">
        <v>6</v>
      </c>
      <c r="E124" s="472"/>
      <c r="F124" s="235">
        <v>0.97</v>
      </c>
      <c r="G124" s="235"/>
      <c r="H124" s="235">
        <v>0.1</v>
      </c>
      <c r="I124" s="478">
        <f t="shared" si="14"/>
        <v>0.58200000000000007</v>
      </c>
      <c r="J124" s="472"/>
      <c r="K124" s="729"/>
    </row>
    <row r="125" spans="1:11">
      <c r="A125" s="167"/>
      <c r="B125" s="167" t="s">
        <v>677</v>
      </c>
      <c r="C125" s="472" t="s">
        <v>9</v>
      </c>
      <c r="D125" s="472">
        <v>4</v>
      </c>
      <c r="E125" s="472"/>
      <c r="F125" s="235">
        <v>1.395</v>
      </c>
      <c r="G125" s="235"/>
      <c r="H125" s="235">
        <v>0.33500000000000002</v>
      </c>
      <c r="I125" s="478">
        <f t="shared" si="14"/>
        <v>1.8693000000000002</v>
      </c>
      <c r="J125" s="472"/>
      <c r="K125" s="729"/>
    </row>
    <row r="126" spans="1:11">
      <c r="A126" s="167"/>
      <c r="B126" s="167" t="s">
        <v>740</v>
      </c>
      <c r="C126" s="472" t="s">
        <v>9</v>
      </c>
      <c r="D126" s="472">
        <v>6</v>
      </c>
      <c r="E126" s="472"/>
      <c r="F126" s="235">
        <v>1.395</v>
      </c>
      <c r="G126" s="235"/>
      <c r="H126" s="235">
        <v>0.2</v>
      </c>
      <c r="I126" s="478">
        <f t="shared" si="14"/>
        <v>1.6740000000000004</v>
      </c>
      <c r="J126" s="472"/>
      <c r="K126" s="729"/>
    </row>
    <row r="127" spans="1:11">
      <c r="A127" s="167"/>
      <c r="B127" s="167" t="s">
        <v>678</v>
      </c>
      <c r="C127" s="472" t="s">
        <v>9</v>
      </c>
      <c r="D127" s="472">
        <v>4</v>
      </c>
      <c r="E127" s="472"/>
      <c r="F127" s="235">
        <v>3.1</v>
      </c>
      <c r="G127" s="235"/>
      <c r="H127" s="235">
        <v>0.33500000000000002</v>
      </c>
      <c r="I127" s="478">
        <f t="shared" si="14"/>
        <v>4.1540000000000008</v>
      </c>
      <c r="J127" s="472"/>
      <c r="K127" s="729"/>
    </row>
    <row r="128" spans="1:11">
      <c r="A128" s="167"/>
      <c r="B128" s="167" t="s">
        <v>740</v>
      </c>
      <c r="C128" s="472" t="s">
        <v>9</v>
      </c>
      <c r="D128" s="472">
        <v>2</v>
      </c>
      <c r="E128" s="472"/>
      <c r="F128" s="235">
        <v>3.1</v>
      </c>
      <c r="G128" s="235"/>
      <c r="H128" s="235">
        <v>0.2</v>
      </c>
      <c r="I128" s="478">
        <f t="shared" si="14"/>
        <v>1.2400000000000002</v>
      </c>
      <c r="J128" s="472"/>
      <c r="K128" s="729"/>
    </row>
    <row r="129" spans="1:11">
      <c r="A129" s="167"/>
      <c r="B129" s="167" t="s">
        <v>679</v>
      </c>
      <c r="C129" s="472" t="s">
        <v>9</v>
      </c>
      <c r="D129" s="472">
        <v>1</v>
      </c>
      <c r="E129" s="472"/>
      <c r="F129" s="235">
        <f>18.91-2.4</f>
        <v>16.510000000000002</v>
      </c>
      <c r="G129" s="235"/>
      <c r="H129" s="235">
        <v>0.33500000000000002</v>
      </c>
      <c r="I129" s="478">
        <f t="shared" si="14"/>
        <v>5.5308500000000009</v>
      </c>
      <c r="J129" s="472"/>
      <c r="K129" s="729"/>
    </row>
    <row r="130" spans="1:11">
      <c r="A130" s="167"/>
      <c r="B130" s="167" t="s">
        <v>740</v>
      </c>
      <c r="C130" s="472" t="s">
        <v>9</v>
      </c>
      <c r="D130" s="472">
        <v>1</v>
      </c>
      <c r="E130" s="472"/>
      <c r="F130" s="235">
        <f>18.91-2.4</f>
        <v>16.510000000000002</v>
      </c>
      <c r="G130" s="235"/>
      <c r="H130" s="235">
        <v>0.2</v>
      </c>
      <c r="I130" s="478">
        <f t="shared" si="14"/>
        <v>3.3020000000000005</v>
      </c>
      <c r="J130" s="472"/>
      <c r="K130" s="729"/>
    </row>
    <row r="131" spans="1:11">
      <c r="A131" s="167"/>
      <c r="B131" s="167" t="s">
        <v>680</v>
      </c>
      <c r="C131" s="472" t="s">
        <v>9</v>
      </c>
      <c r="D131" s="472">
        <v>4</v>
      </c>
      <c r="E131" s="472"/>
      <c r="F131" s="235">
        <v>2.875</v>
      </c>
      <c r="G131" s="235"/>
      <c r="H131" s="235">
        <v>0.33500000000000002</v>
      </c>
      <c r="I131" s="478">
        <f t="shared" si="14"/>
        <v>3.8525</v>
      </c>
      <c r="J131" s="472"/>
      <c r="K131" s="729"/>
    </row>
    <row r="132" spans="1:11">
      <c r="A132" s="167"/>
      <c r="B132" s="167" t="s">
        <v>740</v>
      </c>
      <c r="C132" s="472" t="s">
        <v>9</v>
      </c>
      <c r="D132" s="472">
        <v>2</v>
      </c>
      <c r="E132" s="472"/>
      <c r="F132" s="235">
        <v>2.875</v>
      </c>
      <c r="G132" s="235"/>
      <c r="H132" s="235">
        <v>0.2</v>
      </c>
      <c r="I132" s="478">
        <f t="shared" si="14"/>
        <v>1.1500000000000001</v>
      </c>
      <c r="J132" s="472"/>
      <c r="K132" s="729"/>
    </row>
    <row r="133" spans="1:11">
      <c r="A133" s="167"/>
      <c r="B133" s="167" t="s">
        <v>680</v>
      </c>
      <c r="C133" s="472" t="s">
        <v>9</v>
      </c>
      <c r="D133" s="472">
        <v>4</v>
      </c>
      <c r="E133" s="472"/>
      <c r="F133" s="235">
        <v>2.93</v>
      </c>
      <c r="G133" s="235"/>
      <c r="H133" s="235">
        <v>0.33500000000000002</v>
      </c>
      <c r="I133" s="478">
        <f t="shared" si="14"/>
        <v>3.9262000000000006</v>
      </c>
      <c r="J133" s="472"/>
      <c r="K133" s="729"/>
    </row>
    <row r="134" spans="1:11">
      <c r="A134" s="167"/>
      <c r="B134" s="167" t="s">
        <v>740</v>
      </c>
      <c r="C134" s="472" t="s">
        <v>9</v>
      </c>
      <c r="D134" s="472">
        <v>2</v>
      </c>
      <c r="E134" s="472"/>
      <c r="F134" s="235">
        <v>2.93</v>
      </c>
      <c r="G134" s="235"/>
      <c r="H134" s="235">
        <v>0.2</v>
      </c>
      <c r="I134" s="478">
        <f t="shared" si="14"/>
        <v>1.1720000000000002</v>
      </c>
      <c r="J134" s="472"/>
      <c r="K134" s="729"/>
    </row>
    <row r="135" spans="1:11">
      <c r="A135" s="167"/>
      <c r="B135" s="167" t="s">
        <v>681</v>
      </c>
      <c r="C135" s="472" t="s">
        <v>9</v>
      </c>
      <c r="D135" s="472">
        <v>4</v>
      </c>
      <c r="E135" s="472"/>
      <c r="F135" s="235">
        <v>3.16</v>
      </c>
      <c r="G135" s="235"/>
      <c r="H135" s="235">
        <v>0.33500000000000002</v>
      </c>
      <c r="I135" s="478">
        <f t="shared" si="14"/>
        <v>4.2344000000000008</v>
      </c>
      <c r="J135" s="472"/>
      <c r="K135" s="729"/>
    </row>
    <row r="136" spans="1:11">
      <c r="A136" s="167"/>
      <c r="B136" s="167" t="s">
        <v>740</v>
      </c>
      <c r="C136" s="472" t="s">
        <v>9</v>
      </c>
      <c r="D136" s="472">
        <v>2</v>
      </c>
      <c r="E136" s="472"/>
      <c r="F136" s="235">
        <v>3.16</v>
      </c>
      <c r="G136" s="235"/>
      <c r="H136" s="235">
        <v>0.2</v>
      </c>
      <c r="I136" s="478">
        <f t="shared" si="14"/>
        <v>1.2640000000000002</v>
      </c>
      <c r="J136" s="472"/>
      <c r="K136" s="729"/>
    </row>
    <row r="137" spans="1:11">
      <c r="A137" s="167"/>
      <c r="B137" s="167" t="s">
        <v>682</v>
      </c>
      <c r="C137" s="472" t="s">
        <v>9</v>
      </c>
      <c r="D137" s="472">
        <v>4</v>
      </c>
      <c r="E137" s="472"/>
      <c r="F137" s="235">
        <v>5.6349999999999998</v>
      </c>
      <c r="G137" s="235"/>
      <c r="H137" s="235">
        <v>0.33500000000000002</v>
      </c>
      <c r="I137" s="478">
        <f t="shared" si="14"/>
        <v>7.5509000000000004</v>
      </c>
      <c r="J137" s="472"/>
      <c r="K137" s="729"/>
    </row>
    <row r="138" spans="1:11">
      <c r="A138" s="167"/>
      <c r="B138" s="167" t="s">
        <v>740</v>
      </c>
      <c r="C138" s="472" t="s">
        <v>9</v>
      </c>
      <c r="D138" s="472">
        <v>2</v>
      </c>
      <c r="E138" s="472"/>
      <c r="F138" s="235">
        <v>5.6349999999999998</v>
      </c>
      <c r="G138" s="235"/>
      <c r="H138" s="235">
        <v>0.2</v>
      </c>
      <c r="I138" s="478">
        <f t="shared" si="14"/>
        <v>2.254</v>
      </c>
      <c r="J138" s="472"/>
      <c r="K138" s="729"/>
    </row>
    <row r="139" spans="1:11">
      <c r="A139" s="167"/>
      <c r="B139" s="167" t="s">
        <v>683</v>
      </c>
      <c r="C139" s="472" t="s">
        <v>9</v>
      </c>
      <c r="D139" s="472">
        <v>4</v>
      </c>
      <c r="E139" s="472"/>
      <c r="F139" s="235">
        <v>4.6900000000000004</v>
      </c>
      <c r="G139" s="235"/>
      <c r="H139" s="235">
        <v>0.33500000000000002</v>
      </c>
      <c r="I139" s="478">
        <f t="shared" si="14"/>
        <v>6.2846000000000011</v>
      </c>
      <c r="J139" s="472"/>
      <c r="K139" s="729"/>
    </row>
    <row r="140" spans="1:11">
      <c r="A140" s="167"/>
      <c r="B140" s="167" t="s">
        <v>740</v>
      </c>
      <c r="C140" s="472" t="s">
        <v>9</v>
      </c>
      <c r="D140" s="472">
        <v>2</v>
      </c>
      <c r="E140" s="472"/>
      <c r="F140" s="235">
        <v>4.6900000000000004</v>
      </c>
      <c r="G140" s="235"/>
      <c r="H140" s="235">
        <v>0.2</v>
      </c>
      <c r="I140" s="478">
        <f t="shared" si="14"/>
        <v>1.8760000000000003</v>
      </c>
      <c r="J140" s="472"/>
      <c r="K140" s="729"/>
    </row>
    <row r="141" spans="1:11">
      <c r="A141" s="167"/>
      <c r="B141" s="167" t="s">
        <v>684</v>
      </c>
      <c r="C141" s="472" t="s">
        <v>9</v>
      </c>
      <c r="D141" s="472">
        <v>4</v>
      </c>
      <c r="E141" s="472"/>
      <c r="F141" s="235">
        <v>5.76</v>
      </c>
      <c r="G141" s="235"/>
      <c r="H141" s="235">
        <v>0.33500000000000002</v>
      </c>
      <c r="I141" s="478">
        <f t="shared" ref="I141:I172" si="15">+PRODUCT(D141:H141)</f>
        <v>7.7183999999999999</v>
      </c>
      <c r="J141" s="472"/>
      <c r="K141" s="729"/>
    </row>
    <row r="142" spans="1:11">
      <c r="A142" s="167"/>
      <c r="B142" s="167" t="s">
        <v>740</v>
      </c>
      <c r="C142" s="472" t="s">
        <v>9</v>
      </c>
      <c r="D142" s="472">
        <v>2</v>
      </c>
      <c r="E142" s="472"/>
      <c r="F142" s="235">
        <v>5.76</v>
      </c>
      <c r="G142" s="235"/>
      <c r="H142" s="235">
        <v>0.2</v>
      </c>
      <c r="I142" s="478">
        <f t="shared" si="15"/>
        <v>2.3039999999999998</v>
      </c>
      <c r="J142" s="472"/>
      <c r="K142" s="729"/>
    </row>
    <row r="143" spans="1:11">
      <c r="A143" s="167"/>
      <c r="B143" s="167" t="s">
        <v>685</v>
      </c>
      <c r="C143" s="472" t="s">
        <v>9</v>
      </c>
      <c r="D143" s="472">
        <v>4</v>
      </c>
      <c r="E143" s="472"/>
      <c r="F143" s="235">
        <v>2.2200000000000002</v>
      </c>
      <c r="G143" s="235"/>
      <c r="H143" s="235">
        <v>0.33500000000000002</v>
      </c>
      <c r="I143" s="478">
        <f t="shared" si="15"/>
        <v>2.9748000000000006</v>
      </c>
      <c r="J143" s="472"/>
      <c r="K143" s="729"/>
    </row>
    <row r="144" spans="1:11">
      <c r="A144" s="167"/>
      <c r="B144" s="167" t="s">
        <v>740</v>
      </c>
      <c r="C144" s="472" t="s">
        <v>9</v>
      </c>
      <c r="D144" s="472">
        <v>2</v>
      </c>
      <c r="E144" s="472"/>
      <c r="F144" s="235">
        <v>2.2200000000000002</v>
      </c>
      <c r="G144" s="235"/>
      <c r="H144" s="235">
        <v>0.2</v>
      </c>
      <c r="I144" s="478">
        <f t="shared" si="15"/>
        <v>0.88800000000000012</v>
      </c>
      <c r="J144" s="472"/>
      <c r="K144" s="729"/>
    </row>
    <row r="145" spans="1:11">
      <c r="A145" s="167"/>
      <c r="B145" s="167" t="s">
        <v>686</v>
      </c>
      <c r="C145" s="472" t="s">
        <v>9</v>
      </c>
      <c r="D145" s="472">
        <v>4</v>
      </c>
      <c r="E145" s="472"/>
      <c r="F145" s="235">
        <v>3.1150000000000002</v>
      </c>
      <c r="G145" s="235"/>
      <c r="H145" s="235">
        <v>0.33500000000000002</v>
      </c>
      <c r="I145" s="478">
        <f t="shared" si="15"/>
        <v>4.1741000000000001</v>
      </c>
      <c r="J145" s="472"/>
      <c r="K145" s="729"/>
    </row>
    <row r="146" spans="1:11">
      <c r="A146" s="167"/>
      <c r="B146" s="167" t="s">
        <v>740</v>
      </c>
      <c r="C146" s="472" t="s">
        <v>9</v>
      </c>
      <c r="D146" s="472">
        <v>2</v>
      </c>
      <c r="E146" s="472"/>
      <c r="F146" s="235">
        <v>3.1150000000000002</v>
      </c>
      <c r="G146" s="235"/>
      <c r="H146" s="235">
        <v>0.2</v>
      </c>
      <c r="I146" s="478">
        <f t="shared" si="15"/>
        <v>1.2460000000000002</v>
      </c>
      <c r="J146" s="472"/>
      <c r="K146" s="729"/>
    </row>
    <row r="147" spans="1:11">
      <c r="A147" s="167"/>
      <c r="B147" s="167" t="s">
        <v>687</v>
      </c>
      <c r="C147" s="472" t="s">
        <v>9</v>
      </c>
      <c r="D147" s="472">
        <v>12</v>
      </c>
      <c r="E147" s="472"/>
      <c r="F147" s="235">
        <v>7.6050000000000004</v>
      </c>
      <c r="G147" s="235"/>
      <c r="H147" s="235">
        <v>0.33500000000000002</v>
      </c>
      <c r="I147" s="478">
        <f t="shared" si="15"/>
        <v>30.572100000000002</v>
      </c>
      <c r="J147" s="472"/>
      <c r="K147" s="729"/>
    </row>
    <row r="148" spans="1:11">
      <c r="A148" s="167"/>
      <c r="B148" s="167" t="s">
        <v>740</v>
      </c>
      <c r="C148" s="472" t="s">
        <v>9</v>
      </c>
      <c r="D148" s="472">
        <v>6</v>
      </c>
      <c r="E148" s="472"/>
      <c r="F148" s="235">
        <v>7.6050000000000004</v>
      </c>
      <c r="G148" s="235"/>
      <c r="H148" s="235">
        <v>0.2</v>
      </c>
      <c r="I148" s="478">
        <f t="shared" si="15"/>
        <v>9.1260000000000012</v>
      </c>
      <c r="J148" s="472"/>
      <c r="K148" s="729"/>
    </row>
    <row r="149" spans="1:11">
      <c r="A149" s="167"/>
      <c r="B149" s="167" t="s">
        <v>688</v>
      </c>
      <c r="C149" s="472" t="s">
        <v>9</v>
      </c>
      <c r="D149" s="472">
        <v>4</v>
      </c>
      <c r="E149" s="472"/>
      <c r="F149" s="235">
        <v>3.2149999999999999</v>
      </c>
      <c r="G149" s="235"/>
      <c r="H149" s="235">
        <v>0.33500000000000002</v>
      </c>
      <c r="I149" s="478">
        <f t="shared" si="15"/>
        <v>4.3081000000000005</v>
      </c>
      <c r="J149" s="472"/>
      <c r="K149" s="729"/>
    </row>
    <row r="150" spans="1:11">
      <c r="A150" s="167"/>
      <c r="B150" s="167" t="s">
        <v>740</v>
      </c>
      <c r="C150" s="472" t="s">
        <v>9</v>
      </c>
      <c r="D150" s="472">
        <v>2</v>
      </c>
      <c r="E150" s="472"/>
      <c r="F150" s="235">
        <v>3.2149999999999999</v>
      </c>
      <c r="G150" s="235"/>
      <c r="H150" s="235">
        <v>0.2</v>
      </c>
      <c r="I150" s="478">
        <f t="shared" si="15"/>
        <v>1.286</v>
      </c>
      <c r="J150" s="472"/>
      <c r="K150" s="729"/>
    </row>
    <row r="151" spans="1:11">
      <c r="A151" s="167"/>
      <c r="B151" s="167" t="s">
        <v>689</v>
      </c>
      <c r="C151" s="472" t="s">
        <v>9</v>
      </c>
      <c r="D151" s="472">
        <v>4</v>
      </c>
      <c r="E151" s="472"/>
      <c r="F151" s="235">
        <v>2.76</v>
      </c>
      <c r="G151" s="235"/>
      <c r="H151" s="235">
        <v>0.33500000000000002</v>
      </c>
      <c r="I151" s="478">
        <f t="shared" si="15"/>
        <v>3.6983999999999999</v>
      </c>
      <c r="J151" s="472"/>
      <c r="K151" s="729"/>
    </row>
    <row r="152" spans="1:11">
      <c r="A152" s="167"/>
      <c r="B152" s="167" t="s">
        <v>740</v>
      </c>
      <c r="C152" s="472" t="s">
        <v>9</v>
      </c>
      <c r="D152" s="472">
        <v>2</v>
      </c>
      <c r="E152" s="472"/>
      <c r="F152" s="235">
        <v>2.76</v>
      </c>
      <c r="G152" s="235"/>
      <c r="H152" s="235">
        <v>0.23</v>
      </c>
      <c r="I152" s="478">
        <f t="shared" si="15"/>
        <v>1.2696000000000001</v>
      </c>
      <c r="J152" s="472"/>
      <c r="K152" s="729"/>
    </row>
    <row r="153" spans="1:11">
      <c r="A153" s="167"/>
      <c r="B153" s="167" t="s">
        <v>690</v>
      </c>
      <c r="C153" s="472" t="s">
        <v>9</v>
      </c>
      <c r="D153" s="472">
        <v>4</v>
      </c>
      <c r="E153" s="472"/>
      <c r="F153" s="235">
        <f>17.43-1.185-0.3-0.6</f>
        <v>15.345000000000001</v>
      </c>
      <c r="G153" s="235"/>
      <c r="H153" s="235">
        <v>0.33500000000000002</v>
      </c>
      <c r="I153" s="478">
        <f t="shared" si="15"/>
        <v>20.5623</v>
      </c>
      <c r="J153" s="472"/>
      <c r="K153" s="729"/>
    </row>
    <row r="154" spans="1:11">
      <c r="A154" s="167"/>
      <c r="B154" s="167" t="s">
        <v>740</v>
      </c>
      <c r="C154" s="472" t="s">
        <v>9</v>
      </c>
      <c r="D154" s="472">
        <v>2</v>
      </c>
      <c r="E154" s="472"/>
      <c r="F154" s="235">
        <f>17.43-1.185-0.3-0.6</f>
        <v>15.345000000000001</v>
      </c>
      <c r="G154" s="235"/>
      <c r="H154" s="235">
        <v>0.23</v>
      </c>
      <c r="I154" s="478">
        <f t="shared" si="15"/>
        <v>7.0587000000000009</v>
      </c>
      <c r="J154" s="472"/>
      <c r="K154" s="729"/>
    </row>
    <row r="155" spans="1:11">
      <c r="A155" s="167"/>
      <c r="B155" s="167" t="s">
        <v>691</v>
      </c>
      <c r="C155" s="472" t="s">
        <v>9</v>
      </c>
      <c r="D155" s="472">
        <v>4</v>
      </c>
      <c r="E155" s="472"/>
      <c r="F155" s="235">
        <v>8.02</v>
      </c>
      <c r="G155" s="235"/>
      <c r="H155" s="235">
        <v>0.33500000000000002</v>
      </c>
      <c r="I155" s="478">
        <f t="shared" si="15"/>
        <v>10.7468</v>
      </c>
      <c r="J155" s="472"/>
      <c r="K155" s="729"/>
    </row>
    <row r="156" spans="1:11">
      <c r="A156" s="167"/>
      <c r="B156" s="167" t="s">
        <v>740</v>
      </c>
      <c r="C156" s="472" t="s">
        <v>9</v>
      </c>
      <c r="D156" s="472">
        <v>2</v>
      </c>
      <c r="E156" s="472"/>
      <c r="F156" s="235">
        <v>8.02</v>
      </c>
      <c r="G156" s="235"/>
      <c r="H156" s="235">
        <v>0.2</v>
      </c>
      <c r="I156" s="478">
        <f t="shared" si="15"/>
        <v>3.2080000000000002</v>
      </c>
      <c r="J156" s="472"/>
      <c r="K156" s="729"/>
    </row>
    <row r="157" spans="1:11">
      <c r="A157" s="167"/>
      <c r="B157" s="167" t="s">
        <v>692</v>
      </c>
      <c r="C157" s="472" t="s">
        <v>9</v>
      </c>
      <c r="D157" s="472">
        <v>4</v>
      </c>
      <c r="E157" s="472"/>
      <c r="F157" s="235">
        <v>5.72</v>
      </c>
      <c r="G157" s="235"/>
      <c r="H157" s="235">
        <v>0.33500000000000002</v>
      </c>
      <c r="I157" s="478">
        <f t="shared" si="15"/>
        <v>7.6648000000000005</v>
      </c>
      <c r="J157" s="472"/>
      <c r="K157" s="729"/>
    </row>
    <row r="158" spans="1:11">
      <c r="A158" s="167"/>
      <c r="B158" s="167" t="s">
        <v>740</v>
      </c>
      <c r="C158" s="472" t="s">
        <v>9</v>
      </c>
      <c r="D158" s="472">
        <v>2</v>
      </c>
      <c r="E158" s="472"/>
      <c r="F158" s="235">
        <v>5.72</v>
      </c>
      <c r="G158" s="235"/>
      <c r="H158" s="235">
        <v>0.2</v>
      </c>
      <c r="I158" s="478">
        <f t="shared" si="15"/>
        <v>2.2879999999999998</v>
      </c>
      <c r="J158" s="472"/>
      <c r="K158" s="729"/>
    </row>
    <row r="159" spans="1:11">
      <c r="A159" s="167"/>
      <c r="B159" s="167" t="s">
        <v>693</v>
      </c>
      <c r="C159" s="472" t="s">
        <v>9</v>
      </c>
      <c r="D159" s="472">
        <v>4</v>
      </c>
      <c r="E159" s="472"/>
      <c r="F159" s="235">
        <f>8.07-0.3</f>
        <v>7.7700000000000005</v>
      </c>
      <c r="G159" s="235"/>
      <c r="H159" s="235">
        <v>0.33500000000000002</v>
      </c>
      <c r="I159" s="478">
        <f t="shared" si="15"/>
        <v>10.411800000000001</v>
      </c>
      <c r="J159" s="472"/>
      <c r="K159" s="729"/>
    </row>
    <row r="160" spans="1:11">
      <c r="A160" s="167"/>
      <c r="B160" s="167" t="s">
        <v>740</v>
      </c>
      <c r="C160" s="472" t="s">
        <v>9</v>
      </c>
      <c r="D160" s="472">
        <v>2</v>
      </c>
      <c r="E160" s="472"/>
      <c r="F160" s="235">
        <f>8.07-0.3</f>
        <v>7.7700000000000005</v>
      </c>
      <c r="G160" s="235"/>
      <c r="H160" s="235">
        <v>0.2</v>
      </c>
      <c r="I160" s="478">
        <f t="shared" si="15"/>
        <v>3.1080000000000005</v>
      </c>
      <c r="J160" s="472"/>
      <c r="K160" s="729"/>
    </row>
    <row r="161" spans="1:11">
      <c r="A161" s="167"/>
      <c r="B161" s="167" t="s">
        <v>694</v>
      </c>
      <c r="C161" s="472" t="s">
        <v>9</v>
      </c>
      <c r="D161" s="472">
        <v>12</v>
      </c>
      <c r="E161" s="472"/>
      <c r="F161" s="235">
        <f>8.255-0.3</f>
        <v>7.955000000000001</v>
      </c>
      <c r="G161" s="235"/>
      <c r="H161" s="235">
        <v>0.33500000000000002</v>
      </c>
      <c r="I161" s="478">
        <f t="shared" si="15"/>
        <v>31.979100000000006</v>
      </c>
      <c r="J161" s="472"/>
      <c r="K161" s="729"/>
    </row>
    <row r="162" spans="1:11">
      <c r="A162" s="167"/>
      <c r="B162" s="167" t="s">
        <v>740</v>
      </c>
      <c r="C162" s="472" t="s">
        <v>9</v>
      </c>
      <c r="D162" s="472">
        <v>6</v>
      </c>
      <c r="E162" s="472"/>
      <c r="F162" s="235">
        <f>8.255-0.3</f>
        <v>7.955000000000001</v>
      </c>
      <c r="G162" s="235"/>
      <c r="H162" s="235">
        <v>0.2</v>
      </c>
      <c r="I162" s="478">
        <f t="shared" si="15"/>
        <v>9.5460000000000012</v>
      </c>
      <c r="J162" s="472"/>
      <c r="K162" s="729"/>
    </row>
    <row r="163" spans="1:11">
      <c r="A163" s="167"/>
      <c r="B163" s="167" t="s">
        <v>695</v>
      </c>
      <c r="C163" s="472" t="s">
        <v>9</v>
      </c>
      <c r="D163" s="472">
        <v>12</v>
      </c>
      <c r="E163" s="472"/>
      <c r="F163" s="235">
        <f>6.345-0.6</f>
        <v>5.7450000000000001</v>
      </c>
      <c r="G163" s="235"/>
      <c r="H163" s="235">
        <v>0.33500000000000002</v>
      </c>
      <c r="I163" s="478">
        <f t="shared" si="15"/>
        <v>23.094899999999999</v>
      </c>
      <c r="J163" s="472"/>
      <c r="K163" s="729"/>
    </row>
    <row r="164" spans="1:11">
      <c r="A164" s="167"/>
      <c r="B164" s="167" t="s">
        <v>740</v>
      </c>
      <c r="C164" s="472" t="s">
        <v>9</v>
      </c>
      <c r="D164" s="472">
        <v>6</v>
      </c>
      <c r="E164" s="472"/>
      <c r="F164" s="235">
        <f>6.345-0.6</f>
        <v>5.7450000000000001</v>
      </c>
      <c r="G164" s="235"/>
      <c r="H164" s="235">
        <v>0.2</v>
      </c>
      <c r="I164" s="478">
        <f t="shared" si="15"/>
        <v>6.8940000000000001</v>
      </c>
      <c r="J164" s="472"/>
      <c r="K164" s="729"/>
    </row>
    <row r="165" spans="1:11">
      <c r="A165" s="167"/>
      <c r="B165" s="167" t="s">
        <v>696</v>
      </c>
      <c r="C165" s="472" t="s">
        <v>9</v>
      </c>
      <c r="D165" s="472">
        <v>4</v>
      </c>
      <c r="E165" s="472"/>
      <c r="F165" s="235">
        <v>5.125</v>
      </c>
      <c r="G165" s="235"/>
      <c r="H165" s="235">
        <v>0.33500000000000002</v>
      </c>
      <c r="I165" s="478">
        <f t="shared" si="15"/>
        <v>6.8675000000000006</v>
      </c>
      <c r="J165" s="472"/>
      <c r="K165" s="729"/>
    </row>
    <row r="166" spans="1:11">
      <c r="A166" s="167"/>
      <c r="B166" s="167" t="s">
        <v>740</v>
      </c>
      <c r="C166" s="472" t="s">
        <v>9</v>
      </c>
      <c r="D166" s="472">
        <v>2</v>
      </c>
      <c r="E166" s="472"/>
      <c r="F166" s="235">
        <v>5.125</v>
      </c>
      <c r="G166" s="235"/>
      <c r="H166" s="235">
        <v>0.2</v>
      </c>
      <c r="I166" s="478">
        <f t="shared" si="15"/>
        <v>2.0500000000000003</v>
      </c>
      <c r="J166" s="472"/>
      <c r="K166" s="729"/>
    </row>
    <row r="167" spans="1:11">
      <c r="A167" s="167"/>
      <c r="B167" s="167" t="s">
        <v>697</v>
      </c>
      <c r="C167" s="472" t="s">
        <v>9</v>
      </c>
      <c r="D167" s="472">
        <v>4</v>
      </c>
      <c r="E167" s="472"/>
      <c r="F167" s="235">
        <v>1.4</v>
      </c>
      <c r="G167" s="235"/>
      <c r="H167" s="235">
        <v>0.33500000000000002</v>
      </c>
      <c r="I167" s="478">
        <f t="shared" si="15"/>
        <v>1.8759999999999999</v>
      </c>
      <c r="J167" s="472"/>
      <c r="K167" s="729"/>
    </row>
    <row r="168" spans="1:11">
      <c r="A168" s="167"/>
      <c r="B168" s="167" t="s">
        <v>740</v>
      </c>
      <c r="C168" s="472" t="s">
        <v>9</v>
      </c>
      <c r="D168" s="472">
        <v>2</v>
      </c>
      <c r="E168" s="472"/>
      <c r="F168" s="235">
        <v>1.4</v>
      </c>
      <c r="G168" s="235"/>
      <c r="H168" s="235">
        <v>0.23</v>
      </c>
      <c r="I168" s="478">
        <f t="shared" si="15"/>
        <v>0.64400000000000002</v>
      </c>
      <c r="J168" s="472"/>
      <c r="K168" s="729"/>
    </row>
    <row r="169" spans="1:11">
      <c r="A169" s="167"/>
      <c r="B169" s="167" t="s">
        <v>698</v>
      </c>
      <c r="C169" s="472" t="s">
        <v>9</v>
      </c>
      <c r="D169" s="472">
        <v>4</v>
      </c>
      <c r="E169" s="472"/>
      <c r="F169" s="235">
        <f>7.425-0.6</f>
        <v>6.8250000000000002</v>
      </c>
      <c r="G169" s="235"/>
      <c r="H169" s="235">
        <v>0.33500000000000002</v>
      </c>
      <c r="I169" s="478">
        <f t="shared" si="15"/>
        <v>9.1455000000000002</v>
      </c>
      <c r="J169" s="472"/>
      <c r="K169" s="729"/>
    </row>
    <row r="170" spans="1:11">
      <c r="A170" s="167"/>
      <c r="B170" s="167" t="s">
        <v>740</v>
      </c>
      <c r="C170" s="472" t="s">
        <v>9</v>
      </c>
      <c r="D170" s="472">
        <v>2</v>
      </c>
      <c r="E170" s="472"/>
      <c r="F170" s="235">
        <f>7.425-0.6</f>
        <v>6.8250000000000002</v>
      </c>
      <c r="G170" s="235"/>
      <c r="H170" s="235">
        <v>0.2</v>
      </c>
      <c r="I170" s="478">
        <f t="shared" si="15"/>
        <v>2.7300000000000004</v>
      </c>
      <c r="J170" s="472"/>
      <c r="K170" s="729"/>
    </row>
    <row r="171" spans="1:11">
      <c r="A171" s="167"/>
      <c r="B171" s="167" t="s">
        <v>698</v>
      </c>
      <c r="C171" s="472" t="s">
        <v>9</v>
      </c>
      <c r="D171" s="472">
        <v>4</v>
      </c>
      <c r="E171" s="472"/>
      <c r="F171" s="235">
        <v>2.93</v>
      </c>
      <c r="G171" s="235"/>
      <c r="H171" s="235">
        <v>0.33500000000000002</v>
      </c>
      <c r="I171" s="478">
        <f t="shared" si="15"/>
        <v>3.9262000000000006</v>
      </c>
      <c r="J171" s="472"/>
      <c r="K171" s="729"/>
    </row>
    <row r="172" spans="1:11">
      <c r="A172" s="167"/>
      <c r="B172" s="167" t="s">
        <v>740</v>
      </c>
      <c r="C172" s="472" t="s">
        <v>9</v>
      </c>
      <c r="D172" s="472">
        <v>2</v>
      </c>
      <c r="E172" s="472"/>
      <c r="F172" s="235">
        <v>2.93</v>
      </c>
      <c r="G172" s="235"/>
      <c r="H172" s="235">
        <v>0.23</v>
      </c>
      <c r="I172" s="478">
        <f t="shared" si="15"/>
        <v>1.3478000000000001</v>
      </c>
      <c r="J172" s="472"/>
      <c r="K172" s="729"/>
    </row>
    <row r="173" spans="1:11">
      <c r="A173" s="167"/>
      <c r="B173" s="167" t="s">
        <v>699</v>
      </c>
      <c r="C173" s="472" t="s">
        <v>9</v>
      </c>
      <c r="D173" s="472">
        <v>2</v>
      </c>
      <c r="E173" s="472"/>
      <c r="F173" s="235">
        <f>18.91-2.4</f>
        <v>16.510000000000002</v>
      </c>
      <c r="G173" s="235"/>
      <c r="H173" s="235">
        <v>0.33500000000000002</v>
      </c>
      <c r="I173" s="478">
        <f t="shared" ref="I173:I204" si="16">+PRODUCT(D173:H173)</f>
        <v>11.061700000000002</v>
      </c>
      <c r="J173" s="472"/>
      <c r="K173" s="729"/>
    </row>
    <row r="174" spans="1:11">
      <c r="A174" s="167"/>
      <c r="B174" s="167" t="s">
        <v>740</v>
      </c>
      <c r="C174" s="472" t="s">
        <v>9</v>
      </c>
      <c r="D174" s="472">
        <v>1</v>
      </c>
      <c r="E174" s="472"/>
      <c r="F174" s="235">
        <f>18.91-2.4</f>
        <v>16.510000000000002</v>
      </c>
      <c r="G174" s="235"/>
      <c r="H174" s="235">
        <v>0.23</v>
      </c>
      <c r="I174" s="478">
        <f t="shared" si="16"/>
        <v>3.7973000000000003</v>
      </c>
      <c r="J174" s="472"/>
      <c r="K174" s="729"/>
    </row>
    <row r="175" spans="1:11">
      <c r="A175" s="167"/>
      <c r="B175" s="167" t="s">
        <v>700</v>
      </c>
      <c r="C175" s="472" t="s">
        <v>9</v>
      </c>
      <c r="D175" s="472">
        <v>4</v>
      </c>
      <c r="E175" s="472"/>
      <c r="F175" s="235">
        <v>3.53</v>
      </c>
      <c r="G175" s="235"/>
      <c r="H175" s="235">
        <v>0.33500000000000002</v>
      </c>
      <c r="I175" s="478">
        <f t="shared" si="16"/>
        <v>4.7302</v>
      </c>
      <c r="J175" s="472"/>
      <c r="K175" s="729"/>
    </row>
    <row r="176" spans="1:11">
      <c r="A176" s="167"/>
      <c r="B176" s="167" t="s">
        <v>740</v>
      </c>
      <c r="C176" s="472" t="s">
        <v>9</v>
      </c>
      <c r="D176" s="472">
        <v>2</v>
      </c>
      <c r="E176" s="472"/>
      <c r="F176" s="235">
        <v>3.53</v>
      </c>
      <c r="G176" s="235"/>
      <c r="H176" s="235">
        <v>0.23</v>
      </c>
      <c r="I176" s="478">
        <f t="shared" si="16"/>
        <v>1.6237999999999999</v>
      </c>
      <c r="J176" s="472"/>
      <c r="K176" s="729"/>
    </row>
    <row r="177" spans="1:11">
      <c r="A177" s="167"/>
      <c r="B177" s="167" t="s">
        <v>701</v>
      </c>
      <c r="C177" s="472" t="s">
        <v>9</v>
      </c>
      <c r="D177" s="472">
        <v>4</v>
      </c>
      <c r="E177" s="472"/>
      <c r="F177" s="235">
        <v>3.03</v>
      </c>
      <c r="G177" s="235"/>
      <c r="H177" s="235">
        <v>0.33500000000000002</v>
      </c>
      <c r="I177" s="478">
        <f t="shared" si="16"/>
        <v>4.0602</v>
      </c>
      <c r="J177" s="472"/>
      <c r="K177" s="729"/>
    </row>
    <row r="178" spans="1:11">
      <c r="A178" s="167"/>
      <c r="B178" s="167" t="s">
        <v>740</v>
      </c>
      <c r="C178" s="472" t="s">
        <v>9</v>
      </c>
      <c r="D178" s="472">
        <v>2</v>
      </c>
      <c r="E178" s="472"/>
      <c r="F178" s="235">
        <v>3.03</v>
      </c>
      <c r="G178" s="235"/>
      <c r="H178" s="235">
        <v>0.2</v>
      </c>
      <c r="I178" s="478">
        <f t="shared" si="16"/>
        <v>1.212</v>
      </c>
      <c r="J178" s="472"/>
      <c r="K178" s="729"/>
    </row>
    <row r="179" spans="1:11">
      <c r="A179" s="167"/>
      <c r="B179" s="167" t="s">
        <v>702</v>
      </c>
      <c r="C179" s="472" t="s">
        <v>9</v>
      </c>
      <c r="D179" s="472">
        <v>4</v>
      </c>
      <c r="E179" s="472"/>
      <c r="F179" s="235">
        <v>10.199999999999999</v>
      </c>
      <c r="G179" s="235"/>
      <c r="H179" s="235">
        <v>0.33500000000000002</v>
      </c>
      <c r="I179" s="478">
        <f t="shared" si="16"/>
        <v>13.667999999999999</v>
      </c>
      <c r="J179" s="472"/>
      <c r="K179" s="729"/>
    </row>
    <row r="180" spans="1:11">
      <c r="A180" s="167"/>
      <c r="B180" s="167" t="s">
        <v>740</v>
      </c>
      <c r="C180" s="472" t="s">
        <v>9</v>
      </c>
      <c r="D180" s="472">
        <v>2</v>
      </c>
      <c r="E180" s="472"/>
      <c r="F180" s="235">
        <v>10.199999999999999</v>
      </c>
      <c r="G180" s="235"/>
      <c r="H180" s="235">
        <v>0.2</v>
      </c>
      <c r="I180" s="478">
        <f t="shared" si="16"/>
        <v>4.08</v>
      </c>
      <c r="J180" s="472"/>
      <c r="K180" s="729"/>
    </row>
    <row r="181" spans="1:11">
      <c r="A181" s="167"/>
      <c r="B181" s="167" t="s">
        <v>703</v>
      </c>
      <c r="C181" s="472" t="s">
        <v>9</v>
      </c>
      <c r="D181" s="472">
        <v>4</v>
      </c>
      <c r="E181" s="472"/>
      <c r="F181" s="235">
        <v>6.38</v>
      </c>
      <c r="G181" s="235"/>
      <c r="H181" s="235">
        <v>0.33500000000000002</v>
      </c>
      <c r="I181" s="478">
        <f t="shared" si="16"/>
        <v>8.5492000000000008</v>
      </c>
      <c r="J181" s="472"/>
      <c r="K181" s="729"/>
    </row>
    <row r="182" spans="1:11">
      <c r="A182" s="167"/>
      <c r="B182" s="167" t="s">
        <v>740</v>
      </c>
      <c r="C182" s="472" t="s">
        <v>9</v>
      </c>
      <c r="D182" s="472">
        <v>2</v>
      </c>
      <c r="E182" s="472"/>
      <c r="F182" s="235">
        <v>6.38</v>
      </c>
      <c r="G182" s="235"/>
      <c r="H182" s="235">
        <v>0.2</v>
      </c>
      <c r="I182" s="478">
        <f t="shared" si="16"/>
        <v>2.552</v>
      </c>
      <c r="J182" s="472"/>
      <c r="K182" s="729"/>
    </row>
    <row r="183" spans="1:11">
      <c r="A183" s="167"/>
      <c r="B183" s="167" t="s">
        <v>704</v>
      </c>
      <c r="C183" s="472" t="s">
        <v>9</v>
      </c>
      <c r="D183" s="472">
        <v>12</v>
      </c>
      <c r="E183" s="472"/>
      <c r="F183" s="235">
        <v>5.36</v>
      </c>
      <c r="G183" s="235"/>
      <c r="H183" s="235">
        <v>0.33500000000000002</v>
      </c>
      <c r="I183" s="478">
        <f t="shared" si="16"/>
        <v>21.547200000000004</v>
      </c>
      <c r="J183" s="472"/>
      <c r="K183" s="729"/>
    </row>
    <row r="184" spans="1:11">
      <c r="A184" s="167"/>
      <c r="B184" s="167" t="s">
        <v>740</v>
      </c>
      <c r="C184" s="472" t="s">
        <v>9</v>
      </c>
      <c r="D184" s="472">
        <v>6</v>
      </c>
      <c r="E184" s="472"/>
      <c r="F184" s="235">
        <v>5.36</v>
      </c>
      <c r="G184" s="235"/>
      <c r="H184" s="235">
        <v>0.2</v>
      </c>
      <c r="I184" s="478">
        <f t="shared" si="16"/>
        <v>6.4320000000000013</v>
      </c>
      <c r="J184" s="472"/>
      <c r="K184" s="729"/>
    </row>
    <row r="185" spans="1:11">
      <c r="A185" s="167"/>
      <c r="B185" s="167" t="s">
        <v>705</v>
      </c>
      <c r="C185" s="472" t="s">
        <v>9</v>
      </c>
      <c r="D185" s="472">
        <v>40</v>
      </c>
      <c r="E185" s="472"/>
      <c r="F185" s="235">
        <v>0.51500000000000001</v>
      </c>
      <c r="G185" s="235"/>
      <c r="H185" s="235">
        <v>0.33500000000000002</v>
      </c>
      <c r="I185" s="478">
        <f t="shared" si="16"/>
        <v>6.9010000000000007</v>
      </c>
      <c r="J185" s="472"/>
      <c r="K185" s="729"/>
    </row>
    <row r="186" spans="1:11">
      <c r="A186" s="167"/>
      <c r="B186" s="167" t="s">
        <v>740</v>
      </c>
      <c r="C186" s="472" t="s">
        <v>9</v>
      </c>
      <c r="D186" s="472">
        <v>20</v>
      </c>
      <c r="E186" s="472"/>
      <c r="F186" s="235">
        <v>0.51500000000000001</v>
      </c>
      <c r="G186" s="235"/>
      <c r="H186" s="235">
        <v>0.1</v>
      </c>
      <c r="I186" s="478">
        <f t="shared" si="16"/>
        <v>1.03</v>
      </c>
      <c r="J186" s="472"/>
      <c r="K186" s="729"/>
    </row>
    <row r="187" spans="1:11">
      <c r="A187" s="167"/>
      <c r="B187" s="167" t="s">
        <v>706</v>
      </c>
      <c r="C187" s="472" t="s">
        <v>9</v>
      </c>
      <c r="D187" s="472">
        <v>12</v>
      </c>
      <c r="E187" s="472"/>
      <c r="F187" s="235">
        <v>3.45</v>
      </c>
      <c r="G187" s="235"/>
      <c r="H187" s="235">
        <v>0.33500000000000002</v>
      </c>
      <c r="I187" s="478">
        <f t="shared" si="16"/>
        <v>13.869000000000003</v>
      </c>
      <c r="J187" s="472"/>
      <c r="K187" s="729"/>
    </row>
    <row r="188" spans="1:11">
      <c r="A188" s="167"/>
      <c r="B188" s="167" t="s">
        <v>740</v>
      </c>
      <c r="C188" s="472" t="s">
        <v>9</v>
      </c>
      <c r="D188" s="472">
        <v>6</v>
      </c>
      <c r="E188" s="472"/>
      <c r="F188" s="235">
        <v>3.45</v>
      </c>
      <c r="G188" s="235"/>
      <c r="H188" s="235">
        <v>0.2</v>
      </c>
      <c r="I188" s="478">
        <f t="shared" si="16"/>
        <v>4.1400000000000006</v>
      </c>
      <c r="J188" s="472"/>
      <c r="K188" s="729"/>
    </row>
    <row r="189" spans="1:11">
      <c r="A189" s="167"/>
      <c r="B189" s="167" t="s">
        <v>707</v>
      </c>
      <c r="C189" s="472" t="s">
        <v>9</v>
      </c>
      <c r="D189" s="472">
        <v>12</v>
      </c>
      <c r="E189" s="472"/>
      <c r="F189" s="235">
        <v>2.91</v>
      </c>
      <c r="G189" s="235"/>
      <c r="H189" s="235">
        <v>0.33500000000000002</v>
      </c>
      <c r="I189" s="478">
        <f t="shared" si="16"/>
        <v>11.698200000000002</v>
      </c>
      <c r="J189" s="472"/>
      <c r="K189" s="729"/>
    </row>
    <row r="190" spans="1:11">
      <c r="A190" s="167"/>
      <c r="B190" s="167" t="s">
        <v>740</v>
      </c>
      <c r="C190" s="472" t="s">
        <v>9</v>
      </c>
      <c r="D190" s="472">
        <v>6</v>
      </c>
      <c r="E190" s="472"/>
      <c r="F190" s="235">
        <v>2.91</v>
      </c>
      <c r="G190" s="235"/>
      <c r="H190" s="235">
        <v>0.2</v>
      </c>
      <c r="I190" s="478">
        <f t="shared" si="16"/>
        <v>3.4920000000000004</v>
      </c>
      <c r="J190" s="472"/>
      <c r="K190" s="729"/>
    </row>
    <row r="191" spans="1:11">
      <c r="A191" s="167"/>
      <c r="B191" s="167" t="s">
        <v>708</v>
      </c>
      <c r="C191" s="472" t="s">
        <v>9</v>
      </c>
      <c r="D191" s="472">
        <v>4</v>
      </c>
      <c r="E191" s="472"/>
      <c r="F191" s="235">
        <f>7.88-1.5</f>
        <v>6.38</v>
      </c>
      <c r="G191" s="235"/>
      <c r="H191" s="235">
        <v>0.33500000000000002</v>
      </c>
      <c r="I191" s="478">
        <f t="shared" si="16"/>
        <v>8.5492000000000008</v>
      </c>
      <c r="J191" s="472"/>
      <c r="K191" s="729"/>
    </row>
    <row r="192" spans="1:11">
      <c r="A192" s="167"/>
      <c r="B192" s="167" t="s">
        <v>740</v>
      </c>
      <c r="C192" s="472" t="s">
        <v>9</v>
      </c>
      <c r="D192" s="472">
        <v>2</v>
      </c>
      <c r="E192" s="472"/>
      <c r="F192" s="235">
        <f>7.88-1.5</f>
        <v>6.38</v>
      </c>
      <c r="G192" s="235"/>
      <c r="H192" s="235">
        <v>0.2</v>
      </c>
      <c r="I192" s="478">
        <f t="shared" si="16"/>
        <v>2.552</v>
      </c>
      <c r="J192" s="472"/>
      <c r="K192" s="729"/>
    </row>
    <row r="193" spans="1:11">
      <c r="A193" s="167"/>
      <c r="B193" s="167" t="s">
        <v>709</v>
      </c>
      <c r="C193" s="472" t="s">
        <v>9</v>
      </c>
      <c r="D193" s="472">
        <v>12</v>
      </c>
      <c r="E193" s="472"/>
      <c r="F193" s="235">
        <v>3.31</v>
      </c>
      <c r="G193" s="235"/>
      <c r="H193" s="235">
        <v>0.33500000000000002</v>
      </c>
      <c r="I193" s="478">
        <f t="shared" si="16"/>
        <v>13.3062</v>
      </c>
      <c r="J193" s="472"/>
      <c r="K193" s="729"/>
    </row>
    <row r="194" spans="1:11">
      <c r="A194" s="167"/>
      <c r="B194" s="167" t="s">
        <v>740</v>
      </c>
      <c r="C194" s="472" t="s">
        <v>9</v>
      </c>
      <c r="D194" s="472">
        <v>6</v>
      </c>
      <c r="E194" s="472"/>
      <c r="F194" s="235">
        <v>3.31</v>
      </c>
      <c r="G194" s="235"/>
      <c r="H194" s="235">
        <v>0.2</v>
      </c>
      <c r="I194" s="478">
        <f t="shared" si="16"/>
        <v>3.972</v>
      </c>
      <c r="J194" s="472"/>
      <c r="K194" s="729"/>
    </row>
    <row r="195" spans="1:11">
      <c r="A195" s="167"/>
      <c r="B195" s="167" t="s">
        <v>710</v>
      </c>
      <c r="C195" s="472" t="s">
        <v>9</v>
      </c>
      <c r="D195" s="472">
        <v>8</v>
      </c>
      <c r="E195" s="472"/>
      <c r="F195" s="235">
        <v>2.1949999999999998</v>
      </c>
      <c r="G195" s="235"/>
      <c r="H195" s="235">
        <v>0.33500000000000002</v>
      </c>
      <c r="I195" s="478">
        <f t="shared" si="16"/>
        <v>5.8826000000000001</v>
      </c>
      <c r="J195" s="472"/>
      <c r="K195" s="729"/>
    </row>
    <row r="196" spans="1:11">
      <c r="A196" s="167"/>
      <c r="B196" s="167" t="s">
        <v>740</v>
      </c>
      <c r="C196" s="472" t="s">
        <v>9</v>
      </c>
      <c r="D196" s="472">
        <v>4</v>
      </c>
      <c r="E196" s="472"/>
      <c r="F196" s="235">
        <v>2.1949999999999998</v>
      </c>
      <c r="G196" s="235"/>
      <c r="H196" s="235">
        <v>0.2</v>
      </c>
      <c r="I196" s="478">
        <f t="shared" si="16"/>
        <v>1.756</v>
      </c>
      <c r="J196" s="472"/>
      <c r="K196" s="729"/>
    </row>
    <row r="197" spans="1:11">
      <c r="A197" s="167"/>
      <c r="B197" s="167" t="s">
        <v>711</v>
      </c>
      <c r="C197" s="472" t="s">
        <v>9</v>
      </c>
      <c r="D197" s="472">
        <v>4</v>
      </c>
      <c r="E197" s="472"/>
      <c r="F197" s="235">
        <v>5.2450000000000001</v>
      </c>
      <c r="G197" s="235"/>
      <c r="H197" s="235">
        <v>0.33500000000000002</v>
      </c>
      <c r="I197" s="478">
        <f t="shared" si="16"/>
        <v>7.0283000000000007</v>
      </c>
      <c r="J197" s="472"/>
      <c r="K197" s="729"/>
    </row>
    <row r="198" spans="1:11">
      <c r="A198" s="167"/>
      <c r="B198" s="167" t="s">
        <v>740</v>
      </c>
      <c r="C198" s="472" t="s">
        <v>9</v>
      </c>
      <c r="D198" s="472">
        <v>2</v>
      </c>
      <c r="E198" s="472"/>
      <c r="F198" s="235">
        <v>5.2450000000000001</v>
      </c>
      <c r="G198" s="235"/>
      <c r="H198" s="235">
        <v>0.2</v>
      </c>
      <c r="I198" s="478">
        <f t="shared" si="16"/>
        <v>2.0980000000000003</v>
      </c>
      <c r="J198" s="472"/>
      <c r="K198" s="729"/>
    </row>
    <row r="199" spans="1:11">
      <c r="A199" s="167"/>
      <c r="B199" s="167" t="s">
        <v>712</v>
      </c>
      <c r="C199" s="472" t="s">
        <v>9</v>
      </c>
      <c r="D199" s="472">
        <v>4</v>
      </c>
      <c r="E199" s="472"/>
      <c r="F199" s="235">
        <v>2.23</v>
      </c>
      <c r="G199" s="235"/>
      <c r="H199" s="235">
        <v>0.33500000000000002</v>
      </c>
      <c r="I199" s="478">
        <f t="shared" si="16"/>
        <v>2.9882</v>
      </c>
      <c r="J199" s="472"/>
      <c r="K199" s="729"/>
    </row>
    <row r="200" spans="1:11">
      <c r="A200" s="167"/>
      <c r="B200" s="167" t="s">
        <v>740</v>
      </c>
      <c r="C200" s="472" t="s">
        <v>9</v>
      </c>
      <c r="D200" s="472">
        <v>2</v>
      </c>
      <c r="E200" s="472"/>
      <c r="F200" s="235">
        <v>2.23</v>
      </c>
      <c r="G200" s="235"/>
      <c r="H200" s="235">
        <v>0.2</v>
      </c>
      <c r="I200" s="478">
        <f t="shared" si="16"/>
        <v>0.89200000000000002</v>
      </c>
      <c r="J200" s="472"/>
      <c r="K200" s="729"/>
    </row>
    <row r="201" spans="1:11">
      <c r="A201" s="167"/>
      <c r="B201" s="167" t="s">
        <v>713</v>
      </c>
      <c r="C201" s="472" t="s">
        <v>9</v>
      </c>
      <c r="D201" s="472">
        <v>4</v>
      </c>
      <c r="E201" s="472"/>
      <c r="F201" s="235">
        <f>5.65-0.75</f>
        <v>4.9000000000000004</v>
      </c>
      <c r="G201" s="235"/>
      <c r="H201" s="235">
        <v>0.33500000000000002</v>
      </c>
      <c r="I201" s="478">
        <f t="shared" si="16"/>
        <v>6.5660000000000007</v>
      </c>
      <c r="J201" s="472"/>
      <c r="K201" s="729"/>
    </row>
    <row r="202" spans="1:11">
      <c r="A202" s="167"/>
      <c r="B202" s="167" t="s">
        <v>740</v>
      </c>
      <c r="C202" s="472" t="s">
        <v>9</v>
      </c>
      <c r="D202" s="472">
        <v>2</v>
      </c>
      <c r="E202" s="472"/>
      <c r="F202" s="235">
        <f>5.65-0.75</f>
        <v>4.9000000000000004</v>
      </c>
      <c r="G202" s="235"/>
      <c r="H202" s="235">
        <v>0.2</v>
      </c>
      <c r="I202" s="478">
        <f t="shared" si="16"/>
        <v>1.9600000000000002</v>
      </c>
      <c r="J202" s="472"/>
      <c r="K202" s="729"/>
    </row>
    <row r="203" spans="1:11">
      <c r="A203" s="167"/>
      <c r="B203" s="167" t="s">
        <v>714</v>
      </c>
      <c r="C203" s="472" t="s">
        <v>9</v>
      </c>
      <c r="D203" s="472">
        <v>4</v>
      </c>
      <c r="E203" s="472"/>
      <c r="F203" s="235">
        <v>5.1449999999999996</v>
      </c>
      <c r="G203" s="235"/>
      <c r="H203" s="235">
        <v>0.33500000000000002</v>
      </c>
      <c r="I203" s="478">
        <f t="shared" si="16"/>
        <v>6.8942999999999994</v>
      </c>
      <c r="J203" s="472"/>
      <c r="K203" s="729"/>
    </row>
    <row r="204" spans="1:11">
      <c r="A204" s="167"/>
      <c r="B204" s="167" t="s">
        <v>740</v>
      </c>
      <c r="C204" s="472" t="s">
        <v>9</v>
      </c>
      <c r="D204" s="472">
        <v>2</v>
      </c>
      <c r="E204" s="472"/>
      <c r="F204" s="235">
        <v>5.1449999999999996</v>
      </c>
      <c r="G204" s="235"/>
      <c r="H204" s="235">
        <v>0.2</v>
      </c>
      <c r="I204" s="478">
        <f t="shared" si="16"/>
        <v>2.0579999999999998</v>
      </c>
      <c r="J204" s="472"/>
      <c r="K204" s="729"/>
    </row>
    <row r="205" spans="1:11">
      <c r="A205" s="167"/>
      <c r="B205" s="167" t="s">
        <v>715</v>
      </c>
      <c r="C205" s="472" t="s">
        <v>9</v>
      </c>
      <c r="D205" s="472">
        <v>4</v>
      </c>
      <c r="E205" s="472"/>
      <c r="F205" s="235">
        <v>3.2</v>
      </c>
      <c r="G205" s="235"/>
      <c r="H205" s="235">
        <v>0.33500000000000002</v>
      </c>
      <c r="I205" s="478">
        <f t="shared" ref="I205:I236" si="17">+PRODUCT(D205:H205)</f>
        <v>4.2880000000000003</v>
      </c>
      <c r="J205" s="472"/>
      <c r="K205" s="729"/>
    </row>
    <row r="206" spans="1:11">
      <c r="A206" s="167"/>
      <c r="B206" s="167" t="s">
        <v>740</v>
      </c>
      <c r="C206" s="472" t="s">
        <v>9</v>
      </c>
      <c r="D206" s="472">
        <v>2</v>
      </c>
      <c r="E206" s="472"/>
      <c r="F206" s="235">
        <v>3.2</v>
      </c>
      <c r="G206" s="235"/>
      <c r="H206" s="235">
        <v>0.23</v>
      </c>
      <c r="I206" s="478">
        <f t="shared" si="17"/>
        <v>1.4720000000000002</v>
      </c>
      <c r="J206" s="472"/>
      <c r="K206" s="729"/>
    </row>
    <row r="207" spans="1:11">
      <c r="A207" s="167"/>
      <c r="B207" s="167" t="s">
        <v>716</v>
      </c>
      <c r="C207" s="472" t="s">
        <v>9</v>
      </c>
      <c r="D207" s="472">
        <v>4</v>
      </c>
      <c r="E207" s="472"/>
      <c r="F207" s="235">
        <v>2.95</v>
      </c>
      <c r="G207" s="235"/>
      <c r="H207" s="235">
        <v>0.33500000000000002</v>
      </c>
      <c r="I207" s="478">
        <f t="shared" si="17"/>
        <v>3.9530000000000003</v>
      </c>
      <c r="J207" s="472"/>
      <c r="K207" s="729"/>
    </row>
    <row r="208" spans="1:11">
      <c r="A208" s="167"/>
      <c r="B208" s="167" t="s">
        <v>740</v>
      </c>
      <c r="C208" s="472" t="s">
        <v>9</v>
      </c>
      <c r="D208" s="472">
        <v>2</v>
      </c>
      <c r="E208" s="472"/>
      <c r="F208" s="235">
        <v>2.95</v>
      </c>
      <c r="G208" s="235"/>
      <c r="H208" s="235">
        <v>0.2</v>
      </c>
      <c r="I208" s="478">
        <f t="shared" si="17"/>
        <v>1.1800000000000002</v>
      </c>
      <c r="J208" s="472"/>
      <c r="K208" s="729"/>
    </row>
    <row r="209" spans="1:11">
      <c r="A209" s="167"/>
      <c r="B209" s="167" t="s">
        <v>717</v>
      </c>
      <c r="C209" s="472" t="s">
        <v>9</v>
      </c>
      <c r="D209" s="472">
        <v>4</v>
      </c>
      <c r="E209" s="472"/>
      <c r="F209" s="235">
        <v>3.8</v>
      </c>
      <c r="G209" s="235"/>
      <c r="H209" s="235">
        <v>0.33500000000000002</v>
      </c>
      <c r="I209" s="478">
        <f t="shared" si="17"/>
        <v>5.0919999999999996</v>
      </c>
      <c r="J209" s="472"/>
      <c r="K209" s="729"/>
    </row>
    <row r="210" spans="1:11">
      <c r="A210" s="167"/>
      <c r="B210" s="167" t="s">
        <v>740</v>
      </c>
      <c r="C210" s="472" t="s">
        <v>9</v>
      </c>
      <c r="D210" s="472">
        <v>2</v>
      </c>
      <c r="E210" s="472"/>
      <c r="F210" s="235">
        <v>3.8</v>
      </c>
      <c r="G210" s="235"/>
      <c r="H210" s="235">
        <v>0.2</v>
      </c>
      <c r="I210" s="478">
        <f t="shared" si="17"/>
        <v>1.52</v>
      </c>
      <c r="J210" s="472"/>
      <c r="K210" s="729"/>
    </row>
    <row r="211" spans="1:11">
      <c r="A211" s="167"/>
      <c r="B211" s="167" t="s">
        <v>718</v>
      </c>
      <c r="C211" s="472" t="s">
        <v>9</v>
      </c>
      <c r="D211" s="472">
        <v>4</v>
      </c>
      <c r="E211" s="472"/>
      <c r="F211" s="235">
        <v>4.55</v>
      </c>
      <c r="G211" s="235"/>
      <c r="H211" s="235">
        <v>0.33500000000000002</v>
      </c>
      <c r="I211" s="478">
        <f t="shared" si="17"/>
        <v>6.0970000000000004</v>
      </c>
      <c r="J211" s="472"/>
      <c r="K211" s="729"/>
    </row>
    <row r="212" spans="1:11">
      <c r="A212" s="167"/>
      <c r="B212" s="167" t="s">
        <v>740</v>
      </c>
      <c r="C212" s="472" t="s">
        <v>9</v>
      </c>
      <c r="D212" s="472">
        <v>2</v>
      </c>
      <c r="E212" s="472"/>
      <c r="F212" s="235">
        <v>4.55</v>
      </c>
      <c r="G212" s="235"/>
      <c r="H212" s="235">
        <v>0.2</v>
      </c>
      <c r="I212" s="478">
        <f t="shared" si="17"/>
        <v>1.82</v>
      </c>
      <c r="J212" s="472"/>
      <c r="K212" s="729"/>
    </row>
    <row r="213" spans="1:11">
      <c r="A213" s="167"/>
      <c r="B213" s="167" t="s">
        <v>719</v>
      </c>
      <c r="C213" s="472" t="s">
        <v>9</v>
      </c>
      <c r="D213" s="472">
        <v>4</v>
      </c>
      <c r="E213" s="472"/>
      <c r="F213" s="235">
        <v>3.05</v>
      </c>
      <c r="G213" s="235"/>
      <c r="H213" s="235">
        <v>0.33500000000000002</v>
      </c>
      <c r="I213" s="478">
        <f t="shared" si="17"/>
        <v>4.0869999999999997</v>
      </c>
      <c r="J213" s="472"/>
      <c r="K213" s="729"/>
    </row>
    <row r="214" spans="1:11">
      <c r="A214" s="167"/>
      <c r="B214" s="167" t="s">
        <v>740</v>
      </c>
      <c r="C214" s="472" t="s">
        <v>9</v>
      </c>
      <c r="D214" s="472">
        <v>2</v>
      </c>
      <c r="E214" s="472"/>
      <c r="F214" s="235">
        <v>3.05</v>
      </c>
      <c r="G214" s="235"/>
      <c r="H214" s="235">
        <v>0.2</v>
      </c>
      <c r="I214" s="478">
        <f t="shared" si="17"/>
        <v>1.22</v>
      </c>
      <c r="J214" s="472"/>
      <c r="K214" s="729"/>
    </row>
    <row r="215" spans="1:11">
      <c r="A215" s="167"/>
      <c r="B215" s="167" t="s">
        <v>720</v>
      </c>
      <c r="C215" s="472" t="s">
        <v>9</v>
      </c>
      <c r="D215" s="472">
        <v>4</v>
      </c>
      <c r="E215" s="472"/>
      <c r="F215" s="235">
        <v>3.1150000000000002</v>
      </c>
      <c r="G215" s="235"/>
      <c r="H215" s="235">
        <v>0.33500000000000002</v>
      </c>
      <c r="I215" s="478">
        <f t="shared" si="17"/>
        <v>4.1741000000000001</v>
      </c>
      <c r="J215" s="472"/>
      <c r="K215" s="729"/>
    </row>
    <row r="216" spans="1:11">
      <c r="A216" s="167"/>
      <c r="B216" s="167" t="s">
        <v>740</v>
      </c>
      <c r="C216" s="472" t="s">
        <v>9</v>
      </c>
      <c r="D216" s="472">
        <v>2</v>
      </c>
      <c r="E216" s="472"/>
      <c r="F216" s="235">
        <v>3.1150000000000002</v>
      </c>
      <c r="G216" s="235"/>
      <c r="H216" s="235">
        <v>0.2</v>
      </c>
      <c r="I216" s="478">
        <f t="shared" si="17"/>
        <v>1.2460000000000002</v>
      </c>
      <c r="J216" s="472"/>
      <c r="K216" s="729"/>
    </row>
    <row r="217" spans="1:11">
      <c r="A217" s="167"/>
      <c r="B217" s="167" t="s">
        <v>721</v>
      </c>
      <c r="C217" s="472" t="s">
        <v>9</v>
      </c>
      <c r="D217" s="472">
        <v>4</v>
      </c>
      <c r="E217" s="472"/>
      <c r="F217" s="235">
        <v>1.41</v>
      </c>
      <c r="G217" s="235"/>
      <c r="H217" s="235">
        <v>0.33500000000000002</v>
      </c>
      <c r="I217" s="478">
        <f t="shared" si="17"/>
        <v>1.8894</v>
      </c>
      <c r="J217" s="472"/>
      <c r="K217" s="729"/>
    </row>
    <row r="218" spans="1:11">
      <c r="A218" s="167"/>
      <c r="B218" s="167" t="s">
        <v>740</v>
      </c>
      <c r="C218" s="472" t="s">
        <v>9</v>
      </c>
      <c r="D218" s="472">
        <v>2</v>
      </c>
      <c r="E218" s="472"/>
      <c r="F218" s="235">
        <v>1.41</v>
      </c>
      <c r="G218" s="235"/>
      <c r="H218" s="235">
        <v>0.2</v>
      </c>
      <c r="I218" s="478">
        <f t="shared" si="17"/>
        <v>0.56399999999999995</v>
      </c>
      <c r="J218" s="472"/>
      <c r="K218" s="729"/>
    </row>
    <row r="219" spans="1:11">
      <c r="A219" s="167"/>
      <c r="B219" s="167" t="s">
        <v>722</v>
      </c>
      <c r="C219" s="472" t="s">
        <v>9</v>
      </c>
      <c r="D219" s="472">
        <v>4</v>
      </c>
      <c r="E219" s="472"/>
      <c r="F219" s="235">
        <v>0.35</v>
      </c>
      <c r="G219" s="235"/>
      <c r="H219" s="235">
        <v>0.33500000000000002</v>
      </c>
      <c r="I219" s="478">
        <f t="shared" si="17"/>
        <v>0.46899999999999997</v>
      </c>
      <c r="J219" s="472"/>
      <c r="K219" s="729"/>
    </row>
    <row r="220" spans="1:11">
      <c r="A220" s="167"/>
      <c r="B220" s="167" t="s">
        <v>740</v>
      </c>
      <c r="C220" s="472" t="s">
        <v>9</v>
      </c>
      <c r="D220" s="472">
        <v>2</v>
      </c>
      <c r="E220" s="472"/>
      <c r="F220" s="235">
        <v>0.35</v>
      </c>
      <c r="G220" s="235"/>
      <c r="H220" s="235">
        <v>0.2</v>
      </c>
      <c r="I220" s="478">
        <f t="shared" si="17"/>
        <v>0.13999999999999999</v>
      </c>
      <c r="J220" s="472"/>
      <c r="K220" s="729"/>
    </row>
    <row r="221" spans="1:11">
      <c r="A221" s="167"/>
      <c r="B221" s="167" t="s">
        <v>723</v>
      </c>
      <c r="C221" s="472" t="s">
        <v>9</v>
      </c>
      <c r="D221" s="472">
        <v>4</v>
      </c>
      <c r="E221" s="472"/>
      <c r="F221" s="235">
        <v>2.37</v>
      </c>
      <c r="G221" s="235"/>
      <c r="H221" s="235">
        <v>0.33500000000000002</v>
      </c>
      <c r="I221" s="478">
        <f t="shared" si="17"/>
        <v>3.1758000000000002</v>
      </c>
      <c r="J221" s="472"/>
      <c r="K221" s="729"/>
    </row>
    <row r="222" spans="1:11">
      <c r="A222" s="167"/>
      <c r="B222" s="167" t="s">
        <v>740</v>
      </c>
      <c r="C222" s="472" t="s">
        <v>9</v>
      </c>
      <c r="D222" s="472">
        <v>2</v>
      </c>
      <c r="E222" s="472"/>
      <c r="F222" s="235">
        <v>2.37</v>
      </c>
      <c r="G222" s="235"/>
      <c r="H222" s="235">
        <v>0.2</v>
      </c>
      <c r="I222" s="478">
        <f t="shared" si="17"/>
        <v>0.94800000000000006</v>
      </c>
      <c r="J222" s="472"/>
      <c r="K222" s="729"/>
    </row>
    <row r="223" spans="1:11">
      <c r="A223" s="167"/>
      <c r="B223" s="167" t="s">
        <v>724</v>
      </c>
      <c r="C223" s="472" t="s">
        <v>9</v>
      </c>
      <c r="D223" s="472">
        <v>4</v>
      </c>
      <c r="E223" s="472"/>
      <c r="F223" s="235">
        <v>3.2</v>
      </c>
      <c r="G223" s="235"/>
      <c r="H223" s="235">
        <v>0.33500000000000002</v>
      </c>
      <c r="I223" s="478">
        <f t="shared" si="17"/>
        <v>4.2880000000000003</v>
      </c>
      <c r="J223" s="472"/>
      <c r="K223" s="729"/>
    </row>
    <row r="224" spans="1:11">
      <c r="A224" s="167"/>
      <c r="B224" s="167" t="s">
        <v>740</v>
      </c>
      <c r="C224" s="472" t="s">
        <v>9</v>
      </c>
      <c r="D224" s="472">
        <v>2</v>
      </c>
      <c r="E224" s="472"/>
      <c r="F224" s="235">
        <v>3.2</v>
      </c>
      <c r="G224" s="235"/>
      <c r="H224" s="235">
        <v>0.2</v>
      </c>
      <c r="I224" s="478">
        <f t="shared" si="17"/>
        <v>1.2800000000000002</v>
      </c>
      <c r="J224" s="472"/>
      <c r="K224" s="729"/>
    </row>
    <row r="225" spans="1:11">
      <c r="A225" s="167"/>
      <c r="B225" s="167" t="s">
        <v>725</v>
      </c>
      <c r="C225" s="472" t="s">
        <v>9</v>
      </c>
      <c r="D225" s="472">
        <v>4</v>
      </c>
      <c r="E225" s="472"/>
      <c r="F225" s="235">
        <f>15.59-0.3*2-0.23*2</f>
        <v>14.53</v>
      </c>
      <c r="G225" s="235"/>
      <c r="H225" s="235">
        <v>0.33500000000000002</v>
      </c>
      <c r="I225" s="478">
        <f t="shared" si="17"/>
        <v>19.470200000000002</v>
      </c>
      <c r="J225" s="472"/>
      <c r="K225" s="729"/>
    </row>
    <row r="226" spans="1:11">
      <c r="A226" s="167"/>
      <c r="B226" s="167" t="s">
        <v>740</v>
      </c>
      <c r="C226" s="472" t="s">
        <v>9</v>
      </c>
      <c r="D226" s="472">
        <v>2</v>
      </c>
      <c r="E226" s="472"/>
      <c r="F226" s="235">
        <f>15.59-0.3*2-0.23*2</f>
        <v>14.53</v>
      </c>
      <c r="G226" s="235"/>
      <c r="H226" s="235">
        <v>0.2</v>
      </c>
      <c r="I226" s="478">
        <f t="shared" si="17"/>
        <v>5.8120000000000003</v>
      </c>
      <c r="J226" s="472"/>
      <c r="K226" s="729"/>
    </row>
    <row r="227" spans="1:11">
      <c r="A227" s="167"/>
      <c r="B227" s="167" t="s">
        <v>726</v>
      </c>
      <c r="C227" s="472" t="s">
        <v>9</v>
      </c>
      <c r="D227" s="472">
        <v>8</v>
      </c>
      <c r="E227" s="472"/>
      <c r="F227" s="235">
        <v>2.2250000000000001</v>
      </c>
      <c r="G227" s="235"/>
      <c r="H227" s="235">
        <v>0.33500000000000002</v>
      </c>
      <c r="I227" s="478">
        <f t="shared" si="17"/>
        <v>5.963000000000001</v>
      </c>
      <c r="J227" s="472"/>
      <c r="K227" s="729"/>
    </row>
    <row r="228" spans="1:11">
      <c r="A228" s="167"/>
      <c r="B228" s="167" t="s">
        <v>740</v>
      </c>
      <c r="C228" s="472" t="s">
        <v>9</v>
      </c>
      <c r="D228" s="472">
        <v>4</v>
      </c>
      <c r="E228" s="472"/>
      <c r="F228" s="235">
        <v>2.2250000000000001</v>
      </c>
      <c r="G228" s="235"/>
      <c r="H228" s="235">
        <v>0.2</v>
      </c>
      <c r="I228" s="478">
        <f t="shared" si="17"/>
        <v>1.7800000000000002</v>
      </c>
      <c r="J228" s="472"/>
      <c r="K228" s="729"/>
    </row>
    <row r="229" spans="1:11">
      <c r="A229" s="167"/>
      <c r="B229" s="167" t="s">
        <v>727</v>
      </c>
      <c r="C229" s="472" t="s">
        <v>9</v>
      </c>
      <c r="D229" s="472">
        <v>4</v>
      </c>
      <c r="E229" s="472"/>
      <c r="F229" s="235">
        <v>3.06</v>
      </c>
      <c r="G229" s="235"/>
      <c r="H229" s="235">
        <v>0.33500000000000002</v>
      </c>
      <c r="I229" s="478">
        <f t="shared" si="17"/>
        <v>4.1004000000000005</v>
      </c>
      <c r="J229" s="472"/>
      <c r="K229" s="729"/>
    </row>
    <row r="230" spans="1:11">
      <c r="A230" s="167"/>
      <c r="B230" s="167" t="s">
        <v>740</v>
      </c>
      <c r="C230" s="472" t="s">
        <v>9</v>
      </c>
      <c r="D230" s="472">
        <v>2</v>
      </c>
      <c r="E230" s="472"/>
      <c r="F230" s="235">
        <v>3.06</v>
      </c>
      <c r="G230" s="235"/>
      <c r="H230" s="235">
        <v>0.2</v>
      </c>
      <c r="I230" s="478">
        <f t="shared" si="17"/>
        <v>1.2240000000000002</v>
      </c>
      <c r="J230" s="472"/>
      <c r="K230" s="729"/>
    </row>
    <row r="231" spans="1:11">
      <c r="A231" s="167"/>
      <c r="B231" s="167" t="s">
        <v>728</v>
      </c>
      <c r="C231" s="472" t="s">
        <v>9</v>
      </c>
      <c r="D231" s="472">
        <v>4</v>
      </c>
      <c r="E231" s="472"/>
      <c r="F231" s="235">
        <v>3.06</v>
      </c>
      <c r="G231" s="235"/>
      <c r="H231" s="235">
        <v>0.33500000000000002</v>
      </c>
      <c r="I231" s="478">
        <f t="shared" si="17"/>
        <v>4.1004000000000005</v>
      </c>
      <c r="J231" s="472"/>
      <c r="K231" s="729"/>
    </row>
    <row r="232" spans="1:11">
      <c r="A232" s="167"/>
      <c r="B232" s="167" t="s">
        <v>740</v>
      </c>
      <c r="C232" s="472" t="s">
        <v>9</v>
      </c>
      <c r="D232" s="472">
        <v>2</v>
      </c>
      <c r="E232" s="472"/>
      <c r="F232" s="235">
        <v>3.06</v>
      </c>
      <c r="G232" s="235"/>
      <c r="H232" s="235">
        <v>0.2</v>
      </c>
      <c r="I232" s="478">
        <f t="shared" si="17"/>
        <v>1.2240000000000002</v>
      </c>
      <c r="J232" s="472"/>
      <c r="K232" s="729"/>
    </row>
    <row r="233" spans="1:11">
      <c r="A233" s="167"/>
      <c r="B233" s="167" t="s">
        <v>729</v>
      </c>
      <c r="C233" s="472" t="s">
        <v>9</v>
      </c>
      <c r="D233" s="472">
        <v>4</v>
      </c>
      <c r="E233" s="472"/>
      <c r="F233" s="235">
        <v>1.6</v>
      </c>
      <c r="G233" s="235"/>
      <c r="H233" s="235">
        <v>0.33500000000000002</v>
      </c>
      <c r="I233" s="478">
        <f t="shared" si="17"/>
        <v>2.1440000000000001</v>
      </c>
      <c r="J233" s="472"/>
      <c r="K233" s="729"/>
    </row>
    <row r="234" spans="1:11">
      <c r="A234" s="167"/>
      <c r="B234" s="167" t="s">
        <v>740</v>
      </c>
      <c r="C234" s="472" t="s">
        <v>9</v>
      </c>
      <c r="D234" s="472">
        <v>2</v>
      </c>
      <c r="E234" s="472"/>
      <c r="F234" s="235">
        <v>1.6</v>
      </c>
      <c r="G234" s="235"/>
      <c r="H234" s="235">
        <v>0.2</v>
      </c>
      <c r="I234" s="478">
        <f t="shared" si="17"/>
        <v>0.64000000000000012</v>
      </c>
      <c r="J234" s="472"/>
      <c r="K234" s="729"/>
    </row>
    <row r="235" spans="1:11">
      <c r="A235" s="167"/>
      <c r="B235" s="167" t="s">
        <v>730</v>
      </c>
      <c r="C235" s="472" t="s">
        <v>9</v>
      </c>
      <c r="D235" s="472">
        <v>8</v>
      </c>
      <c r="E235" s="472"/>
      <c r="F235" s="235">
        <v>3.05</v>
      </c>
      <c r="G235" s="235"/>
      <c r="H235" s="235">
        <v>0.33500000000000002</v>
      </c>
      <c r="I235" s="478">
        <f t="shared" si="17"/>
        <v>8.1739999999999995</v>
      </c>
      <c r="J235" s="472"/>
      <c r="K235" s="729"/>
    </row>
    <row r="236" spans="1:11">
      <c r="A236" s="167"/>
      <c r="B236" s="167" t="s">
        <v>740</v>
      </c>
      <c r="C236" s="472" t="s">
        <v>9</v>
      </c>
      <c r="D236" s="472">
        <v>4</v>
      </c>
      <c r="E236" s="472"/>
      <c r="F236" s="235">
        <v>3.05</v>
      </c>
      <c r="G236" s="235"/>
      <c r="H236" s="235">
        <v>0.2</v>
      </c>
      <c r="I236" s="478">
        <f t="shared" si="17"/>
        <v>2.44</v>
      </c>
      <c r="J236" s="472"/>
      <c r="K236" s="729"/>
    </row>
    <row r="237" spans="1:11">
      <c r="A237" s="167"/>
      <c r="B237" s="167" t="s">
        <v>731</v>
      </c>
      <c r="C237" s="472" t="s">
        <v>9</v>
      </c>
      <c r="D237" s="472">
        <v>4</v>
      </c>
      <c r="E237" s="472"/>
      <c r="F237" s="235">
        <f>7-0.46</f>
        <v>6.54</v>
      </c>
      <c r="G237" s="235"/>
      <c r="H237" s="235">
        <v>0.33500000000000002</v>
      </c>
      <c r="I237" s="478">
        <f t="shared" ref="I237:I246" si="18">+PRODUCT(D237:H237)</f>
        <v>8.7636000000000003</v>
      </c>
      <c r="J237" s="472"/>
      <c r="K237" s="729"/>
    </row>
    <row r="238" spans="1:11">
      <c r="A238" s="167"/>
      <c r="B238" s="167" t="s">
        <v>740</v>
      </c>
      <c r="C238" s="472" t="s">
        <v>9</v>
      </c>
      <c r="D238" s="472">
        <v>2</v>
      </c>
      <c r="E238" s="472"/>
      <c r="F238" s="235">
        <f>7-0.46</f>
        <v>6.54</v>
      </c>
      <c r="G238" s="235"/>
      <c r="H238" s="235">
        <v>0.2</v>
      </c>
      <c r="I238" s="478">
        <f t="shared" si="18"/>
        <v>2.6160000000000001</v>
      </c>
      <c r="J238" s="472"/>
      <c r="K238" s="729"/>
    </row>
    <row r="239" spans="1:11">
      <c r="A239" s="167"/>
      <c r="B239" s="167" t="s">
        <v>732</v>
      </c>
      <c r="C239" s="472" t="s">
        <v>9</v>
      </c>
      <c r="D239" s="472">
        <v>4</v>
      </c>
      <c r="E239" s="472"/>
      <c r="F239" s="235">
        <f>7-0.6-0.23</f>
        <v>6.17</v>
      </c>
      <c r="G239" s="235"/>
      <c r="H239" s="235">
        <v>0.33500000000000002</v>
      </c>
      <c r="I239" s="478">
        <f t="shared" si="18"/>
        <v>8.2678000000000011</v>
      </c>
      <c r="J239" s="472"/>
      <c r="K239" s="729"/>
    </row>
    <row r="240" spans="1:11">
      <c r="A240" s="167"/>
      <c r="B240" s="167" t="s">
        <v>740</v>
      </c>
      <c r="C240" s="472" t="s">
        <v>9</v>
      </c>
      <c r="D240" s="472">
        <v>2</v>
      </c>
      <c r="E240" s="472"/>
      <c r="F240" s="235">
        <f>7-0.6-0.23</f>
        <v>6.17</v>
      </c>
      <c r="G240" s="235"/>
      <c r="H240" s="235">
        <v>0.2</v>
      </c>
      <c r="I240" s="478">
        <f t="shared" si="18"/>
        <v>2.468</v>
      </c>
      <c r="J240" s="472"/>
      <c r="K240" s="729"/>
    </row>
    <row r="241" spans="1:13">
      <c r="A241" s="167"/>
      <c r="B241" s="167" t="s">
        <v>733</v>
      </c>
      <c r="C241" s="472" t="s">
        <v>9</v>
      </c>
      <c r="D241" s="472">
        <v>8</v>
      </c>
      <c r="E241" s="472"/>
      <c r="F241" s="235">
        <v>3.05</v>
      </c>
      <c r="G241" s="235"/>
      <c r="H241" s="235">
        <v>0.33500000000000002</v>
      </c>
      <c r="I241" s="478">
        <f t="shared" si="18"/>
        <v>8.1739999999999995</v>
      </c>
      <c r="J241" s="472"/>
      <c r="K241" s="729"/>
    </row>
    <row r="242" spans="1:13">
      <c r="A242" s="167"/>
      <c r="B242" s="167" t="s">
        <v>740</v>
      </c>
      <c r="C242" s="472" t="s">
        <v>9</v>
      </c>
      <c r="D242" s="472">
        <v>4</v>
      </c>
      <c r="E242" s="472"/>
      <c r="F242" s="235">
        <v>3.05</v>
      </c>
      <c r="G242" s="235"/>
      <c r="H242" s="235">
        <v>0.2</v>
      </c>
      <c r="I242" s="478">
        <f t="shared" si="18"/>
        <v>2.44</v>
      </c>
      <c r="J242" s="472"/>
      <c r="K242" s="729"/>
    </row>
    <row r="243" spans="1:13">
      <c r="A243" s="167"/>
      <c r="B243" s="167" t="s">
        <v>733</v>
      </c>
      <c r="C243" s="472" t="s">
        <v>9</v>
      </c>
      <c r="D243" s="472">
        <v>8</v>
      </c>
      <c r="E243" s="472"/>
      <c r="F243" s="235">
        <v>1.7</v>
      </c>
      <c r="G243" s="235"/>
      <c r="H243" s="235">
        <v>0.33500000000000002</v>
      </c>
      <c r="I243" s="478">
        <f t="shared" si="18"/>
        <v>4.556</v>
      </c>
      <c r="J243" s="472"/>
      <c r="K243" s="729"/>
    </row>
    <row r="244" spans="1:13">
      <c r="A244" s="167"/>
      <c r="B244" s="167" t="s">
        <v>740</v>
      </c>
      <c r="C244" s="472" t="s">
        <v>9</v>
      </c>
      <c r="D244" s="472">
        <v>4</v>
      </c>
      <c r="E244" s="472"/>
      <c r="F244" s="235">
        <v>1.7</v>
      </c>
      <c r="G244" s="235"/>
      <c r="H244" s="235">
        <v>0.2</v>
      </c>
      <c r="I244" s="478">
        <f t="shared" si="18"/>
        <v>1.36</v>
      </c>
      <c r="J244" s="472"/>
      <c r="K244" s="729"/>
    </row>
    <row r="245" spans="1:13">
      <c r="A245" s="167"/>
      <c r="B245" s="167" t="s">
        <v>734</v>
      </c>
      <c r="C245" s="472" t="s">
        <v>9</v>
      </c>
      <c r="D245" s="472">
        <v>4</v>
      </c>
      <c r="E245" s="472"/>
      <c r="F245" s="235">
        <v>3.17</v>
      </c>
      <c r="G245" s="235"/>
      <c r="H245" s="235">
        <v>0.33500000000000002</v>
      </c>
      <c r="I245" s="478">
        <f t="shared" si="18"/>
        <v>4.2477999999999998</v>
      </c>
      <c r="J245" s="472"/>
      <c r="K245" s="729"/>
    </row>
    <row r="246" spans="1:13">
      <c r="A246" s="167"/>
      <c r="B246" s="167" t="s">
        <v>740</v>
      </c>
      <c r="C246" s="472" t="s">
        <v>9</v>
      </c>
      <c r="D246" s="472">
        <v>2</v>
      </c>
      <c r="E246" s="472"/>
      <c r="F246" s="235">
        <v>3.17</v>
      </c>
      <c r="G246" s="235"/>
      <c r="H246" s="235">
        <v>0.2</v>
      </c>
      <c r="I246" s="478">
        <f t="shared" si="18"/>
        <v>1.268</v>
      </c>
      <c r="J246" s="472"/>
      <c r="K246" s="729"/>
    </row>
    <row r="247" spans="1:13" ht="45">
      <c r="A247" s="75"/>
      <c r="B247" s="81" t="s">
        <v>735</v>
      </c>
      <c r="C247" s="77"/>
      <c r="D247" s="77"/>
      <c r="E247" s="77"/>
      <c r="F247" s="395"/>
      <c r="G247" s="395"/>
      <c r="H247" s="395"/>
      <c r="I247" s="80"/>
      <c r="J247" s="472"/>
      <c r="K247" s="729"/>
      <c r="L247" s="396"/>
      <c r="M247" s="396"/>
    </row>
    <row r="248" spans="1:13" s="116" customFormat="1" ht="30">
      <c r="A248" s="377">
        <v>1</v>
      </c>
      <c r="B248" s="562" t="s">
        <v>922</v>
      </c>
      <c r="C248" s="397" t="s">
        <v>9</v>
      </c>
      <c r="D248" s="414">
        <f>31*2</f>
        <v>62</v>
      </c>
      <c r="E248" s="397">
        <v>1</v>
      </c>
      <c r="F248" s="395">
        <v>0.3</v>
      </c>
      <c r="G248" s="395">
        <v>0.6</v>
      </c>
      <c r="H248" s="395">
        <v>0.45</v>
      </c>
      <c r="I248" s="480">
        <f>D248*E248*2*(F248+G248)*H248</f>
        <v>50.22</v>
      </c>
      <c r="J248" s="472"/>
      <c r="K248" s="729"/>
      <c r="L248" s="396"/>
      <c r="M248" s="396"/>
    </row>
    <row r="249" spans="1:13" s="116" customFormat="1">
      <c r="A249" s="377">
        <v>2</v>
      </c>
      <c r="B249" s="413" t="s">
        <v>621</v>
      </c>
      <c r="C249" s="397" t="s">
        <v>9</v>
      </c>
      <c r="D249" s="413">
        <f>15*2</f>
        <v>30</v>
      </c>
      <c r="E249" s="397">
        <v>1</v>
      </c>
      <c r="F249" s="395">
        <v>0.3</v>
      </c>
      <c r="G249" s="395">
        <v>0.7</v>
      </c>
      <c r="H249" s="395">
        <v>0.45</v>
      </c>
      <c r="I249" s="480">
        <f t="shared" ref="I249:I269" si="19">D249*E249*2*(F249+G249)*H249</f>
        <v>27</v>
      </c>
      <c r="J249" s="472"/>
      <c r="K249" s="729"/>
      <c r="L249" s="396"/>
      <c r="M249" s="396"/>
    </row>
    <row r="250" spans="1:13" s="116" customFormat="1">
      <c r="A250" s="377">
        <v>3</v>
      </c>
      <c r="B250" s="413" t="s">
        <v>923</v>
      </c>
      <c r="C250" s="397" t="s">
        <v>9</v>
      </c>
      <c r="D250" s="413">
        <f>7*2</f>
        <v>14</v>
      </c>
      <c r="E250" s="397">
        <v>1</v>
      </c>
      <c r="F250" s="395">
        <v>0.3</v>
      </c>
      <c r="G250" s="395">
        <v>0.71499999999999997</v>
      </c>
      <c r="H250" s="395">
        <v>0.45</v>
      </c>
      <c r="I250" s="480">
        <f t="shared" si="19"/>
        <v>12.789</v>
      </c>
      <c r="J250" s="472"/>
      <c r="K250" s="729"/>
      <c r="L250" s="396"/>
      <c r="M250" s="396"/>
    </row>
    <row r="251" spans="1:13" s="116" customFormat="1">
      <c r="A251" s="377">
        <v>4</v>
      </c>
      <c r="B251" s="413" t="s">
        <v>623</v>
      </c>
      <c r="C251" s="397" t="s">
        <v>9</v>
      </c>
      <c r="D251" s="413">
        <f>2*2</f>
        <v>4</v>
      </c>
      <c r="E251" s="397">
        <v>1</v>
      </c>
      <c r="F251" s="395">
        <v>0.3</v>
      </c>
      <c r="G251" s="395">
        <v>0.8</v>
      </c>
      <c r="H251" s="395">
        <v>0.45</v>
      </c>
      <c r="I251" s="480">
        <f t="shared" si="19"/>
        <v>3.9600000000000004</v>
      </c>
      <c r="J251" s="472"/>
      <c r="K251" s="729"/>
      <c r="L251" s="396"/>
      <c r="M251" s="396"/>
    </row>
    <row r="252" spans="1:13" s="116" customFormat="1">
      <c r="A252" s="377">
        <v>5</v>
      </c>
      <c r="B252" s="410" t="s">
        <v>624</v>
      </c>
      <c r="C252" s="397" t="s">
        <v>9</v>
      </c>
      <c r="D252" s="413">
        <f>1*2</f>
        <v>2</v>
      </c>
      <c r="E252" s="397">
        <v>1</v>
      </c>
      <c r="F252" s="395">
        <v>0.23</v>
      </c>
      <c r="G252" s="395">
        <v>0.65</v>
      </c>
      <c r="H252" s="395">
        <v>0.45</v>
      </c>
      <c r="I252" s="480">
        <f t="shared" si="19"/>
        <v>1.5840000000000001</v>
      </c>
      <c r="J252" s="472"/>
      <c r="K252" s="729"/>
      <c r="L252" s="396"/>
      <c r="M252" s="396"/>
    </row>
    <row r="253" spans="1:13" s="116" customFormat="1">
      <c r="A253" s="377">
        <v>6</v>
      </c>
      <c r="B253" s="410"/>
      <c r="C253" s="397" t="s">
        <v>9</v>
      </c>
      <c r="D253" s="413">
        <v>2</v>
      </c>
      <c r="E253" s="397">
        <v>1</v>
      </c>
      <c r="F253" s="395">
        <v>0.23</v>
      </c>
      <c r="G253" s="395">
        <f>1.65-0.23</f>
        <v>1.42</v>
      </c>
      <c r="H253" s="395">
        <v>0.45</v>
      </c>
      <c r="I253" s="480">
        <f t="shared" si="19"/>
        <v>2.9699999999999998</v>
      </c>
      <c r="J253" s="472"/>
      <c r="K253" s="729"/>
      <c r="L253" s="396"/>
      <c r="M253" s="396"/>
    </row>
    <row r="254" spans="1:13" s="116" customFormat="1">
      <c r="A254" s="377">
        <v>7</v>
      </c>
      <c r="B254" s="410" t="s">
        <v>625</v>
      </c>
      <c r="C254" s="397" t="s">
        <v>9</v>
      </c>
      <c r="D254" s="413">
        <f>1*2</f>
        <v>2</v>
      </c>
      <c r="E254" s="397">
        <v>1</v>
      </c>
      <c r="F254" s="395">
        <v>0.23</v>
      </c>
      <c r="G254" s="395">
        <v>0.65</v>
      </c>
      <c r="H254" s="395">
        <v>0.45</v>
      </c>
      <c r="I254" s="480">
        <f t="shared" si="19"/>
        <v>1.5840000000000001</v>
      </c>
      <c r="J254" s="472"/>
      <c r="K254" s="729"/>
      <c r="L254" s="396"/>
      <c r="M254" s="396"/>
    </row>
    <row r="255" spans="1:13" s="116" customFormat="1">
      <c r="A255" s="377">
        <v>8</v>
      </c>
      <c r="B255" s="410"/>
      <c r="C255" s="397" t="s">
        <v>9</v>
      </c>
      <c r="D255" s="413">
        <v>2</v>
      </c>
      <c r="E255" s="397">
        <v>1</v>
      </c>
      <c r="F255" s="395">
        <v>0.23</v>
      </c>
      <c r="G255" s="395">
        <f>1.85-0.23</f>
        <v>1.62</v>
      </c>
      <c r="H255" s="395">
        <v>0.45</v>
      </c>
      <c r="I255" s="480">
        <f t="shared" si="19"/>
        <v>3.33</v>
      </c>
      <c r="J255" s="472"/>
      <c r="K255" s="729"/>
      <c r="L255" s="396"/>
      <c r="M255" s="396"/>
    </row>
    <row r="256" spans="1:13" s="116" customFormat="1">
      <c r="A256" s="377">
        <v>9</v>
      </c>
      <c r="B256" s="410" t="s">
        <v>626</v>
      </c>
      <c r="C256" s="397" t="s">
        <v>9</v>
      </c>
      <c r="D256" s="413">
        <f>1*2</f>
        <v>2</v>
      </c>
      <c r="E256" s="397">
        <v>1</v>
      </c>
      <c r="F256" s="395">
        <v>0.23</v>
      </c>
      <c r="G256" s="395">
        <v>1</v>
      </c>
      <c r="H256" s="395">
        <v>0.45</v>
      </c>
      <c r="I256" s="480">
        <f t="shared" si="19"/>
        <v>2.214</v>
      </c>
      <c r="J256" s="472"/>
      <c r="K256" s="729"/>
      <c r="L256" s="396"/>
      <c r="M256" s="396"/>
    </row>
    <row r="257" spans="1:13" s="116" customFormat="1">
      <c r="A257" s="377">
        <v>10</v>
      </c>
      <c r="B257" s="410" t="s">
        <v>627</v>
      </c>
      <c r="C257" s="397" t="s">
        <v>9</v>
      </c>
      <c r="D257" s="413">
        <f>1*2</f>
        <v>2</v>
      </c>
      <c r="E257" s="397">
        <v>1</v>
      </c>
      <c r="F257" s="395">
        <v>0.23</v>
      </c>
      <c r="G257" s="395">
        <v>1.1499999999999999</v>
      </c>
      <c r="H257" s="395">
        <v>0.45</v>
      </c>
      <c r="I257" s="480">
        <f t="shared" si="19"/>
        <v>2.484</v>
      </c>
      <c r="J257" s="472"/>
      <c r="K257" s="729"/>
      <c r="L257" s="396"/>
      <c r="M257" s="396"/>
    </row>
    <row r="258" spans="1:13" s="116" customFormat="1">
      <c r="A258" s="377">
        <v>11</v>
      </c>
      <c r="B258" s="410" t="s">
        <v>628</v>
      </c>
      <c r="C258" s="397" t="s">
        <v>9</v>
      </c>
      <c r="D258" s="413">
        <v>4</v>
      </c>
      <c r="E258" s="397">
        <v>1</v>
      </c>
      <c r="F258" s="395">
        <v>0.23</v>
      </c>
      <c r="G258" s="395">
        <v>1.7</v>
      </c>
      <c r="H258" s="395">
        <v>0.45</v>
      </c>
      <c r="I258" s="480">
        <f t="shared" si="19"/>
        <v>6.9479999999999995</v>
      </c>
      <c r="J258" s="472"/>
      <c r="K258" s="729"/>
      <c r="L258" s="396"/>
      <c r="M258" s="396"/>
    </row>
    <row r="259" spans="1:13" s="116" customFormat="1">
      <c r="A259" s="377">
        <v>12</v>
      </c>
      <c r="B259" s="410" t="s">
        <v>629</v>
      </c>
      <c r="C259" s="397" t="s">
        <v>9</v>
      </c>
      <c r="D259" s="413">
        <f>2*2</f>
        <v>4</v>
      </c>
      <c r="E259" s="397">
        <v>1</v>
      </c>
      <c r="F259" s="395">
        <v>0.23</v>
      </c>
      <c r="G259" s="395">
        <v>1.1850000000000001</v>
      </c>
      <c r="H259" s="395">
        <v>0.45</v>
      </c>
      <c r="I259" s="480">
        <f t="shared" si="19"/>
        <v>5.0940000000000003</v>
      </c>
      <c r="J259" s="472"/>
      <c r="K259" s="729"/>
      <c r="L259" s="396"/>
      <c r="M259" s="396"/>
    </row>
    <row r="260" spans="1:13" s="116" customFormat="1">
      <c r="A260" s="377">
        <v>13</v>
      </c>
      <c r="B260" s="410" t="s">
        <v>630</v>
      </c>
      <c r="C260" s="397" t="s">
        <v>9</v>
      </c>
      <c r="D260" s="413">
        <f>1*2</f>
        <v>2</v>
      </c>
      <c r="E260" s="397">
        <v>1</v>
      </c>
      <c r="F260" s="395">
        <v>0.23</v>
      </c>
      <c r="G260" s="395">
        <v>1.855</v>
      </c>
      <c r="H260" s="395">
        <v>0.45</v>
      </c>
      <c r="I260" s="480">
        <f t="shared" si="19"/>
        <v>3.7530000000000001</v>
      </c>
      <c r="J260" s="472"/>
      <c r="K260" s="729"/>
      <c r="L260" s="396"/>
      <c r="M260" s="396"/>
    </row>
    <row r="261" spans="1:13" s="116" customFormat="1">
      <c r="A261" s="377">
        <v>14</v>
      </c>
      <c r="B261" s="410" t="s">
        <v>631</v>
      </c>
      <c r="C261" s="397" t="s">
        <v>9</v>
      </c>
      <c r="D261" s="413">
        <v>1</v>
      </c>
      <c r="E261" s="397">
        <v>1</v>
      </c>
      <c r="F261" s="395">
        <v>0.23</v>
      </c>
      <c r="G261" s="395">
        <v>3.6</v>
      </c>
      <c r="H261" s="395">
        <v>0.45</v>
      </c>
      <c r="I261" s="480">
        <f t="shared" si="19"/>
        <v>3.4470000000000001</v>
      </c>
      <c r="J261" s="472"/>
      <c r="K261" s="729"/>
      <c r="L261" s="396"/>
      <c r="M261" s="396"/>
    </row>
    <row r="262" spans="1:13" s="116" customFormat="1">
      <c r="A262" s="377">
        <v>15</v>
      </c>
      <c r="B262" s="410" t="s">
        <v>632</v>
      </c>
      <c r="C262" s="397" t="s">
        <v>9</v>
      </c>
      <c r="D262" s="413">
        <f>3*2</f>
        <v>6</v>
      </c>
      <c r="E262" s="397">
        <v>1</v>
      </c>
      <c r="F262" s="395">
        <v>0.23</v>
      </c>
      <c r="G262" s="395">
        <v>0.65</v>
      </c>
      <c r="H262" s="395">
        <v>0.45</v>
      </c>
      <c r="I262" s="480">
        <f t="shared" si="19"/>
        <v>4.7520000000000007</v>
      </c>
      <c r="J262" s="472"/>
      <c r="K262" s="729"/>
      <c r="L262" s="396"/>
      <c r="M262" s="396"/>
    </row>
    <row r="263" spans="1:13" s="116" customFormat="1">
      <c r="A263" s="377">
        <v>16</v>
      </c>
      <c r="B263" s="410"/>
      <c r="C263" s="397" t="s">
        <v>9</v>
      </c>
      <c r="D263" s="413">
        <v>6</v>
      </c>
      <c r="E263" s="397">
        <v>1</v>
      </c>
      <c r="F263" s="395">
        <v>0.23</v>
      </c>
      <c r="G263" s="395">
        <f>1.85-0.23</f>
        <v>1.62</v>
      </c>
      <c r="H263" s="395">
        <v>0.45</v>
      </c>
      <c r="I263" s="480">
        <f t="shared" si="19"/>
        <v>9.990000000000002</v>
      </c>
      <c r="J263" s="472"/>
      <c r="K263" s="729"/>
      <c r="L263" s="396"/>
      <c r="M263" s="396"/>
    </row>
    <row r="264" spans="1:13" s="116" customFormat="1">
      <c r="A264" s="377">
        <v>17</v>
      </c>
      <c r="B264" s="410" t="s">
        <v>633</v>
      </c>
      <c r="C264" s="397" t="s">
        <v>9</v>
      </c>
      <c r="D264" s="413">
        <f>1*2</f>
        <v>2</v>
      </c>
      <c r="E264" s="397">
        <v>1</v>
      </c>
      <c r="F264" s="395">
        <v>0.23</v>
      </c>
      <c r="G264" s="395">
        <v>3.4449999999999998</v>
      </c>
      <c r="H264" s="395">
        <v>0.45</v>
      </c>
      <c r="I264" s="480">
        <f t="shared" si="19"/>
        <v>6.6150000000000002</v>
      </c>
      <c r="J264" s="472"/>
      <c r="K264" s="729"/>
      <c r="L264" s="396"/>
      <c r="M264" s="396"/>
    </row>
    <row r="265" spans="1:13" s="116" customFormat="1">
      <c r="A265" s="377">
        <v>18</v>
      </c>
      <c r="B265" s="410" t="s">
        <v>634</v>
      </c>
      <c r="C265" s="397" t="s">
        <v>9</v>
      </c>
      <c r="D265" s="413">
        <f>1*2</f>
        <v>2</v>
      </c>
      <c r="E265" s="397">
        <v>1</v>
      </c>
      <c r="F265" s="395">
        <v>0.23</v>
      </c>
      <c r="G265" s="395">
        <v>4.0650000000000004</v>
      </c>
      <c r="H265" s="395">
        <v>0.45</v>
      </c>
      <c r="I265" s="480">
        <f t="shared" si="19"/>
        <v>7.7310000000000016</v>
      </c>
      <c r="J265" s="472"/>
      <c r="K265" s="729"/>
      <c r="L265" s="396"/>
      <c r="M265" s="396"/>
    </row>
    <row r="266" spans="1:13" s="116" customFormat="1">
      <c r="A266" s="377">
        <v>19</v>
      </c>
      <c r="B266" s="410" t="s">
        <v>635</v>
      </c>
      <c r="C266" s="397" t="s">
        <v>9</v>
      </c>
      <c r="D266" s="413">
        <f>1*2</f>
        <v>2</v>
      </c>
      <c r="E266" s="397">
        <v>1</v>
      </c>
      <c r="F266" s="395">
        <v>0.23</v>
      </c>
      <c r="G266" s="395">
        <v>0.65</v>
      </c>
      <c r="H266" s="395">
        <v>0.45</v>
      </c>
      <c r="I266" s="480">
        <f t="shared" si="19"/>
        <v>1.5840000000000001</v>
      </c>
      <c r="J266" s="472"/>
      <c r="K266" s="729"/>
      <c r="L266" s="396"/>
      <c r="M266" s="396"/>
    </row>
    <row r="267" spans="1:13" s="116" customFormat="1">
      <c r="A267" s="377">
        <v>20</v>
      </c>
      <c r="B267" s="410"/>
      <c r="C267" s="397" t="s">
        <v>9</v>
      </c>
      <c r="D267" s="413">
        <v>2</v>
      </c>
      <c r="E267" s="397">
        <v>1</v>
      </c>
      <c r="F267" s="395">
        <v>0.23</v>
      </c>
      <c r="G267" s="395">
        <f>1.535-0.23</f>
        <v>1.3049999999999999</v>
      </c>
      <c r="H267" s="395">
        <v>0.45</v>
      </c>
      <c r="I267" s="480">
        <f t="shared" si="19"/>
        <v>2.7629999999999999</v>
      </c>
      <c r="J267" s="472"/>
      <c r="K267" s="729"/>
      <c r="L267" s="396"/>
      <c r="M267" s="396"/>
    </row>
    <row r="268" spans="1:13" s="116" customFormat="1">
      <c r="A268" s="377">
        <v>21</v>
      </c>
      <c r="B268" s="410" t="s">
        <v>636</v>
      </c>
      <c r="C268" s="397" t="s">
        <v>9</v>
      </c>
      <c r="D268" s="413">
        <f>1*2</f>
        <v>2</v>
      </c>
      <c r="E268" s="397">
        <v>1</v>
      </c>
      <c r="F268" s="395">
        <v>0.2</v>
      </c>
      <c r="G268" s="395">
        <v>3.4449999999999998</v>
      </c>
      <c r="H268" s="395">
        <v>0.45</v>
      </c>
      <c r="I268" s="480">
        <f t="shared" si="19"/>
        <v>6.5609999999999999</v>
      </c>
      <c r="J268" s="472"/>
      <c r="K268" s="729"/>
      <c r="L268" s="396"/>
      <c r="M268" s="396"/>
    </row>
    <row r="269" spans="1:13" s="116" customFormat="1">
      <c r="A269" s="377">
        <v>22</v>
      </c>
      <c r="B269" s="476" t="s">
        <v>455</v>
      </c>
      <c r="C269" s="397" t="s">
        <v>9</v>
      </c>
      <c r="D269" s="413">
        <f>4*2</f>
        <v>8</v>
      </c>
      <c r="E269" s="397">
        <v>1</v>
      </c>
      <c r="F269" s="395">
        <v>0.23</v>
      </c>
      <c r="G269" s="395">
        <v>1.9</v>
      </c>
      <c r="H269" s="395">
        <v>0.45</v>
      </c>
      <c r="I269" s="480">
        <f t="shared" si="19"/>
        <v>15.336</v>
      </c>
      <c r="J269" s="472"/>
      <c r="K269" s="729"/>
      <c r="L269" s="396"/>
      <c r="M269" s="396"/>
    </row>
    <row r="270" spans="1:13">
      <c r="A270" s="472"/>
      <c r="B270" s="472"/>
      <c r="C270" s="472"/>
      <c r="D270" s="472"/>
      <c r="E270" s="472"/>
      <c r="F270" s="472"/>
      <c r="G270" s="472"/>
      <c r="H270" s="472"/>
      <c r="I270" s="472"/>
      <c r="J270" s="472"/>
      <c r="K270" s="729"/>
    </row>
    <row r="271" spans="1:13">
      <c r="A271" s="167"/>
      <c r="B271" s="167"/>
      <c r="C271" s="167"/>
      <c r="D271" s="167"/>
      <c r="E271" s="167"/>
      <c r="F271" s="167"/>
      <c r="G271" s="167"/>
      <c r="H271" s="81" t="s">
        <v>57</v>
      </c>
      <c r="I271" s="479">
        <f>SUM(I109:I270)</f>
        <v>849.97425000000021</v>
      </c>
      <c r="J271" s="167"/>
      <c r="K271" s="729"/>
    </row>
    <row r="272" spans="1:13">
      <c r="A272" s="167"/>
      <c r="B272" s="167"/>
      <c r="C272" s="167"/>
      <c r="D272" s="167"/>
      <c r="E272" s="167"/>
      <c r="F272" s="167"/>
      <c r="G272" s="167"/>
      <c r="H272" s="167"/>
      <c r="I272" s="167"/>
      <c r="J272" s="167"/>
      <c r="K272" s="729"/>
    </row>
    <row r="273" spans="1:13" ht="45">
      <c r="A273" s="75"/>
      <c r="B273" s="81" t="s">
        <v>755</v>
      </c>
      <c r="C273" s="77"/>
      <c r="D273" s="77"/>
      <c r="E273" s="77"/>
      <c r="F273" s="395"/>
      <c r="G273" s="395"/>
      <c r="H273" s="395"/>
      <c r="I273" s="80"/>
      <c r="J273" s="167"/>
      <c r="K273" s="729"/>
      <c r="L273" s="396"/>
      <c r="M273" s="396"/>
    </row>
    <row r="274" spans="1:13" s="116" customFormat="1" ht="30">
      <c r="A274" s="377">
        <v>1</v>
      </c>
      <c r="B274" s="562" t="s">
        <v>922</v>
      </c>
      <c r="C274" s="397" t="s">
        <v>9</v>
      </c>
      <c r="D274" s="414">
        <v>31</v>
      </c>
      <c r="E274" s="397">
        <v>0.5</v>
      </c>
      <c r="F274" s="395">
        <v>0.3</v>
      </c>
      <c r="G274" s="395">
        <v>0.6</v>
      </c>
      <c r="H274" s="395">
        <v>2.5</v>
      </c>
      <c r="I274" s="480">
        <f t="shared" ref="I274:I294" si="20">D274*E274*2*(F274+G274)*H274</f>
        <v>69.75</v>
      </c>
      <c r="J274" s="167"/>
      <c r="K274" s="729"/>
      <c r="L274" s="396"/>
      <c r="M274" s="396"/>
    </row>
    <row r="275" spans="1:13" s="116" customFormat="1">
      <c r="A275" s="377">
        <v>2</v>
      </c>
      <c r="B275" s="413" t="s">
        <v>621</v>
      </c>
      <c r="C275" s="397" t="s">
        <v>9</v>
      </c>
      <c r="D275" s="413">
        <v>15</v>
      </c>
      <c r="E275" s="397">
        <v>0.5</v>
      </c>
      <c r="F275" s="395">
        <v>0.3</v>
      </c>
      <c r="G275" s="395">
        <v>0.7</v>
      </c>
      <c r="H275" s="395">
        <v>2.5</v>
      </c>
      <c r="I275" s="480">
        <f t="shared" si="20"/>
        <v>37.5</v>
      </c>
      <c r="J275" s="167"/>
      <c r="K275" s="729"/>
      <c r="L275" s="396"/>
      <c r="M275" s="396"/>
    </row>
    <row r="276" spans="1:13" s="116" customFormat="1">
      <c r="A276" s="377">
        <v>3</v>
      </c>
      <c r="B276" s="413" t="s">
        <v>923</v>
      </c>
      <c r="C276" s="397" t="s">
        <v>9</v>
      </c>
      <c r="D276" s="413">
        <v>7</v>
      </c>
      <c r="E276" s="397">
        <v>0.5</v>
      </c>
      <c r="F276" s="395">
        <v>0.3</v>
      </c>
      <c r="G276" s="395">
        <v>0.71499999999999997</v>
      </c>
      <c r="H276" s="395">
        <v>2.5</v>
      </c>
      <c r="I276" s="480">
        <f t="shared" si="20"/>
        <v>17.762499999999999</v>
      </c>
      <c r="J276" s="167"/>
      <c r="K276" s="729"/>
      <c r="L276" s="396"/>
      <c r="M276" s="396"/>
    </row>
    <row r="277" spans="1:13" s="116" customFormat="1">
      <c r="A277" s="377">
        <v>4</v>
      </c>
      <c r="B277" s="413" t="s">
        <v>623</v>
      </c>
      <c r="C277" s="397" t="s">
        <v>9</v>
      </c>
      <c r="D277" s="413">
        <v>2</v>
      </c>
      <c r="E277" s="397">
        <v>0.5</v>
      </c>
      <c r="F277" s="395">
        <v>0.3</v>
      </c>
      <c r="G277" s="395">
        <v>0.8</v>
      </c>
      <c r="H277" s="395">
        <v>2.5</v>
      </c>
      <c r="I277" s="480">
        <f t="shared" si="20"/>
        <v>5.5</v>
      </c>
      <c r="J277" s="167"/>
      <c r="K277" s="729"/>
      <c r="L277" s="396"/>
      <c r="M277" s="396"/>
    </row>
    <row r="278" spans="1:13" s="116" customFormat="1">
      <c r="A278" s="377">
        <v>5</v>
      </c>
      <c r="B278" s="410" t="s">
        <v>624</v>
      </c>
      <c r="C278" s="397" t="s">
        <v>9</v>
      </c>
      <c r="D278" s="413">
        <v>1</v>
      </c>
      <c r="E278" s="397">
        <v>0.5</v>
      </c>
      <c r="F278" s="395">
        <v>0.23</v>
      </c>
      <c r="G278" s="395">
        <v>0.65</v>
      </c>
      <c r="H278" s="395">
        <v>2.5</v>
      </c>
      <c r="I278" s="480">
        <f t="shared" si="20"/>
        <v>2.2000000000000002</v>
      </c>
      <c r="J278" s="167"/>
      <c r="K278" s="729"/>
      <c r="L278" s="396"/>
      <c r="M278" s="396"/>
    </row>
    <row r="279" spans="1:13" s="116" customFormat="1">
      <c r="A279" s="377">
        <v>6</v>
      </c>
      <c r="B279" s="410"/>
      <c r="C279" s="397" t="s">
        <v>9</v>
      </c>
      <c r="D279" s="413">
        <v>1</v>
      </c>
      <c r="E279" s="397">
        <v>0.5</v>
      </c>
      <c r="F279" s="395">
        <v>0.23</v>
      </c>
      <c r="G279" s="395">
        <f>1.65-0.23</f>
        <v>1.42</v>
      </c>
      <c r="H279" s="395">
        <v>2.5</v>
      </c>
      <c r="I279" s="480">
        <f t="shared" si="20"/>
        <v>4.125</v>
      </c>
      <c r="J279" s="167"/>
      <c r="K279" s="729"/>
      <c r="L279" s="396"/>
      <c r="M279" s="396"/>
    </row>
    <row r="280" spans="1:13" s="116" customFormat="1">
      <c r="A280" s="377">
        <v>7</v>
      </c>
      <c r="B280" s="410" t="s">
        <v>625</v>
      </c>
      <c r="C280" s="397" t="s">
        <v>9</v>
      </c>
      <c r="D280" s="413">
        <v>1</v>
      </c>
      <c r="E280" s="397">
        <v>0.5</v>
      </c>
      <c r="F280" s="395">
        <v>0.23</v>
      </c>
      <c r="G280" s="395">
        <v>0.65</v>
      </c>
      <c r="H280" s="395">
        <v>2.5</v>
      </c>
      <c r="I280" s="480">
        <f t="shared" si="20"/>
        <v>2.2000000000000002</v>
      </c>
      <c r="J280" s="167"/>
      <c r="K280" s="729"/>
      <c r="L280" s="396"/>
      <c r="M280" s="396"/>
    </row>
    <row r="281" spans="1:13" s="116" customFormat="1">
      <c r="A281" s="377">
        <v>8</v>
      </c>
      <c r="B281" s="410"/>
      <c r="C281" s="397" t="s">
        <v>9</v>
      </c>
      <c r="D281" s="413">
        <v>1</v>
      </c>
      <c r="E281" s="397">
        <v>0.5</v>
      </c>
      <c r="F281" s="395">
        <v>0.23</v>
      </c>
      <c r="G281" s="395">
        <f>1.85-0.23</f>
        <v>1.62</v>
      </c>
      <c r="H281" s="395">
        <v>2.5</v>
      </c>
      <c r="I281" s="480">
        <f t="shared" si="20"/>
        <v>4.625</v>
      </c>
      <c r="J281" s="167"/>
      <c r="K281" s="729"/>
      <c r="L281" s="396"/>
      <c r="M281" s="396"/>
    </row>
    <row r="282" spans="1:13" s="116" customFormat="1">
      <c r="A282" s="377">
        <v>9</v>
      </c>
      <c r="B282" s="410" t="s">
        <v>626</v>
      </c>
      <c r="C282" s="397" t="s">
        <v>9</v>
      </c>
      <c r="D282" s="413">
        <v>1</v>
      </c>
      <c r="E282" s="397">
        <v>0.5</v>
      </c>
      <c r="F282" s="395">
        <v>0.23</v>
      </c>
      <c r="G282" s="395">
        <v>1</v>
      </c>
      <c r="H282" s="395">
        <v>2.5</v>
      </c>
      <c r="I282" s="480">
        <f t="shared" si="20"/>
        <v>3.0750000000000002</v>
      </c>
      <c r="J282" s="167"/>
      <c r="K282" s="729"/>
      <c r="L282" s="396"/>
      <c r="M282" s="396"/>
    </row>
    <row r="283" spans="1:13" s="116" customFormat="1">
      <c r="A283" s="377">
        <v>10</v>
      </c>
      <c r="B283" s="410" t="s">
        <v>627</v>
      </c>
      <c r="C283" s="397" t="s">
        <v>9</v>
      </c>
      <c r="D283" s="413">
        <v>1</v>
      </c>
      <c r="E283" s="397">
        <v>0.5</v>
      </c>
      <c r="F283" s="395">
        <v>0.23</v>
      </c>
      <c r="G283" s="395">
        <v>1.1499999999999999</v>
      </c>
      <c r="H283" s="395">
        <v>2.5</v>
      </c>
      <c r="I283" s="480">
        <f t="shared" si="20"/>
        <v>3.4499999999999997</v>
      </c>
      <c r="J283" s="167"/>
      <c r="K283" s="729"/>
      <c r="L283" s="396"/>
      <c r="M283" s="396"/>
    </row>
    <row r="284" spans="1:13" s="116" customFormat="1">
      <c r="A284" s="377">
        <v>11</v>
      </c>
      <c r="B284" s="410" t="s">
        <v>628</v>
      </c>
      <c r="C284" s="397" t="s">
        <v>9</v>
      </c>
      <c r="D284" s="413">
        <v>2</v>
      </c>
      <c r="E284" s="397">
        <v>0.5</v>
      </c>
      <c r="F284" s="395">
        <v>0.23</v>
      </c>
      <c r="G284" s="395">
        <v>1.7</v>
      </c>
      <c r="H284" s="395">
        <v>2.5</v>
      </c>
      <c r="I284" s="480">
        <f t="shared" si="20"/>
        <v>9.65</v>
      </c>
      <c r="J284" s="167"/>
      <c r="K284" s="729"/>
      <c r="L284" s="396"/>
      <c r="M284" s="396"/>
    </row>
    <row r="285" spans="1:13" s="116" customFormat="1">
      <c r="A285" s="377">
        <v>12</v>
      </c>
      <c r="B285" s="410" t="s">
        <v>629</v>
      </c>
      <c r="C285" s="397" t="s">
        <v>9</v>
      </c>
      <c r="D285" s="413">
        <v>2</v>
      </c>
      <c r="E285" s="397">
        <v>0.5</v>
      </c>
      <c r="F285" s="395">
        <v>0.23</v>
      </c>
      <c r="G285" s="395">
        <v>1.1850000000000001</v>
      </c>
      <c r="H285" s="395">
        <v>2.5</v>
      </c>
      <c r="I285" s="480">
        <f t="shared" si="20"/>
        <v>7.0750000000000002</v>
      </c>
      <c r="J285" s="167"/>
      <c r="K285" s="729"/>
      <c r="L285" s="396"/>
      <c r="M285" s="396"/>
    </row>
    <row r="286" spans="1:13" s="116" customFormat="1">
      <c r="A286" s="377">
        <v>13</v>
      </c>
      <c r="B286" s="410" t="s">
        <v>630</v>
      </c>
      <c r="C286" s="397" t="s">
        <v>9</v>
      </c>
      <c r="D286" s="413">
        <v>1</v>
      </c>
      <c r="E286" s="397">
        <v>0.5</v>
      </c>
      <c r="F286" s="395">
        <v>0.23</v>
      </c>
      <c r="G286" s="395">
        <v>1.855</v>
      </c>
      <c r="H286" s="395">
        <v>2.5</v>
      </c>
      <c r="I286" s="480">
        <f t="shared" si="20"/>
        <v>5.2125000000000004</v>
      </c>
      <c r="J286" s="167"/>
      <c r="K286" s="729"/>
      <c r="L286" s="396"/>
      <c r="M286" s="396"/>
    </row>
    <row r="287" spans="1:13" s="116" customFormat="1">
      <c r="A287" s="377">
        <v>14</v>
      </c>
      <c r="B287" s="410" t="s">
        <v>631</v>
      </c>
      <c r="C287" s="397" t="s">
        <v>9</v>
      </c>
      <c r="D287" s="413">
        <v>1</v>
      </c>
      <c r="E287" s="397">
        <v>1</v>
      </c>
      <c r="F287" s="395">
        <v>0.23</v>
      </c>
      <c r="G287" s="395">
        <v>3.6</v>
      </c>
      <c r="H287" s="395">
        <v>2.5</v>
      </c>
      <c r="I287" s="480">
        <f t="shared" si="20"/>
        <v>19.149999999999999</v>
      </c>
      <c r="J287" s="167"/>
      <c r="K287" s="729"/>
      <c r="L287" s="396"/>
      <c r="M287" s="396"/>
    </row>
    <row r="288" spans="1:13" s="116" customFormat="1">
      <c r="A288" s="377">
        <v>15</v>
      </c>
      <c r="B288" s="410" t="s">
        <v>632</v>
      </c>
      <c r="C288" s="397" t="s">
        <v>9</v>
      </c>
      <c r="D288" s="413">
        <v>3</v>
      </c>
      <c r="E288" s="397">
        <v>0.5</v>
      </c>
      <c r="F288" s="395">
        <v>0.23</v>
      </c>
      <c r="G288" s="395">
        <v>0.65</v>
      </c>
      <c r="H288" s="395">
        <v>2.5</v>
      </c>
      <c r="I288" s="480">
        <f t="shared" si="20"/>
        <v>6.6000000000000005</v>
      </c>
      <c r="J288" s="167"/>
      <c r="K288" s="729"/>
      <c r="L288" s="396"/>
      <c r="M288" s="396"/>
    </row>
    <row r="289" spans="1:13" s="116" customFormat="1">
      <c r="A289" s="377">
        <v>16</v>
      </c>
      <c r="B289" s="410"/>
      <c r="C289" s="397" t="s">
        <v>9</v>
      </c>
      <c r="D289" s="413">
        <v>3</v>
      </c>
      <c r="E289" s="397">
        <v>0.5</v>
      </c>
      <c r="F289" s="395">
        <v>0.23</v>
      </c>
      <c r="G289" s="395">
        <f>1.85-0.23</f>
        <v>1.62</v>
      </c>
      <c r="H289" s="395">
        <v>2.5</v>
      </c>
      <c r="I289" s="480">
        <f t="shared" si="20"/>
        <v>13.875000000000002</v>
      </c>
      <c r="J289" s="167"/>
      <c r="K289" s="729"/>
      <c r="L289" s="396"/>
      <c r="M289" s="396"/>
    </row>
    <row r="290" spans="1:13" s="116" customFormat="1">
      <c r="A290" s="377">
        <v>17</v>
      </c>
      <c r="B290" s="410" t="s">
        <v>633</v>
      </c>
      <c r="C290" s="397" t="s">
        <v>9</v>
      </c>
      <c r="D290" s="413">
        <v>1</v>
      </c>
      <c r="E290" s="397">
        <v>0.5</v>
      </c>
      <c r="F290" s="395">
        <v>0.23</v>
      </c>
      <c r="G290" s="395">
        <v>3.4449999999999998</v>
      </c>
      <c r="H290" s="395">
        <v>2.5</v>
      </c>
      <c r="I290" s="480">
        <f t="shared" si="20"/>
        <v>9.1875</v>
      </c>
      <c r="J290" s="167"/>
      <c r="K290" s="729"/>
      <c r="L290" s="396"/>
      <c r="M290" s="396"/>
    </row>
    <row r="291" spans="1:13" s="116" customFormat="1">
      <c r="A291" s="377">
        <v>18</v>
      </c>
      <c r="B291" s="410" t="s">
        <v>634</v>
      </c>
      <c r="C291" s="397" t="s">
        <v>9</v>
      </c>
      <c r="D291" s="413">
        <v>1</v>
      </c>
      <c r="E291" s="397">
        <v>0.5</v>
      </c>
      <c r="F291" s="395">
        <v>0.23</v>
      </c>
      <c r="G291" s="395">
        <v>4.0650000000000004</v>
      </c>
      <c r="H291" s="395">
        <v>2.5</v>
      </c>
      <c r="I291" s="480">
        <f t="shared" si="20"/>
        <v>10.737500000000002</v>
      </c>
      <c r="J291" s="167"/>
      <c r="K291" s="729"/>
      <c r="L291" s="396"/>
      <c r="M291" s="396"/>
    </row>
    <row r="292" spans="1:13" s="116" customFormat="1">
      <c r="A292" s="377">
        <v>19</v>
      </c>
      <c r="B292" s="410" t="s">
        <v>635</v>
      </c>
      <c r="C292" s="397" t="s">
        <v>9</v>
      </c>
      <c r="D292" s="413">
        <v>1</v>
      </c>
      <c r="E292" s="397">
        <v>0.5</v>
      </c>
      <c r="F292" s="395">
        <v>0.23</v>
      </c>
      <c r="G292" s="395">
        <v>0.65</v>
      </c>
      <c r="H292" s="395">
        <v>2.5</v>
      </c>
      <c r="I292" s="480">
        <f t="shared" si="20"/>
        <v>2.2000000000000002</v>
      </c>
      <c r="J292" s="167"/>
      <c r="K292" s="729"/>
      <c r="L292" s="396"/>
      <c r="M292" s="396"/>
    </row>
    <row r="293" spans="1:13" s="116" customFormat="1">
      <c r="A293" s="377">
        <v>20</v>
      </c>
      <c r="B293" s="410"/>
      <c r="C293" s="397" t="s">
        <v>9</v>
      </c>
      <c r="D293" s="413">
        <v>1</v>
      </c>
      <c r="E293" s="397">
        <v>0.5</v>
      </c>
      <c r="F293" s="395">
        <v>0.23</v>
      </c>
      <c r="G293" s="395">
        <f>1.535-0.23</f>
        <v>1.3049999999999999</v>
      </c>
      <c r="H293" s="395">
        <v>2.5</v>
      </c>
      <c r="I293" s="480">
        <f t="shared" si="20"/>
        <v>3.8374999999999999</v>
      </c>
      <c r="J293" s="167"/>
      <c r="K293" s="729"/>
      <c r="L293" s="396"/>
      <c r="M293" s="396"/>
    </row>
    <row r="294" spans="1:13" s="116" customFormat="1">
      <c r="A294" s="377">
        <v>21</v>
      </c>
      <c r="B294" s="410" t="s">
        <v>636</v>
      </c>
      <c r="C294" s="397" t="s">
        <v>9</v>
      </c>
      <c r="D294" s="413">
        <v>1</v>
      </c>
      <c r="E294" s="397">
        <v>0.5</v>
      </c>
      <c r="F294" s="395">
        <v>0.2</v>
      </c>
      <c r="G294" s="395">
        <v>3.4449999999999998</v>
      </c>
      <c r="H294" s="395">
        <v>2.5</v>
      </c>
      <c r="I294" s="480">
        <f t="shared" si="20"/>
        <v>9.1125000000000007</v>
      </c>
      <c r="J294" s="167"/>
      <c r="K294" s="729"/>
      <c r="L294" s="396"/>
      <c r="M294" s="396"/>
    </row>
    <row r="295" spans="1:13">
      <c r="A295" s="75"/>
      <c r="B295" s="412"/>
      <c r="C295" s="77"/>
      <c r="D295" s="397"/>
      <c r="E295" s="77"/>
      <c r="F295" s="395"/>
      <c r="G295" s="395"/>
      <c r="H295" s="395"/>
      <c r="I295" s="80"/>
      <c r="J295" s="167"/>
      <c r="K295" s="729"/>
      <c r="L295" s="396"/>
      <c r="M295" s="396"/>
    </row>
    <row r="296" spans="1:13">
      <c r="A296" s="75"/>
      <c r="B296" s="412"/>
      <c r="C296" s="77"/>
      <c r="D296" s="397"/>
      <c r="E296" s="77"/>
      <c r="F296" s="395"/>
      <c r="G296" s="395"/>
      <c r="H296" s="81" t="s">
        <v>57</v>
      </c>
      <c r="I296" s="479">
        <f>SUBTOTAL(9,I274:I295)</f>
        <v>246.82499999999996</v>
      </c>
      <c r="J296" s="167"/>
      <c r="K296" s="729"/>
      <c r="L296" s="396"/>
      <c r="M296" s="396"/>
    </row>
    <row r="298" spans="1:13" ht="45">
      <c r="A298" s="75"/>
      <c r="B298" s="81" t="s">
        <v>755</v>
      </c>
      <c r="C298" s="77"/>
      <c r="D298" s="77"/>
      <c r="E298" s="77"/>
      <c r="F298" s="395"/>
      <c r="G298" s="395"/>
      <c r="H298" s="395"/>
      <c r="I298" s="80"/>
      <c r="J298" s="581"/>
      <c r="K298" s="729" t="s">
        <v>753</v>
      </c>
      <c r="L298" s="396"/>
      <c r="M298" s="396"/>
    </row>
    <row r="299" spans="1:13" s="116" customFormat="1" ht="30">
      <c r="A299" s="377">
        <v>1</v>
      </c>
      <c r="B299" s="562" t="s">
        <v>922</v>
      </c>
      <c r="C299" s="397" t="s">
        <v>9</v>
      </c>
      <c r="D299" s="414">
        <v>31</v>
      </c>
      <c r="E299" s="397">
        <v>0.5</v>
      </c>
      <c r="F299" s="395">
        <v>0.3</v>
      </c>
      <c r="G299" s="395">
        <v>0.6</v>
      </c>
      <c r="H299" s="395">
        <v>2.5</v>
      </c>
      <c r="I299" s="480">
        <f t="shared" ref="I299:I319" si="21">D299*E299*2*(F299+G299)*H299</f>
        <v>69.75</v>
      </c>
      <c r="J299" s="581"/>
      <c r="K299" s="729"/>
      <c r="L299" s="396"/>
      <c r="M299" s="396"/>
    </row>
    <row r="300" spans="1:13" s="116" customFormat="1">
      <c r="A300" s="377">
        <v>2</v>
      </c>
      <c r="B300" s="413" t="s">
        <v>621</v>
      </c>
      <c r="C300" s="397" t="s">
        <v>9</v>
      </c>
      <c r="D300" s="413">
        <v>15</v>
      </c>
      <c r="E300" s="397">
        <v>0.5</v>
      </c>
      <c r="F300" s="395">
        <v>0.3</v>
      </c>
      <c r="G300" s="395">
        <v>0.7</v>
      </c>
      <c r="H300" s="395">
        <v>2.5</v>
      </c>
      <c r="I300" s="480">
        <f t="shared" si="21"/>
        <v>37.5</v>
      </c>
      <c r="J300" s="581"/>
      <c r="K300" s="729"/>
      <c r="L300" s="396"/>
      <c r="M300" s="396"/>
    </row>
    <row r="301" spans="1:13" s="116" customFormat="1">
      <c r="A301" s="377">
        <v>3</v>
      </c>
      <c r="B301" s="413" t="s">
        <v>923</v>
      </c>
      <c r="C301" s="397" t="s">
        <v>9</v>
      </c>
      <c r="D301" s="413">
        <v>7</v>
      </c>
      <c r="E301" s="397">
        <v>0.5</v>
      </c>
      <c r="F301" s="395">
        <v>0.3</v>
      </c>
      <c r="G301" s="395">
        <v>0.71499999999999997</v>
      </c>
      <c r="H301" s="395">
        <v>2.5</v>
      </c>
      <c r="I301" s="480">
        <f t="shared" si="21"/>
        <v>17.762499999999999</v>
      </c>
      <c r="J301" s="581"/>
      <c r="K301" s="729"/>
      <c r="L301" s="396"/>
      <c r="M301" s="396"/>
    </row>
    <row r="302" spans="1:13" s="116" customFormat="1">
      <c r="A302" s="377">
        <v>4</v>
      </c>
      <c r="B302" s="413" t="s">
        <v>623</v>
      </c>
      <c r="C302" s="397" t="s">
        <v>9</v>
      </c>
      <c r="D302" s="413">
        <v>2</v>
      </c>
      <c r="E302" s="397">
        <v>0.5</v>
      </c>
      <c r="F302" s="395">
        <v>0.3</v>
      </c>
      <c r="G302" s="395">
        <v>0.8</v>
      </c>
      <c r="H302" s="395">
        <v>2.5</v>
      </c>
      <c r="I302" s="480">
        <f t="shared" si="21"/>
        <v>5.5</v>
      </c>
      <c r="J302" s="581"/>
      <c r="K302" s="729"/>
      <c r="L302" s="396"/>
      <c r="M302" s="396"/>
    </row>
    <row r="303" spans="1:13" s="116" customFormat="1">
      <c r="A303" s="377">
        <v>5</v>
      </c>
      <c r="B303" s="410" t="s">
        <v>624</v>
      </c>
      <c r="C303" s="397" t="s">
        <v>9</v>
      </c>
      <c r="D303" s="413">
        <v>1</v>
      </c>
      <c r="E303" s="397">
        <v>0.5</v>
      </c>
      <c r="F303" s="395">
        <v>0.23</v>
      </c>
      <c r="G303" s="395">
        <v>0.65</v>
      </c>
      <c r="H303" s="395">
        <v>2.5</v>
      </c>
      <c r="I303" s="480">
        <f t="shared" si="21"/>
        <v>2.2000000000000002</v>
      </c>
      <c r="J303" s="581"/>
      <c r="K303" s="729"/>
      <c r="L303" s="396"/>
      <c r="M303" s="396"/>
    </row>
    <row r="304" spans="1:13" s="116" customFormat="1">
      <c r="A304" s="377">
        <v>6</v>
      </c>
      <c r="B304" s="410"/>
      <c r="C304" s="397" t="s">
        <v>9</v>
      </c>
      <c r="D304" s="413">
        <v>1</v>
      </c>
      <c r="E304" s="397">
        <v>0.5</v>
      </c>
      <c r="F304" s="395">
        <v>0.23</v>
      </c>
      <c r="G304" s="395">
        <f>1.65-0.23</f>
        <v>1.42</v>
      </c>
      <c r="H304" s="395">
        <v>2.5</v>
      </c>
      <c r="I304" s="480">
        <f t="shared" si="21"/>
        <v>4.125</v>
      </c>
      <c r="J304" s="581"/>
      <c r="K304" s="729"/>
      <c r="L304" s="396"/>
      <c r="M304" s="396"/>
    </row>
    <row r="305" spans="1:13" s="116" customFormat="1">
      <c r="A305" s="377">
        <v>7</v>
      </c>
      <c r="B305" s="410" t="s">
        <v>625</v>
      </c>
      <c r="C305" s="397" t="s">
        <v>9</v>
      </c>
      <c r="D305" s="413">
        <v>1</v>
      </c>
      <c r="E305" s="397">
        <v>0.5</v>
      </c>
      <c r="F305" s="395">
        <v>0.23</v>
      </c>
      <c r="G305" s="395">
        <v>0.65</v>
      </c>
      <c r="H305" s="395">
        <v>2.5</v>
      </c>
      <c r="I305" s="480">
        <f t="shared" si="21"/>
        <v>2.2000000000000002</v>
      </c>
      <c r="J305" s="581"/>
      <c r="K305" s="729"/>
      <c r="L305" s="396"/>
      <c r="M305" s="396"/>
    </row>
    <row r="306" spans="1:13" s="116" customFormat="1">
      <c r="A306" s="377">
        <v>8</v>
      </c>
      <c r="B306" s="410"/>
      <c r="C306" s="397" t="s">
        <v>9</v>
      </c>
      <c r="D306" s="413">
        <v>1</v>
      </c>
      <c r="E306" s="397">
        <v>0.5</v>
      </c>
      <c r="F306" s="395">
        <v>0.23</v>
      </c>
      <c r="G306" s="395">
        <f>1.85-0.23</f>
        <v>1.62</v>
      </c>
      <c r="H306" s="395">
        <v>2.5</v>
      </c>
      <c r="I306" s="480">
        <f t="shared" si="21"/>
        <v>4.625</v>
      </c>
      <c r="J306" s="581"/>
      <c r="K306" s="729"/>
      <c r="L306" s="396"/>
      <c r="M306" s="396"/>
    </row>
    <row r="307" spans="1:13" s="116" customFormat="1">
      <c r="A307" s="377">
        <v>9</v>
      </c>
      <c r="B307" s="410" t="s">
        <v>626</v>
      </c>
      <c r="C307" s="397" t="s">
        <v>9</v>
      </c>
      <c r="D307" s="413">
        <v>1</v>
      </c>
      <c r="E307" s="397">
        <v>0.5</v>
      </c>
      <c r="F307" s="395">
        <v>0.23</v>
      </c>
      <c r="G307" s="395">
        <v>1</v>
      </c>
      <c r="H307" s="395">
        <v>2.5</v>
      </c>
      <c r="I307" s="480">
        <f t="shared" si="21"/>
        <v>3.0750000000000002</v>
      </c>
      <c r="J307" s="581"/>
      <c r="K307" s="729"/>
      <c r="L307" s="396"/>
      <c r="M307" s="396"/>
    </row>
    <row r="308" spans="1:13" s="116" customFormat="1">
      <c r="A308" s="377">
        <v>10</v>
      </c>
      <c r="B308" s="410" t="s">
        <v>627</v>
      </c>
      <c r="C308" s="397" t="s">
        <v>9</v>
      </c>
      <c r="D308" s="413">
        <v>1</v>
      </c>
      <c r="E308" s="397">
        <v>0.5</v>
      </c>
      <c r="F308" s="395">
        <v>0.23</v>
      </c>
      <c r="G308" s="395">
        <v>1.1499999999999999</v>
      </c>
      <c r="H308" s="395">
        <v>2.5</v>
      </c>
      <c r="I308" s="480">
        <f t="shared" si="21"/>
        <v>3.4499999999999997</v>
      </c>
      <c r="J308" s="581"/>
      <c r="K308" s="729"/>
      <c r="L308" s="396"/>
      <c r="M308" s="396"/>
    </row>
    <row r="309" spans="1:13" s="116" customFormat="1">
      <c r="A309" s="377">
        <v>11</v>
      </c>
      <c r="B309" s="410" t="s">
        <v>628</v>
      </c>
      <c r="C309" s="397" t="s">
        <v>9</v>
      </c>
      <c r="D309" s="413">
        <v>2</v>
      </c>
      <c r="E309" s="397">
        <v>0.5</v>
      </c>
      <c r="F309" s="395">
        <v>0.23</v>
      </c>
      <c r="G309" s="395">
        <v>1.7</v>
      </c>
      <c r="H309" s="395">
        <v>2.5</v>
      </c>
      <c r="I309" s="480">
        <f t="shared" si="21"/>
        <v>9.65</v>
      </c>
      <c r="J309" s="581"/>
      <c r="K309" s="729"/>
      <c r="L309" s="396"/>
      <c r="M309" s="396"/>
    </row>
    <row r="310" spans="1:13" s="116" customFormat="1">
      <c r="A310" s="377">
        <v>12</v>
      </c>
      <c r="B310" s="410" t="s">
        <v>629</v>
      </c>
      <c r="C310" s="397" t="s">
        <v>9</v>
      </c>
      <c r="D310" s="413">
        <v>2</v>
      </c>
      <c r="E310" s="397">
        <v>0.5</v>
      </c>
      <c r="F310" s="395">
        <v>0.23</v>
      </c>
      <c r="G310" s="395">
        <v>1.1850000000000001</v>
      </c>
      <c r="H310" s="395">
        <v>2.5</v>
      </c>
      <c r="I310" s="480">
        <f t="shared" si="21"/>
        <v>7.0750000000000002</v>
      </c>
      <c r="J310" s="581"/>
      <c r="K310" s="729"/>
      <c r="L310" s="396"/>
      <c r="M310" s="396"/>
    </row>
    <row r="311" spans="1:13" s="116" customFormat="1">
      <c r="A311" s="377">
        <v>13</v>
      </c>
      <c r="B311" s="410" t="s">
        <v>630</v>
      </c>
      <c r="C311" s="397" t="s">
        <v>9</v>
      </c>
      <c r="D311" s="413">
        <v>1</v>
      </c>
      <c r="E311" s="397">
        <v>0.5</v>
      </c>
      <c r="F311" s="395">
        <v>0.23</v>
      </c>
      <c r="G311" s="395">
        <v>1.855</v>
      </c>
      <c r="H311" s="395">
        <v>2.5</v>
      </c>
      <c r="I311" s="480">
        <f t="shared" si="21"/>
        <v>5.2125000000000004</v>
      </c>
      <c r="J311" s="581"/>
      <c r="K311" s="729"/>
      <c r="L311" s="396"/>
      <c r="M311" s="396"/>
    </row>
    <row r="312" spans="1:13" s="116" customFormat="1">
      <c r="A312" s="377">
        <v>14</v>
      </c>
      <c r="B312" s="410" t="s">
        <v>631</v>
      </c>
      <c r="C312" s="397" t="s">
        <v>9</v>
      </c>
      <c r="D312" s="413">
        <v>1</v>
      </c>
      <c r="E312" s="397">
        <v>1</v>
      </c>
      <c r="F312" s="395">
        <v>0.23</v>
      </c>
      <c r="G312" s="395">
        <v>3.6</v>
      </c>
      <c r="H312" s="395">
        <v>2.5</v>
      </c>
      <c r="I312" s="480">
        <f t="shared" si="21"/>
        <v>19.149999999999999</v>
      </c>
      <c r="J312" s="581"/>
      <c r="K312" s="729"/>
      <c r="L312" s="396"/>
      <c r="M312" s="396"/>
    </row>
    <row r="313" spans="1:13" s="116" customFormat="1">
      <c r="A313" s="377">
        <v>15</v>
      </c>
      <c r="B313" s="410" t="s">
        <v>632</v>
      </c>
      <c r="C313" s="397" t="s">
        <v>9</v>
      </c>
      <c r="D313" s="413">
        <v>3</v>
      </c>
      <c r="E313" s="397">
        <v>0.5</v>
      </c>
      <c r="F313" s="395">
        <v>0.23</v>
      </c>
      <c r="G313" s="395">
        <v>0.65</v>
      </c>
      <c r="H313" s="395">
        <v>2.5</v>
      </c>
      <c r="I313" s="480">
        <f t="shared" si="21"/>
        <v>6.6000000000000005</v>
      </c>
      <c r="J313" s="581"/>
      <c r="K313" s="729"/>
      <c r="L313" s="396"/>
      <c r="M313" s="396"/>
    </row>
    <row r="314" spans="1:13" s="116" customFormat="1">
      <c r="A314" s="377">
        <v>16</v>
      </c>
      <c r="B314" s="410"/>
      <c r="C314" s="397" t="s">
        <v>9</v>
      </c>
      <c r="D314" s="413">
        <v>3</v>
      </c>
      <c r="E314" s="397">
        <v>0.5</v>
      </c>
      <c r="F314" s="395">
        <v>0.23</v>
      </c>
      <c r="G314" s="395">
        <f>1.85-0.23</f>
        <v>1.62</v>
      </c>
      <c r="H314" s="395">
        <v>2.5</v>
      </c>
      <c r="I314" s="480">
        <f t="shared" si="21"/>
        <v>13.875000000000002</v>
      </c>
      <c r="J314" s="581"/>
      <c r="K314" s="729"/>
      <c r="L314" s="396"/>
      <c r="M314" s="396"/>
    </row>
    <row r="315" spans="1:13" s="116" customFormat="1">
      <c r="A315" s="377">
        <v>17</v>
      </c>
      <c r="B315" s="410" t="s">
        <v>633</v>
      </c>
      <c r="C315" s="397" t="s">
        <v>9</v>
      </c>
      <c r="D315" s="413">
        <v>1</v>
      </c>
      <c r="E315" s="397">
        <v>0.5</v>
      </c>
      <c r="F315" s="395">
        <v>0.23</v>
      </c>
      <c r="G315" s="395">
        <v>3.4449999999999998</v>
      </c>
      <c r="H315" s="395">
        <v>2.5</v>
      </c>
      <c r="I315" s="480">
        <f t="shared" si="21"/>
        <v>9.1875</v>
      </c>
      <c r="J315" s="581"/>
      <c r="K315" s="729"/>
      <c r="L315" s="396"/>
      <c r="M315" s="396"/>
    </row>
    <row r="316" spans="1:13" s="116" customFormat="1">
      <c r="A316" s="377">
        <v>18</v>
      </c>
      <c r="B316" s="410" t="s">
        <v>634</v>
      </c>
      <c r="C316" s="397" t="s">
        <v>9</v>
      </c>
      <c r="D316" s="413">
        <v>1</v>
      </c>
      <c r="E316" s="397">
        <v>0.5</v>
      </c>
      <c r="F316" s="395">
        <v>0.23</v>
      </c>
      <c r="G316" s="395">
        <v>4.0650000000000004</v>
      </c>
      <c r="H316" s="395">
        <v>2.5</v>
      </c>
      <c r="I316" s="480">
        <f t="shared" si="21"/>
        <v>10.737500000000002</v>
      </c>
      <c r="J316" s="581"/>
      <c r="K316" s="729"/>
      <c r="L316" s="396"/>
      <c r="M316" s="396"/>
    </row>
    <row r="317" spans="1:13" s="116" customFormat="1">
      <c r="A317" s="377">
        <v>19</v>
      </c>
      <c r="B317" s="410" t="s">
        <v>635</v>
      </c>
      <c r="C317" s="397" t="s">
        <v>9</v>
      </c>
      <c r="D317" s="413">
        <v>1</v>
      </c>
      <c r="E317" s="397">
        <v>0.5</v>
      </c>
      <c r="F317" s="395">
        <v>0.23</v>
      </c>
      <c r="G317" s="395">
        <v>0.65</v>
      </c>
      <c r="H317" s="395">
        <v>2.5</v>
      </c>
      <c r="I317" s="480">
        <f t="shared" si="21"/>
        <v>2.2000000000000002</v>
      </c>
      <c r="J317" s="581"/>
      <c r="K317" s="729"/>
      <c r="L317" s="396"/>
      <c r="M317" s="396"/>
    </row>
    <row r="318" spans="1:13" s="116" customFormat="1">
      <c r="A318" s="377">
        <v>20</v>
      </c>
      <c r="B318" s="410"/>
      <c r="C318" s="397" t="s">
        <v>9</v>
      </c>
      <c r="D318" s="413">
        <v>1</v>
      </c>
      <c r="E318" s="397">
        <v>0.5</v>
      </c>
      <c r="F318" s="395">
        <v>0.23</v>
      </c>
      <c r="G318" s="395">
        <f>1.535-0.23</f>
        <v>1.3049999999999999</v>
      </c>
      <c r="H318" s="395">
        <v>2.5</v>
      </c>
      <c r="I318" s="480">
        <f t="shared" si="21"/>
        <v>3.8374999999999999</v>
      </c>
      <c r="J318" s="581"/>
      <c r="K318" s="729"/>
      <c r="L318" s="396"/>
      <c r="M318" s="396"/>
    </row>
    <row r="319" spans="1:13" s="116" customFormat="1">
      <c r="A319" s="377">
        <v>21</v>
      </c>
      <c r="B319" s="410" t="s">
        <v>636</v>
      </c>
      <c r="C319" s="397" t="s">
        <v>9</v>
      </c>
      <c r="D319" s="413">
        <v>1</v>
      </c>
      <c r="E319" s="397">
        <v>0.5</v>
      </c>
      <c r="F319" s="395">
        <v>0.2</v>
      </c>
      <c r="G319" s="395">
        <v>3.4449999999999998</v>
      </c>
      <c r="H319" s="395">
        <v>2.5</v>
      </c>
      <c r="I319" s="480">
        <f t="shared" si="21"/>
        <v>9.1125000000000007</v>
      </c>
      <c r="J319" s="581"/>
      <c r="K319" s="729"/>
      <c r="L319" s="396"/>
      <c r="M319" s="396"/>
    </row>
    <row r="320" spans="1:13">
      <c r="A320" s="75"/>
      <c r="B320" s="412"/>
      <c r="C320" s="77"/>
      <c r="D320" s="397"/>
      <c r="E320" s="77"/>
      <c r="F320" s="395"/>
      <c r="G320" s="395"/>
      <c r="H320" s="395"/>
      <c r="I320" s="80"/>
      <c r="J320" s="581"/>
      <c r="K320" s="729"/>
      <c r="L320" s="396"/>
      <c r="M320" s="396"/>
    </row>
    <row r="321" spans="1:13" ht="45">
      <c r="A321" s="75"/>
      <c r="B321" s="81" t="s">
        <v>1061</v>
      </c>
      <c r="C321" s="77"/>
      <c r="D321" s="77"/>
      <c r="E321" s="77"/>
      <c r="F321" s="395"/>
      <c r="G321" s="395"/>
      <c r="H321" s="395"/>
      <c r="I321" s="80"/>
      <c r="J321" s="581"/>
      <c r="K321" s="729"/>
      <c r="L321" s="396"/>
      <c r="M321" s="396"/>
    </row>
    <row r="322" spans="1:13" s="116" customFormat="1" ht="30">
      <c r="A322" s="377">
        <v>1</v>
      </c>
      <c r="B322" s="562" t="s">
        <v>922</v>
      </c>
      <c r="C322" s="397" t="s">
        <v>9</v>
      </c>
      <c r="D322" s="414">
        <v>31</v>
      </c>
      <c r="E322" s="397">
        <v>1</v>
      </c>
      <c r="F322" s="395">
        <v>0.3</v>
      </c>
      <c r="G322" s="395">
        <v>0.6</v>
      </c>
      <c r="H322" s="395">
        <v>2.5</v>
      </c>
      <c r="I322" s="480">
        <f t="shared" ref="I322:I358" si="22">D322*E322*2*(F322+G322)*H322</f>
        <v>139.5</v>
      </c>
      <c r="J322" s="581"/>
      <c r="K322" s="729"/>
      <c r="L322" s="396"/>
      <c r="M322" s="396"/>
    </row>
    <row r="323" spans="1:13" s="116" customFormat="1">
      <c r="A323" s="377">
        <v>2</v>
      </c>
      <c r="B323" s="413" t="s">
        <v>621</v>
      </c>
      <c r="C323" s="397" t="s">
        <v>9</v>
      </c>
      <c r="D323" s="413">
        <v>15</v>
      </c>
      <c r="E323" s="397">
        <v>1</v>
      </c>
      <c r="F323" s="395">
        <v>0.3</v>
      </c>
      <c r="G323" s="395">
        <v>0.7</v>
      </c>
      <c r="H323" s="395">
        <v>2.5</v>
      </c>
      <c r="I323" s="480">
        <f t="shared" si="22"/>
        <v>75</v>
      </c>
      <c r="J323" s="581"/>
      <c r="K323" s="729"/>
      <c r="L323" s="396"/>
      <c r="M323" s="396"/>
    </row>
    <row r="324" spans="1:13" s="116" customFormat="1">
      <c r="A324" s="377">
        <v>3</v>
      </c>
      <c r="B324" s="413" t="s">
        <v>923</v>
      </c>
      <c r="C324" s="397" t="s">
        <v>9</v>
      </c>
      <c r="D324" s="413">
        <v>7</v>
      </c>
      <c r="E324" s="397">
        <v>1</v>
      </c>
      <c r="F324" s="395">
        <v>0.3</v>
      </c>
      <c r="G324" s="395">
        <v>0.71499999999999997</v>
      </c>
      <c r="H324" s="395">
        <v>2.5</v>
      </c>
      <c r="I324" s="480">
        <f t="shared" si="22"/>
        <v>35.524999999999999</v>
      </c>
      <c r="J324" s="581"/>
      <c r="K324" s="729"/>
      <c r="L324" s="396"/>
      <c r="M324" s="396"/>
    </row>
    <row r="325" spans="1:13" s="116" customFormat="1">
      <c r="A325" s="377">
        <v>4</v>
      </c>
      <c r="B325" s="413" t="s">
        <v>623</v>
      </c>
      <c r="C325" s="397" t="s">
        <v>9</v>
      </c>
      <c r="D325" s="413">
        <v>2</v>
      </c>
      <c r="E325" s="397">
        <v>1</v>
      </c>
      <c r="F325" s="395">
        <v>0.3</v>
      </c>
      <c r="G325" s="395">
        <v>0.8</v>
      </c>
      <c r="H325" s="395">
        <v>2.5</v>
      </c>
      <c r="I325" s="480">
        <f t="shared" si="22"/>
        <v>11</v>
      </c>
      <c r="J325" s="581"/>
      <c r="K325" s="729"/>
      <c r="L325" s="396"/>
      <c r="M325" s="396"/>
    </row>
    <row r="326" spans="1:13" s="116" customFormat="1">
      <c r="A326" s="377">
        <v>5</v>
      </c>
      <c r="B326" s="410" t="s">
        <v>624</v>
      </c>
      <c r="C326" s="397" t="s">
        <v>9</v>
      </c>
      <c r="D326" s="413">
        <v>1</v>
      </c>
      <c r="E326" s="397">
        <v>1</v>
      </c>
      <c r="F326" s="395">
        <v>0.23</v>
      </c>
      <c r="G326" s="395">
        <v>0.65</v>
      </c>
      <c r="H326" s="395">
        <v>2.5</v>
      </c>
      <c r="I326" s="480">
        <f t="shared" si="22"/>
        <v>4.4000000000000004</v>
      </c>
      <c r="J326" s="581"/>
      <c r="K326" s="729"/>
      <c r="L326" s="396"/>
      <c r="M326" s="396"/>
    </row>
    <row r="327" spans="1:13" s="116" customFormat="1">
      <c r="A327" s="377">
        <v>6</v>
      </c>
      <c r="B327" s="410"/>
      <c r="C327" s="397" t="s">
        <v>9</v>
      </c>
      <c r="D327" s="413">
        <v>1</v>
      </c>
      <c r="E327" s="397">
        <v>1</v>
      </c>
      <c r="F327" s="395">
        <v>0.23</v>
      </c>
      <c r="G327" s="395">
        <f>1.65-0.23</f>
        <v>1.42</v>
      </c>
      <c r="H327" s="395">
        <v>2.5</v>
      </c>
      <c r="I327" s="480">
        <f t="shared" si="22"/>
        <v>8.25</v>
      </c>
      <c r="J327" s="581"/>
      <c r="K327" s="729"/>
      <c r="L327" s="396"/>
      <c r="M327" s="396"/>
    </row>
    <row r="328" spans="1:13" s="116" customFormat="1">
      <c r="A328" s="377">
        <v>7</v>
      </c>
      <c r="B328" s="410" t="s">
        <v>625</v>
      </c>
      <c r="C328" s="397" t="s">
        <v>9</v>
      </c>
      <c r="D328" s="413">
        <v>1</v>
      </c>
      <c r="E328" s="397">
        <v>1</v>
      </c>
      <c r="F328" s="395">
        <v>0.23</v>
      </c>
      <c r="G328" s="395">
        <v>0.65</v>
      </c>
      <c r="H328" s="395">
        <v>2.5</v>
      </c>
      <c r="I328" s="480">
        <f t="shared" si="22"/>
        <v>4.4000000000000004</v>
      </c>
      <c r="J328" s="581"/>
      <c r="K328" s="729"/>
      <c r="L328" s="396"/>
      <c r="M328" s="396"/>
    </row>
    <row r="329" spans="1:13" s="116" customFormat="1">
      <c r="A329" s="377">
        <v>8</v>
      </c>
      <c r="B329" s="410"/>
      <c r="C329" s="397" t="s">
        <v>9</v>
      </c>
      <c r="D329" s="413">
        <v>1</v>
      </c>
      <c r="E329" s="397">
        <v>1</v>
      </c>
      <c r="F329" s="395">
        <v>0.23</v>
      </c>
      <c r="G329" s="395">
        <f>1.85-0.23</f>
        <v>1.62</v>
      </c>
      <c r="H329" s="395">
        <v>2.5</v>
      </c>
      <c r="I329" s="480">
        <f t="shared" si="22"/>
        <v>9.25</v>
      </c>
      <c r="J329" s="581"/>
      <c r="K329" s="729"/>
      <c r="L329" s="396"/>
      <c r="M329" s="396"/>
    </row>
    <row r="330" spans="1:13" s="116" customFormat="1">
      <c r="A330" s="377">
        <v>9</v>
      </c>
      <c r="B330" s="410" t="s">
        <v>626</v>
      </c>
      <c r="C330" s="397" t="s">
        <v>9</v>
      </c>
      <c r="D330" s="413">
        <v>1</v>
      </c>
      <c r="E330" s="397">
        <v>1</v>
      </c>
      <c r="F330" s="395">
        <v>0.23</v>
      </c>
      <c r="G330" s="395">
        <v>1</v>
      </c>
      <c r="H330" s="395">
        <v>2.5</v>
      </c>
      <c r="I330" s="480">
        <f t="shared" si="22"/>
        <v>6.15</v>
      </c>
      <c r="J330" s="581"/>
      <c r="K330" s="729"/>
      <c r="L330" s="396"/>
      <c r="M330" s="396"/>
    </row>
    <row r="331" spans="1:13" s="116" customFormat="1">
      <c r="A331" s="377">
        <v>10</v>
      </c>
      <c r="B331" s="410" t="s">
        <v>627</v>
      </c>
      <c r="C331" s="397" t="s">
        <v>9</v>
      </c>
      <c r="D331" s="413">
        <v>1</v>
      </c>
      <c r="E331" s="397">
        <v>1</v>
      </c>
      <c r="F331" s="395">
        <v>0.23</v>
      </c>
      <c r="G331" s="395">
        <v>1.1499999999999999</v>
      </c>
      <c r="H331" s="395">
        <v>2.5</v>
      </c>
      <c r="I331" s="480">
        <f t="shared" si="22"/>
        <v>6.8999999999999995</v>
      </c>
      <c r="J331" s="581"/>
      <c r="K331" s="729"/>
      <c r="L331" s="396"/>
      <c r="M331" s="396"/>
    </row>
    <row r="332" spans="1:13" s="116" customFormat="1">
      <c r="A332" s="377">
        <v>11</v>
      </c>
      <c r="B332" s="410" t="s">
        <v>628</v>
      </c>
      <c r="C332" s="397" t="s">
        <v>9</v>
      </c>
      <c r="D332" s="413">
        <v>2</v>
      </c>
      <c r="E332" s="397">
        <v>1</v>
      </c>
      <c r="F332" s="395">
        <v>0.23</v>
      </c>
      <c r="G332" s="395">
        <v>1.7</v>
      </c>
      <c r="H332" s="395">
        <v>2.5</v>
      </c>
      <c r="I332" s="480">
        <f t="shared" si="22"/>
        <v>19.3</v>
      </c>
      <c r="J332" s="581"/>
      <c r="K332" s="729"/>
      <c r="L332" s="396"/>
      <c r="M332" s="396"/>
    </row>
    <row r="333" spans="1:13" s="116" customFormat="1">
      <c r="A333" s="377">
        <v>12</v>
      </c>
      <c r="B333" s="410" t="s">
        <v>629</v>
      </c>
      <c r="C333" s="397" t="s">
        <v>9</v>
      </c>
      <c r="D333" s="413">
        <v>2</v>
      </c>
      <c r="E333" s="397">
        <v>1</v>
      </c>
      <c r="F333" s="395">
        <v>0.23</v>
      </c>
      <c r="G333" s="395">
        <v>1.1850000000000001</v>
      </c>
      <c r="H333" s="395">
        <v>2.5</v>
      </c>
      <c r="I333" s="480">
        <f t="shared" si="22"/>
        <v>14.15</v>
      </c>
      <c r="J333" s="581"/>
      <c r="K333" s="729"/>
      <c r="L333" s="396"/>
      <c r="M333" s="396"/>
    </row>
    <row r="334" spans="1:13" s="116" customFormat="1">
      <c r="A334" s="377">
        <v>13</v>
      </c>
      <c r="B334" s="410" t="s">
        <v>630</v>
      </c>
      <c r="C334" s="397" t="s">
        <v>9</v>
      </c>
      <c r="D334" s="413">
        <v>1</v>
      </c>
      <c r="E334" s="397">
        <v>1</v>
      </c>
      <c r="F334" s="395">
        <v>0.23</v>
      </c>
      <c r="G334" s="395">
        <v>1.855</v>
      </c>
      <c r="H334" s="395">
        <v>2.5</v>
      </c>
      <c r="I334" s="480">
        <f t="shared" si="22"/>
        <v>10.425000000000001</v>
      </c>
      <c r="J334" s="581"/>
      <c r="K334" s="729"/>
      <c r="L334" s="396"/>
      <c r="M334" s="396"/>
    </row>
    <row r="335" spans="1:13" s="116" customFormat="1">
      <c r="A335" s="377">
        <v>14</v>
      </c>
      <c r="B335" s="410" t="s">
        <v>631</v>
      </c>
      <c r="C335" s="397" t="s">
        <v>9</v>
      </c>
      <c r="D335" s="413">
        <v>0</v>
      </c>
      <c r="E335" s="397">
        <v>0</v>
      </c>
      <c r="F335" s="395">
        <v>0.23</v>
      </c>
      <c r="G335" s="395">
        <v>3.6</v>
      </c>
      <c r="H335" s="395">
        <v>2.5</v>
      </c>
      <c r="I335" s="480">
        <f t="shared" si="22"/>
        <v>0</v>
      </c>
      <c r="J335" s="581"/>
      <c r="K335" s="729"/>
      <c r="L335" s="396"/>
      <c r="M335" s="396"/>
    </row>
    <row r="336" spans="1:13" s="116" customFormat="1">
      <c r="A336" s="377">
        <v>15</v>
      </c>
      <c r="B336" s="410" t="s">
        <v>632</v>
      </c>
      <c r="C336" s="397" t="s">
        <v>9</v>
      </c>
      <c r="D336" s="413">
        <v>3</v>
      </c>
      <c r="E336" s="397">
        <v>1</v>
      </c>
      <c r="F336" s="395">
        <v>0.23</v>
      </c>
      <c r="G336" s="395">
        <v>0.65</v>
      </c>
      <c r="H336" s="395">
        <v>2.5</v>
      </c>
      <c r="I336" s="480">
        <f t="shared" si="22"/>
        <v>13.200000000000001</v>
      </c>
      <c r="J336" s="581"/>
      <c r="K336" s="729"/>
      <c r="L336" s="396"/>
      <c r="M336" s="396"/>
    </row>
    <row r="337" spans="1:13" s="116" customFormat="1">
      <c r="A337" s="377">
        <v>16</v>
      </c>
      <c r="B337" s="410"/>
      <c r="C337" s="397" t="s">
        <v>9</v>
      </c>
      <c r="D337" s="413">
        <v>3</v>
      </c>
      <c r="E337" s="397">
        <v>1</v>
      </c>
      <c r="F337" s="395">
        <v>0.23</v>
      </c>
      <c r="G337" s="395">
        <f>1.85-0.23</f>
        <v>1.62</v>
      </c>
      <c r="H337" s="395">
        <v>2.5</v>
      </c>
      <c r="I337" s="480">
        <f t="shared" si="22"/>
        <v>27.750000000000004</v>
      </c>
      <c r="J337" s="581"/>
      <c r="K337" s="729"/>
      <c r="L337" s="396"/>
      <c r="M337" s="396"/>
    </row>
    <row r="338" spans="1:13" s="116" customFormat="1">
      <c r="A338" s="377">
        <v>17</v>
      </c>
      <c r="B338" s="410" t="s">
        <v>633</v>
      </c>
      <c r="C338" s="397" t="s">
        <v>9</v>
      </c>
      <c r="D338" s="413">
        <v>1</v>
      </c>
      <c r="E338" s="397">
        <v>1</v>
      </c>
      <c r="F338" s="395">
        <v>0.23</v>
      </c>
      <c r="G338" s="395">
        <v>3.4449999999999998</v>
      </c>
      <c r="H338" s="395">
        <v>2.5</v>
      </c>
      <c r="I338" s="480">
        <f t="shared" si="22"/>
        <v>18.375</v>
      </c>
      <c r="J338" s="581"/>
      <c r="K338" s="729"/>
      <c r="L338" s="396"/>
      <c r="M338" s="396"/>
    </row>
    <row r="339" spans="1:13" s="116" customFormat="1">
      <c r="A339" s="377">
        <v>18</v>
      </c>
      <c r="B339" s="410" t="s">
        <v>634</v>
      </c>
      <c r="C339" s="397" t="s">
        <v>9</v>
      </c>
      <c r="D339" s="413">
        <v>1</v>
      </c>
      <c r="E339" s="397">
        <v>1</v>
      </c>
      <c r="F339" s="395">
        <v>0.23</v>
      </c>
      <c r="G339" s="395">
        <v>4.0650000000000004</v>
      </c>
      <c r="H339" s="395">
        <v>2.5</v>
      </c>
      <c r="I339" s="480">
        <f t="shared" si="22"/>
        <v>21.475000000000005</v>
      </c>
      <c r="J339" s="581"/>
      <c r="K339" s="729"/>
      <c r="L339" s="396"/>
      <c r="M339" s="396"/>
    </row>
    <row r="340" spans="1:13" s="116" customFormat="1">
      <c r="A340" s="377">
        <v>19</v>
      </c>
      <c r="B340" s="410" t="s">
        <v>635</v>
      </c>
      <c r="C340" s="397" t="s">
        <v>9</v>
      </c>
      <c r="D340" s="413">
        <v>1</v>
      </c>
      <c r="E340" s="397">
        <v>1</v>
      </c>
      <c r="F340" s="395">
        <v>0.23</v>
      </c>
      <c r="G340" s="395">
        <v>0.65</v>
      </c>
      <c r="H340" s="395">
        <v>2.5</v>
      </c>
      <c r="I340" s="480">
        <f t="shared" si="22"/>
        <v>4.4000000000000004</v>
      </c>
      <c r="J340" s="581"/>
      <c r="K340" s="729"/>
      <c r="L340" s="396"/>
      <c r="M340" s="396"/>
    </row>
    <row r="341" spans="1:13" s="116" customFormat="1">
      <c r="A341" s="377">
        <v>20</v>
      </c>
      <c r="B341" s="410"/>
      <c r="C341" s="397" t="s">
        <v>9</v>
      </c>
      <c r="D341" s="413">
        <v>1</v>
      </c>
      <c r="E341" s="397">
        <v>1</v>
      </c>
      <c r="F341" s="395">
        <v>0.23</v>
      </c>
      <c r="G341" s="395">
        <f>1.535-0.23</f>
        <v>1.3049999999999999</v>
      </c>
      <c r="H341" s="395">
        <v>2.5</v>
      </c>
      <c r="I341" s="480">
        <f t="shared" si="22"/>
        <v>7.6749999999999998</v>
      </c>
      <c r="J341" s="581"/>
      <c r="K341" s="729"/>
      <c r="L341" s="396"/>
      <c r="M341" s="396"/>
    </row>
    <row r="342" spans="1:13" s="116" customFormat="1">
      <c r="A342" s="377">
        <v>21</v>
      </c>
      <c r="B342" s="410" t="s">
        <v>636</v>
      </c>
      <c r="C342" s="397" t="s">
        <v>9</v>
      </c>
      <c r="D342" s="413">
        <v>1</v>
      </c>
      <c r="E342" s="397">
        <v>1</v>
      </c>
      <c r="F342" s="395">
        <v>0.2</v>
      </c>
      <c r="G342" s="395">
        <v>3.4449999999999998</v>
      </c>
      <c r="H342" s="395">
        <v>2.5</v>
      </c>
      <c r="I342" s="480">
        <f t="shared" si="22"/>
        <v>18.225000000000001</v>
      </c>
      <c r="J342" s="581"/>
      <c r="K342" s="729"/>
      <c r="L342" s="396"/>
      <c r="M342" s="396"/>
    </row>
    <row r="343" spans="1:13" s="116" customFormat="1" ht="45">
      <c r="A343" s="377"/>
      <c r="B343" s="81" t="s">
        <v>1257</v>
      </c>
      <c r="C343" s="397"/>
      <c r="D343" s="414"/>
      <c r="E343" s="397"/>
      <c r="F343" s="395"/>
      <c r="G343" s="395"/>
      <c r="H343" s="395"/>
      <c r="I343" s="577"/>
      <c r="J343" s="581"/>
      <c r="K343" s="729"/>
      <c r="L343" s="396"/>
      <c r="M343" s="396"/>
    </row>
    <row r="344" spans="1:13">
      <c r="A344" s="75">
        <v>1</v>
      </c>
      <c r="B344" s="153" t="s">
        <v>620</v>
      </c>
      <c r="C344" s="77" t="s">
        <v>71</v>
      </c>
      <c r="D344" s="414">
        <f>31*2-16</f>
        <v>46</v>
      </c>
      <c r="E344" s="77">
        <v>1</v>
      </c>
      <c r="F344" s="395">
        <v>0.3</v>
      </c>
      <c r="G344" s="395">
        <v>0.6</v>
      </c>
      <c r="H344" s="395">
        <v>0.2</v>
      </c>
      <c r="I344" s="480">
        <f t="shared" si="22"/>
        <v>16.559999999999999</v>
      </c>
      <c r="J344" s="581"/>
      <c r="K344" s="729"/>
      <c r="L344" s="396"/>
      <c r="M344" s="396"/>
    </row>
    <row r="345" spans="1:13">
      <c r="A345" s="377">
        <v>2</v>
      </c>
      <c r="B345" s="623" t="s">
        <v>621</v>
      </c>
      <c r="C345" s="77" t="s">
        <v>71</v>
      </c>
      <c r="D345" s="413">
        <v>22</v>
      </c>
      <c r="E345" s="77">
        <v>1</v>
      </c>
      <c r="F345" s="395">
        <v>0.3</v>
      </c>
      <c r="G345" s="395">
        <v>0.7</v>
      </c>
      <c r="H345" s="395">
        <v>0.2</v>
      </c>
      <c r="I345" s="480">
        <f t="shared" si="22"/>
        <v>8.8000000000000007</v>
      </c>
      <c r="J345" s="581"/>
      <c r="K345" s="729"/>
      <c r="L345" s="396"/>
      <c r="M345" s="396"/>
    </row>
    <row r="346" spans="1:13">
      <c r="A346" s="75">
        <v>3</v>
      </c>
      <c r="B346" s="623" t="s">
        <v>622</v>
      </c>
      <c r="C346" s="77" t="s">
        <v>71</v>
      </c>
      <c r="D346" s="413">
        <f>7*2</f>
        <v>14</v>
      </c>
      <c r="E346" s="77">
        <v>1</v>
      </c>
      <c r="F346" s="395">
        <v>0.3</v>
      </c>
      <c r="G346" s="395">
        <v>0.71499999999999997</v>
      </c>
      <c r="H346" s="395">
        <v>0.2</v>
      </c>
      <c r="I346" s="480">
        <f t="shared" si="22"/>
        <v>5.6840000000000002</v>
      </c>
      <c r="J346" s="581"/>
      <c r="K346" s="729"/>
      <c r="L346" s="396"/>
      <c r="M346" s="396"/>
    </row>
    <row r="347" spans="1:13">
      <c r="A347" s="377">
        <v>4</v>
      </c>
      <c r="B347" s="413" t="s">
        <v>623</v>
      </c>
      <c r="C347" s="77" t="s">
        <v>71</v>
      </c>
      <c r="D347" s="413">
        <f>2*2-2</f>
        <v>2</v>
      </c>
      <c r="E347" s="77">
        <v>1</v>
      </c>
      <c r="F347" s="395">
        <v>0.3</v>
      </c>
      <c r="G347" s="395">
        <v>0.8</v>
      </c>
      <c r="H347" s="395">
        <v>0.2</v>
      </c>
      <c r="I347" s="480">
        <f t="shared" si="22"/>
        <v>0.88000000000000012</v>
      </c>
      <c r="J347" s="581"/>
      <c r="K347" s="729"/>
      <c r="L347" s="396"/>
      <c r="M347" s="396"/>
    </row>
    <row r="348" spans="1:13">
      <c r="A348" s="75">
        <v>5</v>
      </c>
      <c r="B348" s="410" t="s">
        <v>624</v>
      </c>
      <c r="C348" s="77" t="s">
        <v>71</v>
      </c>
      <c r="D348" s="413">
        <f>1*2</f>
        <v>2</v>
      </c>
      <c r="E348" s="77">
        <v>1</v>
      </c>
      <c r="F348" s="395">
        <v>0.23</v>
      </c>
      <c r="G348" s="395">
        <v>0.65</v>
      </c>
      <c r="H348" s="395">
        <v>0.2</v>
      </c>
      <c r="I348" s="480">
        <f t="shared" si="22"/>
        <v>0.70400000000000007</v>
      </c>
      <c r="J348" s="581"/>
      <c r="K348" s="729"/>
      <c r="L348" s="396"/>
      <c r="M348" s="396"/>
    </row>
    <row r="349" spans="1:13">
      <c r="A349" s="377">
        <v>6</v>
      </c>
      <c r="B349" s="410"/>
      <c r="C349" s="77" t="s">
        <v>71</v>
      </c>
      <c r="D349" s="413">
        <v>2</v>
      </c>
      <c r="E349" s="77">
        <v>1</v>
      </c>
      <c r="F349" s="395">
        <v>0.23</v>
      </c>
      <c r="G349" s="395">
        <f>1.65-0.23</f>
        <v>1.42</v>
      </c>
      <c r="H349" s="395">
        <v>0.2</v>
      </c>
      <c r="I349" s="480">
        <f t="shared" si="22"/>
        <v>1.32</v>
      </c>
      <c r="J349" s="581"/>
      <c r="K349" s="729"/>
      <c r="L349" s="396"/>
      <c r="M349" s="396"/>
    </row>
    <row r="350" spans="1:13">
      <c r="A350" s="75">
        <v>7</v>
      </c>
      <c r="B350" s="410" t="s">
        <v>625</v>
      </c>
      <c r="C350" s="77" t="s">
        <v>71</v>
      </c>
      <c r="D350" s="413">
        <f>1*2</f>
        <v>2</v>
      </c>
      <c r="E350" s="77">
        <v>1</v>
      </c>
      <c r="F350" s="395">
        <v>0.23</v>
      </c>
      <c r="G350" s="395">
        <v>0.65</v>
      </c>
      <c r="H350" s="395">
        <v>0.2</v>
      </c>
      <c r="I350" s="480">
        <f t="shared" si="22"/>
        <v>0.70400000000000007</v>
      </c>
      <c r="J350" s="581"/>
      <c r="K350" s="729"/>
      <c r="L350" s="396"/>
      <c r="M350" s="396"/>
    </row>
    <row r="351" spans="1:13">
      <c r="A351" s="377">
        <v>8</v>
      </c>
      <c r="B351" s="410"/>
      <c r="C351" s="77" t="s">
        <v>71</v>
      </c>
      <c r="D351" s="413">
        <v>2</v>
      </c>
      <c r="E351" s="77">
        <v>1</v>
      </c>
      <c r="F351" s="395">
        <v>0.23</v>
      </c>
      <c r="G351" s="395">
        <f>1.85-0.23</f>
        <v>1.62</v>
      </c>
      <c r="H351" s="395">
        <v>0.2</v>
      </c>
      <c r="I351" s="480">
        <f t="shared" si="22"/>
        <v>1.4800000000000002</v>
      </c>
      <c r="J351" s="581"/>
      <c r="K351" s="729"/>
      <c r="L351" s="396"/>
      <c r="M351" s="396"/>
    </row>
    <row r="352" spans="1:13">
      <c r="A352" s="75">
        <v>9</v>
      </c>
      <c r="B352" s="410" t="s">
        <v>626</v>
      </c>
      <c r="C352" s="77" t="s">
        <v>71</v>
      </c>
      <c r="D352" s="413">
        <f>1*2</f>
        <v>2</v>
      </c>
      <c r="E352" s="77">
        <v>1</v>
      </c>
      <c r="F352" s="395">
        <v>0.23</v>
      </c>
      <c r="G352" s="395">
        <v>1</v>
      </c>
      <c r="H352" s="395">
        <v>0.2</v>
      </c>
      <c r="I352" s="480">
        <f t="shared" si="22"/>
        <v>0.98399999999999999</v>
      </c>
      <c r="J352" s="581"/>
      <c r="K352" s="729"/>
      <c r="L352" s="396"/>
      <c r="M352" s="396"/>
    </row>
    <row r="353" spans="1:13">
      <c r="A353" s="377">
        <v>10</v>
      </c>
      <c r="B353" s="410" t="s">
        <v>627</v>
      </c>
      <c r="C353" s="77" t="s">
        <v>71</v>
      </c>
      <c r="D353" s="413">
        <f>1*2</f>
        <v>2</v>
      </c>
      <c r="E353" s="77">
        <v>1</v>
      </c>
      <c r="F353" s="395">
        <v>0.23</v>
      </c>
      <c r="G353" s="395">
        <v>1.1499999999999999</v>
      </c>
      <c r="H353" s="395">
        <v>0.2</v>
      </c>
      <c r="I353" s="480">
        <f t="shared" si="22"/>
        <v>1.1039999999999999</v>
      </c>
      <c r="J353" s="581"/>
      <c r="K353" s="729"/>
      <c r="L353" s="396"/>
      <c r="M353" s="396"/>
    </row>
    <row r="354" spans="1:13">
      <c r="A354" s="75">
        <v>11</v>
      </c>
      <c r="B354" s="410" t="s">
        <v>629</v>
      </c>
      <c r="C354" s="77" t="s">
        <v>71</v>
      </c>
      <c r="D354" s="413">
        <v>2</v>
      </c>
      <c r="E354" s="77">
        <v>1</v>
      </c>
      <c r="F354" s="395">
        <v>0.23</v>
      </c>
      <c r="G354" s="395">
        <v>1.1850000000000001</v>
      </c>
      <c r="H354" s="395">
        <v>0.2</v>
      </c>
      <c r="I354" s="480">
        <f t="shared" si="22"/>
        <v>1.1320000000000001</v>
      </c>
      <c r="J354" s="581"/>
      <c r="K354" s="729"/>
      <c r="L354" s="396"/>
      <c r="M354" s="396"/>
    </row>
    <row r="355" spans="1:13">
      <c r="A355" s="377">
        <v>12</v>
      </c>
      <c r="B355" s="410" t="s">
        <v>630</v>
      </c>
      <c r="C355" s="77" t="s">
        <v>71</v>
      </c>
      <c r="D355" s="413">
        <f>1*2</f>
        <v>2</v>
      </c>
      <c r="E355" s="77">
        <v>1</v>
      </c>
      <c r="F355" s="395">
        <v>0.23</v>
      </c>
      <c r="G355" s="395">
        <v>1.855</v>
      </c>
      <c r="H355" s="395">
        <v>0.2</v>
      </c>
      <c r="I355" s="480">
        <f t="shared" si="22"/>
        <v>1.6680000000000001</v>
      </c>
      <c r="J355" s="581"/>
      <c r="K355" s="729"/>
      <c r="L355" s="396"/>
      <c r="M355" s="396"/>
    </row>
    <row r="356" spans="1:13">
      <c r="A356" s="75">
        <v>13</v>
      </c>
      <c r="B356" s="410" t="s">
        <v>631</v>
      </c>
      <c r="C356" s="77" t="s">
        <v>71</v>
      </c>
      <c r="D356" s="413">
        <v>1</v>
      </c>
      <c r="E356" s="77">
        <v>1</v>
      </c>
      <c r="F356" s="395">
        <v>0.23</v>
      </c>
      <c r="G356" s="395">
        <v>3.6</v>
      </c>
      <c r="H356" s="395">
        <v>0.2</v>
      </c>
      <c r="I356" s="480">
        <f t="shared" si="22"/>
        <v>1.532</v>
      </c>
      <c r="J356" s="581"/>
      <c r="K356" s="729"/>
      <c r="L356" s="396"/>
      <c r="M356" s="396"/>
    </row>
    <row r="357" spans="1:13">
      <c r="A357" s="377">
        <v>14</v>
      </c>
      <c r="B357" s="410" t="s">
        <v>632</v>
      </c>
      <c r="C357" s="77" t="s">
        <v>71</v>
      </c>
      <c r="D357" s="413">
        <f>3*2</f>
        <v>6</v>
      </c>
      <c r="E357" s="77">
        <v>1</v>
      </c>
      <c r="F357" s="395">
        <v>0.23</v>
      </c>
      <c r="G357" s="395">
        <v>0.65</v>
      </c>
      <c r="H357" s="395">
        <v>0.2</v>
      </c>
      <c r="I357" s="480">
        <f t="shared" si="22"/>
        <v>2.1120000000000001</v>
      </c>
      <c r="J357" s="581"/>
      <c r="K357" s="729"/>
      <c r="L357" s="396"/>
      <c r="M357" s="396"/>
    </row>
    <row r="358" spans="1:13">
      <c r="A358" s="75">
        <v>15</v>
      </c>
      <c r="B358" s="410"/>
      <c r="C358" s="77" t="s">
        <v>71</v>
      </c>
      <c r="D358" s="413">
        <v>6</v>
      </c>
      <c r="E358" s="77">
        <v>1</v>
      </c>
      <c r="F358" s="395">
        <v>0.23</v>
      </c>
      <c r="G358" s="395">
        <f>1.85-0.23</f>
        <v>1.62</v>
      </c>
      <c r="H358" s="395">
        <v>0.2</v>
      </c>
      <c r="I358" s="480">
        <f t="shared" si="22"/>
        <v>4.4400000000000004</v>
      </c>
      <c r="J358" s="581"/>
      <c r="K358" s="729"/>
      <c r="L358" s="396"/>
      <c r="M358" s="396"/>
    </row>
    <row r="359" spans="1:13">
      <c r="A359" s="75"/>
      <c r="B359" s="412"/>
      <c r="C359" s="77"/>
      <c r="D359" s="397"/>
      <c r="E359" s="77"/>
      <c r="F359" s="395"/>
      <c r="G359" s="395"/>
      <c r="H359" s="395"/>
      <c r="I359" s="637">
        <f>SUBTOTAL(9,I344:I358)</f>
        <v>49.103999999999992</v>
      </c>
      <c r="J359" s="581"/>
      <c r="K359" s="729"/>
      <c r="L359" s="396"/>
      <c r="M359" s="396"/>
    </row>
    <row r="360" spans="1:13">
      <c r="A360" s="75"/>
      <c r="B360" s="412"/>
      <c r="C360" s="77"/>
      <c r="D360" s="397"/>
      <c r="E360" s="77"/>
      <c r="F360" s="395"/>
      <c r="G360" s="395"/>
      <c r="H360" s="395"/>
      <c r="I360" s="80"/>
      <c r="J360" s="581"/>
      <c r="K360" s="729"/>
      <c r="L360" s="396"/>
      <c r="M360" s="396"/>
    </row>
    <row r="361" spans="1:13">
      <c r="A361" s="75"/>
      <c r="B361" s="412"/>
      <c r="C361" s="77"/>
      <c r="D361" s="397"/>
      <c r="E361" s="77"/>
      <c r="F361" s="395"/>
      <c r="G361" s="395"/>
      <c r="H361" s="81" t="s">
        <v>57</v>
      </c>
      <c r="I361" s="479">
        <f>SUBTOTAL(9,I299:I360)</f>
        <v>751.27899999999966</v>
      </c>
      <c r="J361" s="581"/>
      <c r="K361" s="729"/>
      <c r="L361" s="396"/>
      <c r="M361" s="396"/>
    </row>
    <row r="362" spans="1:13">
      <c r="K362" s="729"/>
    </row>
    <row r="363" spans="1:13">
      <c r="A363" s="167"/>
      <c r="B363" s="584" t="s">
        <v>1062</v>
      </c>
      <c r="C363" s="267"/>
      <c r="D363" s="167"/>
      <c r="E363" s="167"/>
      <c r="F363" s="167"/>
      <c r="G363" s="167"/>
      <c r="H363" s="477"/>
      <c r="I363" s="167"/>
      <c r="J363" s="167"/>
      <c r="K363" s="729"/>
    </row>
    <row r="364" spans="1:13">
      <c r="A364" s="167"/>
      <c r="B364" s="267"/>
      <c r="C364" s="267"/>
      <c r="D364" s="167"/>
      <c r="E364" s="167"/>
      <c r="F364" s="167"/>
      <c r="G364" s="167"/>
      <c r="H364" s="477"/>
      <c r="I364" s="167"/>
      <c r="J364" s="167"/>
      <c r="K364" s="729"/>
    </row>
    <row r="365" spans="1:13">
      <c r="A365" s="167"/>
      <c r="B365" s="167" t="s">
        <v>958</v>
      </c>
      <c r="C365" s="397" t="s">
        <v>9</v>
      </c>
      <c r="D365" s="589">
        <v>1</v>
      </c>
      <c r="E365" s="251">
        <v>1</v>
      </c>
      <c r="F365" s="595">
        <v>3.0249999999999999</v>
      </c>
      <c r="G365" s="235"/>
      <c r="H365" s="235">
        <v>0.2</v>
      </c>
      <c r="I365" s="477">
        <f>+PRODUCT(D365:H365)</f>
        <v>0.60499999999999998</v>
      </c>
      <c r="J365" s="167"/>
      <c r="K365" s="729"/>
    </row>
    <row r="366" spans="1:13">
      <c r="A366" s="167"/>
      <c r="B366" s="167" t="s">
        <v>1063</v>
      </c>
      <c r="C366" s="397" t="s">
        <v>9</v>
      </c>
      <c r="D366" s="589">
        <v>1</v>
      </c>
      <c r="E366" s="251">
        <v>1</v>
      </c>
      <c r="F366" s="595">
        <v>3.0249999999999999</v>
      </c>
      <c r="G366" s="235"/>
      <c r="H366" s="235">
        <f>0.5-0.2</f>
        <v>0.3</v>
      </c>
      <c r="I366" s="477">
        <f>+PRODUCT(D366:H366)</f>
        <v>0.90749999999999997</v>
      </c>
      <c r="J366" s="167"/>
      <c r="K366" s="729"/>
    </row>
    <row r="367" spans="1:13">
      <c r="A367" s="167"/>
      <c r="B367" s="167" t="s">
        <v>1063</v>
      </c>
      <c r="C367" s="397" t="s">
        <v>9</v>
      </c>
      <c r="D367" s="589">
        <v>1</v>
      </c>
      <c r="E367" s="251">
        <v>1</v>
      </c>
      <c r="F367" s="595">
        <v>3.0249999999999999</v>
      </c>
      <c r="G367" s="235"/>
      <c r="H367" s="235">
        <f>0.5-0.135</f>
        <v>0.36499999999999999</v>
      </c>
      <c r="I367" s="477">
        <f>+PRODUCT(D367:H367)</f>
        <v>1.104125</v>
      </c>
      <c r="J367" s="167"/>
      <c r="K367" s="729"/>
    </row>
    <row r="368" spans="1:13">
      <c r="A368" s="167"/>
      <c r="B368" s="167" t="s">
        <v>958</v>
      </c>
      <c r="C368" s="397" t="s">
        <v>9</v>
      </c>
      <c r="D368" s="589">
        <v>1</v>
      </c>
      <c r="E368" s="251">
        <v>1</v>
      </c>
      <c r="F368" s="595">
        <v>2.8</v>
      </c>
      <c r="G368" s="235">
        <v>0.5</v>
      </c>
      <c r="H368" s="235">
        <v>0.2</v>
      </c>
      <c r="I368" s="477">
        <f t="shared" ref="I368:I564" si="23">+PRODUCT(D368:H368)</f>
        <v>0.27999999999999997</v>
      </c>
      <c r="J368" s="167"/>
      <c r="K368" s="729"/>
    </row>
    <row r="369" spans="1:11">
      <c r="A369" s="167"/>
      <c r="B369" s="167" t="s">
        <v>1063</v>
      </c>
      <c r="C369" s="397" t="s">
        <v>9</v>
      </c>
      <c r="D369" s="589">
        <v>1</v>
      </c>
      <c r="E369" s="251">
        <v>1</v>
      </c>
      <c r="F369" s="595">
        <v>2.8</v>
      </c>
      <c r="G369" s="235"/>
      <c r="H369" s="235">
        <f>0.5-0.2</f>
        <v>0.3</v>
      </c>
      <c r="I369" s="477">
        <f t="shared" ref="I369" si="24">+PRODUCT(D369:H369)</f>
        <v>0.84</v>
      </c>
      <c r="J369" s="167"/>
      <c r="K369" s="729"/>
    </row>
    <row r="370" spans="1:11">
      <c r="A370" s="167"/>
      <c r="B370" s="167" t="s">
        <v>1063</v>
      </c>
      <c r="C370" s="397" t="s">
        <v>9</v>
      </c>
      <c r="D370" s="589">
        <v>1</v>
      </c>
      <c r="E370" s="251">
        <v>1</v>
      </c>
      <c r="F370" s="595">
        <v>2.8</v>
      </c>
      <c r="G370" s="235"/>
      <c r="H370" s="235">
        <f>0.5-0.135</f>
        <v>0.36499999999999999</v>
      </c>
      <c r="I370" s="477">
        <f t="shared" ref="I370" si="25">+PRODUCT(D370:H370)</f>
        <v>1.022</v>
      </c>
      <c r="J370" s="167"/>
      <c r="K370" s="729"/>
    </row>
    <row r="371" spans="1:11">
      <c r="A371" s="167"/>
      <c r="B371" s="167" t="s">
        <v>959</v>
      </c>
      <c r="C371" s="397" t="s">
        <v>9</v>
      </c>
      <c r="D371" s="589">
        <v>1</v>
      </c>
      <c r="E371" s="251">
        <v>1</v>
      </c>
      <c r="F371" s="595">
        <v>3.3</v>
      </c>
      <c r="G371" s="235"/>
      <c r="H371" s="235">
        <v>0.2</v>
      </c>
      <c r="I371" s="477">
        <f t="shared" si="23"/>
        <v>0.66</v>
      </c>
      <c r="J371" s="167"/>
      <c r="K371" s="729"/>
    </row>
    <row r="372" spans="1:11">
      <c r="A372" s="167"/>
      <c r="B372" s="167" t="s">
        <v>1063</v>
      </c>
      <c r="C372" s="397" t="s">
        <v>9</v>
      </c>
      <c r="D372" s="589">
        <v>1</v>
      </c>
      <c r="E372" s="251">
        <v>1</v>
      </c>
      <c r="F372" s="595">
        <v>3.3</v>
      </c>
      <c r="G372" s="235"/>
      <c r="H372" s="235">
        <f>0.5-0.2</f>
        <v>0.3</v>
      </c>
      <c r="I372" s="477">
        <f t="shared" ref="I372:I373" si="26">+PRODUCT(D372:H372)</f>
        <v>0.98999999999999988</v>
      </c>
      <c r="J372" s="167"/>
      <c r="K372" s="729"/>
    </row>
    <row r="373" spans="1:11">
      <c r="A373" s="167"/>
      <c r="B373" s="167" t="s">
        <v>1063</v>
      </c>
      <c r="C373" s="397" t="s">
        <v>9</v>
      </c>
      <c r="D373" s="589">
        <v>1</v>
      </c>
      <c r="E373" s="251">
        <v>1</v>
      </c>
      <c r="F373" s="595">
        <v>3.3</v>
      </c>
      <c r="G373" s="235"/>
      <c r="H373" s="235">
        <f>0.5-0.15</f>
        <v>0.35</v>
      </c>
      <c r="I373" s="477">
        <f t="shared" si="26"/>
        <v>1.1549999999999998</v>
      </c>
      <c r="J373" s="167"/>
      <c r="K373" s="729"/>
    </row>
    <row r="374" spans="1:11">
      <c r="A374" s="167"/>
      <c r="B374" s="167" t="s">
        <v>999</v>
      </c>
      <c r="C374" s="397" t="s">
        <v>9</v>
      </c>
      <c r="D374" s="589">
        <v>1</v>
      </c>
      <c r="E374" s="251">
        <v>1</v>
      </c>
      <c r="F374" s="595">
        <v>1.395</v>
      </c>
      <c r="G374" s="235"/>
      <c r="H374" s="235">
        <v>0.1</v>
      </c>
      <c r="I374" s="477">
        <f t="shared" si="23"/>
        <v>0.13950000000000001</v>
      </c>
      <c r="J374" s="167"/>
      <c r="K374" s="729"/>
    </row>
    <row r="375" spans="1:11">
      <c r="A375" s="167"/>
      <c r="B375" s="167" t="s">
        <v>1063</v>
      </c>
      <c r="C375" s="397" t="s">
        <v>9</v>
      </c>
      <c r="D375" s="589">
        <v>1</v>
      </c>
      <c r="E375" s="251">
        <v>2</v>
      </c>
      <c r="F375" s="595">
        <v>1.395</v>
      </c>
      <c r="G375" s="235"/>
      <c r="H375" s="235">
        <v>0.35</v>
      </c>
      <c r="I375" s="477">
        <f t="shared" ref="I375" si="27">+PRODUCT(D375:H375)</f>
        <v>0.97649999999999992</v>
      </c>
      <c r="J375" s="167"/>
      <c r="K375" s="729"/>
    </row>
    <row r="376" spans="1:11">
      <c r="A376" s="167"/>
      <c r="B376" s="167" t="s">
        <v>1000</v>
      </c>
      <c r="C376" s="397" t="s">
        <v>9</v>
      </c>
      <c r="D376" s="589">
        <v>1</v>
      </c>
      <c r="E376" s="251">
        <v>1</v>
      </c>
      <c r="F376" s="595">
        <v>1.395</v>
      </c>
      <c r="G376" s="235"/>
      <c r="H376" s="235">
        <v>0.115</v>
      </c>
      <c r="I376" s="477">
        <f t="shared" si="23"/>
        <v>0.16042500000000001</v>
      </c>
      <c r="J376" s="167"/>
      <c r="K376" s="729"/>
    </row>
    <row r="377" spans="1:11">
      <c r="A377" s="167"/>
      <c r="B377" s="167" t="s">
        <v>1063</v>
      </c>
      <c r="C377" s="397" t="s">
        <v>9</v>
      </c>
      <c r="D377" s="589">
        <v>1</v>
      </c>
      <c r="E377" s="251">
        <v>2</v>
      </c>
      <c r="F377" s="595">
        <v>1.395</v>
      </c>
      <c r="G377" s="235"/>
      <c r="H377" s="235">
        <v>0.35</v>
      </c>
      <c r="I377" s="477">
        <f t="shared" ref="I377" si="28">+PRODUCT(D377:H377)</f>
        <v>0.97649999999999992</v>
      </c>
      <c r="J377" s="167"/>
      <c r="K377" s="729"/>
    </row>
    <row r="378" spans="1:11">
      <c r="A378" s="167"/>
      <c r="B378" s="167" t="s">
        <v>996</v>
      </c>
      <c r="C378" s="397" t="s">
        <v>9</v>
      </c>
      <c r="D378" s="589">
        <v>1</v>
      </c>
      <c r="E378" s="251">
        <v>1</v>
      </c>
      <c r="F378" s="595">
        <v>1.1850000000000001</v>
      </c>
      <c r="G378" s="235"/>
      <c r="H378" s="235">
        <v>0.1</v>
      </c>
      <c r="I378" s="477">
        <f t="shared" si="23"/>
        <v>0.11850000000000001</v>
      </c>
      <c r="J378" s="167"/>
      <c r="K378" s="729"/>
    </row>
    <row r="379" spans="1:11">
      <c r="A379" s="167"/>
      <c r="B379" s="167" t="s">
        <v>1063</v>
      </c>
      <c r="C379" s="397" t="s">
        <v>9</v>
      </c>
      <c r="D379" s="589">
        <v>1</v>
      </c>
      <c r="E379" s="251">
        <v>2</v>
      </c>
      <c r="F379" s="595">
        <v>1.1850000000000001</v>
      </c>
      <c r="G379" s="235"/>
      <c r="H379" s="235">
        <v>0.35</v>
      </c>
      <c r="I379" s="477">
        <f t="shared" ref="I379" si="29">+PRODUCT(D379:H379)</f>
        <v>0.82950000000000002</v>
      </c>
      <c r="J379" s="167"/>
      <c r="K379" s="729"/>
    </row>
    <row r="380" spans="1:11">
      <c r="A380" s="167"/>
      <c r="B380" s="167" t="s">
        <v>997</v>
      </c>
      <c r="C380" s="397" t="s">
        <v>9</v>
      </c>
      <c r="D380" s="589">
        <v>3</v>
      </c>
      <c r="E380" s="251">
        <v>1</v>
      </c>
      <c r="F380" s="595">
        <f>0.515+1.54</f>
        <v>2.0550000000000002</v>
      </c>
      <c r="G380" s="235"/>
      <c r="H380" s="235">
        <v>0.1</v>
      </c>
      <c r="I380" s="477">
        <f t="shared" si="23"/>
        <v>0.61650000000000016</v>
      </c>
      <c r="J380" s="167"/>
      <c r="K380" s="729"/>
    </row>
    <row r="381" spans="1:11">
      <c r="A381" s="167"/>
      <c r="B381" s="167" t="s">
        <v>1063</v>
      </c>
      <c r="C381" s="397" t="s">
        <v>9</v>
      </c>
      <c r="D381" s="589">
        <v>3</v>
      </c>
      <c r="E381" s="251">
        <v>2</v>
      </c>
      <c r="F381" s="595">
        <f>0.515+1.54</f>
        <v>2.0550000000000002</v>
      </c>
      <c r="G381" s="235"/>
      <c r="H381" s="235">
        <v>0.35</v>
      </c>
      <c r="I381" s="477">
        <f t="shared" ref="I381" si="30">+PRODUCT(D381:H381)</f>
        <v>4.3155000000000001</v>
      </c>
      <c r="J381" s="167"/>
      <c r="K381" s="729"/>
    </row>
    <row r="382" spans="1:11">
      <c r="A382" s="167"/>
      <c r="B382" s="167" t="s">
        <v>1001</v>
      </c>
      <c r="C382" s="397" t="s">
        <v>9</v>
      </c>
      <c r="D382" s="589">
        <v>3</v>
      </c>
      <c r="E382" s="251">
        <v>1</v>
      </c>
      <c r="F382" s="595">
        <f>1.07+0.415</f>
        <v>1.4850000000000001</v>
      </c>
      <c r="G382" s="235"/>
      <c r="H382" s="235">
        <v>0.1</v>
      </c>
      <c r="I382" s="477">
        <f t="shared" si="23"/>
        <v>0.44550000000000001</v>
      </c>
      <c r="J382" s="167"/>
      <c r="K382" s="729"/>
    </row>
    <row r="383" spans="1:11">
      <c r="A383" s="167"/>
      <c r="B383" s="167" t="s">
        <v>1063</v>
      </c>
      <c r="C383" s="397" t="s">
        <v>9</v>
      </c>
      <c r="D383" s="589">
        <v>3</v>
      </c>
      <c r="E383" s="251">
        <v>2</v>
      </c>
      <c r="F383" s="595">
        <f>1.07+0.415</f>
        <v>1.4850000000000001</v>
      </c>
      <c r="G383" s="235"/>
      <c r="H383" s="235">
        <v>0.35</v>
      </c>
      <c r="I383" s="477">
        <f t="shared" ref="I383" si="31">+PRODUCT(D383:H383)</f>
        <v>3.1185</v>
      </c>
      <c r="J383" s="167"/>
      <c r="K383" s="729"/>
    </row>
    <row r="384" spans="1:11">
      <c r="A384" s="167"/>
      <c r="B384" s="167" t="s">
        <v>998</v>
      </c>
      <c r="C384" s="397" t="s">
        <v>9</v>
      </c>
      <c r="D384" s="589">
        <v>3</v>
      </c>
      <c r="E384" s="251">
        <v>1</v>
      </c>
      <c r="F384" s="595">
        <f>1.9+0.415</f>
        <v>2.3149999999999999</v>
      </c>
      <c r="G384" s="235"/>
      <c r="H384" s="235">
        <v>0.1</v>
      </c>
      <c r="I384" s="477">
        <f t="shared" si="23"/>
        <v>0.69450000000000012</v>
      </c>
      <c r="J384" s="167"/>
      <c r="K384" s="729"/>
    </row>
    <row r="385" spans="1:11">
      <c r="A385" s="167"/>
      <c r="B385" s="167" t="s">
        <v>1063</v>
      </c>
      <c r="C385" s="397" t="s">
        <v>9</v>
      </c>
      <c r="D385" s="589">
        <v>3</v>
      </c>
      <c r="E385" s="251">
        <v>2</v>
      </c>
      <c r="F385" s="595">
        <f>1.9+0.415</f>
        <v>2.3149999999999999</v>
      </c>
      <c r="G385" s="235"/>
      <c r="H385" s="235">
        <v>0.35</v>
      </c>
      <c r="I385" s="477">
        <f t="shared" ref="I385" si="32">+PRODUCT(D385:H385)</f>
        <v>4.8614999999999995</v>
      </c>
      <c r="J385" s="167"/>
      <c r="K385" s="729"/>
    </row>
    <row r="386" spans="1:11">
      <c r="A386" s="167"/>
      <c r="B386" s="167" t="s">
        <v>1002</v>
      </c>
      <c r="C386" s="397" t="s">
        <v>9</v>
      </c>
      <c r="D386" s="589">
        <v>2</v>
      </c>
      <c r="E386" s="251">
        <v>1</v>
      </c>
      <c r="F386" s="595">
        <v>2.3149999999999999</v>
      </c>
      <c r="G386" s="235"/>
      <c r="H386" s="235">
        <v>0.1</v>
      </c>
      <c r="I386" s="477">
        <f t="shared" si="23"/>
        <v>0.46300000000000002</v>
      </c>
      <c r="J386" s="167"/>
      <c r="K386" s="729"/>
    </row>
    <row r="387" spans="1:11">
      <c r="A387" s="167"/>
      <c r="B387" s="167" t="s">
        <v>1063</v>
      </c>
      <c r="C387" s="397" t="s">
        <v>9</v>
      </c>
      <c r="D387" s="589">
        <v>2</v>
      </c>
      <c r="E387" s="251">
        <v>2</v>
      </c>
      <c r="F387" s="595">
        <v>2.3149999999999999</v>
      </c>
      <c r="G387" s="235"/>
      <c r="H387" s="235">
        <v>0.35</v>
      </c>
      <c r="I387" s="477">
        <f t="shared" ref="I387" si="33">+PRODUCT(D387:H387)</f>
        <v>3.2409999999999997</v>
      </c>
      <c r="J387" s="167"/>
      <c r="K387" s="729"/>
    </row>
    <row r="388" spans="1:11">
      <c r="A388" s="167"/>
      <c r="B388" s="167" t="s">
        <v>1003</v>
      </c>
      <c r="C388" s="397" t="s">
        <v>9</v>
      </c>
      <c r="D388" s="589">
        <v>1</v>
      </c>
      <c r="E388" s="251">
        <v>2</v>
      </c>
      <c r="F388" s="595">
        <v>1.395</v>
      </c>
      <c r="G388" s="235"/>
      <c r="H388" s="235">
        <v>0.2</v>
      </c>
      <c r="I388" s="477">
        <f t="shared" si="23"/>
        <v>0.55800000000000005</v>
      </c>
      <c r="J388" s="167"/>
      <c r="K388" s="729"/>
    </row>
    <row r="389" spans="1:11">
      <c r="A389" s="167"/>
      <c r="B389" s="167" t="s">
        <v>1063</v>
      </c>
      <c r="C389" s="397" t="s">
        <v>9</v>
      </c>
      <c r="D389" s="589">
        <v>1</v>
      </c>
      <c r="E389" s="251">
        <v>2</v>
      </c>
      <c r="F389" s="595">
        <v>1.395</v>
      </c>
      <c r="G389" s="235"/>
      <c r="H389" s="235">
        <v>0.35</v>
      </c>
      <c r="I389" s="477">
        <f t="shared" ref="I389" si="34">+PRODUCT(D389:H389)</f>
        <v>0.97649999999999992</v>
      </c>
      <c r="J389" s="167"/>
      <c r="K389" s="729"/>
    </row>
    <row r="390" spans="1:11">
      <c r="A390" s="167"/>
      <c r="B390" s="167" t="s">
        <v>1063</v>
      </c>
      <c r="C390" s="397" t="s">
        <v>9</v>
      </c>
      <c r="D390" s="589">
        <v>1</v>
      </c>
      <c r="E390" s="251">
        <v>2</v>
      </c>
      <c r="F390" s="595">
        <v>1.395</v>
      </c>
      <c r="G390" s="235"/>
      <c r="H390" s="235">
        <f>0.35-0.125</f>
        <v>0.22499999999999998</v>
      </c>
      <c r="I390" s="477">
        <f t="shared" ref="I390" si="35">+PRODUCT(D390:H390)</f>
        <v>0.62774999999999992</v>
      </c>
      <c r="J390" s="167"/>
      <c r="K390" s="729"/>
    </row>
    <row r="391" spans="1:11">
      <c r="A391" s="167"/>
      <c r="B391" s="167" t="s">
        <v>960</v>
      </c>
      <c r="C391" s="397" t="s">
        <v>9</v>
      </c>
      <c r="D391" s="589">
        <v>1</v>
      </c>
      <c r="E391" s="251">
        <v>1</v>
      </c>
      <c r="F391" s="595">
        <v>6.875</v>
      </c>
      <c r="G391" s="235"/>
      <c r="H391" s="235">
        <v>0.2</v>
      </c>
      <c r="I391" s="477">
        <f t="shared" si="23"/>
        <v>1.375</v>
      </c>
      <c r="J391" s="167"/>
      <c r="K391" s="729"/>
    </row>
    <row r="392" spans="1:11">
      <c r="A392" s="167"/>
      <c r="B392" s="167" t="s">
        <v>1063</v>
      </c>
      <c r="C392" s="397" t="s">
        <v>9</v>
      </c>
      <c r="D392" s="589">
        <v>1</v>
      </c>
      <c r="E392" s="251">
        <v>1</v>
      </c>
      <c r="F392" s="595">
        <v>6.875</v>
      </c>
      <c r="G392" s="235"/>
      <c r="H392" s="235">
        <f>0.45-0.135</f>
        <v>0.315</v>
      </c>
      <c r="I392" s="477">
        <f t="shared" ref="I392" si="36">+PRODUCT(D392:H392)</f>
        <v>2.1656249999999999</v>
      </c>
      <c r="J392" s="167"/>
      <c r="K392" s="729"/>
    </row>
    <row r="393" spans="1:11">
      <c r="A393" s="167"/>
      <c r="B393" s="167" t="s">
        <v>1063</v>
      </c>
      <c r="C393" s="397" t="s">
        <v>9</v>
      </c>
      <c r="D393" s="589">
        <v>1</v>
      </c>
      <c r="E393" s="251">
        <v>1</v>
      </c>
      <c r="F393" s="595">
        <v>6.875</v>
      </c>
      <c r="G393" s="235"/>
      <c r="H393" s="235">
        <f>0.45-0.125</f>
        <v>0.32500000000000001</v>
      </c>
      <c r="I393" s="477">
        <f t="shared" ref="I393" si="37">+PRODUCT(D393:H393)</f>
        <v>2.234375</v>
      </c>
      <c r="J393" s="167"/>
      <c r="K393" s="729"/>
    </row>
    <row r="394" spans="1:11">
      <c r="A394" s="167"/>
      <c r="B394" s="167" t="s">
        <v>1005</v>
      </c>
      <c r="C394" s="397" t="s">
        <v>9</v>
      </c>
      <c r="D394" s="589">
        <v>1</v>
      </c>
      <c r="E394" s="251">
        <v>1</v>
      </c>
      <c r="F394" s="595">
        <v>3.16</v>
      </c>
      <c r="G394" s="235"/>
      <c r="H394" s="235">
        <v>0.23</v>
      </c>
      <c r="I394" s="477">
        <f t="shared" si="23"/>
        <v>0.72680000000000011</v>
      </c>
      <c r="J394" s="167"/>
      <c r="K394" s="729"/>
    </row>
    <row r="395" spans="1:11">
      <c r="A395" s="167"/>
      <c r="B395" s="167" t="s">
        <v>1063</v>
      </c>
      <c r="C395" s="397" t="s">
        <v>9</v>
      </c>
      <c r="D395" s="589">
        <v>1</v>
      </c>
      <c r="E395" s="251">
        <v>1</v>
      </c>
      <c r="F395" s="595">
        <v>3.16</v>
      </c>
      <c r="G395" s="235"/>
      <c r="H395" s="235">
        <f>0.35-0.125</f>
        <v>0.22499999999999998</v>
      </c>
      <c r="I395" s="477">
        <f t="shared" ref="I395:I396" si="38">+PRODUCT(D395:H395)</f>
        <v>0.71099999999999997</v>
      </c>
      <c r="J395" s="167"/>
      <c r="K395" s="729"/>
    </row>
    <row r="396" spans="1:11">
      <c r="A396" s="167"/>
      <c r="B396" s="167" t="s">
        <v>1063</v>
      </c>
      <c r="C396" s="397" t="s">
        <v>9</v>
      </c>
      <c r="D396" s="589">
        <v>1</v>
      </c>
      <c r="E396" s="251">
        <v>1</v>
      </c>
      <c r="F396" s="595">
        <v>2.145</v>
      </c>
      <c r="G396" s="235"/>
      <c r="H396" s="235">
        <f>0.35-0.125</f>
        <v>0.22499999999999998</v>
      </c>
      <c r="I396" s="477">
        <f t="shared" si="38"/>
        <v>0.48262499999999997</v>
      </c>
      <c r="J396" s="167"/>
      <c r="K396" s="729"/>
    </row>
    <row r="397" spans="1:11">
      <c r="A397" s="167"/>
      <c r="B397" s="167" t="s">
        <v>1063</v>
      </c>
      <c r="C397" s="397" t="s">
        <v>9</v>
      </c>
      <c r="D397" s="589">
        <v>1</v>
      </c>
      <c r="E397" s="251">
        <v>1</v>
      </c>
      <c r="F397" s="595">
        <v>1.0149999999999999</v>
      </c>
      <c r="G397" s="235"/>
      <c r="H397" s="235">
        <v>0.35</v>
      </c>
      <c r="I397" s="477">
        <f t="shared" ref="I397" si="39">+PRODUCT(D397:H397)</f>
        <v>0.35524999999999995</v>
      </c>
      <c r="J397" s="167"/>
      <c r="K397" s="729"/>
    </row>
    <row r="398" spans="1:11">
      <c r="A398" s="167"/>
      <c r="B398" s="167" t="s">
        <v>961</v>
      </c>
      <c r="C398" s="397" t="s">
        <v>9</v>
      </c>
      <c r="D398" s="589">
        <v>1</v>
      </c>
      <c r="E398" s="251">
        <v>1</v>
      </c>
      <c r="F398" s="595">
        <v>2.7</v>
      </c>
      <c r="G398" s="235"/>
      <c r="H398" s="235">
        <v>0.2</v>
      </c>
      <c r="I398" s="477">
        <f t="shared" si="23"/>
        <v>0.54</v>
      </c>
      <c r="J398" s="167"/>
      <c r="K398" s="729"/>
    </row>
    <row r="399" spans="1:11">
      <c r="A399" s="167"/>
      <c r="B399" s="167" t="s">
        <v>1063</v>
      </c>
      <c r="C399" s="397" t="s">
        <v>9</v>
      </c>
      <c r="D399" s="589">
        <v>1</v>
      </c>
      <c r="E399" s="251">
        <v>1</v>
      </c>
      <c r="F399" s="595">
        <v>2.7</v>
      </c>
      <c r="G399" s="235"/>
      <c r="H399" s="235">
        <f>0.45-0.125</f>
        <v>0.32500000000000001</v>
      </c>
      <c r="I399" s="477">
        <f t="shared" ref="I399:I400" si="40">+PRODUCT(D399:H399)</f>
        <v>0.87750000000000006</v>
      </c>
      <c r="J399" s="167"/>
      <c r="K399" s="729"/>
    </row>
    <row r="400" spans="1:11">
      <c r="A400" s="167"/>
      <c r="B400" s="167" t="s">
        <v>1063</v>
      </c>
      <c r="C400" s="397" t="s">
        <v>9</v>
      </c>
      <c r="D400" s="589">
        <v>1</v>
      </c>
      <c r="E400" s="251">
        <v>1</v>
      </c>
      <c r="F400" s="595">
        <v>2.7</v>
      </c>
      <c r="G400" s="235"/>
      <c r="H400" s="235">
        <f>0.45-0.125</f>
        <v>0.32500000000000001</v>
      </c>
      <c r="I400" s="477">
        <f t="shared" si="40"/>
        <v>0.87750000000000006</v>
      </c>
      <c r="J400" s="167"/>
      <c r="K400" s="729"/>
    </row>
    <row r="401" spans="1:11">
      <c r="A401" s="167"/>
      <c r="B401" s="167" t="s">
        <v>962</v>
      </c>
      <c r="C401" s="397" t="s">
        <v>9</v>
      </c>
      <c r="D401" s="589">
        <v>1</v>
      </c>
      <c r="E401" s="251">
        <v>1</v>
      </c>
      <c r="F401" s="595">
        <v>2.875</v>
      </c>
      <c r="G401" s="235"/>
      <c r="H401" s="235">
        <v>0.2</v>
      </c>
      <c r="I401" s="477">
        <f t="shared" si="23"/>
        <v>0.57500000000000007</v>
      </c>
      <c r="J401" s="167"/>
      <c r="K401" s="729"/>
    </row>
    <row r="402" spans="1:11">
      <c r="A402" s="167"/>
      <c r="B402" s="167" t="s">
        <v>1063</v>
      </c>
      <c r="C402" s="397" t="s">
        <v>9</v>
      </c>
      <c r="D402" s="589">
        <v>1</v>
      </c>
      <c r="E402" s="251">
        <v>1</v>
      </c>
      <c r="F402" s="595">
        <v>2.875</v>
      </c>
      <c r="G402" s="235"/>
      <c r="H402" s="235">
        <f>0.5-0.135</f>
        <v>0.36499999999999999</v>
      </c>
      <c r="I402" s="477">
        <f t="shared" ref="I402:I403" si="41">+PRODUCT(D402:H402)</f>
        <v>1.0493749999999999</v>
      </c>
      <c r="J402" s="167"/>
      <c r="K402" s="729"/>
    </row>
    <row r="403" spans="1:11">
      <c r="A403" s="167"/>
      <c r="B403" s="167" t="s">
        <v>1063</v>
      </c>
      <c r="C403" s="397" t="s">
        <v>9</v>
      </c>
      <c r="D403" s="589">
        <v>1</v>
      </c>
      <c r="E403" s="251">
        <v>1</v>
      </c>
      <c r="F403" s="595">
        <v>1.55</v>
      </c>
      <c r="G403" s="235"/>
      <c r="H403" s="235">
        <f>0.5-0.2</f>
        <v>0.3</v>
      </c>
      <c r="I403" s="477">
        <f t="shared" si="41"/>
        <v>0.46499999999999997</v>
      </c>
      <c r="J403" s="167"/>
      <c r="K403" s="729"/>
    </row>
    <row r="404" spans="1:11">
      <c r="A404" s="167"/>
      <c r="B404" s="167" t="s">
        <v>1063</v>
      </c>
      <c r="C404" s="397" t="s">
        <v>9</v>
      </c>
      <c r="D404" s="589">
        <v>1</v>
      </c>
      <c r="E404" s="251">
        <v>1</v>
      </c>
      <c r="F404" s="595">
        <v>1.325</v>
      </c>
      <c r="G404" s="235"/>
      <c r="H404" s="235">
        <f>0.5-0.125</f>
        <v>0.375</v>
      </c>
      <c r="I404" s="477">
        <f t="shared" ref="I404" si="42">+PRODUCT(D404:H404)</f>
        <v>0.49687499999999996</v>
      </c>
      <c r="J404" s="167"/>
      <c r="K404" s="729"/>
    </row>
    <row r="405" spans="1:11">
      <c r="A405" s="167"/>
      <c r="B405" s="167" t="s">
        <v>963</v>
      </c>
      <c r="C405" s="397" t="s">
        <v>9</v>
      </c>
      <c r="D405" s="589">
        <v>1</v>
      </c>
      <c r="E405" s="251">
        <v>1</v>
      </c>
      <c r="F405" s="595">
        <v>2.93</v>
      </c>
      <c r="G405" s="235"/>
      <c r="H405" s="235">
        <v>0.2</v>
      </c>
      <c r="I405" s="477">
        <f t="shared" si="23"/>
        <v>0.58600000000000008</v>
      </c>
      <c r="J405" s="167"/>
      <c r="K405" s="729"/>
    </row>
    <row r="406" spans="1:11">
      <c r="A406" s="167"/>
      <c r="B406" s="167" t="s">
        <v>1063</v>
      </c>
      <c r="C406" s="397" t="s">
        <v>9</v>
      </c>
      <c r="D406" s="589">
        <v>1</v>
      </c>
      <c r="E406" s="251">
        <v>1</v>
      </c>
      <c r="F406" s="595">
        <v>2.93</v>
      </c>
      <c r="G406" s="235"/>
      <c r="H406" s="235">
        <f>0.35-0.15</f>
        <v>0.19999999999999998</v>
      </c>
      <c r="I406" s="477">
        <f t="shared" ref="I406:I408" si="43">+PRODUCT(D406:H406)</f>
        <v>0.58599999999999997</v>
      </c>
      <c r="J406" s="167"/>
      <c r="K406" s="729"/>
    </row>
    <row r="407" spans="1:11">
      <c r="A407" s="167"/>
      <c r="B407" s="167" t="s">
        <v>1063</v>
      </c>
      <c r="C407" s="397" t="s">
        <v>9</v>
      </c>
      <c r="D407" s="589">
        <v>1</v>
      </c>
      <c r="E407" s="251">
        <v>1</v>
      </c>
      <c r="F407" s="595">
        <f>2.93-0.315</f>
        <v>2.6150000000000002</v>
      </c>
      <c r="G407" s="235"/>
      <c r="H407" s="235">
        <f>0.35-0.2</f>
        <v>0.14999999999999997</v>
      </c>
      <c r="I407" s="477">
        <f t="shared" si="43"/>
        <v>0.39224999999999993</v>
      </c>
      <c r="J407" s="167"/>
      <c r="K407" s="729"/>
    </row>
    <row r="408" spans="1:11">
      <c r="A408" s="167"/>
      <c r="B408" s="167" t="s">
        <v>1063</v>
      </c>
      <c r="C408" s="397" t="s">
        <v>9</v>
      </c>
      <c r="D408" s="589">
        <v>1</v>
      </c>
      <c r="E408" s="251">
        <v>1</v>
      </c>
      <c r="F408" s="595">
        <v>0.315</v>
      </c>
      <c r="G408" s="235"/>
      <c r="H408" s="235">
        <v>0.35</v>
      </c>
      <c r="I408" s="477">
        <f t="shared" si="43"/>
        <v>0.11024999999999999</v>
      </c>
      <c r="J408" s="167"/>
      <c r="K408" s="729"/>
    </row>
    <row r="409" spans="1:11">
      <c r="A409" s="167"/>
      <c r="B409" s="167" t="s">
        <v>964</v>
      </c>
      <c r="C409" s="397" t="s">
        <v>9</v>
      </c>
      <c r="D409" s="589">
        <v>1</v>
      </c>
      <c r="E409" s="251">
        <v>1</v>
      </c>
      <c r="F409" s="595">
        <v>4.6900000000000004</v>
      </c>
      <c r="G409" s="235"/>
      <c r="H409" s="235">
        <v>0.2</v>
      </c>
      <c r="I409" s="477">
        <f t="shared" si="23"/>
        <v>0.93800000000000017</v>
      </c>
      <c r="J409" s="167"/>
      <c r="K409" s="729"/>
    </row>
    <row r="410" spans="1:11">
      <c r="A410" s="167"/>
      <c r="B410" s="167" t="s">
        <v>1063</v>
      </c>
      <c r="C410" s="397" t="s">
        <v>9</v>
      </c>
      <c r="D410" s="589">
        <v>1</v>
      </c>
      <c r="E410" s="251">
        <v>1</v>
      </c>
      <c r="F410" s="595">
        <v>4.6900000000000004</v>
      </c>
      <c r="G410" s="235"/>
      <c r="H410" s="235">
        <f>0.5-0.2</f>
        <v>0.3</v>
      </c>
      <c r="I410" s="477">
        <f t="shared" ref="I410:I411" si="44">+PRODUCT(D410:H410)</f>
        <v>1.407</v>
      </c>
      <c r="J410" s="167"/>
      <c r="K410" s="729"/>
    </row>
    <row r="411" spans="1:11">
      <c r="A411" s="167"/>
      <c r="B411" s="167" t="s">
        <v>1063</v>
      </c>
      <c r="C411" s="397" t="s">
        <v>9</v>
      </c>
      <c r="D411" s="589">
        <v>1</v>
      </c>
      <c r="E411" s="251">
        <v>1</v>
      </c>
      <c r="F411" s="595">
        <v>4.6900000000000004</v>
      </c>
      <c r="G411" s="235"/>
      <c r="H411" s="235">
        <f>0.5-0.135</f>
        <v>0.36499999999999999</v>
      </c>
      <c r="I411" s="477">
        <f t="shared" si="44"/>
        <v>1.7118500000000001</v>
      </c>
      <c r="J411" s="167"/>
      <c r="K411" s="729"/>
    </row>
    <row r="412" spans="1:11">
      <c r="A412" s="167"/>
      <c r="B412" s="167" t="s">
        <v>965</v>
      </c>
      <c r="C412" s="397" t="s">
        <v>9</v>
      </c>
      <c r="D412" s="589">
        <v>1</v>
      </c>
      <c r="E412" s="251">
        <v>1</v>
      </c>
      <c r="F412" s="595">
        <v>3.15</v>
      </c>
      <c r="G412" s="235"/>
      <c r="H412" s="235">
        <v>0.2</v>
      </c>
      <c r="I412" s="477">
        <f t="shared" si="23"/>
        <v>0.63</v>
      </c>
      <c r="J412" s="167"/>
      <c r="K412" s="729"/>
    </row>
    <row r="413" spans="1:11">
      <c r="A413" s="167"/>
      <c r="B413" s="167" t="s">
        <v>1063</v>
      </c>
      <c r="C413" s="397" t="s">
        <v>9</v>
      </c>
      <c r="D413" s="589">
        <v>1</v>
      </c>
      <c r="E413" s="251">
        <v>1</v>
      </c>
      <c r="F413" s="595">
        <v>3.15</v>
      </c>
      <c r="G413" s="235"/>
      <c r="H413" s="235">
        <f>0.5-0.2</f>
        <v>0.3</v>
      </c>
      <c r="I413" s="477">
        <f t="shared" ref="I413:I414" si="45">+PRODUCT(D413:H413)</f>
        <v>0.94499999999999995</v>
      </c>
      <c r="J413" s="167"/>
      <c r="K413" s="729"/>
    </row>
    <row r="414" spans="1:11">
      <c r="A414" s="167"/>
      <c r="B414" s="167" t="s">
        <v>1063</v>
      </c>
      <c r="C414" s="397" t="s">
        <v>9</v>
      </c>
      <c r="D414" s="589">
        <v>1</v>
      </c>
      <c r="E414" s="251">
        <v>1</v>
      </c>
      <c r="F414" s="595">
        <v>3.15</v>
      </c>
      <c r="G414" s="235"/>
      <c r="H414" s="235">
        <f>0.5-0.135</f>
        <v>0.36499999999999999</v>
      </c>
      <c r="I414" s="477">
        <f t="shared" si="45"/>
        <v>1.14975</v>
      </c>
      <c r="J414" s="167"/>
      <c r="K414" s="729"/>
    </row>
    <row r="415" spans="1:11">
      <c r="A415" s="167"/>
      <c r="B415" s="167" t="s">
        <v>966</v>
      </c>
      <c r="C415" s="397" t="s">
        <v>9</v>
      </c>
      <c r="D415" s="589">
        <v>1</v>
      </c>
      <c r="E415" s="251">
        <v>1</v>
      </c>
      <c r="F415" s="595">
        <v>4.6900000000000004</v>
      </c>
      <c r="G415" s="235"/>
      <c r="H415" s="235">
        <v>0.2</v>
      </c>
      <c r="I415" s="477">
        <f t="shared" si="23"/>
        <v>0.93800000000000017</v>
      </c>
      <c r="J415" s="167"/>
      <c r="K415" s="729"/>
    </row>
    <row r="416" spans="1:11">
      <c r="A416" s="167"/>
      <c r="B416" s="167" t="s">
        <v>1063</v>
      </c>
      <c r="C416" s="397" t="s">
        <v>9</v>
      </c>
      <c r="D416" s="589">
        <v>1</v>
      </c>
      <c r="E416" s="251">
        <v>1</v>
      </c>
      <c r="F416" s="595">
        <v>4.6900000000000004</v>
      </c>
      <c r="G416" s="235"/>
      <c r="H416" s="235">
        <f>0.45-0.135</f>
        <v>0.315</v>
      </c>
      <c r="I416" s="477">
        <f t="shared" ref="I416:I417" si="46">+PRODUCT(D416:H416)</f>
        <v>1.4773500000000002</v>
      </c>
      <c r="J416" s="167"/>
      <c r="K416" s="729"/>
    </row>
    <row r="417" spans="1:11">
      <c r="A417" s="167"/>
      <c r="B417" s="167" t="s">
        <v>1063</v>
      </c>
      <c r="C417" s="397" t="s">
        <v>9</v>
      </c>
      <c r="D417" s="589">
        <v>1</v>
      </c>
      <c r="E417" s="251">
        <v>1</v>
      </c>
      <c r="F417" s="595">
        <v>4.6900000000000004</v>
      </c>
      <c r="G417" s="235"/>
      <c r="H417" s="235">
        <f>0.45-0.125</f>
        <v>0.32500000000000001</v>
      </c>
      <c r="I417" s="477">
        <f t="shared" si="46"/>
        <v>1.5242500000000001</v>
      </c>
      <c r="J417" s="167"/>
      <c r="K417" s="729"/>
    </row>
    <row r="418" spans="1:11">
      <c r="A418" s="167"/>
      <c r="B418" s="167" t="s">
        <v>967</v>
      </c>
      <c r="C418" s="397" t="s">
        <v>9</v>
      </c>
      <c r="D418" s="589">
        <v>1</v>
      </c>
      <c r="E418" s="251">
        <v>1</v>
      </c>
      <c r="F418" s="595">
        <v>5.76</v>
      </c>
      <c r="G418" s="235"/>
      <c r="H418" s="235">
        <v>0.2</v>
      </c>
      <c r="I418" s="477">
        <f t="shared" si="23"/>
        <v>1.1519999999999999</v>
      </c>
      <c r="J418" s="167"/>
      <c r="K418" s="729"/>
    </row>
    <row r="419" spans="1:11">
      <c r="A419" s="167"/>
      <c r="B419" s="167" t="s">
        <v>1063</v>
      </c>
      <c r="C419" s="397" t="s">
        <v>9</v>
      </c>
      <c r="D419" s="589">
        <v>1</v>
      </c>
      <c r="E419" s="251">
        <v>1</v>
      </c>
      <c r="F419" s="595">
        <v>3.0350000000000001</v>
      </c>
      <c r="G419" s="235"/>
      <c r="H419" s="235">
        <f>0.45-0.135</f>
        <v>0.315</v>
      </c>
      <c r="I419" s="477">
        <f t="shared" ref="I419" si="47">+PRODUCT(D419:H419)</f>
        <v>0.95602500000000001</v>
      </c>
      <c r="J419" s="167"/>
      <c r="K419" s="729"/>
    </row>
    <row r="420" spans="1:11">
      <c r="A420" s="167"/>
      <c r="B420" s="167" t="s">
        <v>1063</v>
      </c>
      <c r="C420" s="397" t="s">
        <v>9</v>
      </c>
      <c r="D420" s="589">
        <v>1</v>
      </c>
      <c r="E420" s="251">
        <v>1</v>
      </c>
      <c r="F420" s="595">
        <v>2.7250000000000001</v>
      </c>
      <c r="G420" s="235"/>
      <c r="H420" s="235">
        <f>0.45-0.125</f>
        <v>0.32500000000000001</v>
      </c>
      <c r="I420" s="477">
        <f t="shared" ref="I420:I422" si="48">+PRODUCT(D420:H420)</f>
        <v>0.88562500000000011</v>
      </c>
      <c r="J420" s="167"/>
      <c r="K420" s="729"/>
    </row>
    <row r="421" spans="1:11">
      <c r="A421" s="167"/>
      <c r="B421" s="167" t="s">
        <v>1063</v>
      </c>
      <c r="C421" s="397" t="s">
        <v>9</v>
      </c>
      <c r="D421" s="589">
        <v>1</v>
      </c>
      <c r="E421" s="251">
        <v>1</v>
      </c>
      <c r="F421" s="595">
        <v>2.61</v>
      </c>
      <c r="G421" s="235"/>
      <c r="H421" s="235">
        <f>0.45-0.125</f>
        <v>0.32500000000000001</v>
      </c>
      <c r="I421" s="477">
        <f t="shared" si="48"/>
        <v>0.84824999999999995</v>
      </c>
      <c r="J421" s="167"/>
      <c r="K421" s="729"/>
    </row>
    <row r="422" spans="1:11">
      <c r="A422" s="167"/>
      <c r="B422" s="167" t="s">
        <v>1063</v>
      </c>
      <c r="C422" s="397" t="s">
        <v>9</v>
      </c>
      <c r="D422" s="589">
        <v>1</v>
      </c>
      <c r="E422" s="251">
        <v>1</v>
      </c>
      <c r="F422" s="595">
        <v>3.15</v>
      </c>
      <c r="G422" s="235"/>
      <c r="H422" s="235">
        <v>0.45</v>
      </c>
      <c r="I422" s="477">
        <f t="shared" si="48"/>
        <v>1.4175</v>
      </c>
      <c r="J422" s="167"/>
      <c r="K422" s="729"/>
    </row>
    <row r="423" spans="1:11">
      <c r="A423" s="167"/>
      <c r="B423" s="167" t="s">
        <v>968</v>
      </c>
      <c r="C423" s="397" t="s">
        <v>9</v>
      </c>
      <c r="D423" s="589">
        <v>1</v>
      </c>
      <c r="E423" s="251">
        <v>1</v>
      </c>
      <c r="F423" s="595">
        <v>1.6</v>
      </c>
      <c r="G423" s="235"/>
      <c r="H423" s="235">
        <v>0.2</v>
      </c>
      <c r="I423" s="477">
        <f t="shared" si="23"/>
        <v>0.32000000000000006</v>
      </c>
      <c r="J423" s="167"/>
      <c r="K423" s="729"/>
    </row>
    <row r="424" spans="1:11">
      <c r="A424" s="167"/>
      <c r="B424" s="167" t="s">
        <v>1063</v>
      </c>
      <c r="C424" s="397" t="s">
        <v>9</v>
      </c>
      <c r="D424" s="589">
        <v>1</v>
      </c>
      <c r="E424" s="251">
        <v>1</v>
      </c>
      <c r="F424" s="595">
        <v>1.6</v>
      </c>
      <c r="G424" s="235"/>
      <c r="H424" s="235">
        <f>0.35-0.125</f>
        <v>0.22499999999999998</v>
      </c>
      <c r="I424" s="477">
        <f t="shared" ref="I424:I425" si="49">+PRODUCT(D424:H424)</f>
        <v>0.36</v>
      </c>
      <c r="J424" s="167"/>
      <c r="K424" s="729"/>
    </row>
    <row r="425" spans="1:11">
      <c r="A425" s="167"/>
      <c r="B425" s="167" t="s">
        <v>1063</v>
      </c>
      <c r="C425" s="397" t="s">
        <v>9</v>
      </c>
      <c r="D425" s="589">
        <v>1</v>
      </c>
      <c r="E425" s="251">
        <v>1</v>
      </c>
      <c r="F425" s="595">
        <v>1.6</v>
      </c>
      <c r="G425" s="235"/>
      <c r="H425" s="235">
        <v>0.35</v>
      </c>
      <c r="I425" s="477">
        <f t="shared" si="49"/>
        <v>0.55999999999999994</v>
      </c>
      <c r="J425" s="167"/>
      <c r="K425" s="729"/>
    </row>
    <row r="426" spans="1:11">
      <c r="A426" s="167"/>
      <c r="B426" s="167" t="s">
        <v>969</v>
      </c>
      <c r="C426" s="397" t="s">
        <v>9</v>
      </c>
      <c r="D426" s="589">
        <v>1</v>
      </c>
      <c r="E426" s="251">
        <v>1</v>
      </c>
      <c r="F426" s="595">
        <v>4.1050000000000004</v>
      </c>
      <c r="G426" s="235"/>
      <c r="H426" s="235">
        <v>0.2</v>
      </c>
      <c r="I426" s="477">
        <f t="shared" si="23"/>
        <v>0.82100000000000017</v>
      </c>
      <c r="J426" s="167"/>
      <c r="K426" s="729"/>
    </row>
    <row r="427" spans="1:11">
      <c r="A427" s="167"/>
      <c r="B427" s="167" t="s">
        <v>1063</v>
      </c>
      <c r="C427" s="397" t="s">
        <v>9</v>
      </c>
      <c r="D427" s="589">
        <v>1</v>
      </c>
      <c r="E427" s="251">
        <v>1</v>
      </c>
      <c r="F427" s="595">
        <v>4.1050000000000004</v>
      </c>
      <c r="G427" s="235"/>
      <c r="H427" s="235">
        <f>0.45-0.15</f>
        <v>0.30000000000000004</v>
      </c>
      <c r="I427" s="477">
        <f t="shared" ref="I427:I428" si="50">+PRODUCT(D427:H427)</f>
        <v>1.2315000000000003</v>
      </c>
      <c r="J427" s="167"/>
      <c r="K427" s="729"/>
    </row>
    <row r="428" spans="1:11">
      <c r="A428" s="167"/>
      <c r="B428" s="167" t="s">
        <v>1063</v>
      </c>
      <c r="C428" s="397" t="s">
        <v>9</v>
      </c>
      <c r="D428" s="589">
        <v>1</v>
      </c>
      <c r="E428" s="251">
        <v>1</v>
      </c>
      <c r="F428" s="595">
        <v>4.1050000000000004</v>
      </c>
      <c r="G428" s="235"/>
      <c r="H428" s="235">
        <f>0.45-0.125</f>
        <v>0.32500000000000001</v>
      </c>
      <c r="I428" s="477">
        <f t="shared" si="50"/>
        <v>1.3341250000000002</v>
      </c>
      <c r="J428" s="167"/>
      <c r="K428" s="729"/>
    </row>
    <row r="429" spans="1:11">
      <c r="A429" s="167"/>
      <c r="B429" s="167" t="s">
        <v>1063</v>
      </c>
      <c r="C429" s="397" t="s">
        <v>9</v>
      </c>
      <c r="D429" s="589">
        <v>1</v>
      </c>
      <c r="E429" s="251">
        <v>1</v>
      </c>
      <c r="F429" s="595">
        <v>4.1050000000000004</v>
      </c>
      <c r="G429" s="235"/>
      <c r="H429" s="235">
        <f>0.45-0.135</f>
        <v>0.315</v>
      </c>
      <c r="I429" s="477">
        <f t="shared" ref="I429" si="51">+PRODUCT(D429:H429)</f>
        <v>1.2930750000000002</v>
      </c>
      <c r="J429" s="167"/>
      <c r="K429" s="729"/>
    </row>
    <row r="430" spans="1:11">
      <c r="A430" s="167"/>
      <c r="B430" s="167" t="s">
        <v>970</v>
      </c>
      <c r="C430" s="397" t="s">
        <v>9</v>
      </c>
      <c r="D430" s="589">
        <v>1</v>
      </c>
      <c r="E430" s="251">
        <v>1</v>
      </c>
      <c r="F430" s="595">
        <v>1.5</v>
      </c>
      <c r="G430" s="235"/>
      <c r="H430" s="235">
        <v>0.2</v>
      </c>
      <c r="I430" s="477">
        <f t="shared" si="23"/>
        <v>0.30000000000000004</v>
      </c>
      <c r="J430" s="167"/>
      <c r="K430" s="729"/>
    </row>
    <row r="431" spans="1:11">
      <c r="A431" s="167"/>
      <c r="B431" s="167" t="s">
        <v>1063</v>
      </c>
      <c r="C431" s="397" t="s">
        <v>9</v>
      </c>
      <c r="D431" s="589">
        <v>1</v>
      </c>
      <c r="E431" s="251">
        <v>1</v>
      </c>
      <c r="F431" s="595">
        <v>1.5</v>
      </c>
      <c r="G431" s="235"/>
      <c r="H431" s="235">
        <f>0.45-0.125</f>
        <v>0.32500000000000001</v>
      </c>
      <c r="I431" s="477">
        <f t="shared" ref="I431:I432" si="52">+PRODUCT(D431:H431)</f>
        <v>0.48750000000000004</v>
      </c>
      <c r="J431" s="167"/>
      <c r="K431" s="729"/>
    </row>
    <row r="432" spans="1:11">
      <c r="A432" s="167"/>
      <c r="B432" s="167" t="s">
        <v>1063</v>
      </c>
      <c r="C432" s="397" t="s">
        <v>9</v>
      </c>
      <c r="D432" s="589">
        <v>1</v>
      </c>
      <c r="E432" s="251">
        <v>1</v>
      </c>
      <c r="F432" s="595">
        <v>1.5</v>
      </c>
      <c r="G432" s="235"/>
      <c r="H432" s="235">
        <f>0.45-0.125</f>
        <v>0.32500000000000001</v>
      </c>
      <c r="I432" s="477">
        <f t="shared" si="52"/>
        <v>0.48750000000000004</v>
      </c>
      <c r="J432" s="167"/>
      <c r="K432" s="729"/>
    </row>
    <row r="433" spans="1:11">
      <c r="A433" s="167"/>
      <c r="B433" s="167" t="s">
        <v>970</v>
      </c>
      <c r="C433" s="397" t="s">
        <v>9</v>
      </c>
      <c r="D433" s="589">
        <v>1</v>
      </c>
      <c r="E433" s="251">
        <v>1</v>
      </c>
      <c r="F433" s="595">
        <v>2.2000000000000002</v>
      </c>
      <c r="G433" s="235"/>
      <c r="H433" s="235">
        <v>0.2</v>
      </c>
      <c r="I433" s="477">
        <f t="shared" si="23"/>
        <v>0.44000000000000006</v>
      </c>
      <c r="J433" s="167"/>
      <c r="K433" s="729"/>
    </row>
    <row r="434" spans="1:11">
      <c r="A434" s="167"/>
      <c r="B434" s="167" t="s">
        <v>1063</v>
      </c>
      <c r="C434" s="397" t="s">
        <v>9</v>
      </c>
      <c r="D434" s="589">
        <v>1</v>
      </c>
      <c r="E434" s="251">
        <v>1</v>
      </c>
      <c r="F434" s="595">
        <v>2.2000000000000002</v>
      </c>
      <c r="G434" s="235"/>
      <c r="H434" s="235">
        <f>0.45-0.135</f>
        <v>0.315</v>
      </c>
      <c r="I434" s="477">
        <f t="shared" ref="I434:I435" si="53">+PRODUCT(D434:H434)</f>
        <v>0.69300000000000006</v>
      </c>
      <c r="J434" s="167"/>
      <c r="K434" s="729"/>
    </row>
    <row r="435" spans="1:11">
      <c r="A435" s="167"/>
      <c r="B435" s="167" t="s">
        <v>1063</v>
      </c>
      <c r="C435" s="397" t="s">
        <v>9</v>
      </c>
      <c r="D435" s="589">
        <v>1</v>
      </c>
      <c r="E435" s="251">
        <v>1</v>
      </c>
      <c r="F435" s="595">
        <v>2.2000000000000002</v>
      </c>
      <c r="G435" s="235"/>
      <c r="H435" s="235">
        <f>0.45-0.15</f>
        <v>0.30000000000000004</v>
      </c>
      <c r="I435" s="477">
        <f t="shared" si="53"/>
        <v>0.66000000000000014</v>
      </c>
      <c r="J435" s="167"/>
      <c r="K435" s="729"/>
    </row>
    <row r="436" spans="1:11">
      <c r="A436" s="167"/>
      <c r="B436" s="167" t="s">
        <v>971</v>
      </c>
      <c r="C436" s="397" t="s">
        <v>9</v>
      </c>
      <c r="D436" s="589">
        <v>1</v>
      </c>
      <c r="E436" s="251">
        <v>1</v>
      </c>
      <c r="F436" s="595">
        <v>3.1150000000000002</v>
      </c>
      <c r="G436" s="235"/>
      <c r="H436" s="235">
        <v>0.2</v>
      </c>
      <c r="I436" s="477">
        <f t="shared" si="23"/>
        <v>0.62300000000000011</v>
      </c>
      <c r="J436" s="167"/>
      <c r="K436" s="729"/>
    </row>
    <row r="437" spans="1:11">
      <c r="A437" s="167"/>
      <c r="B437" s="167" t="s">
        <v>1063</v>
      </c>
      <c r="C437" s="397" t="s">
        <v>9</v>
      </c>
      <c r="D437" s="589">
        <v>1</v>
      </c>
      <c r="E437" s="251">
        <v>1</v>
      </c>
      <c r="F437" s="595">
        <v>3.1150000000000002</v>
      </c>
      <c r="G437" s="235"/>
      <c r="H437" s="235">
        <f>0.5-0.125</f>
        <v>0.375</v>
      </c>
      <c r="I437" s="477">
        <f t="shared" ref="I437:I438" si="54">+PRODUCT(D437:H437)</f>
        <v>1.1681250000000001</v>
      </c>
      <c r="J437" s="167"/>
      <c r="K437" s="729"/>
    </row>
    <row r="438" spans="1:11">
      <c r="A438" s="167"/>
      <c r="B438" s="167" t="s">
        <v>1063</v>
      </c>
      <c r="C438" s="397" t="s">
        <v>9</v>
      </c>
      <c r="D438" s="589">
        <v>1</v>
      </c>
      <c r="E438" s="251">
        <v>1</v>
      </c>
      <c r="F438" s="595">
        <v>3.1150000000000002</v>
      </c>
      <c r="G438" s="235"/>
      <c r="H438" s="235">
        <v>0.5</v>
      </c>
      <c r="I438" s="477">
        <f t="shared" si="54"/>
        <v>1.5575000000000001</v>
      </c>
      <c r="J438" s="167"/>
      <c r="K438" s="729"/>
    </row>
    <row r="439" spans="1:11">
      <c r="A439" s="167"/>
      <c r="B439" s="167" t="s">
        <v>972</v>
      </c>
      <c r="C439" s="397" t="s">
        <v>9</v>
      </c>
      <c r="D439" s="589">
        <v>1</v>
      </c>
      <c r="E439" s="251">
        <v>3</v>
      </c>
      <c r="F439" s="595">
        <v>1.02</v>
      </c>
      <c r="G439" s="235"/>
      <c r="H439" s="235">
        <v>0.2</v>
      </c>
      <c r="I439" s="477">
        <f t="shared" si="23"/>
        <v>0.6120000000000001</v>
      </c>
      <c r="J439" s="167"/>
      <c r="K439" s="729"/>
    </row>
    <row r="440" spans="1:11">
      <c r="A440" s="167"/>
      <c r="B440" s="167" t="s">
        <v>1063</v>
      </c>
      <c r="C440" s="397" t="s">
        <v>9</v>
      </c>
      <c r="D440" s="589">
        <v>1</v>
      </c>
      <c r="E440" s="251">
        <v>3</v>
      </c>
      <c r="F440" s="595">
        <v>1.02</v>
      </c>
      <c r="G440" s="235"/>
      <c r="H440" s="235">
        <f>0.35-0.125</f>
        <v>0.22499999999999998</v>
      </c>
      <c r="I440" s="477">
        <f t="shared" ref="I440:I441" si="55">+PRODUCT(D440:H440)</f>
        <v>0.68849999999999989</v>
      </c>
      <c r="J440" s="167"/>
      <c r="K440" s="729"/>
    </row>
    <row r="441" spans="1:11">
      <c r="A441" s="167"/>
      <c r="B441" s="167" t="s">
        <v>1063</v>
      </c>
      <c r="C441" s="397" t="s">
        <v>9</v>
      </c>
      <c r="D441" s="589">
        <v>1</v>
      </c>
      <c r="E441" s="251">
        <v>3</v>
      </c>
      <c r="F441" s="595">
        <v>1.02</v>
      </c>
      <c r="G441" s="235"/>
      <c r="H441" s="235">
        <v>0.35</v>
      </c>
      <c r="I441" s="477">
        <f t="shared" si="55"/>
        <v>1.071</v>
      </c>
      <c r="J441" s="167"/>
      <c r="K441" s="729"/>
    </row>
    <row r="442" spans="1:11">
      <c r="A442" s="167"/>
      <c r="B442" s="167" t="s">
        <v>973</v>
      </c>
      <c r="C442" s="397" t="s">
        <v>9</v>
      </c>
      <c r="D442" s="589">
        <v>1</v>
      </c>
      <c r="E442" s="251">
        <v>3</v>
      </c>
      <c r="F442" s="595">
        <v>3.35</v>
      </c>
      <c r="G442" s="235"/>
      <c r="H442" s="235">
        <v>0.2</v>
      </c>
      <c r="I442" s="477">
        <f t="shared" si="23"/>
        <v>2.0100000000000002</v>
      </c>
      <c r="J442" s="167"/>
      <c r="K442" s="729"/>
    </row>
    <row r="443" spans="1:11">
      <c r="A443" s="167"/>
      <c r="B443" s="167" t="s">
        <v>1063</v>
      </c>
      <c r="C443" s="397" t="s">
        <v>9</v>
      </c>
      <c r="D443" s="589">
        <v>1</v>
      </c>
      <c r="E443" s="251">
        <v>3</v>
      </c>
      <c r="F443" s="595">
        <v>3.35</v>
      </c>
      <c r="G443" s="235"/>
      <c r="H443" s="235">
        <f>0.5-0.2</f>
        <v>0.3</v>
      </c>
      <c r="I443" s="477">
        <f t="shared" ref="I443:I444" si="56">+PRODUCT(D443:H443)</f>
        <v>3.0150000000000001</v>
      </c>
      <c r="J443" s="167"/>
      <c r="K443" s="729"/>
    </row>
    <row r="444" spans="1:11">
      <c r="A444" s="167"/>
      <c r="B444" s="167" t="s">
        <v>1063</v>
      </c>
      <c r="C444" s="397" t="s">
        <v>9</v>
      </c>
      <c r="D444" s="589">
        <v>1</v>
      </c>
      <c r="E444" s="251">
        <v>3</v>
      </c>
      <c r="F444" s="595">
        <v>3.35</v>
      </c>
      <c r="G444" s="235"/>
      <c r="H444" s="235">
        <f>0.5-0.135</f>
        <v>0.36499999999999999</v>
      </c>
      <c r="I444" s="477">
        <f t="shared" si="56"/>
        <v>3.66825</v>
      </c>
      <c r="J444" s="167"/>
      <c r="K444" s="729"/>
    </row>
    <row r="445" spans="1:11">
      <c r="A445" s="167"/>
      <c r="B445" s="167" t="s">
        <v>973</v>
      </c>
      <c r="C445" s="397" t="s">
        <v>9</v>
      </c>
      <c r="D445" s="589">
        <v>1</v>
      </c>
      <c r="E445" s="251">
        <v>3</v>
      </c>
      <c r="F445" s="595">
        <v>3.25</v>
      </c>
      <c r="G445" s="235"/>
      <c r="H445" s="235">
        <v>0.2</v>
      </c>
      <c r="I445" s="477">
        <f t="shared" si="23"/>
        <v>1.9500000000000002</v>
      </c>
      <c r="J445" s="167"/>
      <c r="K445" s="729"/>
    </row>
    <row r="446" spans="1:11">
      <c r="A446" s="167"/>
      <c r="B446" s="167" t="s">
        <v>1063</v>
      </c>
      <c r="C446" s="397" t="s">
        <v>9</v>
      </c>
      <c r="D446" s="589">
        <v>1</v>
      </c>
      <c r="E446" s="251">
        <v>3</v>
      </c>
      <c r="F446" s="595">
        <v>3.25</v>
      </c>
      <c r="G446" s="235"/>
      <c r="H446" s="235">
        <f>0.5-0.135</f>
        <v>0.36499999999999999</v>
      </c>
      <c r="I446" s="477">
        <f t="shared" ref="I446:I447" si="57">+PRODUCT(D446:H446)</f>
        <v>3.5587499999999999</v>
      </c>
      <c r="J446" s="167"/>
      <c r="K446" s="729"/>
    </row>
    <row r="447" spans="1:11">
      <c r="A447" s="167"/>
      <c r="B447" s="167" t="s">
        <v>1063</v>
      </c>
      <c r="C447" s="397" t="s">
        <v>9</v>
      </c>
      <c r="D447" s="589">
        <v>1</v>
      </c>
      <c r="E447" s="251">
        <v>3</v>
      </c>
      <c r="F447" s="595">
        <f>3.25-0.97</f>
        <v>2.2800000000000002</v>
      </c>
      <c r="G447" s="235"/>
      <c r="H447" s="235">
        <f>0.5-0.2</f>
        <v>0.3</v>
      </c>
      <c r="I447" s="477">
        <f t="shared" si="57"/>
        <v>2.052</v>
      </c>
      <c r="J447" s="167"/>
      <c r="K447" s="729"/>
    </row>
    <row r="448" spans="1:11">
      <c r="A448" s="167"/>
      <c r="B448" s="167" t="s">
        <v>1063</v>
      </c>
      <c r="C448" s="397" t="s">
        <v>9</v>
      </c>
      <c r="D448" s="589">
        <v>1</v>
      </c>
      <c r="E448" s="251">
        <v>3</v>
      </c>
      <c r="F448" s="595">
        <v>0.97</v>
      </c>
      <c r="G448" s="235"/>
      <c r="H448" s="235">
        <v>0.5</v>
      </c>
      <c r="I448" s="477">
        <f t="shared" ref="I448" si="58">+PRODUCT(D448:H448)</f>
        <v>1.4550000000000001</v>
      </c>
      <c r="J448" s="167"/>
      <c r="K448" s="729"/>
    </row>
    <row r="449" spans="1:11">
      <c r="A449" s="167"/>
      <c r="B449" s="167" t="s">
        <v>974</v>
      </c>
      <c r="C449" s="397" t="s">
        <v>9</v>
      </c>
      <c r="D449" s="589">
        <v>1</v>
      </c>
      <c r="E449" s="251">
        <v>1</v>
      </c>
      <c r="F449" s="595">
        <v>3.2149999999999999</v>
      </c>
      <c r="G449" s="235"/>
      <c r="H449" s="235">
        <v>0.2</v>
      </c>
      <c r="I449" s="477">
        <f t="shared" si="23"/>
        <v>0.64300000000000002</v>
      </c>
      <c r="J449" s="167"/>
      <c r="K449" s="729"/>
    </row>
    <row r="450" spans="1:11">
      <c r="A450" s="167"/>
      <c r="B450" s="167" t="s">
        <v>1063</v>
      </c>
      <c r="C450" s="397" t="s">
        <v>9</v>
      </c>
      <c r="D450" s="589">
        <v>1</v>
      </c>
      <c r="E450" s="251">
        <v>1</v>
      </c>
      <c r="F450" s="595">
        <v>3.2149999999999999</v>
      </c>
      <c r="G450" s="235"/>
      <c r="H450" s="235">
        <f>0.5-0.15</f>
        <v>0.35</v>
      </c>
      <c r="I450" s="477">
        <f t="shared" ref="I450:I451" si="59">+PRODUCT(D450:H450)</f>
        <v>1.1252499999999999</v>
      </c>
      <c r="J450" s="167"/>
      <c r="K450" s="729"/>
    </row>
    <row r="451" spans="1:11">
      <c r="A451" s="167"/>
      <c r="B451" s="167" t="s">
        <v>1063</v>
      </c>
      <c r="C451" s="397" t="s">
        <v>9</v>
      </c>
      <c r="D451" s="589">
        <v>1</v>
      </c>
      <c r="E451" s="251">
        <v>1</v>
      </c>
      <c r="F451" s="595">
        <v>3.2149999999999999</v>
      </c>
      <c r="G451" s="235"/>
      <c r="H451" s="235">
        <f>0.5-0.2</f>
        <v>0.3</v>
      </c>
      <c r="I451" s="477">
        <f t="shared" si="59"/>
        <v>0.96449999999999991</v>
      </c>
      <c r="J451" s="167"/>
      <c r="K451" s="729"/>
    </row>
    <row r="452" spans="1:11">
      <c r="A452" s="167"/>
      <c r="B452" s="167" t="s">
        <v>975</v>
      </c>
      <c r="C452" s="397" t="s">
        <v>9</v>
      </c>
      <c r="D452" s="589">
        <v>1</v>
      </c>
      <c r="E452" s="251">
        <v>1</v>
      </c>
      <c r="F452" s="595">
        <v>2.76</v>
      </c>
      <c r="G452" s="235"/>
      <c r="H452" s="235">
        <v>0.23</v>
      </c>
      <c r="I452" s="477">
        <f t="shared" si="23"/>
        <v>0.63480000000000003</v>
      </c>
      <c r="J452" s="167"/>
      <c r="K452" s="729"/>
    </row>
    <row r="453" spans="1:11">
      <c r="A453" s="167"/>
      <c r="B453" s="167" t="s">
        <v>1063</v>
      </c>
      <c r="C453" s="397" t="s">
        <v>9</v>
      </c>
      <c r="D453" s="589">
        <v>1</v>
      </c>
      <c r="E453" s="251">
        <v>1</v>
      </c>
      <c r="F453" s="595">
        <v>2.76</v>
      </c>
      <c r="G453" s="235"/>
      <c r="H453" s="235">
        <f>0.5-0.135</f>
        <v>0.36499999999999999</v>
      </c>
      <c r="I453" s="477">
        <f t="shared" ref="I453:I454" si="60">+PRODUCT(D453:H453)</f>
        <v>1.0073999999999999</v>
      </c>
      <c r="J453" s="167"/>
      <c r="K453" s="729"/>
    </row>
    <row r="454" spans="1:11">
      <c r="A454" s="167"/>
      <c r="B454" s="167" t="s">
        <v>1063</v>
      </c>
      <c r="C454" s="397" t="s">
        <v>9</v>
      </c>
      <c r="D454" s="589">
        <v>1</v>
      </c>
      <c r="E454" s="251">
        <v>1</v>
      </c>
      <c r="F454" s="595">
        <v>2.76</v>
      </c>
      <c r="G454" s="235"/>
      <c r="H454" s="235">
        <v>0.5</v>
      </c>
      <c r="I454" s="477">
        <f t="shared" si="60"/>
        <v>1.38</v>
      </c>
      <c r="J454" s="167"/>
      <c r="K454" s="729"/>
    </row>
    <row r="455" spans="1:11">
      <c r="A455" s="167"/>
      <c r="B455" s="167" t="s">
        <v>976</v>
      </c>
      <c r="C455" s="397" t="s">
        <v>9</v>
      </c>
      <c r="D455" s="589">
        <v>1</v>
      </c>
      <c r="E455" s="251">
        <v>1</v>
      </c>
      <c r="F455" s="595">
        <v>6.79</v>
      </c>
      <c r="G455" s="235"/>
      <c r="H455" s="235">
        <v>0.2</v>
      </c>
      <c r="I455" s="477">
        <f t="shared" si="23"/>
        <v>1.3580000000000001</v>
      </c>
      <c r="J455" s="167"/>
      <c r="K455" s="729"/>
    </row>
    <row r="456" spans="1:11">
      <c r="A456" s="167"/>
      <c r="B456" s="167" t="s">
        <v>1063</v>
      </c>
      <c r="C456" s="397" t="s">
        <v>9</v>
      </c>
      <c r="D456" s="589">
        <v>1</v>
      </c>
      <c r="E456" s="251">
        <v>1</v>
      </c>
      <c r="F456" s="595">
        <v>6.79</v>
      </c>
      <c r="G456" s="235"/>
      <c r="H456" s="235">
        <f>0.45-0.15</f>
        <v>0.30000000000000004</v>
      </c>
      <c r="I456" s="477">
        <f t="shared" ref="I456:I457" si="61">+PRODUCT(D456:H456)</f>
        <v>2.0370000000000004</v>
      </c>
      <c r="J456" s="167"/>
      <c r="K456" s="729"/>
    </row>
    <row r="457" spans="1:11">
      <c r="A457" s="167"/>
      <c r="B457" s="167" t="s">
        <v>1063</v>
      </c>
      <c r="C457" s="397" t="s">
        <v>9</v>
      </c>
      <c r="D457" s="589">
        <v>1</v>
      </c>
      <c r="E457" s="251">
        <v>1</v>
      </c>
      <c r="F457" s="595">
        <v>6.79</v>
      </c>
      <c r="G457" s="235"/>
      <c r="H457" s="235">
        <f>0.45-0.15</f>
        <v>0.30000000000000004</v>
      </c>
      <c r="I457" s="477">
        <f t="shared" si="61"/>
        <v>2.0370000000000004</v>
      </c>
      <c r="J457" s="167"/>
      <c r="K457" s="729"/>
    </row>
    <row r="458" spans="1:11">
      <c r="A458" s="167"/>
      <c r="B458" s="167" t="s">
        <v>977</v>
      </c>
      <c r="C458" s="397" t="s">
        <v>9</v>
      </c>
      <c r="D458" s="589">
        <v>1</v>
      </c>
      <c r="E458" s="251">
        <v>1</v>
      </c>
      <c r="F458" s="595">
        <v>2.41</v>
      </c>
      <c r="G458" s="235"/>
      <c r="H458" s="235">
        <v>0.2</v>
      </c>
      <c r="I458" s="477">
        <f t="shared" si="23"/>
        <v>0.48200000000000004</v>
      </c>
      <c r="J458" s="167"/>
      <c r="K458" s="729"/>
    </row>
    <row r="459" spans="1:11">
      <c r="A459" s="167"/>
      <c r="B459" s="167" t="s">
        <v>1063</v>
      </c>
      <c r="C459" s="397" t="s">
        <v>9</v>
      </c>
      <c r="D459" s="589">
        <v>1</v>
      </c>
      <c r="E459" s="251">
        <v>1</v>
      </c>
      <c r="F459" s="595">
        <v>2.41</v>
      </c>
      <c r="G459" s="235"/>
      <c r="H459" s="235">
        <v>0.35</v>
      </c>
      <c r="I459" s="477">
        <f t="shared" ref="I459:I460" si="62">+PRODUCT(D459:H459)</f>
        <v>0.84350000000000003</v>
      </c>
      <c r="J459" s="167"/>
      <c r="K459" s="729"/>
    </row>
    <row r="460" spans="1:11">
      <c r="A460" s="167"/>
      <c r="B460" s="167" t="s">
        <v>1063</v>
      </c>
      <c r="C460" s="397" t="s">
        <v>9</v>
      </c>
      <c r="D460" s="589">
        <v>1</v>
      </c>
      <c r="E460" s="251">
        <v>1</v>
      </c>
      <c r="F460" s="595">
        <v>2.41</v>
      </c>
      <c r="G460" s="235"/>
      <c r="H460" s="235">
        <v>0.35</v>
      </c>
      <c r="I460" s="477">
        <f t="shared" si="62"/>
        <v>0.84350000000000003</v>
      </c>
      <c r="J460" s="167"/>
      <c r="K460" s="729"/>
    </row>
    <row r="461" spans="1:11">
      <c r="A461" s="167"/>
      <c r="B461" s="167" t="s">
        <v>1004</v>
      </c>
      <c r="C461" s="397" t="s">
        <v>9</v>
      </c>
      <c r="D461" s="589">
        <v>1</v>
      </c>
      <c r="E461" s="251">
        <v>1</v>
      </c>
      <c r="F461" s="595">
        <v>5.76</v>
      </c>
      <c r="G461" s="235"/>
      <c r="H461" s="235">
        <v>0.23</v>
      </c>
      <c r="I461" s="477">
        <f t="shared" si="23"/>
        <v>1.3248</v>
      </c>
      <c r="J461" s="167"/>
      <c r="K461" s="729"/>
    </row>
    <row r="462" spans="1:11">
      <c r="A462" s="167"/>
      <c r="B462" s="167" t="s">
        <v>1063</v>
      </c>
      <c r="C462" s="397" t="s">
        <v>9</v>
      </c>
      <c r="D462" s="589">
        <v>1</v>
      </c>
      <c r="E462" s="251">
        <v>1</v>
      </c>
      <c r="F462" s="595">
        <v>2.61</v>
      </c>
      <c r="G462" s="235"/>
      <c r="H462" s="235">
        <f>0.45-0.125</f>
        <v>0.32500000000000001</v>
      </c>
      <c r="I462" s="477">
        <f t="shared" ref="I462:I464" si="63">+PRODUCT(D462:H462)</f>
        <v>0.84824999999999995</v>
      </c>
      <c r="J462" s="167"/>
      <c r="K462" s="729"/>
    </row>
    <row r="463" spans="1:11">
      <c r="A463" s="167"/>
      <c r="B463" s="167" t="s">
        <v>1063</v>
      </c>
      <c r="C463" s="397" t="s">
        <v>9</v>
      </c>
      <c r="D463" s="589">
        <v>1</v>
      </c>
      <c r="E463" s="251">
        <v>1</v>
      </c>
      <c r="F463" s="595">
        <v>3.15</v>
      </c>
      <c r="G463" s="235"/>
      <c r="H463" s="235">
        <v>0.45</v>
      </c>
      <c r="I463" s="477">
        <f t="shared" ref="I463" si="64">+PRODUCT(D463:H463)</f>
        <v>1.4175</v>
      </c>
      <c r="J463" s="167"/>
      <c r="K463" s="729"/>
    </row>
    <row r="464" spans="1:11">
      <c r="A464" s="167"/>
      <c r="B464" s="167" t="s">
        <v>1063</v>
      </c>
      <c r="C464" s="397" t="s">
        <v>9</v>
      </c>
      <c r="D464" s="589">
        <v>1</v>
      </c>
      <c r="E464" s="251">
        <v>1</v>
      </c>
      <c r="F464" s="595">
        <v>3.0350000000000001</v>
      </c>
      <c r="G464" s="235"/>
      <c r="H464" s="235">
        <v>0.45</v>
      </c>
      <c r="I464" s="477">
        <f t="shared" si="63"/>
        <v>1.36575</v>
      </c>
      <c r="J464" s="167"/>
      <c r="K464" s="729"/>
    </row>
    <row r="465" spans="1:11">
      <c r="A465" s="167"/>
      <c r="B465" s="167" t="s">
        <v>1063</v>
      </c>
      <c r="C465" s="397" t="s">
        <v>9</v>
      </c>
      <c r="D465" s="589">
        <v>1</v>
      </c>
      <c r="E465" s="251">
        <v>1</v>
      </c>
      <c r="F465" s="595">
        <v>2.7250000000000001</v>
      </c>
      <c r="G465" s="235"/>
      <c r="H465" s="235">
        <f>0.45-0.125</f>
        <v>0.32500000000000001</v>
      </c>
      <c r="I465" s="477">
        <f t="shared" ref="I465" si="65">+PRODUCT(D465:H465)</f>
        <v>0.88562500000000011</v>
      </c>
      <c r="J465" s="167"/>
      <c r="K465" s="729"/>
    </row>
    <row r="466" spans="1:11">
      <c r="A466" s="167"/>
      <c r="B466" s="167" t="s">
        <v>978</v>
      </c>
      <c r="C466" s="397" t="s">
        <v>9</v>
      </c>
      <c r="D466" s="589">
        <v>1</v>
      </c>
      <c r="E466" s="251">
        <v>1</v>
      </c>
      <c r="F466" s="595">
        <v>4.6900000000000004</v>
      </c>
      <c r="G466" s="235"/>
      <c r="H466" s="235">
        <v>0.2</v>
      </c>
      <c r="I466" s="477">
        <f t="shared" si="23"/>
        <v>0.93800000000000017</v>
      </c>
      <c r="J466" s="167"/>
      <c r="K466" s="729"/>
    </row>
    <row r="467" spans="1:11">
      <c r="A467" s="167"/>
      <c r="B467" s="167" t="s">
        <v>1063</v>
      </c>
      <c r="C467" s="397" t="s">
        <v>9</v>
      </c>
      <c r="D467" s="589">
        <v>1</v>
      </c>
      <c r="E467" s="251">
        <v>1</v>
      </c>
      <c r="F467" s="595">
        <v>4.6900000000000004</v>
      </c>
      <c r="G467" s="235"/>
      <c r="H467" s="235">
        <f>0.45-0.125</f>
        <v>0.32500000000000001</v>
      </c>
      <c r="I467" s="477">
        <f t="shared" ref="I467:I468" si="66">+PRODUCT(D467:H467)</f>
        <v>1.5242500000000001</v>
      </c>
      <c r="J467" s="167"/>
      <c r="K467" s="729"/>
    </row>
    <row r="468" spans="1:11">
      <c r="A468" s="167"/>
      <c r="B468" s="167" t="s">
        <v>1063</v>
      </c>
      <c r="C468" s="397" t="s">
        <v>9</v>
      </c>
      <c r="D468" s="589">
        <v>1</v>
      </c>
      <c r="E468" s="251">
        <v>1</v>
      </c>
      <c r="F468" s="595">
        <v>4.6900000000000004</v>
      </c>
      <c r="G468" s="235"/>
      <c r="H468" s="235">
        <f>0.45-0.135</f>
        <v>0.315</v>
      </c>
      <c r="I468" s="477">
        <f t="shared" si="66"/>
        <v>1.4773500000000002</v>
      </c>
      <c r="J468" s="167"/>
      <c r="K468" s="729"/>
    </row>
    <row r="469" spans="1:11">
      <c r="A469" s="167"/>
      <c r="B469" s="167" t="s">
        <v>979</v>
      </c>
      <c r="C469" s="397" t="s">
        <v>9</v>
      </c>
      <c r="D469" s="589">
        <v>1</v>
      </c>
      <c r="E469" s="251">
        <v>1</v>
      </c>
      <c r="F469" s="595">
        <v>2.2200000000000002</v>
      </c>
      <c r="G469" s="235"/>
      <c r="H469" s="235">
        <v>0.2</v>
      </c>
      <c r="I469" s="477">
        <f t="shared" si="23"/>
        <v>0.44400000000000006</v>
      </c>
      <c r="J469" s="167"/>
      <c r="K469" s="729"/>
    </row>
    <row r="470" spans="1:11">
      <c r="A470" s="167"/>
      <c r="B470" s="167" t="s">
        <v>1063</v>
      </c>
      <c r="C470" s="397" t="s">
        <v>9</v>
      </c>
      <c r="D470" s="589">
        <v>1</v>
      </c>
      <c r="E470" s="251">
        <v>1</v>
      </c>
      <c r="F470" s="595">
        <v>2.2200000000000002</v>
      </c>
      <c r="G470" s="235"/>
      <c r="H470" s="235">
        <f>0.45-0.125</f>
        <v>0.32500000000000001</v>
      </c>
      <c r="I470" s="477">
        <f t="shared" ref="I470:I471" si="67">+PRODUCT(D470:H470)</f>
        <v>0.72150000000000014</v>
      </c>
      <c r="J470" s="167"/>
      <c r="K470" s="729"/>
    </row>
    <row r="471" spans="1:11">
      <c r="A471" s="167"/>
      <c r="B471" s="167" t="s">
        <v>1063</v>
      </c>
      <c r="C471" s="397" t="s">
        <v>9</v>
      </c>
      <c r="D471" s="589">
        <v>1</v>
      </c>
      <c r="E471" s="251">
        <v>1</v>
      </c>
      <c r="F471" s="595">
        <v>2.2200000000000002</v>
      </c>
      <c r="G471" s="235"/>
      <c r="H471" s="235">
        <f>0.45-0.15</f>
        <v>0.30000000000000004</v>
      </c>
      <c r="I471" s="477">
        <f t="shared" si="67"/>
        <v>0.66600000000000015</v>
      </c>
      <c r="J471" s="167"/>
      <c r="K471" s="729"/>
    </row>
    <row r="472" spans="1:11">
      <c r="A472" s="167"/>
      <c r="B472" s="167" t="s">
        <v>980</v>
      </c>
      <c r="C472" s="397" t="s">
        <v>9</v>
      </c>
      <c r="D472" s="589">
        <v>1</v>
      </c>
      <c r="E472" s="251">
        <v>1</v>
      </c>
      <c r="F472" s="595">
        <v>5.63</v>
      </c>
      <c r="G472" s="235"/>
      <c r="H472" s="235">
        <v>0.2</v>
      </c>
      <c r="I472" s="477">
        <f t="shared" si="23"/>
        <v>1.1260000000000001</v>
      </c>
      <c r="J472" s="167"/>
      <c r="K472" s="729"/>
    </row>
    <row r="473" spans="1:11">
      <c r="A473" s="167"/>
      <c r="B473" s="167" t="s">
        <v>1063</v>
      </c>
      <c r="C473" s="397" t="s">
        <v>9</v>
      </c>
      <c r="D473" s="589">
        <v>1</v>
      </c>
      <c r="E473" s="251">
        <v>2</v>
      </c>
      <c r="F473" s="595">
        <v>5.63</v>
      </c>
      <c r="G473" s="235"/>
      <c r="H473" s="235">
        <v>0.45</v>
      </c>
      <c r="I473" s="477">
        <f t="shared" ref="I473" si="68">+PRODUCT(D473:H473)</f>
        <v>5.0670000000000002</v>
      </c>
      <c r="J473" s="167"/>
      <c r="K473" s="729"/>
    </row>
    <row r="474" spans="1:11">
      <c r="A474" s="167"/>
      <c r="B474" s="167" t="s">
        <v>981</v>
      </c>
      <c r="C474" s="397" t="s">
        <v>9</v>
      </c>
      <c r="D474" s="589">
        <v>1</v>
      </c>
      <c r="E474" s="251">
        <v>1</v>
      </c>
      <c r="F474" s="595">
        <v>1.5</v>
      </c>
      <c r="G474" s="235"/>
      <c r="H474" s="235">
        <v>0.2</v>
      </c>
      <c r="I474" s="477">
        <f t="shared" si="23"/>
        <v>0.30000000000000004</v>
      </c>
      <c r="J474" s="167"/>
      <c r="K474" s="729"/>
    </row>
    <row r="475" spans="1:11">
      <c r="A475" s="167"/>
      <c r="B475" s="167" t="s">
        <v>1063</v>
      </c>
      <c r="C475" s="397" t="s">
        <v>9</v>
      </c>
      <c r="D475" s="589">
        <v>1</v>
      </c>
      <c r="E475" s="251">
        <v>2</v>
      </c>
      <c r="F475" s="595">
        <v>1.5</v>
      </c>
      <c r="G475" s="235"/>
      <c r="H475" s="235">
        <f>0.45-0.125</f>
        <v>0.32500000000000001</v>
      </c>
      <c r="I475" s="477">
        <f t="shared" ref="I475" si="69">+PRODUCT(D475:H475)</f>
        <v>0.97500000000000009</v>
      </c>
      <c r="J475" s="167"/>
      <c r="K475" s="729"/>
    </row>
    <row r="476" spans="1:11">
      <c r="A476" s="167"/>
      <c r="B476" s="167" t="s">
        <v>1006</v>
      </c>
      <c r="C476" s="397" t="s">
        <v>9</v>
      </c>
      <c r="D476" s="589">
        <v>1</v>
      </c>
      <c r="E476" s="251">
        <v>1</v>
      </c>
      <c r="F476" s="595">
        <v>2.085</v>
      </c>
      <c r="G476" s="235"/>
      <c r="H476" s="235">
        <v>0.2</v>
      </c>
      <c r="I476" s="477">
        <f t="shared" si="23"/>
        <v>0.41700000000000004</v>
      </c>
      <c r="J476" s="167"/>
      <c r="K476" s="729"/>
    </row>
    <row r="477" spans="1:11">
      <c r="A477" s="167"/>
      <c r="B477" s="167" t="s">
        <v>1063</v>
      </c>
      <c r="C477" s="397" t="s">
        <v>9</v>
      </c>
      <c r="D477" s="589">
        <v>1</v>
      </c>
      <c r="E477" s="251">
        <v>2</v>
      </c>
      <c r="F477" s="595">
        <v>2.085</v>
      </c>
      <c r="G477" s="235"/>
      <c r="H477" s="235">
        <f>0.45-0.125</f>
        <v>0.32500000000000001</v>
      </c>
      <c r="I477" s="477">
        <f t="shared" ref="I477" si="70">+PRODUCT(D477:H477)</f>
        <v>1.3552500000000001</v>
      </c>
      <c r="J477" s="167"/>
      <c r="K477" s="729"/>
    </row>
    <row r="478" spans="1:11">
      <c r="A478" s="167"/>
      <c r="B478" s="167" t="s">
        <v>982</v>
      </c>
      <c r="C478" s="397" t="s">
        <v>9</v>
      </c>
      <c r="D478" s="589">
        <v>1</v>
      </c>
      <c r="E478" s="251">
        <v>1</v>
      </c>
      <c r="F478" s="595">
        <v>5.63</v>
      </c>
      <c r="G478" s="235"/>
      <c r="H478" s="235">
        <v>0.2</v>
      </c>
      <c r="I478" s="477">
        <f t="shared" si="23"/>
        <v>1.1260000000000001</v>
      </c>
      <c r="J478" s="167"/>
      <c r="K478" s="729"/>
    </row>
    <row r="479" spans="1:11">
      <c r="A479" s="167"/>
      <c r="B479" s="167" t="s">
        <v>1063</v>
      </c>
      <c r="C479" s="397" t="s">
        <v>9</v>
      </c>
      <c r="D479" s="589">
        <v>1</v>
      </c>
      <c r="E479" s="251">
        <v>1</v>
      </c>
      <c r="F479" s="595">
        <v>5.63</v>
      </c>
      <c r="G479" s="235"/>
      <c r="H479" s="235">
        <v>0.45</v>
      </c>
      <c r="I479" s="477">
        <f t="shared" ref="I479:I480" si="71">+PRODUCT(D479:H479)</f>
        <v>2.5335000000000001</v>
      </c>
      <c r="J479" s="167"/>
      <c r="K479" s="729"/>
    </row>
    <row r="480" spans="1:11">
      <c r="A480" s="167"/>
      <c r="B480" s="167" t="s">
        <v>1063</v>
      </c>
      <c r="C480" s="397" t="s">
        <v>9</v>
      </c>
      <c r="D480" s="589">
        <v>1</v>
      </c>
      <c r="E480" s="251">
        <v>1</v>
      </c>
      <c r="F480" s="595">
        <v>5.63</v>
      </c>
      <c r="G480" s="235"/>
      <c r="H480" s="235">
        <f>0.45-0.125</f>
        <v>0.32500000000000001</v>
      </c>
      <c r="I480" s="477">
        <f t="shared" si="71"/>
        <v>1.82975</v>
      </c>
      <c r="J480" s="167"/>
      <c r="K480" s="729"/>
    </row>
    <row r="481" spans="1:11">
      <c r="A481" s="167"/>
      <c r="B481" s="167" t="s">
        <v>1007</v>
      </c>
      <c r="C481" s="397" t="s">
        <v>9</v>
      </c>
      <c r="D481" s="589">
        <v>1</v>
      </c>
      <c r="E481" s="251">
        <v>3</v>
      </c>
      <c r="F481" s="595">
        <v>3.2349999999999999</v>
      </c>
      <c r="G481" s="235"/>
      <c r="H481" s="235">
        <v>0.2</v>
      </c>
      <c r="I481" s="477">
        <f t="shared" si="23"/>
        <v>1.9410000000000001</v>
      </c>
      <c r="J481" s="167"/>
      <c r="K481" s="729"/>
    </row>
    <row r="482" spans="1:11">
      <c r="A482" s="167"/>
      <c r="B482" s="167" t="s">
        <v>1063</v>
      </c>
      <c r="C482" s="397" t="s">
        <v>9</v>
      </c>
      <c r="D482" s="589">
        <v>1</v>
      </c>
      <c r="E482" s="251">
        <v>3</v>
      </c>
      <c r="F482" s="595">
        <v>3.2349999999999999</v>
      </c>
      <c r="G482" s="235"/>
      <c r="H482" s="235">
        <f>0.45-0.135</f>
        <v>0.315</v>
      </c>
      <c r="I482" s="477">
        <f t="shared" ref="I482:I484" si="72">+PRODUCT(D482:H482)</f>
        <v>3.0570750000000002</v>
      </c>
      <c r="J482" s="167"/>
      <c r="K482" s="729"/>
    </row>
    <row r="483" spans="1:11">
      <c r="A483" s="167"/>
      <c r="B483" s="167" t="s">
        <v>1063</v>
      </c>
      <c r="C483" s="397" t="s">
        <v>9</v>
      </c>
      <c r="D483" s="589">
        <v>1</v>
      </c>
      <c r="E483" s="251">
        <v>3</v>
      </c>
      <c r="F483" s="595">
        <v>1.61</v>
      </c>
      <c r="G483" s="235"/>
      <c r="H483" s="235">
        <f>0.45-0.15</f>
        <v>0.30000000000000004</v>
      </c>
      <c r="I483" s="477">
        <f t="shared" si="72"/>
        <v>1.4490000000000003</v>
      </c>
      <c r="J483" s="167"/>
      <c r="K483" s="729"/>
    </row>
    <row r="484" spans="1:11">
      <c r="A484" s="167"/>
      <c r="B484" s="167" t="s">
        <v>1063</v>
      </c>
      <c r="C484" s="397" t="s">
        <v>9</v>
      </c>
      <c r="D484" s="589">
        <v>1</v>
      </c>
      <c r="E484" s="251">
        <v>3</v>
      </c>
      <c r="F484" s="595">
        <v>1.625</v>
      </c>
      <c r="G484" s="235"/>
      <c r="H484" s="235">
        <f>0.45-0.125</f>
        <v>0.32500000000000001</v>
      </c>
      <c r="I484" s="477">
        <f t="shared" si="72"/>
        <v>1.5843750000000001</v>
      </c>
      <c r="J484" s="167"/>
      <c r="K484" s="729"/>
    </row>
    <row r="485" spans="1:11">
      <c r="A485" s="167"/>
      <c r="B485" s="167" t="s">
        <v>1007</v>
      </c>
      <c r="C485" s="397" t="s">
        <v>9</v>
      </c>
      <c r="D485" s="589">
        <v>1</v>
      </c>
      <c r="E485" s="251">
        <v>3</v>
      </c>
      <c r="F485" s="595">
        <v>4.72</v>
      </c>
      <c r="G485" s="235"/>
      <c r="H485" s="235">
        <v>0.2</v>
      </c>
      <c r="I485" s="477">
        <f t="shared" si="23"/>
        <v>2.8320000000000003</v>
      </c>
      <c r="J485" s="167"/>
      <c r="K485" s="729"/>
    </row>
    <row r="486" spans="1:11">
      <c r="A486" s="167"/>
      <c r="B486" s="167" t="s">
        <v>1063</v>
      </c>
      <c r="C486" s="397" t="s">
        <v>9</v>
      </c>
      <c r="D486" s="589">
        <v>1</v>
      </c>
      <c r="E486" s="251">
        <v>3</v>
      </c>
      <c r="F486" s="595">
        <v>3.15</v>
      </c>
      <c r="G486" s="235"/>
      <c r="H486" s="235">
        <f>0.45-0.135</f>
        <v>0.315</v>
      </c>
      <c r="I486" s="477">
        <f t="shared" ref="I486:I488" si="73">+PRODUCT(D486:H486)</f>
        <v>2.97675</v>
      </c>
      <c r="J486" s="167"/>
      <c r="K486" s="729"/>
    </row>
    <row r="487" spans="1:11">
      <c r="A487" s="167"/>
      <c r="B487" s="167" t="s">
        <v>1063</v>
      </c>
      <c r="C487" s="397" t="s">
        <v>9</v>
      </c>
      <c r="D487" s="589">
        <v>1</v>
      </c>
      <c r="E487" s="251">
        <v>3</v>
      </c>
      <c r="F487" s="595">
        <v>1.57</v>
      </c>
      <c r="G487" s="235"/>
      <c r="H487" s="235">
        <f>0.45-0.125</f>
        <v>0.32500000000000001</v>
      </c>
      <c r="I487" s="477">
        <f t="shared" si="73"/>
        <v>1.5307500000000001</v>
      </c>
      <c r="J487" s="167"/>
      <c r="K487" s="729"/>
    </row>
    <row r="488" spans="1:11">
      <c r="A488" s="167"/>
      <c r="B488" s="167" t="s">
        <v>1063</v>
      </c>
      <c r="C488" s="397" t="s">
        <v>9</v>
      </c>
      <c r="D488" s="589">
        <v>1</v>
      </c>
      <c r="E488" s="251">
        <v>3</v>
      </c>
      <c r="F488" s="595">
        <v>4.72</v>
      </c>
      <c r="G488" s="235"/>
      <c r="H488" s="235">
        <f>0.45-0.125</f>
        <v>0.32500000000000001</v>
      </c>
      <c r="I488" s="477">
        <f t="shared" si="73"/>
        <v>4.6020000000000003</v>
      </c>
      <c r="J488" s="167"/>
      <c r="K488" s="729"/>
    </row>
    <row r="489" spans="1:11">
      <c r="A489" s="167"/>
      <c r="B489" s="167" t="s">
        <v>1008</v>
      </c>
      <c r="C489" s="397" t="s">
        <v>9</v>
      </c>
      <c r="D489" s="589">
        <v>1</v>
      </c>
      <c r="E489" s="251">
        <v>3</v>
      </c>
      <c r="F489" s="595">
        <v>2.5750000000000002</v>
      </c>
      <c r="G489" s="235"/>
      <c r="H489" s="235">
        <v>0.2</v>
      </c>
      <c r="I489" s="477">
        <f t="shared" si="23"/>
        <v>1.5450000000000002</v>
      </c>
      <c r="J489" s="167"/>
      <c r="K489" s="729"/>
    </row>
    <row r="490" spans="1:11">
      <c r="A490" s="167"/>
      <c r="B490" s="167" t="s">
        <v>1063</v>
      </c>
      <c r="C490" s="397" t="s">
        <v>9</v>
      </c>
      <c r="D490" s="589">
        <v>1</v>
      </c>
      <c r="E490" s="251">
        <v>3</v>
      </c>
      <c r="F490" s="595">
        <v>2.5750000000000002</v>
      </c>
      <c r="G490" s="235"/>
      <c r="H490" s="235">
        <f>0.35-0.125</f>
        <v>0.22499999999999998</v>
      </c>
      <c r="I490" s="477">
        <f t="shared" ref="I490:I491" si="74">+PRODUCT(D490:H490)</f>
        <v>1.7381249999999999</v>
      </c>
      <c r="J490" s="167"/>
      <c r="K490" s="729"/>
    </row>
    <row r="491" spans="1:11">
      <c r="A491" s="167"/>
      <c r="B491" s="167" t="s">
        <v>1063</v>
      </c>
      <c r="C491" s="397" t="s">
        <v>9</v>
      </c>
      <c r="D491" s="589">
        <v>1</v>
      </c>
      <c r="E491" s="251">
        <v>3</v>
      </c>
      <c r="F491" s="595">
        <v>2.5750000000000002</v>
      </c>
      <c r="G491" s="235"/>
      <c r="H491" s="235">
        <v>0.35</v>
      </c>
      <c r="I491" s="477">
        <f t="shared" si="74"/>
        <v>2.7037499999999999</v>
      </c>
      <c r="J491" s="167"/>
      <c r="K491" s="729"/>
    </row>
    <row r="492" spans="1:11">
      <c r="A492" s="167"/>
      <c r="B492" s="167" t="s">
        <v>1009</v>
      </c>
      <c r="C492" s="397" t="s">
        <v>9</v>
      </c>
      <c r="D492" s="589">
        <v>1</v>
      </c>
      <c r="E492" s="251">
        <v>3</v>
      </c>
      <c r="F492" s="595">
        <v>3.165</v>
      </c>
      <c r="G492" s="235"/>
      <c r="H492" s="235">
        <v>0.2</v>
      </c>
      <c r="I492" s="477">
        <f t="shared" si="23"/>
        <v>1.8990000000000002</v>
      </c>
      <c r="J492" s="167"/>
      <c r="K492" s="729"/>
    </row>
    <row r="493" spans="1:11">
      <c r="A493" s="167"/>
      <c r="B493" s="167" t="s">
        <v>1063</v>
      </c>
      <c r="C493" s="397" t="s">
        <v>9</v>
      </c>
      <c r="D493" s="589">
        <v>1</v>
      </c>
      <c r="E493" s="251">
        <v>3</v>
      </c>
      <c r="F493" s="595">
        <v>3.165</v>
      </c>
      <c r="G493" s="235"/>
      <c r="H493" s="235">
        <f>0.5-0.125</f>
        <v>0.375</v>
      </c>
      <c r="I493" s="477">
        <f t="shared" ref="I493:I494" si="75">+PRODUCT(D493:H493)</f>
        <v>3.5606250000000004</v>
      </c>
      <c r="J493" s="167"/>
      <c r="K493" s="729"/>
    </row>
    <row r="494" spans="1:11">
      <c r="A494" s="167"/>
      <c r="B494" s="167" t="s">
        <v>1063</v>
      </c>
      <c r="C494" s="397" t="s">
        <v>9</v>
      </c>
      <c r="D494" s="589">
        <v>1</v>
      </c>
      <c r="E494" s="251">
        <v>3</v>
      </c>
      <c r="F494" s="595">
        <v>3.165</v>
      </c>
      <c r="G494" s="235"/>
      <c r="H494" s="235">
        <v>0.5</v>
      </c>
      <c r="I494" s="477">
        <f t="shared" si="75"/>
        <v>4.7475000000000005</v>
      </c>
      <c r="J494" s="167"/>
      <c r="K494" s="729"/>
    </row>
    <row r="495" spans="1:11">
      <c r="A495" s="167"/>
      <c r="B495" s="167" t="s">
        <v>1010</v>
      </c>
      <c r="C495" s="397" t="s">
        <v>9</v>
      </c>
      <c r="D495" s="589">
        <v>1</v>
      </c>
      <c r="E495" s="251">
        <v>1</v>
      </c>
      <c r="F495" s="595">
        <v>5.125</v>
      </c>
      <c r="G495" s="235"/>
      <c r="H495" s="235">
        <v>0.2</v>
      </c>
      <c r="I495" s="477">
        <f t="shared" si="23"/>
        <v>1.0250000000000001</v>
      </c>
      <c r="J495" s="167"/>
      <c r="K495" s="729"/>
    </row>
    <row r="496" spans="1:11">
      <c r="A496" s="167"/>
      <c r="B496" s="167" t="s">
        <v>1063</v>
      </c>
      <c r="C496" s="397" t="s">
        <v>9</v>
      </c>
      <c r="D496" s="589">
        <v>1</v>
      </c>
      <c r="E496" s="251">
        <v>1</v>
      </c>
      <c r="F496" s="595">
        <v>5.125</v>
      </c>
      <c r="G496" s="235"/>
      <c r="H496" s="235">
        <f>0.45-0.15</f>
        <v>0.30000000000000004</v>
      </c>
      <c r="I496" s="477">
        <f t="shared" ref="I496:I498" si="76">+PRODUCT(D496:H496)</f>
        <v>1.5375000000000003</v>
      </c>
      <c r="J496" s="167"/>
      <c r="K496" s="729"/>
    </row>
    <row r="497" spans="1:11">
      <c r="A497" s="167"/>
      <c r="B497" s="167" t="s">
        <v>1063</v>
      </c>
      <c r="C497" s="397" t="s">
        <v>9</v>
      </c>
      <c r="D497" s="589">
        <v>1</v>
      </c>
      <c r="E497" s="251">
        <v>1</v>
      </c>
      <c r="F497" s="595">
        <v>1.69</v>
      </c>
      <c r="G497" s="235"/>
      <c r="H497" s="235">
        <f>0.45-0.125</f>
        <v>0.32500000000000001</v>
      </c>
      <c r="I497" s="477">
        <f t="shared" si="76"/>
        <v>0.54925000000000002</v>
      </c>
      <c r="J497" s="167"/>
      <c r="K497" s="729"/>
    </row>
    <row r="498" spans="1:11">
      <c r="A498" s="167"/>
      <c r="B498" s="167" t="s">
        <v>1063</v>
      </c>
      <c r="C498" s="397" t="s">
        <v>9</v>
      </c>
      <c r="D498" s="589">
        <v>1</v>
      </c>
      <c r="E498" s="251">
        <v>1</v>
      </c>
      <c r="F498" s="595">
        <v>3.4350000000000001</v>
      </c>
      <c r="G498" s="235"/>
      <c r="H498" s="235">
        <f>0.45-0.135</f>
        <v>0.315</v>
      </c>
      <c r="I498" s="477">
        <f t="shared" si="76"/>
        <v>1.082025</v>
      </c>
      <c r="J498" s="167"/>
      <c r="K498" s="729"/>
    </row>
    <row r="499" spans="1:11">
      <c r="A499" s="167"/>
      <c r="B499" s="167" t="s">
        <v>983</v>
      </c>
      <c r="C499" s="397" t="s">
        <v>9</v>
      </c>
      <c r="D499" s="589">
        <v>1</v>
      </c>
      <c r="E499" s="251">
        <v>1</v>
      </c>
      <c r="F499" s="595">
        <v>1.9</v>
      </c>
      <c r="G499" s="235"/>
      <c r="H499" s="235">
        <v>0.2</v>
      </c>
      <c r="I499" s="477">
        <f t="shared" si="23"/>
        <v>0.38</v>
      </c>
      <c r="J499" s="167"/>
      <c r="K499" s="729"/>
    </row>
    <row r="500" spans="1:11">
      <c r="A500" s="167"/>
      <c r="B500" s="167" t="s">
        <v>1063</v>
      </c>
      <c r="C500" s="397" t="s">
        <v>9</v>
      </c>
      <c r="D500" s="589">
        <v>1</v>
      </c>
      <c r="E500" s="251">
        <v>1</v>
      </c>
      <c r="F500" s="595">
        <v>1.9</v>
      </c>
      <c r="G500" s="235"/>
      <c r="H500" s="235">
        <f>0.45-0.125</f>
        <v>0.32500000000000001</v>
      </c>
      <c r="I500" s="477">
        <f t="shared" ref="I500:I501" si="77">+PRODUCT(D500:H500)</f>
        <v>0.61749999999999994</v>
      </c>
      <c r="J500" s="167"/>
      <c r="K500" s="729"/>
    </row>
    <row r="501" spans="1:11">
      <c r="A501" s="167"/>
      <c r="B501" s="167" t="s">
        <v>1063</v>
      </c>
      <c r="C501" s="397" t="s">
        <v>9</v>
      </c>
      <c r="D501" s="589">
        <v>1</v>
      </c>
      <c r="E501" s="251">
        <v>1</v>
      </c>
      <c r="F501" s="595">
        <v>1.9</v>
      </c>
      <c r="G501" s="235"/>
      <c r="H501" s="235">
        <v>0.45</v>
      </c>
      <c r="I501" s="477">
        <f t="shared" si="77"/>
        <v>0.85499999999999998</v>
      </c>
      <c r="J501" s="167"/>
      <c r="K501" s="729"/>
    </row>
    <row r="502" spans="1:11">
      <c r="A502" s="167"/>
      <c r="B502" s="167" t="s">
        <v>983</v>
      </c>
      <c r="C502" s="397" t="s">
        <v>9</v>
      </c>
      <c r="D502" s="589">
        <v>1</v>
      </c>
      <c r="E502" s="251">
        <v>1</v>
      </c>
      <c r="F502" s="595">
        <v>1.9</v>
      </c>
      <c r="G502" s="235"/>
      <c r="H502" s="235">
        <v>0.2</v>
      </c>
      <c r="I502" s="477">
        <f t="shared" si="23"/>
        <v>0.38</v>
      </c>
      <c r="J502" s="167"/>
      <c r="K502" s="729"/>
    </row>
    <row r="503" spans="1:11">
      <c r="A503" s="167"/>
      <c r="B503" s="167" t="s">
        <v>1063</v>
      </c>
      <c r="C503" s="397" t="s">
        <v>9</v>
      </c>
      <c r="D503" s="589">
        <v>1</v>
      </c>
      <c r="E503" s="251">
        <v>1</v>
      </c>
      <c r="F503" s="595">
        <v>1.9</v>
      </c>
      <c r="G503" s="235"/>
      <c r="H503" s="235">
        <f>0.45-0.125</f>
        <v>0.32500000000000001</v>
      </c>
      <c r="I503" s="477">
        <f t="shared" ref="I503:I504" si="78">+PRODUCT(D503:H503)</f>
        <v>0.61749999999999994</v>
      </c>
      <c r="J503" s="167"/>
      <c r="K503" s="729"/>
    </row>
    <row r="504" spans="1:11">
      <c r="A504" s="167"/>
      <c r="B504" s="167" t="s">
        <v>1063</v>
      </c>
      <c r="C504" s="397" t="s">
        <v>9</v>
      </c>
      <c r="D504" s="589">
        <v>1</v>
      </c>
      <c r="E504" s="251">
        <v>1</v>
      </c>
      <c r="F504" s="595">
        <v>1.9</v>
      </c>
      <c r="G504" s="235"/>
      <c r="H504" s="235">
        <v>0.45</v>
      </c>
      <c r="I504" s="477">
        <f t="shared" si="78"/>
        <v>0.85499999999999998</v>
      </c>
      <c r="J504" s="167"/>
      <c r="K504" s="729"/>
    </row>
    <row r="505" spans="1:11">
      <c r="A505" s="167"/>
      <c r="B505" s="167" t="s">
        <v>983</v>
      </c>
      <c r="C505" s="397" t="s">
        <v>9</v>
      </c>
      <c r="D505" s="589">
        <v>1</v>
      </c>
      <c r="E505" s="251">
        <v>1</v>
      </c>
      <c r="F505" s="595">
        <v>1.4</v>
      </c>
      <c r="G505" s="235"/>
      <c r="H505" s="235">
        <v>0.2</v>
      </c>
      <c r="I505" s="477">
        <f t="shared" si="23"/>
        <v>0.27999999999999997</v>
      </c>
      <c r="J505" s="167"/>
      <c r="K505" s="729"/>
    </row>
    <row r="506" spans="1:11">
      <c r="A506" s="167"/>
      <c r="B506" s="167" t="s">
        <v>1063</v>
      </c>
      <c r="C506" s="397" t="s">
        <v>9</v>
      </c>
      <c r="D506" s="589">
        <v>1</v>
      </c>
      <c r="E506" s="251">
        <v>2</v>
      </c>
      <c r="F506" s="595">
        <v>1.4</v>
      </c>
      <c r="G506" s="235"/>
      <c r="H506" s="235">
        <f>0.45-0.125</f>
        <v>0.32500000000000001</v>
      </c>
      <c r="I506" s="477">
        <f t="shared" ref="I506" si="79">+PRODUCT(D506:H506)</f>
        <v>0.90999999999999992</v>
      </c>
      <c r="J506" s="167"/>
      <c r="K506" s="729"/>
    </row>
    <row r="507" spans="1:11">
      <c r="A507" s="167"/>
      <c r="B507" s="167" t="s">
        <v>1011</v>
      </c>
      <c r="C507" s="397" t="s">
        <v>9</v>
      </c>
      <c r="D507" s="589">
        <v>1</v>
      </c>
      <c r="E507" s="251">
        <v>1</v>
      </c>
      <c r="F507" s="595">
        <v>2.93</v>
      </c>
      <c r="G507" s="235"/>
      <c r="H507" s="235">
        <v>0.2</v>
      </c>
      <c r="I507" s="477">
        <f t="shared" si="23"/>
        <v>0.58600000000000008</v>
      </c>
      <c r="J507" s="167"/>
      <c r="K507" s="729"/>
    </row>
    <row r="508" spans="1:11">
      <c r="A508" s="167"/>
      <c r="B508" s="167" t="s">
        <v>1063</v>
      </c>
      <c r="C508" s="397" t="s">
        <v>9</v>
      </c>
      <c r="D508" s="589">
        <v>1</v>
      </c>
      <c r="E508" s="251">
        <v>1</v>
      </c>
      <c r="F508" s="595">
        <v>2.93</v>
      </c>
      <c r="G508" s="235"/>
      <c r="H508" s="235">
        <f>0.35-0.15</f>
        <v>0.19999999999999998</v>
      </c>
      <c r="I508" s="477">
        <f t="shared" ref="I508" si="80">+PRODUCT(D508:H508)</f>
        <v>0.58599999999999997</v>
      </c>
      <c r="J508" s="167"/>
      <c r="K508" s="729"/>
    </row>
    <row r="509" spans="1:11">
      <c r="A509" s="167"/>
      <c r="B509" s="167" t="s">
        <v>1063</v>
      </c>
      <c r="C509" s="397" t="s">
        <v>9</v>
      </c>
      <c r="D509" s="589">
        <v>1</v>
      </c>
      <c r="E509" s="251">
        <v>1</v>
      </c>
      <c r="F509" s="595">
        <v>0.315</v>
      </c>
      <c r="G509" s="235"/>
      <c r="H509" s="235">
        <v>0.35</v>
      </c>
      <c r="I509" s="477">
        <f t="shared" ref="I509" si="81">+PRODUCT(D509:H509)</f>
        <v>0.11024999999999999</v>
      </c>
      <c r="J509" s="167"/>
      <c r="K509" s="729"/>
    </row>
    <row r="510" spans="1:11">
      <c r="A510" s="167"/>
      <c r="B510" s="167" t="s">
        <v>1063</v>
      </c>
      <c r="C510" s="397" t="s">
        <v>9</v>
      </c>
      <c r="D510" s="589">
        <v>1</v>
      </c>
      <c r="E510" s="251">
        <v>1</v>
      </c>
      <c r="F510" s="595">
        <f>2.93-0.315</f>
        <v>2.6150000000000002</v>
      </c>
      <c r="G510" s="235"/>
      <c r="H510" s="235">
        <f>0.35-0.2</f>
        <v>0.14999999999999997</v>
      </c>
      <c r="I510" s="477">
        <f t="shared" ref="I510" si="82">+PRODUCT(D510:H510)</f>
        <v>0.39224999999999993</v>
      </c>
      <c r="J510" s="167"/>
      <c r="K510" s="729"/>
    </row>
    <row r="511" spans="1:11">
      <c r="A511" s="167"/>
      <c r="B511" s="167" t="s">
        <v>1012</v>
      </c>
      <c r="C511" s="397" t="s">
        <v>9</v>
      </c>
      <c r="D511" s="589">
        <v>1</v>
      </c>
      <c r="E511" s="251">
        <v>1</v>
      </c>
      <c r="F511" s="595">
        <v>2.875</v>
      </c>
      <c r="G511" s="235"/>
      <c r="H511" s="235">
        <v>0.2</v>
      </c>
      <c r="I511" s="477">
        <f t="shared" si="23"/>
        <v>0.57500000000000007</v>
      </c>
      <c r="J511" s="167"/>
      <c r="K511" s="729"/>
    </row>
    <row r="512" spans="1:11">
      <c r="A512" s="167"/>
      <c r="B512" s="167" t="s">
        <v>1063</v>
      </c>
      <c r="C512" s="397" t="s">
        <v>9</v>
      </c>
      <c r="D512" s="589">
        <v>1</v>
      </c>
      <c r="E512" s="251">
        <v>1</v>
      </c>
      <c r="F512" s="595">
        <v>1.55</v>
      </c>
      <c r="G512" s="235"/>
      <c r="H512" s="235">
        <f>0.5-0.2</f>
        <v>0.3</v>
      </c>
      <c r="I512" s="477">
        <f t="shared" ref="I512:I513" si="83">+PRODUCT(D512:H512)</f>
        <v>0.46499999999999997</v>
      </c>
      <c r="J512" s="167"/>
      <c r="K512" s="729"/>
    </row>
    <row r="513" spans="1:11">
      <c r="A513" s="167"/>
      <c r="B513" s="167" t="s">
        <v>1063</v>
      </c>
      <c r="C513" s="397" t="s">
        <v>9</v>
      </c>
      <c r="D513" s="589">
        <v>1</v>
      </c>
      <c r="E513" s="251">
        <v>1</v>
      </c>
      <c r="F513" s="595">
        <v>1.325</v>
      </c>
      <c r="G513" s="235"/>
      <c r="H513" s="235">
        <f>0.5-0.125</f>
        <v>0.375</v>
      </c>
      <c r="I513" s="477">
        <f t="shared" si="83"/>
        <v>0.49687499999999996</v>
      </c>
      <c r="J513" s="167"/>
      <c r="K513" s="729"/>
    </row>
    <row r="514" spans="1:11">
      <c r="A514" s="167"/>
      <c r="B514" s="167" t="s">
        <v>1063</v>
      </c>
      <c r="C514" s="397" t="s">
        <v>9</v>
      </c>
      <c r="D514" s="589">
        <v>1</v>
      </c>
      <c r="E514" s="251">
        <v>1</v>
      </c>
      <c r="F514" s="595">
        <v>2.875</v>
      </c>
      <c r="G514" s="235"/>
      <c r="H514" s="235">
        <f>0.5-0.125</f>
        <v>0.375</v>
      </c>
      <c r="I514" s="477">
        <f t="shared" ref="I514:I516" si="84">+PRODUCT(D514:H514)</f>
        <v>1.078125</v>
      </c>
      <c r="J514" s="167"/>
      <c r="K514" s="729"/>
    </row>
    <row r="515" spans="1:11">
      <c r="A515" s="167"/>
      <c r="B515" s="167" t="s">
        <v>1064</v>
      </c>
      <c r="C515" s="397" t="s">
        <v>9</v>
      </c>
      <c r="D515" s="589">
        <v>1</v>
      </c>
      <c r="E515" s="251">
        <v>1</v>
      </c>
      <c r="F515" s="595">
        <v>3.95</v>
      </c>
      <c r="G515" s="235"/>
      <c r="H515" s="235">
        <v>0.2</v>
      </c>
      <c r="I515" s="477">
        <f t="shared" si="84"/>
        <v>0.79</v>
      </c>
      <c r="J515" s="167"/>
      <c r="K515" s="729"/>
    </row>
    <row r="516" spans="1:11">
      <c r="A516" s="167"/>
      <c r="B516" s="167" t="s">
        <v>1063</v>
      </c>
      <c r="C516" s="397" t="s">
        <v>9</v>
      </c>
      <c r="D516" s="589">
        <v>1</v>
      </c>
      <c r="E516" s="251">
        <v>1</v>
      </c>
      <c r="F516" s="595">
        <v>3.95</v>
      </c>
      <c r="G516" s="235"/>
      <c r="H516" s="235">
        <f>0.45-0.125</f>
        <v>0.32500000000000001</v>
      </c>
      <c r="I516" s="477">
        <f t="shared" si="84"/>
        <v>1.2837500000000002</v>
      </c>
      <c r="J516" s="167"/>
      <c r="K516" s="729"/>
    </row>
    <row r="517" spans="1:11">
      <c r="A517" s="167"/>
      <c r="B517" s="167" t="s">
        <v>1063</v>
      </c>
      <c r="C517" s="397" t="s">
        <v>9</v>
      </c>
      <c r="D517" s="589">
        <v>1</v>
      </c>
      <c r="E517" s="251">
        <v>1</v>
      </c>
      <c r="F517" s="595">
        <v>3.95</v>
      </c>
      <c r="G517" s="235"/>
      <c r="H517" s="235">
        <f>0.45-0.125</f>
        <v>0.32500000000000001</v>
      </c>
      <c r="I517" s="477">
        <f t="shared" ref="I517" si="85">+PRODUCT(D517:H517)</f>
        <v>1.2837500000000002</v>
      </c>
      <c r="J517" s="167"/>
      <c r="K517" s="729"/>
    </row>
    <row r="518" spans="1:11">
      <c r="A518" s="167"/>
      <c r="B518" s="167" t="s">
        <v>1013</v>
      </c>
      <c r="C518" s="397" t="s">
        <v>9</v>
      </c>
      <c r="D518" s="589">
        <v>1</v>
      </c>
      <c r="E518" s="251">
        <v>1</v>
      </c>
      <c r="F518" s="595">
        <v>4.6900000000000004</v>
      </c>
      <c r="G518" s="235"/>
      <c r="H518" s="235">
        <v>0.2</v>
      </c>
      <c r="I518" s="477">
        <f t="shared" si="23"/>
        <v>0.93800000000000017</v>
      </c>
      <c r="J518" s="167"/>
      <c r="K518" s="729"/>
    </row>
    <row r="519" spans="1:11">
      <c r="A519" s="167"/>
      <c r="B519" s="167" t="s">
        <v>1063</v>
      </c>
      <c r="C519" s="397" t="s">
        <v>9</v>
      </c>
      <c r="D519" s="589">
        <v>1</v>
      </c>
      <c r="E519" s="251">
        <v>1</v>
      </c>
      <c r="F519" s="595">
        <v>4.6900000000000004</v>
      </c>
      <c r="G519" s="235"/>
      <c r="H519" s="235">
        <f>0.5-0.135</f>
        <v>0.36499999999999999</v>
      </c>
      <c r="I519" s="477">
        <f t="shared" ref="I519:I520" si="86">+PRODUCT(D519:H519)</f>
        <v>1.7118500000000001</v>
      </c>
      <c r="J519" s="167"/>
      <c r="K519" s="729"/>
    </row>
    <row r="520" spans="1:11">
      <c r="A520" s="167"/>
      <c r="B520" s="167" t="s">
        <v>1063</v>
      </c>
      <c r="C520" s="397" t="s">
        <v>9</v>
      </c>
      <c r="D520" s="589">
        <v>1</v>
      </c>
      <c r="E520" s="251">
        <v>1</v>
      </c>
      <c r="F520" s="595">
        <v>4.6900000000000004</v>
      </c>
      <c r="G520" s="235"/>
      <c r="H520" s="235">
        <f>0.5-0.2</f>
        <v>0.3</v>
      </c>
      <c r="I520" s="477">
        <f t="shared" si="86"/>
        <v>1.407</v>
      </c>
      <c r="J520" s="167"/>
      <c r="K520" s="729"/>
    </row>
    <row r="521" spans="1:11">
      <c r="A521" s="167"/>
      <c r="B521" s="167" t="s">
        <v>1013</v>
      </c>
      <c r="C521" s="397" t="s">
        <v>9</v>
      </c>
      <c r="D521" s="589">
        <v>1</v>
      </c>
      <c r="E521" s="251">
        <v>1</v>
      </c>
      <c r="F521" s="595">
        <f>6.3/2</f>
        <v>3.15</v>
      </c>
      <c r="G521" s="235"/>
      <c r="H521" s="235">
        <v>0.2</v>
      </c>
      <c r="I521" s="477">
        <f t="shared" si="23"/>
        <v>0.63</v>
      </c>
      <c r="J521" s="167"/>
      <c r="K521" s="729"/>
    </row>
    <row r="522" spans="1:11">
      <c r="A522" s="167"/>
      <c r="B522" s="167" t="s">
        <v>1063</v>
      </c>
      <c r="C522" s="397" t="s">
        <v>9</v>
      </c>
      <c r="D522" s="589">
        <v>1</v>
      </c>
      <c r="E522" s="251">
        <v>1</v>
      </c>
      <c r="F522" s="595">
        <f t="shared" ref="F522:F523" si="87">6.3/2</f>
        <v>3.15</v>
      </c>
      <c r="G522" s="235"/>
      <c r="H522" s="235">
        <v>0.5</v>
      </c>
      <c r="I522" s="477">
        <f t="shared" ref="I522:I523" si="88">+PRODUCT(D522:H522)</f>
        <v>1.575</v>
      </c>
      <c r="J522" s="167"/>
      <c r="K522" s="729"/>
    </row>
    <row r="523" spans="1:11">
      <c r="A523" s="167"/>
      <c r="B523" s="167" t="s">
        <v>1063</v>
      </c>
      <c r="C523" s="397" t="s">
        <v>9</v>
      </c>
      <c r="D523" s="589">
        <v>1</v>
      </c>
      <c r="E523" s="251">
        <v>1</v>
      </c>
      <c r="F523" s="595">
        <f t="shared" si="87"/>
        <v>3.15</v>
      </c>
      <c r="G523" s="235"/>
      <c r="H523" s="235">
        <v>0.5</v>
      </c>
      <c r="I523" s="477">
        <f t="shared" si="88"/>
        <v>1.575</v>
      </c>
      <c r="J523" s="167"/>
      <c r="K523" s="729"/>
    </row>
    <row r="524" spans="1:11">
      <c r="A524" s="167"/>
      <c r="B524" s="167" t="s">
        <v>1065</v>
      </c>
      <c r="C524" s="397" t="s">
        <v>9</v>
      </c>
      <c r="D524" s="589">
        <v>1</v>
      </c>
      <c r="E524" s="251">
        <v>2</v>
      </c>
      <c r="F524" s="595">
        <v>1.9</v>
      </c>
      <c r="G524" s="235"/>
      <c r="H524" s="235">
        <v>0.23</v>
      </c>
      <c r="I524" s="477">
        <f t="shared" si="23"/>
        <v>0.874</v>
      </c>
      <c r="J524" s="167"/>
      <c r="K524" s="729"/>
    </row>
    <row r="525" spans="1:11">
      <c r="A525" s="167"/>
      <c r="B525" s="167" t="s">
        <v>1063</v>
      </c>
      <c r="C525" s="397" t="s">
        <v>9</v>
      </c>
      <c r="D525" s="589">
        <v>1</v>
      </c>
      <c r="E525" s="251">
        <v>2</v>
      </c>
      <c r="F525" s="595">
        <v>1.9</v>
      </c>
      <c r="G525" s="235"/>
      <c r="H525" s="235">
        <f>0.45-0.125</f>
        <v>0.32500000000000001</v>
      </c>
      <c r="I525" s="477">
        <f t="shared" ref="I525:I526" si="89">+PRODUCT(D525:H525)</f>
        <v>1.2349999999999999</v>
      </c>
      <c r="J525" s="167"/>
      <c r="K525" s="729"/>
    </row>
    <row r="526" spans="1:11">
      <c r="A526" s="167"/>
      <c r="B526" s="167" t="s">
        <v>1063</v>
      </c>
      <c r="C526" s="397" t="s">
        <v>9</v>
      </c>
      <c r="D526" s="589">
        <v>1</v>
      </c>
      <c r="E526" s="251">
        <v>2</v>
      </c>
      <c r="F526" s="595">
        <v>1.9</v>
      </c>
      <c r="G526" s="235"/>
      <c r="H526" s="235">
        <v>0.45</v>
      </c>
      <c r="I526" s="477">
        <f t="shared" si="89"/>
        <v>1.71</v>
      </c>
      <c r="J526" s="167"/>
      <c r="K526" s="729"/>
    </row>
    <row r="527" spans="1:11">
      <c r="A527" s="167"/>
      <c r="B527" s="167" t="s">
        <v>1014</v>
      </c>
      <c r="C527" s="397" t="s">
        <v>9</v>
      </c>
      <c r="D527" s="589">
        <v>1</v>
      </c>
      <c r="E527" s="251">
        <v>1</v>
      </c>
      <c r="F527" s="595">
        <v>5.2350000000000003</v>
      </c>
      <c r="G527" s="235"/>
      <c r="H527" s="235">
        <v>0.2</v>
      </c>
      <c r="I527" s="477">
        <f t="shared" si="23"/>
        <v>1.0470000000000002</v>
      </c>
      <c r="J527" s="167"/>
      <c r="K527" s="729"/>
    </row>
    <row r="528" spans="1:11">
      <c r="A528" s="167"/>
      <c r="B528" s="167" t="s">
        <v>1063</v>
      </c>
      <c r="C528" s="397" t="s">
        <v>9</v>
      </c>
      <c r="D528" s="589">
        <v>1</v>
      </c>
      <c r="E528" s="251">
        <v>2</v>
      </c>
      <c r="F528" s="595">
        <v>3.2349999999999999</v>
      </c>
      <c r="G528" s="235"/>
      <c r="H528" s="235">
        <f>0.35-0.135</f>
        <v>0.21499999999999997</v>
      </c>
      <c r="I528" s="477">
        <f t="shared" ref="I528:I529" si="90">+PRODUCT(D528:H528)</f>
        <v>1.3910499999999997</v>
      </c>
      <c r="J528" s="167"/>
      <c r="K528" s="729"/>
    </row>
    <row r="529" spans="1:11">
      <c r="A529" s="167"/>
      <c r="B529" s="167" t="s">
        <v>1063</v>
      </c>
      <c r="C529" s="397" t="s">
        <v>9</v>
      </c>
      <c r="D529" s="589">
        <v>1</v>
      </c>
      <c r="E529" s="251">
        <v>2</v>
      </c>
      <c r="F529" s="595">
        <v>2</v>
      </c>
      <c r="G529" s="235"/>
      <c r="H529" s="235">
        <f>0.35-0.182</f>
        <v>0.16799999999999998</v>
      </c>
      <c r="I529" s="477">
        <f t="shared" si="90"/>
        <v>0.67199999999999993</v>
      </c>
      <c r="J529" s="167"/>
      <c r="K529" s="729"/>
    </row>
    <row r="530" spans="1:11">
      <c r="A530" s="167"/>
      <c r="B530" s="167" t="s">
        <v>1015</v>
      </c>
      <c r="C530" s="397" t="s">
        <v>9</v>
      </c>
      <c r="D530" s="589">
        <v>1</v>
      </c>
      <c r="E530" s="251">
        <v>1</v>
      </c>
      <c r="F530" s="595">
        <v>5.0999999999999996</v>
      </c>
      <c r="G530" s="235"/>
      <c r="H530" s="235">
        <v>0.23</v>
      </c>
      <c r="I530" s="477">
        <f t="shared" si="23"/>
        <v>1.173</v>
      </c>
      <c r="J530" s="167"/>
      <c r="K530" s="729"/>
    </row>
    <row r="531" spans="1:11">
      <c r="A531" s="167"/>
      <c r="B531" s="167" t="s">
        <v>1063</v>
      </c>
      <c r="C531" s="397" t="s">
        <v>9</v>
      </c>
      <c r="D531" s="589">
        <v>1</v>
      </c>
      <c r="E531" s="251">
        <v>1</v>
      </c>
      <c r="F531" s="595">
        <v>5.0999999999999996</v>
      </c>
      <c r="G531" s="235"/>
      <c r="H531" s="235">
        <f>0.45-0.15</f>
        <v>0.30000000000000004</v>
      </c>
      <c r="I531" s="477">
        <f t="shared" ref="I531:I532" si="91">+PRODUCT(D531:H531)</f>
        <v>1.53</v>
      </c>
      <c r="J531" s="167"/>
      <c r="K531" s="729"/>
    </row>
    <row r="532" spans="1:11">
      <c r="A532" s="167"/>
      <c r="B532" s="167" t="s">
        <v>1063</v>
      </c>
      <c r="C532" s="397" t="s">
        <v>9</v>
      </c>
      <c r="D532" s="589">
        <v>1</v>
      </c>
      <c r="E532" s="251">
        <v>1</v>
      </c>
      <c r="F532" s="595">
        <v>3.4750000000000001</v>
      </c>
      <c r="G532" s="235"/>
      <c r="H532" s="235">
        <f>0.45-0.135</f>
        <v>0.315</v>
      </c>
      <c r="I532" s="477">
        <f t="shared" si="91"/>
        <v>1.094625</v>
      </c>
      <c r="J532" s="167"/>
      <c r="K532" s="729"/>
    </row>
    <row r="533" spans="1:11">
      <c r="A533" s="167"/>
      <c r="B533" s="167" t="s">
        <v>1063</v>
      </c>
      <c r="C533" s="397" t="s">
        <v>9</v>
      </c>
      <c r="D533" s="589">
        <v>1</v>
      </c>
      <c r="E533" s="251">
        <v>1</v>
      </c>
      <c r="F533" s="595">
        <f>5.1-3.475</f>
        <v>1.6249999999999996</v>
      </c>
      <c r="G533" s="235"/>
      <c r="H533" s="235">
        <f>0.45-0.125</f>
        <v>0.32500000000000001</v>
      </c>
      <c r="I533" s="477">
        <f t="shared" ref="I533:I536" si="92">+PRODUCT(D533:H533)</f>
        <v>0.52812499999999984</v>
      </c>
      <c r="J533" s="167"/>
      <c r="K533" s="729"/>
    </row>
    <row r="534" spans="1:11">
      <c r="A534" s="167"/>
      <c r="B534" s="167" t="s">
        <v>1015</v>
      </c>
      <c r="C534" s="397" t="s">
        <v>9</v>
      </c>
      <c r="D534" s="589">
        <v>1</v>
      </c>
      <c r="E534" s="251">
        <v>1</v>
      </c>
      <c r="F534" s="595">
        <v>5.0999999999999996</v>
      </c>
      <c r="G534" s="235"/>
      <c r="H534" s="235">
        <v>0.23</v>
      </c>
      <c r="I534" s="477">
        <f t="shared" si="92"/>
        <v>1.173</v>
      </c>
      <c r="J534" s="167"/>
      <c r="K534" s="729"/>
    </row>
    <row r="535" spans="1:11">
      <c r="A535" s="167"/>
      <c r="B535" s="167" t="s">
        <v>1063</v>
      </c>
      <c r="C535" s="397" t="s">
        <v>9</v>
      </c>
      <c r="D535" s="589">
        <v>1</v>
      </c>
      <c r="E535" s="251">
        <v>1</v>
      </c>
      <c r="F535" s="595">
        <v>5.0999999999999996</v>
      </c>
      <c r="G535" s="235"/>
      <c r="H535" s="235">
        <f>0.45-0.15</f>
        <v>0.30000000000000004</v>
      </c>
      <c r="I535" s="477">
        <f t="shared" si="92"/>
        <v>1.53</v>
      </c>
      <c r="J535" s="167"/>
      <c r="K535" s="729"/>
    </row>
    <row r="536" spans="1:11">
      <c r="A536" s="167"/>
      <c r="B536" s="167" t="s">
        <v>1063</v>
      </c>
      <c r="C536" s="397" t="s">
        <v>9</v>
      </c>
      <c r="D536" s="589">
        <v>1</v>
      </c>
      <c r="E536" s="251">
        <v>1</v>
      </c>
      <c r="F536" s="595">
        <v>3.4750000000000001</v>
      </c>
      <c r="G536" s="235"/>
      <c r="H536" s="235">
        <f>0.45-0.135</f>
        <v>0.315</v>
      </c>
      <c r="I536" s="477">
        <f t="shared" si="92"/>
        <v>1.094625</v>
      </c>
      <c r="J536" s="167"/>
      <c r="K536" s="729"/>
    </row>
    <row r="537" spans="1:11">
      <c r="A537" s="167"/>
      <c r="B537" s="167" t="s">
        <v>1063</v>
      </c>
      <c r="C537" s="397" t="s">
        <v>9</v>
      </c>
      <c r="D537" s="589">
        <v>1</v>
      </c>
      <c r="E537" s="251">
        <v>1</v>
      </c>
      <c r="F537" s="595">
        <f>5.1-3.475</f>
        <v>1.6249999999999996</v>
      </c>
      <c r="G537" s="235"/>
      <c r="H537" s="235">
        <f>0.45-0.125</f>
        <v>0.32500000000000001</v>
      </c>
      <c r="I537" s="477">
        <f t="shared" ref="I537" si="93">+PRODUCT(D537:H537)</f>
        <v>0.52812499999999984</v>
      </c>
      <c r="J537" s="167"/>
      <c r="K537" s="729"/>
    </row>
    <row r="538" spans="1:11">
      <c r="A538" s="167"/>
      <c r="B538" s="167" t="s">
        <v>1016</v>
      </c>
      <c r="C538" s="397" t="s">
        <v>9</v>
      </c>
      <c r="D538" s="589">
        <v>1</v>
      </c>
      <c r="E538" s="251">
        <v>2</v>
      </c>
      <c r="F538" s="595">
        <v>3.19</v>
      </c>
      <c r="G538" s="235"/>
      <c r="H538" s="235">
        <v>0.2</v>
      </c>
      <c r="I538" s="477">
        <f t="shared" si="23"/>
        <v>1.276</v>
      </c>
      <c r="J538" s="167"/>
      <c r="K538" s="729"/>
    </row>
    <row r="539" spans="1:11">
      <c r="A539" s="167"/>
      <c r="B539" s="167" t="s">
        <v>1063</v>
      </c>
      <c r="C539" s="397" t="s">
        <v>9</v>
      </c>
      <c r="D539" s="589">
        <v>1</v>
      </c>
      <c r="E539" s="251">
        <v>2</v>
      </c>
      <c r="F539" s="595">
        <v>3.19</v>
      </c>
      <c r="G539" s="235"/>
      <c r="H539" s="235">
        <f>0.5-0.2</f>
        <v>0.3</v>
      </c>
      <c r="I539" s="477">
        <f t="shared" ref="I539:I540" si="94">+PRODUCT(D539:H539)</f>
        <v>1.9139999999999999</v>
      </c>
      <c r="J539" s="167"/>
      <c r="K539" s="729"/>
    </row>
    <row r="540" spans="1:11">
      <c r="A540" s="167"/>
      <c r="B540" s="167" t="s">
        <v>1063</v>
      </c>
      <c r="C540" s="397" t="s">
        <v>9</v>
      </c>
      <c r="D540" s="589">
        <v>1</v>
      </c>
      <c r="E540" s="251">
        <v>2</v>
      </c>
      <c r="F540" s="595">
        <v>3.19</v>
      </c>
      <c r="G540" s="235"/>
      <c r="H540" s="235">
        <f>0.5-0.15</f>
        <v>0.35</v>
      </c>
      <c r="I540" s="477">
        <f t="shared" si="94"/>
        <v>2.2329999999999997</v>
      </c>
      <c r="J540" s="167"/>
      <c r="K540" s="729"/>
    </row>
    <row r="541" spans="1:11">
      <c r="A541" s="167"/>
      <c r="B541" s="167" t="s">
        <v>1017</v>
      </c>
      <c r="C541" s="397" t="s">
        <v>9</v>
      </c>
      <c r="D541" s="589">
        <v>1</v>
      </c>
      <c r="E541" s="251">
        <v>3</v>
      </c>
      <c r="F541" s="595">
        <v>1.81</v>
      </c>
      <c r="G541" s="235"/>
      <c r="H541" s="235">
        <v>0.2</v>
      </c>
      <c r="I541" s="477">
        <f t="shared" si="23"/>
        <v>1.0860000000000001</v>
      </c>
      <c r="J541" s="167"/>
      <c r="K541" s="729"/>
    </row>
    <row r="542" spans="1:11">
      <c r="A542" s="167"/>
      <c r="B542" s="167" t="s">
        <v>1063</v>
      </c>
      <c r="C542" s="397" t="s">
        <v>9</v>
      </c>
      <c r="D542" s="589">
        <v>1</v>
      </c>
      <c r="E542" s="251">
        <v>3</v>
      </c>
      <c r="F542" s="595">
        <v>1.81</v>
      </c>
      <c r="G542" s="235"/>
      <c r="H542" s="235">
        <f>0.5-0.125</f>
        <v>0.375</v>
      </c>
      <c r="I542" s="477">
        <f t="shared" ref="I542:I543" si="95">+PRODUCT(D542:H542)</f>
        <v>2.0362499999999999</v>
      </c>
      <c r="J542" s="167"/>
      <c r="K542" s="729"/>
    </row>
    <row r="543" spans="1:11">
      <c r="A543" s="167"/>
      <c r="B543" s="167" t="s">
        <v>1063</v>
      </c>
      <c r="C543" s="397" t="s">
        <v>9</v>
      </c>
      <c r="D543" s="589">
        <v>1</v>
      </c>
      <c r="E543" s="251">
        <v>3</v>
      </c>
      <c r="F543" s="595">
        <v>1.81</v>
      </c>
      <c r="G543" s="235"/>
      <c r="H543" s="235">
        <v>0.5</v>
      </c>
      <c r="I543" s="477">
        <f t="shared" si="95"/>
        <v>2.7149999999999999</v>
      </c>
      <c r="J543" s="167"/>
      <c r="K543" s="729"/>
    </row>
    <row r="544" spans="1:11">
      <c r="A544" s="167"/>
      <c r="B544" s="167" t="s">
        <v>1017</v>
      </c>
      <c r="C544" s="397" t="s">
        <v>9</v>
      </c>
      <c r="D544" s="589">
        <v>1</v>
      </c>
      <c r="E544" s="251">
        <v>3</v>
      </c>
      <c r="F544" s="595">
        <v>3.55</v>
      </c>
      <c r="G544" s="235"/>
      <c r="H544" s="235">
        <v>0.2</v>
      </c>
      <c r="I544" s="477">
        <f t="shared" si="23"/>
        <v>2.13</v>
      </c>
      <c r="J544" s="167"/>
      <c r="K544" s="729"/>
    </row>
    <row r="545" spans="1:11">
      <c r="A545" s="167"/>
      <c r="B545" s="167" t="s">
        <v>1063</v>
      </c>
      <c r="C545" s="397" t="s">
        <v>9</v>
      </c>
      <c r="D545" s="589">
        <v>1</v>
      </c>
      <c r="E545" s="251">
        <v>3</v>
      </c>
      <c r="F545" s="595">
        <v>3.55</v>
      </c>
      <c r="G545" s="235"/>
      <c r="H545" s="235">
        <f>0.5-0.125</f>
        <v>0.375</v>
      </c>
      <c r="I545" s="477">
        <f t="shared" ref="I545:I546" si="96">+PRODUCT(D545:H545)</f>
        <v>3.9937499999999995</v>
      </c>
      <c r="J545" s="167"/>
      <c r="K545" s="729"/>
    </row>
    <row r="546" spans="1:11">
      <c r="A546" s="167"/>
      <c r="B546" s="167" t="s">
        <v>1063</v>
      </c>
      <c r="C546" s="397" t="s">
        <v>9</v>
      </c>
      <c r="D546" s="589">
        <v>1</v>
      </c>
      <c r="E546" s="251">
        <v>3</v>
      </c>
      <c r="F546" s="595">
        <v>3.55</v>
      </c>
      <c r="G546" s="235"/>
      <c r="H546" s="235">
        <v>0.5</v>
      </c>
      <c r="I546" s="477">
        <f t="shared" si="96"/>
        <v>5.3249999999999993</v>
      </c>
      <c r="J546" s="167"/>
      <c r="K546" s="729"/>
    </row>
    <row r="547" spans="1:11">
      <c r="A547" s="167"/>
      <c r="B547" s="167" t="s">
        <v>1018</v>
      </c>
      <c r="C547" s="397" t="s">
        <v>9</v>
      </c>
      <c r="D547" s="589">
        <v>1</v>
      </c>
      <c r="E547" s="251">
        <v>3</v>
      </c>
      <c r="F547" s="595">
        <v>0.51500000000000001</v>
      </c>
      <c r="G547" s="235"/>
      <c r="H547" s="235">
        <v>0.23</v>
      </c>
      <c r="I547" s="477">
        <f t="shared" si="23"/>
        <v>0.35535</v>
      </c>
      <c r="J547" s="167"/>
      <c r="K547" s="729"/>
    </row>
    <row r="548" spans="1:11">
      <c r="A548" s="167"/>
      <c r="B548" s="167" t="s">
        <v>1063</v>
      </c>
      <c r="C548" s="397" t="s">
        <v>9</v>
      </c>
      <c r="D548" s="589">
        <v>1</v>
      </c>
      <c r="E548" s="251">
        <v>3</v>
      </c>
      <c r="F548" s="595">
        <v>0.51500000000000001</v>
      </c>
      <c r="G548" s="235"/>
      <c r="H548" s="235">
        <v>0.5</v>
      </c>
      <c r="I548" s="477">
        <f t="shared" ref="I548:I549" si="97">+PRODUCT(D548:H548)</f>
        <v>0.77249999999999996</v>
      </c>
      <c r="J548" s="167"/>
      <c r="K548" s="729"/>
    </row>
    <row r="549" spans="1:11">
      <c r="A549" s="167"/>
      <c r="B549" s="167" t="s">
        <v>1063</v>
      </c>
      <c r="C549" s="397" t="s">
        <v>9</v>
      </c>
      <c r="D549" s="589">
        <v>1</v>
      </c>
      <c r="E549" s="251">
        <v>3</v>
      </c>
      <c r="F549" s="595">
        <v>0.51500000000000001</v>
      </c>
      <c r="G549" s="235"/>
      <c r="H549" s="235">
        <v>0.5</v>
      </c>
      <c r="I549" s="477">
        <f t="shared" si="97"/>
        <v>0.77249999999999996</v>
      </c>
      <c r="J549" s="167"/>
      <c r="K549" s="729"/>
    </row>
    <row r="550" spans="1:11">
      <c r="A550" s="167"/>
      <c r="B550" s="167" t="s">
        <v>984</v>
      </c>
      <c r="C550" s="397" t="s">
        <v>9</v>
      </c>
      <c r="D550" s="589">
        <v>1</v>
      </c>
      <c r="E550" s="251">
        <v>3</v>
      </c>
      <c r="F550" s="595">
        <v>3.86</v>
      </c>
      <c r="G550" s="235"/>
      <c r="H550" s="235">
        <v>0.2</v>
      </c>
      <c r="I550" s="477">
        <f t="shared" si="23"/>
        <v>2.3160000000000003</v>
      </c>
      <c r="J550" s="167"/>
      <c r="K550" s="729"/>
    </row>
    <row r="551" spans="1:11">
      <c r="A551" s="167"/>
      <c r="B551" s="167" t="s">
        <v>1063</v>
      </c>
      <c r="C551" s="397" t="s">
        <v>9</v>
      </c>
      <c r="D551" s="589">
        <v>1</v>
      </c>
      <c r="E551" s="251">
        <v>3</v>
      </c>
      <c r="F551" s="595">
        <v>3.86</v>
      </c>
      <c r="G551" s="235"/>
      <c r="H551" s="235">
        <f>0.45-0.135</f>
        <v>0.315</v>
      </c>
      <c r="I551" s="477">
        <f t="shared" ref="I551:I552" si="98">+PRODUCT(D551:H551)</f>
        <v>3.6476999999999999</v>
      </c>
      <c r="J551" s="167"/>
      <c r="K551" s="729"/>
    </row>
    <row r="552" spans="1:11">
      <c r="A552" s="167"/>
      <c r="B552" s="167" t="s">
        <v>1063</v>
      </c>
      <c r="C552" s="397" t="s">
        <v>9</v>
      </c>
      <c r="D552" s="589">
        <v>1</v>
      </c>
      <c r="E552" s="251">
        <v>3</v>
      </c>
      <c r="F552" s="595">
        <v>3.86</v>
      </c>
      <c r="G552" s="235"/>
      <c r="H552" s="235">
        <f>0.45-0.125</f>
        <v>0.32500000000000001</v>
      </c>
      <c r="I552" s="477">
        <f t="shared" si="98"/>
        <v>3.7635000000000001</v>
      </c>
      <c r="J552" s="167"/>
      <c r="K552" s="729"/>
    </row>
    <row r="553" spans="1:11">
      <c r="A553" s="167"/>
      <c r="B553" s="167" t="s">
        <v>985</v>
      </c>
      <c r="C553" s="397" t="s">
        <v>9</v>
      </c>
      <c r="D553" s="589">
        <v>3</v>
      </c>
      <c r="E553" s="251">
        <v>1</v>
      </c>
      <c r="F553" s="595">
        <v>3.45</v>
      </c>
      <c r="G553" s="235"/>
      <c r="H553" s="235">
        <v>0.2</v>
      </c>
      <c r="I553" s="477">
        <f t="shared" si="23"/>
        <v>2.0700000000000003</v>
      </c>
      <c r="J553" s="167"/>
      <c r="K553" s="729"/>
    </row>
    <row r="554" spans="1:11">
      <c r="A554" s="167"/>
      <c r="B554" s="167" t="s">
        <v>1063</v>
      </c>
      <c r="C554" s="397" t="s">
        <v>9</v>
      </c>
      <c r="D554" s="589">
        <v>3</v>
      </c>
      <c r="E554" s="251">
        <v>2</v>
      </c>
      <c r="F554" s="595">
        <v>3.45</v>
      </c>
      <c r="G554" s="235"/>
      <c r="H554" s="235">
        <f>0.45-0.125</f>
        <v>0.32500000000000001</v>
      </c>
      <c r="I554" s="477">
        <f t="shared" ref="I554" si="99">+PRODUCT(D554:H554)</f>
        <v>6.7275000000000009</v>
      </c>
      <c r="J554" s="167"/>
      <c r="K554" s="729"/>
    </row>
    <row r="555" spans="1:11">
      <c r="A555" s="167"/>
      <c r="B555" s="167" t="s">
        <v>1019</v>
      </c>
      <c r="C555" s="397" t="s">
        <v>9</v>
      </c>
      <c r="D555" s="589">
        <v>1</v>
      </c>
      <c r="E555" s="251">
        <v>3</v>
      </c>
      <c r="F555" s="595">
        <v>2.91</v>
      </c>
      <c r="G555" s="235"/>
      <c r="H555" s="235">
        <v>0.2</v>
      </c>
      <c r="I555" s="477">
        <f t="shared" si="23"/>
        <v>1.7460000000000002</v>
      </c>
      <c r="J555" s="167"/>
      <c r="K555" s="729"/>
    </row>
    <row r="556" spans="1:11">
      <c r="A556" s="167"/>
      <c r="B556" s="167" t="s">
        <v>1063</v>
      </c>
      <c r="C556" s="397" t="s">
        <v>9</v>
      </c>
      <c r="D556" s="589">
        <v>1</v>
      </c>
      <c r="E556" s="251">
        <v>3</v>
      </c>
      <c r="F556" s="595">
        <v>2.91</v>
      </c>
      <c r="G556" s="235"/>
      <c r="H556" s="235">
        <f>0.45-0.135</f>
        <v>0.315</v>
      </c>
      <c r="I556" s="477">
        <f t="shared" ref="I556:I557" si="100">+PRODUCT(D556:H556)</f>
        <v>2.7499500000000001</v>
      </c>
      <c r="J556" s="167"/>
      <c r="K556" s="729"/>
    </row>
    <row r="557" spans="1:11">
      <c r="A557" s="167"/>
      <c r="B557" s="167" t="s">
        <v>1063</v>
      </c>
      <c r="C557" s="397" t="s">
        <v>9</v>
      </c>
      <c r="D557" s="589">
        <v>1</v>
      </c>
      <c r="E557" s="251">
        <v>3</v>
      </c>
      <c r="F557" s="595">
        <v>2.91</v>
      </c>
      <c r="G557" s="235"/>
      <c r="H557" s="235">
        <f>0.45-0.135</f>
        <v>0.315</v>
      </c>
      <c r="I557" s="477">
        <f t="shared" si="100"/>
        <v>2.7499500000000001</v>
      </c>
      <c r="J557" s="167"/>
      <c r="K557" s="729"/>
    </row>
    <row r="558" spans="1:11">
      <c r="A558" s="167"/>
      <c r="B558" s="167" t="s">
        <v>1020</v>
      </c>
      <c r="C558" s="397" t="s">
        <v>9</v>
      </c>
      <c r="D558" s="589">
        <v>1</v>
      </c>
      <c r="E558" s="251">
        <v>3</v>
      </c>
      <c r="F558" s="595">
        <v>3.55</v>
      </c>
      <c r="G558" s="235"/>
      <c r="H558" s="235">
        <v>0.23</v>
      </c>
      <c r="I558" s="477">
        <f t="shared" si="23"/>
        <v>2.4494999999999996</v>
      </c>
      <c r="J558" s="167"/>
      <c r="K558" s="729"/>
    </row>
    <row r="559" spans="1:11">
      <c r="A559" s="167"/>
      <c r="B559" s="167" t="s">
        <v>1063</v>
      </c>
      <c r="C559" s="397" t="s">
        <v>9</v>
      </c>
      <c r="D559" s="589">
        <v>1</v>
      </c>
      <c r="E559" s="251">
        <v>3</v>
      </c>
      <c r="F559" s="595">
        <v>3.55</v>
      </c>
      <c r="G559" s="235"/>
      <c r="H559" s="235">
        <f>0.35-0.125</f>
        <v>0.22499999999999998</v>
      </c>
      <c r="I559" s="477">
        <f t="shared" ref="I559:I560" si="101">+PRODUCT(D559:H559)</f>
        <v>2.3962499999999993</v>
      </c>
      <c r="J559" s="167"/>
      <c r="K559" s="729"/>
    </row>
    <row r="560" spans="1:11">
      <c r="A560" s="167"/>
      <c r="B560" s="167" t="s">
        <v>1063</v>
      </c>
      <c r="C560" s="397" t="s">
        <v>9</v>
      </c>
      <c r="D560" s="589">
        <v>1</v>
      </c>
      <c r="E560" s="251">
        <v>3</v>
      </c>
      <c r="F560" s="595">
        <v>3.55</v>
      </c>
      <c r="G560" s="235"/>
      <c r="H560" s="235">
        <f>0.35-0.125</f>
        <v>0.22499999999999998</v>
      </c>
      <c r="I560" s="477">
        <f t="shared" si="101"/>
        <v>2.3962499999999993</v>
      </c>
      <c r="J560" s="167"/>
      <c r="K560" s="729"/>
    </row>
    <row r="561" spans="1:11">
      <c r="A561" s="167"/>
      <c r="B561" s="167" t="s">
        <v>986</v>
      </c>
      <c r="C561" s="397" t="s">
        <v>9</v>
      </c>
      <c r="D561" s="589">
        <v>1</v>
      </c>
      <c r="E561" s="251">
        <v>2</v>
      </c>
      <c r="F561" s="595">
        <v>3</v>
      </c>
      <c r="G561" s="235"/>
      <c r="H561" s="235">
        <v>0.2</v>
      </c>
      <c r="I561" s="477">
        <f t="shared" si="23"/>
        <v>1.2000000000000002</v>
      </c>
      <c r="J561" s="167"/>
      <c r="K561" s="729"/>
    </row>
    <row r="562" spans="1:11">
      <c r="A562" s="167"/>
      <c r="B562" s="167" t="s">
        <v>1063</v>
      </c>
      <c r="C562" s="397" t="s">
        <v>9</v>
      </c>
      <c r="D562" s="589">
        <v>1</v>
      </c>
      <c r="E562" s="251">
        <v>2</v>
      </c>
      <c r="F562" s="595">
        <v>3</v>
      </c>
      <c r="G562" s="235"/>
      <c r="H562" s="235">
        <f>0.45-0.15</f>
        <v>0.30000000000000004</v>
      </c>
      <c r="I562" s="477">
        <f t="shared" ref="I562:I563" si="102">+PRODUCT(D562:H562)</f>
        <v>1.8000000000000003</v>
      </c>
      <c r="J562" s="167"/>
      <c r="K562" s="729"/>
    </row>
    <row r="563" spans="1:11">
      <c r="A563" s="167"/>
      <c r="B563" s="167" t="s">
        <v>1063</v>
      </c>
      <c r="C563" s="397" t="s">
        <v>9</v>
      </c>
      <c r="D563" s="589">
        <v>1</v>
      </c>
      <c r="E563" s="251">
        <v>2</v>
      </c>
      <c r="F563" s="595">
        <v>3</v>
      </c>
      <c r="G563" s="235"/>
      <c r="H563" s="235">
        <f>0.45-0.125</f>
        <v>0.32500000000000001</v>
      </c>
      <c r="I563" s="477">
        <f t="shared" si="102"/>
        <v>1.9500000000000002</v>
      </c>
      <c r="J563" s="167"/>
      <c r="K563" s="729"/>
    </row>
    <row r="564" spans="1:11">
      <c r="A564" s="167"/>
      <c r="B564" s="167" t="s">
        <v>1021</v>
      </c>
      <c r="C564" s="397" t="s">
        <v>9</v>
      </c>
      <c r="D564" s="589">
        <v>1</v>
      </c>
      <c r="E564" s="251">
        <v>2</v>
      </c>
      <c r="F564" s="595">
        <f>1.965+0.1</f>
        <v>2.0649999999999999</v>
      </c>
      <c r="G564" s="235"/>
      <c r="H564" s="235">
        <v>0.2</v>
      </c>
      <c r="I564" s="477">
        <f t="shared" si="23"/>
        <v>0.82600000000000007</v>
      </c>
      <c r="J564" s="167"/>
      <c r="K564" s="729"/>
    </row>
    <row r="565" spans="1:11">
      <c r="A565" s="167"/>
      <c r="B565" s="167" t="s">
        <v>1063</v>
      </c>
      <c r="C565" s="397" t="s">
        <v>9</v>
      </c>
      <c r="D565" s="589">
        <v>1</v>
      </c>
      <c r="E565" s="251">
        <v>2</v>
      </c>
      <c r="F565" s="595">
        <f t="shared" ref="F565:F566" si="103">1.965+0.1</f>
        <v>2.0649999999999999</v>
      </c>
      <c r="G565" s="235"/>
      <c r="H565" s="235">
        <f>0.35-0.135</f>
        <v>0.21499999999999997</v>
      </c>
      <c r="I565" s="477">
        <f t="shared" ref="I565:I566" si="104">+PRODUCT(D565:H565)</f>
        <v>0.8879499999999998</v>
      </c>
      <c r="J565" s="167"/>
      <c r="K565" s="729"/>
    </row>
    <row r="566" spans="1:11">
      <c r="A566" s="167"/>
      <c r="B566" s="167" t="s">
        <v>1063</v>
      </c>
      <c r="C566" s="397" t="s">
        <v>9</v>
      </c>
      <c r="D566" s="589">
        <v>1</v>
      </c>
      <c r="E566" s="251">
        <v>2</v>
      </c>
      <c r="F566" s="595">
        <f t="shared" si="103"/>
        <v>2.0649999999999999</v>
      </c>
      <c r="G566" s="235"/>
      <c r="H566" s="235">
        <f>0.35-0.2</f>
        <v>0.14999999999999997</v>
      </c>
      <c r="I566" s="477">
        <f t="shared" si="104"/>
        <v>0.61949999999999983</v>
      </c>
      <c r="J566" s="167"/>
      <c r="K566" s="729"/>
    </row>
    <row r="567" spans="1:11">
      <c r="A567" s="167"/>
      <c r="B567" s="167" t="s">
        <v>1022</v>
      </c>
      <c r="C567" s="397" t="s">
        <v>9</v>
      </c>
      <c r="D567" s="589">
        <v>1</v>
      </c>
      <c r="E567" s="251">
        <v>3</v>
      </c>
      <c r="F567" s="595">
        <v>3.31</v>
      </c>
      <c r="G567" s="235"/>
      <c r="H567" s="235">
        <v>0.2</v>
      </c>
      <c r="I567" s="477">
        <f t="shared" ref="I567:I681" si="105">+PRODUCT(D567:H567)</f>
        <v>1.986</v>
      </c>
      <c r="J567" s="167"/>
      <c r="K567" s="729"/>
    </row>
    <row r="568" spans="1:11">
      <c r="A568" s="167"/>
      <c r="B568" s="167" t="s">
        <v>1063</v>
      </c>
      <c r="C568" s="397" t="s">
        <v>9</v>
      </c>
      <c r="D568" s="589">
        <v>1</v>
      </c>
      <c r="E568" s="251">
        <v>3</v>
      </c>
      <c r="F568" s="595">
        <v>3.31</v>
      </c>
      <c r="G568" s="235"/>
      <c r="H568" s="235">
        <f>0.5-0.15</f>
        <v>0.35</v>
      </c>
      <c r="I568" s="477">
        <f t="shared" ref="I568:I569" si="106">+PRODUCT(D568:H568)</f>
        <v>3.4754999999999998</v>
      </c>
      <c r="J568" s="167"/>
      <c r="K568" s="729"/>
    </row>
    <row r="569" spans="1:11">
      <c r="A569" s="167"/>
      <c r="B569" s="167" t="s">
        <v>1063</v>
      </c>
      <c r="C569" s="397" t="s">
        <v>9</v>
      </c>
      <c r="D569" s="589">
        <v>1</v>
      </c>
      <c r="E569" s="251">
        <v>3</v>
      </c>
      <c r="F569" s="595">
        <v>3.31</v>
      </c>
      <c r="G569" s="235"/>
      <c r="H569" s="235">
        <f>0.5-0.135</f>
        <v>0.36499999999999999</v>
      </c>
      <c r="I569" s="477">
        <f t="shared" si="106"/>
        <v>3.6244499999999999</v>
      </c>
      <c r="J569" s="167"/>
      <c r="K569" s="729"/>
    </row>
    <row r="570" spans="1:11">
      <c r="A570" s="167"/>
      <c r="B570" s="167" t="s">
        <v>987</v>
      </c>
      <c r="C570" s="397" t="s">
        <v>9</v>
      </c>
      <c r="D570" s="589">
        <v>1</v>
      </c>
      <c r="E570" s="251">
        <v>2</v>
      </c>
      <c r="F570" s="595">
        <v>3</v>
      </c>
      <c r="G570" s="235"/>
      <c r="H570" s="235">
        <v>0.2</v>
      </c>
      <c r="I570" s="477">
        <f t="shared" si="105"/>
        <v>1.2000000000000002</v>
      </c>
      <c r="J570" s="167"/>
      <c r="K570" s="729"/>
    </row>
    <row r="571" spans="1:11">
      <c r="A571" s="167"/>
      <c r="B571" s="167" t="s">
        <v>1063</v>
      </c>
      <c r="C571" s="397" t="s">
        <v>9</v>
      </c>
      <c r="D571" s="589">
        <v>1</v>
      </c>
      <c r="E571" s="251">
        <v>2</v>
      </c>
      <c r="F571" s="595">
        <v>3</v>
      </c>
      <c r="G571" s="235"/>
      <c r="H571" s="235">
        <f>0.45-0.125</f>
        <v>0.32500000000000001</v>
      </c>
      <c r="I571" s="477">
        <f t="shared" ref="I571:I572" si="107">+PRODUCT(D571:H571)</f>
        <v>1.9500000000000002</v>
      </c>
      <c r="J571" s="167"/>
      <c r="K571" s="729"/>
    </row>
    <row r="572" spans="1:11">
      <c r="A572" s="167"/>
      <c r="B572" s="167" t="s">
        <v>1063</v>
      </c>
      <c r="C572" s="397" t="s">
        <v>9</v>
      </c>
      <c r="D572" s="589">
        <v>1</v>
      </c>
      <c r="E572" s="251">
        <v>2</v>
      </c>
      <c r="F572" s="595">
        <v>3</v>
      </c>
      <c r="G572" s="235"/>
      <c r="H572" s="235">
        <f>0.45-0.135</f>
        <v>0.315</v>
      </c>
      <c r="I572" s="477">
        <f t="shared" si="107"/>
        <v>1.8900000000000001</v>
      </c>
      <c r="J572" s="167"/>
      <c r="K572" s="729"/>
    </row>
    <row r="573" spans="1:11">
      <c r="A573" s="167"/>
      <c r="B573" s="167" t="s">
        <v>988</v>
      </c>
      <c r="C573" s="397" t="s">
        <v>9</v>
      </c>
      <c r="D573" s="589">
        <v>1</v>
      </c>
      <c r="E573" s="251">
        <v>1</v>
      </c>
      <c r="F573" s="595">
        <v>5.2450000000000001</v>
      </c>
      <c r="G573" s="235"/>
      <c r="H573" s="235">
        <v>0.2</v>
      </c>
      <c r="I573" s="477">
        <f t="shared" si="105"/>
        <v>1.0490000000000002</v>
      </c>
      <c r="J573" s="167"/>
      <c r="K573" s="729"/>
    </row>
    <row r="574" spans="1:11">
      <c r="A574" s="167"/>
      <c r="B574" s="167" t="s">
        <v>1063</v>
      </c>
      <c r="C574" s="397" t="s">
        <v>9</v>
      </c>
      <c r="D574" s="589">
        <v>1</v>
      </c>
      <c r="E574" s="251">
        <v>2</v>
      </c>
      <c r="F574" s="595">
        <v>5.2450000000000001</v>
      </c>
      <c r="G574" s="235"/>
      <c r="H574" s="235">
        <f>0.45-0.15</f>
        <v>0.30000000000000004</v>
      </c>
      <c r="I574" s="477">
        <f t="shared" ref="I574" si="108">+PRODUCT(D574:H574)</f>
        <v>3.1470000000000007</v>
      </c>
      <c r="J574" s="167"/>
      <c r="K574" s="729"/>
    </row>
    <row r="575" spans="1:11">
      <c r="A575" s="167"/>
      <c r="B575" s="167" t="s">
        <v>1023</v>
      </c>
      <c r="C575" s="397" t="s">
        <v>9</v>
      </c>
      <c r="D575" s="589">
        <v>1</v>
      </c>
      <c r="E575" s="251">
        <v>1</v>
      </c>
      <c r="F575" s="595">
        <v>3</v>
      </c>
      <c r="G575" s="235"/>
      <c r="H575" s="235">
        <v>0.2</v>
      </c>
      <c r="I575" s="477">
        <f t="shared" si="105"/>
        <v>0.60000000000000009</v>
      </c>
      <c r="J575" s="167"/>
      <c r="K575" s="729"/>
    </row>
    <row r="576" spans="1:11">
      <c r="A576" s="167"/>
      <c r="B576" s="167" t="s">
        <v>1063</v>
      </c>
      <c r="C576" s="397" t="s">
        <v>9</v>
      </c>
      <c r="D576" s="589">
        <v>1</v>
      </c>
      <c r="E576" s="251">
        <v>1</v>
      </c>
      <c r="F576" s="595">
        <v>3</v>
      </c>
      <c r="G576" s="235"/>
      <c r="H576" s="235">
        <f>0.45-0.15</f>
        <v>0.30000000000000004</v>
      </c>
      <c r="I576" s="477">
        <f t="shared" ref="I576:I577" si="109">+PRODUCT(D576:H576)</f>
        <v>0.90000000000000013</v>
      </c>
      <c r="J576" s="167"/>
      <c r="K576" s="729"/>
    </row>
    <row r="577" spans="1:11">
      <c r="A577" s="167"/>
      <c r="B577" s="167" t="s">
        <v>1063</v>
      </c>
      <c r="C577" s="397" t="s">
        <v>9</v>
      </c>
      <c r="D577" s="589">
        <v>1</v>
      </c>
      <c r="E577" s="251">
        <v>1</v>
      </c>
      <c r="F577" s="595">
        <v>3</v>
      </c>
      <c r="G577" s="235"/>
      <c r="H577" s="235">
        <f>0.45-0.125</f>
        <v>0.32500000000000001</v>
      </c>
      <c r="I577" s="477">
        <f t="shared" si="109"/>
        <v>0.97500000000000009</v>
      </c>
      <c r="J577" s="167"/>
      <c r="K577" s="729"/>
    </row>
    <row r="578" spans="1:11">
      <c r="A578" s="167"/>
      <c r="B578" s="167" t="s">
        <v>1024</v>
      </c>
      <c r="C578" s="397" t="s">
        <v>9</v>
      </c>
      <c r="D578" s="589">
        <v>1</v>
      </c>
      <c r="E578" s="251">
        <v>1</v>
      </c>
      <c r="F578" s="595">
        <v>1.95</v>
      </c>
      <c r="G578" s="235"/>
      <c r="H578" s="235">
        <v>0.2</v>
      </c>
      <c r="I578" s="477">
        <f t="shared" si="105"/>
        <v>0.39</v>
      </c>
      <c r="J578" s="167"/>
      <c r="K578" s="729"/>
    </row>
    <row r="579" spans="1:11">
      <c r="A579" s="167"/>
      <c r="B579" s="167" t="s">
        <v>1063</v>
      </c>
      <c r="C579" s="397" t="s">
        <v>9</v>
      </c>
      <c r="D579" s="589">
        <v>1</v>
      </c>
      <c r="E579" s="251">
        <v>1</v>
      </c>
      <c r="F579" s="595">
        <v>1.95</v>
      </c>
      <c r="G579" s="235"/>
      <c r="H579" s="235">
        <f>0.35-0.2</f>
        <v>0.14999999999999997</v>
      </c>
      <c r="I579" s="477">
        <f t="shared" ref="I579:I580" si="110">+PRODUCT(D579:H579)</f>
        <v>0.29249999999999993</v>
      </c>
      <c r="J579" s="167"/>
      <c r="K579" s="729"/>
    </row>
    <row r="580" spans="1:11">
      <c r="A580" s="167"/>
      <c r="B580" s="167" t="s">
        <v>1063</v>
      </c>
      <c r="C580" s="397" t="s">
        <v>9</v>
      </c>
      <c r="D580" s="589">
        <v>1</v>
      </c>
      <c r="E580" s="251">
        <v>1</v>
      </c>
      <c r="F580" s="595">
        <v>1.95</v>
      </c>
      <c r="G580" s="235"/>
      <c r="H580" s="235">
        <f>0.35-0.135</f>
        <v>0.21499999999999997</v>
      </c>
      <c r="I580" s="477">
        <f t="shared" si="110"/>
        <v>0.41924999999999996</v>
      </c>
      <c r="J580" s="167"/>
      <c r="K580" s="729"/>
    </row>
    <row r="581" spans="1:11">
      <c r="A581" s="167"/>
      <c r="B581" s="167" t="s">
        <v>1025</v>
      </c>
      <c r="C581" s="397" t="s">
        <v>9</v>
      </c>
      <c r="D581" s="589">
        <v>1</v>
      </c>
      <c r="E581" s="251">
        <v>1</v>
      </c>
      <c r="F581" s="595">
        <v>2.23</v>
      </c>
      <c r="G581" s="235"/>
      <c r="H581" s="235">
        <v>0.2</v>
      </c>
      <c r="I581" s="477">
        <f t="shared" si="105"/>
        <v>0.44600000000000001</v>
      </c>
      <c r="J581" s="167"/>
      <c r="K581" s="729"/>
    </row>
    <row r="582" spans="1:11">
      <c r="A582" s="167"/>
      <c r="B582" s="167" t="s">
        <v>1063</v>
      </c>
      <c r="C582" s="397" t="s">
        <v>9</v>
      </c>
      <c r="D582" s="589">
        <v>1</v>
      </c>
      <c r="E582" s="251">
        <v>1</v>
      </c>
      <c r="F582" s="595">
        <v>2.23</v>
      </c>
      <c r="G582" s="235"/>
      <c r="H582" s="235">
        <f>0.45-0.135</f>
        <v>0.315</v>
      </c>
      <c r="I582" s="477">
        <f t="shared" ref="I582:I583" si="111">+PRODUCT(D582:H582)</f>
        <v>0.70245000000000002</v>
      </c>
      <c r="J582" s="167"/>
      <c r="K582" s="729"/>
    </row>
    <row r="583" spans="1:11">
      <c r="A583" s="167"/>
      <c r="B583" s="167" t="s">
        <v>1063</v>
      </c>
      <c r="C583" s="397" t="s">
        <v>9</v>
      </c>
      <c r="D583" s="589">
        <v>1</v>
      </c>
      <c r="E583" s="251">
        <v>1</v>
      </c>
      <c r="F583" s="595">
        <v>2.23</v>
      </c>
      <c r="G583" s="235"/>
      <c r="H583" s="235">
        <f>0.45-0.125</f>
        <v>0.32500000000000001</v>
      </c>
      <c r="I583" s="477">
        <f t="shared" si="111"/>
        <v>0.72475000000000001</v>
      </c>
      <c r="J583" s="167"/>
      <c r="K583" s="729"/>
    </row>
    <row r="584" spans="1:11">
      <c r="A584" s="167"/>
      <c r="B584" s="167" t="s">
        <v>989</v>
      </c>
      <c r="C584" s="397" t="s">
        <v>9</v>
      </c>
      <c r="D584" s="589">
        <v>1</v>
      </c>
      <c r="E584" s="251">
        <v>1</v>
      </c>
      <c r="F584" s="595">
        <v>5.1449999999999996</v>
      </c>
      <c r="G584" s="235"/>
      <c r="H584" s="235">
        <v>0.2</v>
      </c>
      <c r="I584" s="477">
        <f t="shared" si="105"/>
        <v>1.0289999999999999</v>
      </c>
      <c r="J584" s="167"/>
      <c r="K584" s="729"/>
    </row>
    <row r="585" spans="1:11">
      <c r="A585" s="167"/>
      <c r="B585" s="167" t="s">
        <v>1063</v>
      </c>
      <c r="C585" s="397" t="s">
        <v>9</v>
      </c>
      <c r="D585" s="589">
        <v>1</v>
      </c>
      <c r="E585" s="251">
        <v>1</v>
      </c>
      <c r="F585" s="595">
        <v>5.1449999999999996</v>
      </c>
      <c r="G585" s="235"/>
      <c r="H585" s="235">
        <f>0.5-0.15</f>
        <v>0.35</v>
      </c>
      <c r="I585" s="477">
        <f t="shared" ref="I585:I587" si="112">+PRODUCT(D585:H585)</f>
        <v>1.8007499999999996</v>
      </c>
      <c r="J585" s="167"/>
      <c r="K585" s="729"/>
    </row>
    <row r="586" spans="1:11">
      <c r="A586" s="167"/>
      <c r="B586" s="167" t="s">
        <v>1063</v>
      </c>
      <c r="C586" s="397" t="s">
        <v>9</v>
      </c>
      <c r="D586" s="589">
        <v>1</v>
      </c>
      <c r="E586" s="251">
        <v>1</v>
      </c>
      <c r="F586" s="595">
        <v>2.7749999999999999</v>
      </c>
      <c r="G586" s="235"/>
      <c r="H586" s="235">
        <f>0.5-0.125</f>
        <v>0.375</v>
      </c>
      <c r="I586" s="477">
        <f t="shared" si="112"/>
        <v>1.0406249999999999</v>
      </c>
      <c r="J586" s="167"/>
      <c r="K586" s="729"/>
    </row>
    <row r="587" spans="1:11">
      <c r="A587" s="167"/>
      <c r="B587" s="167" t="s">
        <v>1063</v>
      </c>
      <c r="C587" s="397" t="s">
        <v>9</v>
      </c>
      <c r="D587" s="589">
        <v>1</v>
      </c>
      <c r="E587" s="251">
        <v>1</v>
      </c>
      <c r="F587" s="595">
        <f>5.145-2.775</f>
        <v>2.3699999999999997</v>
      </c>
      <c r="G587" s="235"/>
      <c r="H587" s="235">
        <v>0.5</v>
      </c>
      <c r="I587" s="477">
        <f t="shared" si="112"/>
        <v>1.1849999999999998</v>
      </c>
      <c r="J587" s="167"/>
      <c r="K587" s="729"/>
    </row>
    <row r="588" spans="1:11">
      <c r="A588" s="167"/>
      <c r="B588" s="167" t="s">
        <v>1026</v>
      </c>
      <c r="C588" s="397" t="s">
        <v>9</v>
      </c>
      <c r="D588" s="589">
        <v>1</v>
      </c>
      <c r="E588" s="251">
        <v>1</v>
      </c>
      <c r="F588" s="595">
        <v>3.8</v>
      </c>
      <c r="G588" s="235"/>
      <c r="H588" s="235">
        <v>0.2</v>
      </c>
      <c r="I588" s="477">
        <f t="shared" si="105"/>
        <v>0.76</v>
      </c>
      <c r="J588" s="167"/>
      <c r="K588" s="729"/>
    </row>
    <row r="589" spans="1:11">
      <c r="A589" s="167"/>
      <c r="B589" s="167" t="s">
        <v>1063</v>
      </c>
      <c r="C589" s="397" t="s">
        <v>9</v>
      </c>
      <c r="D589" s="589">
        <v>1</v>
      </c>
      <c r="E589" s="251">
        <v>1</v>
      </c>
      <c r="F589" s="595">
        <v>1.7</v>
      </c>
      <c r="G589" s="235"/>
      <c r="H589" s="235">
        <f>0.5-0.125</f>
        <v>0.375</v>
      </c>
      <c r="I589" s="477">
        <f t="shared" ref="I589:I590" si="113">+PRODUCT(D589:H589)</f>
        <v>0.63749999999999996</v>
      </c>
      <c r="J589" s="167"/>
      <c r="K589" s="729"/>
    </row>
    <row r="590" spans="1:11">
      <c r="A590" s="167"/>
      <c r="B590" s="167" t="s">
        <v>1063</v>
      </c>
      <c r="C590" s="397" t="s">
        <v>9</v>
      </c>
      <c r="D590" s="589">
        <v>1</v>
      </c>
      <c r="E590" s="251">
        <v>1</v>
      </c>
      <c r="F590" s="595">
        <f>3.8-1.7</f>
        <v>2.0999999999999996</v>
      </c>
      <c r="G590" s="235"/>
      <c r="H590" s="235">
        <f>0.5-0.135</f>
        <v>0.36499999999999999</v>
      </c>
      <c r="I590" s="477">
        <f t="shared" si="113"/>
        <v>0.76649999999999985</v>
      </c>
      <c r="J590" s="167"/>
      <c r="K590" s="729"/>
    </row>
    <row r="591" spans="1:11">
      <c r="A591" s="167"/>
      <c r="B591" s="167" t="s">
        <v>1063</v>
      </c>
      <c r="C591" s="397" t="s">
        <v>9</v>
      </c>
      <c r="D591" s="589">
        <v>1</v>
      </c>
      <c r="E591" s="251">
        <v>1</v>
      </c>
      <c r="F591" s="595">
        <v>3.8</v>
      </c>
      <c r="G591" s="235"/>
      <c r="H591" s="235">
        <v>0.5</v>
      </c>
      <c r="I591" s="477">
        <f t="shared" ref="I591" si="114">+PRODUCT(D591:H591)</f>
        <v>1.9</v>
      </c>
      <c r="J591" s="167"/>
      <c r="K591" s="729"/>
    </row>
    <row r="592" spans="1:11">
      <c r="A592" s="167"/>
      <c r="B592" s="167" t="s">
        <v>1027</v>
      </c>
      <c r="C592" s="397" t="s">
        <v>9</v>
      </c>
      <c r="D592" s="589">
        <v>1</v>
      </c>
      <c r="E592" s="251">
        <v>1</v>
      </c>
      <c r="F592" s="595">
        <v>2.95</v>
      </c>
      <c r="G592" s="235"/>
      <c r="H592" s="235">
        <v>0.2</v>
      </c>
      <c r="I592" s="477">
        <f t="shared" si="105"/>
        <v>0.59000000000000008</v>
      </c>
      <c r="J592" s="167"/>
      <c r="K592" s="729"/>
    </row>
    <row r="593" spans="1:11">
      <c r="A593" s="167"/>
      <c r="B593" s="167" t="s">
        <v>1063</v>
      </c>
      <c r="C593" s="397" t="s">
        <v>9</v>
      </c>
      <c r="D593" s="589">
        <v>1</v>
      </c>
      <c r="E593" s="251">
        <v>1</v>
      </c>
      <c r="F593" s="595">
        <v>2.95</v>
      </c>
      <c r="G593" s="235"/>
      <c r="H593" s="235">
        <f>0.35-0.125</f>
        <v>0.22499999999999998</v>
      </c>
      <c r="I593" s="477">
        <f t="shared" ref="I593:I594" si="115">+PRODUCT(D593:H593)</f>
        <v>0.66374999999999995</v>
      </c>
      <c r="J593" s="167"/>
      <c r="K593" s="729"/>
    </row>
    <row r="594" spans="1:11">
      <c r="A594" s="167"/>
      <c r="B594" s="167" t="s">
        <v>1063</v>
      </c>
      <c r="C594" s="397" t="s">
        <v>9</v>
      </c>
      <c r="D594" s="589">
        <v>1</v>
      </c>
      <c r="E594" s="251">
        <v>1</v>
      </c>
      <c r="F594" s="595">
        <v>2.95</v>
      </c>
      <c r="G594" s="235"/>
      <c r="H594" s="235">
        <v>0.35</v>
      </c>
      <c r="I594" s="477">
        <f t="shared" si="115"/>
        <v>1.0325</v>
      </c>
      <c r="J594" s="167"/>
      <c r="K594" s="729"/>
    </row>
    <row r="595" spans="1:11">
      <c r="A595" s="167"/>
      <c r="B595" s="167" t="s">
        <v>1028</v>
      </c>
      <c r="C595" s="397" t="s">
        <v>9</v>
      </c>
      <c r="D595" s="589">
        <v>1</v>
      </c>
      <c r="E595" s="251">
        <v>1</v>
      </c>
      <c r="F595" s="595">
        <v>4.55</v>
      </c>
      <c r="G595" s="235"/>
      <c r="H595" s="235">
        <v>0.2</v>
      </c>
      <c r="I595" s="477">
        <f t="shared" si="105"/>
        <v>0.91</v>
      </c>
      <c r="J595" s="167"/>
      <c r="K595" s="729"/>
    </row>
    <row r="596" spans="1:11">
      <c r="A596" s="167"/>
      <c r="B596" s="167" t="s">
        <v>1063</v>
      </c>
      <c r="C596" s="397" t="s">
        <v>9</v>
      </c>
      <c r="D596" s="589">
        <v>1</v>
      </c>
      <c r="E596" s="251">
        <v>2</v>
      </c>
      <c r="F596" s="595">
        <v>3.15</v>
      </c>
      <c r="G596" s="235"/>
      <c r="H596" s="235">
        <f>0.45-0.135</f>
        <v>0.315</v>
      </c>
      <c r="I596" s="477">
        <f t="shared" ref="I596:I597" si="116">+PRODUCT(D596:H596)</f>
        <v>1.9844999999999999</v>
      </c>
      <c r="J596" s="167"/>
      <c r="K596" s="729"/>
    </row>
    <row r="597" spans="1:11">
      <c r="A597" s="167"/>
      <c r="B597" s="167" t="s">
        <v>1063</v>
      </c>
      <c r="C597" s="397" t="s">
        <v>9</v>
      </c>
      <c r="D597" s="589">
        <v>1</v>
      </c>
      <c r="E597" s="251">
        <v>2</v>
      </c>
      <c r="F597" s="595">
        <f>4.55-3.15</f>
        <v>1.4</v>
      </c>
      <c r="G597" s="235"/>
      <c r="H597" s="235">
        <f>0.45-0.125</f>
        <v>0.32500000000000001</v>
      </c>
      <c r="I597" s="477">
        <f t="shared" si="116"/>
        <v>0.90999999999999992</v>
      </c>
      <c r="J597" s="167"/>
      <c r="K597" s="729"/>
    </row>
    <row r="598" spans="1:11">
      <c r="A598" s="167"/>
      <c r="B598" s="167" t="s">
        <v>1029</v>
      </c>
      <c r="C598" s="397" t="s">
        <v>9</v>
      </c>
      <c r="D598" s="589">
        <v>1</v>
      </c>
      <c r="E598" s="251">
        <v>1</v>
      </c>
      <c r="F598" s="595">
        <v>3.05</v>
      </c>
      <c r="G598" s="235"/>
      <c r="H598" s="235">
        <v>0.2</v>
      </c>
      <c r="I598" s="477">
        <f t="shared" si="105"/>
        <v>0.61</v>
      </c>
      <c r="J598" s="167"/>
      <c r="K598" s="729"/>
    </row>
    <row r="599" spans="1:11">
      <c r="A599" s="167"/>
      <c r="B599" s="167" t="s">
        <v>1063</v>
      </c>
      <c r="C599" s="397" t="s">
        <v>9</v>
      </c>
      <c r="D599" s="589">
        <v>1</v>
      </c>
      <c r="E599" s="251">
        <v>1</v>
      </c>
      <c r="F599" s="595">
        <v>3.05</v>
      </c>
      <c r="G599" s="235"/>
      <c r="H599" s="235">
        <f>0.5-0.135</f>
        <v>0.36499999999999999</v>
      </c>
      <c r="I599" s="477">
        <f t="shared" ref="I599:I601" si="117">+PRODUCT(D599:H599)</f>
        <v>1.1132499999999999</v>
      </c>
      <c r="J599" s="167"/>
      <c r="K599" s="729"/>
    </row>
    <row r="600" spans="1:11">
      <c r="A600" s="167"/>
      <c r="B600" s="167" t="s">
        <v>1063</v>
      </c>
      <c r="C600" s="397" t="s">
        <v>9</v>
      </c>
      <c r="D600" s="589">
        <v>1</v>
      </c>
      <c r="E600" s="251">
        <v>1</v>
      </c>
      <c r="F600" s="595">
        <v>1.85</v>
      </c>
      <c r="G600" s="235"/>
      <c r="H600" s="235">
        <f>0.5-0.15</f>
        <v>0.35</v>
      </c>
      <c r="I600" s="477">
        <f t="shared" si="117"/>
        <v>0.64749999999999996</v>
      </c>
      <c r="J600" s="167"/>
      <c r="K600" s="729"/>
    </row>
    <row r="601" spans="1:11">
      <c r="A601" s="167"/>
      <c r="B601" s="167" t="s">
        <v>1063</v>
      </c>
      <c r="C601" s="397" t="s">
        <v>9</v>
      </c>
      <c r="D601" s="589">
        <v>1</v>
      </c>
      <c r="E601" s="251">
        <v>1</v>
      </c>
      <c r="F601" s="595">
        <f>3.05-1.85</f>
        <v>1.1999999999999997</v>
      </c>
      <c r="G601" s="235"/>
      <c r="H601" s="235">
        <f>0.5-0.2</f>
        <v>0.3</v>
      </c>
      <c r="I601" s="477">
        <f t="shared" si="117"/>
        <v>0.35999999999999993</v>
      </c>
      <c r="J601" s="167"/>
      <c r="K601" s="729"/>
    </row>
    <row r="602" spans="1:11">
      <c r="A602" s="167"/>
      <c r="B602" s="167" t="s">
        <v>1030</v>
      </c>
      <c r="C602" s="397" t="s">
        <v>9</v>
      </c>
      <c r="D602" s="589">
        <v>1</v>
      </c>
      <c r="E602" s="251">
        <v>1</v>
      </c>
      <c r="F602" s="595">
        <v>2.5</v>
      </c>
      <c r="G602" s="235"/>
      <c r="H602" s="235">
        <v>0.2</v>
      </c>
      <c r="I602" s="477">
        <f t="shared" si="105"/>
        <v>0.5</v>
      </c>
      <c r="J602" s="167"/>
      <c r="K602" s="729"/>
    </row>
    <row r="603" spans="1:11">
      <c r="A603" s="167"/>
      <c r="B603" s="167" t="s">
        <v>1063</v>
      </c>
      <c r="C603" s="397" t="s">
        <v>9</v>
      </c>
      <c r="D603" s="589">
        <v>1</v>
      </c>
      <c r="E603" s="251">
        <v>2</v>
      </c>
      <c r="F603" s="595">
        <v>2.5</v>
      </c>
      <c r="G603" s="235"/>
      <c r="H603" s="235">
        <f>0.45-0.125</f>
        <v>0.32500000000000001</v>
      </c>
      <c r="I603" s="477">
        <f t="shared" ref="I603" si="118">+PRODUCT(D603:H603)</f>
        <v>1.625</v>
      </c>
      <c r="J603" s="167"/>
      <c r="K603" s="729"/>
    </row>
    <row r="604" spans="1:11">
      <c r="A604" s="167"/>
      <c r="B604" s="167" t="s">
        <v>990</v>
      </c>
      <c r="C604" s="397" t="s">
        <v>9</v>
      </c>
      <c r="D604" s="589">
        <v>1</v>
      </c>
      <c r="E604" s="251">
        <v>1</v>
      </c>
      <c r="F604" s="595">
        <v>3.1150000000000002</v>
      </c>
      <c r="G604" s="235"/>
      <c r="H604" s="235">
        <v>0.23</v>
      </c>
      <c r="I604" s="477">
        <f t="shared" si="105"/>
        <v>0.71645000000000003</v>
      </c>
      <c r="J604" s="167"/>
      <c r="K604" s="729"/>
    </row>
    <row r="605" spans="1:11">
      <c r="A605" s="167"/>
      <c r="B605" s="167" t="s">
        <v>1063</v>
      </c>
      <c r="C605" s="397" t="s">
        <v>9</v>
      </c>
      <c r="D605" s="589">
        <v>1</v>
      </c>
      <c r="E605" s="251">
        <v>1</v>
      </c>
      <c r="F605" s="595">
        <v>3.1150000000000002</v>
      </c>
      <c r="G605" s="235"/>
      <c r="H605" s="235">
        <f>0.5-0.15</f>
        <v>0.35</v>
      </c>
      <c r="I605" s="477">
        <f t="shared" ref="I605:I606" si="119">+PRODUCT(D605:H605)</f>
        <v>1.0902499999999999</v>
      </c>
      <c r="J605" s="167"/>
      <c r="K605" s="729"/>
    </row>
    <row r="606" spans="1:11">
      <c r="A606" s="167"/>
      <c r="B606" s="167" t="s">
        <v>1063</v>
      </c>
      <c r="C606" s="397" t="s">
        <v>9</v>
      </c>
      <c r="D606" s="589">
        <v>1</v>
      </c>
      <c r="E606" s="251">
        <v>1</v>
      </c>
      <c r="F606" s="595">
        <v>3.1150000000000002</v>
      </c>
      <c r="G606" s="235"/>
      <c r="H606" s="235">
        <f>0.5-0.125</f>
        <v>0.375</v>
      </c>
      <c r="I606" s="477">
        <f t="shared" si="119"/>
        <v>1.1681250000000001</v>
      </c>
      <c r="J606" s="167"/>
      <c r="K606" s="729"/>
    </row>
    <row r="607" spans="1:11">
      <c r="A607" s="167"/>
      <c r="B607" s="167" t="s">
        <v>1031</v>
      </c>
      <c r="C607" s="397" t="s">
        <v>9</v>
      </c>
      <c r="D607" s="589">
        <v>1</v>
      </c>
      <c r="E607" s="251">
        <v>1</v>
      </c>
      <c r="F607" s="595">
        <v>2.335</v>
      </c>
      <c r="G607" s="235"/>
      <c r="H607" s="235">
        <v>0.2</v>
      </c>
      <c r="I607" s="477">
        <f t="shared" si="105"/>
        <v>0.46700000000000003</v>
      </c>
      <c r="J607" s="167"/>
      <c r="K607" s="729"/>
    </row>
    <row r="608" spans="1:11">
      <c r="A608" s="167"/>
      <c r="B608" s="167" t="s">
        <v>1063</v>
      </c>
      <c r="C608" s="397" t="s">
        <v>9</v>
      </c>
      <c r="D608" s="589">
        <v>1</v>
      </c>
      <c r="E608" s="251">
        <v>1</v>
      </c>
      <c r="F608" s="595">
        <v>2.335</v>
      </c>
      <c r="G608" s="235"/>
      <c r="H608" s="235">
        <f>0.35-0.2</f>
        <v>0.14999999999999997</v>
      </c>
      <c r="I608" s="477">
        <f t="shared" ref="I608:I609" si="120">+PRODUCT(D608:H608)</f>
        <v>0.35024999999999989</v>
      </c>
      <c r="J608" s="167"/>
      <c r="K608" s="729"/>
    </row>
    <row r="609" spans="1:11">
      <c r="A609" s="167"/>
      <c r="B609" s="167" t="s">
        <v>1063</v>
      </c>
      <c r="C609" s="397" t="s">
        <v>9</v>
      </c>
      <c r="D609" s="589">
        <v>1</v>
      </c>
      <c r="E609" s="251">
        <v>1</v>
      </c>
      <c r="F609" s="595">
        <v>2.335</v>
      </c>
      <c r="G609" s="235"/>
      <c r="H609" s="235">
        <f>0.35-0.135</f>
        <v>0.21499999999999997</v>
      </c>
      <c r="I609" s="477">
        <f t="shared" si="120"/>
        <v>0.50202499999999994</v>
      </c>
      <c r="J609" s="167"/>
      <c r="K609" s="729"/>
    </row>
    <row r="610" spans="1:11">
      <c r="A610" s="167"/>
      <c r="B610" s="167" t="s">
        <v>1032</v>
      </c>
      <c r="C610" s="397" t="s">
        <v>9</v>
      </c>
      <c r="D610" s="589">
        <v>1</v>
      </c>
      <c r="E610" s="251">
        <v>1</v>
      </c>
      <c r="F610" s="595">
        <v>3.2</v>
      </c>
      <c r="G610" s="235"/>
      <c r="H610" s="235">
        <v>0.23</v>
      </c>
      <c r="I610" s="477">
        <f t="shared" si="105"/>
        <v>0.7360000000000001</v>
      </c>
      <c r="J610" s="167"/>
      <c r="K610" s="729"/>
    </row>
    <row r="611" spans="1:11">
      <c r="A611" s="167"/>
      <c r="B611" s="167" t="s">
        <v>1063</v>
      </c>
      <c r="C611" s="397" t="s">
        <v>9</v>
      </c>
      <c r="D611" s="589">
        <v>1</v>
      </c>
      <c r="E611" s="251">
        <v>1</v>
      </c>
      <c r="F611" s="595">
        <v>3.2</v>
      </c>
      <c r="G611" s="235"/>
      <c r="H611" s="235">
        <f>0.5-0.175</f>
        <v>0.32500000000000001</v>
      </c>
      <c r="I611" s="477">
        <f t="shared" ref="I611:I612" si="121">+PRODUCT(D611:H611)</f>
        <v>1.04</v>
      </c>
      <c r="J611" s="167"/>
      <c r="K611" s="729"/>
    </row>
    <row r="612" spans="1:11">
      <c r="A612" s="167"/>
      <c r="B612" s="167" t="s">
        <v>1063</v>
      </c>
      <c r="C612" s="397" t="s">
        <v>9</v>
      </c>
      <c r="D612" s="589">
        <v>1</v>
      </c>
      <c r="E612" s="251">
        <v>1</v>
      </c>
      <c r="F612" s="595">
        <v>3.2</v>
      </c>
      <c r="G612" s="235"/>
      <c r="H612" s="235">
        <v>0.5</v>
      </c>
      <c r="I612" s="477">
        <f t="shared" si="121"/>
        <v>1.6</v>
      </c>
      <c r="J612" s="167"/>
      <c r="K612" s="729"/>
    </row>
    <row r="613" spans="1:11">
      <c r="A613" s="167"/>
      <c r="B613" s="167" t="s">
        <v>991</v>
      </c>
      <c r="C613" s="397" t="s">
        <v>9</v>
      </c>
      <c r="D613" s="589">
        <v>1</v>
      </c>
      <c r="E613" s="251">
        <v>1</v>
      </c>
      <c r="F613" s="595">
        <v>0.35</v>
      </c>
      <c r="G613" s="235"/>
      <c r="H613" s="235">
        <v>0.23</v>
      </c>
      <c r="I613" s="477">
        <f t="shared" si="105"/>
        <v>8.0500000000000002E-2</v>
      </c>
      <c r="J613" s="167"/>
      <c r="K613" s="729"/>
    </row>
    <row r="614" spans="1:11">
      <c r="A614" s="167"/>
      <c r="B614" s="167" t="s">
        <v>1063</v>
      </c>
      <c r="C614" s="397" t="s">
        <v>9</v>
      </c>
      <c r="D614" s="589">
        <v>1</v>
      </c>
      <c r="E614" s="251">
        <v>2</v>
      </c>
      <c r="F614" s="595">
        <v>0.35</v>
      </c>
      <c r="G614" s="235"/>
      <c r="H614" s="235">
        <v>0.45</v>
      </c>
      <c r="I614" s="477">
        <f t="shared" ref="I614" si="122">+PRODUCT(D614:H614)</f>
        <v>0.315</v>
      </c>
      <c r="J614" s="167"/>
      <c r="K614" s="729"/>
    </row>
    <row r="615" spans="1:11">
      <c r="A615" s="167"/>
      <c r="B615" s="167" t="s">
        <v>1033</v>
      </c>
      <c r="C615" s="397" t="s">
        <v>9</v>
      </c>
      <c r="D615" s="589">
        <v>1</v>
      </c>
      <c r="E615" s="251">
        <v>1</v>
      </c>
      <c r="F615" s="595">
        <f>1.61+0.35</f>
        <v>1.96</v>
      </c>
      <c r="G615" s="235"/>
      <c r="H615" s="235">
        <v>0.2</v>
      </c>
      <c r="I615" s="477">
        <f t="shared" si="105"/>
        <v>0.39200000000000002</v>
      </c>
      <c r="J615" s="167"/>
      <c r="K615" s="729"/>
    </row>
    <row r="616" spans="1:11">
      <c r="A616" s="167"/>
      <c r="B616" s="167" t="s">
        <v>1063</v>
      </c>
      <c r="C616" s="397" t="s">
        <v>9</v>
      </c>
      <c r="D616" s="589">
        <v>1</v>
      </c>
      <c r="E616" s="251">
        <v>2</v>
      </c>
      <c r="F616" s="595">
        <f>1.61+0.35</f>
        <v>1.96</v>
      </c>
      <c r="G616" s="235"/>
      <c r="H616" s="235">
        <f>0.45-0.125</f>
        <v>0.32500000000000001</v>
      </c>
      <c r="I616" s="477">
        <f t="shared" ref="I616" si="123">+PRODUCT(D616:H616)</f>
        <v>1.274</v>
      </c>
      <c r="J616" s="167"/>
      <c r="K616" s="729"/>
    </row>
    <row r="617" spans="1:11">
      <c r="A617" s="167"/>
      <c r="B617" s="167" t="s">
        <v>1034</v>
      </c>
      <c r="C617" s="397" t="s">
        <v>9</v>
      </c>
      <c r="D617" s="589">
        <v>1</v>
      </c>
      <c r="E617" s="251">
        <v>1</v>
      </c>
      <c r="F617" s="595">
        <v>3.2</v>
      </c>
      <c r="G617" s="235"/>
      <c r="H617" s="235">
        <v>0.23</v>
      </c>
      <c r="I617" s="477">
        <f t="shared" si="105"/>
        <v>0.7360000000000001</v>
      </c>
      <c r="J617" s="167"/>
      <c r="K617" s="729"/>
    </row>
    <row r="618" spans="1:11">
      <c r="A618" s="167"/>
      <c r="B618" s="167" t="s">
        <v>1063</v>
      </c>
      <c r="C618" s="397" t="s">
        <v>9</v>
      </c>
      <c r="D618" s="589">
        <v>1</v>
      </c>
      <c r="E618" s="251">
        <v>1</v>
      </c>
      <c r="F618" s="595">
        <v>3.2</v>
      </c>
      <c r="G618" s="235"/>
      <c r="H618" s="235">
        <f>0.45-0.125</f>
        <v>0.32500000000000001</v>
      </c>
      <c r="I618" s="477">
        <f t="shared" ref="I618:I619" si="124">+PRODUCT(D618:H618)</f>
        <v>1.04</v>
      </c>
      <c r="J618" s="167"/>
      <c r="K618" s="729"/>
    </row>
    <row r="619" spans="1:11">
      <c r="A619" s="167"/>
      <c r="B619" s="167" t="s">
        <v>1063</v>
      </c>
      <c r="C619" s="397" t="s">
        <v>9</v>
      </c>
      <c r="D619" s="589">
        <v>1</v>
      </c>
      <c r="E619" s="251">
        <v>1</v>
      </c>
      <c r="F619" s="595">
        <v>3.2</v>
      </c>
      <c r="G619" s="235"/>
      <c r="H619" s="235">
        <v>0.45</v>
      </c>
      <c r="I619" s="477">
        <f t="shared" si="124"/>
        <v>1.4400000000000002</v>
      </c>
      <c r="J619" s="167"/>
      <c r="K619" s="729"/>
    </row>
    <row r="620" spans="1:11">
      <c r="A620" s="167"/>
      <c r="B620" s="167" t="s">
        <v>992</v>
      </c>
      <c r="C620" s="397" t="s">
        <v>9</v>
      </c>
      <c r="D620" s="589">
        <v>1</v>
      </c>
      <c r="E620" s="251">
        <v>1</v>
      </c>
      <c r="F620" s="595">
        <v>2.335</v>
      </c>
      <c r="G620" s="235"/>
      <c r="H620" s="235">
        <v>0.2</v>
      </c>
      <c r="I620" s="477">
        <f t="shared" si="105"/>
        <v>0.46700000000000003</v>
      </c>
      <c r="J620" s="167"/>
      <c r="K620" s="729"/>
    </row>
    <row r="621" spans="1:11">
      <c r="A621" s="167"/>
      <c r="B621" s="167" t="s">
        <v>1063</v>
      </c>
      <c r="C621" s="397" t="s">
        <v>9</v>
      </c>
      <c r="D621" s="589">
        <v>1</v>
      </c>
      <c r="E621" s="251">
        <v>1</v>
      </c>
      <c r="F621" s="595">
        <v>2.335</v>
      </c>
      <c r="G621" s="235"/>
      <c r="H621" s="235">
        <f>0.45-0.135</f>
        <v>0.315</v>
      </c>
      <c r="I621" s="477">
        <f t="shared" ref="I621:I622" si="125">+PRODUCT(D621:H621)</f>
        <v>0.73552499999999998</v>
      </c>
      <c r="J621" s="167"/>
      <c r="K621" s="729"/>
    </row>
    <row r="622" spans="1:11">
      <c r="A622" s="167"/>
      <c r="B622" s="167" t="s">
        <v>1063</v>
      </c>
      <c r="C622" s="397" t="s">
        <v>9</v>
      </c>
      <c r="D622" s="589">
        <v>1</v>
      </c>
      <c r="E622" s="251">
        <v>1</v>
      </c>
      <c r="F622" s="595">
        <v>2.335</v>
      </c>
      <c r="G622" s="235"/>
      <c r="H622" s="235">
        <f>0.45-0.125</f>
        <v>0.32500000000000001</v>
      </c>
      <c r="I622" s="477">
        <f t="shared" si="125"/>
        <v>0.75887499999999997</v>
      </c>
      <c r="J622" s="167"/>
      <c r="K622" s="729"/>
    </row>
    <row r="623" spans="1:11">
      <c r="A623" s="167"/>
      <c r="B623" s="167" t="s">
        <v>1035</v>
      </c>
      <c r="C623" s="397" t="s">
        <v>9</v>
      </c>
      <c r="D623" s="589">
        <v>1</v>
      </c>
      <c r="E623" s="251">
        <v>1</v>
      </c>
      <c r="F623" s="595">
        <v>2.54</v>
      </c>
      <c r="G623" s="235"/>
      <c r="H623" s="235">
        <v>0.23</v>
      </c>
      <c r="I623" s="477">
        <f t="shared" si="105"/>
        <v>0.58420000000000005</v>
      </c>
      <c r="J623" s="167"/>
      <c r="K623" s="729"/>
    </row>
    <row r="624" spans="1:11">
      <c r="A624" s="167"/>
      <c r="B624" s="167" t="s">
        <v>1063</v>
      </c>
      <c r="C624" s="397" t="s">
        <v>9</v>
      </c>
      <c r="D624" s="589">
        <v>1</v>
      </c>
      <c r="E624" s="251">
        <v>1</v>
      </c>
      <c r="F624" s="595">
        <v>2.54</v>
      </c>
      <c r="G624" s="235"/>
      <c r="H624" s="235">
        <f>0.5-0.125</f>
        <v>0.375</v>
      </c>
      <c r="I624" s="477">
        <f t="shared" ref="I624" si="126">+PRODUCT(D624:H624)</f>
        <v>0.95250000000000001</v>
      </c>
      <c r="J624" s="167"/>
      <c r="K624" s="729"/>
    </row>
    <row r="625" spans="1:11">
      <c r="A625" s="167"/>
      <c r="B625" s="167" t="s">
        <v>1063</v>
      </c>
      <c r="C625" s="397" t="s">
        <v>9</v>
      </c>
      <c r="D625" s="589">
        <v>1</v>
      </c>
      <c r="E625" s="251">
        <v>1</v>
      </c>
      <c r="F625" s="595">
        <v>2.54</v>
      </c>
      <c r="G625" s="235"/>
      <c r="H625" s="235">
        <v>0.5</v>
      </c>
      <c r="I625" s="477">
        <f t="shared" ref="I625" si="127">+PRODUCT(D625:H625)</f>
        <v>1.27</v>
      </c>
      <c r="J625" s="167"/>
      <c r="K625" s="729"/>
    </row>
    <row r="626" spans="1:11">
      <c r="A626" s="167"/>
      <c r="B626" s="167" t="s">
        <v>1036</v>
      </c>
      <c r="C626" s="397" t="s">
        <v>9</v>
      </c>
      <c r="D626" s="589">
        <v>1</v>
      </c>
      <c r="E626" s="251">
        <v>1</v>
      </c>
      <c r="F626" s="595">
        <v>3.43</v>
      </c>
      <c r="G626" s="235"/>
      <c r="H626" s="235">
        <v>0.23</v>
      </c>
      <c r="I626" s="477">
        <f t="shared" si="105"/>
        <v>0.78890000000000005</v>
      </c>
      <c r="J626" s="167"/>
      <c r="K626" s="729"/>
    </row>
    <row r="627" spans="1:11">
      <c r="A627" s="167"/>
      <c r="B627" s="167" t="s">
        <v>1063</v>
      </c>
      <c r="C627" s="397" t="s">
        <v>9</v>
      </c>
      <c r="D627" s="589">
        <v>1</v>
      </c>
      <c r="E627" s="251">
        <v>2</v>
      </c>
      <c r="F627" s="595">
        <v>3.43</v>
      </c>
      <c r="G627" s="235"/>
      <c r="H627" s="235">
        <f>0.45-0.125</f>
        <v>0.32500000000000001</v>
      </c>
      <c r="I627" s="477">
        <f t="shared" ref="I627" si="128">+PRODUCT(D627:H627)</f>
        <v>2.2295000000000003</v>
      </c>
      <c r="J627" s="167"/>
      <c r="K627" s="729"/>
    </row>
    <row r="628" spans="1:11">
      <c r="A628" s="167"/>
      <c r="B628" s="167" t="s">
        <v>1037</v>
      </c>
      <c r="C628" s="397" t="s">
        <v>9</v>
      </c>
      <c r="D628" s="589">
        <v>1</v>
      </c>
      <c r="E628" s="251">
        <v>1</v>
      </c>
      <c r="F628" s="595">
        <v>2.2250000000000001</v>
      </c>
      <c r="G628" s="235"/>
      <c r="H628" s="235">
        <v>0.2</v>
      </c>
      <c r="I628" s="477">
        <f t="shared" si="105"/>
        <v>0.44500000000000006</v>
      </c>
      <c r="J628" s="167"/>
      <c r="K628" s="729"/>
    </row>
    <row r="629" spans="1:11">
      <c r="A629" s="167"/>
      <c r="B629" s="167" t="s">
        <v>1063</v>
      </c>
      <c r="C629" s="397" t="s">
        <v>9</v>
      </c>
      <c r="D629" s="589">
        <v>1</v>
      </c>
      <c r="E629" s="251">
        <v>1</v>
      </c>
      <c r="F629" s="595">
        <v>2.2250000000000001</v>
      </c>
      <c r="G629" s="235"/>
      <c r="H629" s="235">
        <f>0.5-0.182</f>
        <v>0.318</v>
      </c>
      <c r="I629" s="477">
        <f t="shared" ref="I629:I630" si="129">+PRODUCT(D629:H629)</f>
        <v>0.70755000000000001</v>
      </c>
      <c r="J629" s="167"/>
      <c r="K629" s="729"/>
    </row>
    <row r="630" spans="1:11">
      <c r="A630" s="167"/>
      <c r="B630" s="167" t="s">
        <v>1063</v>
      </c>
      <c r="C630" s="397" t="s">
        <v>9</v>
      </c>
      <c r="D630" s="589">
        <v>1</v>
      </c>
      <c r="E630" s="251">
        <v>1</v>
      </c>
      <c r="F630" s="595">
        <v>2.2250000000000001</v>
      </c>
      <c r="G630" s="235"/>
      <c r="H630" s="235">
        <f>0.5-0.125</f>
        <v>0.375</v>
      </c>
      <c r="I630" s="477">
        <f t="shared" si="129"/>
        <v>0.83437500000000009</v>
      </c>
      <c r="J630" s="167"/>
      <c r="K630" s="729"/>
    </row>
    <row r="631" spans="1:11">
      <c r="A631" s="167"/>
      <c r="B631" s="167" t="s">
        <v>993</v>
      </c>
      <c r="C631" s="397" t="s">
        <v>9</v>
      </c>
      <c r="D631" s="589">
        <v>1</v>
      </c>
      <c r="E631" s="251">
        <v>1</v>
      </c>
      <c r="F631" s="595">
        <v>3.14</v>
      </c>
      <c r="G631" s="235"/>
      <c r="H631" s="235">
        <v>0.2</v>
      </c>
      <c r="I631" s="477">
        <f t="shared" si="105"/>
        <v>0.62800000000000011</v>
      </c>
      <c r="J631" s="167"/>
      <c r="K631" s="729"/>
    </row>
    <row r="632" spans="1:11">
      <c r="A632" s="167"/>
      <c r="B632" s="167" t="s">
        <v>1063</v>
      </c>
      <c r="C632" s="397" t="s">
        <v>9</v>
      </c>
      <c r="D632" s="589">
        <v>1</v>
      </c>
      <c r="E632" s="251">
        <v>1</v>
      </c>
      <c r="F632" s="595">
        <v>3.14</v>
      </c>
      <c r="G632" s="235"/>
      <c r="H632" s="235">
        <f>0.45-0.15</f>
        <v>0.30000000000000004</v>
      </c>
      <c r="I632" s="477">
        <f t="shared" ref="I632:I633" si="130">+PRODUCT(D632:H632)</f>
        <v>0.94200000000000017</v>
      </c>
      <c r="J632" s="167"/>
      <c r="K632" s="729"/>
    </row>
    <row r="633" spans="1:11">
      <c r="A633" s="167"/>
      <c r="B633" s="167" t="s">
        <v>1063</v>
      </c>
      <c r="C633" s="397" t="s">
        <v>9</v>
      </c>
      <c r="D633" s="589">
        <v>1</v>
      </c>
      <c r="E633" s="251">
        <v>1</v>
      </c>
      <c r="F633" s="595">
        <v>3.14</v>
      </c>
      <c r="G633" s="235"/>
      <c r="H633" s="235">
        <f>0.45-0.125</f>
        <v>0.32500000000000001</v>
      </c>
      <c r="I633" s="477">
        <f t="shared" si="130"/>
        <v>1.0205000000000002</v>
      </c>
      <c r="J633" s="167"/>
      <c r="K633" s="729"/>
    </row>
    <row r="634" spans="1:11">
      <c r="A634" s="167"/>
      <c r="B634" s="167" t="s">
        <v>1039</v>
      </c>
      <c r="C634" s="397" t="s">
        <v>9</v>
      </c>
      <c r="D634" s="589">
        <v>1</v>
      </c>
      <c r="E634" s="251">
        <v>1</v>
      </c>
      <c r="F634" s="595">
        <v>3.43</v>
      </c>
      <c r="G634" s="235"/>
      <c r="H634" s="235">
        <v>0.2</v>
      </c>
      <c r="I634" s="477">
        <f t="shared" si="105"/>
        <v>0.68600000000000005</v>
      </c>
      <c r="J634" s="167"/>
      <c r="K634" s="729"/>
    </row>
    <row r="635" spans="1:11">
      <c r="A635" s="167"/>
      <c r="B635" s="167" t="s">
        <v>1063</v>
      </c>
      <c r="C635" s="397" t="s">
        <v>9</v>
      </c>
      <c r="D635" s="589">
        <v>1</v>
      </c>
      <c r="E635" s="251">
        <v>1</v>
      </c>
      <c r="F635" s="595">
        <v>3.43</v>
      </c>
      <c r="G635" s="235"/>
      <c r="H635" s="235">
        <f>0.45-0.135</f>
        <v>0.315</v>
      </c>
      <c r="I635" s="477">
        <f t="shared" ref="I635:I637" si="131">+PRODUCT(D635:H635)</f>
        <v>1.0804500000000001</v>
      </c>
      <c r="J635" s="167"/>
      <c r="K635" s="729"/>
    </row>
    <row r="636" spans="1:11">
      <c r="A636" s="167"/>
      <c r="B636" s="167" t="s">
        <v>1063</v>
      </c>
      <c r="C636" s="397" t="s">
        <v>9</v>
      </c>
      <c r="D636" s="589">
        <v>1</v>
      </c>
      <c r="E636" s="251">
        <v>1</v>
      </c>
      <c r="F636" s="595">
        <v>1.2050000000000001</v>
      </c>
      <c r="G636" s="235"/>
      <c r="H636" s="235">
        <f>0.45-0.125</f>
        <v>0.32500000000000001</v>
      </c>
      <c r="I636" s="477">
        <f t="shared" si="131"/>
        <v>0.39162500000000006</v>
      </c>
      <c r="J636" s="167"/>
      <c r="K636" s="729"/>
    </row>
    <row r="637" spans="1:11">
      <c r="A637" s="167"/>
      <c r="B637" s="167" t="s">
        <v>1063</v>
      </c>
      <c r="C637" s="397" t="s">
        <v>9</v>
      </c>
      <c r="D637" s="589">
        <v>1</v>
      </c>
      <c r="E637" s="251">
        <v>1</v>
      </c>
      <c r="F637" s="595">
        <f>3.43-1.205</f>
        <v>2.2250000000000001</v>
      </c>
      <c r="G637" s="235"/>
      <c r="H637" s="235">
        <f>0.45-0.15</f>
        <v>0.30000000000000004</v>
      </c>
      <c r="I637" s="477">
        <f t="shared" si="131"/>
        <v>0.66750000000000009</v>
      </c>
      <c r="J637" s="167"/>
      <c r="K637" s="729"/>
    </row>
    <row r="638" spans="1:11">
      <c r="A638" s="167"/>
      <c r="B638" s="167" t="s">
        <v>1040</v>
      </c>
      <c r="C638" s="397" t="s">
        <v>9</v>
      </c>
      <c r="D638" s="589">
        <v>1</v>
      </c>
      <c r="E638" s="251">
        <v>1</v>
      </c>
      <c r="F638" s="595">
        <v>1.99</v>
      </c>
      <c r="G638" s="235"/>
      <c r="H638" s="235">
        <v>0.23</v>
      </c>
      <c r="I638" s="477">
        <f t="shared" si="105"/>
        <v>0.4577</v>
      </c>
      <c r="J638" s="167"/>
      <c r="K638" s="729"/>
    </row>
    <row r="639" spans="1:11">
      <c r="A639" s="167"/>
      <c r="B639" s="167" t="s">
        <v>1063</v>
      </c>
      <c r="C639" s="397" t="s">
        <v>9</v>
      </c>
      <c r="D639" s="589">
        <v>1</v>
      </c>
      <c r="E639" s="251">
        <v>1</v>
      </c>
      <c r="F639" s="595">
        <v>1.99</v>
      </c>
      <c r="G639" s="235"/>
      <c r="H639" s="235">
        <f>0.45-0.125</f>
        <v>0.32500000000000001</v>
      </c>
      <c r="I639" s="477">
        <f t="shared" ref="I639:I640" si="132">+PRODUCT(D639:H639)</f>
        <v>0.64675000000000005</v>
      </c>
      <c r="J639" s="167"/>
      <c r="K639" s="729"/>
    </row>
    <row r="640" spans="1:11">
      <c r="A640" s="167"/>
      <c r="B640" s="167" t="s">
        <v>1063</v>
      </c>
      <c r="C640" s="397" t="s">
        <v>9</v>
      </c>
      <c r="D640" s="589">
        <v>1</v>
      </c>
      <c r="E640" s="251">
        <v>1</v>
      </c>
      <c r="F640" s="595">
        <v>1.99</v>
      </c>
      <c r="G640" s="235"/>
      <c r="H640" s="235">
        <f>0.45-0.15</f>
        <v>0.30000000000000004</v>
      </c>
      <c r="I640" s="477">
        <f t="shared" si="132"/>
        <v>0.59700000000000009</v>
      </c>
      <c r="J640" s="167"/>
      <c r="K640" s="729"/>
    </row>
    <row r="641" spans="1:11">
      <c r="A641" s="167"/>
      <c r="B641" s="167" t="s">
        <v>1038</v>
      </c>
      <c r="C641" s="397" t="s">
        <v>9</v>
      </c>
      <c r="D641" s="589">
        <v>1</v>
      </c>
      <c r="E641" s="251">
        <v>1</v>
      </c>
      <c r="F641" s="595">
        <v>2.2250000000000001</v>
      </c>
      <c r="G641" s="235"/>
      <c r="H641" s="235">
        <v>0.2</v>
      </c>
      <c r="I641" s="477">
        <f t="shared" ref="I641:I643" si="133">+PRODUCT(D641:H641)</f>
        <v>0.44500000000000006</v>
      </c>
      <c r="J641" s="167"/>
      <c r="K641" s="729"/>
    </row>
    <row r="642" spans="1:11">
      <c r="A642" s="167"/>
      <c r="B642" s="167" t="s">
        <v>1063</v>
      </c>
      <c r="C642" s="397" t="s">
        <v>9</v>
      </c>
      <c r="D642" s="589">
        <v>1</v>
      </c>
      <c r="E642" s="251">
        <v>1</v>
      </c>
      <c r="F642" s="595">
        <v>2.2250000000000001</v>
      </c>
      <c r="G642" s="235"/>
      <c r="H642" s="235">
        <f>0.5-0.182</f>
        <v>0.318</v>
      </c>
      <c r="I642" s="477">
        <f t="shared" si="133"/>
        <v>0.70755000000000001</v>
      </c>
      <c r="J642" s="167"/>
      <c r="K642" s="729"/>
    </row>
    <row r="643" spans="1:11">
      <c r="A643" s="167"/>
      <c r="B643" s="167" t="s">
        <v>1063</v>
      </c>
      <c r="C643" s="397" t="s">
        <v>9</v>
      </c>
      <c r="D643" s="589">
        <v>1</v>
      </c>
      <c r="E643" s="251">
        <v>1</v>
      </c>
      <c r="F643" s="595">
        <v>2.2250000000000001</v>
      </c>
      <c r="G643" s="235"/>
      <c r="H643" s="235">
        <f>0.5-0.125</f>
        <v>0.375</v>
      </c>
      <c r="I643" s="477">
        <f t="shared" si="133"/>
        <v>0.83437500000000009</v>
      </c>
      <c r="J643" s="167"/>
      <c r="K643" s="729"/>
    </row>
    <row r="644" spans="1:11">
      <c r="A644" s="167"/>
      <c r="B644" s="167" t="s">
        <v>994</v>
      </c>
      <c r="C644" s="397" t="s">
        <v>9</v>
      </c>
      <c r="D644" s="589">
        <v>1</v>
      </c>
      <c r="E644" s="251">
        <v>1</v>
      </c>
      <c r="F644" s="595">
        <v>3.06</v>
      </c>
      <c r="G644" s="235"/>
      <c r="H644" s="235">
        <v>0.2</v>
      </c>
      <c r="I644" s="477">
        <f t="shared" si="105"/>
        <v>0.6120000000000001</v>
      </c>
      <c r="J644" s="167"/>
      <c r="K644" s="729"/>
    </row>
    <row r="645" spans="1:11">
      <c r="A645" s="167"/>
      <c r="B645" s="167" t="s">
        <v>1063</v>
      </c>
      <c r="C645" s="397" t="s">
        <v>9</v>
      </c>
      <c r="D645" s="589">
        <v>1</v>
      </c>
      <c r="E645" s="251">
        <v>1</v>
      </c>
      <c r="F645" s="595">
        <v>3.06</v>
      </c>
      <c r="G645" s="235"/>
      <c r="H645" s="235">
        <f>0.45-0.15</f>
        <v>0.30000000000000004</v>
      </c>
      <c r="I645" s="477">
        <f t="shared" ref="I645:I647" si="134">+PRODUCT(D645:H645)</f>
        <v>0.91800000000000015</v>
      </c>
      <c r="J645" s="167"/>
      <c r="K645" s="729"/>
    </row>
    <row r="646" spans="1:11">
      <c r="A646" s="167"/>
      <c r="B646" s="167" t="s">
        <v>1063</v>
      </c>
      <c r="C646" s="397" t="s">
        <v>9</v>
      </c>
      <c r="D646" s="589">
        <v>1</v>
      </c>
      <c r="E646" s="251">
        <v>1</v>
      </c>
      <c r="F646" s="595">
        <v>3.06</v>
      </c>
      <c r="G646" s="235"/>
      <c r="H646" s="235">
        <f>0.45-0.135</f>
        <v>0.315</v>
      </c>
      <c r="I646" s="477">
        <f t="shared" si="134"/>
        <v>0.96389999999999998</v>
      </c>
      <c r="J646" s="167"/>
      <c r="K646" s="729"/>
    </row>
    <row r="647" spans="1:11">
      <c r="A647" s="167"/>
      <c r="B647" s="167" t="s">
        <v>994</v>
      </c>
      <c r="C647" s="397" t="s">
        <v>9</v>
      </c>
      <c r="D647" s="589">
        <v>1</v>
      </c>
      <c r="E647" s="251">
        <v>1</v>
      </c>
      <c r="F647" s="595">
        <v>3.06</v>
      </c>
      <c r="G647" s="235"/>
      <c r="H647" s="235">
        <v>0.2</v>
      </c>
      <c r="I647" s="477">
        <f t="shared" si="134"/>
        <v>0.6120000000000001</v>
      </c>
      <c r="J647" s="167"/>
      <c r="K647" s="729"/>
    </row>
    <row r="648" spans="1:11">
      <c r="A648" s="167"/>
      <c r="B648" s="167" t="s">
        <v>1063</v>
      </c>
      <c r="C648" s="397" t="s">
        <v>9</v>
      </c>
      <c r="D648" s="589">
        <v>1</v>
      </c>
      <c r="E648" s="251">
        <v>1</v>
      </c>
      <c r="F648" s="595">
        <v>3.06</v>
      </c>
      <c r="G648" s="235"/>
      <c r="H648" s="235">
        <f>0.45-0.15</f>
        <v>0.30000000000000004</v>
      </c>
      <c r="I648" s="477">
        <f t="shared" ref="I648:I649" si="135">+PRODUCT(D648:H648)</f>
        <v>0.91800000000000015</v>
      </c>
      <c r="J648" s="167"/>
      <c r="K648" s="729"/>
    </row>
    <row r="649" spans="1:11">
      <c r="A649" s="167"/>
      <c r="B649" s="167" t="s">
        <v>1063</v>
      </c>
      <c r="C649" s="397" t="s">
        <v>9</v>
      </c>
      <c r="D649" s="589">
        <v>1</v>
      </c>
      <c r="E649" s="251">
        <v>1</v>
      </c>
      <c r="F649" s="595">
        <v>3.06</v>
      </c>
      <c r="G649" s="235"/>
      <c r="H649" s="235">
        <f>0.45-0.125</f>
        <v>0.32500000000000001</v>
      </c>
      <c r="I649" s="477">
        <f t="shared" si="135"/>
        <v>0.99450000000000005</v>
      </c>
      <c r="J649" s="167"/>
      <c r="K649" s="729"/>
    </row>
    <row r="650" spans="1:11">
      <c r="A650" s="167"/>
      <c r="B650" s="167" t="s">
        <v>1041</v>
      </c>
      <c r="C650" s="397" t="s">
        <v>9</v>
      </c>
      <c r="D650" s="589">
        <v>1</v>
      </c>
      <c r="E650" s="251">
        <v>2</v>
      </c>
      <c r="F650" s="595">
        <v>3.05</v>
      </c>
      <c r="G650" s="235"/>
      <c r="H650" s="235">
        <v>0.2</v>
      </c>
      <c r="I650" s="477">
        <f t="shared" si="105"/>
        <v>1.22</v>
      </c>
      <c r="J650" s="167"/>
      <c r="K650" s="729"/>
    </row>
    <row r="651" spans="1:11">
      <c r="A651" s="167"/>
      <c r="B651" s="167" t="s">
        <v>1063</v>
      </c>
      <c r="C651" s="397" t="s">
        <v>9</v>
      </c>
      <c r="D651" s="589">
        <v>1</v>
      </c>
      <c r="E651" s="251">
        <v>2</v>
      </c>
      <c r="F651" s="595">
        <v>3.05</v>
      </c>
      <c r="G651" s="235"/>
      <c r="H651" s="235">
        <f>0.35-0.135</f>
        <v>0.21499999999999997</v>
      </c>
      <c r="I651" s="477">
        <f t="shared" ref="I651:I653" si="136">+PRODUCT(D651:H651)</f>
        <v>1.3114999999999997</v>
      </c>
      <c r="J651" s="167"/>
      <c r="K651" s="729"/>
    </row>
    <row r="652" spans="1:11">
      <c r="A652" s="167"/>
      <c r="B652" s="167" t="s">
        <v>1063</v>
      </c>
      <c r="C652" s="397" t="s">
        <v>9</v>
      </c>
      <c r="D652" s="589">
        <v>1</v>
      </c>
      <c r="E652" s="251">
        <v>2</v>
      </c>
      <c r="F652" s="595">
        <v>1.32</v>
      </c>
      <c r="G652" s="235"/>
      <c r="H652" s="235">
        <v>0.35</v>
      </c>
      <c r="I652" s="477">
        <f t="shared" si="136"/>
        <v>0.92399999999999993</v>
      </c>
      <c r="J652" s="167"/>
      <c r="K652" s="729"/>
    </row>
    <row r="653" spans="1:11">
      <c r="A653" s="167"/>
      <c r="B653" s="167" t="s">
        <v>1063</v>
      </c>
      <c r="C653" s="397" t="s">
        <v>9</v>
      </c>
      <c r="D653" s="589">
        <v>1</v>
      </c>
      <c r="E653" s="251">
        <v>2</v>
      </c>
      <c r="F653" s="595">
        <f>3.05-1.32</f>
        <v>1.7299999999999998</v>
      </c>
      <c r="G653" s="235"/>
      <c r="H653" s="235">
        <f>0.35-0.15</f>
        <v>0.19999999999999998</v>
      </c>
      <c r="I653" s="477">
        <f t="shared" si="136"/>
        <v>0.69199999999999984</v>
      </c>
      <c r="J653" s="167"/>
      <c r="K653" s="729"/>
    </row>
    <row r="654" spans="1:11">
      <c r="A654" s="167"/>
      <c r="B654" s="167" t="s">
        <v>1041</v>
      </c>
      <c r="C654" s="397" t="s">
        <v>9</v>
      </c>
      <c r="D654" s="589">
        <v>1</v>
      </c>
      <c r="E654" s="251">
        <v>2</v>
      </c>
      <c r="F654" s="595">
        <v>0.38</v>
      </c>
      <c r="G654" s="235"/>
      <c r="H654" s="235">
        <v>0.2</v>
      </c>
      <c r="I654" s="477">
        <f t="shared" si="105"/>
        <v>0.15200000000000002</v>
      </c>
      <c r="J654" s="167"/>
      <c r="K654" s="729"/>
    </row>
    <row r="655" spans="1:11">
      <c r="A655" s="167"/>
      <c r="B655" s="167" t="s">
        <v>1063</v>
      </c>
      <c r="C655" s="397" t="s">
        <v>9</v>
      </c>
      <c r="D655" s="589">
        <v>1</v>
      </c>
      <c r="E655" s="251">
        <v>2</v>
      </c>
      <c r="F655" s="595">
        <v>0.38</v>
      </c>
      <c r="G655" s="235"/>
      <c r="H655" s="235">
        <v>0.35</v>
      </c>
      <c r="I655" s="477">
        <f t="shared" ref="I655" si="137">+PRODUCT(D655:H655)</f>
        <v>0.26599999999999996</v>
      </c>
      <c r="J655" s="167"/>
      <c r="K655" s="729"/>
    </row>
    <row r="656" spans="1:11">
      <c r="A656" s="167"/>
      <c r="B656" s="167" t="s">
        <v>1042</v>
      </c>
      <c r="C656" s="397" t="s">
        <v>9</v>
      </c>
      <c r="D656" s="589">
        <v>1</v>
      </c>
      <c r="E656" s="251">
        <v>2</v>
      </c>
      <c r="F656" s="595">
        <v>3.3849999999999998</v>
      </c>
      <c r="G656" s="235"/>
      <c r="H656" s="235">
        <v>0.2</v>
      </c>
      <c r="I656" s="477">
        <f t="shared" si="105"/>
        <v>1.3540000000000001</v>
      </c>
      <c r="J656" s="167"/>
      <c r="K656" s="729"/>
    </row>
    <row r="657" spans="1:11">
      <c r="A657" s="167"/>
      <c r="B657" s="167" t="s">
        <v>1063</v>
      </c>
      <c r="C657" s="397" t="s">
        <v>9</v>
      </c>
      <c r="D657" s="589">
        <v>1</v>
      </c>
      <c r="E657" s="251">
        <v>2</v>
      </c>
      <c r="F657" s="595">
        <v>3.3849999999999998</v>
      </c>
      <c r="G657" s="235"/>
      <c r="H657" s="235">
        <f>0.45-0.125</f>
        <v>0.32500000000000001</v>
      </c>
      <c r="I657" s="477">
        <f t="shared" ref="I657:I658" si="138">+PRODUCT(D657:H657)</f>
        <v>2.20025</v>
      </c>
      <c r="J657" s="167"/>
      <c r="K657" s="729"/>
    </row>
    <row r="658" spans="1:11">
      <c r="A658" s="167"/>
      <c r="B658" s="167" t="s">
        <v>1063</v>
      </c>
      <c r="C658" s="397" t="s">
        <v>9</v>
      </c>
      <c r="D658" s="589">
        <v>1</v>
      </c>
      <c r="E658" s="251">
        <v>2</v>
      </c>
      <c r="F658" s="595">
        <v>3.3849999999999998</v>
      </c>
      <c r="G658" s="235"/>
      <c r="H658" s="235">
        <f>0.45-0.15</f>
        <v>0.30000000000000004</v>
      </c>
      <c r="I658" s="477">
        <f t="shared" si="138"/>
        <v>2.0310000000000001</v>
      </c>
      <c r="J658" s="167"/>
      <c r="K658" s="729"/>
    </row>
    <row r="659" spans="1:11">
      <c r="A659" s="167"/>
      <c r="B659" s="167" t="s">
        <v>995</v>
      </c>
      <c r="C659" s="397" t="s">
        <v>9</v>
      </c>
      <c r="D659" s="589">
        <v>2</v>
      </c>
      <c r="E659" s="251">
        <v>1</v>
      </c>
      <c r="F659" s="595">
        <v>3.25</v>
      </c>
      <c r="G659" s="235"/>
      <c r="H659" s="235">
        <v>0.2</v>
      </c>
      <c r="I659" s="477">
        <f t="shared" si="105"/>
        <v>1.3</v>
      </c>
      <c r="J659" s="167"/>
      <c r="K659" s="729"/>
    </row>
    <row r="660" spans="1:11">
      <c r="A660" s="167"/>
      <c r="B660" s="167" t="s">
        <v>1063</v>
      </c>
      <c r="C660" s="397" t="s">
        <v>9</v>
      </c>
      <c r="D660" s="589">
        <v>2</v>
      </c>
      <c r="E660" s="251">
        <v>2</v>
      </c>
      <c r="F660" s="595">
        <v>3.25</v>
      </c>
      <c r="G660" s="235"/>
      <c r="H660" s="235">
        <f>0.45-0.135</f>
        <v>0.315</v>
      </c>
      <c r="I660" s="477">
        <f t="shared" ref="I660" si="139">+PRODUCT(D660:H660)</f>
        <v>4.0949999999999998</v>
      </c>
      <c r="J660" s="167"/>
      <c r="K660" s="729"/>
    </row>
    <row r="661" spans="1:11">
      <c r="A661" s="167"/>
      <c r="B661" s="167" t="s">
        <v>995</v>
      </c>
      <c r="C661" s="397" t="s">
        <v>9</v>
      </c>
      <c r="D661" s="589">
        <v>2</v>
      </c>
      <c r="E661" s="251">
        <v>1</v>
      </c>
      <c r="F661" s="595">
        <v>1.7</v>
      </c>
      <c r="G661" s="235"/>
      <c r="H661" s="235">
        <v>0.2</v>
      </c>
      <c r="I661" s="477">
        <f t="shared" si="105"/>
        <v>0.68</v>
      </c>
      <c r="J661" s="167"/>
      <c r="K661" s="729"/>
    </row>
    <row r="662" spans="1:11">
      <c r="A662" s="167"/>
      <c r="B662" s="167" t="s">
        <v>1063</v>
      </c>
      <c r="C662" s="397" t="s">
        <v>9</v>
      </c>
      <c r="D662" s="589">
        <v>2</v>
      </c>
      <c r="E662" s="251">
        <v>2</v>
      </c>
      <c r="F662" s="595">
        <v>1.7</v>
      </c>
      <c r="G662" s="235"/>
      <c r="H662" s="235">
        <f>0.45-0.125</f>
        <v>0.32500000000000001</v>
      </c>
      <c r="I662" s="477">
        <f t="shared" ref="I662" si="140">+PRODUCT(D662:H662)</f>
        <v>2.21</v>
      </c>
      <c r="J662" s="167"/>
      <c r="K662" s="729"/>
    </row>
    <row r="663" spans="1:11">
      <c r="A663" s="167"/>
      <c r="B663" s="167" t="s">
        <v>1043</v>
      </c>
      <c r="C663" s="397" t="s">
        <v>9</v>
      </c>
      <c r="D663" s="589">
        <v>1</v>
      </c>
      <c r="E663" s="251">
        <v>2</v>
      </c>
      <c r="F663" s="595">
        <v>1.385</v>
      </c>
      <c r="G663" s="235"/>
      <c r="H663" s="235">
        <v>0.2</v>
      </c>
      <c r="I663" s="477">
        <f t="shared" si="105"/>
        <v>0.55400000000000005</v>
      </c>
      <c r="J663" s="167"/>
      <c r="K663" s="729"/>
    </row>
    <row r="664" spans="1:11">
      <c r="A664" s="167"/>
      <c r="B664" s="167" t="s">
        <v>1063</v>
      </c>
      <c r="C664" s="397" t="s">
        <v>9</v>
      </c>
      <c r="D664" s="589">
        <v>1</v>
      </c>
      <c r="E664" s="251">
        <v>2</v>
      </c>
      <c r="F664" s="595">
        <v>1.385</v>
      </c>
      <c r="G664" s="235"/>
      <c r="H664" s="235">
        <f>0.35-0.125</f>
        <v>0.22499999999999998</v>
      </c>
      <c r="I664" s="477">
        <f t="shared" ref="I664:I665" si="141">+PRODUCT(D664:H664)</f>
        <v>0.62324999999999997</v>
      </c>
      <c r="J664" s="167"/>
      <c r="K664" s="729"/>
    </row>
    <row r="665" spans="1:11">
      <c r="A665" s="167"/>
      <c r="B665" s="167" t="s">
        <v>1063</v>
      </c>
      <c r="C665" s="397" t="s">
        <v>9</v>
      </c>
      <c r="D665" s="589">
        <v>1</v>
      </c>
      <c r="E665" s="251">
        <v>2</v>
      </c>
      <c r="F665" s="595">
        <v>1.385</v>
      </c>
      <c r="G665" s="235"/>
      <c r="H665" s="235">
        <v>0.35</v>
      </c>
      <c r="I665" s="477">
        <f t="shared" si="141"/>
        <v>0.96949999999999992</v>
      </c>
      <c r="J665" s="167"/>
      <c r="K665" s="729"/>
    </row>
    <row r="666" spans="1:11">
      <c r="A666" s="167"/>
      <c r="B666" s="167" t="s">
        <v>1044</v>
      </c>
      <c r="C666" s="397" t="s">
        <v>9</v>
      </c>
      <c r="D666" s="589">
        <v>1</v>
      </c>
      <c r="E666" s="251">
        <v>1</v>
      </c>
      <c r="F666" s="595">
        <v>3.05</v>
      </c>
      <c r="G666" s="235"/>
      <c r="H666" s="235">
        <v>0.2</v>
      </c>
      <c r="I666" s="477">
        <f t="shared" si="105"/>
        <v>0.61</v>
      </c>
      <c r="J666" s="167"/>
      <c r="K666" s="729"/>
    </row>
    <row r="667" spans="1:11">
      <c r="A667" s="167"/>
      <c r="B667" s="167" t="s">
        <v>1063</v>
      </c>
      <c r="C667" s="397" t="s">
        <v>9</v>
      </c>
      <c r="D667" s="589">
        <v>1</v>
      </c>
      <c r="E667" s="251">
        <v>1</v>
      </c>
      <c r="F667" s="595">
        <v>3.05</v>
      </c>
      <c r="G667" s="235"/>
      <c r="H667" s="235">
        <f>0.45-0.135</f>
        <v>0.315</v>
      </c>
      <c r="I667" s="477">
        <f t="shared" ref="I667:I668" si="142">+PRODUCT(D667:H667)</f>
        <v>0.96074999999999999</v>
      </c>
      <c r="J667" s="167"/>
      <c r="K667" s="729"/>
    </row>
    <row r="668" spans="1:11">
      <c r="A668" s="167"/>
      <c r="B668" s="167" t="s">
        <v>1063</v>
      </c>
      <c r="C668" s="397" t="s">
        <v>9</v>
      </c>
      <c r="D668" s="589">
        <v>1</v>
      </c>
      <c r="E668" s="251">
        <v>1</v>
      </c>
      <c r="F668" s="595">
        <v>3.05</v>
      </c>
      <c r="G668" s="235"/>
      <c r="H668" s="235">
        <v>0.45</v>
      </c>
      <c r="I668" s="477">
        <f t="shared" si="142"/>
        <v>1.3725000000000001</v>
      </c>
      <c r="J668" s="167"/>
      <c r="K668" s="729"/>
    </row>
    <row r="669" spans="1:11">
      <c r="A669" s="167"/>
      <c r="B669" s="167" t="s">
        <v>1044</v>
      </c>
      <c r="C669" s="397" t="s">
        <v>9</v>
      </c>
      <c r="D669" s="589">
        <v>1</v>
      </c>
      <c r="E669" s="251">
        <v>1</v>
      </c>
      <c r="F669" s="595">
        <v>1.7</v>
      </c>
      <c r="G669" s="235"/>
      <c r="H669" s="235">
        <v>0.2</v>
      </c>
      <c r="I669" s="477">
        <f t="shared" si="105"/>
        <v>0.34</v>
      </c>
      <c r="J669" s="167"/>
      <c r="K669" s="729"/>
    </row>
    <row r="670" spans="1:11">
      <c r="A670" s="167"/>
      <c r="B670" s="167" t="s">
        <v>1063</v>
      </c>
      <c r="C670" s="397" t="s">
        <v>9</v>
      </c>
      <c r="D670" s="589">
        <v>1</v>
      </c>
      <c r="E670" s="251">
        <v>1</v>
      </c>
      <c r="F670" s="595">
        <v>1.7</v>
      </c>
      <c r="G670" s="235"/>
      <c r="H670" s="235">
        <f>0.45-0.125</f>
        <v>0.32500000000000001</v>
      </c>
      <c r="I670" s="477">
        <f t="shared" ref="I670:I675" si="143">+PRODUCT(D670:H670)</f>
        <v>0.55249999999999999</v>
      </c>
      <c r="J670" s="167"/>
      <c r="K670" s="729"/>
    </row>
    <row r="671" spans="1:11">
      <c r="A671" s="167"/>
      <c r="B671" s="167" t="s">
        <v>1063</v>
      </c>
      <c r="C671" s="397" t="s">
        <v>9</v>
      </c>
      <c r="D671" s="589">
        <v>1</v>
      </c>
      <c r="E671" s="251">
        <v>1</v>
      </c>
      <c r="F671" s="595">
        <v>1.7</v>
      </c>
      <c r="G671" s="235"/>
      <c r="H671" s="235">
        <v>0.45</v>
      </c>
      <c r="I671" s="477">
        <f t="shared" si="143"/>
        <v>0.76500000000000001</v>
      </c>
      <c r="J671" s="167"/>
      <c r="K671" s="729"/>
    </row>
    <row r="672" spans="1:11">
      <c r="A672" s="167"/>
      <c r="B672" s="167" t="s">
        <v>1044</v>
      </c>
      <c r="C672" s="397" t="s">
        <v>9</v>
      </c>
      <c r="D672" s="589">
        <v>1</v>
      </c>
      <c r="E672" s="251">
        <v>1</v>
      </c>
      <c r="F672" s="595">
        <v>3.05</v>
      </c>
      <c r="G672" s="235"/>
      <c r="H672" s="235">
        <v>0.2</v>
      </c>
      <c r="I672" s="477">
        <f t="shared" si="143"/>
        <v>0.61</v>
      </c>
      <c r="J672" s="167"/>
      <c r="K672" s="729"/>
    </row>
    <row r="673" spans="1:11">
      <c r="A673" s="167"/>
      <c r="B673" s="167" t="s">
        <v>1063</v>
      </c>
      <c r="C673" s="397" t="s">
        <v>9</v>
      </c>
      <c r="D673" s="589">
        <v>1</v>
      </c>
      <c r="E673" s="251">
        <v>1</v>
      </c>
      <c r="F673" s="595">
        <v>3.05</v>
      </c>
      <c r="G673" s="235"/>
      <c r="H673" s="235">
        <f>0.45-0.135</f>
        <v>0.315</v>
      </c>
      <c r="I673" s="477">
        <f t="shared" si="143"/>
        <v>0.96074999999999999</v>
      </c>
      <c r="J673" s="167"/>
      <c r="K673" s="729"/>
    </row>
    <row r="674" spans="1:11">
      <c r="A674" s="167"/>
      <c r="B674" s="167" t="s">
        <v>1063</v>
      </c>
      <c r="C674" s="397" t="s">
        <v>9</v>
      </c>
      <c r="D674" s="589">
        <v>1</v>
      </c>
      <c r="E674" s="251">
        <v>1</v>
      </c>
      <c r="F674" s="595">
        <v>3.05</v>
      </c>
      <c r="G674" s="235"/>
      <c r="H674" s="235">
        <f>0.45-0.135</f>
        <v>0.315</v>
      </c>
      <c r="I674" s="477">
        <f t="shared" si="143"/>
        <v>0.96074999999999999</v>
      </c>
      <c r="J674" s="167"/>
      <c r="K674" s="729"/>
    </row>
    <row r="675" spans="1:11">
      <c r="A675" s="167"/>
      <c r="B675" s="167" t="s">
        <v>1044</v>
      </c>
      <c r="C675" s="397" t="s">
        <v>9</v>
      </c>
      <c r="D675" s="589">
        <v>1</v>
      </c>
      <c r="E675" s="251">
        <v>1</v>
      </c>
      <c r="F675" s="595">
        <v>1.7</v>
      </c>
      <c r="G675" s="235"/>
      <c r="H675" s="235">
        <v>0.2</v>
      </c>
      <c r="I675" s="477">
        <f t="shared" si="143"/>
        <v>0.34</v>
      </c>
      <c r="J675" s="167"/>
      <c r="K675" s="729"/>
    </row>
    <row r="676" spans="1:11">
      <c r="A676" s="167"/>
      <c r="B676" s="167" t="s">
        <v>1063</v>
      </c>
      <c r="C676" s="397" t="s">
        <v>9</v>
      </c>
      <c r="D676" s="589">
        <v>1</v>
      </c>
      <c r="E676" s="251">
        <v>1</v>
      </c>
      <c r="F676" s="595">
        <v>1.7</v>
      </c>
      <c r="G676" s="235"/>
      <c r="H676" s="235">
        <f>0.45-0.125</f>
        <v>0.32500000000000001</v>
      </c>
      <c r="I676" s="477">
        <f t="shared" ref="I676:I677" si="144">+PRODUCT(D676:H676)</f>
        <v>0.55249999999999999</v>
      </c>
      <c r="J676" s="167"/>
      <c r="K676" s="729"/>
    </row>
    <row r="677" spans="1:11">
      <c r="A677" s="167"/>
      <c r="B677" s="167" t="s">
        <v>1063</v>
      </c>
      <c r="C677" s="397" t="s">
        <v>9</v>
      </c>
      <c r="D677" s="589">
        <v>1</v>
      </c>
      <c r="E677" s="251">
        <v>1</v>
      </c>
      <c r="F677" s="595">
        <v>1.7</v>
      </c>
      <c r="G677" s="235"/>
      <c r="H677" s="235">
        <f>0.45-0.125</f>
        <v>0.32500000000000001</v>
      </c>
      <c r="I677" s="477">
        <f t="shared" si="144"/>
        <v>0.55249999999999999</v>
      </c>
      <c r="J677" s="167"/>
      <c r="K677" s="729"/>
    </row>
    <row r="678" spans="1:11">
      <c r="A678" s="167"/>
      <c r="B678" s="167" t="s">
        <v>1045</v>
      </c>
      <c r="C678" s="397" t="s">
        <v>9</v>
      </c>
      <c r="D678" s="589">
        <v>1</v>
      </c>
      <c r="E678" s="251">
        <v>1</v>
      </c>
      <c r="F678" s="595">
        <v>3.17</v>
      </c>
      <c r="G678" s="235"/>
      <c r="H678" s="235">
        <v>0.2</v>
      </c>
      <c r="I678" s="477">
        <f t="shared" si="105"/>
        <v>0.63400000000000001</v>
      </c>
      <c r="J678" s="167"/>
      <c r="K678" s="729"/>
    </row>
    <row r="679" spans="1:11">
      <c r="A679" s="167"/>
      <c r="B679" s="167" t="s">
        <v>1063</v>
      </c>
      <c r="C679" s="397" t="s">
        <v>9</v>
      </c>
      <c r="D679" s="589">
        <v>1</v>
      </c>
      <c r="E679" s="251">
        <v>1</v>
      </c>
      <c r="F679" s="595">
        <v>3.17</v>
      </c>
      <c r="G679" s="235"/>
      <c r="H679" s="235">
        <f>0.35-0.125</f>
        <v>0.22499999999999998</v>
      </c>
      <c r="I679" s="477">
        <f t="shared" ref="I679:I680" si="145">+PRODUCT(D679:H679)</f>
        <v>0.71324999999999994</v>
      </c>
      <c r="J679" s="167"/>
      <c r="K679" s="729"/>
    </row>
    <row r="680" spans="1:11">
      <c r="A680" s="167"/>
      <c r="B680" s="167" t="s">
        <v>1063</v>
      </c>
      <c r="C680" s="397" t="s">
        <v>9</v>
      </c>
      <c r="D680" s="589">
        <v>1</v>
      </c>
      <c r="E680" s="251">
        <v>1</v>
      </c>
      <c r="F680" s="595">
        <v>3.17</v>
      </c>
      <c r="G680" s="235"/>
      <c r="H680" s="235">
        <v>0.35</v>
      </c>
      <c r="I680" s="477">
        <f t="shared" si="145"/>
        <v>1.1094999999999999</v>
      </c>
      <c r="J680" s="167"/>
      <c r="K680" s="729"/>
    </row>
    <row r="681" spans="1:11">
      <c r="A681" s="167"/>
      <c r="B681" s="167" t="s">
        <v>1046</v>
      </c>
      <c r="C681" s="397" t="s">
        <v>9</v>
      </c>
      <c r="D681" s="589">
        <v>1</v>
      </c>
      <c r="E681" s="592">
        <v>0.5</v>
      </c>
      <c r="F681" s="595">
        <v>5.78</v>
      </c>
      <c r="G681" s="235"/>
      <c r="H681" s="235">
        <v>0.2</v>
      </c>
      <c r="I681" s="477">
        <f t="shared" si="105"/>
        <v>0.57800000000000007</v>
      </c>
      <c r="J681" s="167"/>
      <c r="K681" s="729"/>
    </row>
    <row r="682" spans="1:11">
      <c r="A682" s="167"/>
      <c r="B682" s="167" t="s">
        <v>1063</v>
      </c>
      <c r="C682" s="397" t="s">
        <v>9</v>
      </c>
      <c r="D682" s="589">
        <v>1</v>
      </c>
      <c r="E682" s="592">
        <v>0.5</v>
      </c>
      <c r="F682" s="595">
        <f>5.78-2</f>
        <v>3.7800000000000002</v>
      </c>
      <c r="G682" s="235"/>
      <c r="H682" s="235">
        <f>0.45-0.135</f>
        <v>0.315</v>
      </c>
      <c r="I682" s="477">
        <f t="shared" ref="I682:I683" si="146">+PRODUCT(D682:H682)</f>
        <v>0.59535000000000005</v>
      </c>
      <c r="J682" s="167"/>
      <c r="K682" s="729"/>
    </row>
    <row r="683" spans="1:11">
      <c r="A683" s="167"/>
      <c r="B683" s="167" t="s">
        <v>1063</v>
      </c>
      <c r="C683" s="397" t="s">
        <v>9</v>
      </c>
      <c r="D683" s="589">
        <v>1</v>
      </c>
      <c r="E683" s="592">
        <v>0.5</v>
      </c>
      <c r="F683" s="595">
        <f>5.78-2</f>
        <v>3.7800000000000002</v>
      </c>
      <c r="G683" s="235"/>
      <c r="H683" s="235">
        <f>0.45-0.135</f>
        <v>0.315</v>
      </c>
      <c r="I683" s="477">
        <f t="shared" si="146"/>
        <v>0.59535000000000005</v>
      </c>
      <c r="J683" s="167"/>
      <c r="K683" s="729"/>
    </row>
    <row r="684" spans="1:11">
      <c r="A684" s="167"/>
      <c r="B684" s="167" t="s">
        <v>1063</v>
      </c>
      <c r="C684" s="397" t="s">
        <v>9</v>
      </c>
      <c r="D684" s="589">
        <v>1</v>
      </c>
      <c r="E684" s="592">
        <v>0.5</v>
      </c>
      <c r="F684" s="595">
        <v>2</v>
      </c>
      <c r="G684" s="235"/>
      <c r="H684" s="235">
        <f>0.45-0.182</f>
        <v>0.26800000000000002</v>
      </c>
      <c r="I684" s="477">
        <f t="shared" ref="I684:I685" si="147">+PRODUCT(D684:H684)</f>
        <v>0.26800000000000002</v>
      </c>
      <c r="J684" s="167"/>
      <c r="K684" s="729"/>
    </row>
    <row r="685" spans="1:11">
      <c r="A685" s="167"/>
      <c r="B685" s="167" t="s">
        <v>1063</v>
      </c>
      <c r="C685" s="397" t="s">
        <v>9</v>
      </c>
      <c r="D685" s="589">
        <v>1</v>
      </c>
      <c r="E685" s="592">
        <v>0.5</v>
      </c>
      <c r="F685" s="595">
        <v>2</v>
      </c>
      <c r="G685" s="235"/>
      <c r="H685" s="235">
        <f>0.45-0.182</f>
        <v>0.26800000000000002</v>
      </c>
      <c r="I685" s="477">
        <f t="shared" si="147"/>
        <v>0.26800000000000002</v>
      </c>
      <c r="J685" s="167"/>
      <c r="K685" s="729"/>
    </row>
    <row r="686" spans="1:11">
      <c r="A686" s="167"/>
      <c r="B686" s="167"/>
      <c r="C686" s="397"/>
      <c r="D686" s="589"/>
      <c r="E686" s="251"/>
      <c r="F686" s="235"/>
      <c r="G686" s="235"/>
      <c r="H686" s="235"/>
      <c r="I686" s="477"/>
      <c r="J686" s="167"/>
      <c r="K686" s="729"/>
    </row>
    <row r="687" spans="1:11">
      <c r="A687" s="167"/>
      <c r="B687" s="267"/>
      <c r="C687" s="267"/>
      <c r="D687" s="589"/>
      <c r="E687" s="167"/>
      <c r="F687" s="167"/>
      <c r="G687" s="167"/>
      <c r="H687" s="167"/>
      <c r="I687" s="580">
        <f>SUBTOTAL(9,I365:I686)</f>
        <v>389.21350000000007</v>
      </c>
      <c r="J687" s="167"/>
      <c r="K687" s="729"/>
    </row>
    <row r="688" spans="1:11">
      <c r="A688" s="167"/>
      <c r="B688" s="267" t="s">
        <v>957</v>
      </c>
      <c r="C688" s="267"/>
      <c r="D688" s="589"/>
      <c r="E688" s="167"/>
      <c r="F688" s="167"/>
      <c r="G688" s="167"/>
      <c r="H688" s="477"/>
      <c r="I688" s="167"/>
      <c r="J688" s="167"/>
      <c r="K688" s="729"/>
    </row>
    <row r="689" spans="1:11">
      <c r="A689" s="167"/>
      <c r="B689" s="167" t="s">
        <v>933</v>
      </c>
      <c r="C689" s="397" t="s">
        <v>71</v>
      </c>
      <c r="D689" s="589">
        <v>1</v>
      </c>
      <c r="E689" s="589">
        <v>1</v>
      </c>
      <c r="F689" s="235">
        <v>3.5750000000000002</v>
      </c>
      <c r="G689" s="235">
        <v>3.55</v>
      </c>
      <c r="H689" s="589"/>
      <c r="I689" s="478">
        <f>+PRODUCT(D689:H689)</f>
        <v>12.69125</v>
      </c>
      <c r="J689" s="167"/>
      <c r="K689" s="729"/>
    </row>
    <row r="690" spans="1:11">
      <c r="A690" s="167"/>
      <c r="B690" s="167" t="s">
        <v>934</v>
      </c>
      <c r="C690" s="397" t="s">
        <v>71</v>
      </c>
      <c r="D690" s="589">
        <v>1</v>
      </c>
      <c r="E690" s="589">
        <v>1</v>
      </c>
      <c r="F690" s="235">
        <v>3.55</v>
      </c>
      <c r="G690" s="235">
        <v>3.2</v>
      </c>
      <c r="H690" s="589"/>
      <c r="I690" s="478">
        <f t="shared" ref="I690:I704" si="148">+PRODUCT(D690:H690)</f>
        <v>11.36</v>
      </c>
      <c r="J690" s="167"/>
      <c r="K690" s="729"/>
    </row>
    <row r="691" spans="1:11">
      <c r="A691" s="167"/>
      <c r="B691" s="167" t="s">
        <v>935</v>
      </c>
      <c r="C691" s="397" t="s">
        <v>71</v>
      </c>
      <c r="D691" s="589">
        <v>1</v>
      </c>
      <c r="E691" s="589">
        <v>1</v>
      </c>
      <c r="F691" s="235">
        <v>3.145</v>
      </c>
      <c r="G691" s="235">
        <v>3.05</v>
      </c>
      <c r="H691" s="589"/>
      <c r="I691" s="478">
        <f t="shared" si="148"/>
        <v>9.5922499999999999</v>
      </c>
      <c r="J691" s="167"/>
      <c r="K691" s="729"/>
    </row>
    <row r="692" spans="1:11">
      <c r="A692" s="167"/>
      <c r="B692" s="167"/>
      <c r="C692" s="397" t="s">
        <v>71</v>
      </c>
      <c r="D692" s="589">
        <v>1</v>
      </c>
      <c r="E692" s="589">
        <v>1</v>
      </c>
      <c r="F692" s="235">
        <v>0.9</v>
      </c>
      <c r="G692" s="235">
        <v>0.4</v>
      </c>
      <c r="H692" s="589"/>
      <c r="I692" s="478">
        <f t="shared" si="148"/>
        <v>0.36000000000000004</v>
      </c>
      <c r="J692" s="167"/>
      <c r="K692" s="729"/>
    </row>
    <row r="693" spans="1:11">
      <c r="A693" s="167"/>
      <c r="B693" s="167" t="s">
        <v>936</v>
      </c>
      <c r="C693" s="397" t="s">
        <v>71</v>
      </c>
      <c r="D693" s="589">
        <v>1</v>
      </c>
      <c r="E693" s="589">
        <v>1</v>
      </c>
      <c r="F693" s="235">
        <v>1.165</v>
      </c>
      <c r="G693" s="235">
        <v>0.51500000000000001</v>
      </c>
      <c r="H693" s="589"/>
      <c r="I693" s="478">
        <f t="shared" si="148"/>
        <v>0.59997500000000004</v>
      </c>
      <c r="J693" s="167"/>
      <c r="K693" s="729"/>
    </row>
    <row r="694" spans="1:11">
      <c r="A694" s="167"/>
      <c r="B694" s="167" t="s">
        <v>937</v>
      </c>
      <c r="C694" s="397" t="s">
        <v>71</v>
      </c>
      <c r="D694" s="589">
        <v>1</v>
      </c>
      <c r="E694" s="589">
        <v>1</v>
      </c>
      <c r="F694" s="235">
        <v>3.5750000000000002</v>
      </c>
      <c r="G694" s="235">
        <v>1.57</v>
      </c>
      <c r="H694" s="589"/>
      <c r="I694" s="478">
        <f t="shared" si="148"/>
        <v>5.6127500000000001</v>
      </c>
      <c r="J694" s="167"/>
      <c r="K694" s="729"/>
    </row>
    <row r="695" spans="1:11">
      <c r="A695" s="167"/>
      <c r="B695" s="167" t="s">
        <v>938</v>
      </c>
      <c r="C695" s="397" t="s">
        <v>71</v>
      </c>
      <c r="D695" s="589">
        <v>1</v>
      </c>
      <c r="E695" s="589">
        <v>1</v>
      </c>
      <c r="F695" s="235">
        <v>2.5</v>
      </c>
      <c r="G695" s="235">
        <v>1.6</v>
      </c>
      <c r="H695" s="589"/>
      <c r="I695" s="478">
        <f t="shared" si="148"/>
        <v>4</v>
      </c>
      <c r="J695" s="167"/>
      <c r="K695" s="729"/>
    </row>
    <row r="696" spans="1:11">
      <c r="A696" s="167"/>
      <c r="B696" s="167" t="s">
        <v>939</v>
      </c>
      <c r="C696" s="397" t="s">
        <v>71</v>
      </c>
      <c r="D696" s="589">
        <v>1</v>
      </c>
      <c r="E696" s="589">
        <v>1</v>
      </c>
      <c r="F696" s="235">
        <v>2.7850000000000001</v>
      </c>
      <c r="G696" s="235">
        <v>1.2</v>
      </c>
      <c r="H696" s="589"/>
      <c r="I696" s="478">
        <f t="shared" si="148"/>
        <v>3.3420000000000001</v>
      </c>
      <c r="J696" s="167"/>
      <c r="K696" s="729"/>
    </row>
    <row r="697" spans="1:11">
      <c r="A697" s="167"/>
      <c r="B697" s="167" t="s">
        <v>940</v>
      </c>
      <c r="C697" s="397" t="s">
        <v>71</v>
      </c>
      <c r="D697" s="589">
        <v>1</v>
      </c>
      <c r="E697" s="589">
        <v>1</v>
      </c>
      <c r="F697" s="235">
        <v>6.3650000000000002</v>
      </c>
      <c r="G697" s="235">
        <v>3.72</v>
      </c>
      <c r="H697" s="235"/>
      <c r="I697" s="478">
        <f t="shared" si="148"/>
        <v>23.677800000000001</v>
      </c>
      <c r="J697" s="167"/>
      <c r="K697" s="729"/>
    </row>
    <row r="698" spans="1:11">
      <c r="A698" s="167"/>
      <c r="B698" s="167"/>
      <c r="C698" s="397" t="s">
        <v>71</v>
      </c>
      <c r="D698" s="589">
        <v>1</v>
      </c>
      <c r="E698" s="589">
        <v>1</v>
      </c>
      <c r="F698" s="235">
        <v>4.1150000000000002</v>
      </c>
      <c r="G698" s="235">
        <v>0.38500000000000001</v>
      </c>
      <c r="H698" s="235"/>
      <c r="I698" s="478">
        <f t="shared" si="148"/>
        <v>1.5842750000000001</v>
      </c>
      <c r="J698" s="167"/>
      <c r="K698" s="729"/>
    </row>
    <row r="699" spans="1:11">
      <c r="A699" s="167"/>
      <c r="B699" s="167" t="s">
        <v>941</v>
      </c>
      <c r="C699" s="397" t="s">
        <v>71</v>
      </c>
      <c r="D699" s="589">
        <v>1</v>
      </c>
      <c r="E699" s="589">
        <v>1</v>
      </c>
      <c r="F699" s="235">
        <v>1.5</v>
      </c>
      <c r="G699" s="235">
        <v>1.0349999999999999</v>
      </c>
      <c r="H699" s="589"/>
      <c r="I699" s="478">
        <f t="shared" si="148"/>
        <v>1.5524999999999998</v>
      </c>
      <c r="J699" s="167"/>
      <c r="K699" s="729"/>
    </row>
    <row r="700" spans="1:11">
      <c r="A700" s="167"/>
      <c r="B700" s="167" t="s">
        <v>942</v>
      </c>
      <c r="C700" s="397" t="s">
        <v>71</v>
      </c>
      <c r="D700" s="589">
        <v>1</v>
      </c>
      <c r="E700" s="589">
        <v>1</v>
      </c>
      <c r="F700" s="235">
        <v>2.85</v>
      </c>
      <c r="G700" s="235">
        <v>2.335</v>
      </c>
      <c r="H700" s="589"/>
      <c r="I700" s="478">
        <f t="shared" si="148"/>
        <v>6.6547499999999999</v>
      </c>
      <c r="J700" s="167"/>
      <c r="K700" s="729"/>
    </row>
    <row r="701" spans="1:11">
      <c r="A701" s="167"/>
      <c r="B701" s="167" t="s">
        <v>943</v>
      </c>
      <c r="C701" s="397" t="s">
        <v>71</v>
      </c>
      <c r="D701" s="589">
        <v>1</v>
      </c>
      <c r="E701" s="589">
        <v>1</v>
      </c>
      <c r="F701" s="235">
        <v>6.3</v>
      </c>
      <c r="G701" s="235">
        <v>2</v>
      </c>
      <c r="H701" s="235"/>
      <c r="I701" s="478">
        <f t="shared" si="148"/>
        <v>12.6</v>
      </c>
      <c r="J701" s="167"/>
      <c r="K701" s="729"/>
    </row>
    <row r="702" spans="1:11">
      <c r="A702" s="167"/>
      <c r="B702" s="167" t="s">
        <v>944</v>
      </c>
      <c r="C702" s="397" t="s">
        <v>71</v>
      </c>
      <c r="D702" s="589">
        <v>1</v>
      </c>
      <c r="E702" s="589">
        <v>1</v>
      </c>
      <c r="F702" s="235">
        <v>4.0650000000000004</v>
      </c>
      <c r="G702" s="235">
        <v>2</v>
      </c>
      <c r="H702" s="235"/>
      <c r="I702" s="478">
        <f t="shared" si="148"/>
        <v>8.1300000000000008</v>
      </c>
      <c r="J702" s="167"/>
      <c r="K702" s="729"/>
    </row>
    <row r="703" spans="1:11">
      <c r="A703" s="167"/>
      <c r="B703" s="167" t="s">
        <v>945</v>
      </c>
      <c r="C703" s="397" t="s">
        <v>71</v>
      </c>
      <c r="D703" s="589">
        <v>1</v>
      </c>
      <c r="E703" s="589">
        <v>1</v>
      </c>
      <c r="F703" s="235">
        <v>1.4</v>
      </c>
      <c r="G703" s="235">
        <v>2</v>
      </c>
      <c r="H703" s="235"/>
      <c r="I703" s="478">
        <f t="shared" si="148"/>
        <v>2.8</v>
      </c>
      <c r="J703" s="167"/>
      <c r="K703" s="729"/>
    </row>
    <row r="704" spans="1:11">
      <c r="A704" s="167"/>
      <c r="B704" s="167"/>
      <c r="C704" s="397" t="s">
        <v>71</v>
      </c>
      <c r="D704" s="589">
        <v>1</v>
      </c>
      <c r="E704" s="589">
        <v>1</v>
      </c>
      <c r="F704" s="235">
        <v>1.1850000000000001</v>
      </c>
      <c r="G704" s="235">
        <v>0.435</v>
      </c>
      <c r="H704" s="235"/>
      <c r="I704" s="478">
        <f t="shared" si="148"/>
        <v>0.51547500000000002</v>
      </c>
      <c r="J704" s="167"/>
      <c r="K704" s="729"/>
    </row>
    <row r="705" spans="1:11">
      <c r="A705" s="167"/>
      <c r="B705" s="267"/>
      <c r="C705" s="397"/>
      <c r="D705" s="589"/>
      <c r="E705" s="589"/>
      <c r="F705" s="235"/>
      <c r="G705" s="235"/>
      <c r="H705" s="589"/>
      <c r="I705" s="580">
        <f>SUBTOTAL(9,I689:I704)</f>
        <v>105.07302499999997</v>
      </c>
      <c r="J705" s="167"/>
      <c r="K705" s="729"/>
    </row>
    <row r="706" spans="1:11">
      <c r="A706" s="167"/>
      <c r="B706" s="167"/>
      <c r="C706" s="397"/>
      <c r="D706" s="589"/>
      <c r="E706" s="589"/>
      <c r="F706" s="235"/>
      <c r="G706" s="235"/>
      <c r="H706" s="589"/>
      <c r="I706" s="478"/>
      <c r="J706" s="167"/>
      <c r="K706" s="729"/>
    </row>
    <row r="707" spans="1:11">
      <c r="A707" s="167"/>
      <c r="B707" s="267" t="s">
        <v>1047</v>
      </c>
      <c r="C707" s="397"/>
      <c r="D707" s="589"/>
      <c r="E707" s="589"/>
      <c r="F707" s="235"/>
      <c r="G707" s="235"/>
      <c r="H707" s="589"/>
      <c r="I707" s="478">
        <f t="shared" ref="I707" si="149">+PRODUCT(E707:H707)</f>
        <v>0</v>
      </c>
      <c r="J707" s="167"/>
      <c r="K707" s="729"/>
    </row>
    <row r="708" spans="1:11">
      <c r="A708" s="167"/>
      <c r="B708" s="167" t="s">
        <v>946</v>
      </c>
      <c r="C708" s="397" t="s">
        <v>71</v>
      </c>
      <c r="D708" s="589">
        <v>1</v>
      </c>
      <c r="E708" s="589">
        <v>1</v>
      </c>
      <c r="F708" s="235">
        <v>3.56</v>
      </c>
      <c r="G708" s="235">
        <v>3.2749999999999999</v>
      </c>
      <c r="H708" s="589"/>
      <c r="I708" s="478">
        <f>+PRODUCT(D708:H708)</f>
        <v>11.659000000000001</v>
      </c>
      <c r="J708" s="167"/>
      <c r="K708" s="729"/>
    </row>
    <row r="709" spans="1:11">
      <c r="A709" s="167"/>
      <c r="B709" s="167" t="s">
        <v>947</v>
      </c>
      <c r="C709" s="397" t="s">
        <v>71</v>
      </c>
      <c r="D709" s="589">
        <v>1</v>
      </c>
      <c r="E709" s="589">
        <v>1</v>
      </c>
      <c r="F709" s="235">
        <v>3.25</v>
      </c>
      <c r="G709" s="235">
        <v>2.9249999999999998</v>
      </c>
      <c r="H709" s="589"/>
      <c r="I709" s="478">
        <f t="shared" ref="I709:I722" si="150">+PRODUCT(D709:H709)</f>
        <v>9.5062499999999996</v>
      </c>
      <c r="J709" s="167"/>
      <c r="K709" s="729"/>
    </row>
    <row r="710" spans="1:11">
      <c r="A710" s="167"/>
      <c r="B710" s="167" t="s">
        <v>948</v>
      </c>
      <c r="C710" s="397" t="s">
        <v>71</v>
      </c>
      <c r="D710" s="589">
        <v>1</v>
      </c>
      <c r="E710" s="589">
        <v>1</v>
      </c>
      <c r="F710" s="235">
        <v>3.58</v>
      </c>
      <c r="G710" s="235">
        <v>3.05</v>
      </c>
      <c r="H710" s="589"/>
      <c r="I710" s="478">
        <f t="shared" si="150"/>
        <v>10.918999999999999</v>
      </c>
      <c r="J710" s="167"/>
      <c r="K710" s="729"/>
    </row>
    <row r="711" spans="1:11">
      <c r="A711" s="167"/>
      <c r="B711" s="167" t="s">
        <v>939</v>
      </c>
      <c r="C711" s="397" t="s">
        <v>71</v>
      </c>
      <c r="D711" s="589">
        <v>1</v>
      </c>
      <c r="E711" s="589">
        <v>1</v>
      </c>
      <c r="F711" s="235">
        <v>2.9249999999999998</v>
      </c>
      <c r="G711" s="235">
        <v>1.7</v>
      </c>
      <c r="H711" s="589"/>
      <c r="I711" s="478">
        <f t="shared" si="150"/>
        <v>4.9724999999999993</v>
      </c>
      <c r="J711" s="167"/>
      <c r="K711" s="729"/>
    </row>
    <row r="712" spans="1:11">
      <c r="A712" s="167"/>
      <c r="B712" s="167" t="s">
        <v>949</v>
      </c>
      <c r="C712" s="397" t="s">
        <v>71</v>
      </c>
      <c r="D712" s="589">
        <v>1</v>
      </c>
      <c r="E712" s="589">
        <v>1</v>
      </c>
      <c r="F712" s="235">
        <v>3.25</v>
      </c>
      <c r="G712" s="235">
        <v>2.3650000000000002</v>
      </c>
      <c r="H712" s="589"/>
      <c r="I712" s="478">
        <f t="shared" si="150"/>
        <v>7.6862500000000011</v>
      </c>
      <c r="J712" s="167"/>
      <c r="K712" s="729"/>
    </row>
    <row r="713" spans="1:11">
      <c r="A713" s="167"/>
      <c r="B713" s="167" t="s">
        <v>950</v>
      </c>
      <c r="C713" s="397" t="s">
        <v>71</v>
      </c>
      <c r="D713" s="589">
        <v>1</v>
      </c>
      <c r="E713" s="589">
        <v>1</v>
      </c>
      <c r="F713" s="235">
        <v>5.23</v>
      </c>
      <c r="G713" s="235">
        <v>3.33</v>
      </c>
      <c r="H713" s="235"/>
      <c r="I713" s="478">
        <f t="shared" si="150"/>
        <v>17.415900000000001</v>
      </c>
      <c r="J713" s="167"/>
      <c r="K713" s="729"/>
    </row>
    <row r="714" spans="1:11">
      <c r="A714" s="167"/>
      <c r="B714" s="167"/>
      <c r="C714" s="397" t="s">
        <v>71</v>
      </c>
      <c r="D714" s="589">
        <v>1</v>
      </c>
      <c r="E714" s="589">
        <v>1</v>
      </c>
      <c r="F714" s="235">
        <v>3.4</v>
      </c>
      <c r="G714" s="235">
        <v>0.94</v>
      </c>
      <c r="H714" s="235"/>
      <c r="I714" s="478">
        <f t="shared" si="150"/>
        <v>3.1959999999999997</v>
      </c>
      <c r="J714" s="167"/>
      <c r="K714" s="729"/>
    </row>
    <row r="715" spans="1:11">
      <c r="A715" s="167"/>
      <c r="B715" s="167"/>
      <c r="C715" s="397" t="s">
        <v>71</v>
      </c>
      <c r="D715" s="589">
        <v>1</v>
      </c>
      <c r="E715" s="589">
        <v>1</v>
      </c>
      <c r="F715" s="235">
        <v>2.5499999999999998</v>
      </c>
      <c r="G715" s="235">
        <v>1.47</v>
      </c>
      <c r="H715" s="235"/>
      <c r="I715" s="478">
        <f t="shared" si="150"/>
        <v>3.7484999999999995</v>
      </c>
      <c r="J715" s="167"/>
      <c r="K715" s="729"/>
    </row>
    <row r="716" spans="1:11">
      <c r="A716" s="167"/>
      <c r="B716" s="167" t="s">
        <v>1060</v>
      </c>
      <c r="C716" s="397" t="s">
        <v>71</v>
      </c>
      <c r="D716" s="589">
        <v>1</v>
      </c>
      <c r="E716" s="589">
        <v>1</v>
      </c>
      <c r="F716" s="235">
        <v>2.41</v>
      </c>
      <c r="G716" s="235">
        <v>1.43</v>
      </c>
      <c r="H716" s="235"/>
      <c r="I716" s="478">
        <f t="shared" si="150"/>
        <v>3.4462999999999999</v>
      </c>
      <c r="J716" s="167"/>
      <c r="K716" s="729"/>
    </row>
    <row r="717" spans="1:11">
      <c r="A717" s="167"/>
      <c r="B717" s="167" t="s">
        <v>937</v>
      </c>
      <c r="C717" s="397" t="s">
        <v>71</v>
      </c>
      <c r="D717" s="589">
        <v>1</v>
      </c>
      <c r="E717" s="589">
        <v>1</v>
      </c>
      <c r="F717" s="235">
        <v>2.2250000000000001</v>
      </c>
      <c r="G717" s="235">
        <v>1.4950000000000001</v>
      </c>
      <c r="H717" s="589"/>
      <c r="I717" s="478">
        <f t="shared" si="150"/>
        <v>3.3263750000000005</v>
      </c>
      <c r="J717" s="167"/>
      <c r="K717" s="729"/>
    </row>
    <row r="718" spans="1:11">
      <c r="A718" s="167"/>
      <c r="B718" s="167" t="s">
        <v>938</v>
      </c>
      <c r="C718" s="397" t="s">
        <v>71</v>
      </c>
      <c r="D718" s="589">
        <v>1</v>
      </c>
      <c r="E718" s="589">
        <v>1</v>
      </c>
      <c r="F718" s="235">
        <v>3.3849999999999998</v>
      </c>
      <c r="G718" s="235">
        <v>1.425</v>
      </c>
      <c r="H718" s="589"/>
      <c r="I718" s="478">
        <f t="shared" si="150"/>
        <v>4.8236249999999998</v>
      </c>
      <c r="J718" s="167"/>
      <c r="K718" s="729"/>
    </row>
    <row r="719" spans="1:11">
      <c r="A719" s="167"/>
      <c r="B719" s="167" t="s">
        <v>951</v>
      </c>
      <c r="C719" s="397" t="s">
        <v>71</v>
      </c>
      <c r="D719" s="589">
        <v>1</v>
      </c>
      <c r="E719" s="589">
        <v>1</v>
      </c>
      <c r="F719" s="235">
        <v>2.41</v>
      </c>
      <c r="G719" s="235">
        <v>1.54</v>
      </c>
      <c r="H719" s="589"/>
      <c r="I719" s="478">
        <f t="shared" si="150"/>
        <v>3.7114000000000003</v>
      </c>
      <c r="J719" s="167"/>
      <c r="K719" s="729"/>
    </row>
    <row r="720" spans="1:11">
      <c r="A720" s="167"/>
      <c r="B720" s="167" t="s">
        <v>952</v>
      </c>
      <c r="C720" s="397" t="s">
        <v>71</v>
      </c>
      <c r="D720" s="589">
        <v>1</v>
      </c>
      <c r="E720" s="589">
        <v>1</v>
      </c>
      <c r="F720" s="235">
        <v>4.665</v>
      </c>
      <c r="G720" s="235">
        <v>2</v>
      </c>
      <c r="H720" s="235"/>
      <c r="I720" s="478">
        <f t="shared" si="150"/>
        <v>9.33</v>
      </c>
      <c r="J720" s="167"/>
      <c r="K720" s="729"/>
    </row>
    <row r="721" spans="1:11">
      <c r="A721" s="167"/>
      <c r="B721" s="167" t="s">
        <v>953</v>
      </c>
      <c r="C721" s="397" t="s">
        <v>71</v>
      </c>
      <c r="D721" s="589">
        <v>1</v>
      </c>
      <c r="E721" s="589">
        <v>1</v>
      </c>
      <c r="F721" s="235">
        <v>5.1050000000000004</v>
      </c>
      <c r="G721" s="235">
        <v>2</v>
      </c>
      <c r="H721" s="235"/>
      <c r="I721" s="478">
        <f t="shared" si="150"/>
        <v>10.210000000000001</v>
      </c>
      <c r="J721" s="167"/>
      <c r="K721" s="729"/>
    </row>
    <row r="722" spans="1:11">
      <c r="A722" s="167"/>
      <c r="B722" s="167" t="s">
        <v>954</v>
      </c>
      <c r="C722" s="397" t="s">
        <v>71</v>
      </c>
      <c r="D722" s="589">
        <v>1</v>
      </c>
      <c r="E722" s="589">
        <v>1</v>
      </c>
      <c r="F722" s="235">
        <v>3.2650000000000001</v>
      </c>
      <c r="G722" s="235">
        <v>2</v>
      </c>
      <c r="H722" s="235"/>
      <c r="I722" s="478">
        <f t="shared" si="150"/>
        <v>6.53</v>
      </c>
      <c r="J722" s="167"/>
      <c r="K722" s="729"/>
    </row>
    <row r="723" spans="1:11">
      <c r="A723" s="167"/>
      <c r="B723" s="267"/>
      <c r="C723" s="267"/>
      <c r="D723" s="589"/>
      <c r="E723" s="167"/>
      <c r="F723" s="586"/>
      <c r="G723" s="586"/>
      <c r="H723" s="167"/>
      <c r="I723" s="580">
        <f>SUBTOTAL(9,I708:I722)</f>
        <v>110.48109999999997</v>
      </c>
      <c r="J723" s="167"/>
      <c r="K723" s="729"/>
    </row>
    <row r="724" spans="1:11">
      <c r="A724" s="167"/>
      <c r="B724" s="167"/>
      <c r="C724" s="397"/>
      <c r="D724" s="589"/>
      <c r="E724" s="589"/>
      <c r="F724" s="235"/>
      <c r="G724" s="235"/>
      <c r="H724" s="589"/>
      <c r="I724" s="478"/>
      <c r="J724" s="167"/>
      <c r="K724" s="729"/>
    </row>
    <row r="725" spans="1:11">
      <c r="A725" s="167"/>
      <c r="B725" s="267" t="s">
        <v>1059</v>
      </c>
      <c r="C725" s="397"/>
      <c r="D725" s="589"/>
      <c r="E725" s="589"/>
      <c r="F725" s="235"/>
      <c r="G725" s="235"/>
      <c r="H725" s="589"/>
      <c r="I725" s="478">
        <f t="shared" ref="I725" si="151">+PRODUCT(E725:H725)</f>
        <v>0</v>
      </c>
      <c r="J725" s="167"/>
      <c r="K725" s="729"/>
    </row>
    <row r="726" spans="1:11">
      <c r="A726" s="167"/>
      <c r="B726" s="167" t="s">
        <v>946</v>
      </c>
      <c r="C726" s="397" t="s">
        <v>71</v>
      </c>
      <c r="D726" s="589">
        <v>1</v>
      </c>
      <c r="E726" s="589">
        <v>1</v>
      </c>
      <c r="F726" s="595">
        <v>3.56</v>
      </c>
      <c r="G726" s="595">
        <v>3.2450000000000001</v>
      </c>
      <c r="H726" s="589"/>
      <c r="I726" s="478">
        <f>+PRODUCT(D726:H726)</f>
        <v>11.552200000000001</v>
      </c>
      <c r="J726" s="167"/>
      <c r="K726" s="729"/>
    </row>
    <row r="727" spans="1:11">
      <c r="A727" s="167"/>
      <c r="B727" s="167" t="s">
        <v>947</v>
      </c>
      <c r="C727" s="397" t="s">
        <v>71</v>
      </c>
      <c r="D727" s="589">
        <v>1</v>
      </c>
      <c r="E727" s="589">
        <v>1</v>
      </c>
      <c r="F727" s="595">
        <v>3.25</v>
      </c>
      <c r="G727" s="595">
        <v>2.9249999999999998</v>
      </c>
      <c r="H727" s="589"/>
      <c r="I727" s="478">
        <f t="shared" ref="I727:I736" si="152">+PRODUCT(D727:H727)</f>
        <v>9.5062499999999996</v>
      </c>
      <c r="J727" s="167"/>
      <c r="K727" s="729"/>
    </row>
    <row r="728" spans="1:11">
      <c r="A728" s="167"/>
      <c r="B728" s="167" t="s">
        <v>939</v>
      </c>
      <c r="C728" s="397" t="s">
        <v>71</v>
      </c>
      <c r="D728" s="589">
        <v>1</v>
      </c>
      <c r="E728" s="589">
        <v>1</v>
      </c>
      <c r="F728" s="595">
        <v>2.9249999999999998</v>
      </c>
      <c r="G728" s="595">
        <v>1.7</v>
      </c>
      <c r="H728" s="589"/>
      <c r="I728" s="478">
        <f t="shared" si="152"/>
        <v>4.9724999999999993</v>
      </c>
      <c r="J728" s="167"/>
      <c r="K728" s="729"/>
    </row>
    <row r="729" spans="1:11">
      <c r="A729" s="167"/>
      <c r="B729" s="167" t="s">
        <v>949</v>
      </c>
      <c r="C729" s="397" t="s">
        <v>71</v>
      </c>
      <c r="D729" s="589">
        <v>1</v>
      </c>
      <c r="E729" s="589">
        <v>1</v>
      </c>
      <c r="F729" s="595">
        <v>3.25</v>
      </c>
      <c r="G729" s="595">
        <v>2.3650000000000002</v>
      </c>
      <c r="H729" s="589"/>
      <c r="I729" s="478">
        <f t="shared" si="152"/>
        <v>7.6862500000000011</v>
      </c>
      <c r="J729" s="167"/>
      <c r="K729" s="729"/>
    </row>
    <row r="730" spans="1:11">
      <c r="A730" s="167"/>
      <c r="B730" s="167" t="s">
        <v>950</v>
      </c>
      <c r="C730" s="397" t="s">
        <v>71</v>
      </c>
      <c r="D730" s="589">
        <v>1</v>
      </c>
      <c r="E730" s="589">
        <v>1</v>
      </c>
      <c r="F730" s="235">
        <v>5.23</v>
      </c>
      <c r="G730" s="235">
        <v>3.33</v>
      </c>
      <c r="H730" s="235"/>
      <c r="I730" s="478">
        <f t="shared" si="152"/>
        <v>17.415900000000001</v>
      </c>
      <c r="J730" s="167"/>
      <c r="K730" s="729"/>
    </row>
    <row r="731" spans="1:11">
      <c r="A731" s="167"/>
      <c r="B731" s="167"/>
      <c r="C731" s="397" t="s">
        <v>71</v>
      </c>
      <c r="D731" s="589">
        <v>1</v>
      </c>
      <c r="E731" s="589">
        <v>1</v>
      </c>
      <c r="F731" s="235">
        <v>3.4</v>
      </c>
      <c r="G731" s="235">
        <v>0.94</v>
      </c>
      <c r="H731" s="235"/>
      <c r="I731" s="478">
        <f t="shared" si="152"/>
        <v>3.1959999999999997</v>
      </c>
      <c r="J731" s="167"/>
      <c r="K731" s="729"/>
    </row>
    <row r="732" spans="1:11">
      <c r="A732" s="167"/>
      <c r="B732" s="167"/>
      <c r="C732" s="397" t="s">
        <v>71</v>
      </c>
      <c r="D732" s="589">
        <v>1</v>
      </c>
      <c r="E732" s="589">
        <v>1</v>
      </c>
      <c r="F732" s="235">
        <v>2.5499999999999998</v>
      </c>
      <c r="G732" s="235">
        <v>1.47</v>
      </c>
      <c r="H732" s="235"/>
      <c r="I732" s="478">
        <f t="shared" si="152"/>
        <v>3.7484999999999995</v>
      </c>
      <c r="J732" s="167"/>
      <c r="K732" s="729"/>
    </row>
    <row r="733" spans="1:11">
      <c r="A733" s="167"/>
      <c r="B733" s="167" t="s">
        <v>937</v>
      </c>
      <c r="C733" s="397" t="s">
        <v>71</v>
      </c>
      <c r="D733" s="589">
        <v>1</v>
      </c>
      <c r="E733" s="589">
        <v>1</v>
      </c>
      <c r="F733" s="235">
        <v>2.2250000000000001</v>
      </c>
      <c r="G733" s="235">
        <v>1.4950000000000001</v>
      </c>
      <c r="H733" s="589"/>
      <c r="I733" s="478">
        <f t="shared" si="152"/>
        <v>3.3263750000000005</v>
      </c>
      <c r="J733" s="167"/>
      <c r="K733" s="729"/>
    </row>
    <row r="734" spans="1:11">
      <c r="A734" s="167"/>
      <c r="B734" s="167" t="s">
        <v>938</v>
      </c>
      <c r="C734" s="397" t="s">
        <v>71</v>
      </c>
      <c r="D734" s="589">
        <v>1</v>
      </c>
      <c r="E734" s="589">
        <v>1</v>
      </c>
      <c r="F734" s="595">
        <v>3.3849999999999998</v>
      </c>
      <c r="G734" s="235">
        <v>1.425</v>
      </c>
      <c r="H734" s="589"/>
      <c r="I734" s="478">
        <f t="shared" si="152"/>
        <v>4.8236249999999998</v>
      </c>
      <c r="J734" s="167"/>
      <c r="K734" s="729"/>
    </row>
    <row r="735" spans="1:11">
      <c r="A735" s="167"/>
      <c r="B735" s="167" t="s">
        <v>952</v>
      </c>
      <c r="C735" s="397" t="s">
        <v>71</v>
      </c>
      <c r="D735" s="589">
        <v>1</v>
      </c>
      <c r="E735" s="589">
        <v>1</v>
      </c>
      <c r="F735" s="235">
        <v>4.665</v>
      </c>
      <c r="G735" s="235">
        <v>2</v>
      </c>
      <c r="H735" s="235"/>
      <c r="I735" s="478">
        <f t="shared" si="152"/>
        <v>9.33</v>
      </c>
      <c r="J735" s="167"/>
      <c r="K735" s="729"/>
    </row>
    <row r="736" spans="1:11">
      <c r="A736" s="167"/>
      <c r="B736" s="167" t="s">
        <v>953</v>
      </c>
      <c r="C736" s="397" t="s">
        <v>71</v>
      </c>
      <c r="D736" s="589">
        <v>1</v>
      </c>
      <c r="E736" s="589">
        <v>1</v>
      </c>
      <c r="F736" s="235">
        <v>5.1050000000000004</v>
      </c>
      <c r="G736" s="235">
        <v>2</v>
      </c>
      <c r="H736" s="235"/>
      <c r="I736" s="478">
        <f t="shared" si="152"/>
        <v>10.210000000000001</v>
      </c>
      <c r="J736" s="167"/>
      <c r="K736" s="729"/>
    </row>
    <row r="737" spans="1:11">
      <c r="A737" s="167"/>
      <c r="B737" s="267"/>
      <c r="C737" s="267"/>
      <c r="D737" s="589"/>
      <c r="E737" s="167"/>
      <c r="F737" s="586"/>
      <c r="G737" s="586"/>
      <c r="H737" s="167"/>
      <c r="I737" s="580">
        <f>SUBTOTAL(9,I726:I736)</f>
        <v>85.767599999999987</v>
      </c>
      <c r="J737" s="167"/>
      <c r="K737" s="729"/>
    </row>
    <row r="738" spans="1:11">
      <c r="A738" s="167"/>
      <c r="B738" s="167"/>
      <c r="C738" s="167"/>
      <c r="D738" s="589"/>
      <c r="E738" s="167"/>
      <c r="F738" s="586"/>
      <c r="G738" s="586"/>
      <c r="H738" s="167"/>
      <c r="I738" s="477"/>
      <c r="J738" s="167"/>
      <c r="K738" s="729"/>
    </row>
    <row r="739" spans="1:11">
      <c r="A739" s="167"/>
      <c r="B739" s="267" t="s">
        <v>1048</v>
      </c>
      <c r="C739" s="267"/>
      <c r="D739" s="589"/>
      <c r="E739" s="167"/>
      <c r="F739" s="586"/>
      <c r="G739" s="586"/>
      <c r="H739" s="167"/>
      <c r="I739" s="477"/>
      <c r="J739" s="167"/>
      <c r="K739" s="729"/>
    </row>
    <row r="740" spans="1:11">
      <c r="A740" s="167"/>
      <c r="B740" s="167" t="s">
        <v>946</v>
      </c>
      <c r="C740" s="167"/>
      <c r="D740" s="589">
        <v>3</v>
      </c>
      <c r="E740" s="167">
        <v>1</v>
      </c>
      <c r="F740" s="586">
        <v>3.86</v>
      </c>
      <c r="G740" s="586">
        <v>3.25</v>
      </c>
      <c r="H740" s="167"/>
      <c r="I740" s="477">
        <f>+PRODUCT(D740:H740)</f>
        <v>37.634999999999998</v>
      </c>
      <c r="J740" s="167"/>
      <c r="K740" s="729"/>
    </row>
    <row r="741" spans="1:11">
      <c r="A741" s="167"/>
      <c r="B741" s="167" t="s">
        <v>947</v>
      </c>
      <c r="C741" s="167"/>
      <c r="D741" s="589">
        <v>3</v>
      </c>
      <c r="E741" s="167">
        <v>1</v>
      </c>
      <c r="F741" s="586">
        <v>3.86</v>
      </c>
      <c r="G741" s="586">
        <v>3.335</v>
      </c>
      <c r="H741" s="167"/>
      <c r="I741" s="477">
        <f t="shared" ref="I741:I753" si="153">+PRODUCT(D741:H741)</f>
        <v>38.619300000000003</v>
      </c>
      <c r="J741" s="167"/>
      <c r="K741" s="729"/>
    </row>
    <row r="742" spans="1:11">
      <c r="A742" s="167"/>
      <c r="B742" s="167" t="s">
        <v>948</v>
      </c>
      <c r="C742" s="167"/>
      <c r="D742" s="589">
        <v>3</v>
      </c>
      <c r="E742" s="167">
        <v>1</v>
      </c>
      <c r="F742" s="586">
        <v>3.55</v>
      </c>
      <c r="G742" s="586">
        <v>3.2650000000000001</v>
      </c>
      <c r="H742" s="167"/>
      <c r="I742" s="477">
        <f t="shared" si="153"/>
        <v>34.77225</v>
      </c>
      <c r="J742" s="167"/>
      <c r="K742" s="729"/>
    </row>
    <row r="743" spans="1:11">
      <c r="A743" s="167"/>
      <c r="B743" s="167" t="s">
        <v>940</v>
      </c>
      <c r="C743" s="167"/>
      <c r="D743" s="589">
        <v>3</v>
      </c>
      <c r="E743" s="167">
        <v>1</v>
      </c>
      <c r="F743" s="586">
        <v>6.2450000000000001</v>
      </c>
      <c r="G743" s="586">
        <v>3.3149999999999999</v>
      </c>
      <c r="H743" s="167"/>
      <c r="I743" s="477">
        <f t="shared" si="153"/>
        <v>62.106524999999998</v>
      </c>
      <c r="J743" s="167"/>
      <c r="K743" s="729"/>
    </row>
    <row r="744" spans="1:11">
      <c r="A744" s="167"/>
      <c r="B744" s="167"/>
      <c r="C744" s="167"/>
      <c r="D744" s="589">
        <v>3</v>
      </c>
      <c r="E744" s="167">
        <v>1</v>
      </c>
      <c r="F744" s="586">
        <v>3.17</v>
      </c>
      <c r="G744" s="586">
        <v>1.91</v>
      </c>
      <c r="H744" s="167"/>
      <c r="I744" s="477">
        <f t="shared" si="153"/>
        <v>18.164099999999998</v>
      </c>
      <c r="J744" s="167"/>
      <c r="K744" s="729"/>
    </row>
    <row r="745" spans="1:11">
      <c r="A745" s="167"/>
      <c r="B745" s="167" t="s">
        <v>949</v>
      </c>
      <c r="C745" s="167"/>
      <c r="D745" s="589">
        <v>3</v>
      </c>
      <c r="E745" s="167">
        <v>1</v>
      </c>
      <c r="F745" s="586">
        <v>3.4350000000000001</v>
      </c>
      <c r="G745" s="586">
        <v>2.3450000000000002</v>
      </c>
      <c r="H745" s="167"/>
      <c r="I745" s="477">
        <f t="shared" si="153"/>
        <v>24.165225000000003</v>
      </c>
      <c r="J745" s="167"/>
      <c r="K745" s="729"/>
    </row>
    <row r="746" spans="1:11">
      <c r="A746" s="167"/>
      <c r="B746" s="167" t="s">
        <v>937</v>
      </c>
      <c r="C746" s="167"/>
      <c r="D746" s="589">
        <v>3</v>
      </c>
      <c r="E746" s="167">
        <v>1</v>
      </c>
      <c r="F746" s="586">
        <v>3.86</v>
      </c>
      <c r="G746" s="586">
        <v>1.44</v>
      </c>
      <c r="H746" s="167"/>
      <c r="I746" s="477">
        <f t="shared" si="153"/>
        <v>16.6752</v>
      </c>
      <c r="J746" s="167"/>
      <c r="K746" s="729"/>
    </row>
    <row r="747" spans="1:11">
      <c r="A747" s="167"/>
      <c r="B747" s="167" t="s">
        <v>938</v>
      </c>
      <c r="C747" s="167"/>
      <c r="D747" s="589">
        <v>3</v>
      </c>
      <c r="E747" s="167">
        <v>1</v>
      </c>
      <c r="F747" s="586">
        <v>3.55</v>
      </c>
      <c r="G747" s="586">
        <v>1.425</v>
      </c>
      <c r="H747" s="167"/>
      <c r="I747" s="477">
        <f t="shared" si="153"/>
        <v>15.176249999999998</v>
      </c>
      <c r="J747" s="167"/>
      <c r="K747" s="729"/>
    </row>
    <row r="748" spans="1:11">
      <c r="A748" s="167"/>
      <c r="B748" s="167" t="s">
        <v>951</v>
      </c>
      <c r="C748" s="167"/>
      <c r="D748" s="589">
        <v>3</v>
      </c>
      <c r="E748" s="167">
        <v>1</v>
      </c>
      <c r="F748" s="586">
        <v>3.55</v>
      </c>
      <c r="G748" s="586">
        <v>1.425</v>
      </c>
      <c r="H748" s="167"/>
      <c r="I748" s="477">
        <f t="shared" si="153"/>
        <v>15.176249999999998</v>
      </c>
      <c r="J748" s="167"/>
      <c r="K748" s="729"/>
    </row>
    <row r="749" spans="1:11">
      <c r="A749" s="167"/>
      <c r="B749" s="167" t="s">
        <v>936</v>
      </c>
      <c r="C749" s="167"/>
      <c r="D749" s="589">
        <v>3</v>
      </c>
      <c r="E749" s="167">
        <v>1</v>
      </c>
      <c r="F749" s="586">
        <v>1.2450000000000001</v>
      </c>
      <c r="G749" s="586">
        <v>0.51500000000000001</v>
      </c>
      <c r="H749" s="167"/>
      <c r="I749" s="477">
        <f t="shared" si="153"/>
        <v>1.9235250000000002</v>
      </c>
      <c r="J749" s="167"/>
      <c r="K749" s="729"/>
    </row>
    <row r="750" spans="1:11">
      <c r="A750" s="167"/>
      <c r="B750" s="167" t="s">
        <v>936</v>
      </c>
      <c r="C750" s="167"/>
      <c r="D750" s="589">
        <v>3</v>
      </c>
      <c r="E750" s="167">
        <v>1</v>
      </c>
      <c r="F750" s="586">
        <v>0.97</v>
      </c>
      <c r="G750" s="586">
        <v>0.41499999999999998</v>
      </c>
      <c r="H750" s="167"/>
      <c r="I750" s="477">
        <f t="shared" si="153"/>
        <v>1.2076499999999999</v>
      </c>
      <c r="J750" s="167"/>
      <c r="K750" s="729"/>
    </row>
    <row r="751" spans="1:11">
      <c r="A751" s="167"/>
      <c r="B751" s="167" t="s">
        <v>952</v>
      </c>
      <c r="C751" s="167"/>
      <c r="D751" s="589">
        <v>3</v>
      </c>
      <c r="E751" s="167">
        <v>1</v>
      </c>
      <c r="F751" s="586">
        <v>5.93</v>
      </c>
      <c r="G751" s="586">
        <v>2</v>
      </c>
      <c r="H751" s="593"/>
      <c r="I751" s="477">
        <f t="shared" si="153"/>
        <v>35.58</v>
      </c>
      <c r="J751" s="167"/>
      <c r="K751" s="729"/>
    </row>
    <row r="752" spans="1:11">
      <c r="A752" s="167"/>
      <c r="B752" s="167" t="s">
        <v>953</v>
      </c>
      <c r="C752" s="167"/>
      <c r="D752" s="589">
        <v>3</v>
      </c>
      <c r="E752" s="167">
        <v>1</v>
      </c>
      <c r="F752" s="586">
        <f>3.515+0.05</f>
        <v>3.5649999999999999</v>
      </c>
      <c r="G752" s="586">
        <v>2</v>
      </c>
      <c r="H752" s="593"/>
      <c r="I752" s="477">
        <f t="shared" si="153"/>
        <v>21.39</v>
      </c>
      <c r="J752" s="167"/>
      <c r="K752" s="729"/>
    </row>
    <row r="753" spans="1:11">
      <c r="A753" s="167"/>
      <c r="B753" s="167" t="s">
        <v>954</v>
      </c>
      <c r="C753" s="167"/>
      <c r="D753" s="589">
        <v>3</v>
      </c>
      <c r="E753" s="167">
        <v>1</v>
      </c>
      <c r="F753" s="586">
        <v>1.55</v>
      </c>
      <c r="G753" s="586">
        <v>2</v>
      </c>
      <c r="H753" s="593"/>
      <c r="I753" s="477">
        <f t="shared" si="153"/>
        <v>9.3000000000000007</v>
      </c>
      <c r="J753" s="167"/>
      <c r="K753" s="729"/>
    </row>
    <row r="754" spans="1:11">
      <c r="A754" s="167"/>
      <c r="B754" s="267"/>
      <c r="C754" s="267"/>
      <c r="D754" s="589"/>
      <c r="E754" s="267"/>
      <c r="F754" s="269"/>
      <c r="G754" s="269"/>
      <c r="H754" s="267"/>
      <c r="I754" s="580">
        <f>SUBTOTAL(9,I739:I753)</f>
        <v>331.89127499999995</v>
      </c>
      <c r="J754" s="167"/>
      <c r="K754" s="729"/>
    </row>
    <row r="755" spans="1:11">
      <c r="A755" s="167"/>
      <c r="B755" s="167"/>
      <c r="C755" s="167"/>
      <c r="D755" s="589"/>
      <c r="E755" s="167"/>
      <c r="F755" s="586"/>
      <c r="G755" s="586"/>
      <c r="H755" s="167"/>
      <c r="I755" s="477"/>
      <c r="J755" s="167"/>
      <c r="K755" s="729"/>
    </row>
    <row r="756" spans="1:11">
      <c r="A756" s="167"/>
      <c r="B756" s="267" t="s">
        <v>1050</v>
      </c>
      <c r="C756" s="167"/>
      <c r="D756" s="589">
        <v>1</v>
      </c>
      <c r="E756" s="167">
        <v>1</v>
      </c>
      <c r="F756" s="594">
        <v>5.09</v>
      </c>
      <c r="G756" s="594">
        <v>1.5</v>
      </c>
      <c r="H756" s="167"/>
      <c r="I756" s="477">
        <f>+PRODUCT(D756:H756)</f>
        <v>7.6349999999999998</v>
      </c>
      <c r="J756" s="167"/>
      <c r="K756" s="729"/>
    </row>
    <row r="757" spans="1:11">
      <c r="A757" s="167"/>
      <c r="B757" s="167"/>
      <c r="C757" s="167"/>
      <c r="D757" s="589">
        <v>1</v>
      </c>
      <c r="E757" s="167">
        <v>1</v>
      </c>
      <c r="F757" s="594">
        <v>3.14</v>
      </c>
      <c r="G757" s="594">
        <v>0.95499999999999996</v>
      </c>
      <c r="H757" s="167"/>
      <c r="I757" s="477">
        <f t="shared" ref="I757:I772" si="154">+PRODUCT(D757:H757)</f>
        <v>2.9986999999999999</v>
      </c>
      <c r="J757" s="167"/>
      <c r="K757" s="729"/>
    </row>
    <row r="758" spans="1:11">
      <c r="A758" s="167"/>
      <c r="B758" s="267" t="s">
        <v>955</v>
      </c>
      <c r="C758" s="167"/>
      <c r="D758" s="589">
        <v>1</v>
      </c>
      <c r="E758" s="167">
        <v>1</v>
      </c>
      <c r="F758" s="594">
        <v>3.95</v>
      </c>
      <c r="G758" s="594">
        <v>1.61</v>
      </c>
      <c r="H758" s="167"/>
      <c r="I758" s="477">
        <f t="shared" si="154"/>
        <v>6.3595000000000006</v>
      </c>
      <c r="J758" s="167"/>
      <c r="K758" s="729"/>
    </row>
    <row r="759" spans="1:11">
      <c r="A759" s="167"/>
      <c r="B759" s="167"/>
      <c r="C759" s="167"/>
      <c r="D759" s="589">
        <v>1</v>
      </c>
      <c r="E759" s="167">
        <v>1</v>
      </c>
      <c r="F759" s="594">
        <v>5.6349999999999998</v>
      </c>
      <c r="G759" s="594">
        <v>2.44</v>
      </c>
      <c r="H759" s="167"/>
      <c r="I759" s="477">
        <f t="shared" si="154"/>
        <v>13.7494</v>
      </c>
      <c r="J759" s="167"/>
      <c r="K759" s="729"/>
    </row>
    <row r="760" spans="1:11">
      <c r="A760" s="167"/>
      <c r="B760" s="267" t="s">
        <v>1049</v>
      </c>
      <c r="C760" s="167"/>
      <c r="D760" s="589">
        <v>1</v>
      </c>
      <c r="E760" s="167">
        <v>1</v>
      </c>
      <c r="F760" s="594">
        <v>4.79</v>
      </c>
      <c r="G760" s="594">
        <v>3.19</v>
      </c>
      <c r="H760" s="167"/>
      <c r="I760" s="477">
        <f t="shared" si="154"/>
        <v>15.280099999999999</v>
      </c>
      <c r="J760" s="167"/>
      <c r="K760" s="729"/>
    </row>
    <row r="761" spans="1:11">
      <c r="A761" s="167"/>
      <c r="B761" s="167"/>
      <c r="C761" s="167"/>
      <c r="D761" s="589">
        <v>1</v>
      </c>
      <c r="E761" s="167">
        <v>1</v>
      </c>
      <c r="F761" s="594">
        <v>1.4</v>
      </c>
      <c r="G761" s="594">
        <v>0.65500000000000003</v>
      </c>
      <c r="H761" s="167"/>
      <c r="I761" s="477">
        <f t="shared" si="154"/>
        <v>0.91699999999999993</v>
      </c>
      <c r="J761" s="167"/>
      <c r="K761" s="729"/>
    </row>
    <row r="762" spans="1:11">
      <c r="A762" s="167"/>
      <c r="B762" s="267" t="s">
        <v>1051</v>
      </c>
      <c r="C762" s="167"/>
      <c r="D762" s="589"/>
      <c r="E762" s="167"/>
      <c r="F762" s="586"/>
      <c r="G762" s="586"/>
      <c r="H762" s="167"/>
      <c r="I762" s="477"/>
      <c r="J762" s="167"/>
      <c r="K762" s="729"/>
    </row>
    <row r="763" spans="1:11">
      <c r="A763" s="167"/>
      <c r="B763" s="167" t="s">
        <v>1052</v>
      </c>
      <c r="C763" s="167"/>
      <c r="D763" s="589">
        <v>1</v>
      </c>
      <c r="E763" s="167">
        <v>2</v>
      </c>
      <c r="F763" s="586">
        <v>1.5</v>
      </c>
      <c r="G763" s="586">
        <v>1.5</v>
      </c>
      <c r="H763" s="167"/>
      <c r="I763" s="477">
        <f t="shared" ref="I763" si="155">+PRODUCT(D763:H763)</f>
        <v>4.5</v>
      </c>
      <c r="J763" s="167"/>
      <c r="K763" s="729"/>
    </row>
    <row r="764" spans="1:11">
      <c r="A764" s="167"/>
      <c r="B764" s="167" t="s">
        <v>1053</v>
      </c>
      <c r="C764" s="167"/>
      <c r="D764" s="589">
        <v>1</v>
      </c>
      <c r="E764" s="167">
        <v>2</v>
      </c>
      <c r="F764" s="586">
        <v>2.4089999999999998</v>
      </c>
      <c r="G764" s="586">
        <v>1.5</v>
      </c>
      <c r="H764" s="167"/>
      <c r="I764" s="477">
        <f t="shared" si="154"/>
        <v>7.2269999999999994</v>
      </c>
      <c r="J764" s="167"/>
      <c r="K764" s="729"/>
    </row>
    <row r="765" spans="1:11">
      <c r="A765" s="167"/>
      <c r="B765" s="167" t="s">
        <v>1054</v>
      </c>
      <c r="C765" s="167"/>
      <c r="D765" s="589">
        <v>1</v>
      </c>
      <c r="E765" s="167">
        <v>1</v>
      </c>
      <c r="F765" s="586">
        <v>1.484</v>
      </c>
      <c r="G765" s="586">
        <v>1.5</v>
      </c>
      <c r="H765" s="167"/>
      <c r="I765" s="477">
        <f t="shared" si="154"/>
        <v>2.226</v>
      </c>
      <c r="J765" s="167"/>
      <c r="K765" s="729"/>
    </row>
    <row r="766" spans="1:11">
      <c r="A766" s="167"/>
      <c r="B766" s="167" t="s">
        <v>1055</v>
      </c>
      <c r="C766" s="167"/>
      <c r="D766" s="589">
        <v>1</v>
      </c>
      <c r="E766" s="167">
        <v>1</v>
      </c>
      <c r="F766" s="586">
        <v>3.96</v>
      </c>
      <c r="G766" s="586">
        <v>0.26</v>
      </c>
      <c r="H766" s="167"/>
      <c r="I766" s="477">
        <f t="shared" si="154"/>
        <v>1.0296000000000001</v>
      </c>
      <c r="J766" s="167"/>
      <c r="K766" s="729"/>
    </row>
    <row r="767" spans="1:11">
      <c r="A767" s="167"/>
      <c r="B767" s="167" t="s">
        <v>1056</v>
      </c>
      <c r="C767" s="167"/>
      <c r="D767" s="589">
        <v>1</v>
      </c>
      <c r="E767" s="167">
        <v>1</v>
      </c>
      <c r="F767" s="586">
        <v>3.53</v>
      </c>
      <c r="G767" s="586">
        <v>0.23</v>
      </c>
      <c r="H767" s="167"/>
      <c r="I767" s="477">
        <f t="shared" si="154"/>
        <v>0.81189999999999996</v>
      </c>
      <c r="J767" s="167"/>
      <c r="K767" s="729"/>
    </row>
    <row r="768" spans="1:11">
      <c r="A768" s="167"/>
      <c r="B768" s="167" t="s">
        <v>1063</v>
      </c>
      <c r="C768" s="167"/>
      <c r="D768" s="589">
        <v>1</v>
      </c>
      <c r="E768" s="167">
        <v>1</v>
      </c>
      <c r="F768" s="586">
        <v>3.53</v>
      </c>
      <c r="G768" s="586">
        <f>0.45-0.175</f>
        <v>0.27500000000000002</v>
      </c>
      <c r="H768" s="167"/>
      <c r="I768" s="477">
        <f t="shared" ref="I768:I769" si="156">+PRODUCT(D768:H768)</f>
        <v>0.97075</v>
      </c>
      <c r="J768" s="167"/>
      <c r="K768" s="729"/>
    </row>
    <row r="769" spans="1:13">
      <c r="A769" s="167"/>
      <c r="B769" s="167" t="s">
        <v>1063</v>
      </c>
      <c r="C769" s="167"/>
      <c r="D769" s="589">
        <v>1</v>
      </c>
      <c r="E769" s="167">
        <v>1</v>
      </c>
      <c r="F769" s="586">
        <v>3.53</v>
      </c>
      <c r="G769" s="586">
        <v>0.45</v>
      </c>
      <c r="H769" s="167"/>
      <c r="I769" s="477">
        <f t="shared" si="156"/>
        <v>1.5885</v>
      </c>
      <c r="J769" s="167"/>
      <c r="K769" s="729"/>
    </row>
    <row r="770" spans="1:13">
      <c r="A770" s="167"/>
      <c r="B770" s="267" t="s">
        <v>1057</v>
      </c>
      <c r="C770" s="167"/>
      <c r="D770" s="589"/>
      <c r="E770" s="167"/>
      <c r="F770" s="586"/>
      <c r="G770" s="586"/>
      <c r="H770" s="167"/>
      <c r="I770" s="477"/>
      <c r="J770" s="167"/>
      <c r="K770" s="729"/>
    </row>
    <row r="771" spans="1:13">
      <c r="A771" s="167"/>
      <c r="B771" s="167" t="s">
        <v>1058</v>
      </c>
      <c r="C771" s="167"/>
      <c r="D771" s="589">
        <v>1</v>
      </c>
      <c r="E771" s="167">
        <v>2</v>
      </c>
      <c r="F771" s="586">
        <v>3.2</v>
      </c>
      <c r="G771" s="586">
        <v>1.5</v>
      </c>
      <c r="H771" s="167"/>
      <c r="I771" s="477">
        <f t="shared" si="154"/>
        <v>9.6000000000000014</v>
      </c>
      <c r="J771" s="167"/>
      <c r="K771" s="729"/>
    </row>
    <row r="772" spans="1:13">
      <c r="A772" s="167"/>
      <c r="B772" s="167" t="s">
        <v>1053</v>
      </c>
      <c r="C772" s="167"/>
      <c r="D772" s="589">
        <v>1</v>
      </c>
      <c r="E772" s="167">
        <v>2</v>
      </c>
      <c r="F772" s="586">
        <v>3.343</v>
      </c>
      <c r="G772" s="586">
        <v>1.5</v>
      </c>
      <c r="H772" s="167"/>
      <c r="I772" s="477">
        <f t="shared" si="154"/>
        <v>10.029</v>
      </c>
      <c r="J772" s="167"/>
      <c r="K772" s="729"/>
    </row>
    <row r="773" spans="1:13">
      <c r="A773" s="167"/>
      <c r="B773" s="167" t="s">
        <v>1056</v>
      </c>
      <c r="C773" s="167"/>
      <c r="D773" s="589">
        <v>1</v>
      </c>
      <c r="E773" s="167">
        <v>1</v>
      </c>
      <c r="F773" s="586">
        <v>3.2</v>
      </c>
      <c r="G773" s="586">
        <v>0.23</v>
      </c>
      <c r="H773" s="167"/>
      <c r="I773" s="477">
        <f t="shared" ref="I773:I775" si="157">+PRODUCT(D773:H773)</f>
        <v>0.7360000000000001</v>
      </c>
      <c r="J773" s="167"/>
      <c r="K773" s="729"/>
    </row>
    <row r="774" spans="1:13">
      <c r="A774" s="167"/>
      <c r="B774" s="167" t="s">
        <v>1063</v>
      </c>
      <c r="C774" s="167"/>
      <c r="D774" s="589">
        <v>1</v>
      </c>
      <c r="E774" s="167">
        <v>1</v>
      </c>
      <c r="F774" s="586">
        <v>3.2</v>
      </c>
      <c r="G774" s="586">
        <f>0.45-0.175</f>
        <v>0.27500000000000002</v>
      </c>
      <c r="H774" s="167"/>
      <c r="I774" s="477">
        <f t="shared" si="157"/>
        <v>0.88000000000000012</v>
      </c>
      <c r="J774" s="167"/>
      <c r="K774" s="729"/>
    </row>
    <row r="775" spans="1:13">
      <c r="A775" s="167"/>
      <c r="B775" s="167" t="s">
        <v>1063</v>
      </c>
      <c r="C775" s="167"/>
      <c r="D775" s="589">
        <v>1</v>
      </c>
      <c r="E775" s="167">
        <v>1</v>
      </c>
      <c r="F775" s="586">
        <v>3.2</v>
      </c>
      <c r="G775" s="586">
        <v>0.45</v>
      </c>
      <c r="H775" s="167"/>
      <c r="I775" s="477">
        <f t="shared" si="157"/>
        <v>1.4400000000000002</v>
      </c>
      <c r="J775" s="167"/>
      <c r="K775" s="729"/>
    </row>
    <row r="776" spans="1:13">
      <c r="A776" s="167"/>
      <c r="B776" s="167"/>
      <c r="C776" s="167"/>
      <c r="D776" s="589"/>
      <c r="E776" s="167"/>
      <c r="F776" s="586"/>
      <c r="G776" s="586"/>
      <c r="H776" s="167"/>
      <c r="I776" s="477"/>
      <c r="J776" s="167"/>
      <c r="K776" s="729"/>
    </row>
    <row r="777" spans="1:13">
      <c r="A777" s="167"/>
      <c r="B777" s="167"/>
      <c r="C777" s="167"/>
      <c r="D777" s="589"/>
      <c r="E777" s="167"/>
      <c r="F777" s="167"/>
      <c r="G777" s="167"/>
      <c r="H777" s="167"/>
      <c r="I777" s="580">
        <f>SUBTOTAL(9,I756:I776)</f>
        <v>87.978449999999995</v>
      </c>
      <c r="J777" s="167"/>
      <c r="K777" s="729"/>
    </row>
    <row r="778" spans="1:13" ht="45">
      <c r="A778" s="75"/>
      <c r="B778" s="408" t="s">
        <v>754</v>
      </c>
      <c r="C778" s="77"/>
      <c r="D778" s="77"/>
      <c r="E778" s="77"/>
      <c r="F778" s="395"/>
      <c r="G778" s="395"/>
      <c r="H778" s="395"/>
      <c r="I778" s="80"/>
      <c r="J778" s="167"/>
      <c r="K778" s="729"/>
      <c r="L778" s="396"/>
      <c r="M778" s="396"/>
    </row>
    <row r="779" spans="1:13" s="116" customFormat="1" ht="30">
      <c r="A779" s="377">
        <v>1</v>
      </c>
      <c r="B779" s="562" t="s">
        <v>922</v>
      </c>
      <c r="C779" s="397" t="s">
        <v>71</v>
      </c>
      <c r="D779" s="414">
        <v>31</v>
      </c>
      <c r="E779" s="397">
        <v>1</v>
      </c>
      <c r="F779" s="395">
        <v>0.3</v>
      </c>
      <c r="G779" s="395">
        <v>0.6</v>
      </c>
      <c r="H779" s="395">
        <v>0.45</v>
      </c>
      <c r="I779" s="80">
        <f t="shared" ref="I779:I798" si="158">D779*E779*2*(F779+G779)*H779</f>
        <v>25.11</v>
      </c>
      <c r="J779" s="167"/>
      <c r="K779" s="729"/>
      <c r="L779" s="396"/>
      <c r="M779" s="396"/>
    </row>
    <row r="780" spans="1:13" s="116" customFormat="1">
      <c r="A780" s="377">
        <v>2</v>
      </c>
      <c r="B780" s="413" t="s">
        <v>621</v>
      </c>
      <c r="C780" s="397" t="s">
        <v>71</v>
      </c>
      <c r="D780" s="413">
        <v>15</v>
      </c>
      <c r="E780" s="397">
        <v>1</v>
      </c>
      <c r="F780" s="395">
        <v>0.3</v>
      </c>
      <c r="G780" s="395">
        <v>0.7</v>
      </c>
      <c r="H780" s="395">
        <v>0.45</v>
      </c>
      <c r="I780" s="80">
        <f t="shared" si="158"/>
        <v>13.5</v>
      </c>
      <c r="J780" s="167"/>
      <c r="K780" s="729"/>
      <c r="L780" s="396"/>
      <c r="M780" s="396"/>
    </row>
    <row r="781" spans="1:13" s="116" customFormat="1">
      <c r="A781" s="377">
        <v>3</v>
      </c>
      <c r="B781" s="413" t="s">
        <v>923</v>
      </c>
      <c r="C781" s="397" t="s">
        <v>71</v>
      </c>
      <c r="D781" s="413">
        <v>7</v>
      </c>
      <c r="E781" s="397">
        <v>1</v>
      </c>
      <c r="F781" s="395">
        <v>0.3</v>
      </c>
      <c r="G781" s="395">
        <v>0.71499999999999997</v>
      </c>
      <c r="H781" s="395">
        <v>0.45</v>
      </c>
      <c r="I781" s="80">
        <f t="shared" si="158"/>
        <v>6.3944999999999999</v>
      </c>
      <c r="J781" s="167"/>
      <c r="K781" s="729"/>
      <c r="L781" s="396"/>
      <c r="M781" s="396"/>
    </row>
    <row r="782" spans="1:13" s="116" customFormat="1">
      <c r="A782" s="377">
        <v>4</v>
      </c>
      <c r="B782" s="413" t="s">
        <v>623</v>
      </c>
      <c r="C782" s="397" t="s">
        <v>71</v>
      </c>
      <c r="D782" s="413">
        <v>2</v>
      </c>
      <c r="E782" s="397">
        <v>1</v>
      </c>
      <c r="F782" s="395">
        <v>0.3</v>
      </c>
      <c r="G782" s="395">
        <v>0.8</v>
      </c>
      <c r="H782" s="395">
        <v>0.45</v>
      </c>
      <c r="I782" s="80">
        <f t="shared" si="158"/>
        <v>1.9800000000000002</v>
      </c>
      <c r="J782" s="167"/>
      <c r="K782" s="729"/>
      <c r="L782" s="396"/>
      <c r="M782" s="396"/>
    </row>
    <row r="783" spans="1:13" s="116" customFormat="1">
      <c r="A783" s="377">
        <v>5</v>
      </c>
      <c r="B783" s="410" t="s">
        <v>624</v>
      </c>
      <c r="C783" s="397" t="s">
        <v>71</v>
      </c>
      <c r="D783" s="413">
        <v>1</v>
      </c>
      <c r="E783" s="397">
        <v>1</v>
      </c>
      <c r="F783" s="395">
        <v>0.23</v>
      </c>
      <c r="G783" s="395">
        <v>0.65</v>
      </c>
      <c r="H783" s="395">
        <v>0.45</v>
      </c>
      <c r="I783" s="80">
        <f t="shared" si="158"/>
        <v>0.79200000000000004</v>
      </c>
      <c r="J783" s="167"/>
      <c r="K783" s="729"/>
      <c r="L783" s="396"/>
      <c r="M783" s="396"/>
    </row>
    <row r="784" spans="1:13" s="116" customFormat="1">
      <c r="A784" s="377">
        <v>6</v>
      </c>
      <c r="B784" s="410"/>
      <c r="C784" s="397" t="s">
        <v>71</v>
      </c>
      <c r="D784" s="413">
        <v>1</v>
      </c>
      <c r="E784" s="397">
        <v>1</v>
      </c>
      <c r="F784" s="395">
        <v>0.23</v>
      </c>
      <c r="G784" s="395">
        <f>1.65-0.23</f>
        <v>1.42</v>
      </c>
      <c r="H784" s="395">
        <v>0.45</v>
      </c>
      <c r="I784" s="80">
        <f t="shared" si="158"/>
        <v>1.4849999999999999</v>
      </c>
      <c r="J784" s="167"/>
      <c r="K784" s="729"/>
      <c r="L784" s="396"/>
      <c r="M784" s="396"/>
    </row>
    <row r="785" spans="1:13" s="116" customFormat="1">
      <c r="A785" s="377">
        <v>7</v>
      </c>
      <c r="B785" s="410" t="s">
        <v>625</v>
      </c>
      <c r="C785" s="397" t="s">
        <v>71</v>
      </c>
      <c r="D785" s="413">
        <v>1</v>
      </c>
      <c r="E785" s="397">
        <v>1</v>
      </c>
      <c r="F785" s="395">
        <v>0.23</v>
      </c>
      <c r="G785" s="395">
        <v>0.65</v>
      </c>
      <c r="H785" s="395">
        <v>0.45</v>
      </c>
      <c r="I785" s="80">
        <f t="shared" si="158"/>
        <v>0.79200000000000004</v>
      </c>
      <c r="J785" s="167"/>
      <c r="K785" s="729"/>
      <c r="L785" s="396"/>
      <c r="M785" s="396"/>
    </row>
    <row r="786" spans="1:13" s="116" customFormat="1">
      <c r="A786" s="377">
        <v>8</v>
      </c>
      <c r="B786" s="410"/>
      <c r="C786" s="397" t="s">
        <v>71</v>
      </c>
      <c r="D786" s="413">
        <v>1</v>
      </c>
      <c r="E786" s="397">
        <v>1</v>
      </c>
      <c r="F786" s="395">
        <v>0.23</v>
      </c>
      <c r="G786" s="395">
        <f>1.85-0.23</f>
        <v>1.62</v>
      </c>
      <c r="H786" s="395">
        <v>0.45</v>
      </c>
      <c r="I786" s="80">
        <f t="shared" si="158"/>
        <v>1.665</v>
      </c>
      <c r="J786" s="167"/>
      <c r="K786" s="729"/>
      <c r="L786" s="396"/>
      <c r="M786" s="396"/>
    </row>
    <row r="787" spans="1:13" s="116" customFormat="1">
      <c r="A787" s="377">
        <v>9</v>
      </c>
      <c r="B787" s="410" t="s">
        <v>626</v>
      </c>
      <c r="C787" s="397" t="s">
        <v>71</v>
      </c>
      <c r="D787" s="413">
        <v>1</v>
      </c>
      <c r="E787" s="397">
        <v>1</v>
      </c>
      <c r="F787" s="395">
        <v>0.23</v>
      </c>
      <c r="G787" s="395">
        <v>1</v>
      </c>
      <c r="H787" s="395">
        <v>0.45</v>
      </c>
      <c r="I787" s="80">
        <f t="shared" si="158"/>
        <v>1.107</v>
      </c>
      <c r="J787" s="167"/>
      <c r="K787" s="729"/>
      <c r="L787" s="396"/>
      <c r="M787" s="396"/>
    </row>
    <row r="788" spans="1:13" s="116" customFormat="1">
      <c r="A788" s="377">
        <v>10</v>
      </c>
      <c r="B788" s="410" t="s">
        <v>627</v>
      </c>
      <c r="C788" s="397" t="s">
        <v>71</v>
      </c>
      <c r="D788" s="413">
        <v>1</v>
      </c>
      <c r="E788" s="397">
        <v>1</v>
      </c>
      <c r="F788" s="395">
        <v>0.23</v>
      </c>
      <c r="G788" s="395">
        <v>1.1499999999999999</v>
      </c>
      <c r="H788" s="395">
        <v>0.45</v>
      </c>
      <c r="I788" s="80">
        <f t="shared" si="158"/>
        <v>1.242</v>
      </c>
      <c r="J788" s="167"/>
      <c r="K788" s="729"/>
      <c r="L788" s="396"/>
      <c r="M788" s="396"/>
    </row>
    <row r="789" spans="1:13" s="116" customFormat="1">
      <c r="A789" s="377">
        <v>11</v>
      </c>
      <c r="B789" s="410" t="s">
        <v>628</v>
      </c>
      <c r="C789" s="397" t="s">
        <v>71</v>
      </c>
      <c r="D789" s="413">
        <v>2</v>
      </c>
      <c r="E789" s="397">
        <v>1</v>
      </c>
      <c r="F789" s="395">
        <v>0.23</v>
      </c>
      <c r="G789" s="395">
        <v>1.7</v>
      </c>
      <c r="H789" s="395">
        <v>0.45</v>
      </c>
      <c r="I789" s="80">
        <f t="shared" si="158"/>
        <v>3.4739999999999998</v>
      </c>
      <c r="J789" s="167"/>
      <c r="K789" s="729"/>
      <c r="L789" s="396"/>
      <c r="M789" s="396"/>
    </row>
    <row r="790" spans="1:13" s="116" customFormat="1">
      <c r="A790" s="377">
        <v>12</v>
      </c>
      <c r="B790" s="410" t="s">
        <v>629</v>
      </c>
      <c r="C790" s="397" t="s">
        <v>71</v>
      </c>
      <c r="D790" s="413">
        <v>2</v>
      </c>
      <c r="E790" s="397">
        <v>1</v>
      </c>
      <c r="F790" s="395">
        <v>0.23</v>
      </c>
      <c r="G790" s="395">
        <v>1.1850000000000001</v>
      </c>
      <c r="H790" s="395">
        <v>0.45</v>
      </c>
      <c r="I790" s="80">
        <f t="shared" si="158"/>
        <v>2.5470000000000002</v>
      </c>
      <c r="J790" s="167"/>
      <c r="K790" s="729"/>
      <c r="L790" s="396"/>
      <c r="M790" s="396"/>
    </row>
    <row r="791" spans="1:13" s="116" customFormat="1">
      <c r="A791" s="377">
        <v>13</v>
      </c>
      <c r="B791" s="410" t="s">
        <v>630</v>
      </c>
      <c r="C791" s="397" t="s">
        <v>71</v>
      </c>
      <c r="D791" s="413">
        <v>1</v>
      </c>
      <c r="E791" s="397">
        <v>1</v>
      </c>
      <c r="F791" s="395">
        <v>0.23</v>
      </c>
      <c r="G791" s="395">
        <v>1.855</v>
      </c>
      <c r="H791" s="395">
        <v>0.45</v>
      </c>
      <c r="I791" s="80">
        <f t="shared" si="158"/>
        <v>1.8765000000000001</v>
      </c>
      <c r="J791" s="167"/>
      <c r="K791" s="729"/>
      <c r="L791" s="396"/>
      <c r="M791" s="396"/>
    </row>
    <row r="792" spans="1:13" s="116" customFormat="1">
      <c r="A792" s="377">
        <v>14</v>
      </c>
      <c r="B792" s="410" t="s">
        <v>631</v>
      </c>
      <c r="C792" s="397" t="s">
        <v>71</v>
      </c>
      <c r="D792" s="413">
        <v>1</v>
      </c>
      <c r="E792" s="397">
        <v>1</v>
      </c>
      <c r="F792" s="395">
        <v>0.23</v>
      </c>
      <c r="G792" s="395">
        <v>3.6</v>
      </c>
      <c r="H792" s="395">
        <v>0.45</v>
      </c>
      <c r="I792" s="80">
        <f t="shared" si="158"/>
        <v>3.4470000000000001</v>
      </c>
      <c r="J792" s="167"/>
      <c r="K792" s="729"/>
      <c r="L792" s="396"/>
      <c r="M792" s="396"/>
    </row>
    <row r="793" spans="1:13" s="116" customFormat="1">
      <c r="A793" s="377">
        <v>15</v>
      </c>
      <c r="B793" s="410" t="s">
        <v>632</v>
      </c>
      <c r="C793" s="397" t="s">
        <v>71</v>
      </c>
      <c r="D793" s="413">
        <v>3</v>
      </c>
      <c r="E793" s="397">
        <v>1</v>
      </c>
      <c r="F793" s="395">
        <v>0.23</v>
      </c>
      <c r="G793" s="395">
        <v>0.65</v>
      </c>
      <c r="H793" s="395">
        <v>0.45</v>
      </c>
      <c r="I793" s="80">
        <f t="shared" si="158"/>
        <v>2.3760000000000003</v>
      </c>
      <c r="J793" s="167"/>
      <c r="K793" s="729"/>
      <c r="L793" s="396"/>
      <c r="M793" s="396"/>
    </row>
    <row r="794" spans="1:13" s="116" customFormat="1">
      <c r="A794" s="377">
        <v>16</v>
      </c>
      <c r="B794" s="410"/>
      <c r="C794" s="397" t="s">
        <v>71</v>
      </c>
      <c r="D794" s="413">
        <v>3</v>
      </c>
      <c r="E794" s="397">
        <v>1</v>
      </c>
      <c r="F794" s="395">
        <v>0.23</v>
      </c>
      <c r="G794" s="395">
        <f>1.85-0.23</f>
        <v>1.62</v>
      </c>
      <c r="H794" s="395">
        <v>0.45</v>
      </c>
      <c r="I794" s="80">
        <f t="shared" si="158"/>
        <v>4.995000000000001</v>
      </c>
      <c r="J794" s="167"/>
      <c r="K794" s="729"/>
      <c r="L794" s="396"/>
      <c r="M794" s="396"/>
    </row>
    <row r="795" spans="1:13" s="116" customFormat="1">
      <c r="A795" s="377">
        <v>17</v>
      </c>
      <c r="B795" s="410" t="s">
        <v>633</v>
      </c>
      <c r="C795" s="397" t="s">
        <v>71</v>
      </c>
      <c r="D795" s="413">
        <v>1</v>
      </c>
      <c r="E795" s="397">
        <v>1</v>
      </c>
      <c r="F795" s="395">
        <v>0.23</v>
      </c>
      <c r="G795" s="395">
        <v>3.4449999999999998</v>
      </c>
      <c r="H795" s="395">
        <v>0.45</v>
      </c>
      <c r="I795" s="80">
        <f t="shared" si="158"/>
        <v>3.3075000000000001</v>
      </c>
      <c r="J795" s="167"/>
      <c r="K795" s="729"/>
      <c r="L795" s="396"/>
      <c r="M795" s="396"/>
    </row>
    <row r="796" spans="1:13" s="116" customFormat="1">
      <c r="A796" s="377">
        <v>18</v>
      </c>
      <c r="B796" s="410" t="s">
        <v>634</v>
      </c>
      <c r="C796" s="397" t="s">
        <v>71</v>
      </c>
      <c r="D796" s="413">
        <v>1</v>
      </c>
      <c r="E796" s="397">
        <v>1</v>
      </c>
      <c r="F796" s="395">
        <v>0.23</v>
      </c>
      <c r="G796" s="395">
        <v>4.0650000000000004</v>
      </c>
      <c r="H796" s="395">
        <v>0.45</v>
      </c>
      <c r="I796" s="80">
        <f t="shared" si="158"/>
        <v>3.8655000000000008</v>
      </c>
      <c r="J796" s="167"/>
      <c r="K796" s="729"/>
      <c r="L796" s="396"/>
      <c r="M796" s="396"/>
    </row>
    <row r="797" spans="1:13" s="116" customFormat="1">
      <c r="A797" s="377">
        <v>19</v>
      </c>
      <c r="B797" s="410" t="s">
        <v>635</v>
      </c>
      <c r="C797" s="397" t="s">
        <v>71</v>
      </c>
      <c r="D797" s="413">
        <v>1</v>
      </c>
      <c r="E797" s="397">
        <v>1</v>
      </c>
      <c r="F797" s="395">
        <v>0.23</v>
      </c>
      <c r="G797" s="395">
        <v>0.65</v>
      </c>
      <c r="H797" s="395">
        <v>0.45</v>
      </c>
      <c r="I797" s="80">
        <f t="shared" si="158"/>
        <v>0.79200000000000004</v>
      </c>
      <c r="J797" s="167"/>
      <c r="K797" s="729"/>
      <c r="L797" s="396"/>
      <c r="M797" s="396"/>
    </row>
    <row r="798" spans="1:13" s="116" customFormat="1">
      <c r="A798" s="377">
        <v>20</v>
      </c>
      <c r="B798" s="410"/>
      <c r="C798" s="397" t="s">
        <v>71</v>
      </c>
      <c r="D798" s="413">
        <v>1</v>
      </c>
      <c r="E798" s="397">
        <v>1</v>
      </c>
      <c r="F798" s="395">
        <v>0.23</v>
      </c>
      <c r="G798" s="395">
        <f>1.535-0.23</f>
        <v>1.3049999999999999</v>
      </c>
      <c r="H798" s="395">
        <v>0.45</v>
      </c>
      <c r="I798" s="80">
        <f t="shared" si="158"/>
        <v>1.3815</v>
      </c>
      <c r="J798" s="167"/>
      <c r="K798" s="729"/>
      <c r="L798" s="396"/>
      <c r="M798" s="396"/>
    </row>
    <row r="799" spans="1:13" s="116" customFormat="1">
      <c r="A799" s="377">
        <v>21</v>
      </c>
      <c r="B799" s="410" t="s">
        <v>636</v>
      </c>
      <c r="C799" s="397" t="s">
        <v>71</v>
      </c>
      <c r="D799" s="413">
        <v>1</v>
      </c>
      <c r="E799" s="397">
        <v>1</v>
      </c>
      <c r="F799" s="395">
        <v>0.2</v>
      </c>
      <c r="G799" s="395">
        <v>3.4449999999999998</v>
      </c>
      <c r="H799" s="395">
        <v>0.45</v>
      </c>
      <c r="I799" s="80">
        <f>D799*E799*2*(F799+G799)*H799</f>
        <v>3.2805</v>
      </c>
      <c r="J799" s="167"/>
      <c r="K799" s="729"/>
      <c r="L799" s="396"/>
      <c r="M799" s="396"/>
    </row>
    <row r="800" spans="1:13" s="116" customFormat="1">
      <c r="A800" s="397"/>
      <c r="B800" s="410"/>
      <c r="C800" s="397"/>
      <c r="D800" s="413"/>
      <c r="E800" s="397"/>
      <c r="F800" s="395"/>
      <c r="G800" s="395"/>
      <c r="H800" s="395"/>
      <c r="I800" s="580">
        <f>SUBTOTAL(9,I779:I799)</f>
        <v>85.410000000000011</v>
      </c>
      <c r="J800" s="167"/>
      <c r="K800" s="729"/>
      <c r="L800" s="396"/>
      <c r="M800" s="396"/>
    </row>
    <row r="801" spans="1:11">
      <c r="A801" s="167"/>
      <c r="B801" s="167"/>
      <c r="C801" s="167"/>
      <c r="D801" s="589"/>
      <c r="E801" s="167"/>
      <c r="F801" s="167"/>
      <c r="G801" s="167"/>
      <c r="H801" s="167"/>
      <c r="I801" s="580"/>
      <c r="J801" s="167"/>
      <c r="K801" s="729"/>
    </row>
    <row r="802" spans="1:11" ht="15.75">
      <c r="A802" s="167"/>
      <c r="B802" s="167"/>
      <c r="C802" s="167"/>
      <c r="D802" s="167"/>
      <c r="E802" s="167"/>
      <c r="F802" s="167"/>
      <c r="G802" s="167"/>
      <c r="H802" s="167"/>
      <c r="I802" s="597">
        <f>SUBTOTAL(9,I364:I801)</f>
        <v>1195.8149499999995</v>
      </c>
      <c r="J802" s="167"/>
      <c r="K802" s="729"/>
    </row>
    <row r="803" spans="1:11">
      <c r="K803" s="729"/>
    </row>
    <row r="804" spans="1:11">
      <c r="A804" s="167"/>
      <c r="B804" s="584" t="s">
        <v>1062</v>
      </c>
      <c r="C804" s="267"/>
      <c r="D804" s="167"/>
      <c r="E804" s="167"/>
      <c r="F804" s="167"/>
      <c r="G804" s="167"/>
      <c r="H804" s="477"/>
      <c r="I804" s="167"/>
      <c r="J804" s="167"/>
      <c r="K804" s="757" t="s">
        <v>1298</v>
      </c>
    </row>
    <row r="805" spans="1:11">
      <c r="A805" s="167"/>
      <c r="B805" s="267"/>
      <c r="C805" s="267"/>
      <c r="D805" s="167"/>
      <c r="E805" s="167"/>
      <c r="F805" s="167"/>
      <c r="G805" s="167"/>
      <c r="H805" s="477"/>
      <c r="I805" s="167"/>
      <c r="J805" s="167"/>
      <c r="K805" s="758"/>
    </row>
    <row r="806" spans="1:11">
      <c r="A806" s="167"/>
      <c r="B806" s="167" t="s">
        <v>958</v>
      </c>
      <c r="C806" s="397" t="s">
        <v>9</v>
      </c>
      <c r="D806" s="647">
        <v>1</v>
      </c>
      <c r="E806" s="251">
        <v>1</v>
      </c>
      <c r="F806" s="595">
        <v>3.0249999999999999</v>
      </c>
      <c r="G806" s="235"/>
      <c r="H806" s="235">
        <v>0.2</v>
      </c>
      <c r="I806" s="477">
        <f>+PRODUCT(D806:H806)</f>
        <v>0.60499999999999998</v>
      </c>
      <c r="J806" s="167"/>
      <c r="K806" s="758"/>
    </row>
    <row r="807" spans="1:11">
      <c r="A807" s="167"/>
      <c r="B807" s="167" t="s">
        <v>1063</v>
      </c>
      <c r="C807" s="397" t="s">
        <v>9</v>
      </c>
      <c r="D807" s="647">
        <v>1</v>
      </c>
      <c r="E807" s="251">
        <v>1</v>
      </c>
      <c r="F807" s="595">
        <v>3.0249999999999999</v>
      </c>
      <c r="G807" s="235"/>
      <c r="H807" s="235">
        <f>0.5-0.2</f>
        <v>0.3</v>
      </c>
      <c r="I807" s="477">
        <f>+PRODUCT(D807:H807)</f>
        <v>0.90749999999999997</v>
      </c>
      <c r="J807" s="167"/>
      <c r="K807" s="758"/>
    </row>
    <row r="808" spans="1:11">
      <c r="A808" s="167"/>
      <c r="B808" s="167" t="s">
        <v>1063</v>
      </c>
      <c r="C808" s="397" t="s">
        <v>9</v>
      </c>
      <c r="D808" s="647">
        <v>1</v>
      </c>
      <c r="E808" s="251">
        <v>1</v>
      </c>
      <c r="F808" s="595">
        <v>3.0249999999999999</v>
      </c>
      <c r="G808" s="235"/>
      <c r="H808" s="235">
        <f>0.5-0.135</f>
        <v>0.36499999999999999</v>
      </c>
      <c r="I808" s="477">
        <f>+PRODUCT(D808:H808)</f>
        <v>1.104125</v>
      </c>
      <c r="J808" s="167"/>
      <c r="K808" s="758"/>
    </row>
    <row r="809" spans="1:11">
      <c r="A809" s="167"/>
      <c r="B809" s="167" t="s">
        <v>958</v>
      </c>
      <c r="C809" s="397" t="s">
        <v>9</v>
      </c>
      <c r="D809" s="647">
        <v>1</v>
      </c>
      <c r="E809" s="251">
        <v>1</v>
      </c>
      <c r="F809" s="595">
        <v>2.8</v>
      </c>
      <c r="G809" s="235">
        <v>0.5</v>
      </c>
      <c r="H809" s="235">
        <v>0.2</v>
      </c>
      <c r="I809" s="477">
        <f t="shared" ref="I809:I1005" si="159">+PRODUCT(D809:H809)</f>
        <v>0.27999999999999997</v>
      </c>
      <c r="J809" s="167"/>
      <c r="K809" s="758"/>
    </row>
    <row r="810" spans="1:11">
      <c r="A810" s="167"/>
      <c r="B810" s="167" t="s">
        <v>1063</v>
      </c>
      <c r="C810" s="397" t="s">
        <v>9</v>
      </c>
      <c r="D810" s="647">
        <v>1</v>
      </c>
      <c r="E810" s="251">
        <v>1</v>
      </c>
      <c r="F810" s="595">
        <v>2.8</v>
      </c>
      <c r="G810" s="235"/>
      <c r="H810" s="235">
        <f>0.5-0.2</f>
        <v>0.3</v>
      </c>
      <c r="I810" s="477">
        <f t="shared" si="159"/>
        <v>0.84</v>
      </c>
      <c r="J810" s="167"/>
      <c r="K810" s="758"/>
    </row>
    <row r="811" spans="1:11">
      <c r="A811" s="167"/>
      <c r="B811" s="167" t="s">
        <v>1063</v>
      </c>
      <c r="C811" s="397" t="s">
        <v>9</v>
      </c>
      <c r="D811" s="647">
        <v>1</v>
      </c>
      <c r="E811" s="251">
        <v>1</v>
      </c>
      <c r="F811" s="595">
        <v>2.8</v>
      </c>
      <c r="G811" s="235"/>
      <c r="H811" s="235">
        <f>0.5-0.135</f>
        <v>0.36499999999999999</v>
      </c>
      <c r="I811" s="477">
        <f t="shared" si="159"/>
        <v>1.022</v>
      </c>
      <c r="J811" s="167"/>
      <c r="K811" s="758"/>
    </row>
    <row r="812" spans="1:11">
      <c r="A812" s="167"/>
      <c r="B812" s="167" t="s">
        <v>959</v>
      </c>
      <c r="C812" s="397" t="s">
        <v>9</v>
      </c>
      <c r="D812" s="647">
        <v>1</v>
      </c>
      <c r="E812" s="251">
        <v>1</v>
      </c>
      <c r="F812" s="595">
        <v>3.3</v>
      </c>
      <c r="G812" s="235"/>
      <c r="H812" s="235">
        <v>0.2</v>
      </c>
      <c r="I812" s="477">
        <f t="shared" si="159"/>
        <v>0.66</v>
      </c>
      <c r="J812" s="167"/>
      <c r="K812" s="758"/>
    </row>
    <row r="813" spans="1:11">
      <c r="A813" s="167"/>
      <c r="B813" s="167" t="s">
        <v>1063</v>
      </c>
      <c r="C813" s="397" t="s">
        <v>9</v>
      </c>
      <c r="D813" s="647">
        <v>1</v>
      </c>
      <c r="E813" s="251">
        <v>1</v>
      </c>
      <c r="F813" s="595">
        <v>3.3</v>
      </c>
      <c r="G813" s="235"/>
      <c r="H813" s="235">
        <f>0.5-0.2</f>
        <v>0.3</v>
      </c>
      <c r="I813" s="477">
        <f t="shared" si="159"/>
        <v>0.98999999999999988</v>
      </c>
      <c r="J813" s="167"/>
      <c r="K813" s="758"/>
    </row>
    <row r="814" spans="1:11">
      <c r="A814" s="167"/>
      <c r="B814" s="167" t="s">
        <v>1063</v>
      </c>
      <c r="C814" s="397" t="s">
        <v>9</v>
      </c>
      <c r="D814" s="647">
        <v>1</v>
      </c>
      <c r="E814" s="251">
        <v>1</v>
      </c>
      <c r="F814" s="595">
        <v>3.3</v>
      </c>
      <c r="G814" s="235"/>
      <c r="H814" s="235">
        <f>0.5-0.15</f>
        <v>0.35</v>
      </c>
      <c r="I814" s="477">
        <f t="shared" si="159"/>
        <v>1.1549999999999998</v>
      </c>
      <c r="J814" s="167"/>
      <c r="K814" s="758"/>
    </row>
    <row r="815" spans="1:11">
      <c r="A815" s="167"/>
      <c r="B815" s="167" t="s">
        <v>999</v>
      </c>
      <c r="C815" s="397" t="s">
        <v>9</v>
      </c>
      <c r="D815" s="647">
        <v>1</v>
      </c>
      <c r="E815" s="251">
        <v>1</v>
      </c>
      <c r="F815" s="595">
        <v>1.395</v>
      </c>
      <c r="G815" s="235"/>
      <c r="H815" s="235">
        <v>0.1</v>
      </c>
      <c r="I815" s="477">
        <f t="shared" si="159"/>
        <v>0.13950000000000001</v>
      </c>
      <c r="J815" s="167"/>
      <c r="K815" s="758"/>
    </row>
    <row r="816" spans="1:11">
      <c r="A816" s="167"/>
      <c r="B816" s="167" t="s">
        <v>1063</v>
      </c>
      <c r="C816" s="397" t="s">
        <v>9</v>
      </c>
      <c r="D816" s="647">
        <v>1</v>
      </c>
      <c r="E816" s="251">
        <v>2</v>
      </c>
      <c r="F816" s="595">
        <v>1.395</v>
      </c>
      <c r="G816" s="235"/>
      <c r="H816" s="235">
        <v>0.35</v>
      </c>
      <c r="I816" s="477">
        <f t="shared" si="159"/>
        <v>0.97649999999999992</v>
      </c>
      <c r="J816" s="167"/>
      <c r="K816" s="758"/>
    </row>
    <row r="817" spans="1:11">
      <c r="A817" s="167"/>
      <c r="B817" s="167" t="s">
        <v>1000</v>
      </c>
      <c r="C817" s="397" t="s">
        <v>9</v>
      </c>
      <c r="D817" s="647">
        <v>1</v>
      </c>
      <c r="E817" s="251">
        <v>1</v>
      </c>
      <c r="F817" s="595">
        <v>1.395</v>
      </c>
      <c r="G817" s="235"/>
      <c r="H817" s="235">
        <v>0.115</v>
      </c>
      <c r="I817" s="477">
        <f t="shared" si="159"/>
        <v>0.16042500000000001</v>
      </c>
      <c r="J817" s="167"/>
      <c r="K817" s="758"/>
    </row>
    <row r="818" spans="1:11">
      <c r="A818" s="167"/>
      <c r="B818" s="167" t="s">
        <v>1063</v>
      </c>
      <c r="C818" s="397" t="s">
        <v>9</v>
      </c>
      <c r="D818" s="647">
        <v>1</v>
      </c>
      <c r="E818" s="251">
        <v>2</v>
      </c>
      <c r="F818" s="595">
        <v>1.395</v>
      </c>
      <c r="G818" s="235"/>
      <c r="H818" s="235">
        <v>0.35</v>
      </c>
      <c r="I818" s="477">
        <f t="shared" si="159"/>
        <v>0.97649999999999992</v>
      </c>
      <c r="J818" s="167"/>
      <c r="K818" s="758"/>
    </row>
    <row r="819" spans="1:11">
      <c r="A819" s="167"/>
      <c r="B819" s="167" t="s">
        <v>996</v>
      </c>
      <c r="C819" s="397" t="s">
        <v>9</v>
      </c>
      <c r="D819" s="647">
        <v>1</v>
      </c>
      <c r="E819" s="251">
        <v>1</v>
      </c>
      <c r="F819" s="595">
        <v>1.1850000000000001</v>
      </c>
      <c r="G819" s="235"/>
      <c r="H819" s="235">
        <v>0.1</v>
      </c>
      <c r="I819" s="477">
        <f t="shared" si="159"/>
        <v>0.11850000000000001</v>
      </c>
      <c r="J819" s="167"/>
      <c r="K819" s="758"/>
    </row>
    <row r="820" spans="1:11">
      <c r="A820" s="167"/>
      <c r="B820" s="167" t="s">
        <v>1063</v>
      </c>
      <c r="C820" s="397" t="s">
        <v>9</v>
      </c>
      <c r="D820" s="647">
        <v>1</v>
      </c>
      <c r="E820" s="251">
        <v>2</v>
      </c>
      <c r="F820" s="595">
        <v>1.1850000000000001</v>
      </c>
      <c r="G820" s="235"/>
      <c r="H820" s="235">
        <v>0.35</v>
      </c>
      <c r="I820" s="477">
        <f t="shared" si="159"/>
        <v>0.82950000000000002</v>
      </c>
      <c r="J820" s="167"/>
      <c r="K820" s="758"/>
    </row>
    <row r="821" spans="1:11">
      <c r="A821" s="167"/>
      <c r="B821" s="167" t="s">
        <v>997</v>
      </c>
      <c r="C821" s="397" t="s">
        <v>9</v>
      </c>
      <c r="D821" s="647">
        <v>3</v>
      </c>
      <c r="E821" s="251">
        <v>1</v>
      </c>
      <c r="F821" s="595">
        <f>0.515+1.54</f>
        <v>2.0550000000000002</v>
      </c>
      <c r="G821" s="235"/>
      <c r="H821" s="235">
        <v>0.1</v>
      </c>
      <c r="I821" s="477">
        <f t="shared" si="159"/>
        <v>0.61650000000000016</v>
      </c>
      <c r="J821" s="167"/>
      <c r="K821" s="758"/>
    </row>
    <row r="822" spans="1:11">
      <c r="A822" s="167"/>
      <c r="B822" s="167" t="s">
        <v>1063</v>
      </c>
      <c r="C822" s="397" t="s">
        <v>9</v>
      </c>
      <c r="D822" s="647">
        <v>3</v>
      </c>
      <c r="E822" s="251">
        <v>2</v>
      </c>
      <c r="F822" s="595">
        <f>0.515+1.54</f>
        <v>2.0550000000000002</v>
      </c>
      <c r="G822" s="235"/>
      <c r="H822" s="235">
        <v>0.35</v>
      </c>
      <c r="I822" s="477">
        <f t="shared" si="159"/>
        <v>4.3155000000000001</v>
      </c>
      <c r="J822" s="167"/>
      <c r="K822" s="758"/>
    </row>
    <row r="823" spans="1:11">
      <c r="A823" s="167"/>
      <c r="B823" s="167" t="s">
        <v>1001</v>
      </c>
      <c r="C823" s="397" t="s">
        <v>9</v>
      </c>
      <c r="D823" s="647">
        <v>3</v>
      </c>
      <c r="E823" s="251">
        <v>1</v>
      </c>
      <c r="F823" s="595">
        <f>1.07+0.415</f>
        <v>1.4850000000000001</v>
      </c>
      <c r="G823" s="235"/>
      <c r="H823" s="235">
        <v>0.1</v>
      </c>
      <c r="I823" s="477">
        <f t="shared" si="159"/>
        <v>0.44550000000000001</v>
      </c>
      <c r="J823" s="167"/>
      <c r="K823" s="758"/>
    </row>
    <row r="824" spans="1:11">
      <c r="A824" s="167"/>
      <c r="B824" s="167" t="s">
        <v>1063</v>
      </c>
      <c r="C824" s="397" t="s">
        <v>9</v>
      </c>
      <c r="D824" s="647">
        <v>3</v>
      </c>
      <c r="E824" s="251">
        <v>2</v>
      </c>
      <c r="F824" s="595">
        <f>1.07+0.415</f>
        <v>1.4850000000000001</v>
      </c>
      <c r="G824" s="235"/>
      <c r="H824" s="235">
        <v>0.35</v>
      </c>
      <c r="I824" s="477">
        <f t="shared" si="159"/>
        <v>3.1185</v>
      </c>
      <c r="J824" s="167"/>
      <c r="K824" s="758"/>
    </row>
    <row r="825" spans="1:11">
      <c r="A825" s="167"/>
      <c r="B825" s="167" t="s">
        <v>998</v>
      </c>
      <c r="C825" s="397" t="s">
        <v>9</v>
      </c>
      <c r="D825" s="647">
        <v>3</v>
      </c>
      <c r="E825" s="251">
        <v>1</v>
      </c>
      <c r="F825" s="595">
        <f>1.9+0.415</f>
        <v>2.3149999999999999</v>
      </c>
      <c r="G825" s="235"/>
      <c r="H825" s="235">
        <v>0.1</v>
      </c>
      <c r="I825" s="477">
        <f t="shared" si="159"/>
        <v>0.69450000000000012</v>
      </c>
      <c r="J825" s="167"/>
      <c r="K825" s="758"/>
    </row>
    <row r="826" spans="1:11">
      <c r="A826" s="167"/>
      <c r="B826" s="167" t="s">
        <v>1063</v>
      </c>
      <c r="C826" s="397" t="s">
        <v>9</v>
      </c>
      <c r="D826" s="647">
        <v>3</v>
      </c>
      <c r="E826" s="251">
        <v>2</v>
      </c>
      <c r="F826" s="595">
        <f>1.9+0.415</f>
        <v>2.3149999999999999</v>
      </c>
      <c r="G826" s="235"/>
      <c r="H826" s="235">
        <v>0.35</v>
      </c>
      <c r="I826" s="477">
        <f t="shared" si="159"/>
        <v>4.8614999999999995</v>
      </c>
      <c r="J826" s="167"/>
      <c r="K826" s="758"/>
    </row>
    <row r="827" spans="1:11">
      <c r="A827" s="167"/>
      <c r="B827" s="167" t="s">
        <v>1002</v>
      </c>
      <c r="C827" s="397" t="s">
        <v>9</v>
      </c>
      <c r="D827" s="647">
        <v>2</v>
      </c>
      <c r="E827" s="251">
        <v>1</v>
      </c>
      <c r="F827" s="595">
        <v>2.3149999999999999</v>
      </c>
      <c r="G827" s="235"/>
      <c r="H827" s="235">
        <v>0.1</v>
      </c>
      <c r="I827" s="477">
        <f t="shared" si="159"/>
        <v>0.46300000000000002</v>
      </c>
      <c r="J827" s="167"/>
      <c r="K827" s="758"/>
    </row>
    <row r="828" spans="1:11">
      <c r="A828" s="167"/>
      <c r="B828" s="167" t="s">
        <v>1063</v>
      </c>
      <c r="C828" s="397" t="s">
        <v>9</v>
      </c>
      <c r="D828" s="647">
        <v>2</v>
      </c>
      <c r="E828" s="251">
        <v>2</v>
      </c>
      <c r="F828" s="595">
        <v>2.3149999999999999</v>
      </c>
      <c r="G828" s="235"/>
      <c r="H828" s="235">
        <v>0.35</v>
      </c>
      <c r="I828" s="477">
        <f t="shared" si="159"/>
        <v>3.2409999999999997</v>
      </c>
      <c r="J828" s="167"/>
      <c r="K828" s="758"/>
    </row>
    <row r="829" spans="1:11">
      <c r="A829" s="167"/>
      <c r="B829" s="167" t="s">
        <v>1003</v>
      </c>
      <c r="C829" s="397" t="s">
        <v>9</v>
      </c>
      <c r="D829" s="647">
        <v>1</v>
      </c>
      <c r="E829" s="251">
        <v>2</v>
      </c>
      <c r="F829" s="595">
        <v>1.395</v>
      </c>
      <c r="G829" s="235"/>
      <c r="H829" s="235">
        <v>0.2</v>
      </c>
      <c r="I829" s="477">
        <f t="shared" si="159"/>
        <v>0.55800000000000005</v>
      </c>
      <c r="J829" s="167"/>
      <c r="K829" s="758"/>
    </row>
    <row r="830" spans="1:11">
      <c r="A830" s="167"/>
      <c r="B830" s="167" t="s">
        <v>1063</v>
      </c>
      <c r="C830" s="397" t="s">
        <v>9</v>
      </c>
      <c r="D830" s="647">
        <v>1</v>
      </c>
      <c r="E830" s="251">
        <v>2</v>
      </c>
      <c r="F830" s="595">
        <v>1.395</v>
      </c>
      <c r="G830" s="235"/>
      <c r="H830" s="235">
        <v>0.35</v>
      </c>
      <c r="I830" s="477">
        <f t="shared" si="159"/>
        <v>0.97649999999999992</v>
      </c>
      <c r="J830" s="167"/>
      <c r="K830" s="758"/>
    </row>
    <row r="831" spans="1:11">
      <c r="A831" s="167"/>
      <c r="B831" s="167" t="s">
        <v>1063</v>
      </c>
      <c r="C831" s="397" t="s">
        <v>9</v>
      </c>
      <c r="D831" s="647">
        <v>1</v>
      </c>
      <c r="E831" s="251">
        <v>2</v>
      </c>
      <c r="F831" s="595">
        <v>1.395</v>
      </c>
      <c r="G831" s="235"/>
      <c r="H831" s="235">
        <f>0.35-0.125</f>
        <v>0.22499999999999998</v>
      </c>
      <c r="I831" s="477">
        <f t="shared" si="159"/>
        <v>0.62774999999999992</v>
      </c>
      <c r="J831" s="167"/>
      <c r="K831" s="758"/>
    </row>
    <row r="832" spans="1:11">
      <c r="A832" s="167"/>
      <c r="B832" s="167" t="s">
        <v>960</v>
      </c>
      <c r="C832" s="397" t="s">
        <v>9</v>
      </c>
      <c r="D832" s="647">
        <v>1</v>
      </c>
      <c r="E832" s="251">
        <v>1</v>
      </c>
      <c r="F832" s="595">
        <v>6.875</v>
      </c>
      <c r="G832" s="235"/>
      <c r="H832" s="235">
        <v>0.2</v>
      </c>
      <c r="I832" s="477">
        <f t="shared" si="159"/>
        <v>1.375</v>
      </c>
      <c r="J832" s="167"/>
      <c r="K832" s="758"/>
    </row>
    <row r="833" spans="1:11">
      <c r="A833" s="167"/>
      <c r="B833" s="167" t="s">
        <v>1063</v>
      </c>
      <c r="C833" s="397" t="s">
        <v>9</v>
      </c>
      <c r="D833" s="647">
        <v>1</v>
      </c>
      <c r="E833" s="251">
        <v>1</v>
      </c>
      <c r="F833" s="595">
        <v>6.875</v>
      </c>
      <c r="G833" s="235"/>
      <c r="H833" s="235">
        <f>0.45-0.135</f>
        <v>0.315</v>
      </c>
      <c r="I833" s="477">
        <f t="shared" si="159"/>
        <v>2.1656249999999999</v>
      </c>
      <c r="J833" s="167"/>
      <c r="K833" s="758"/>
    </row>
    <row r="834" spans="1:11">
      <c r="A834" s="167"/>
      <c r="B834" s="167" t="s">
        <v>1063</v>
      </c>
      <c r="C834" s="397" t="s">
        <v>9</v>
      </c>
      <c r="D834" s="647">
        <v>1</v>
      </c>
      <c r="E834" s="251">
        <v>1</v>
      </c>
      <c r="F834" s="595">
        <v>6.875</v>
      </c>
      <c r="G834" s="235"/>
      <c r="H834" s="235">
        <f>0.45-0.125</f>
        <v>0.32500000000000001</v>
      </c>
      <c r="I834" s="477">
        <f t="shared" si="159"/>
        <v>2.234375</v>
      </c>
      <c r="J834" s="167"/>
      <c r="K834" s="758"/>
    </row>
    <row r="835" spans="1:11">
      <c r="A835" s="167"/>
      <c r="B835" s="167" t="s">
        <v>1005</v>
      </c>
      <c r="C835" s="397" t="s">
        <v>9</v>
      </c>
      <c r="D835" s="647">
        <v>1</v>
      </c>
      <c r="E835" s="251">
        <v>1</v>
      </c>
      <c r="F835" s="595">
        <v>3.16</v>
      </c>
      <c r="G835" s="235"/>
      <c r="H835" s="235">
        <v>0.23</v>
      </c>
      <c r="I835" s="477">
        <f t="shared" si="159"/>
        <v>0.72680000000000011</v>
      </c>
      <c r="J835" s="167"/>
      <c r="K835" s="758"/>
    </row>
    <row r="836" spans="1:11">
      <c r="A836" s="167"/>
      <c r="B836" s="167" t="s">
        <v>1063</v>
      </c>
      <c r="C836" s="397" t="s">
        <v>9</v>
      </c>
      <c r="D836" s="647">
        <v>1</v>
      </c>
      <c r="E836" s="251">
        <v>1</v>
      </c>
      <c r="F836" s="595">
        <v>3.16</v>
      </c>
      <c r="G836" s="235"/>
      <c r="H836" s="235">
        <f>0.35-0.125</f>
        <v>0.22499999999999998</v>
      </c>
      <c r="I836" s="477">
        <f t="shared" si="159"/>
        <v>0.71099999999999997</v>
      </c>
      <c r="J836" s="167"/>
      <c r="K836" s="758"/>
    </row>
    <row r="837" spans="1:11">
      <c r="A837" s="167"/>
      <c r="B837" s="167" t="s">
        <v>1063</v>
      </c>
      <c r="C837" s="397" t="s">
        <v>9</v>
      </c>
      <c r="D837" s="647">
        <v>1</v>
      </c>
      <c r="E837" s="251">
        <v>1</v>
      </c>
      <c r="F837" s="595">
        <v>2.145</v>
      </c>
      <c r="G837" s="235"/>
      <c r="H837" s="235">
        <f>0.35-0.125</f>
        <v>0.22499999999999998</v>
      </c>
      <c r="I837" s="477">
        <f t="shared" si="159"/>
        <v>0.48262499999999997</v>
      </c>
      <c r="J837" s="167"/>
      <c r="K837" s="758"/>
    </row>
    <row r="838" spans="1:11">
      <c r="A838" s="167"/>
      <c r="B838" s="167" t="s">
        <v>1063</v>
      </c>
      <c r="C838" s="397" t="s">
        <v>9</v>
      </c>
      <c r="D838" s="647">
        <v>1</v>
      </c>
      <c r="E838" s="251">
        <v>1</v>
      </c>
      <c r="F838" s="595">
        <v>1.0149999999999999</v>
      </c>
      <c r="G838" s="235"/>
      <c r="H838" s="235">
        <v>0.35</v>
      </c>
      <c r="I838" s="477">
        <f t="shared" si="159"/>
        <v>0.35524999999999995</v>
      </c>
      <c r="J838" s="167"/>
      <c r="K838" s="758"/>
    </row>
    <row r="839" spans="1:11">
      <c r="A839" s="167"/>
      <c r="B839" s="167" t="s">
        <v>961</v>
      </c>
      <c r="C839" s="397" t="s">
        <v>9</v>
      </c>
      <c r="D839" s="647">
        <v>1</v>
      </c>
      <c r="E839" s="251">
        <v>1</v>
      </c>
      <c r="F839" s="595">
        <v>2.7</v>
      </c>
      <c r="G839" s="235"/>
      <c r="H839" s="235">
        <v>0.2</v>
      </c>
      <c r="I839" s="477">
        <f t="shared" si="159"/>
        <v>0.54</v>
      </c>
      <c r="J839" s="167"/>
      <c r="K839" s="758"/>
    </row>
    <row r="840" spans="1:11">
      <c r="A840" s="167"/>
      <c r="B840" s="167" t="s">
        <v>1063</v>
      </c>
      <c r="C840" s="397" t="s">
        <v>9</v>
      </c>
      <c r="D840" s="647">
        <v>1</v>
      </c>
      <c r="E840" s="251">
        <v>1</v>
      </c>
      <c r="F840" s="595">
        <v>2.7</v>
      </c>
      <c r="G840" s="235"/>
      <c r="H840" s="235">
        <f>0.45-0.125</f>
        <v>0.32500000000000001</v>
      </c>
      <c r="I840" s="477">
        <f t="shared" si="159"/>
        <v>0.87750000000000006</v>
      </c>
      <c r="J840" s="167"/>
      <c r="K840" s="758"/>
    </row>
    <row r="841" spans="1:11">
      <c r="A841" s="167"/>
      <c r="B841" s="167" t="s">
        <v>1063</v>
      </c>
      <c r="C841" s="397" t="s">
        <v>9</v>
      </c>
      <c r="D841" s="647">
        <v>1</v>
      </c>
      <c r="E841" s="251">
        <v>1</v>
      </c>
      <c r="F841" s="595">
        <v>2.7</v>
      </c>
      <c r="G841" s="235"/>
      <c r="H841" s="235">
        <f>0.45-0.125</f>
        <v>0.32500000000000001</v>
      </c>
      <c r="I841" s="477">
        <f t="shared" si="159"/>
        <v>0.87750000000000006</v>
      </c>
      <c r="J841" s="167"/>
      <c r="K841" s="758"/>
    </row>
    <row r="842" spans="1:11">
      <c r="A842" s="167"/>
      <c r="B842" s="167" t="s">
        <v>962</v>
      </c>
      <c r="C842" s="397" t="s">
        <v>9</v>
      </c>
      <c r="D842" s="647">
        <v>1</v>
      </c>
      <c r="E842" s="251">
        <v>1</v>
      </c>
      <c r="F842" s="595">
        <v>2.875</v>
      </c>
      <c r="G842" s="235"/>
      <c r="H842" s="235">
        <v>0.2</v>
      </c>
      <c r="I842" s="477">
        <f t="shared" si="159"/>
        <v>0.57500000000000007</v>
      </c>
      <c r="J842" s="167"/>
      <c r="K842" s="758"/>
    </row>
    <row r="843" spans="1:11">
      <c r="A843" s="167"/>
      <c r="B843" s="167" t="s">
        <v>1063</v>
      </c>
      <c r="C843" s="397" t="s">
        <v>9</v>
      </c>
      <c r="D843" s="647">
        <v>1</v>
      </c>
      <c r="E843" s="251">
        <v>1</v>
      </c>
      <c r="F843" s="595">
        <v>2.875</v>
      </c>
      <c r="G843" s="235"/>
      <c r="H843" s="235">
        <f>0.5-0.135</f>
        <v>0.36499999999999999</v>
      </c>
      <c r="I843" s="477">
        <f t="shared" si="159"/>
        <v>1.0493749999999999</v>
      </c>
      <c r="J843" s="167"/>
      <c r="K843" s="758"/>
    </row>
    <row r="844" spans="1:11">
      <c r="A844" s="167"/>
      <c r="B844" s="167" t="s">
        <v>1063</v>
      </c>
      <c r="C844" s="397" t="s">
        <v>9</v>
      </c>
      <c r="D844" s="647">
        <v>1</v>
      </c>
      <c r="E844" s="251">
        <v>1</v>
      </c>
      <c r="F844" s="595">
        <v>1.55</v>
      </c>
      <c r="G844" s="235"/>
      <c r="H844" s="235">
        <f>0.5-0.2</f>
        <v>0.3</v>
      </c>
      <c r="I844" s="477">
        <f t="shared" si="159"/>
        <v>0.46499999999999997</v>
      </c>
      <c r="J844" s="167"/>
      <c r="K844" s="758"/>
    </row>
    <row r="845" spans="1:11">
      <c r="A845" s="167"/>
      <c r="B845" s="167" t="s">
        <v>1063</v>
      </c>
      <c r="C845" s="397" t="s">
        <v>9</v>
      </c>
      <c r="D845" s="647">
        <v>1</v>
      </c>
      <c r="E845" s="251">
        <v>1</v>
      </c>
      <c r="F845" s="595">
        <v>1.325</v>
      </c>
      <c r="G845" s="235"/>
      <c r="H845" s="235">
        <f>0.5-0.125</f>
        <v>0.375</v>
      </c>
      <c r="I845" s="477">
        <f t="shared" si="159"/>
        <v>0.49687499999999996</v>
      </c>
      <c r="J845" s="167"/>
      <c r="K845" s="758"/>
    </row>
    <row r="846" spans="1:11">
      <c r="A846" s="167"/>
      <c r="B846" s="167" t="s">
        <v>963</v>
      </c>
      <c r="C846" s="397" t="s">
        <v>9</v>
      </c>
      <c r="D846" s="647">
        <v>1</v>
      </c>
      <c r="E846" s="251">
        <v>1</v>
      </c>
      <c r="F846" s="595">
        <v>2.93</v>
      </c>
      <c r="G846" s="235"/>
      <c r="H846" s="235">
        <v>0.2</v>
      </c>
      <c r="I846" s="477">
        <f t="shared" si="159"/>
        <v>0.58600000000000008</v>
      </c>
      <c r="J846" s="167"/>
      <c r="K846" s="758"/>
    </row>
    <row r="847" spans="1:11">
      <c r="A847" s="167"/>
      <c r="B847" s="167" t="s">
        <v>1063</v>
      </c>
      <c r="C847" s="397" t="s">
        <v>9</v>
      </c>
      <c r="D847" s="647">
        <v>1</v>
      </c>
      <c r="E847" s="251">
        <v>1</v>
      </c>
      <c r="F847" s="595">
        <v>2.93</v>
      </c>
      <c r="G847" s="235"/>
      <c r="H847" s="235">
        <f>0.35-0.15</f>
        <v>0.19999999999999998</v>
      </c>
      <c r="I847" s="477">
        <f t="shared" si="159"/>
        <v>0.58599999999999997</v>
      </c>
      <c r="J847" s="167"/>
      <c r="K847" s="758"/>
    </row>
    <row r="848" spans="1:11">
      <c r="A848" s="167"/>
      <c r="B848" s="167" t="s">
        <v>1063</v>
      </c>
      <c r="C848" s="397" t="s">
        <v>9</v>
      </c>
      <c r="D848" s="647">
        <v>1</v>
      </c>
      <c r="E848" s="251">
        <v>1</v>
      </c>
      <c r="F848" s="595">
        <f>2.93-0.315</f>
        <v>2.6150000000000002</v>
      </c>
      <c r="G848" s="235"/>
      <c r="H848" s="235">
        <f>0.35-0.2</f>
        <v>0.14999999999999997</v>
      </c>
      <c r="I848" s="477">
        <f t="shared" si="159"/>
        <v>0.39224999999999993</v>
      </c>
      <c r="J848" s="167"/>
      <c r="K848" s="758"/>
    </row>
    <row r="849" spans="1:11">
      <c r="A849" s="167"/>
      <c r="B849" s="167" t="s">
        <v>1063</v>
      </c>
      <c r="C849" s="397" t="s">
        <v>9</v>
      </c>
      <c r="D849" s="647">
        <v>1</v>
      </c>
      <c r="E849" s="251">
        <v>1</v>
      </c>
      <c r="F849" s="595">
        <v>0.315</v>
      </c>
      <c r="G849" s="235"/>
      <c r="H849" s="235">
        <v>0.35</v>
      </c>
      <c r="I849" s="477">
        <f t="shared" si="159"/>
        <v>0.11024999999999999</v>
      </c>
      <c r="J849" s="167"/>
      <c r="K849" s="758"/>
    </row>
    <row r="850" spans="1:11">
      <c r="A850" s="167"/>
      <c r="B850" s="167" t="s">
        <v>964</v>
      </c>
      <c r="C850" s="397" t="s">
        <v>9</v>
      </c>
      <c r="D850" s="647">
        <v>1</v>
      </c>
      <c r="E850" s="251">
        <v>1</v>
      </c>
      <c r="F850" s="595">
        <v>4.6900000000000004</v>
      </c>
      <c r="G850" s="235"/>
      <c r="H850" s="235">
        <v>0.2</v>
      </c>
      <c r="I850" s="477">
        <f t="shared" si="159"/>
        <v>0.93800000000000017</v>
      </c>
      <c r="J850" s="167"/>
      <c r="K850" s="758"/>
    </row>
    <row r="851" spans="1:11">
      <c r="A851" s="167"/>
      <c r="B851" s="167" t="s">
        <v>1063</v>
      </c>
      <c r="C851" s="397" t="s">
        <v>9</v>
      </c>
      <c r="D851" s="647">
        <v>1</v>
      </c>
      <c r="E851" s="251">
        <v>1</v>
      </c>
      <c r="F851" s="595">
        <v>4.6900000000000004</v>
      </c>
      <c r="G851" s="235"/>
      <c r="H851" s="235">
        <f>0.5-0.2</f>
        <v>0.3</v>
      </c>
      <c r="I851" s="477">
        <f t="shared" si="159"/>
        <v>1.407</v>
      </c>
      <c r="J851" s="167"/>
      <c r="K851" s="758"/>
    </row>
    <row r="852" spans="1:11">
      <c r="A852" s="167"/>
      <c r="B852" s="167" t="s">
        <v>1063</v>
      </c>
      <c r="C852" s="397" t="s">
        <v>9</v>
      </c>
      <c r="D852" s="647">
        <v>1</v>
      </c>
      <c r="E852" s="251">
        <v>1</v>
      </c>
      <c r="F852" s="595">
        <v>4.6900000000000004</v>
      </c>
      <c r="G852" s="235"/>
      <c r="H852" s="235">
        <f>0.5-0.135</f>
        <v>0.36499999999999999</v>
      </c>
      <c r="I852" s="477">
        <f t="shared" si="159"/>
        <v>1.7118500000000001</v>
      </c>
      <c r="J852" s="167"/>
      <c r="K852" s="758"/>
    </row>
    <row r="853" spans="1:11">
      <c r="A853" s="167"/>
      <c r="B853" s="167" t="s">
        <v>965</v>
      </c>
      <c r="C853" s="397" t="s">
        <v>9</v>
      </c>
      <c r="D853" s="647">
        <v>1</v>
      </c>
      <c r="E853" s="251">
        <v>1</v>
      </c>
      <c r="F853" s="595">
        <v>3.15</v>
      </c>
      <c r="G853" s="235"/>
      <c r="H853" s="235">
        <v>0.2</v>
      </c>
      <c r="I853" s="477">
        <f t="shared" si="159"/>
        <v>0.63</v>
      </c>
      <c r="J853" s="167"/>
      <c r="K853" s="758"/>
    </row>
    <row r="854" spans="1:11">
      <c r="A854" s="167"/>
      <c r="B854" s="167" t="s">
        <v>1063</v>
      </c>
      <c r="C854" s="397" t="s">
        <v>9</v>
      </c>
      <c r="D854" s="647">
        <v>1</v>
      </c>
      <c r="E854" s="251">
        <v>1</v>
      </c>
      <c r="F854" s="595">
        <v>3.15</v>
      </c>
      <c r="G854" s="235"/>
      <c r="H854" s="235">
        <f>0.5-0.2</f>
        <v>0.3</v>
      </c>
      <c r="I854" s="477">
        <f t="shared" si="159"/>
        <v>0.94499999999999995</v>
      </c>
      <c r="J854" s="167"/>
      <c r="K854" s="758"/>
    </row>
    <row r="855" spans="1:11">
      <c r="A855" s="167"/>
      <c r="B855" s="167" t="s">
        <v>1063</v>
      </c>
      <c r="C855" s="397" t="s">
        <v>9</v>
      </c>
      <c r="D855" s="647">
        <v>1</v>
      </c>
      <c r="E855" s="251">
        <v>1</v>
      </c>
      <c r="F855" s="595">
        <v>3.15</v>
      </c>
      <c r="G855" s="235"/>
      <c r="H855" s="235">
        <f>0.5-0.135</f>
        <v>0.36499999999999999</v>
      </c>
      <c r="I855" s="477">
        <f t="shared" si="159"/>
        <v>1.14975</v>
      </c>
      <c r="J855" s="167"/>
      <c r="K855" s="758"/>
    </row>
    <row r="856" spans="1:11">
      <c r="A856" s="167"/>
      <c r="B856" s="167" t="s">
        <v>966</v>
      </c>
      <c r="C856" s="397" t="s">
        <v>9</v>
      </c>
      <c r="D856" s="647">
        <v>1</v>
      </c>
      <c r="E856" s="251">
        <v>1</v>
      </c>
      <c r="F856" s="595">
        <v>4.6900000000000004</v>
      </c>
      <c r="G856" s="235"/>
      <c r="H856" s="235">
        <v>0.2</v>
      </c>
      <c r="I856" s="477">
        <f t="shared" si="159"/>
        <v>0.93800000000000017</v>
      </c>
      <c r="J856" s="167"/>
      <c r="K856" s="758"/>
    </row>
    <row r="857" spans="1:11">
      <c r="A857" s="167"/>
      <c r="B857" s="167" t="s">
        <v>1063</v>
      </c>
      <c r="C857" s="397" t="s">
        <v>9</v>
      </c>
      <c r="D857" s="647">
        <v>1</v>
      </c>
      <c r="E857" s="251">
        <v>1</v>
      </c>
      <c r="F857" s="595">
        <v>4.6900000000000004</v>
      </c>
      <c r="G857" s="235"/>
      <c r="H857" s="235">
        <f>0.45-0.135</f>
        <v>0.315</v>
      </c>
      <c r="I857" s="477">
        <f t="shared" si="159"/>
        <v>1.4773500000000002</v>
      </c>
      <c r="J857" s="167"/>
      <c r="K857" s="758"/>
    </row>
    <row r="858" spans="1:11">
      <c r="A858" s="167"/>
      <c r="B858" s="167" t="s">
        <v>1063</v>
      </c>
      <c r="C858" s="397" t="s">
        <v>9</v>
      </c>
      <c r="D858" s="647">
        <v>1</v>
      </c>
      <c r="E858" s="251">
        <v>1</v>
      </c>
      <c r="F858" s="595">
        <v>4.6900000000000004</v>
      </c>
      <c r="G858" s="235"/>
      <c r="H858" s="235">
        <f>0.45-0.125</f>
        <v>0.32500000000000001</v>
      </c>
      <c r="I858" s="477">
        <f t="shared" si="159"/>
        <v>1.5242500000000001</v>
      </c>
      <c r="J858" s="167"/>
      <c r="K858" s="758"/>
    </row>
    <row r="859" spans="1:11">
      <c r="A859" s="167"/>
      <c r="B859" s="167" t="s">
        <v>967</v>
      </c>
      <c r="C859" s="397" t="s">
        <v>9</v>
      </c>
      <c r="D859" s="647">
        <v>1</v>
      </c>
      <c r="E859" s="251">
        <v>1</v>
      </c>
      <c r="F859" s="595">
        <v>5.76</v>
      </c>
      <c r="G859" s="235"/>
      <c r="H859" s="235">
        <v>0.2</v>
      </c>
      <c r="I859" s="477">
        <f t="shared" si="159"/>
        <v>1.1519999999999999</v>
      </c>
      <c r="J859" s="167"/>
      <c r="K859" s="758"/>
    </row>
    <row r="860" spans="1:11">
      <c r="A860" s="167"/>
      <c r="B860" s="167" t="s">
        <v>1063</v>
      </c>
      <c r="C860" s="397" t="s">
        <v>9</v>
      </c>
      <c r="D860" s="647">
        <v>1</v>
      </c>
      <c r="E860" s="251">
        <v>1</v>
      </c>
      <c r="F860" s="595">
        <v>3.0350000000000001</v>
      </c>
      <c r="G860" s="235"/>
      <c r="H860" s="235">
        <f>0.45-0.135</f>
        <v>0.315</v>
      </c>
      <c r="I860" s="477">
        <f t="shared" si="159"/>
        <v>0.95602500000000001</v>
      </c>
      <c r="J860" s="167"/>
      <c r="K860" s="758"/>
    </row>
    <row r="861" spans="1:11">
      <c r="A861" s="167"/>
      <c r="B861" s="167" t="s">
        <v>1063</v>
      </c>
      <c r="C861" s="397" t="s">
        <v>9</v>
      </c>
      <c r="D861" s="647">
        <v>1</v>
      </c>
      <c r="E861" s="251">
        <v>1</v>
      </c>
      <c r="F861" s="595">
        <v>2.7250000000000001</v>
      </c>
      <c r="G861" s="235"/>
      <c r="H861" s="235">
        <f>0.45-0.125</f>
        <v>0.32500000000000001</v>
      </c>
      <c r="I861" s="477">
        <f t="shared" si="159"/>
        <v>0.88562500000000011</v>
      </c>
      <c r="J861" s="167"/>
      <c r="K861" s="758"/>
    </row>
    <row r="862" spans="1:11">
      <c r="A862" s="167"/>
      <c r="B862" s="167" t="s">
        <v>1063</v>
      </c>
      <c r="C862" s="397" t="s">
        <v>9</v>
      </c>
      <c r="D862" s="647">
        <v>1</v>
      </c>
      <c r="E862" s="251">
        <v>1</v>
      </c>
      <c r="F862" s="595">
        <v>2.61</v>
      </c>
      <c r="G862" s="235"/>
      <c r="H862" s="235">
        <f>0.45-0.125</f>
        <v>0.32500000000000001</v>
      </c>
      <c r="I862" s="477">
        <f t="shared" si="159"/>
        <v>0.84824999999999995</v>
      </c>
      <c r="J862" s="167"/>
      <c r="K862" s="758"/>
    </row>
    <row r="863" spans="1:11">
      <c r="A863" s="167"/>
      <c r="B863" s="167" t="s">
        <v>1063</v>
      </c>
      <c r="C863" s="397" t="s">
        <v>9</v>
      </c>
      <c r="D863" s="647">
        <v>1</v>
      </c>
      <c r="E863" s="251">
        <v>1</v>
      </c>
      <c r="F863" s="595">
        <v>3.15</v>
      </c>
      <c r="G863" s="235"/>
      <c r="H863" s="235">
        <v>0.45</v>
      </c>
      <c r="I863" s="477">
        <f t="shared" si="159"/>
        <v>1.4175</v>
      </c>
      <c r="J863" s="167"/>
      <c r="K863" s="758"/>
    </row>
    <row r="864" spans="1:11">
      <c r="A864" s="167"/>
      <c r="B864" s="167" t="s">
        <v>968</v>
      </c>
      <c r="C864" s="397" t="s">
        <v>9</v>
      </c>
      <c r="D864" s="647">
        <v>1</v>
      </c>
      <c r="E864" s="251">
        <v>1</v>
      </c>
      <c r="F864" s="595">
        <v>1.6</v>
      </c>
      <c r="G864" s="235"/>
      <c r="H864" s="235">
        <v>0.2</v>
      </c>
      <c r="I864" s="477">
        <f t="shared" si="159"/>
        <v>0.32000000000000006</v>
      </c>
      <c r="J864" s="167"/>
      <c r="K864" s="758"/>
    </row>
    <row r="865" spans="1:11">
      <c r="A865" s="167"/>
      <c r="B865" s="167" t="s">
        <v>1063</v>
      </c>
      <c r="C865" s="397" t="s">
        <v>9</v>
      </c>
      <c r="D865" s="647">
        <v>1</v>
      </c>
      <c r="E865" s="251">
        <v>1</v>
      </c>
      <c r="F865" s="595">
        <v>1.6</v>
      </c>
      <c r="G865" s="235"/>
      <c r="H865" s="235">
        <f>0.35-0.125</f>
        <v>0.22499999999999998</v>
      </c>
      <c r="I865" s="477">
        <f t="shared" si="159"/>
        <v>0.36</v>
      </c>
      <c r="J865" s="167"/>
      <c r="K865" s="758"/>
    </row>
    <row r="866" spans="1:11">
      <c r="A866" s="167"/>
      <c r="B866" s="167" t="s">
        <v>1063</v>
      </c>
      <c r="C866" s="397" t="s">
        <v>9</v>
      </c>
      <c r="D866" s="647">
        <v>1</v>
      </c>
      <c r="E866" s="251">
        <v>1</v>
      </c>
      <c r="F866" s="595">
        <v>1.6</v>
      </c>
      <c r="G866" s="235"/>
      <c r="H866" s="235">
        <v>0.35</v>
      </c>
      <c r="I866" s="477">
        <f t="shared" si="159"/>
        <v>0.55999999999999994</v>
      </c>
      <c r="J866" s="167"/>
      <c r="K866" s="758"/>
    </row>
    <row r="867" spans="1:11">
      <c r="A867" s="167"/>
      <c r="B867" s="167" t="s">
        <v>969</v>
      </c>
      <c r="C867" s="397" t="s">
        <v>9</v>
      </c>
      <c r="D867" s="647">
        <v>1</v>
      </c>
      <c r="E867" s="251">
        <v>1</v>
      </c>
      <c r="F867" s="595">
        <v>4.1050000000000004</v>
      </c>
      <c r="G867" s="235"/>
      <c r="H867" s="235">
        <v>0.2</v>
      </c>
      <c r="I867" s="477">
        <f t="shared" si="159"/>
        <v>0.82100000000000017</v>
      </c>
      <c r="J867" s="167"/>
      <c r="K867" s="758"/>
    </row>
    <row r="868" spans="1:11">
      <c r="A868" s="167"/>
      <c r="B868" s="167" t="s">
        <v>1063</v>
      </c>
      <c r="C868" s="397" t="s">
        <v>9</v>
      </c>
      <c r="D868" s="647">
        <v>1</v>
      </c>
      <c r="E868" s="251">
        <v>1</v>
      </c>
      <c r="F868" s="595">
        <v>4.1050000000000004</v>
      </c>
      <c r="G868" s="235"/>
      <c r="H868" s="235">
        <f>0.45-0.15</f>
        <v>0.30000000000000004</v>
      </c>
      <c r="I868" s="477">
        <f t="shared" si="159"/>
        <v>1.2315000000000003</v>
      </c>
      <c r="J868" s="167"/>
      <c r="K868" s="758"/>
    </row>
    <row r="869" spans="1:11">
      <c r="A869" s="167"/>
      <c r="B869" s="167" t="s">
        <v>1063</v>
      </c>
      <c r="C869" s="397" t="s">
        <v>9</v>
      </c>
      <c r="D869" s="647">
        <v>1</v>
      </c>
      <c r="E869" s="251">
        <v>1</v>
      </c>
      <c r="F869" s="595">
        <v>4.1050000000000004</v>
      </c>
      <c r="G869" s="235"/>
      <c r="H869" s="235">
        <f>0.45-0.125</f>
        <v>0.32500000000000001</v>
      </c>
      <c r="I869" s="477">
        <f t="shared" si="159"/>
        <v>1.3341250000000002</v>
      </c>
      <c r="J869" s="167"/>
      <c r="K869" s="758"/>
    </row>
    <row r="870" spans="1:11">
      <c r="A870" s="167"/>
      <c r="B870" s="167" t="s">
        <v>1063</v>
      </c>
      <c r="C870" s="397" t="s">
        <v>9</v>
      </c>
      <c r="D870" s="647">
        <v>1</v>
      </c>
      <c r="E870" s="251">
        <v>1</v>
      </c>
      <c r="F870" s="595">
        <v>4.1050000000000004</v>
      </c>
      <c r="G870" s="235"/>
      <c r="H870" s="235">
        <f>0.45-0.135</f>
        <v>0.315</v>
      </c>
      <c r="I870" s="477">
        <f t="shared" si="159"/>
        <v>1.2930750000000002</v>
      </c>
      <c r="J870" s="167"/>
      <c r="K870" s="758"/>
    </row>
    <row r="871" spans="1:11">
      <c r="A871" s="167"/>
      <c r="B871" s="167" t="s">
        <v>970</v>
      </c>
      <c r="C871" s="397" t="s">
        <v>9</v>
      </c>
      <c r="D871" s="647">
        <v>1</v>
      </c>
      <c r="E871" s="251">
        <v>1</v>
      </c>
      <c r="F871" s="595">
        <v>1.5</v>
      </c>
      <c r="G871" s="235"/>
      <c r="H871" s="235">
        <v>0.2</v>
      </c>
      <c r="I871" s="477">
        <f t="shared" si="159"/>
        <v>0.30000000000000004</v>
      </c>
      <c r="J871" s="167"/>
      <c r="K871" s="758"/>
    </row>
    <row r="872" spans="1:11">
      <c r="A872" s="167"/>
      <c r="B872" s="167" t="s">
        <v>1063</v>
      </c>
      <c r="C872" s="397" t="s">
        <v>9</v>
      </c>
      <c r="D872" s="647">
        <v>1</v>
      </c>
      <c r="E872" s="251">
        <v>1</v>
      </c>
      <c r="F872" s="595">
        <v>1.5</v>
      </c>
      <c r="G872" s="235"/>
      <c r="H872" s="235">
        <f>0.45-0.125</f>
        <v>0.32500000000000001</v>
      </c>
      <c r="I872" s="477">
        <f t="shared" si="159"/>
        <v>0.48750000000000004</v>
      </c>
      <c r="J872" s="167"/>
      <c r="K872" s="758"/>
    </row>
    <row r="873" spans="1:11">
      <c r="A873" s="167"/>
      <c r="B873" s="167" t="s">
        <v>1063</v>
      </c>
      <c r="C873" s="397" t="s">
        <v>9</v>
      </c>
      <c r="D873" s="647">
        <v>1</v>
      </c>
      <c r="E873" s="251">
        <v>1</v>
      </c>
      <c r="F873" s="595">
        <v>1.5</v>
      </c>
      <c r="G873" s="235"/>
      <c r="H873" s="235">
        <f>0.45-0.125</f>
        <v>0.32500000000000001</v>
      </c>
      <c r="I873" s="477">
        <f t="shared" si="159"/>
        <v>0.48750000000000004</v>
      </c>
      <c r="J873" s="167"/>
      <c r="K873" s="758"/>
    </row>
    <row r="874" spans="1:11">
      <c r="A874" s="167"/>
      <c r="B874" s="167" t="s">
        <v>970</v>
      </c>
      <c r="C874" s="397" t="s">
        <v>9</v>
      </c>
      <c r="D874" s="647">
        <v>1</v>
      </c>
      <c r="E874" s="251">
        <v>1</v>
      </c>
      <c r="F874" s="595">
        <v>2.2000000000000002</v>
      </c>
      <c r="G874" s="235"/>
      <c r="H874" s="235">
        <v>0.2</v>
      </c>
      <c r="I874" s="477">
        <f t="shared" si="159"/>
        <v>0.44000000000000006</v>
      </c>
      <c r="J874" s="167"/>
      <c r="K874" s="758"/>
    </row>
    <row r="875" spans="1:11">
      <c r="A875" s="167"/>
      <c r="B875" s="167" t="s">
        <v>1063</v>
      </c>
      <c r="C875" s="397" t="s">
        <v>9</v>
      </c>
      <c r="D875" s="647">
        <v>1</v>
      </c>
      <c r="E875" s="251">
        <v>1</v>
      </c>
      <c r="F875" s="595">
        <v>2.2000000000000002</v>
      </c>
      <c r="G875" s="235"/>
      <c r="H875" s="235">
        <f>0.45-0.135</f>
        <v>0.315</v>
      </c>
      <c r="I875" s="477">
        <f t="shared" si="159"/>
        <v>0.69300000000000006</v>
      </c>
      <c r="J875" s="167"/>
      <c r="K875" s="758"/>
    </row>
    <row r="876" spans="1:11">
      <c r="A876" s="167"/>
      <c r="B876" s="167" t="s">
        <v>1063</v>
      </c>
      <c r="C876" s="397" t="s">
        <v>9</v>
      </c>
      <c r="D876" s="647">
        <v>1</v>
      </c>
      <c r="E876" s="251">
        <v>1</v>
      </c>
      <c r="F876" s="595">
        <v>2.2000000000000002</v>
      </c>
      <c r="G876" s="235"/>
      <c r="H876" s="235">
        <f>0.45-0.15</f>
        <v>0.30000000000000004</v>
      </c>
      <c r="I876" s="477">
        <f t="shared" si="159"/>
        <v>0.66000000000000014</v>
      </c>
      <c r="J876" s="167"/>
      <c r="K876" s="758"/>
    </row>
    <row r="877" spans="1:11">
      <c r="A877" s="167"/>
      <c r="B877" s="167" t="s">
        <v>971</v>
      </c>
      <c r="C877" s="397" t="s">
        <v>9</v>
      </c>
      <c r="D877" s="647">
        <v>1</v>
      </c>
      <c r="E877" s="251">
        <v>1</v>
      </c>
      <c r="F877" s="595">
        <v>3.1150000000000002</v>
      </c>
      <c r="G877" s="235"/>
      <c r="H877" s="235">
        <v>0.2</v>
      </c>
      <c r="I877" s="477">
        <f t="shared" si="159"/>
        <v>0.62300000000000011</v>
      </c>
      <c r="J877" s="167"/>
      <c r="K877" s="758"/>
    </row>
    <row r="878" spans="1:11">
      <c r="A878" s="167"/>
      <c r="B878" s="167" t="s">
        <v>1063</v>
      </c>
      <c r="C878" s="397" t="s">
        <v>9</v>
      </c>
      <c r="D878" s="647">
        <v>1</v>
      </c>
      <c r="E878" s="251">
        <v>1</v>
      </c>
      <c r="F878" s="595">
        <v>3.1150000000000002</v>
      </c>
      <c r="G878" s="235"/>
      <c r="H878" s="235">
        <f>0.5-0.125</f>
        <v>0.375</v>
      </c>
      <c r="I878" s="477">
        <f t="shared" si="159"/>
        <v>1.1681250000000001</v>
      </c>
      <c r="J878" s="167"/>
      <c r="K878" s="758"/>
    </row>
    <row r="879" spans="1:11">
      <c r="A879" s="167"/>
      <c r="B879" s="167" t="s">
        <v>1063</v>
      </c>
      <c r="C879" s="397" t="s">
        <v>9</v>
      </c>
      <c r="D879" s="647">
        <v>1</v>
      </c>
      <c r="E879" s="251">
        <v>1</v>
      </c>
      <c r="F879" s="595">
        <v>3.1150000000000002</v>
      </c>
      <c r="G879" s="235"/>
      <c r="H879" s="235">
        <v>0.5</v>
      </c>
      <c r="I879" s="477">
        <f t="shared" si="159"/>
        <v>1.5575000000000001</v>
      </c>
      <c r="J879" s="167"/>
      <c r="K879" s="758"/>
    </row>
    <row r="880" spans="1:11">
      <c r="A880" s="167"/>
      <c r="B880" s="167" t="s">
        <v>972</v>
      </c>
      <c r="C880" s="397" t="s">
        <v>9</v>
      </c>
      <c r="D880" s="647">
        <v>1</v>
      </c>
      <c r="E880" s="251">
        <v>3</v>
      </c>
      <c r="F880" s="595">
        <v>1.02</v>
      </c>
      <c r="G880" s="235"/>
      <c r="H880" s="235">
        <v>0.2</v>
      </c>
      <c r="I880" s="477">
        <f t="shared" si="159"/>
        <v>0.6120000000000001</v>
      </c>
      <c r="J880" s="167"/>
      <c r="K880" s="758"/>
    </row>
    <row r="881" spans="1:11">
      <c r="A881" s="167"/>
      <c r="B881" s="167" t="s">
        <v>1063</v>
      </c>
      <c r="C881" s="397" t="s">
        <v>9</v>
      </c>
      <c r="D881" s="647">
        <v>1</v>
      </c>
      <c r="E881" s="251">
        <v>3</v>
      </c>
      <c r="F881" s="595">
        <v>1.02</v>
      </c>
      <c r="G881" s="235"/>
      <c r="H881" s="235">
        <f>0.35-0.125</f>
        <v>0.22499999999999998</v>
      </c>
      <c r="I881" s="477">
        <f t="shared" si="159"/>
        <v>0.68849999999999989</v>
      </c>
      <c r="J881" s="167"/>
      <c r="K881" s="758"/>
    </row>
    <row r="882" spans="1:11">
      <c r="A882" s="167"/>
      <c r="B882" s="167" t="s">
        <v>1063</v>
      </c>
      <c r="C882" s="397" t="s">
        <v>9</v>
      </c>
      <c r="D882" s="647">
        <v>1</v>
      </c>
      <c r="E882" s="251">
        <v>3</v>
      </c>
      <c r="F882" s="595">
        <v>1.02</v>
      </c>
      <c r="G882" s="235"/>
      <c r="H882" s="235">
        <v>0.35</v>
      </c>
      <c r="I882" s="477">
        <f t="shared" si="159"/>
        <v>1.071</v>
      </c>
      <c r="J882" s="167"/>
      <c r="K882" s="758"/>
    </row>
    <row r="883" spans="1:11">
      <c r="A883" s="167"/>
      <c r="B883" s="167" t="s">
        <v>973</v>
      </c>
      <c r="C883" s="397" t="s">
        <v>9</v>
      </c>
      <c r="D883" s="647">
        <v>1</v>
      </c>
      <c r="E883" s="251">
        <v>3</v>
      </c>
      <c r="F883" s="595">
        <v>3.35</v>
      </c>
      <c r="G883" s="235"/>
      <c r="H883" s="235">
        <v>0.2</v>
      </c>
      <c r="I883" s="477">
        <f t="shared" si="159"/>
        <v>2.0100000000000002</v>
      </c>
      <c r="J883" s="167"/>
      <c r="K883" s="758"/>
    </row>
    <row r="884" spans="1:11">
      <c r="A884" s="167"/>
      <c r="B884" s="167" t="s">
        <v>1063</v>
      </c>
      <c r="C884" s="397" t="s">
        <v>9</v>
      </c>
      <c r="D884" s="647">
        <v>1</v>
      </c>
      <c r="E884" s="251">
        <v>3</v>
      </c>
      <c r="F884" s="595">
        <v>3.35</v>
      </c>
      <c r="G884" s="235"/>
      <c r="H884" s="235">
        <f>0.5-0.2</f>
        <v>0.3</v>
      </c>
      <c r="I884" s="477">
        <f t="shared" si="159"/>
        <v>3.0150000000000001</v>
      </c>
      <c r="J884" s="167"/>
      <c r="K884" s="758"/>
    </row>
    <row r="885" spans="1:11">
      <c r="A885" s="167"/>
      <c r="B885" s="167" t="s">
        <v>1063</v>
      </c>
      <c r="C885" s="397" t="s">
        <v>9</v>
      </c>
      <c r="D885" s="647">
        <v>1</v>
      </c>
      <c r="E885" s="251">
        <v>3</v>
      </c>
      <c r="F885" s="595">
        <v>3.35</v>
      </c>
      <c r="G885" s="235"/>
      <c r="H885" s="235">
        <f>0.5-0.135</f>
        <v>0.36499999999999999</v>
      </c>
      <c r="I885" s="477">
        <f t="shared" si="159"/>
        <v>3.66825</v>
      </c>
      <c r="J885" s="167"/>
      <c r="K885" s="758"/>
    </row>
    <row r="886" spans="1:11">
      <c r="A886" s="167"/>
      <c r="B886" s="167" t="s">
        <v>973</v>
      </c>
      <c r="C886" s="397" t="s">
        <v>9</v>
      </c>
      <c r="D886" s="647">
        <v>1</v>
      </c>
      <c r="E886" s="251">
        <v>3</v>
      </c>
      <c r="F886" s="595">
        <v>3.25</v>
      </c>
      <c r="G886" s="235"/>
      <c r="H886" s="235">
        <v>0.2</v>
      </c>
      <c r="I886" s="477">
        <f t="shared" si="159"/>
        <v>1.9500000000000002</v>
      </c>
      <c r="J886" s="167"/>
      <c r="K886" s="758"/>
    </row>
    <row r="887" spans="1:11">
      <c r="A887" s="167"/>
      <c r="B887" s="167" t="s">
        <v>1063</v>
      </c>
      <c r="C887" s="397" t="s">
        <v>9</v>
      </c>
      <c r="D887" s="647">
        <v>1</v>
      </c>
      <c r="E887" s="251">
        <v>3</v>
      </c>
      <c r="F887" s="595">
        <v>3.25</v>
      </c>
      <c r="G887" s="235"/>
      <c r="H887" s="235">
        <f>0.5-0.135</f>
        <v>0.36499999999999999</v>
      </c>
      <c r="I887" s="477">
        <f t="shared" si="159"/>
        <v>3.5587499999999999</v>
      </c>
      <c r="J887" s="167"/>
      <c r="K887" s="758"/>
    </row>
    <row r="888" spans="1:11">
      <c r="A888" s="167"/>
      <c r="B888" s="167" t="s">
        <v>1063</v>
      </c>
      <c r="C888" s="397" t="s">
        <v>9</v>
      </c>
      <c r="D888" s="647">
        <v>1</v>
      </c>
      <c r="E888" s="251">
        <v>3</v>
      </c>
      <c r="F888" s="595">
        <f>3.25-0.97</f>
        <v>2.2800000000000002</v>
      </c>
      <c r="G888" s="235"/>
      <c r="H888" s="235">
        <f>0.5-0.2</f>
        <v>0.3</v>
      </c>
      <c r="I888" s="477">
        <f t="shared" si="159"/>
        <v>2.052</v>
      </c>
      <c r="J888" s="167"/>
      <c r="K888" s="758"/>
    </row>
    <row r="889" spans="1:11">
      <c r="A889" s="167"/>
      <c r="B889" s="167" t="s">
        <v>1063</v>
      </c>
      <c r="C889" s="397" t="s">
        <v>9</v>
      </c>
      <c r="D889" s="647">
        <v>1</v>
      </c>
      <c r="E889" s="251">
        <v>3</v>
      </c>
      <c r="F889" s="595">
        <v>0.97</v>
      </c>
      <c r="G889" s="235"/>
      <c r="H889" s="235">
        <v>0.5</v>
      </c>
      <c r="I889" s="477">
        <f t="shared" si="159"/>
        <v>1.4550000000000001</v>
      </c>
      <c r="J889" s="167"/>
      <c r="K889" s="758"/>
    </row>
    <row r="890" spans="1:11">
      <c r="A890" s="167"/>
      <c r="B890" s="167" t="s">
        <v>974</v>
      </c>
      <c r="C890" s="397" t="s">
        <v>9</v>
      </c>
      <c r="D890" s="647">
        <v>1</v>
      </c>
      <c r="E890" s="251">
        <v>1</v>
      </c>
      <c r="F890" s="595">
        <v>3.2149999999999999</v>
      </c>
      <c r="G890" s="235"/>
      <c r="H890" s="235">
        <v>0.2</v>
      </c>
      <c r="I890" s="477">
        <f t="shared" si="159"/>
        <v>0.64300000000000002</v>
      </c>
      <c r="J890" s="167"/>
      <c r="K890" s="758"/>
    </row>
    <row r="891" spans="1:11">
      <c r="A891" s="167"/>
      <c r="B891" s="167" t="s">
        <v>1063</v>
      </c>
      <c r="C891" s="397" t="s">
        <v>9</v>
      </c>
      <c r="D891" s="647">
        <v>1</v>
      </c>
      <c r="E891" s="251">
        <v>1</v>
      </c>
      <c r="F891" s="595">
        <v>3.2149999999999999</v>
      </c>
      <c r="G891" s="235"/>
      <c r="H891" s="235">
        <f>0.5-0.15</f>
        <v>0.35</v>
      </c>
      <c r="I891" s="477">
        <f t="shared" si="159"/>
        <v>1.1252499999999999</v>
      </c>
      <c r="J891" s="167"/>
      <c r="K891" s="758"/>
    </row>
    <row r="892" spans="1:11">
      <c r="A892" s="167"/>
      <c r="B892" s="167" t="s">
        <v>1063</v>
      </c>
      <c r="C892" s="397" t="s">
        <v>9</v>
      </c>
      <c r="D892" s="647">
        <v>1</v>
      </c>
      <c r="E892" s="251">
        <v>1</v>
      </c>
      <c r="F892" s="595">
        <v>3.2149999999999999</v>
      </c>
      <c r="G892" s="235"/>
      <c r="H892" s="235">
        <f>0.5-0.2</f>
        <v>0.3</v>
      </c>
      <c r="I892" s="477">
        <f t="shared" si="159"/>
        <v>0.96449999999999991</v>
      </c>
      <c r="J892" s="167"/>
      <c r="K892" s="758"/>
    </row>
    <row r="893" spans="1:11">
      <c r="A893" s="167"/>
      <c r="B893" s="167" t="s">
        <v>975</v>
      </c>
      <c r="C893" s="397" t="s">
        <v>9</v>
      </c>
      <c r="D893" s="647">
        <v>1</v>
      </c>
      <c r="E893" s="251">
        <v>1</v>
      </c>
      <c r="F893" s="595">
        <v>2.76</v>
      </c>
      <c r="G893" s="235"/>
      <c r="H893" s="235">
        <v>0.23</v>
      </c>
      <c r="I893" s="477">
        <f t="shared" si="159"/>
        <v>0.63480000000000003</v>
      </c>
      <c r="J893" s="167"/>
      <c r="K893" s="758"/>
    </row>
    <row r="894" spans="1:11">
      <c r="A894" s="167"/>
      <c r="B894" s="167" t="s">
        <v>1063</v>
      </c>
      <c r="C894" s="397" t="s">
        <v>9</v>
      </c>
      <c r="D894" s="647">
        <v>1</v>
      </c>
      <c r="E894" s="251">
        <v>1</v>
      </c>
      <c r="F894" s="595">
        <v>2.76</v>
      </c>
      <c r="G894" s="235"/>
      <c r="H894" s="235">
        <f>0.5-0.135</f>
        <v>0.36499999999999999</v>
      </c>
      <c r="I894" s="477">
        <f t="shared" si="159"/>
        <v>1.0073999999999999</v>
      </c>
      <c r="J894" s="167"/>
      <c r="K894" s="758"/>
    </row>
    <row r="895" spans="1:11">
      <c r="A895" s="167"/>
      <c r="B895" s="167" t="s">
        <v>1063</v>
      </c>
      <c r="C895" s="397" t="s">
        <v>9</v>
      </c>
      <c r="D895" s="647">
        <v>1</v>
      </c>
      <c r="E895" s="251">
        <v>1</v>
      </c>
      <c r="F895" s="595">
        <v>2.76</v>
      </c>
      <c r="G895" s="235"/>
      <c r="H895" s="235">
        <v>0.5</v>
      </c>
      <c r="I895" s="477">
        <f t="shared" si="159"/>
        <v>1.38</v>
      </c>
      <c r="J895" s="167"/>
      <c r="K895" s="758"/>
    </row>
    <row r="896" spans="1:11">
      <c r="A896" s="167"/>
      <c r="B896" s="167" t="s">
        <v>976</v>
      </c>
      <c r="C896" s="397" t="s">
        <v>9</v>
      </c>
      <c r="D896" s="647">
        <v>1</v>
      </c>
      <c r="E896" s="251">
        <v>1</v>
      </c>
      <c r="F896" s="595">
        <v>6.79</v>
      </c>
      <c r="G896" s="235"/>
      <c r="H896" s="235">
        <v>0.2</v>
      </c>
      <c r="I896" s="477">
        <f t="shared" si="159"/>
        <v>1.3580000000000001</v>
      </c>
      <c r="J896" s="167"/>
      <c r="K896" s="758"/>
    </row>
    <row r="897" spans="1:11">
      <c r="A897" s="167"/>
      <c r="B897" s="167" t="s">
        <v>1063</v>
      </c>
      <c r="C897" s="397" t="s">
        <v>9</v>
      </c>
      <c r="D897" s="647">
        <v>1</v>
      </c>
      <c r="E897" s="251">
        <v>1</v>
      </c>
      <c r="F897" s="595">
        <v>6.79</v>
      </c>
      <c r="G897" s="235"/>
      <c r="H897" s="235">
        <f>0.45-0.15</f>
        <v>0.30000000000000004</v>
      </c>
      <c r="I897" s="477">
        <f t="shared" si="159"/>
        <v>2.0370000000000004</v>
      </c>
      <c r="J897" s="167"/>
      <c r="K897" s="758"/>
    </row>
    <row r="898" spans="1:11">
      <c r="A898" s="167"/>
      <c r="B898" s="167" t="s">
        <v>1063</v>
      </c>
      <c r="C898" s="397" t="s">
        <v>9</v>
      </c>
      <c r="D898" s="647">
        <v>1</v>
      </c>
      <c r="E898" s="251">
        <v>1</v>
      </c>
      <c r="F898" s="595">
        <v>6.79</v>
      </c>
      <c r="G898" s="235"/>
      <c r="H898" s="235">
        <f>0.45-0.15</f>
        <v>0.30000000000000004</v>
      </c>
      <c r="I898" s="477">
        <f t="shared" si="159"/>
        <v>2.0370000000000004</v>
      </c>
      <c r="J898" s="167"/>
      <c r="K898" s="758"/>
    </row>
    <row r="899" spans="1:11">
      <c r="A899" s="167"/>
      <c r="B899" s="167" t="s">
        <v>977</v>
      </c>
      <c r="C899" s="397" t="s">
        <v>9</v>
      </c>
      <c r="D899" s="647">
        <v>1</v>
      </c>
      <c r="E899" s="251">
        <v>1</v>
      </c>
      <c r="F899" s="595">
        <v>2.41</v>
      </c>
      <c r="G899" s="235"/>
      <c r="H899" s="235">
        <v>0.2</v>
      </c>
      <c r="I899" s="477">
        <f t="shared" si="159"/>
        <v>0.48200000000000004</v>
      </c>
      <c r="J899" s="167"/>
      <c r="K899" s="758"/>
    </row>
    <row r="900" spans="1:11">
      <c r="A900" s="167"/>
      <c r="B900" s="167" t="s">
        <v>1063</v>
      </c>
      <c r="C900" s="397" t="s">
        <v>9</v>
      </c>
      <c r="D900" s="647">
        <v>1</v>
      </c>
      <c r="E900" s="251">
        <v>1</v>
      </c>
      <c r="F900" s="595">
        <v>2.41</v>
      </c>
      <c r="G900" s="235"/>
      <c r="H900" s="235">
        <v>0.35</v>
      </c>
      <c r="I900" s="477">
        <f t="shared" si="159"/>
        <v>0.84350000000000003</v>
      </c>
      <c r="J900" s="167"/>
      <c r="K900" s="758"/>
    </row>
    <row r="901" spans="1:11">
      <c r="A901" s="167"/>
      <c r="B901" s="167" t="s">
        <v>1063</v>
      </c>
      <c r="C901" s="397" t="s">
        <v>9</v>
      </c>
      <c r="D901" s="647">
        <v>1</v>
      </c>
      <c r="E901" s="251">
        <v>1</v>
      </c>
      <c r="F901" s="595">
        <v>2.41</v>
      </c>
      <c r="G901" s="235"/>
      <c r="H901" s="235">
        <v>0.35</v>
      </c>
      <c r="I901" s="477">
        <f t="shared" si="159"/>
        <v>0.84350000000000003</v>
      </c>
      <c r="J901" s="167"/>
      <c r="K901" s="758"/>
    </row>
    <row r="902" spans="1:11">
      <c r="A902" s="167"/>
      <c r="B902" s="167" t="s">
        <v>1004</v>
      </c>
      <c r="C902" s="397" t="s">
        <v>9</v>
      </c>
      <c r="D902" s="647">
        <v>1</v>
      </c>
      <c r="E902" s="251">
        <v>1</v>
      </c>
      <c r="F902" s="595">
        <v>5.76</v>
      </c>
      <c r="G902" s="235"/>
      <c r="H902" s="235">
        <v>0.23</v>
      </c>
      <c r="I902" s="477">
        <f t="shared" si="159"/>
        <v>1.3248</v>
      </c>
      <c r="J902" s="167"/>
      <c r="K902" s="758"/>
    </row>
    <row r="903" spans="1:11">
      <c r="A903" s="167"/>
      <c r="B903" s="167" t="s">
        <v>1063</v>
      </c>
      <c r="C903" s="397" t="s">
        <v>9</v>
      </c>
      <c r="D903" s="647">
        <v>1</v>
      </c>
      <c r="E903" s="251">
        <v>1</v>
      </c>
      <c r="F903" s="595">
        <v>2.61</v>
      </c>
      <c r="G903" s="235"/>
      <c r="H903" s="235">
        <f>0.45-0.125</f>
        <v>0.32500000000000001</v>
      </c>
      <c r="I903" s="477">
        <f t="shared" si="159"/>
        <v>0.84824999999999995</v>
      </c>
      <c r="J903" s="167"/>
      <c r="K903" s="758"/>
    </row>
    <row r="904" spans="1:11">
      <c r="A904" s="167"/>
      <c r="B904" s="167" t="s">
        <v>1063</v>
      </c>
      <c r="C904" s="397" t="s">
        <v>9</v>
      </c>
      <c r="D904" s="647">
        <v>1</v>
      </c>
      <c r="E904" s="251">
        <v>1</v>
      </c>
      <c r="F904" s="595">
        <v>3.15</v>
      </c>
      <c r="G904" s="235"/>
      <c r="H904" s="235">
        <v>0.45</v>
      </c>
      <c r="I904" s="477">
        <f t="shared" si="159"/>
        <v>1.4175</v>
      </c>
      <c r="J904" s="167"/>
      <c r="K904" s="758"/>
    </row>
    <row r="905" spans="1:11">
      <c r="A905" s="167"/>
      <c r="B905" s="167" t="s">
        <v>1063</v>
      </c>
      <c r="C905" s="397" t="s">
        <v>9</v>
      </c>
      <c r="D905" s="647">
        <v>1</v>
      </c>
      <c r="E905" s="251">
        <v>1</v>
      </c>
      <c r="F905" s="595">
        <v>3.0350000000000001</v>
      </c>
      <c r="G905" s="235"/>
      <c r="H905" s="235">
        <v>0.45</v>
      </c>
      <c r="I905" s="477">
        <f t="shared" si="159"/>
        <v>1.36575</v>
      </c>
      <c r="J905" s="167"/>
      <c r="K905" s="758"/>
    </row>
    <row r="906" spans="1:11">
      <c r="A906" s="167"/>
      <c r="B906" s="167" t="s">
        <v>1063</v>
      </c>
      <c r="C906" s="397" t="s">
        <v>9</v>
      </c>
      <c r="D906" s="647">
        <v>1</v>
      </c>
      <c r="E906" s="251">
        <v>1</v>
      </c>
      <c r="F906" s="595">
        <v>2.7250000000000001</v>
      </c>
      <c r="G906" s="235"/>
      <c r="H906" s="235">
        <f>0.45-0.125</f>
        <v>0.32500000000000001</v>
      </c>
      <c r="I906" s="477">
        <f t="shared" si="159"/>
        <v>0.88562500000000011</v>
      </c>
      <c r="J906" s="167"/>
      <c r="K906" s="758"/>
    </row>
    <row r="907" spans="1:11">
      <c r="A907" s="167"/>
      <c r="B907" s="167" t="s">
        <v>978</v>
      </c>
      <c r="C907" s="397" t="s">
        <v>9</v>
      </c>
      <c r="D907" s="647">
        <v>1</v>
      </c>
      <c r="E907" s="251">
        <v>1</v>
      </c>
      <c r="F907" s="595">
        <v>4.6900000000000004</v>
      </c>
      <c r="G907" s="235"/>
      <c r="H907" s="235">
        <v>0.2</v>
      </c>
      <c r="I907" s="477">
        <f t="shared" si="159"/>
        <v>0.93800000000000017</v>
      </c>
      <c r="J907" s="167"/>
      <c r="K907" s="758"/>
    </row>
    <row r="908" spans="1:11">
      <c r="A908" s="167"/>
      <c r="B908" s="167" t="s">
        <v>1063</v>
      </c>
      <c r="C908" s="397" t="s">
        <v>9</v>
      </c>
      <c r="D908" s="647">
        <v>1</v>
      </c>
      <c r="E908" s="251">
        <v>1</v>
      </c>
      <c r="F908" s="595">
        <v>4.6900000000000004</v>
      </c>
      <c r="G908" s="235"/>
      <c r="H908" s="235">
        <f>0.45-0.125</f>
        <v>0.32500000000000001</v>
      </c>
      <c r="I908" s="477">
        <f t="shared" si="159"/>
        <v>1.5242500000000001</v>
      </c>
      <c r="J908" s="167"/>
      <c r="K908" s="758"/>
    </row>
    <row r="909" spans="1:11">
      <c r="A909" s="167"/>
      <c r="B909" s="167" t="s">
        <v>1063</v>
      </c>
      <c r="C909" s="397" t="s">
        <v>9</v>
      </c>
      <c r="D909" s="647">
        <v>1</v>
      </c>
      <c r="E909" s="251">
        <v>1</v>
      </c>
      <c r="F909" s="595">
        <v>4.6900000000000004</v>
      </c>
      <c r="G909" s="235"/>
      <c r="H909" s="235">
        <f>0.45-0.135</f>
        <v>0.315</v>
      </c>
      <c r="I909" s="477">
        <f t="shared" si="159"/>
        <v>1.4773500000000002</v>
      </c>
      <c r="J909" s="167"/>
      <c r="K909" s="758"/>
    </row>
    <row r="910" spans="1:11">
      <c r="A910" s="167"/>
      <c r="B910" s="167" t="s">
        <v>979</v>
      </c>
      <c r="C910" s="397" t="s">
        <v>9</v>
      </c>
      <c r="D910" s="647">
        <v>1</v>
      </c>
      <c r="E910" s="251">
        <v>1</v>
      </c>
      <c r="F910" s="595">
        <v>2.2200000000000002</v>
      </c>
      <c r="G910" s="235"/>
      <c r="H910" s="235">
        <v>0.2</v>
      </c>
      <c r="I910" s="477">
        <f t="shared" si="159"/>
        <v>0.44400000000000006</v>
      </c>
      <c r="J910" s="167"/>
      <c r="K910" s="758"/>
    </row>
    <row r="911" spans="1:11">
      <c r="A911" s="167"/>
      <c r="B911" s="167" t="s">
        <v>1063</v>
      </c>
      <c r="C911" s="397" t="s">
        <v>9</v>
      </c>
      <c r="D911" s="647">
        <v>1</v>
      </c>
      <c r="E911" s="251">
        <v>1</v>
      </c>
      <c r="F911" s="595">
        <v>2.2200000000000002</v>
      </c>
      <c r="G911" s="235"/>
      <c r="H911" s="235">
        <f>0.45-0.125</f>
        <v>0.32500000000000001</v>
      </c>
      <c r="I911" s="477">
        <f t="shared" si="159"/>
        <v>0.72150000000000014</v>
      </c>
      <c r="J911" s="167"/>
      <c r="K911" s="758"/>
    </row>
    <row r="912" spans="1:11">
      <c r="A912" s="167"/>
      <c r="B912" s="167" t="s">
        <v>1063</v>
      </c>
      <c r="C912" s="397" t="s">
        <v>9</v>
      </c>
      <c r="D912" s="647">
        <v>1</v>
      </c>
      <c r="E912" s="251">
        <v>1</v>
      </c>
      <c r="F912" s="595">
        <v>2.2200000000000002</v>
      </c>
      <c r="G912" s="235"/>
      <c r="H912" s="235">
        <f>0.45-0.15</f>
        <v>0.30000000000000004</v>
      </c>
      <c r="I912" s="477">
        <f t="shared" si="159"/>
        <v>0.66600000000000015</v>
      </c>
      <c r="J912" s="167"/>
      <c r="K912" s="758"/>
    </row>
    <row r="913" spans="1:11">
      <c r="A913" s="167"/>
      <c r="B913" s="167" t="s">
        <v>980</v>
      </c>
      <c r="C913" s="397" t="s">
        <v>9</v>
      </c>
      <c r="D913" s="647">
        <v>1</v>
      </c>
      <c r="E913" s="251">
        <v>1</v>
      </c>
      <c r="F913" s="595">
        <v>5.63</v>
      </c>
      <c r="G913" s="235"/>
      <c r="H913" s="235">
        <v>0.2</v>
      </c>
      <c r="I913" s="477">
        <f t="shared" si="159"/>
        <v>1.1260000000000001</v>
      </c>
      <c r="J913" s="167"/>
      <c r="K913" s="758"/>
    </row>
    <row r="914" spans="1:11">
      <c r="A914" s="167"/>
      <c r="B914" s="167" t="s">
        <v>1063</v>
      </c>
      <c r="C914" s="397" t="s">
        <v>9</v>
      </c>
      <c r="D914" s="647">
        <v>1</v>
      </c>
      <c r="E914" s="251">
        <v>2</v>
      </c>
      <c r="F914" s="595">
        <v>5.63</v>
      </c>
      <c r="G914" s="235"/>
      <c r="H914" s="235">
        <v>0.45</v>
      </c>
      <c r="I914" s="477">
        <f t="shared" si="159"/>
        <v>5.0670000000000002</v>
      </c>
      <c r="J914" s="167"/>
      <c r="K914" s="758"/>
    </row>
    <row r="915" spans="1:11">
      <c r="A915" s="167"/>
      <c r="B915" s="167" t="s">
        <v>981</v>
      </c>
      <c r="C915" s="397" t="s">
        <v>9</v>
      </c>
      <c r="D915" s="647">
        <v>1</v>
      </c>
      <c r="E915" s="251">
        <v>1</v>
      </c>
      <c r="F915" s="595">
        <v>1.5</v>
      </c>
      <c r="G915" s="235"/>
      <c r="H915" s="235">
        <v>0.2</v>
      </c>
      <c r="I915" s="477">
        <f t="shared" si="159"/>
        <v>0.30000000000000004</v>
      </c>
      <c r="J915" s="167"/>
      <c r="K915" s="758"/>
    </row>
    <row r="916" spans="1:11">
      <c r="A916" s="167"/>
      <c r="B916" s="167" t="s">
        <v>1063</v>
      </c>
      <c r="C916" s="397" t="s">
        <v>9</v>
      </c>
      <c r="D916" s="647">
        <v>1</v>
      </c>
      <c r="E916" s="251">
        <v>2</v>
      </c>
      <c r="F916" s="595">
        <v>1.5</v>
      </c>
      <c r="G916" s="235"/>
      <c r="H916" s="235">
        <f>0.45-0.125</f>
        <v>0.32500000000000001</v>
      </c>
      <c r="I916" s="477">
        <f t="shared" si="159"/>
        <v>0.97500000000000009</v>
      </c>
      <c r="J916" s="167"/>
      <c r="K916" s="758"/>
    </row>
    <row r="917" spans="1:11">
      <c r="A917" s="167"/>
      <c r="B917" s="167" t="s">
        <v>1006</v>
      </c>
      <c r="C917" s="397" t="s">
        <v>9</v>
      </c>
      <c r="D917" s="647">
        <v>1</v>
      </c>
      <c r="E917" s="251">
        <v>1</v>
      </c>
      <c r="F917" s="595">
        <v>2.085</v>
      </c>
      <c r="G917" s="235"/>
      <c r="H917" s="235">
        <v>0.2</v>
      </c>
      <c r="I917" s="477">
        <f t="shared" si="159"/>
        <v>0.41700000000000004</v>
      </c>
      <c r="J917" s="167"/>
      <c r="K917" s="758"/>
    </row>
    <row r="918" spans="1:11">
      <c r="A918" s="167"/>
      <c r="B918" s="167" t="s">
        <v>1063</v>
      </c>
      <c r="C918" s="397" t="s">
        <v>9</v>
      </c>
      <c r="D918" s="647">
        <v>1</v>
      </c>
      <c r="E918" s="251">
        <v>2</v>
      </c>
      <c r="F918" s="595">
        <v>2.085</v>
      </c>
      <c r="G918" s="235"/>
      <c r="H918" s="235">
        <f>0.45-0.125</f>
        <v>0.32500000000000001</v>
      </c>
      <c r="I918" s="477">
        <f t="shared" si="159"/>
        <v>1.3552500000000001</v>
      </c>
      <c r="J918" s="167"/>
      <c r="K918" s="758"/>
    </row>
    <row r="919" spans="1:11">
      <c r="A919" s="167"/>
      <c r="B919" s="167" t="s">
        <v>982</v>
      </c>
      <c r="C919" s="397" t="s">
        <v>9</v>
      </c>
      <c r="D919" s="647">
        <v>1</v>
      </c>
      <c r="E919" s="251">
        <v>1</v>
      </c>
      <c r="F919" s="595">
        <v>5.63</v>
      </c>
      <c r="G919" s="235"/>
      <c r="H919" s="235">
        <v>0.2</v>
      </c>
      <c r="I919" s="477">
        <f t="shared" si="159"/>
        <v>1.1260000000000001</v>
      </c>
      <c r="J919" s="167"/>
      <c r="K919" s="758"/>
    </row>
    <row r="920" spans="1:11">
      <c r="A920" s="167"/>
      <c r="B920" s="167" t="s">
        <v>1063</v>
      </c>
      <c r="C920" s="397" t="s">
        <v>9</v>
      </c>
      <c r="D920" s="647">
        <v>1</v>
      </c>
      <c r="E920" s="251">
        <v>1</v>
      </c>
      <c r="F920" s="595">
        <v>5.63</v>
      </c>
      <c r="G920" s="235"/>
      <c r="H920" s="235">
        <v>0.45</v>
      </c>
      <c r="I920" s="477">
        <f t="shared" si="159"/>
        <v>2.5335000000000001</v>
      </c>
      <c r="J920" s="167"/>
      <c r="K920" s="758"/>
    </row>
    <row r="921" spans="1:11">
      <c r="A921" s="167"/>
      <c r="B921" s="167" t="s">
        <v>1063</v>
      </c>
      <c r="C921" s="397" t="s">
        <v>9</v>
      </c>
      <c r="D921" s="647">
        <v>1</v>
      </c>
      <c r="E921" s="251">
        <v>1</v>
      </c>
      <c r="F921" s="595">
        <v>5.63</v>
      </c>
      <c r="G921" s="235"/>
      <c r="H921" s="235">
        <f>0.45-0.125</f>
        <v>0.32500000000000001</v>
      </c>
      <c r="I921" s="477">
        <f t="shared" si="159"/>
        <v>1.82975</v>
      </c>
      <c r="J921" s="167"/>
      <c r="K921" s="758"/>
    </row>
    <row r="922" spans="1:11">
      <c r="A922" s="167"/>
      <c r="B922" s="167" t="s">
        <v>1007</v>
      </c>
      <c r="C922" s="397" t="s">
        <v>9</v>
      </c>
      <c r="D922" s="647">
        <v>1</v>
      </c>
      <c r="E922" s="251">
        <v>3</v>
      </c>
      <c r="F922" s="595">
        <v>3.2349999999999999</v>
      </c>
      <c r="G922" s="235"/>
      <c r="H922" s="235">
        <v>0.2</v>
      </c>
      <c r="I922" s="477">
        <f t="shared" si="159"/>
        <v>1.9410000000000001</v>
      </c>
      <c r="J922" s="167"/>
      <c r="K922" s="758"/>
    </row>
    <row r="923" spans="1:11">
      <c r="A923" s="167"/>
      <c r="B923" s="167" t="s">
        <v>1063</v>
      </c>
      <c r="C923" s="397" t="s">
        <v>9</v>
      </c>
      <c r="D923" s="647">
        <v>1</v>
      </c>
      <c r="E923" s="251">
        <v>3</v>
      </c>
      <c r="F923" s="595">
        <v>3.2349999999999999</v>
      </c>
      <c r="G923" s="235"/>
      <c r="H923" s="235">
        <f>0.45-0.135</f>
        <v>0.315</v>
      </c>
      <c r="I923" s="477">
        <f t="shared" si="159"/>
        <v>3.0570750000000002</v>
      </c>
      <c r="J923" s="167"/>
      <c r="K923" s="758"/>
    </row>
    <row r="924" spans="1:11">
      <c r="A924" s="167"/>
      <c r="B924" s="167" t="s">
        <v>1063</v>
      </c>
      <c r="C924" s="397" t="s">
        <v>9</v>
      </c>
      <c r="D924" s="647">
        <v>1</v>
      </c>
      <c r="E924" s="251">
        <v>3</v>
      </c>
      <c r="F924" s="595">
        <v>1.61</v>
      </c>
      <c r="G924" s="235"/>
      <c r="H924" s="235">
        <f>0.45-0.15</f>
        <v>0.30000000000000004</v>
      </c>
      <c r="I924" s="477">
        <f t="shared" si="159"/>
        <v>1.4490000000000003</v>
      </c>
      <c r="J924" s="167"/>
      <c r="K924" s="758"/>
    </row>
    <row r="925" spans="1:11">
      <c r="A925" s="167"/>
      <c r="B925" s="167" t="s">
        <v>1063</v>
      </c>
      <c r="C925" s="397" t="s">
        <v>9</v>
      </c>
      <c r="D925" s="647">
        <v>1</v>
      </c>
      <c r="E925" s="251">
        <v>3</v>
      </c>
      <c r="F925" s="595">
        <v>1.625</v>
      </c>
      <c r="G925" s="235"/>
      <c r="H925" s="235">
        <f>0.45-0.125</f>
        <v>0.32500000000000001</v>
      </c>
      <c r="I925" s="477">
        <f t="shared" si="159"/>
        <v>1.5843750000000001</v>
      </c>
      <c r="J925" s="167"/>
      <c r="K925" s="758"/>
    </row>
    <row r="926" spans="1:11">
      <c r="A926" s="167"/>
      <c r="B926" s="167" t="s">
        <v>1007</v>
      </c>
      <c r="C926" s="397" t="s">
        <v>9</v>
      </c>
      <c r="D926" s="647">
        <v>1</v>
      </c>
      <c r="E926" s="251">
        <v>3</v>
      </c>
      <c r="F926" s="595">
        <v>4.72</v>
      </c>
      <c r="G926" s="235"/>
      <c r="H926" s="235">
        <v>0.2</v>
      </c>
      <c r="I926" s="477">
        <f t="shared" si="159"/>
        <v>2.8320000000000003</v>
      </c>
      <c r="J926" s="167"/>
      <c r="K926" s="758"/>
    </row>
    <row r="927" spans="1:11">
      <c r="A927" s="167"/>
      <c r="B927" s="167" t="s">
        <v>1063</v>
      </c>
      <c r="C927" s="397" t="s">
        <v>9</v>
      </c>
      <c r="D927" s="647">
        <v>1</v>
      </c>
      <c r="E927" s="251">
        <v>3</v>
      </c>
      <c r="F927" s="595">
        <v>3.15</v>
      </c>
      <c r="G927" s="235"/>
      <c r="H927" s="235">
        <f>0.45-0.135</f>
        <v>0.315</v>
      </c>
      <c r="I927" s="477">
        <f t="shared" si="159"/>
        <v>2.97675</v>
      </c>
      <c r="J927" s="167"/>
      <c r="K927" s="758"/>
    </row>
    <row r="928" spans="1:11">
      <c r="A928" s="167"/>
      <c r="B928" s="167" t="s">
        <v>1063</v>
      </c>
      <c r="C928" s="397" t="s">
        <v>9</v>
      </c>
      <c r="D928" s="647">
        <v>1</v>
      </c>
      <c r="E928" s="251">
        <v>3</v>
      </c>
      <c r="F928" s="595">
        <v>1.57</v>
      </c>
      <c r="G928" s="235"/>
      <c r="H928" s="235">
        <f>0.45-0.125</f>
        <v>0.32500000000000001</v>
      </c>
      <c r="I928" s="477">
        <f t="shared" si="159"/>
        <v>1.5307500000000001</v>
      </c>
      <c r="J928" s="167"/>
      <c r="K928" s="758"/>
    </row>
    <row r="929" spans="1:11">
      <c r="A929" s="167"/>
      <c r="B929" s="167" t="s">
        <v>1063</v>
      </c>
      <c r="C929" s="397" t="s">
        <v>9</v>
      </c>
      <c r="D929" s="647">
        <v>1</v>
      </c>
      <c r="E929" s="251">
        <v>3</v>
      </c>
      <c r="F929" s="595">
        <v>4.72</v>
      </c>
      <c r="G929" s="235"/>
      <c r="H929" s="235">
        <f>0.45-0.125</f>
        <v>0.32500000000000001</v>
      </c>
      <c r="I929" s="477">
        <f t="shared" si="159"/>
        <v>4.6020000000000003</v>
      </c>
      <c r="J929" s="167"/>
      <c r="K929" s="758"/>
    </row>
    <row r="930" spans="1:11">
      <c r="A930" s="167"/>
      <c r="B930" s="167" t="s">
        <v>1008</v>
      </c>
      <c r="C930" s="397" t="s">
        <v>9</v>
      </c>
      <c r="D930" s="647">
        <v>1</v>
      </c>
      <c r="E930" s="251">
        <v>3</v>
      </c>
      <c r="F930" s="595">
        <v>2.5750000000000002</v>
      </c>
      <c r="G930" s="235"/>
      <c r="H930" s="235">
        <v>0.2</v>
      </c>
      <c r="I930" s="477">
        <f t="shared" si="159"/>
        <v>1.5450000000000002</v>
      </c>
      <c r="J930" s="167"/>
      <c r="K930" s="758"/>
    </row>
    <row r="931" spans="1:11">
      <c r="A931" s="167"/>
      <c r="B931" s="167" t="s">
        <v>1063</v>
      </c>
      <c r="C931" s="397" t="s">
        <v>9</v>
      </c>
      <c r="D931" s="647">
        <v>1</v>
      </c>
      <c r="E931" s="251">
        <v>3</v>
      </c>
      <c r="F931" s="595">
        <v>2.5750000000000002</v>
      </c>
      <c r="G931" s="235"/>
      <c r="H931" s="235">
        <f>0.35-0.125</f>
        <v>0.22499999999999998</v>
      </c>
      <c r="I931" s="477">
        <f t="shared" si="159"/>
        <v>1.7381249999999999</v>
      </c>
      <c r="J931" s="167"/>
      <c r="K931" s="758"/>
    </row>
    <row r="932" spans="1:11">
      <c r="A932" s="167"/>
      <c r="B932" s="167" t="s">
        <v>1063</v>
      </c>
      <c r="C932" s="397" t="s">
        <v>9</v>
      </c>
      <c r="D932" s="647">
        <v>1</v>
      </c>
      <c r="E932" s="251">
        <v>3</v>
      </c>
      <c r="F932" s="595">
        <v>2.5750000000000002</v>
      </c>
      <c r="G932" s="235"/>
      <c r="H932" s="235">
        <v>0.35</v>
      </c>
      <c r="I932" s="477">
        <f t="shared" si="159"/>
        <v>2.7037499999999999</v>
      </c>
      <c r="J932" s="167"/>
      <c r="K932" s="758"/>
    </row>
    <row r="933" spans="1:11">
      <c r="A933" s="167"/>
      <c r="B933" s="167" t="s">
        <v>1009</v>
      </c>
      <c r="C933" s="397" t="s">
        <v>9</v>
      </c>
      <c r="D933" s="647">
        <v>1</v>
      </c>
      <c r="E933" s="251">
        <v>3</v>
      </c>
      <c r="F933" s="595">
        <v>3.165</v>
      </c>
      <c r="G933" s="235"/>
      <c r="H933" s="235">
        <v>0.2</v>
      </c>
      <c r="I933" s="477">
        <f t="shared" si="159"/>
        <v>1.8990000000000002</v>
      </c>
      <c r="J933" s="167"/>
      <c r="K933" s="758"/>
    </row>
    <row r="934" spans="1:11">
      <c r="A934" s="167"/>
      <c r="B934" s="167" t="s">
        <v>1063</v>
      </c>
      <c r="C934" s="397" t="s">
        <v>9</v>
      </c>
      <c r="D934" s="647">
        <v>1</v>
      </c>
      <c r="E934" s="251">
        <v>3</v>
      </c>
      <c r="F934" s="595">
        <v>3.165</v>
      </c>
      <c r="G934" s="235"/>
      <c r="H934" s="235">
        <f>0.5-0.125</f>
        <v>0.375</v>
      </c>
      <c r="I934" s="477">
        <f t="shared" si="159"/>
        <v>3.5606250000000004</v>
      </c>
      <c r="J934" s="167"/>
      <c r="K934" s="758"/>
    </row>
    <row r="935" spans="1:11">
      <c r="A935" s="167"/>
      <c r="B935" s="167" t="s">
        <v>1063</v>
      </c>
      <c r="C935" s="397" t="s">
        <v>9</v>
      </c>
      <c r="D935" s="647">
        <v>1</v>
      </c>
      <c r="E935" s="251">
        <v>3</v>
      </c>
      <c r="F935" s="595">
        <v>3.165</v>
      </c>
      <c r="G935" s="235"/>
      <c r="H935" s="235">
        <v>0.5</v>
      </c>
      <c r="I935" s="477">
        <f t="shared" si="159"/>
        <v>4.7475000000000005</v>
      </c>
      <c r="J935" s="167"/>
      <c r="K935" s="758"/>
    </row>
    <row r="936" spans="1:11">
      <c r="A936" s="167"/>
      <c r="B936" s="167" t="s">
        <v>1010</v>
      </c>
      <c r="C936" s="397" t="s">
        <v>9</v>
      </c>
      <c r="D936" s="647">
        <v>1</v>
      </c>
      <c r="E936" s="251">
        <v>1</v>
      </c>
      <c r="F936" s="595">
        <v>5.125</v>
      </c>
      <c r="G936" s="235"/>
      <c r="H936" s="235">
        <v>0.2</v>
      </c>
      <c r="I936" s="477">
        <f t="shared" si="159"/>
        <v>1.0250000000000001</v>
      </c>
      <c r="J936" s="167"/>
      <c r="K936" s="758"/>
    </row>
    <row r="937" spans="1:11">
      <c r="A937" s="167"/>
      <c r="B937" s="167" t="s">
        <v>1063</v>
      </c>
      <c r="C937" s="397" t="s">
        <v>9</v>
      </c>
      <c r="D937" s="647">
        <v>1</v>
      </c>
      <c r="E937" s="251">
        <v>1</v>
      </c>
      <c r="F937" s="595">
        <v>5.125</v>
      </c>
      <c r="G937" s="235"/>
      <c r="H937" s="235">
        <f>0.45-0.15</f>
        <v>0.30000000000000004</v>
      </c>
      <c r="I937" s="477">
        <f t="shared" si="159"/>
        <v>1.5375000000000003</v>
      </c>
      <c r="J937" s="167"/>
      <c r="K937" s="758"/>
    </row>
    <row r="938" spans="1:11">
      <c r="A938" s="167"/>
      <c r="B938" s="167" t="s">
        <v>1063</v>
      </c>
      <c r="C938" s="397" t="s">
        <v>9</v>
      </c>
      <c r="D938" s="647">
        <v>1</v>
      </c>
      <c r="E938" s="251">
        <v>1</v>
      </c>
      <c r="F938" s="595">
        <v>1.69</v>
      </c>
      <c r="G938" s="235"/>
      <c r="H938" s="235">
        <f>0.45-0.125</f>
        <v>0.32500000000000001</v>
      </c>
      <c r="I938" s="477">
        <f t="shared" si="159"/>
        <v>0.54925000000000002</v>
      </c>
      <c r="J938" s="167"/>
      <c r="K938" s="758"/>
    </row>
    <row r="939" spans="1:11">
      <c r="A939" s="167"/>
      <c r="B939" s="167" t="s">
        <v>1063</v>
      </c>
      <c r="C939" s="397" t="s">
        <v>9</v>
      </c>
      <c r="D939" s="647">
        <v>1</v>
      </c>
      <c r="E939" s="251">
        <v>1</v>
      </c>
      <c r="F939" s="595">
        <v>3.4350000000000001</v>
      </c>
      <c r="G939" s="235"/>
      <c r="H939" s="235">
        <f>0.45-0.135</f>
        <v>0.315</v>
      </c>
      <c r="I939" s="477">
        <f t="shared" si="159"/>
        <v>1.082025</v>
      </c>
      <c r="J939" s="167"/>
      <c r="K939" s="758"/>
    </row>
    <row r="940" spans="1:11">
      <c r="A940" s="167"/>
      <c r="B940" s="167" t="s">
        <v>983</v>
      </c>
      <c r="C940" s="397" t="s">
        <v>9</v>
      </c>
      <c r="D940" s="647">
        <v>1</v>
      </c>
      <c r="E940" s="251">
        <v>1</v>
      </c>
      <c r="F940" s="595">
        <v>1.9</v>
      </c>
      <c r="G940" s="235"/>
      <c r="H940" s="235">
        <v>0.2</v>
      </c>
      <c r="I940" s="477">
        <f t="shared" si="159"/>
        <v>0.38</v>
      </c>
      <c r="J940" s="167"/>
      <c r="K940" s="758"/>
    </row>
    <row r="941" spans="1:11">
      <c r="A941" s="167"/>
      <c r="B941" s="167" t="s">
        <v>1063</v>
      </c>
      <c r="C941" s="397" t="s">
        <v>9</v>
      </c>
      <c r="D941" s="647">
        <v>1</v>
      </c>
      <c r="E941" s="251">
        <v>1</v>
      </c>
      <c r="F941" s="595">
        <v>1.9</v>
      </c>
      <c r="G941" s="235"/>
      <c r="H941" s="235">
        <f>0.45-0.125</f>
        <v>0.32500000000000001</v>
      </c>
      <c r="I941" s="477">
        <f t="shared" si="159"/>
        <v>0.61749999999999994</v>
      </c>
      <c r="J941" s="167"/>
      <c r="K941" s="758"/>
    </row>
    <row r="942" spans="1:11">
      <c r="A942" s="167"/>
      <c r="B942" s="167" t="s">
        <v>1063</v>
      </c>
      <c r="C942" s="397" t="s">
        <v>9</v>
      </c>
      <c r="D942" s="647">
        <v>1</v>
      </c>
      <c r="E942" s="251">
        <v>1</v>
      </c>
      <c r="F942" s="595">
        <v>1.9</v>
      </c>
      <c r="G942" s="235"/>
      <c r="H942" s="235">
        <v>0.45</v>
      </c>
      <c r="I942" s="477">
        <f t="shared" si="159"/>
        <v>0.85499999999999998</v>
      </c>
      <c r="J942" s="167"/>
      <c r="K942" s="758"/>
    </row>
    <row r="943" spans="1:11">
      <c r="A943" s="167"/>
      <c r="B943" s="167" t="s">
        <v>983</v>
      </c>
      <c r="C943" s="397" t="s">
        <v>9</v>
      </c>
      <c r="D943" s="647">
        <v>1</v>
      </c>
      <c r="E943" s="251">
        <v>1</v>
      </c>
      <c r="F943" s="595">
        <v>1.9</v>
      </c>
      <c r="G943" s="235"/>
      <c r="H943" s="235">
        <v>0.2</v>
      </c>
      <c r="I943" s="477">
        <f t="shared" si="159"/>
        <v>0.38</v>
      </c>
      <c r="J943" s="167"/>
      <c r="K943" s="758"/>
    </row>
    <row r="944" spans="1:11">
      <c r="A944" s="167"/>
      <c r="B944" s="167" t="s">
        <v>1063</v>
      </c>
      <c r="C944" s="397" t="s">
        <v>9</v>
      </c>
      <c r="D944" s="647">
        <v>1</v>
      </c>
      <c r="E944" s="251">
        <v>1</v>
      </c>
      <c r="F944" s="595">
        <v>1.9</v>
      </c>
      <c r="G944" s="235"/>
      <c r="H944" s="235">
        <f>0.45-0.125</f>
        <v>0.32500000000000001</v>
      </c>
      <c r="I944" s="477">
        <f t="shared" si="159"/>
        <v>0.61749999999999994</v>
      </c>
      <c r="J944" s="167"/>
      <c r="K944" s="758"/>
    </row>
    <row r="945" spans="1:11">
      <c r="A945" s="167"/>
      <c r="B945" s="167" t="s">
        <v>1063</v>
      </c>
      <c r="C945" s="397" t="s">
        <v>9</v>
      </c>
      <c r="D945" s="647">
        <v>1</v>
      </c>
      <c r="E945" s="251">
        <v>1</v>
      </c>
      <c r="F945" s="595">
        <v>1.9</v>
      </c>
      <c r="G945" s="235"/>
      <c r="H945" s="235">
        <v>0.45</v>
      </c>
      <c r="I945" s="477">
        <f t="shared" si="159"/>
        <v>0.85499999999999998</v>
      </c>
      <c r="J945" s="167"/>
      <c r="K945" s="758"/>
    </row>
    <row r="946" spans="1:11">
      <c r="A946" s="167"/>
      <c r="B946" s="167" t="s">
        <v>983</v>
      </c>
      <c r="C946" s="397" t="s">
        <v>9</v>
      </c>
      <c r="D946" s="647">
        <v>1</v>
      </c>
      <c r="E946" s="251">
        <v>1</v>
      </c>
      <c r="F946" s="595">
        <v>1.4</v>
      </c>
      <c r="G946" s="235"/>
      <c r="H946" s="235">
        <v>0.2</v>
      </c>
      <c r="I946" s="477">
        <f t="shared" si="159"/>
        <v>0.27999999999999997</v>
      </c>
      <c r="J946" s="167"/>
      <c r="K946" s="758"/>
    </row>
    <row r="947" spans="1:11">
      <c r="A947" s="167"/>
      <c r="B947" s="167" t="s">
        <v>1063</v>
      </c>
      <c r="C947" s="397" t="s">
        <v>9</v>
      </c>
      <c r="D947" s="647">
        <v>1</v>
      </c>
      <c r="E947" s="251">
        <v>2</v>
      </c>
      <c r="F947" s="595">
        <v>1.4</v>
      </c>
      <c r="G947" s="235"/>
      <c r="H947" s="235">
        <f>0.45-0.125</f>
        <v>0.32500000000000001</v>
      </c>
      <c r="I947" s="477">
        <f t="shared" si="159"/>
        <v>0.90999999999999992</v>
      </c>
      <c r="J947" s="167"/>
      <c r="K947" s="758"/>
    </row>
    <row r="948" spans="1:11">
      <c r="A948" s="167"/>
      <c r="B948" s="167" t="s">
        <v>1011</v>
      </c>
      <c r="C948" s="397" t="s">
        <v>9</v>
      </c>
      <c r="D948" s="647">
        <v>1</v>
      </c>
      <c r="E948" s="251">
        <v>1</v>
      </c>
      <c r="F948" s="595">
        <v>2.93</v>
      </c>
      <c r="G948" s="235"/>
      <c r="H948" s="235">
        <v>0.2</v>
      </c>
      <c r="I948" s="477">
        <f t="shared" si="159"/>
        <v>0.58600000000000008</v>
      </c>
      <c r="J948" s="167"/>
      <c r="K948" s="758"/>
    </row>
    <row r="949" spans="1:11">
      <c r="A949" s="167"/>
      <c r="B949" s="167" t="s">
        <v>1063</v>
      </c>
      <c r="C949" s="397" t="s">
        <v>9</v>
      </c>
      <c r="D949" s="647">
        <v>1</v>
      </c>
      <c r="E949" s="251">
        <v>1</v>
      </c>
      <c r="F949" s="595">
        <v>2.93</v>
      </c>
      <c r="G949" s="235"/>
      <c r="H949" s="235">
        <f>0.35-0.15</f>
        <v>0.19999999999999998</v>
      </c>
      <c r="I949" s="477">
        <f t="shared" si="159"/>
        <v>0.58599999999999997</v>
      </c>
      <c r="J949" s="167"/>
      <c r="K949" s="758"/>
    </row>
    <row r="950" spans="1:11">
      <c r="A950" s="167"/>
      <c r="B950" s="167" t="s">
        <v>1063</v>
      </c>
      <c r="C950" s="397" t="s">
        <v>9</v>
      </c>
      <c r="D950" s="647">
        <v>1</v>
      </c>
      <c r="E950" s="251">
        <v>1</v>
      </c>
      <c r="F950" s="595">
        <v>0.315</v>
      </c>
      <c r="G950" s="235"/>
      <c r="H950" s="235">
        <v>0.35</v>
      </c>
      <c r="I950" s="477">
        <f t="shared" si="159"/>
        <v>0.11024999999999999</v>
      </c>
      <c r="J950" s="167"/>
      <c r="K950" s="758"/>
    </row>
    <row r="951" spans="1:11">
      <c r="A951" s="167"/>
      <c r="B951" s="167" t="s">
        <v>1063</v>
      </c>
      <c r="C951" s="397" t="s">
        <v>9</v>
      </c>
      <c r="D951" s="647">
        <v>1</v>
      </c>
      <c r="E951" s="251">
        <v>1</v>
      </c>
      <c r="F951" s="595">
        <f>2.93-0.315</f>
        <v>2.6150000000000002</v>
      </c>
      <c r="G951" s="235"/>
      <c r="H951" s="235">
        <f>0.35-0.2</f>
        <v>0.14999999999999997</v>
      </c>
      <c r="I951" s="477">
        <f t="shared" si="159"/>
        <v>0.39224999999999993</v>
      </c>
      <c r="J951" s="167"/>
      <c r="K951" s="758"/>
    </row>
    <row r="952" spans="1:11">
      <c r="A952" s="167"/>
      <c r="B952" s="167" t="s">
        <v>1012</v>
      </c>
      <c r="C952" s="397" t="s">
        <v>9</v>
      </c>
      <c r="D952" s="647">
        <v>1</v>
      </c>
      <c r="E952" s="251">
        <v>1</v>
      </c>
      <c r="F952" s="595">
        <v>2.875</v>
      </c>
      <c r="G952" s="235"/>
      <c r="H952" s="235">
        <v>0.2</v>
      </c>
      <c r="I952" s="477">
        <f t="shared" si="159"/>
        <v>0.57500000000000007</v>
      </c>
      <c r="J952" s="167"/>
      <c r="K952" s="758"/>
    </row>
    <row r="953" spans="1:11">
      <c r="A953" s="167"/>
      <c r="B953" s="167" t="s">
        <v>1063</v>
      </c>
      <c r="C953" s="397" t="s">
        <v>9</v>
      </c>
      <c r="D953" s="647">
        <v>1</v>
      </c>
      <c r="E953" s="251">
        <v>1</v>
      </c>
      <c r="F953" s="595">
        <v>1.55</v>
      </c>
      <c r="G953" s="235"/>
      <c r="H953" s="235">
        <f>0.5-0.2</f>
        <v>0.3</v>
      </c>
      <c r="I953" s="477">
        <f t="shared" si="159"/>
        <v>0.46499999999999997</v>
      </c>
      <c r="J953" s="167"/>
      <c r="K953" s="758"/>
    </row>
    <row r="954" spans="1:11">
      <c r="A954" s="167"/>
      <c r="B954" s="167" t="s">
        <v>1063</v>
      </c>
      <c r="C954" s="397" t="s">
        <v>9</v>
      </c>
      <c r="D954" s="647">
        <v>1</v>
      </c>
      <c r="E954" s="251">
        <v>1</v>
      </c>
      <c r="F954" s="595">
        <v>1.325</v>
      </c>
      <c r="G954" s="235"/>
      <c r="H954" s="235">
        <f>0.5-0.125</f>
        <v>0.375</v>
      </c>
      <c r="I954" s="477">
        <f t="shared" si="159"/>
        <v>0.49687499999999996</v>
      </c>
      <c r="J954" s="167"/>
      <c r="K954" s="758"/>
    </row>
    <row r="955" spans="1:11">
      <c r="A955" s="167"/>
      <c r="B955" s="167" t="s">
        <v>1063</v>
      </c>
      <c r="C955" s="397" t="s">
        <v>9</v>
      </c>
      <c r="D955" s="647">
        <v>1</v>
      </c>
      <c r="E955" s="251">
        <v>1</v>
      </c>
      <c r="F955" s="595">
        <v>2.875</v>
      </c>
      <c r="G955" s="235"/>
      <c r="H955" s="235">
        <f>0.5-0.125</f>
        <v>0.375</v>
      </c>
      <c r="I955" s="477">
        <f t="shared" si="159"/>
        <v>1.078125</v>
      </c>
      <c r="J955" s="167"/>
      <c r="K955" s="758"/>
    </row>
    <row r="956" spans="1:11">
      <c r="A956" s="167"/>
      <c r="B956" s="167" t="s">
        <v>1064</v>
      </c>
      <c r="C956" s="397" t="s">
        <v>9</v>
      </c>
      <c r="D956" s="647">
        <v>1</v>
      </c>
      <c r="E956" s="251">
        <v>1</v>
      </c>
      <c r="F956" s="595">
        <v>3.95</v>
      </c>
      <c r="G956" s="235"/>
      <c r="H956" s="235">
        <v>0.2</v>
      </c>
      <c r="I956" s="477">
        <f t="shared" si="159"/>
        <v>0.79</v>
      </c>
      <c r="J956" s="167"/>
      <c r="K956" s="758"/>
    </row>
    <row r="957" spans="1:11">
      <c r="A957" s="167"/>
      <c r="B957" s="167" t="s">
        <v>1063</v>
      </c>
      <c r="C957" s="397" t="s">
        <v>9</v>
      </c>
      <c r="D957" s="647">
        <v>1</v>
      </c>
      <c r="E957" s="251">
        <v>1</v>
      </c>
      <c r="F957" s="595">
        <v>3.95</v>
      </c>
      <c r="G957" s="235"/>
      <c r="H957" s="235">
        <f>0.45-0.125</f>
        <v>0.32500000000000001</v>
      </c>
      <c r="I957" s="477">
        <f t="shared" si="159"/>
        <v>1.2837500000000002</v>
      </c>
      <c r="J957" s="167"/>
      <c r="K957" s="758"/>
    </row>
    <row r="958" spans="1:11">
      <c r="A958" s="167"/>
      <c r="B958" s="167" t="s">
        <v>1063</v>
      </c>
      <c r="C958" s="397" t="s">
        <v>9</v>
      </c>
      <c r="D958" s="647">
        <v>1</v>
      </c>
      <c r="E958" s="251">
        <v>1</v>
      </c>
      <c r="F958" s="595">
        <v>3.95</v>
      </c>
      <c r="G958" s="235"/>
      <c r="H958" s="235">
        <f>0.45-0.125</f>
        <v>0.32500000000000001</v>
      </c>
      <c r="I958" s="477">
        <f t="shared" si="159"/>
        <v>1.2837500000000002</v>
      </c>
      <c r="J958" s="167"/>
      <c r="K958" s="758"/>
    </row>
    <row r="959" spans="1:11">
      <c r="A959" s="167"/>
      <c r="B959" s="167" t="s">
        <v>1013</v>
      </c>
      <c r="C959" s="397" t="s">
        <v>9</v>
      </c>
      <c r="D959" s="647">
        <v>1</v>
      </c>
      <c r="E959" s="251">
        <v>1</v>
      </c>
      <c r="F959" s="595">
        <v>4.6900000000000004</v>
      </c>
      <c r="G959" s="235"/>
      <c r="H959" s="235">
        <v>0.2</v>
      </c>
      <c r="I959" s="477">
        <f t="shared" si="159"/>
        <v>0.93800000000000017</v>
      </c>
      <c r="J959" s="167"/>
      <c r="K959" s="758"/>
    </row>
    <row r="960" spans="1:11">
      <c r="A960" s="167"/>
      <c r="B960" s="167" t="s">
        <v>1063</v>
      </c>
      <c r="C960" s="397" t="s">
        <v>9</v>
      </c>
      <c r="D960" s="647">
        <v>1</v>
      </c>
      <c r="E960" s="251">
        <v>1</v>
      </c>
      <c r="F960" s="595">
        <v>4.6900000000000004</v>
      </c>
      <c r="G960" s="235"/>
      <c r="H960" s="235">
        <f>0.5-0.135</f>
        <v>0.36499999999999999</v>
      </c>
      <c r="I960" s="477">
        <f t="shared" si="159"/>
        <v>1.7118500000000001</v>
      </c>
      <c r="J960" s="167"/>
      <c r="K960" s="758"/>
    </row>
    <row r="961" spans="1:11">
      <c r="A961" s="167"/>
      <c r="B961" s="167" t="s">
        <v>1063</v>
      </c>
      <c r="C961" s="397" t="s">
        <v>9</v>
      </c>
      <c r="D961" s="647">
        <v>1</v>
      </c>
      <c r="E961" s="251">
        <v>1</v>
      </c>
      <c r="F961" s="595">
        <v>4.6900000000000004</v>
      </c>
      <c r="G961" s="235"/>
      <c r="H961" s="235">
        <f>0.5-0.2</f>
        <v>0.3</v>
      </c>
      <c r="I961" s="477">
        <f t="shared" si="159"/>
        <v>1.407</v>
      </c>
      <c r="J961" s="167"/>
      <c r="K961" s="758"/>
    </row>
    <row r="962" spans="1:11">
      <c r="A962" s="167"/>
      <c r="B962" s="167" t="s">
        <v>1013</v>
      </c>
      <c r="C962" s="397" t="s">
        <v>9</v>
      </c>
      <c r="D962" s="647">
        <v>1</v>
      </c>
      <c r="E962" s="251">
        <v>1</v>
      </c>
      <c r="F962" s="595">
        <f>6.3/2</f>
        <v>3.15</v>
      </c>
      <c r="G962" s="235"/>
      <c r="H962" s="235">
        <v>0.2</v>
      </c>
      <c r="I962" s="477">
        <f t="shared" si="159"/>
        <v>0.63</v>
      </c>
      <c r="J962" s="167"/>
      <c r="K962" s="758"/>
    </row>
    <row r="963" spans="1:11">
      <c r="A963" s="167"/>
      <c r="B963" s="167" t="s">
        <v>1063</v>
      </c>
      <c r="C963" s="397" t="s">
        <v>9</v>
      </c>
      <c r="D963" s="647">
        <v>1</v>
      </c>
      <c r="E963" s="251">
        <v>1</v>
      </c>
      <c r="F963" s="595">
        <f t="shared" ref="F963:F964" si="160">6.3/2</f>
        <v>3.15</v>
      </c>
      <c r="G963" s="235"/>
      <c r="H963" s="235">
        <v>0.5</v>
      </c>
      <c r="I963" s="477">
        <f t="shared" si="159"/>
        <v>1.575</v>
      </c>
      <c r="J963" s="167"/>
      <c r="K963" s="758"/>
    </row>
    <row r="964" spans="1:11">
      <c r="A964" s="167"/>
      <c r="B964" s="167" t="s">
        <v>1063</v>
      </c>
      <c r="C964" s="397" t="s">
        <v>9</v>
      </c>
      <c r="D964" s="647">
        <v>1</v>
      </c>
      <c r="E964" s="251">
        <v>1</v>
      </c>
      <c r="F964" s="595">
        <f t="shared" si="160"/>
        <v>3.15</v>
      </c>
      <c r="G964" s="235"/>
      <c r="H964" s="235">
        <v>0.5</v>
      </c>
      <c r="I964" s="477">
        <f t="shared" si="159"/>
        <v>1.575</v>
      </c>
      <c r="J964" s="167"/>
      <c r="K964" s="758"/>
    </row>
    <row r="965" spans="1:11">
      <c r="A965" s="167"/>
      <c r="B965" s="167" t="s">
        <v>1065</v>
      </c>
      <c r="C965" s="397" t="s">
        <v>9</v>
      </c>
      <c r="D965" s="647">
        <v>1</v>
      </c>
      <c r="E965" s="251">
        <v>2</v>
      </c>
      <c r="F965" s="595">
        <v>1.9</v>
      </c>
      <c r="G965" s="235"/>
      <c r="H965" s="235">
        <v>0.23</v>
      </c>
      <c r="I965" s="477">
        <f t="shared" si="159"/>
        <v>0.874</v>
      </c>
      <c r="J965" s="167"/>
      <c r="K965" s="758"/>
    </row>
    <row r="966" spans="1:11">
      <c r="A966" s="167"/>
      <c r="B966" s="167" t="s">
        <v>1063</v>
      </c>
      <c r="C966" s="397" t="s">
        <v>9</v>
      </c>
      <c r="D966" s="647">
        <v>1</v>
      </c>
      <c r="E966" s="251">
        <v>2</v>
      </c>
      <c r="F966" s="595">
        <v>1.9</v>
      </c>
      <c r="G966" s="235"/>
      <c r="H966" s="235">
        <f>0.45-0.125</f>
        <v>0.32500000000000001</v>
      </c>
      <c r="I966" s="477">
        <f t="shared" si="159"/>
        <v>1.2349999999999999</v>
      </c>
      <c r="J966" s="167"/>
      <c r="K966" s="758"/>
    </row>
    <row r="967" spans="1:11">
      <c r="A967" s="167"/>
      <c r="B967" s="167" t="s">
        <v>1063</v>
      </c>
      <c r="C967" s="397" t="s">
        <v>9</v>
      </c>
      <c r="D967" s="647">
        <v>1</v>
      </c>
      <c r="E967" s="251">
        <v>2</v>
      </c>
      <c r="F967" s="595">
        <v>1.9</v>
      </c>
      <c r="G967" s="235"/>
      <c r="H967" s="235">
        <v>0.45</v>
      </c>
      <c r="I967" s="477">
        <f t="shared" si="159"/>
        <v>1.71</v>
      </c>
      <c r="J967" s="167"/>
      <c r="K967" s="758"/>
    </row>
    <row r="968" spans="1:11">
      <c r="A968" s="167"/>
      <c r="B968" s="167" t="s">
        <v>1014</v>
      </c>
      <c r="C968" s="397" t="s">
        <v>9</v>
      </c>
      <c r="D968" s="647">
        <v>1</v>
      </c>
      <c r="E968" s="251">
        <v>1</v>
      </c>
      <c r="F968" s="595">
        <v>5.2350000000000003</v>
      </c>
      <c r="G968" s="235"/>
      <c r="H968" s="235">
        <v>0.2</v>
      </c>
      <c r="I968" s="477">
        <f t="shared" si="159"/>
        <v>1.0470000000000002</v>
      </c>
      <c r="J968" s="167"/>
      <c r="K968" s="758"/>
    </row>
    <row r="969" spans="1:11">
      <c r="A969" s="167"/>
      <c r="B969" s="167" t="s">
        <v>1063</v>
      </c>
      <c r="C969" s="397" t="s">
        <v>9</v>
      </c>
      <c r="D969" s="647">
        <v>1</v>
      </c>
      <c r="E969" s="251">
        <v>2</v>
      </c>
      <c r="F969" s="595">
        <v>3.2349999999999999</v>
      </c>
      <c r="G969" s="235"/>
      <c r="H969" s="235">
        <f>0.35-0.135</f>
        <v>0.21499999999999997</v>
      </c>
      <c r="I969" s="477">
        <f t="shared" si="159"/>
        <v>1.3910499999999997</v>
      </c>
      <c r="J969" s="167"/>
      <c r="K969" s="758"/>
    </row>
    <row r="970" spans="1:11">
      <c r="A970" s="167"/>
      <c r="B970" s="167" t="s">
        <v>1063</v>
      </c>
      <c r="C970" s="397" t="s">
        <v>9</v>
      </c>
      <c r="D970" s="647">
        <v>1</v>
      </c>
      <c r="E970" s="251">
        <v>2</v>
      </c>
      <c r="F970" s="595">
        <v>2</v>
      </c>
      <c r="G970" s="235"/>
      <c r="H970" s="235">
        <f>0.35-0.182</f>
        <v>0.16799999999999998</v>
      </c>
      <c r="I970" s="477">
        <f t="shared" si="159"/>
        <v>0.67199999999999993</v>
      </c>
      <c r="J970" s="167"/>
      <c r="K970" s="758"/>
    </row>
    <row r="971" spans="1:11">
      <c r="A971" s="167"/>
      <c r="B971" s="167" t="s">
        <v>1015</v>
      </c>
      <c r="C971" s="397" t="s">
        <v>9</v>
      </c>
      <c r="D971" s="647">
        <v>1</v>
      </c>
      <c r="E971" s="251">
        <v>1</v>
      </c>
      <c r="F971" s="595">
        <v>5.0999999999999996</v>
      </c>
      <c r="G971" s="235"/>
      <c r="H971" s="235">
        <v>0.23</v>
      </c>
      <c r="I971" s="477">
        <f t="shared" si="159"/>
        <v>1.173</v>
      </c>
      <c r="J971" s="167"/>
      <c r="K971" s="758"/>
    </row>
    <row r="972" spans="1:11">
      <c r="A972" s="167"/>
      <c r="B972" s="167" t="s">
        <v>1063</v>
      </c>
      <c r="C972" s="397" t="s">
        <v>9</v>
      </c>
      <c r="D972" s="647">
        <v>1</v>
      </c>
      <c r="E972" s="251">
        <v>1</v>
      </c>
      <c r="F972" s="595">
        <v>5.0999999999999996</v>
      </c>
      <c r="G972" s="235"/>
      <c r="H972" s="235">
        <f>0.45-0.15</f>
        <v>0.30000000000000004</v>
      </c>
      <c r="I972" s="477">
        <f t="shared" si="159"/>
        <v>1.53</v>
      </c>
      <c r="J972" s="167"/>
      <c r="K972" s="758"/>
    </row>
    <row r="973" spans="1:11">
      <c r="A973" s="167"/>
      <c r="B973" s="167" t="s">
        <v>1063</v>
      </c>
      <c r="C973" s="397" t="s">
        <v>9</v>
      </c>
      <c r="D973" s="647">
        <v>1</v>
      </c>
      <c r="E973" s="251">
        <v>1</v>
      </c>
      <c r="F973" s="595">
        <v>3.4750000000000001</v>
      </c>
      <c r="G973" s="235"/>
      <c r="H973" s="235">
        <f>0.45-0.135</f>
        <v>0.315</v>
      </c>
      <c r="I973" s="477">
        <f t="shared" si="159"/>
        <v>1.094625</v>
      </c>
      <c r="J973" s="167"/>
      <c r="K973" s="758"/>
    </row>
    <row r="974" spans="1:11">
      <c r="A974" s="167"/>
      <c r="B974" s="167" t="s">
        <v>1063</v>
      </c>
      <c r="C974" s="397" t="s">
        <v>9</v>
      </c>
      <c r="D974" s="647">
        <v>1</v>
      </c>
      <c r="E974" s="251">
        <v>1</v>
      </c>
      <c r="F974" s="595">
        <f>5.1-3.475</f>
        <v>1.6249999999999996</v>
      </c>
      <c r="G974" s="235"/>
      <c r="H974" s="235">
        <f>0.45-0.125</f>
        <v>0.32500000000000001</v>
      </c>
      <c r="I974" s="477">
        <f t="shared" si="159"/>
        <v>0.52812499999999984</v>
      </c>
      <c r="J974" s="167"/>
      <c r="K974" s="758"/>
    </row>
    <row r="975" spans="1:11">
      <c r="A975" s="167"/>
      <c r="B975" s="167" t="s">
        <v>1015</v>
      </c>
      <c r="C975" s="397" t="s">
        <v>9</v>
      </c>
      <c r="D975" s="647">
        <v>1</v>
      </c>
      <c r="E975" s="251">
        <v>1</v>
      </c>
      <c r="F975" s="595">
        <v>5.0999999999999996</v>
      </c>
      <c r="G975" s="235"/>
      <c r="H975" s="235">
        <v>0.23</v>
      </c>
      <c r="I975" s="477">
        <f t="shared" si="159"/>
        <v>1.173</v>
      </c>
      <c r="J975" s="167"/>
      <c r="K975" s="758"/>
    </row>
    <row r="976" spans="1:11">
      <c r="A976" s="167"/>
      <c r="B976" s="167" t="s">
        <v>1063</v>
      </c>
      <c r="C976" s="397" t="s">
        <v>9</v>
      </c>
      <c r="D976" s="647">
        <v>1</v>
      </c>
      <c r="E976" s="251">
        <v>1</v>
      </c>
      <c r="F976" s="595">
        <v>5.0999999999999996</v>
      </c>
      <c r="G976" s="235"/>
      <c r="H976" s="235">
        <f>0.45-0.15</f>
        <v>0.30000000000000004</v>
      </c>
      <c r="I976" s="477">
        <f t="shared" si="159"/>
        <v>1.53</v>
      </c>
      <c r="J976" s="167"/>
      <c r="K976" s="758"/>
    </row>
    <row r="977" spans="1:11">
      <c r="A977" s="167"/>
      <c r="B977" s="167" t="s">
        <v>1063</v>
      </c>
      <c r="C977" s="397" t="s">
        <v>9</v>
      </c>
      <c r="D977" s="647">
        <v>1</v>
      </c>
      <c r="E977" s="251">
        <v>1</v>
      </c>
      <c r="F977" s="595">
        <v>3.4750000000000001</v>
      </c>
      <c r="G977" s="235"/>
      <c r="H977" s="235">
        <f>0.45-0.135</f>
        <v>0.315</v>
      </c>
      <c r="I977" s="477">
        <f t="shared" si="159"/>
        <v>1.094625</v>
      </c>
      <c r="J977" s="167"/>
      <c r="K977" s="758"/>
    </row>
    <row r="978" spans="1:11">
      <c r="A978" s="167"/>
      <c r="B978" s="167" t="s">
        <v>1063</v>
      </c>
      <c r="C978" s="397" t="s">
        <v>9</v>
      </c>
      <c r="D978" s="647">
        <v>1</v>
      </c>
      <c r="E978" s="251">
        <v>1</v>
      </c>
      <c r="F978" s="595">
        <f>5.1-3.475</f>
        <v>1.6249999999999996</v>
      </c>
      <c r="G978" s="235"/>
      <c r="H978" s="235">
        <f>0.45-0.125</f>
        <v>0.32500000000000001</v>
      </c>
      <c r="I978" s="477">
        <f t="shared" si="159"/>
        <v>0.52812499999999984</v>
      </c>
      <c r="J978" s="167"/>
      <c r="K978" s="758"/>
    </row>
    <row r="979" spans="1:11">
      <c r="A979" s="167"/>
      <c r="B979" s="167" t="s">
        <v>1016</v>
      </c>
      <c r="C979" s="397" t="s">
        <v>9</v>
      </c>
      <c r="D979" s="647">
        <v>1</v>
      </c>
      <c r="E979" s="251">
        <v>2</v>
      </c>
      <c r="F979" s="595">
        <v>3.19</v>
      </c>
      <c r="G979" s="235"/>
      <c r="H979" s="235">
        <v>0.2</v>
      </c>
      <c r="I979" s="477">
        <f t="shared" si="159"/>
        <v>1.276</v>
      </c>
      <c r="J979" s="167"/>
      <c r="K979" s="758"/>
    </row>
    <row r="980" spans="1:11">
      <c r="A980" s="167"/>
      <c r="B980" s="167" t="s">
        <v>1063</v>
      </c>
      <c r="C980" s="397" t="s">
        <v>9</v>
      </c>
      <c r="D980" s="647">
        <v>1</v>
      </c>
      <c r="E980" s="251">
        <v>2</v>
      </c>
      <c r="F980" s="595">
        <v>3.19</v>
      </c>
      <c r="G980" s="235"/>
      <c r="H980" s="235">
        <f>0.5-0.2</f>
        <v>0.3</v>
      </c>
      <c r="I980" s="477">
        <f t="shared" si="159"/>
        <v>1.9139999999999999</v>
      </c>
      <c r="J980" s="167"/>
      <c r="K980" s="758"/>
    </row>
    <row r="981" spans="1:11">
      <c r="A981" s="167"/>
      <c r="B981" s="167" t="s">
        <v>1063</v>
      </c>
      <c r="C981" s="397" t="s">
        <v>9</v>
      </c>
      <c r="D981" s="647">
        <v>1</v>
      </c>
      <c r="E981" s="251">
        <v>2</v>
      </c>
      <c r="F981" s="595">
        <v>3.19</v>
      </c>
      <c r="G981" s="235"/>
      <c r="H981" s="235">
        <f>0.5-0.15</f>
        <v>0.35</v>
      </c>
      <c r="I981" s="477">
        <f t="shared" si="159"/>
        <v>2.2329999999999997</v>
      </c>
      <c r="J981" s="167"/>
      <c r="K981" s="758"/>
    </row>
    <row r="982" spans="1:11">
      <c r="A982" s="167"/>
      <c r="B982" s="167" t="s">
        <v>1017</v>
      </c>
      <c r="C982" s="397" t="s">
        <v>9</v>
      </c>
      <c r="D982" s="647">
        <v>1</v>
      </c>
      <c r="E982" s="251">
        <v>3</v>
      </c>
      <c r="F982" s="595">
        <v>1.81</v>
      </c>
      <c r="G982" s="235"/>
      <c r="H982" s="235">
        <v>0.2</v>
      </c>
      <c r="I982" s="477">
        <f t="shared" si="159"/>
        <v>1.0860000000000001</v>
      </c>
      <c r="J982" s="167"/>
      <c r="K982" s="758"/>
    </row>
    <row r="983" spans="1:11">
      <c r="A983" s="167"/>
      <c r="B983" s="167" t="s">
        <v>1063</v>
      </c>
      <c r="C983" s="397" t="s">
        <v>9</v>
      </c>
      <c r="D983" s="647">
        <v>1</v>
      </c>
      <c r="E983" s="251">
        <v>3</v>
      </c>
      <c r="F983" s="595">
        <v>1.81</v>
      </c>
      <c r="G983" s="235"/>
      <c r="H983" s="235">
        <f>0.5-0.125</f>
        <v>0.375</v>
      </c>
      <c r="I983" s="477">
        <f t="shared" si="159"/>
        <v>2.0362499999999999</v>
      </c>
      <c r="J983" s="167"/>
      <c r="K983" s="758"/>
    </row>
    <row r="984" spans="1:11">
      <c r="A984" s="167"/>
      <c r="B984" s="167" t="s">
        <v>1063</v>
      </c>
      <c r="C984" s="397" t="s">
        <v>9</v>
      </c>
      <c r="D984" s="647">
        <v>1</v>
      </c>
      <c r="E984" s="251">
        <v>3</v>
      </c>
      <c r="F984" s="595">
        <v>1.81</v>
      </c>
      <c r="G984" s="235"/>
      <c r="H984" s="235">
        <v>0.5</v>
      </c>
      <c r="I984" s="477">
        <f t="shared" si="159"/>
        <v>2.7149999999999999</v>
      </c>
      <c r="J984" s="167"/>
      <c r="K984" s="758"/>
    </row>
    <row r="985" spans="1:11">
      <c r="A985" s="167"/>
      <c r="B985" s="167" t="s">
        <v>1017</v>
      </c>
      <c r="C985" s="397" t="s">
        <v>9</v>
      </c>
      <c r="D985" s="647">
        <v>1</v>
      </c>
      <c r="E985" s="251">
        <v>3</v>
      </c>
      <c r="F985" s="595">
        <v>3.55</v>
      </c>
      <c r="G985" s="235"/>
      <c r="H985" s="235">
        <v>0.2</v>
      </c>
      <c r="I985" s="477">
        <f t="shared" si="159"/>
        <v>2.13</v>
      </c>
      <c r="J985" s="167"/>
      <c r="K985" s="758"/>
    </row>
    <row r="986" spans="1:11">
      <c r="A986" s="167"/>
      <c r="B986" s="167" t="s">
        <v>1063</v>
      </c>
      <c r="C986" s="397" t="s">
        <v>9</v>
      </c>
      <c r="D986" s="647">
        <v>1</v>
      </c>
      <c r="E986" s="251">
        <v>3</v>
      </c>
      <c r="F986" s="595">
        <v>3.55</v>
      </c>
      <c r="G986" s="235"/>
      <c r="H986" s="235">
        <f>0.5-0.125</f>
        <v>0.375</v>
      </c>
      <c r="I986" s="477">
        <f t="shared" si="159"/>
        <v>3.9937499999999995</v>
      </c>
      <c r="J986" s="167"/>
      <c r="K986" s="758"/>
    </row>
    <row r="987" spans="1:11">
      <c r="A987" s="167"/>
      <c r="B987" s="167" t="s">
        <v>1063</v>
      </c>
      <c r="C987" s="397" t="s">
        <v>9</v>
      </c>
      <c r="D987" s="647">
        <v>1</v>
      </c>
      <c r="E987" s="251">
        <v>3</v>
      </c>
      <c r="F987" s="595">
        <v>3.55</v>
      </c>
      <c r="G987" s="235"/>
      <c r="H987" s="235">
        <v>0.5</v>
      </c>
      <c r="I987" s="477">
        <f t="shared" si="159"/>
        <v>5.3249999999999993</v>
      </c>
      <c r="J987" s="167"/>
      <c r="K987" s="758"/>
    </row>
    <row r="988" spans="1:11">
      <c r="A988" s="167"/>
      <c r="B988" s="167" t="s">
        <v>1018</v>
      </c>
      <c r="C988" s="397" t="s">
        <v>9</v>
      </c>
      <c r="D988" s="647">
        <v>1</v>
      </c>
      <c r="E988" s="251">
        <v>3</v>
      </c>
      <c r="F988" s="595">
        <v>0.51500000000000001</v>
      </c>
      <c r="G988" s="235"/>
      <c r="H988" s="235">
        <v>0.23</v>
      </c>
      <c r="I988" s="477">
        <f t="shared" si="159"/>
        <v>0.35535</v>
      </c>
      <c r="J988" s="167"/>
      <c r="K988" s="758"/>
    </row>
    <row r="989" spans="1:11">
      <c r="A989" s="167"/>
      <c r="B989" s="167" t="s">
        <v>1063</v>
      </c>
      <c r="C989" s="397" t="s">
        <v>9</v>
      </c>
      <c r="D989" s="647">
        <v>1</v>
      </c>
      <c r="E989" s="251">
        <v>3</v>
      </c>
      <c r="F989" s="595">
        <v>0.51500000000000001</v>
      </c>
      <c r="G989" s="235"/>
      <c r="H989" s="235">
        <v>0.5</v>
      </c>
      <c r="I989" s="477">
        <f t="shared" si="159"/>
        <v>0.77249999999999996</v>
      </c>
      <c r="J989" s="167"/>
      <c r="K989" s="758"/>
    </row>
    <row r="990" spans="1:11">
      <c r="A990" s="167"/>
      <c r="B990" s="167" t="s">
        <v>1063</v>
      </c>
      <c r="C990" s="397" t="s">
        <v>9</v>
      </c>
      <c r="D990" s="647">
        <v>1</v>
      </c>
      <c r="E990" s="251">
        <v>3</v>
      </c>
      <c r="F990" s="595">
        <v>0.51500000000000001</v>
      </c>
      <c r="G990" s="235"/>
      <c r="H990" s="235">
        <v>0.5</v>
      </c>
      <c r="I990" s="477">
        <f t="shared" si="159"/>
        <v>0.77249999999999996</v>
      </c>
      <c r="J990" s="167"/>
      <c r="K990" s="758"/>
    </row>
    <row r="991" spans="1:11">
      <c r="A991" s="167"/>
      <c r="B991" s="167" t="s">
        <v>984</v>
      </c>
      <c r="C991" s="397" t="s">
        <v>9</v>
      </c>
      <c r="D991" s="647">
        <v>1</v>
      </c>
      <c r="E991" s="251">
        <v>3</v>
      </c>
      <c r="F991" s="595">
        <v>3.86</v>
      </c>
      <c r="G991" s="235"/>
      <c r="H991" s="235">
        <v>0.2</v>
      </c>
      <c r="I991" s="477">
        <f t="shared" si="159"/>
        <v>2.3160000000000003</v>
      </c>
      <c r="J991" s="167"/>
      <c r="K991" s="758"/>
    </row>
    <row r="992" spans="1:11">
      <c r="A992" s="167"/>
      <c r="B992" s="167" t="s">
        <v>1063</v>
      </c>
      <c r="C992" s="397" t="s">
        <v>9</v>
      </c>
      <c r="D992" s="647">
        <v>1</v>
      </c>
      <c r="E992" s="251">
        <v>3</v>
      </c>
      <c r="F992" s="595">
        <v>3.86</v>
      </c>
      <c r="G992" s="235"/>
      <c r="H992" s="235">
        <f>0.45-0.135</f>
        <v>0.315</v>
      </c>
      <c r="I992" s="477">
        <f t="shared" si="159"/>
        <v>3.6476999999999999</v>
      </c>
      <c r="J992" s="167"/>
      <c r="K992" s="758"/>
    </row>
    <row r="993" spans="1:11">
      <c r="A993" s="167"/>
      <c r="B993" s="167" t="s">
        <v>1063</v>
      </c>
      <c r="C993" s="397" t="s">
        <v>9</v>
      </c>
      <c r="D993" s="647">
        <v>1</v>
      </c>
      <c r="E993" s="251">
        <v>3</v>
      </c>
      <c r="F993" s="595">
        <v>3.86</v>
      </c>
      <c r="G993" s="235"/>
      <c r="H993" s="235">
        <f>0.45-0.125</f>
        <v>0.32500000000000001</v>
      </c>
      <c r="I993" s="477">
        <f t="shared" si="159"/>
        <v>3.7635000000000001</v>
      </c>
      <c r="J993" s="167"/>
      <c r="K993" s="758"/>
    </row>
    <row r="994" spans="1:11">
      <c r="A994" s="167"/>
      <c r="B994" s="167" t="s">
        <v>985</v>
      </c>
      <c r="C994" s="397" t="s">
        <v>9</v>
      </c>
      <c r="D994" s="647">
        <v>3</v>
      </c>
      <c r="E994" s="251">
        <v>1</v>
      </c>
      <c r="F994" s="595">
        <v>3.45</v>
      </c>
      <c r="G994" s="235"/>
      <c r="H994" s="235">
        <v>0.2</v>
      </c>
      <c r="I994" s="477">
        <f t="shared" si="159"/>
        <v>2.0700000000000003</v>
      </c>
      <c r="J994" s="167"/>
      <c r="K994" s="758"/>
    </row>
    <row r="995" spans="1:11">
      <c r="A995" s="167"/>
      <c r="B995" s="167" t="s">
        <v>1063</v>
      </c>
      <c r="C995" s="397" t="s">
        <v>9</v>
      </c>
      <c r="D995" s="647">
        <v>3</v>
      </c>
      <c r="E995" s="251">
        <v>2</v>
      </c>
      <c r="F995" s="595">
        <v>3.45</v>
      </c>
      <c r="G995" s="235"/>
      <c r="H995" s="235">
        <f>0.45-0.125</f>
        <v>0.32500000000000001</v>
      </c>
      <c r="I995" s="477">
        <f t="shared" si="159"/>
        <v>6.7275000000000009</v>
      </c>
      <c r="J995" s="167"/>
      <c r="K995" s="758"/>
    </row>
    <row r="996" spans="1:11">
      <c r="A996" s="167"/>
      <c r="B996" s="167" t="s">
        <v>1019</v>
      </c>
      <c r="C996" s="397" t="s">
        <v>9</v>
      </c>
      <c r="D996" s="647">
        <v>1</v>
      </c>
      <c r="E996" s="251">
        <v>3</v>
      </c>
      <c r="F996" s="595">
        <v>2.91</v>
      </c>
      <c r="G996" s="235"/>
      <c r="H996" s="235">
        <v>0.2</v>
      </c>
      <c r="I996" s="477">
        <f t="shared" si="159"/>
        <v>1.7460000000000002</v>
      </c>
      <c r="J996" s="167"/>
      <c r="K996" s="758"/>
    </row>
    <row r="997" spans="1:11">
      <c r="A997" s="167"/>
      <c r="B997" s="167" t="s">
        <v>1063</v>
      </c>
      <c r="C997" s="397" t="s">
        <v>9</v>
      </c>
      <c r="D997" s="647">
        <v>1</v>
      </c>
      <c r="E997" s="251">
        <v>3</v>
      </c>
      <c r="F997" s="595">
        <v>2.91</v>
      </c>
      <c r="G997" s="235"/>
      <c r="H997" s="235">
        <f>0.45-0.135</f>
        <v>0.315</v>
      </c>
      <c r="I997" s="477">
        <f t="shared" si="159"/>
        <v>2.7499500000000001</v>
      </c>
      <c r="J997" s="167"/>
      <c r="K997" s="758"/>
    </row>
    <row r="998" spans="1:11">
      <c r="A998" s="167"/>
      <c r="B998" s="167" t="s">
        <v>1063</v>
      </c>
      <c r="C998" s="397" t="s">
        <v>9</v>
      </c>
      <c r="D998" s="647">
        <v>1</v>
      </c>
      <c r="E998" s="251">
        <v>3</v>
      </c>
      <c r="F998" s="595">
        <v>2.91</v>
      </c>
      <c r="G998" s="235"/>
      <c r="H998" s="235">
        <f>0.45-0.135</f>
        <v>0.315</v>
      </c>
      <c r="I998" s="477">
        <f t="shared" si="159"/>
        <v>2.7499500000000001</v>
      </c>
      <c r="J998" s="167"/>
      <c r="K998" s="758"/>
    </row>
    <row r="999" spans="1:11">
      <c r="A999" s="167"/>
      <c r="B999" s="167" t="s">
        <v>1020</v>
      </c>
      <c r="C999" s="397" t="s">
        <v>9</v>
      </c>
      <c r="D999" s="647">
        <v>1</v>
      </c>
      <c r="E999" s="251">
        <v>3</v>
      </c>
      <c r="F999" s="595">
        <v>3.55</v>
      </c>
      <c r="G999" s="235"/>
      <c r="H999" s="235">
        <v>0.23</v>
      </c>
      <c r="I999" s="477">
        <f t="shared" si="159"/>
        <v>2.4494999999999996</v>
      </c>
      <c r="J999" s="167"/>
      <c r="K999" s="758"/>
    </row>
    <row r="1000" spans="1:11">
      <c r="A1000" s="167"/>
      <c r="B1000" s="167" t="s">
        <v>1063</v>
      </c>
      <c r="C1000" s="397" t="s">
        <v>9</v>
      </c>
      <c r="D1000" s="647">
        <v>1</v>
      </c>
      <c r="E1000" s="251">
        <v>3</v>
      </c>
      <c r="F1000" s="595">
        <v>3.55</v>
      </c>
      <c r="G1000" s="235"/>
      <c r="H1000" s="235">
        <f>0.35-0.125</f>
        <v>0.22499999999999998</v>
      </c>
      <c r="I1000" s="477">
        <f t="shared" si="159"/>
        <v>2.3962499999999993</v>
      </c>
      <c r="J1000" s="167"/>
      <c r="K1000" s="758"/>
    </row>
    <row r="1001" spans="1:11">
      <c r="A1001" s="167"/>
      <c r="B1001" s="167" t="s">
        <v>1063</v>
      </c>
      <c r="C1001" s="397" t="s">
        <v>9</v>
      </c>
      <c r="D1001" s="647">
        <v>1</v>
      </c>
      <c r="E1001" s="251">
        <v>3</v>
      </c>
      <c r="F1001" s="595">
        <v>3.55</v>
      </c>
      <c r="G1001" s="235"/>
      <c r="H1001" s="235">
        <f>0.35-0.125</f>
        <v>0.22499999999999998</v>
      </c>
      <c r="I1001" s="477">
        <f t="shared" si="159"/>
        <v>2.3962499999999993</v>
      </c>
      <c r="J1001" s="167"/>
      <c r="K1001" s="758"/>
    </row>
    <row r="1002" spans="1:11">
      <c r="A1002" s="167"/>
      <c r="B1002" s="167" t="s">
        <v>986</v>
      </c>
      <c r="C1002" s="397" t="s">
        <v>9</v>
      </c>
      <c r="D1002" s="647">
        <v>1</v>
      </c>
      <c r="E1002" s="251">
        <v>2</v>
      </c>
      <c r="F1002" s="595">
        <v>3</v>
      </c>
      <c r="G1002" s="235"/>
      <c r="H1002" s="235">
        <v>0.2</v>
      </c>
      <c r="I1002" s="477">
        <f t="shared" si="159"/>
        <v>1.2000000000000002</v>
      </c>
      <c r="J1002" s="167"/>
      <c r="K1002" s="758"/>
    </row>
    <row r="1003" spans="1:11">
      <c r="A1003" s="167"/>
      <c r="B1003" s="167" t="s">
        <v>1063</v>
      </c>
      <c r="C1003" s="397" t="s">
        <v>9</v>
      </c>
      <c r="D1003" s="647">
        <v>1</v>
      </c>
      <c r="E1003" s="251">
        <v>2</v>
      </c>
      <c r="F1003" s="595">
        <v>3</v>
      </c>
      <c r="G1003" s="235"/>
      <c r="H1003" s="235">
        <f>0.45-0.15</f>
        <v>0.30000000000000004</v>
      </c>
      <c r="I1003" s="477">
        <f t="shared" si="159"/>
        <v>1.8000000000000003</v>
      </c>
      <c r="J1003" s="167"/>
      <c r="K1003" s="758"/>
    </row>
    <row r="1004" spans="1:11">
      <c r="A1004" s="167"/>
      <c r="B1004" s="167" t="s">
        <v>1063</v>
      </c>
      <c r="C1004" s="397" t="s">
        <v>9</v>
      </c>
      <c r="D1004" s="647">
        <v>1</v>
      </c>
      <c r="E1004" s="251">
        <v>2</v>
      </c>
      <c r="F1004" s="595">
        <v>3</v>
      </c>
      <c r="G1004" s="235"/>
      <c r="H1004" s="235">
        <f>0.45-0.125</f>
        <v>0.32500000000000001</v>
      </c>
      <c r="I1004" s="477">
        <f t="shared" si="159"/>
        <v>1.9500000000000002</v>
      </c>
      <c r="J1004" s="167"/>
      <c r="K1004" s="758"/>
    </row>
    <row r="1005" spans="1:11">
      <c r="A1005" s="167"/>
      <c r="B1005" s="167" t="s">
        <v>1021</v>
      </c>
      <c r="C1005" s="397" t="s">
        <v>9</v>
      </c>
      <c r="D1005" s="647">
        <v>1</v>
      </c>
      <c r="E1005" s="251">
        <v>2</v>
      </c>
      <c r="F1005" s="595">
        <f>1.965+0.1</f>
        <v>2.0649999999999999</v>
      </c>
      <c r="G1005" s="235"/>
      <c r="H1005" s="235">
        <v>0.2</v>
      </c>
      <c r="I1005" s="477">
        <f t="shared" si="159"/>
        <v>0.82600000000000007</v>
      </c>
      <c r="J1005" s="167"/>
      <c r="K1005" s="758"/>
    </row>
    <row r="1006" spans="1:11">
      <c r="A1006" s="167"/>
      <c r="B1006" s="167" t="s">
        <v>1063</v>
      </c>
      <c r="C1006" s="397" t="s">
        <v>9</v>
      </c>
      <c r="D1006" s="647">
        <v>1</v>
      </c>
      <c r="E1006" s="251">
        <v>2</v>
      </c>
      <c r="F1006" s="595">
        <f t="shared" ref="F1006:F1007" si="161">1.965+0.1</f>
        <v>2.0649999999999999</v>
      </c>
      <c r="G1006" s="235"/>
      <c r="H1006" s="235">
        <f>0.35-0.135</f>
        <v>0.21499999999999997</v>
      </c>
      <c r="I1006" s="477">
        <f t="shared" ref="I1006:I1069" si="162">+PRODUCT(D1006:H1006)</f>
        <v>0.8879499999999998</v>
      </c>
      <c r="J1006" s="167"/>
      <c r="K1006" s="758"/>
    </row>
    <row r="1007" spans="1:11">
      <c r="A1007" s="167"/>
      <c r="B1007" s="167" t="s">
        <v>1063</v>
      </c>
      <c r="C1007" s="397" t="s">
        <v>9</v>
      </c>
      <c r="D1007" s="647">
        <v>1</v>
      </c>
      <c r="E1007" s="251">
        <v>2</v>
      </c>
      <c r="F1007" s="595">
        <f t="shared" si="161"/>
        <v>2.0649999999999999</v>
      </c>
      <c r="G1007" s="235"/>
      <c r="H1007" s="235">
        <f>0.35-0.2</f>
        <v>0.14999999999999997</v>
      </c>
      <c r="I1007" s="477">
        <f t="shared" si="162"/>
        <v>0.61949999999999983</v>
      </c>
      <c r="J1007" s="167"/>
      <c r="K1007" s="758"/>
    </row>
    <row r="1008" spans="1:11">
      <c r="A1008" s="167"/>
      <c r="B1008" s="167" t="s">
        <v>1022</v>
      </c>
      <c r="C1008" s="397" t="s">
        <v>9</v>
      </c>
      <c r="D1008" s="647">
        <v>1</v>
      </c>
      <c r="E1008" s="251">
        <v>3</v>
      </c>
      <c r="F1008" s="595">
        <v>3.31</v>
      </c>
      <c r="G1008" s="235"/>
      <c r="H1008" s="235">
        <v>0.2</v>
      </c>
      <c r="I1008" s="477">
        <f t="shared" si="162"/>
        <v>1.986</v>
      </c>
      <c r="J1008" s="167"/>
      <c r="K1008" s="758"/>
    </row>
    <row r="1009" spans="1:11">
      <c r="A1009" s="167"/>
      <c r="B1009" s="167" t="s">
        <v>1063</v>
      </c>
      <c r="C1009" s="397" t="s">
        <v>9</v>
      </c>
      <c r="D1009" s="647">
        <v>1</v>
      </c>
      <c r="E1009" s="251">
        <v>3</v>
      </c>
      <c r="F1009" s="595">
        <v>3.31</v>
      </c>
      <c r="G1009" s="235"/>
      <c r="H1009" s="235">
        <f>0.5-0.15</f>
        <v>0.35</v>
      </c>
      <c r="I1009" s="477">
        <f t="shared" si="162"/>
        <v>3.4754999999999998</v>
      </c>
      <c r="J1009" s="167"/>
      <c r="K1009" s="758"/>
    </row>
    <row r="1010" spans="1:11">
      <c r="A1010" s="167"/>
      <c r="B1010" s="167" t="s">
        <v>1063</v>
      </c>
      <c r="C1010" s="397" t="s">
        <v>9</v>
      </c>
      <c r="D1010" s="647">
        <v>1</v>
      </c>
      <c r="E1010" s="251">
        <v>3</v>
      </c>
      <c r="F1010" s="595">
        <v>3.31</v>
      </c>
      <c r="G1010" s="235"/>
      <c r="H1010" s="235">
        <f>0.5-0.135</f>
        <v>0.36499999999999999</v>
      </c>
      <c r="I1010" s="477">
        <f t="shared" si="162"/>
        <v>3.6244499999999999</v>
      </c>
      <c r="J1010" s="167"/>
      <c r="K1010" s="758"/>
    </row>
    <row r="1011" spans="1:11">
      <c r="A1011" s="167"/>
      <c r="B1011" s="167" t="s">
        <v>987</v>
      </c>
      <c r="C1011" s="397" t="s">
        <v>9</v>
      </c>
      <c r="D1011" s="647">
        <v>1</v>
      </c>
      <c r="E1011" s="251">
        <v>2</v>
      </c>
      <c r="F1011" s="595">
        <v>3</v>
      </c>
      <c r="G1011" s="235"/>
      <c r="H1011" s="235">
        <v>0.2</v>
      </c>
      <c r="I1011" s="477">
        <f t="shared" si="162"/>
        <v>1.2000000000000002</v>
      </c>
      <c r="J1011" s="167"/>
      <c r="K1011" s="758"/>
    </row>
    <row r="1012" spans="1:11">
      <c r="A1012" s="167"/>
      <c r="B1012" s="167" t="s">
        <v>1063</v>
      </c>
      <c r="C1012" s="397" t="s">
        <v>9</v>
      </c>
      <c r="D1012" s="647">
        <v>1</v>
      </c>
      <c r="E1012" s="251">
        <v>2</v>
      </c>
      <c r="F1012" s="595">
        <v>3</v>
      </c>
      <c r="G1012" s="235"/>
      <c r="H1012" s="235">
        <f>0.45-0.125</f>
        <v>0.32500000000000001</v>
      </c>
      <c r="I1012" s="477">
        <f t="shared" si="162"/>
        <v>1.9500000000000002</v>
      </c>
      <c r="J1012" s="167"/>
      <c r="K1012" s="758"/>
    </row>
    <row r="1013" spans="1:11">
      <c r="A1013" s="167"/>
      <c r="B1013" s="167" t="s">
        <v>1063</v>
      </c>
      <c r="C1013" s="397" t="s">
        <v>9</v>
      </c>
      <c r="D1013" s="647">
        <v>1</v>
      </c>
      <c r="E1013" s="251">
        <v>2</v>
      </c>
      <c r="F1013" s="595">
        <v>3</v>
      </c>
      <c r="G1013" s="235"/>
      <c r="H1013" s="235">
        <f>0.45-0.135</f>
        <v>0.315</v>
      </c>
      <c r="I1013" s="477">
        <f t="shared" si="162"/>
        <v>1.8900000000000001</v>
      </c>
      <c r="J1013" s="167"/>
      <c r="K1013" s="758"/>
    </row>
    <row r="1014" spans="1:11">
      <c r="A1014" s="167"/>
      <c r="B1014" s="167" t="s">
        <v>988</v>
      </c>
      <c r="C1014" s="397" t="s">
        <v>9</v>
      </c>
      <c r="D1014" s="647">
        <v>1</v>
      </c>
      <c r="E1014" s="251">
        <v>1</v>
      </c>
      <c r="F1014" s="595">
        <v>5.2450000000000001</v>
      </c>
      <c r="G1014" s="235"/>
      <c r="H1014" s="235">
        <v>0.2</v>
      </c>
      <c r="I1014" s="477">
        <f t="shared" si="162"/>
        <v>1.0490000000000002</v>
      </c>
      <c r="J1014" s="167"/>
      <c r="K1014" s="758"/>
    </row>
    <row r="1015" spans="1:11">
      <c r="A1015" s="167"/>
      <c r="B1015" s="167" t="s">
        <v>1063</v>
      </c>
      <c r="C1015" s="397" t="s">
        <v>9</v>
      </c>
      <c r="D1015" s="647">
        <v>1</v>
      </c>
      <c r="E1015" s="251">
        <v>2</v>
      </c>
      <c r="F1015" s="595">
        <v>5.2450000000000001</v>
      </c>
      <c r="G1015" s="235"/>
      <c r="H1015" s="235">
        <f>0.45-0.15</f>
        <v>0.30000000000000004</v>
      </c>
      <c r="I1015" s="477">
        <f t="shared" si="162"/>
        <v>3.1470000000000007</v>
      </c>
      <c r="J1015" s="167"/>
      <c r="K1015" s="758"/>
    </row>
    <row r="1016" spans="1:11">
      <c r="A1016" s="167"/>
      <c r="B1016" s="167" t="s">
        <v>1023</v>
      </c>
      <c r="C1016" s="397" t="s">
        <v>9</v>
      </c>
      <c r="D1016" s="647">
        <v>1</v>
      </c>
      <c r="E1016" s="251">
        <v>1</v>
      </c>
      <c r="F1016" s="595">
        <v>3</v>
      </c>
      <c r="G1016" s="235"/>
      <c r="H1016" s="235">
        <v>0.2</v>
      </c>
      <c r="I1016" s="477">
        <f t="shared" si="162"/>
        <v>0.60000000000000009</v>
      </c>
      <c r="J1016" s="167"/>
      <c r="K1016" s="758"/>
    </row>
    <row r="1017" spans="1:11">
      <c r="A1017" s="167"/>
      <c r="B1017" s="167" t="s">
        <v>1063</v>
      </c>
      <c r="C1017" s="397" t="s">
        <v>9</v>
      </c>
      <c r="D1017" s="647">
        <v>1</v>
      </c>
      <c r="E1017" s="251">
        <v>1</v>
      </c>
      <c r="F1017" s="595">
        <v>3</v>
      </c>
      <c r="G1017" s="235"/>
      <c r="H1017" s="235">
        <f>0.45-0.15</f>
        <v>0.30000000000000004</v>
      </c>
      <c r="I1017" s="477">
        <f t="shared" si="162"/>
        <v>0.90000000000000013</v>
      </c>
      <c r="J1017" s="167"/>
      <c r="K1017" s="758"/>
    </row>
    <row r="1018" spans="1:11">
      <c r="A1018" s="167"/>
      <c r="B1018" s="167" t="s">
        <v>1063</v>
      </c>
      <c r="C1018" s="397" t="s">
        <v>9</v>
      </c>
      <c r="D1018" s="647">
        <v>1</v>
      </c>
      <c r="E1018" s="251">
        <v>1</v>
      </c>
      <c r="F1018" s="595">
        <v>3</v>
      </c>
      <c r="G1018" s="235"/>
      <c r="H1018" s="235">
        <f>0.45-0.125</f>
        <v>0.32500000000000001</v>
      </c>
      <c r="I1018" s="477">
        <f t="shared" si="162"/>
        <v>0.97500000000000009</v>
      </c>
      <c r="J1018" s="167"/>
      <c r="K1018" s="758"/>
    </row>
    <row r="1019" spans="1:11">
      <c r="A1019" s="167"/>
      <c r="B1019" s="167" t="s">
        <v>1024</v>
      </c>
      <c r="C1019" s="397" t="s">
        <v>9</v>
      </c>
      <c r="D1019" s="647">
        <v>1</v>
      </c>
      <c r="E1019" s="251">
        <v>1</v>
      </c>
      <c r="F1019" s="595">
        <v>1.95</v>
      </c>
      <c r="G1019" s="235"/>
      <c r="H1019" s="235">
        <v>0.2</v>
      </c>
      <c r="I1019" s="477">
        <f t="shared" si="162"/>
        <v>0.39</v>
      </c>
      <c r="J1019" s="167"/>
      <c r="K1019" s="758"/>
    </row>
    <row r="1020" spans="1:11">
      <c r="A1020" s="167"/>
      <c r="B1020" s="167" t="s">
        <v>1063</v>
      </c>
      <c r="C1020" s="397" t="s">
        <v>9</v>
      </c>
      <c r="D1020" s="647">
        <v>1</v>
      </c>
      <c r="E1020" s="251">
        <v>1</v>
      </c>
      <c r="F1020" s="595">
        <v>1.95</v>
      </c>
      <c r="G1020" s="235"/>
      <c r="H1020" s="235">
        <f>0.35-0.2</f>
        <v>0.14999999999999997</v>
      </c>
      <c r="I1020" s="477">
        <f t="shared" si="162"/>
        <v>0.29249999999999993</v>
      </c>
      <c r="J1020" s="167"/>
      <c r="K1020" s="758"/>
    </row>
    <row r="1021" spans="1:11">
      <c r="A1021" s="167"/>
      <c r="B1021" s="167" t="s">
        <v>1063</v>
      </c>
      <c r="C1021" s="397" t="s">
        <v>9</v>
      </c>
      <c r="D1021" s="647">
        <v>1</v>
      </c>
      <c r="E1021" s="251">
        <v>1</v>
      </c>
      <c r="F1021" s="595">
        <v>1.95</v>
      </c>
      <c r="G1021" s="235"/>
      <c r="H1021" s="235">
        <f>0.35-0.135</f>
        <v>0.21499999999999997</v>
      </c>
      <c r="I1021" s="477">
        <f t="shared" si="162"/>
        <v>0.41924999999999996</v>
      </c>
      <c r="J1021" s="167"/>
      <c r="K1021" s="758"/>
    </row>
    <row r="1022" spans="1:11">
      <c r="A1022" s="167"/>
      <c r="B1022" s="167" t="s">
        <v>1025</v>
      </c>
      <c r="C1022" s="397" t="s">
        <v>9</v>
      </c>
      <c r="D1022" s="647">
        <v>1</v>
      </c>
      <c r="E1022" s="251">
        <v>1</v>
      </c>
      <c r="F1022" s="595">
        <v>2.23</v>
      </c>
      <c r="G1022" s="235"/>
      <c r="H1022" s="235">
        <v>0.2</v>
      </c>
      <c r="I1022" s="477">
        <f t="shared" si="162"/>
        <v>0.44600000000000001</v>
      </c>
      <c r="J1022" s="167"/>
      <c r="K1022" s="758"/>
    </row>
    <row r="1023" spans="1:11">
      <c r="A1023" s="167"/>
      <c r="B1023" s="167" t="s">
        <v>1063</v>
      </c>
      <c r="C1023" s="397" t="s">
        <v>9</v>
      </c>
      <c r="D1023" s="647">
        <v>1</v>
      </c>
      <c r="E1023" s="251">
        <v>1</v>
      </c>
      <c r="F1023" s="595">
        <v>2.23</v>
      </c>
      <c r="G1023" s="235"/>
      <c r="H1023" s="235">
        <f>0.45-0.135</f>
        <v>0.315</v>
      </c>
      <c r="I1023" s="477">
        <f t="shared" si="162"/>
        <v>0.70245000000000002</v>
      </c>
      <c r="J1023" s="167"/>
      <c r="K1023" s="758"/>
    </row>
    <row r="1024" spans="1:11">
      <c r="A1024" s="167"/>
      <c r="B1024" s="167" t="s">
        <v>1063</v>
      </c>
      <c r="C1024" s="397" t="s">
        <v>9</v>
      </c>
      <c r="D1024" s="647">
        <v>1</v>
      </c>
      <c r="E1024" s="251">
        <v>1</v>
      </c>
      <c r="F1024" s="595">
        <v>2.23</v>
      </c>
      <c r="G1024" s="235"/>
      <c r="H1024" s="235">
        <f>0.45-0.125</f>
        <v>0.32500000000000001</v>
      </c>
      <c r="I1024" s="477">
        <f t="shared" si="162"/>
        <v>0.72475000000000001</v>
      </c>
      <c r="J1024" s="167"/>
      <c r="K1024" s="758"/>
    </row>
    <row r="1025" spans="1:11">
      <c r="A1025" s="167"/>
      <c r="B1025" s="167" t="s">
        <v>989</v>
      </c>
      <c r="C1025" s="397" t="s">
        <v>9</v>
      </c>
      <c r="D1025" s="647">
        <v>1</v>
      </c>
      <c r="E1025" s="251">
        <v>1</v>
      </c>
      <c r="F1025" s="595">
        <v>5.1449999999999996</v>
      </c>
      <c r="G1025" s="235"/>
      <c r="H1025" s="235">
        <v>0.2</v>
      </c>
      <c r="I1025" s="477">
        <f t="shared" si="162"/>
        <v>1.0289999999999999</v>
      </c>
      <c r="J1025" s="167"/>
      <c r="K1025" s="758"/>
    </row>
    <row r="1026" spans="1:11">
      <c r="A1026" s="167"/>
      <c r="B1026" s="167" t="s">
        <v>1063</v>
      </c>
      <c r="C1026" s="397" t="s">
        <v>9</v>
      </c>
      <c r="D1026" s="647">
        <v>1</v>
      </c>
      <c r="E1026" s="251">
        <v>1</v>
      </c>
      <c r="F1026" s="595">
        <v>5.1449999999999996</v>
      </c>
      <c r="G1026" s="235"/>
      <c r="H1026" s="235">
        <f>0.5-0.15</f>
        <v>0.35</v>
      </c>
      <c r="I1026" s="477">
        <f t="shared" si="162"/>
        <v>1.8007499999999996</v>
      </c>
      <c r="J1026" s="167"/>
      <c r="K1026" s="758"/>
    </row>
    <row r="1027" spans="1:11">
      <c r="A1027" s="167"/>
      <c r="B1027" s="167" t="s">
        <v>1063</v>
      </c>
      <c r="C1027" s="397" t="s">
        <v>9</v>
      </c>
      <c r="D1027" s="647">
        <v>1</v>
      </c>
      <c r="E1027" s="251">
        <v>1</v>
      </c>
      <c r="F1027" s="595">
        <v>2.7749999999999999</v>
      </c>
      <c r="G1027" s="235"/>
      <c r="H1027" s="235">
        <f>0.5-0.125</f>
        <v>0.375</v>
      </c>
      <c r="I1027" s="477">
        <f t="shared" si="162"/>
        <v>1.0406249999999999</v>
      </c>
      <c r="J1027" s="167"/>
      <c r="K1027" s="758"/>
    </row>
    <row r="1028" spans="1:11">
      <c r="A1028" s="167"/>
      <c r="B1028" s="167" t="s">
        <v>1063</v>
      </c>
      <c r="C1028" s="397" t="s">
        <v>9</v>
      </c>
      <c r="D1028" s="647">
        <v>1</v>
      </c>
      <c r="E1028" s="251">
        <v>1</v>
      </c>
      <c r="F1028" s="595">
        <f>5.145-2.775</f>
        <v>2.3699999999999997</v>
      </c>
      <c r="G1028" s="235"/>
      <c r="H1028" s="235">
        <v>0.5</v>
      </c>
      <c r="I1028" s="477">
        <f t="shared" si="162"/>
        <v>1.1849999999999998</v>
      </c>
      <c r="J1028" s="167"/>
      <c r="K1028" s="758"/>
    </row>
    <row r="1029" spans="1:11">
      <c r="A1029" s="167"/>
      <c r="B1029" s="167" t="s">
        <v>1026</v>
      </c>
      <c r="C1029" s="397" t="s">
        <v>9</v>
      </c>
      <c r="D1029" s="647">
        <v>1</v>
      </c>
      <c r="E1029" s="251">
        <v>1</v>
      </c>
      <c r="F1029" s="595">
        <v>3.8</v>
      </c>
      <c r="G1029" s="235"/>
      <c r="H1029" s="235">
        <v>0.2</v>
      </c>
      <c r="I1029" s="477">
        <f t="shared" si="162"/>
        <v>0.76</v>
      </c>
      <c r="J1029" s="167"/>
      <c r="K1029" s="758"/>
    </row>
    <row r="1030" spans="1:11">
      <c r="A1030" s="167"/>
      <c r="B1030" s="167" t="s">
        <v>1063</v>
      </c>
      <c r="C1030" s="397" t="s">
        <v>9</v>
      </c>
      <c r="D1030" s="647">
        <v>1</v>
      </c>
      <c r="E1030" s="251">
        <v>1</v>
      </c>
      <c r="F1030" s="595">
        <v>1.7</v>
      </c>
      <c r="G1030" s="235"/>
      <c r="H1030" s="235">
        <f>0.5-0.125</f>
        <v>0.375</v>
      </c>
      <c r="I1030" s="477">
        <f t="shared" si="162"/>
        <v>0.63749999999999996</v>
      </c>
      <c r="J1030" s="167"/>
      <c r="K1030" s="758"/>
    </row>
    <row r="1031" spans="1:11">
      <c r="A1031" s="167"/>
      <c r="B1031" s="167" t="s">
        <v>1063</v>
      </c>
      <c r="C1031" s="397" t="s">
        <v>9</v>
      </c>
      <c r="D1031" s="647">
        <v>1</v>
      </c>
      <c r="E1031" s="251">
        <v>1</v>
      </c>
      <c r="F1031" s="595">
        <f>3.8-1.7</f>
        <v>2.0999999999999996</v>
      </c>
      <c r="G1031" s="235"/>
      <c r="H1031" s="235">
        <f>0.5-0.135</f>
        <v>0.36499999999999999</v>
      </c>
      <c r="I1031" s="477">
        <f t="shared" si="162"/>
        <v>0.76649999999999985</v>
      </c>
      <c r="J1031" s="167"/>
      <c r="K1031" s="758"/>
    </row>
    <row r="1032" spans="1:11">
      <c r="A1032" s="167"/>
      <c r="B1032" s="167" t="s">
        <v>1063</v>
      </c>
      <c r="C1032" s="397" t="s">
        <v>9</v>
      </c>
      <c r="D1032" s="647">
        <v>1</v>
      </c>
      <c r="E1032" s="251">
        <v>1</v>
      </c>
      <c r="F1032" s="595">
        <v>3.8</v>
      </c>
      <c r="G1032" s="235"/>
      <c r="H1032" s="235">
        <v>0.5</v>
      </c>
      <c r="I1032" s="477">
        <f t="shared" si="162"/>
        <v>1.9</v>
      </c>
      <c r="J1032" s="167"/>
      <c r="K1032" s="758"/>
    </row>
    <row r="1033" spans="1:11">
      <c r="A1033" s="167"/>
      <c r="B1033" s="167" t="s">
        <v>1027</v>
      </c>
      <c r="C1033" s="397" t="s">
        <v>9</v>
      </c>
      <c r="D1033" s="647">
        <v>1</v>
      </c>
      <c r="E1033" s="251">
        <v>1</v>
      </c>
      <c r="F1033" s="595">
        <v>2.95</v>
      </c>
      <c r="G1033" s="235"/>
      <c r="H1033" s="235">
        <v>0.2</v>
      </c>
      <c r="I1033" s="477">
        <f t="shared" si="162"/>
        <v>0.59000000000000008</v>
      </c>
      <c r="J1033" s="167"/>
      <c r="K1033" s="758"/>
    </row>
    <row r="1034" spans="1:11">
      <c r="A1034" s="167"/>
      <c r="B1034" s="167" t="s">
        <v>1063</v>
      </c>
      <c r="C1034" s="397" t="s">
        <v>9</v>
      </c>
      <c r="D1034" s="647">
        <v>1</v>
      </c>
      <c r="E1034" s="251">
        <v>1</v>
      </c>
      <c r="F1034" s="595">
        <v>2.95</v>
      </c>
      <c r="G1034" s="235"/>
      <c r="H1034" s="235">
        <f>0.35-0.125</f>
        <v>0.22499999999999998</v>
      </c>
      <c r="I1034" s="477">
        <f t="shared" si="162"/>
        <v>0.66374999999999995</v>
      </c>
      <c r="J1034" s="167"/>
      <c r="K1034" s="758"/>
    </row>
    <row r="1035" spans="1:11">
      <c r="A1035" s="167"/>
      <c r="B1035" s="167" t="s">
        <v>1063</v>
      </c>
      <c r="C1035" s="397" t="s">
        <v>9</v>
      </c>
      <c r="D1035" s="647">
        <v>1</v>
      </c>
      <c r="E1035" s="251">
        <v>1</v>
      </c>
      <c r="F1035" s="595">
        <v>2.95</v>
      </c>
      <c r="G1035" s="235"/>
      <c r="H1035" s="235">
        <v>0.35</v>
      </c>
      <c r="I1035" s="477">
        <f t="shared" si="162"/>
        <v>1.0325</v>
      </c>
      <c r="J1035" s="167"/>
      <c r="K1035" s="758"/>
    </row>
    <row r="1036" spans="1:11">
      <c r="A1036" s="167"/>
      <c r="B1036" s="167" t="s">
        <v>1028</v>
      </c>
      <c r="C1036" s="397" t="s">
        <v>9</v>
      </c>
      <c r="D1036" s="647">
        <v>1</v>
      </c>
      <c r="E1036" s="251">
        <v>1</v>
      </c>
      <c r="F1036" s="595">
        <v>4.55</v>
      </c>
      <c r="G1036" s="235"/>
      <c r="H1036" s="235">
        <v>0.2</v>
      </c>
      <c r="I1036" s="477">
        <f t="shared" si="162"/>
        <v>0.91</v>
      </c>
      <c r="J1036" s="167"/>
      <c r="K1036" s="758"/>
    </row>
    <row r="1037" spans="1:11">
      <c r="A1037" s="167"/>
      <c r="B1037" s="167" t="s">
        <v>1063</v>
      </c>
      <c r="C1037" s="397" t="s">
        <v>9</v>
      </c>
      <c r="D1037" s="647">
        <v>1</v>
      </c>
      <c r="E1037" s="251">
        <v>2</v>
      </c>
      <c r="F1037" s="595">
        <v>3.15</v>
      </c>
      <c r="G1037" s="235"/>
      <c r="H1037" s="235">
        <f>0.45-0.135</f>
        <v>0.315</v>
      </c>
      <c r="I1037" s="477">
        <f t="shared" si="162"/>
        <v>1.9844999999999999</v>
      </c>
      <c r="J1037" s="167"/>
      <c r="K1037" s="758"/>
    </row>
    <row r="1038" spans="1:11">
      <c r="A1038" s="167"/>
      <c r="B1038" s="167" t="s">
        <v>1063</v>
      </c>
      <c r="C1038" s="397" t="s">
        <v>9</v>
      </c>
      <c r="D1038" s="647">
        <v>1</v>
      </c>
      <c r="E1038" s="251">
        <v>2</v>
      </c>
      <c r="F1038" s="595">
        <f>4.55-3.15</f>
        <v>1.4</v>
      </c>
      <c r="G1038" s="235"/>
      <c r="H1038" s="235">
        <f>0.45-0.125</f>
        <v>0.32500000000000001</v>
      </c>
      <c r="I1038" s="477">
        <f t="shared" si="162"/>
        <v>0.90999999999999992</v>
      </c>
      <c r="J1038" s="167"/>
      <c r="K1038" s="758"/>
    </row>
    <row r="1039" spans="1:11">
      <c r="A1039" s="167"/>
      <c r="B1039" s="167" t="s">
        <v>1029</v>
      </c>
      <c r="C1039" s="397" t="s">
        <v>9</v>
      </c>
      <c r="D1039" s="647">
        <v>1</v>
      </c>
      <c r="E1039" s="251">
        <v>1</v>
      </c>
      <c r="F1039" s="595">
        <v>3.05</v>
      </c>
      <c r="G1039" s="235"/>
      <c r="H1039" s="235">
        <v>0.2</v>
      </c>
      <c r="I1039" s="477">
        <f t="shared" si="162"/>
        <v>0.61</v>
      </c>
      <c r="J1039" s="167"/>
      <c r="K1039" s="758"/>
    </row>
    <row r="1040" spans="1:11">
      <c r="A1040" s="167"/>
      <c r="B1040" s="167" t="s">
        <v>1063</v>
      </c>
      <c r="C1040" s="397" t="s">
        <v>9</v>
      </c>
      <c r="D1040" s="647">
        <v>1</v>
      </c>
      <c r="E1040" s="251">
        <v>1</v>
      </c>
      <c r="F1040" s="595">
        <v>3.05</v>
      </c>
      <c r="G1040" s="235"/>
      <c r="H1040" s="235">
        <f>0.5-0.135</f>
        <v>0.36499999999999999</v>
      </c>
      <c r="I1040" s="477">
        <f t="shared" si="162"/>
        <v>1.1132499999999999</v>
      </c>
      <c r="J1040" s="167"/>
      <c r="K1040" s="758"/>
    </row>
    <row r="1041" spans="1:11">
      <c r="A1041" s="167"/>
      <c r="B1041" s="167" t="s">
        <v>1063</v>
      </c>
      <c r="C1041" s="397" t="s">
        <v>9</v>
      </c>
      <c r="D1041" s="647">
        <v>1</v>
      </c>
      <c r="E1041" s="251">
        <v>1</v>
      </c>
      <c r="F1041" s="595">
        <v>1.85</v>
      </c>
      <c r="G1041" s="235"/>
      <c r="H1041" s="235">
        <f>0.5-0.15</f>
        <v>0.35</v>
      </c>
      <c r="I1041" s="477">
        <f t="shared" si="162"/>
        <v>0.64749999999999996</v>
      </c>
      <c r="J1041" s="167"/>
      <c r="K1041" s="758"/>
    </row>
    <row r="1042" spans="1:11">
      <c r="A1042" s="167"/>
      <c r="B1042" s="167" t="s">
        <v>1063</v>
      </c>
      <c r="C1042" s="397" t="s">
        <v>9</v>
      </c>
      <c r="D1042" s="647">
        <v>1</v>
      </c>
      <c r="E1042" s="251">
        <v>1</v>
      </c>
      <c r="F1042" s="595">
        <f>3.05-1.85</f>
        <v>1.1999999999999997</v>
      </c>
      <c r="G1042" s="235"/>
      <c r="H1042" s="235">
        <f>0.5-0.2</f>
        <v>0.3</v>
      </c>
      <c r="I1042" s="477">
        <f t="shared" si="162"/>
        <v>0.35999999999999993</v>
      </c>
      <c r="J1042" s="167"/>
      <c r="K1042" s="758"/>
    </row>
    <row r="1043" spans="1:11">
      <c r="A1043" s="167"/>
      <c r="B1043" s="167" t="s">
        <v>1030</v>
      </c>
      <c r="C1043" s="397" t="s">
        <v>9</v>
      </c>
      <c r="D1043" s="647">
        <v>1</v>
      </c>
      <c r="E1043" s="251">
        <v>1</v>
      </c>
      <c r="F1043" s="595">
        <v>2.5</v>
      </c>
      <c r="G1043" s="235"/>
      <c r="H1043" s="235">
        <v>0.2</v>
      </c>
      <c r="I1043" s="477">
        <f t="shared" si="162"/>
        <v>0.5</v>
      </c>
      <c r="J1043" s="167"/>
      <c r="K1043" s="758"/>
    </row>
    <row r="1044" spans="1:11">
      <c r="A1044" s="167"/>
      <c r="B1044" s="167" t="s">
        <v>1063</v>
      </c>
      <c r="C1044" s="397" t="s">
        <v>9</v>
      </c>
      <c r="D1044" s="647">
        <v>1</v>
      </c>
      <c r="E1044" s="251">
        <v>2</v>
      </c>
      <c r="F1044" s="595">
        <v>2.5</v>
      </c>
      <c r="G1044" s="235"/>
      <c r="H1044" s="235">
        <f>0.45-0.125</f>
        <v>0.32500000000000001</v>
      </c>
      <c r="I1044" s="477">
        <f t="shared" si="162"/>
        <v>1.625</v>
      </c>
      <c r="J1044" s="167"/>
      <c r="K1044" s="758"/>
    </row>
    <row r="1045" spans="1:11">
      <c r="A1045" s="167"/>
      <c r="B1045" s="167" t="s">
        <v>990</v>
      </c>
      <c r="C1045" s="397" t="s">
        <v>9</v>
      </c>
      <c r="D1045" s="647">
        <v>1</v>
      </c>
      <c r="E1045" s="251">
        <v>1</v>
      </c>
      <c r="F1045" s="595">
        <v>3.1150000000000002</v>
      </c>
      <c r="G1045" s="235"/>
      <c r="H1045" s="235">
        <v>0.23</v>
      </c>
      <c r="I1045" s="477">
        <f t="shared" si="162"/>
        <v>0.71645000000000003</v>
      </c>
      <c r="J1045" s="167"/>
      <c r="K1045" s="758"/>
    </row>
    <row r="1046" spans="1:11">
      <c r="A1046" s="167"/>
      <c r="B1046" s="167" t="s">
        <v>1063</v>
      </c>
      <c r="C1046" s="397" t="s">
        <v>9</v>
      </c>
      <c r="D1046" s="647">
        <v>1</v>
      </c>
      <c r="E1046" s="251">
        <v>1</v>
      </c>
      <c r="F1046" s="595">
        <v>3.1150000000000002</v>
      </c>
      <c r="G1046" s="235"/>
      <c r="H1046" s="235">
        <f>0.5-0.15</f>
        <v>0.35</v>
      </c>
      <c r="I1046" s="477">
        <f t="shared" si="162"/>
        <v>1.0902499999999999</v>
      </c>
      <c r="J1046" s="167"/>
      <c r="K1046" s="758"/>
    </row>
    <row r="1047" spans="1:11">
      <c r="A1047" s="167"/>
      <c r="B1047" s="167" t="s">
        <v>1063</v>
      </c>
      <c r="C1047" s="397" t="s">
        <v>9</v>
      </c>
      <c r="D1047" s="647">
        <v>1</v>
      </c>
      <c r="E1047" s="251">
        <v>1</v>
      </c>
      <c r="F1047" s="595">
        <v>3.1150000000000002</v>
      </c>
      <c r="G1047" s="235"/>
      <c r="H1047" s="235">
        <f>0.5-0.125</f>
        <v>0.375</v>
      </c>
      <c r="I1047" s="477">
        <f t="shared" si="162"/>
        <v>1.1681250000000001</v>
      </c>
      <c r="J1047" s="167"/>
      <c r="K1047" s="758"/>
    </row>
    <row r="1048" spans="1:11">
      <c r="A1048" s="167"/>
      <c r="B1048" s="167" t="s">
        <v>1031</v>
      </c>
      <c r="C1048" s="397" t="s">
        <v>9</v>
      </c>
      <c r="D1048" s="647">
        <v>1</v>
      </c>
      <c r="E1048" s="251">
        <v>1</v>
      </c>
      <c r="F1048" s="595">
        <v>2.335</v>
      </c>
      <c r="G1048" s="235"/>
      <c r="H1048" s="235">
        <v>0.2</v>
      </c>
      <c r="I1048" s="477">
        <f t="shared" si="162"/>
        <v>0.46700000000000003</v>
      </c>
      <c r="J1048" s="167"/>
      <c r="K1048" s="758"/>
    </row>
    <row r="1049" spans="1:11">
      <c r="A1049" s="167"/>
      <c r="B1049" s="167" t="s">
        <v>1063</v>
      </c>
      <c r="C1049" s="397" t="s">
        <v>9</v>
      </c>
      <c r="D1049" s="647">
        <v>1</v>
      </c>
      <c r="E1049" s="251">
        <v>1</v>
      </c>
      <c r="F1049" s="595">
        <v>2.335</v>
      </c>
      <c r="G1049" s="235"/>
      <c r="H1049" s="235">
        <f>0.35-0.2</f>
        <v>0.14999999999999997</v>
      </c>
      <c r="I1049" s="477">
        <f t="shared" si="162"/>
        <v>0.35024999999999989</v>
      </c>
      <c r="J1049" s="167"/>
      <c r="K1049" s="758"/>
    </row>
    <row r="1050" spans="1:11">
      <c r="A1050" s="167"/>
      <c r="B1050" s="167" t="s">
        <v>1063</v>
      </c>
      <c r="C1050" s="397" t="s">
        <v>9</v>
      </c>
      <c r="D1050" s="647">
        <v>1</v>
      </c>
      <c r="E1050" s="251">
        <v>1</v>
      </c>
      <c r="F1050" s="595">
        <v>2.335</v>
      </c>
      <c r="G1050" s="235"/>
      <c r="H1050" s="235">
        <f>0.35-0.135</f>
        <v>0.21499999999999997</v>
      </c>
      <c r="I1050" s="477">
        <f t="shared" si="162"/>
        <v>0.50202499999999994</v>
      </c>
      <c r="J1050" s="167"/>
      <c r="K1050" s="758"/>
    </row>
    <row r="1051" spans="1:11">
      <c r="A1051" s="167"/>
      <c r="B1051" s="167" t="s">
        <v>1032</v>
      </c>
      <c r="C1051" s="397" t="s">
        <v>9</v>
      </c>
      <c r="D1051" s="647">
        <v>1</v>
      </c>
      <c r="E1051" s="251">
        <v>1</v>
      </c>
      <c r="F1051" s="595">
        <v>3.2</v>
      </c>
      <c r="G1051" s="235"/>
      <c r="H1051" s="235">
        <v>0.23</v>
      </c>
      <c r="I1051" s="477">
        <f t="shared" si="162"/>
        <v>0.7360000000000001</v>
      </c>
      <c r="J1051" s="167"/>
      <c r="K1051" s="758"/>
    </row>
    <row r="1052" spans="1:11">
      <c r="A1052" s="167"/>
      <c r="B1052" s="167" t="s">
        <v>1063</v>
      </c>
      <c r="C1052" s="397" t="s">
        <v>9</v>
      </c>
      <c r="D1052" s="647">
        <v>1</v>
      </c>
      <c r="E1052" s="251">
        <v>1</v>
      </c>
      <c r="F1052" s="595">
        <v>3.2</v>
      </c>
      <c r="G1052" s="235"/>
      <c r="H1052" s="235">
        <f>0.5-0.175</f>
        <v>0.32500000000000001</v>
      </c>
      <c r="I1052" s="477">
        <f t="shared" si="162"/>
        <v>1.04</v>
      </c>
      <c r="J1052" s="167"/>
      <c r="K1052" s="758"/>
    </row>
    <row r="1053" spans="1:11">
      <c r="A1053" s="167"/>
      <c r="B1053" s="167" t="s">
        <v>1063</v>
      </c>
      <c r="C1053" s="397" t="s">
        <v>9</v>
      </c>
      <c r="D1053" s="647">
        <v>1</v>
      </c>
      <c r="E1053" s="251">
        <v>1</v>
      </c>
      <c r="F1053" s="595">
        <v>3.2</v>
      </c>
      <c r="G1053" s="235"/>
      <c r="H1053" s="235">
        <v>0.5</v>
      </c>
      <c r="I1053" s="477">
        <f t="shared" si="162"/>
        <v>1.6</v>
      </c>
      <c r="J1053" s="167"/>
      <c r="K1053" s="758"/>
    </row>
    <row r="1054" spans="1:11">
      <c r="A1054" s="167"/>
      <c r="B1054" s="167" t="s">
        <v>991</v>
      </c>
      <c r="C1054" s="397" t="s">
        <v>9</v>
      </c>
      <c r="D1054" s="647">
        <v>1</v>
      </c>
      <c r="E1054" s="251">
        <v>1</v>
      </c>
      <c r="F1054" s="595">
        <v>0.35</v>
      </c>
      <c r="G1054" s="235"/>
      <c r="H1054" s="235">
        <v>0.23</v>
      </c>
      <c r="I1054" s="477">
        <f t="shared" si="162"/>
        <v>8.0500000000000002E-2</v>
      </c>
      <c r="J1054" s="167"/>
      <c r="K1054" s="758"/>
    </row>
    <row r="1055" spans="1:11">
      <c r="A1055" s="167"/>
      <c r="B1055" s="167" t="s">
        <v>1063</v>
      </c>
      <c r="C1055" s="397" t="s">
        <v>9</v>
      </c>
      <c r="D1055" s="647">
        <v>1</v>
      </c>
      <c r="E1055" s="251">
        <v>2</v>
      </c>
      <c r="F1055" s="595">
        <v>0.35</v>
      </c>
      <c r="G1055" s="235"/>
      <c r="H1055" s="235">
        <v>0.45</v>
      </c>
      <c r="I1055" s="477">
        <f t="shared" si="162"/>
        <v>0.315</v>
      </c>
      <c r="J1055" s="167"/>
      <c r="K1055" s="758"/>
    </row>
    <row r="1056" spans="1:11">
      <c r="A1056" s="167"/>
      <c r="B1056" s="167" t="s">
        <v>1033</v>
      </c>
      <c r="C1056" s="397" t="s">
        <v>9</v>
      </c>
      <c r="D1056" s="647">
        <v>1</v>
      </c>
      <c r="E1056" s="251">
        <v>1</v>
      </c>
      <c r="F1056" s="595">
        <f>1.61+0.35</f>
        <v>1.96</v>
      </c>
      <c r="G1056" s="235"/>
      <c r="H1056" s="235">
        <v>0.2</v>
      </c>
      <c r="I1056" s="477">
        <f t="shared" si="162"/>
        <v>0.39200000000000002</v>
      </c>
      <c r="J1056" s="167"/>
      <c r="K1056" s="758"/>
    </row>
    <row r="1057" spans="1:11">
      <c r="A1057" s="167"/>
      <c r="B1057" s="167" t="s">
        <v>1063</v>
      </c>
      <c r="C1057" s="397" t="s">
        <v>9</v>
      </c>
      <c r="D1057" s="647">
        <v>1</v>
      </c>
      <c r="E1057" s="251">
        <v>2</v>
      </c>
      <c r="F1057" s="595">
        <f>1.61+0.35</f>
        <v>1.96</v>
      </c>
      <c r="G1057" s="235"/>
      <c r="H1057" s="235">
        <f>0.45-0.125</f>
        <v>0.32500000000000001</v>
      </c>
      <c r="I1057" s="477">
        <f t="shared" si="162"/>
        <v>1.274</v>
      </c>
      <c r="J1057" s="167"/>
      <c r="K1057" s="758"/>
    </row>
    <row r="1058" spans="1:11">
      <c r="A1058" s="167"/>
      <c r="B1058" s="167" t="s">
        <v>1034</v>
      </c>
      <c r="C1058" s="397" t="s">
        <v>9</v>
      </c>
      <c r="D1058" s="647">
        <v>1</v>
      </c>
      <c r="E1058" s="251">
        <v>1</v>
      </c>
      <c r="F1058" s="595">
        <v>3.2</v>
      </c>
      <c r="G1058" s="235"/>
      <c r="H1058" s="235">
        <v>0.23</v>
      </c>
      <c r="I1058" s="477">
        <f t="shared" si="162"/>
        <v>0.7360000000000001</v>
      </c>
      <c r="J1058" s="167"/>
      <c r="K1058" s="758"/>
    </row>
    <row r="1059" spans="1:11">
      <c r="A1059" s="167"/>
      <c r="B1059" s="167" t="s">
        <v>1063</v>
      </c>
      <c r="C1059" s="397" t="s">
        <v>9</v>
      </c>
      <c r="D1059" s="647">
        <v>1</v>
      </c>
      <c r="E1059" s="251">
        <v>1</v>
      </c>
      <c r="F1059" s="595">
        <v>3.2</v>
      </c>
      <c r="G1059" s="235"/>
      <c r="H1059" s="235">
        <f>0.45-0.125</f>
        <v>0.32500000000000001</v>
      </c>
      <c r="I1059" s="477">
        <f t="shared" si="162"/>
        <v>1.04</v>
      </c>
      <c r="J1059" s="167"/>
      <c r="K1059" s="758"/>
    </row>
    <row r="1060" spans="1:11">
      <c r="A1060" s="167"/>
      <c r="B1060" s="167" t="s">
        <v>1063</v>
      </c>
      <c r="C1060" s="397" t="s">
        <v>9</v>
      </c>
      <c r="D1060" s="647">
        <v>1</v>
      </c>
      <c r="E1060" s="251">
        <v>1</v>
      </c>
      <c r="F1060" s="595">
        <v>3.2</v>
      </c>
      <c r="G1060" s="235"/>
      <c r="H1060" s="235">
        <v>0.45</v>
      </c>
      <c r="I1060" s="477">
        <f t="shared" si="162"/>
        <v>1.4400000000000002</v>
      </c>
      <c r="J1060" s="167"/>
      <c r="K1060" s="758"/>
    </row>
    <row r="1061" spans="1:11">
      <c r="A1061" s="167"/>
      <c r="B1061" s="167" t="s">
        <v>992</v>
      </c>
      <c r="C1061" s="397" t="s">
        <v>9</v>
      </c>
      <c r="D1061" s="647">
        <v>1</v>
      </c>
      <c r="E1061" s="251">
        <v>1</v>
      </c>
      <c r="F1061" s="595">
        <v>2.335</v>
      </c>
      <c r="G1061" s="235"/>
      <c r="H1061" s="235">
        <v>0.2</v>
      </c>
      <c r="I1061" s="477">
        <f t="shared" si="162"/>
        <v>0.46700000000000003</v>
      </c>
      <c r="J1061" s="167"/>
      <c r="K1061" s="758"/>
    </row>
    <row r="1062" spans="1:11">
      <c r="A1062" s="167"/>
      <c r="B1062" s="167" t="s">
        <v>1063</v>
      </c>
      <c r="C1062" s="397" t="s">
        <v>9</v>
      </c>
      <c r="D1062" s="647">
        <v>1</v>
      </c>
      <c r="E1062" s="251">
        <v>1</v>
      </c>
      <c r="F1062" s="595">
        <v>2.335</v>
      </c>
      <c r="G1062" s="235"/>
      <c r="H1062" s="235">
        <f>0.45-0.135</f>
        <v>0.315</v>
      </c>
      <c r="I1062" s="477">
        <f t="shared" si="162"/>
        <v>0.73552499999999998</v>
      </c>
      <c r="J1062" s="167"/>
      <c r="K1062" s="758"/>
    </row>
    <row r="1063" spans="1:11">
      <c r="A1063" s="167"/>
      <c r="B1063" s="167" t="s">
        <v>1063</v>
      </c>
      <c r="C1063" s="397" t="s">
        <v>9</v>
      </c>
      <c r="D1063" s="647">
        <v>1</v>
      </c>
      <c r="E1063" s="251">
        <v>1</v>
      </c>
      <c r="F1063" s="595">
        <v>2.335</v>
      </c>
      <c r="G1063" s="235"/>
      <c r="H1063" s="235">
        <f>0.45-0.125</f>
        <v>0.32500000000000001</v>
      </c>
      <c r="I1063" s="477">
        <f t="shared" si="162"/>
        <v>0.75887499999999997</v>
      </c>
      <c r="J1063" s="167"/>
      <c r="K1063" s="758"/>
    </row>
    <row r="1064" spans="1:11">
      <c r="A1064" s="167"/>
      <c r="B1064" s="167" t="s">
        <v>1035</v>
      </c>
      <c r="C1064" s="397" t="s">
        <v>9</v>
      </c>
      <c r="D1064" s="647">
        <v>1</v>
      </c>
      <c r="E1064" s="251">
        <v>1</v>
      </c>
      <c r="F1064" s="595">
        <v>2.54</v>
      </c>
      <c r="G1064" s="235"/>
      <c r="H1064" s="235">
        <v>0.23</v>
      </c>
      <c r="I1064" s="477">
        <f t="shared" si="162"/>
        <v>0.58420000000000005</v>
      </c>
      <c r="J1064" s="167"/>
      <c r="K1064" s="758"/>
    </row>
    <row r="1065" spans="1:11">
      <c r="A1065" s="167"/>
      <c r="B1065" s="167" t="s">
        <v>1063</v>
      </c>
      <c r="C1065" s="397" t="s">
        <v>9</v>
      </c>
      <c r="D1065" s="647">
        <v>1</v>
      </c>
      <c r="E1065" s="251">
        <v>1</v>
      </c>
      <c r="F1065" s="595">
        <v>2.54</v>
      </c>
      <c r="G1065" s="235"/>
      <c r="H1065" s="235">
        <f>0.5-0.125</f>
        <v>0.375</v>
      </c>
      <c r="I1065" s="477">
        <f t="shared" si="162"/>
        <v>0.95250000000000001</v>
      </c>
      <c r="J1065" s="167"/>
      <c r="K1065" s="758"/>
    </row>
    <row r="1066" spans="1:11">
      <c r="A1066" s="167"/>
      <c r="B1066" s="167" t="s">
        <v>1063</v>
      </c>
      <c r="C1066" s="397" t="s">
        <v>9</v>
      </c>
      <c r="D1066" s="647">
        <v>1</v>
      </c>
      <c r="E1066" s="251">
        <v>1</v>
      </c>
      <c r="F1066" s="595">
        <v>2.54</v>
      </c>
      <c r="G1066" s="235"/>
      <c r="H1066" s="235">
        <v>0.5</v>
      </c>
      <c r="I1066" s="477">
        <f t="shared" si="162"/>
        <v>1.27</v>
      </c>
      <c r="J1066" s="167"/>
      <c r="K1066" s="758"/>
    </row>
    <row r="1067" spans="1:11">
      <c r="A1067" s="167"/>
      <c r="B1067" s="167" t="s">
        <v>1036</v>
      </c>
      <c r="C1067" s="397" t="s">
        <v>9</v>
      </c>
      <c r="D1067" s="647">
        <v>1</v>
      </c>
      <c r="E1067" s="251">
        <v>1</v>
      </c>
      <c r="F1067" s="595">
        <v>3.43</v>
      </c>
      <c r="G1067" s="235"/>
      <c r="H1067" s="235">
        <v>0.23</v>
      </c>
      <c r="I1067" s="477">
        <f t="shared" si="162"/>
        <v>0.78890000000000005</v>
      </c>
      <c r="J1067" s="167"/>
      <c r="K1067" s="758"/>
    </row>
    <row r="1068" spans="1:11">
      <c r="A1068" s="167"/>
      <c r="B1068" s="167" t="s">
        <v>1063</v>
      </c>
      <c r="C1068" s="397" t="s">
        <v>9</v>
      </c>
      <c r="D1068" s="647">
        <v>1</v>
      </c>
      <c r="E1068" s="251">
        <v>2</v>
      </c>
      <c r="F1068" s="595">
        <v>3.43</v>
      </c>
      <c r="G1068" s="235"/>
      <c r="H1068" s="235">
        <f>0.45-0.125</f>
        <v>0.32500000000000001</v>
      </c>
      <c r="I1068" s="477">
        <f t="shared" si="162"/>
        <v>2.2295000000000003</v>
      </c>
      <c r="J1068" s="167"/>
      <c r="K1068" s="758"/>
    </row>
    <row r="1069" spans="1:11">
      <c r="A1069" s="167"/>
      <c r="B1069" s="167" t="s">
        <v>1037</v>
      </c>
      <c r="C1069" s="397" t="s">
        <v>9</v>
      </c>
      <c r="D1069" s="647">
        <v>1</v>
      </c>
      <c r="E1069" s="251">
        <v>1</v>
      </c>
      <c r="F1069" s="595">
        <v>2.2250000000000001</v>
      </c>
      <c r="G1069" s="235"/>
      <c r="H1069" s="235">
        <v>0.2</v>
      </c>
      <c r="I1069" s="477">
        <f t="shared" si="162"/>
        <v>0.44500000000000006</v>
      </c>
      <c r="J1069" s="167"/>
      <c r="K1069" s="758"/>
    </row>
    <row r="1070" spans="1:11">
      <c r="A1070" s="167"/>
      <c r="B1070" s="167" t="s">
        <v>1063</v>
      </c>
      <c r="C1070" s="397" t="s">
        <v>9</v>
      </c>
      <c r="D1070" s="647">
        <v>1</v>
      </c>
      <c r="E1070" s="251">
        <v>1</v>
      </c>
      <c r="F1070" s="595">
        <v>2.2250000000000001</v>
      </c>
      <c r="G1070" s="235"/>
      <c r="H1070" s="235">
        <f>0.5-0.182</f>
        <v>0.318</v>
      </c>
      <c r="I1070" s="477">
        <f t="shared" ref="I1070:I1126" si="163">+PRODUCT(D1070:H1070)</f>
        <v>0.70755000000000001</v>
      </c>
      <c r="J1070" s="167"/>
      <c r="K1070" s="758"/>
    </row>
    <row r="1071" spans="1:11">
      <c r="A1071" s="167"/>
      <c r="B1071" s="167" t="s">
        <v>1063</v>
      </c>
      <c r="C1071" s="397" t="s">
        <v>9</v>
      </c>
      <c r="D1071" s="647">
        <v>1</v>
      </c>
      <c r="E1071" s="251">
        <v>1</v>
      </c>
      <c r="F1071" s="595">
        <v>2.2250000000000001</v>
      </c>
      <c r="G1071" s="235"/>
      <c r="H1071" s="235">
        <f>0.5-0.125</f>
        <v>0.375</v>
      </c>
      <c r="I1071" s="477">
        <f t="shared" si="163"/>
        <v>0.83437500000000009</v>
      </c>
      <c r="J1071" s="167"/>
      <c r="K1071" s="758"/>
    </row>
    <row r="1072" spans="1:11">
      <c r="A1072" s="167"/>
      <c r="B1072" s="167" t="s">
        <v>993</v>
      </c>
      <c r="C1072" s="397" t="s">
        <v>9</v>
      </c>
      <c r="D1072" s="647">
        <v>1</v>
      </c>
      <c r="E1072" s="251">
        <v>1</v>
      </c>
      <c r="F1072" s="595">
        <v>3.14</v>
      </c>
      <c r="G1072" s="235"/>
      <c r="H1072" s="235">
        <v>0.2</v>
      </c>
      <c r="I1072" s="477">
        <f t="shared" si="163"/>
        <v>0.62800000000000011</v>
      </c>
      <c r="J1072" s="167"/>
      <c r="K1072" s="758"/>
    </row>
    <row r="1073" spans="1:11">
      <c r="A1073" s="167"/>
      <c r="B1073" s="167" t="s">
        <v>1063</v>
      </c>
      <c r="C1073" s="397" t="s">
        <v>9</v>
      </c>
      <c r="D1073" s="647">
        <v>1</v>
      </c>
      <c r="E1073" s="251">
        <v>1</v>
      </c>
      <c r="F1073" s="595">
        <v>3.14</v>
      </c>
      <c r="G1073" s="235"/>
      <c r="H1073" s="235">
        <f>0.45-0.15</f>
        <v>0.30000000000000004</v>
      </c>
      <c r="I1073" s="477">
        <f t="shared" si="163"/>
        <v>0.94200000000000017</v>
      </c>
      <c r="J1073" s="167"/>
      <c r="K1073" s="758"/>
    </row>
    <row r="1074" spans="1:11">
      <c r="A1074" s="167"/>
      <c r="B1074" s="167" t="s">
        <v>1063</v>
      </c>
      <c r="C1074" s="397" t="s">
        <v>9</v>
      </c>
      <c r="D1074" s="647">
        <v>1</v>
      </c>
      <c r="E1074" s="251">
        <v>1</v>
      </c>
      <c r="F1074" s="595">
        <v>3.14</v>
      </c>
      <c r="G1074" s="235"/>
      <c r="H1074" s="235">
        <f>0.45-0.125</f>
        <v>0.32500000000000001</v>
      </c>
      <c r="I1074" s="477">
        <f t="shared" si="163"/>
        <v>1.0205000000000002</v>
      </c>
      <c r="J1074" s="167"/>
      <c r="K1074" s="758"/>
    </row>
    <row r="1075" spans="1:11">
      <c r="A1075" s="167"/>
      <c r="B1075" s="167" t="s">
        <v>1039</v>
      </c>
      <c r="C1075" s="397" t="s">
        <v>9</v>
      </c>
      <c r="D1075" s="647">
        <v>1</v>
      </c>
      <c r="E1075" s="251">
        <v>1</v>
      </c>
      <c r="F1075" s="595">
        <v>3.43</v>
      </c>
      <c r="G1075" s="235"/>
      <c r="H1075" s="235">
        <v>0.2</v>
      </c>
      <c r="I1075" s="477">
        <f t="shared" si="163"/>
        <v>0.68600000000000005</v>
      </c>
      <c r="J1075" s="167"/>
      <c r="K1075" s="758"/>
    </row>
    <row r="1076" spans="1:11">
      <c r="A1076" s="167"/>
      <c r="B1076" s="167" t="s">
        <v>1063</v>
      </c>
      <c r="C1076" s="397" t="s">
        <v>9</v>
      </c>
      <c r="D1076" s="647">
        <v>1</v>
      </c>
      <c r="E1076" s="251">
        <v>1</v>
      </c>
      <c r="F1076" s="595">
        <v>3.43</v>
      </c>
      <c r="G1076" s="235"/>
      <c r="H1076" s="235">
        <f>0.45-0.135</f>
        <v>0.315</v>
      </c>
      <c r="I1076" s="477">
        <f t="shared" si="163"/>
        <v>1.0804500000000001</v>
      </c>
      <c r="J1076" s="167"/>
      <c r="K1076" s="758"/>
    </row>
    <row r="1077" spans="1:11">
      <c r="A1077" s="167"/>
      <c r="B1077" s="167" t="s">
        <v>1063</v>
      </c>
      <c r="C1077" s="397" t="s">
        <v>9</v>
      </c>
      <c r="D1077" s="647">
        <v>1</v>
      </c>
      <c r="E1077" s="251">
        <v>1</v>
      </c>
      <c r="F1077" s="595">
        <v>1.2050000000000001</v>
      </c>
      <c r="G1077" s="235"/>
      <c r="H1077" s="235">
        <f>0.45-0.125</f>
        <v>0.32500000000000001</v>
      </c>
      <c r="I1077" s="477">
        <f t="shared" si="163"/>
        <v>0.39162500000000006</v>
      </c>
      <c r="J1077" s="167"/>
      <c r="K1077" s="758"/>
    </row>
    <row r="1078" spans="1:11">
      <c r="A1078" s="167"/>
      <c r="B1078" s="167" t="s">
        <v>1063</v>
      </c>
      <c r="C1078" s="397" t="s">
        <v>9</v>
      </c>
      <c r="D1078" s="647">
        <v>1</v>
      </c>
      <c r="E1078" s="251">
        <v>1</v>
      </c>
      <c r="F1078" s="595">
        <f>3.43-1.205</f>
        <v>2.2250000000000001</v>
      </c>
      <c r="G1078" s="235"/>
      <c r="H1078" s="235">
        <f>0.45-0.15</f>
        <v>0.30000000000000004</v>
      </c>
      <c r="I1078" s="477">
        <f t="shared" si="163"/>
        <v>0.66750000000000009</v>
      </c>
      <c r="J1078" s="167"/>
      <c r="K1078" s="758"/>
    </row>
    <row r="1079" spans="1:11">
      <c r="A1079" s="167"/>
      <c r="B1079" s="167" t="s">
        <v>1040</v>
      </c>
      <c r="C1079" s="397" t="s">
        <v>9</v>
      </c>
      <c r="D1079" s="647">
        <v>1</v>
      </c>
      <c r="E1079" s="251">
        <v>1</v>
      </c>
      <c r="F1079" s="595">
        <v>1.99</v>
      </c>
      <c r="G1079" s="235"/>
      <c r="H1079" s="235">
        <v>0.23</v>
      </c>
      <c r="I1079" s="477">
        <f t="shared" si="163"/>
        <v>0.4577</v>
      </c>
      <c r="J1079" s="167"/>
      <c r="K1079" s="758"/>
    </row>
    <row r="1080" spans="1:11">
      <c r="A1080" s="167"/>
      <c r="B1080" s="167" t="s">
        <v>1063</v>
      </c>
      <c r="C1080" s="397" t="s">
        <v>9</v>
      </c>
      <c r="D1080" s="647">
        <v>1</v>
      </c>
      <c r="E1080" s="251">
        <v>1</v>
      </c>
      <c r="F1080" s="595">
        <v>1.99</v>
      </c>
      <c r="G1080" s="235"/>
      <c r="H1080" s="235">
        <f>0.45-0.125</f>
        <v>0.32500000000000001</v>
      </c>
      <c r="I1080" s="477">
        <f t="shared" si="163"/>
        <v>0.64675000000000005</v>
      </c>
      <c r="J1080" s="167"/>
      <c r="K1080" s="758"/>
    </row>
    <row r="1081" spans="1:11">
      <c r="A1081" s="167"/>
      <c r="B1081" s="167" t="s">
        <v>1063</v>
      </c>
      <c r="C1081" s="397" t="s">
        <v>9</v>
      </c>
      <c r="D1081" s="647">
        <v>1</v>
      </c>
      <c r="E1081" s="251">
        <v>1</v>
      </c>
      <c r="F1081" s="595">
        <v>1.99</v>
      </c>
      <c r="G1081" s="235"/>
      <c r="H1081" s="235">
        <f>0.45-0.15</f>
        <v>0.30000000000000004</v>
      </c>
      <c r="I1081" s="477">
        <f t="shared" si="163"/>
        <v>0.59700000000000009</v>
      </c>
      <c r="J1081" s="167"/>
      <c r="K1081" s="758"/>
    </row>
    <row r="1082" spans="1:11">
      <c r="A1082" s="167"/>
      <c r="B1082" s="167" t="s">
        <v>1038</v>
      </c>
      <c r="C1082" s="397" t="s">
        <v>9</v>
      </c>
      <c r="D1082" s="647">
        <v>1</v>
      </c>
      <c r="E1082" s="251">
        <v>1</v>
      </c>
      <c r="F1082" s="595">
        <v>2.2250000000000001</v>
      </c>
      <c r="G1082" s="235"/>
      <c r="H1082" s="235">
        <v>0.2</v>
      </c>
      <c r="I1082" s="477">
        <f t="shared" si="163"/>
        <v>0.44500000000000006</v>
      </c>
      <c r="J1082" s="167"/>
      <c r="K1082" s="758"/>
    </row>
    <row r="1083" spans="1:11">
      <c r="A1083" s="167"/>
      <c r="B1083" s="167" t="s">
        <v>1063</v>
      </c>
      <c r="C1083" s="397" t="s">
        <v>9</v>
      </c>
      <c r="D1083" s="647">
        <v>1</v>
      </c>
      <c r="E1083" s="251">
        <v>1</v>
      </c>
      <c r="F1083" s="595">
        <v>2.2250000000000001</v>
      </c>
      <c r="G1083" s="235"/>
      <c r="H1083" s="235">
        <f>0.5-0.182</f>
        <v>0.318</v>
      </c>
      <c r="I1083" s="477">
        <f t="shared" si="163"/>
        <v>0.70755000000000001</v>
      </c>
      <c r="J1083" s="167"/>
      <c r="K1083" s="758"/>
    </row>
    <row r="1084" spans="1:11">
      <c r="A1084" s="167"/>
      <c r="B1084" s="167" t="s">
        <v>1063</v>
      </c>
      <c r="C1084" s="397" t="s">
        <v>9</v>
      </c>
      <c r="D1084" s="647">
        <v>1</v>
      </c>
      <c r="E1084" s="251">
        <v>1</v>
      </c>
      <c r="F1084" s="595">
        <v>2.2250000000000001</v>
      </c>
      <c r="G1084" s="235"/>
      <c r="H1084" s="235">
        <f>0.5-0.125</f>
        <v>0.375</v>
      </c>
      <c r="I1084" s="477">
        <f t="shared" si="163"/>
        <v>0.83437500000000009</v>
      </c>
      <c r="J1084" s="167"/>
      <c r="K1084" s="758"/>
    </row>
    <row r="1085" spans="1:11">
      <c r="A1085" s="167"/>
      <c r="B1085" s="167" t="s">
        <v>994</v>
      </c>
      <c r="C1085" s="397" t="s">
        <v>9</v>
      </c>
      <c r="D1085" s="647">
        <v>1</v>
      </c>
      <c r="E1085" s="251">
        <v>1</v>
      </c>
      <c r="F1085" s="595">
        <v>3.06</v>
      </c>
      <c r="G1085" s="235"/>
      <c r="H1085" s="235">
        <v>0.2</v>
      </c>
      <c r="I1085" s="477">
        <f t="shared" si="163"/>
        <v>0.6120000000000001</v>
      </c>
      <c r="J1085" s="167"/>
      <c r="K1085" s="758"/>
    </row>
    <row r="1086" spans="1:11">
      <c r="A1086" s="167"/>
      <c r="B1086" s="167" t="s">
        <v>1063</v>
      </c>
      <c r="C1086" s="397" t="s">
        <v>9</v>
      </c>
      <c r="D1086" s="647">
        <v>1</v>
      </c>
      <c r="E1086" s="251">
        <v>1</v>
      </c>
      <c r="F1086" s="595">
        <v>3.06</v>
      </c>
      <c r="G1086" s="235"/>
      <c r="H1086" s="235">
        <f>0.45-0.15</f>
        <v>0.30000000000000004</v>
      </c>
      <c r="I1086" s="477">
        <f t="shared" si="163"/>
        <v>0.91800000000000015</v>
      </c>
      <c r="J1086" s="167"/>
      <c r="K1086" s="758"/>
    </row>
    <row r="1087" spans="1:11">
      <c r="A1087" s="167"/>
      <c r="B1087" s="167" t="s">
        <v>1063</v>
      </c>
      <c r="C1087" s="397" t="s">
        <v>9</v>
      </c>
      <c r="D1087" s="647">
        <v>1</v>
      </c>
      <c r="E1087" s="251">
        <v>1</v>
      </c>
      <c r="F1087" s="595">
        <v>3.06</v>
      </c>
      <c r="G1087" s="235"/>
      <c r="H1087" s="235">
        <f>0.45-0.135</f>
        <v>0.315</v>
      </c>
      <c r="I1087" s="477">
        <f t="shared" si="163"/>
        <v>0.96389999999999998</v>
      </c>
      <c r="J1087" s="167"/>
      <c r="K1087" s="758"/>
    </row>
    <row r="1088" spans="1:11">
      <c r="A1088" s="167"/>
      <c r="B1088" s="167" t="s">
        <v>994</v>
      </c>
      <c r="C1088" s="397" t="s">
        <v>9</v>
      </c>
      <c r="D1088" s="647">
        <v>1</v>
      </c>
      <c r="E1088" s="251">
        <v>1</v>
      </c>
      <c r="F1088" s="595">
        <v>3.06</v>
      </c>
      <c r="G1088" s="235"/>
      <c r="H1088" s="235">
        <v>0.2</v>
      </c>
      <c r="I1088" s="477">
        <f t="shared" si="163"/>
        <v>0.6120000000000001</v>
      </c>
      <c r="J1088" s="167"/>
      <c r="K1088" s="758"/>
    </row>
    <row r="1089" spans="1:11">
      <c r="A1089" s="167"/>
      <c r="B1089" s="167" t="s">
        <v>1063</v>
      </c>
      <c r="C1089" s="397" t="s">
        <v>9</v>
      </c>
      <c r="D1089" s="647">
        <v>1</v>
      </c>
      <c r="E1089" s="251">
        <v>1</v>
      </c>
      <c r="F1089" s="595">
        <v>3.06</v>
      </c>
      <c r="G1089" s="235"/>
      <c r="H1089" s="235">
        <f>0.45-0.15</f>
        <v>0.30000000000000004</v>
      </c>
      <c r="I1089" s="477">
        <f t="shared" si="163"/>
        <v>0.91800000000000015</v>
      </c>
      <c r="J1089" s="167"/>
      <c r="K1089" s="758"/>
    </row>
    <row r="1090" spans="1:11">
      <c r="A1090" s="167"/>
      <c r="B1090" s="167" t="s">
        <v>1063</v>
      </c>
      <c r="C1090" s="397" t="s">
        <v>9</v>
      </c>
      <c r="D1090" s="647">
        <v>1</v>
      </c>
      <c r="E1090" s="251">
        <v>1</v>
      </c>
      <c r="F1090" s="595">
        <v>3.06</v>
      </c>
      <c r="G1090" s="235"/>
      <c r="H1090" s="235">
        <f>0.45-0.125</f>
        <v>0.32500000000000001</v>
      </c>
      <c r="I1090" s="477">
        <f t="shared" si="163"/>
        <v>0.99450000000000005</v>
      </c>
      <c r="J1090" s="167"/>
      <c r="K1090" s="758"/>
    </row>
    <row r="1091" spans="1:11">
      <c r="A1091" s="167"/>
      <c r="B1091" s="167" t="s">
        <v>1041</v>
      </c>
      <c r="C1091" s="397" t="s">
        <v>9</v>
      </c>
      <c r="D1091" s="647">
        <v>1</v>
      </c>
      <c r="E1091" s="251">
        <v>2</v>
      </c>
      <c r="F1091" s="595">
        <v>3.05</v>
      </c>
      <c r="G1091" s="235"/>
      <c r="H1091" s="235">
        <v>0.2</v>
      </c>
      <c r="I1091" s="477">
        <f t="shared" si="163"/>
        <v>1.22</v>
      </c>
      <c r="J1091" s="167"/>
      <c r="K1091" s="758"/>
    </row>
    <row r="1092" spans="1:11">
      <c r="A1092" s="167"/>
      <c r="B1092" s="167" t="s">
        <v>1063</v>
      </c>
      <c r="C1092" s="397" t="s">
        <v>9</v>
      </c>
      <c r="D1092" s="647">
        <v>1</v>
      </c>
      <c r="E1092" s="251">
        <v>2</v>
      </c>
      <c r="F1092" s="595">
        <v>3.05</v>
      </c>
      <c r="G1092" s="235"/>
      <c r="H1092" s="235">
        <f>0.35-0.135</f>
        <v>0.21499999999999997</v>
      </c>
      <c r="I1092" s="477">
        <f t="shared" si="163"/>
        <v>1.3114999999999997</v>
      </c>
      <c r="J1092" s="167"/>
      <c r="K1092" s="758"/>
    </row>
    <row r="1093" spans="1:11">
      <c r="A1093" s="167"/>
      <c r="B1093" s="167" t="s">
        <v>1063</v>
      </c>
      <c r="C1093" s="397" t="s">
        <v>9</v>
      </c>
      <c r="D1093" s="647">
        <v>1</v>
      </c>
      <c r="E1093" s="251">
        <v>2</v>
      </c>
      <c r="F1093" s="595">
        <v>1.32</v>
      </c>
      <c r="G1093" s="235"/>
      <c r="H1093" s="235">
        <v>0.35</v>
      </c>
      <c r="I1093" s="477">
        <f t="shared" si="163"/>
        <v>0.92399999999999993</v>
      </c>
      <c r="J1093" s="167"/>
      <c r="K1093" s="758"/>
    </row>
    <row r="1094" spans="1:11">
      <c r="A1094" s="167"/>
      <c r="B1094" s="167" t="s">
        <v>1063</v>
      </c>
      <c r="C1094" s="397" t="s">
        <v>9</v>
      </c>
      <c r="D1094" s="647">
        <v>1</v>
      </c>
      <c r="E1094" s="251">
        <v>2</v>
      </c>
      <c r="F1094" s="595">
        <f>3.05-1.32</f>
        <v>1.7299999999999998</v>
      </c>
      <c r="G1094" s="235"/>
      <c r="H1094" s="235">
        <f>0.35-0.15</f>
        <v>0.19999999999999998</v>
      </c>
      <c r="I1094" s="477">
        <f t="shared" si="163"/>
        <v>0.69199999999999984</v>
      </c>
      <c r="J1094" s="167"/>
      <c r="K1094" s="758"/>
    </row>
    <row r="1095" spans="1:11">
      <c r="A1095" s="167"/>
      <c r="B1095" s="167" t="s">
        <v>1041</v>
      </c>
      <c r="C1095" s="397" t="s">
        <v>9</v>
      </c>
      <c r="D1095" s="647">
        <v>1</v>
      </c>
      <c r="E1095" s="251">
        <v>2</v>
      </c>
      <c r="F1095" s="595">
        <v>0.38</v>
      </c>
      <c r="G1095" s="235"/>
      <c r="H1095" s="235">
        <v>0.2</v>
      </c>
      <c r="I1095" s="477">
        <f t="shared" si="163"/>
        <v>0.15200000000000002</v>
      </c>
      <c r="J1095" s="167"/>
      <c r="K1095" s="758"/>
    </row>
    <row r="1096" spans="1:11">
      <c r="A1096" s="167"/>
      <c r="B1096" s="167" t="s">
        <v>1063</v>
      </c>
      <c r="C1096" s="397" t="s">
        <v>9</v>
      </c>
      <c r="D1096" s="647">
        <v>1</v>
      </c>
      <c r="E1096" s="251">
        <v>2</v>
      </c>
      <c r="F1096" s="595">
        <v>0.38</v>
      </c>
      <c r="G1096" s="235"/>
      <c r="H1096" s="235">
        <v>0.35</v>
      </c>
      <c r="I1096" s="477">
        <f t="shared" si="163"/>
        <v>0.26599999999999996</v>
      </c>
      <c r="J1096" s="167"/>
      <c r="K1096" s="758"/>
    </row>
    <row r="1097" spans="1:11">
      <c r="A1097" s="167"/>
      <c r="B1097" s="167" t="s">
        <v>1042</v>
      </c>
      <c r="C1097" s="397" t="s">
        <v>9</v>
      </c>
      <c r="D1097" s="647">
        <v>1</v>
      </c>
      <c r="E1097" s="251">
        <v>2</v>
      </c>
      <c r="F1097" s="595">
        <v>3.3849999999999998</v>
      </c>
      <c r="G1097" s="235"/>
      <c r="H1097" s="235">
        <v>0.2</v>
      </c>
      <c r="I1097" s="477">
        <f t="shared" si="163"/>
        <v>1.3540000000000001</v>
      </c>
      <c r="J1097" s="167"/>
      <c r="K1097" s="758"/>
    </row>
    <row r="1098" spans="1:11">
      <c r="A1098" s="167"/>
      <c r="B1098" s="167" t="s">
        <v>1063</v>
      </c>
      <c r="C1098" s="397" t="s">
        <v>9</v>
      </c>
      <c r="D1098" s="647">
        <v>1</v>
      </c>
      <c r="E1098" s="251">
        <v>2</v>
      </c>
      <c r="F1098" s="595">
        <v>3.3849999999999998</v>
      </c>
      <c r="G1098" s="235"/>
      <c r="H1098" s="235">
        <f>0.45-0.125</f>
        <v>0.32500000000000001</v>
      </c>
      <c r="I1098" s="477">
        <f t="shared" si="163"/>
        <v>2.20025</v>
      </c>
      <c r="J1098" s="167"/>
      <c r="K1098" s="758"/>
    </row>
    <row r="1099" spans="1:11">
      <c r="A1099" s="167"/>
      <c r="B1099" s="167" t="s">
        <v>1063</v>
      </c>
      <c r="C1099" s="397" t="s">
        <v>9</v>
      </c>
      <c r="D1099" s="647">
        <v>1</v>
      </c>
      <c r="E1099" s="251">
        <v>2</v>
      </c>
      <c r="F1099" s="595">
        <v>3.3849999999999998</v>
      </c>
      <c r="G1099" s="235"/>
      <c r="H1099" s="235">
        <f>0.45-0.15</f>
        <v>0.30000000000000004</v>
      </c>
      <c r="I1099" s="477">
        <f t="shared" si="163"/>
        <v>2.0310000000000001</v>
      </c>
      <c r="J1099" s="167"/>
      <c r="K1099" s="758"/>
    </row>
    <row r="1100" spans="1:11">
      <c r="A1100" s="167"/>
      <c r="B1100" s="167" t="s">
        <v>995</v>
      </c>
      <c r="C1100" s="397" t="s">
        <v>9</v>
      </c>
      <c r="D1100" s="647">
        <v>2</v>
      </c>
      <c r="E1100" s="251">
        <v>1</v>
      </c>
      <c r="F1100" s="595">
        <v>3.25</v>
      </c>
      <c r="G1100" s="235"/>
      <c r="H1100" s="235">
        <v>0.2</v>
      </c>
      <c r="I1100" s="477">
        <f t="shared" si="163"/>
        <v>1.3</v>
      </c>
      <c r="J1100" s="167"/>
      <c r="K1100" s="758"/>
    </row>
    <row r="1101" spans="1:11">
      <c r="A1101" s="167"/>
      <c r="B1101" s="167" t="s">
        <v>1063</v>
      </c>
      <c r="C1101" s="397" t="s">
        <v>9</v>
      </c>
      <c r="D1101" s="647">
        <v>2</v>
      </c>
      <c r="E1101" s="251">
        <v>2</v>
      </c>
      <c r="F1101" s="595">
        <v>3.25</v>
      </c>
      <c r="G1101" s="235"/>
      <c r="H1101" s="235">
        <f>0.45-0.135</f>
        <v>0.315</v>
      </c>
      <c r="I1101" s="477">
        <f t="shared" si="163"/>
        <v>4.0949999999999998</v>
      </c>
      <c r="J1101" s="167"/>
      <c r="K1101" s="758"/>
    </row>
    <row r="1102" spans="1:11">
      <c r="A1102" s="167"/>
      <c r="B1102" s="167" t="s">
        <v>995</v>
      </c>
      <c r="C1102" s="397" t="s">
        <v>9</v>
      </c>
      <c r="D1102" s="647">
        <v>2</v>
      </c>
      <c r="E1102" s="251">
        <v>1</v>
      </c>
      <c r="F1102" s="595">
        <v>1.7</v>
      </c>
      <c r="G1102" s="235"/>
      <c r="H1102" s="235">
        <v>0.2</v>
      </c>
      <c r="I1102" s="477">
        <f t="shared" si="163"/>
        <v>0.68</v>
      </c>
      <c r="J1102" s="167"/>
      <c r="K1102" s="758"/>
    </row>
    <row r="1103" spans="1:11">
      <c r="A1103" s="167"/>
      <c r="B1103" s="167" t="s">
        <v>1063</v>
      </c>
      <c r="C1103" s="397" t="s">
        <v>9</v>
      </c>
      <c r="D1103" s="647">
        <v>2</v>
      </c>
      <c r="E1103" s="251">
        <v>2</v>
      </c>
      <c r="F1103" s="595">
        <v>1.7</v>
      </c>
      <c r="G1103" s="235"/>
      <c r="H1103" s="235">
        <f>0.45-0.125</f>
        <v>0.32500000000000001</v>
      </c>
      <c r="I1103" s="477">
        <f t="shared" si="163"/>
        <v>2.21</v>
      </c>
      <c r="J1103" s="167"/>
      <c r="K1103" s="758"/>
    </row>
    <row r="1104" spans="1:11">
      <c r="A1104" s="167"/>
      <c r="B1104" s="167" t="s">
        <v>1043</v>
      </c>
      <c r="C1104" s="397" t="s">
        <v>9</v>
      </c>
      <c r="D1104" s="647">
        <v>1</v>
      </c>
      <c r="E1104" s="251">
        <v>2</v>
      </c>
      <c r="F1104" s="595">
        <v>1.385</v>
      </c>
      <c r="G1104" s="235"/>
      <c r="H1104" s="235">
        <v>0.2</v>
      </c>
      <c r="I1104" s="477">
        <f t="shared" si="163"/>
        <v>0.55400000000000005</v>
      </c>
      <c r="J1104" s="167"/>
      <c r="K1104" s="758"/>
    </row>
    <row r="1105" spans="1:11">
      <c r="A1105" s="167"/>
      <c r="B1105" s="167" t="s">
        <v>1063</v>
      </c>
      <c r="C1105" s="397" t="s">
        <v>9</v>
      </c>
      <c r="D1105" s="647">
        <v>1</v>
      </c>
      <c r="E1105" s="251">
        <v>2</v>
      </c>
      <c r="F1105" s="595">
        <v>1.385</v>
      </c>
      <c r="G1105" s="235"/>
      <c r="H1105" s="235">
        <f>0.35-0.125</f>
        <v>0.22499999999999998</v>
      </c>
      <c r="I1105" s="477">
        <f t="shared" si="163"/>
        <v>0.62324999999999997</v>
      </c>
      <c r="J1105" s="167"/>
      <c r="K1105" s="758"/>
    </row>
    <row r="1106" spans="1:11">
      <c r="A1106" s="167"/>
      <c r="B1106" s="167" t="s">
        <v>1063</v>
      </c>
      <c r="C1106" s="397" t="s">
        <v>9</v>
      </c>
      <c r="D1106" s="647">
        <v>1</v>
      </c>
      <c r="E1106" s="251">
        <v>2</v>
      </c>
      <c r="F1106" s="595">
        <v>1.385</v>
      </c>
      <c r="G1106" s="235"/>
      <c r="H1106" s="235">
        <v>0.35</v>
      </c>
      <c r="I1106" s="477">
        <f t="shared" si="163"/>
        <v>0.96949999999999992</v>
      </c>
      <c r="J1106" s="167"/>
      <c r="K1106" s="758"/>
    </row>
    <row r="1107" spans="1:11">
      <c r="A1107" s="167"/>
      <c r="B1107" s="167" t="s">
        <v>1044</v>
      </c>
      <c r="C1107" s="397" t="s">
        <v>9</v>
      </c>
      <c r="D1107" s="647">
        <v>1</v>
      </c>
      <c r="E1107" s="251">
        <v>1</v>
      </c>
      <c r="F1107" s="595">
        <v>3.05</v>
      </c>
      <c r="G1107" s="235"/>
      <c r="H1107" s="235">
        <v>0.2</v>
      </c>
      <c r="I1107" s="477">
        <f t="shared" si="163"/>
        <v>0.61</v>
      </c>
      <c r="J1107" s="167"/>
      <c r="K1107" s="758"/>
    </row>
    <row r="1108" spans="1:11">
      <c r="A1108" s="167"/>
      <c r="B1108" s="167" t="s">
        <v>1063</v>
      </c>
      <c r="C1108" s="397" t="s">
        <v>9</v>
      </c>
      <c r="D1108" s="647">
        <v>1</v>
      </c>
      <c r="E1108" s="251">
        <v>1</v>
      </c>
      <c r="F1108" s="595">
        <v>3.05</v>
      </c>
      <c r="G1108" s="235"/>
      <c r="H1108" s="235">
        <f>0.45-0.135</f>
        <v>0.315</v>
      </c>
      <c r="I1108" s="477">
        <f t="shared" si="163"/>
        <v>0.96074999999999999</v>
      </c>
      <c r="J1108" s="167"/>
      <c r="K1108" s="758"/>
    </row>
    <row r="1109" spans="1:11">
      <c r="A1109" s="167"/>
      <c r="B1109" s="167" t="s">
        <v>1063</v>
      </c>
      <c r="C1109" s="397" t="s">
        <v>9</v>
      </c>
      <c r="D1109" s="647">
        <v>1</v>
      </c>
      <c r="E1109" s="251">
        <v>1</v>
      </c>
      <c r="F1109" s="595">
        <v>3.05</v>
      </c>
      <c r="G1109" s="235"/>
      <c r="H1109" s="235">
        <v>0.45</v>
      </c>
      <c r="I1109" s="477">
        <f t="shared" si="163"/>
        <v>1.3725000000000001</v>
      </c>
      <c r="J1109" s="167"/>
      <c r="K1109" s="758"/>
    </row>
    <row r="1110" spans="1:11">
      <c r="A1110" s="167"/>
      <c r="B1110" s="167" t="s">
        <v>1044</v>
      </c>
      <c r="C1110" s="397" t="s">
        <v>9</v>
      </c>
      <c r="D1110" s="647">
        <v>1</v>
      </c>
      <c r="E1110" s="251">
        <v>1</v>
      </c>
      <c r="F1110" s="595">
        <v>1.7</v>
      </c>
      <c r="G1110" s="235"/>
      <c r="H1110" s="235">
        <v>0.2</v>
      </c>
      <c r="I1110" s="477">
        <f t="shared" si="163"/>
        <v>0.34</v>
      </c>
      <c r="J1110" s="167"/>
      <c r="K1110" s="758"/>
    </row>
    <row r="1111" spans="1:11">
      <c r="A1111" s="167"/>
      <c r="B1111" s="167" t="s">
        <v>1063</v>
      </c>
      <c r="C1111" s="397" t="s">
        <v>9</v>
      </c>
      <c r="D1111" s="647">
        <v>1</v>
      </c>
      <c r="E1111" s="251">
        <v>1</v>
      </c>
      <c r="F1111" s="595">
        <v>1.7</v>
      </c>
      <c r="G1111" s="235"/>
      <c r="H1111" s="235">
        <f>0.45-0.125</f>
        <v>0.32500000000000001</v>
      </c>
      <c r="I1111" s="477">
        <f t="shared" si="163"/>
        <v>0.55249999999999999</v>
      </c>
      <c r="J1111" s="167"/>
      <c r="K1111" s="758"/>
    </row>
    <row r="1112" spans="1:11">
      <c r="A1112" s="167"/>
      <c r="B1112" s="167" t="s">
        <v>1063</v>
      </c>
      <c r="C1112" s="397" t="s">
        <v>9</v>
      </c>
      <c r="D1112" s="647">
        <v>1</v>
      </c>
      <c r="E1112" s="251">
        <v>1</v>
      </c>
      <c r="F1112" s="595">
        <v>1.7</v>
      </c>
      <c r="G1112" s="235"/>
      <c r="H1112" s="235">
        <v>0.45</v>
      </c>
      <c r="I1112" s="477">
        <f t="shared" si="163"/>
        <v>0.76500000000000001</v>
      </c>
      <c r="J1112" s="167"/>
      <c r="K1112" s="758"/>
    </row>
    <row r="1113" spans="1:11">
      <c r="A1113" s="167"/>
      <c r="B1113" s="167" t="s">
        <v>1044</v>
      </c>
      <c r="C1113" s="397" t="s">
        <v>9</v>
      </c>
      <c r="D1113" s="647">
        <v>1</v>
      </c>
      <c r="E1113" s="251">
        <v>1</v>
      </c>
      <c r="F1113" s="595">
        <v>3.05</v>
      </c>
      <c r="G1113" s="235"/>
      <c r="H1113" s="235">
        <v>0.2</v>
      </c>
      <c r="I1113" s="477">
        <f t="shared" si="163"/>
        <v>0.61</v>
      </c>
      <c r="J1113" s="167"/>
      <c r="K1113" s="758"/>
    </row>
    <row r="1114" spans="1:11">
      <c r="A1114" s="167"/>
      <c r="B1114" s="167" t="s">
        <v>1063</v>
      </c>
      <c r="C1114" s="397" t="s">
        <v>9</v>
      </c>
      <c r="D1114" s="647">
        <v>1</v>
      </c>
      <c r="E1114" s="251">
        <v>1</v>
      </c>
      <c r="F1114" s="595">
        <v>3.05</v>
      </c>
      <c r="G1114" s="235"/>
      <c r="H1114" s="235">
        <f>0.45-0.135</f>
        <v>0.315</v>
      </c>
      <c r="I1114" s="477">
        <f t="shared" si="163"/>
        <v>0.96074999999999999</v>
      </c>
      <c r="J1114" s="167"/>
      <c r="K1114" s="758"/>
    </row>
    <row r="1115" spans="1:11">
      <c r="A1115" s="167"/>
      <c r="B1115" s="167" t="s">
        <v>1063</v>
      </c>
      <c r="C1115" s="397" t="s">
        <v>9</v>
      </c>
      <c r="D1115" s="647">
        <v>1</v>
      </c>
      <c r="E1115" s="251">
        <v>1</v>
      </c>
      <c r="F1115" s="595">
        <v>3.05</v>
      </c>
      <c r="G1115" s="235"/>
      <c r="H1115" s="235">
        <f>0.45-0.135</f>
        <v>0.315</v>
      </c>
      <c r="I1115" s="477">
        <f t="shared" si="163"/>
        <v>0.96074999999999999</v>
      </c>
      <c r="J1115" s="167"/>
      <c r="K1115" s="758"/>
    </row>
    <row r="1116" spans="1:11">
      <c r="A1116" s="167"/>
      <c r="B1116" s="167" t="s">
        <v>1044</v>
      </c>
      <c r="C1116" s="397" t="s">
        <v>9</v>
      </c>
      <c r="D1116" s="647">
        <v>1</v>
      </c>
      <c r="E1116" s="251">
        <v>1</v>
      </c>
      <c r="F1116" s="595">
        <v>1.7</v>
      </c>
      <c r="G1116" s="235"/>
      <c r="H1116" s="235">
        <v>0.2</v>
      </c>
      <c r="I1116" s="477">
        <f t="shared" si="163"/>
        <v>0.34</v>
      </c>
      <c r="J1116" s="167"/>
      <c r="K1116" s="758"/>
    </row>
    <row r="1117" spans="1:11">
      <c r="A1117" s="167"/>
      <c r="B1117" s="167" t="s">
        <v>1063</v>
      </c>
      <c r="C1117" s="397" t="s">
        <v>9</v>
      </c>
      <c r="D1117" s="647">
        <v>1</v>
      </c>
      <c r="E1117" s="251">
        <v>1</v>
      </c>
      <c r="F1117" s="595">
        <v>1.7</v>
      </c>
      <c r="G1117" s="235"/>
      <c r="H1117" s="235">
        <f>0.45-0.125</f>
        <v>0.32500000000000001</v>
      </c>
      <c r="I1117" s="477">
        <f t="shared" si="163"/>
        <v>0.55249999999999999</v>
      </c>
      <c r="J1117" s="167"/>
      <c r="K1117" s="758"/>
    </row>
    <row r="1118" spans="1:11">
      <c r="A1118" s="167"/>
      <c r="B1118" s="167" t="s">
        <v>1063</v>
      </c>
      <c r="C1118" s="397" t="s">
        <v>9</v>
      </c>
      <c r="D1118" s="647">
        <v>1</v>
      </c>
      <c r="E1118" s="251">
        <v>1</v>
      </c>
      <c r="F1118" s="595">
        <v>1.7</v>
      </c>
      <c r="G1118" s="235"/>
      <c r="H1118" s="235">
        <f>0.45-0.125</f>
        <v>0.32500000000000001</v>
      </c>
      <c r="I1118" s="477">
        <f t="shared" si="163"/>
        <v>0.55249999999999999</v>
      </c>
      <c r="J1118" s="167"/>
      <c r="K1118" s="758"/>
    </row>
    <row r="1119" spans="1:11">
      <c r="A1119" s="167"/>
      <c r="B1119" s="167" t="s">
        <v>1045</v>
      </c>
      <c r="C1119" s="397" t="s">
        <v>9</v>
      </c>
      <c r="D1119" s="647">
        <v>1</v>
      </c>
      <c r="E1119" s="251">
        <v>1</v>
      </c>
      <c r="F1119" s="595">
        <v>3.17</v>
      </c>
      <c r="G1119" s="235"/>
      <c r="H1119" s="235">
        <v>0.2</v>
      </c>
      <c r="I1119" s="477">
        <f t="shared" si="163"/>
        <v>0.63400000000000001</v>
      </c>
      <c r="J1119" s="167"/>
      <c r="K1119" s="758"/>
    </row>
    <row r="1120" spans="1:11">
      <c r="A1120" s="167"/>
      <c r="B1120" s="167" t="s">
        <v>1063</v>
      </c>
      <c r="C1120" s="397" t="s">
        <v>9</v>
      </c>
      <c r="D1120" s="647">
        <v>1</v>
      </c>
      <c r="E1120" s="251">
        <v>1</v>
      </c>
      <c r="F1120" s="595">
        <v>3.17</v>
      </c>
      <c r="G1120" s="235"/>
      <c r="H1120" s="235">
        <f>0.35-0.125</f>
        <v>0.22499999999999998</v>
      </c>
      <c r="I1120" s="477">
        <f t="shared" si="163"/>
        <v>0.71324999999999994</v>
      </c>
      <c r="J1120" s="167"/>
      <c r="K1120" s="758"/>
    </row>
    <row r="1121" spans="1:11">
      <c r="A1121" s="167"/>
      <c r="B1121" s="167" t="s">
        <v>1063</v>
      </c>
      <c r="C1121" s="397" t="s">
        <v>9</v>
      </c>
      <c r="D1121" s="647">
        <v>1</v>
      </c>
      <c r="E1121" s="251">
        <v>1</v>
      </c>
      <c r="F1121" s="595">
        <v>3.17</v>
      </c>
      <c r="G1121" s="235"/>
      <c r="H1121" s="235">
        <v>0.35</v>
      </c>
      <c r="I1121" s="477">
        <f t="shared" si="163"/>
        <v>1.1094999999999999</v>
      </c>
      <c r="J1121" s="167"/>
      <c r="K1121" s="758"/>
    </row>
    <row r="1122" spans="1:11">
      <c r="A1122" s="167"/>
      <c r="B1122" s="167" t="s">
        <v>1046</v>
      </c>
      <c r="C1122" s="397" t="s">
        <v>9</v>
      </c>
      <c r="D1122" s="647">
        <v>1</v>
      </c>
      <c r="E1122" s="592">
        <v>0.5</v>
      </c>
      <c r="F1122" s="595">
        <v>5.78</v>
      </c>
      <c r="G1122" s="235"/>
      <c r="H1122" s="235">
        <v>0.2</v>
      </c>
      <c r="I1122" s="477">
        <f t="shared" si="163"/>
        <v>0.57800000000000007</v>
      </c>
      <c r="J1122" s="167"/>
      <c r="K1122" s="758"/>
    </row>
    <row r="1123" spans="1:11">
      <c r="A1123" s="167"/>
      <c r="B1123" s="167" t="s">
        <v>1063</v>
      </c>
      <c r="C1123" s="397" t="s">
        <v>9</v>
      </c>
      <c r="D1123" s="647">
        <v>1</v>
      </c>
      <c r="E1123" s="592">
        <v>0.5</v>
      </c>
      <c r="F1123" s="595">
        <f>5.78-2</f>
        <v>3.7800000000000002</v>
      </c>
      <c r="G1123" s="235"/>
      <c r="H1123" s="235">
        <f>0.45-0.135</f>
        <v>0.315</v>
      </c>
      <c r="I1123" s="477">
        <f t="shared" si="163"/>
        <v>0.59535000000000005</v>
      </c>
      <c r="J1123" s="167"/>
      <c r="K1123" s="758"/>
    </row>
    <row r="1124" spans="1:11">
      <c r="A1124" s="167"/>
      <c r="B1124" s="167" t="s">
        <v>1063</v>
      </c>
      <c r="C1124" s="397" t="s">
        <v>9</v>
      </c>
      <c r="D1124" s="647">
        <v>1</v>
      </c>
      <c r="E1124" s="592">
        <v>0.5</v>
      </c>
      <c r="F1124" s="595">
        <f>5.78-2</f>
        <v>3.7800000000000002</v>
      </c>
      <c r="G1124" s="235"/>
      <c r="H1124" s="235">
        <f>0.45-0.135</f>
        <v>0.315</v>
      </c>
      <c r="I1124" s="477">
        <f t="shared" si="163"/>
        <v>0.59535000000000005</v>
      </c>
      <c r="J1124" s="167"/>
      <c r="K1124" s="758"/>
    </row>
    <row r="1125" spans="1:11">
      <c r="A1125" s="167"/>
      <c r="B1125" s="167" t="s">
        <v>1063</v>
      </c>
      <c r="C1125" s="397" t="s">
        <v>9</v>
      </c>
      <c r="D1125" s="647">
        <v>1</v>
      </c>
      <c r="E1125" s="592">
        <v>0.5</v>
      </c>
      <c r="F1125" s="595">
        <v>2</v>
      </c>
      <c r="G1125" s="235"/>
      <c r="H1125" s="235">
        <f>0.45-0.182</f>
        <v>0.26800000000000002</v>
      </c>
      <c r="I1125" s="477">
        <f t="shared" si="163"/>
        <v>0.26800000000000002</v>
      </c>
      <c r="J1125" s="167"/>
      <c r="K1125" s="758"/>
    </row>
    <row r="1126" spans="1:11">
      <c r="A1126" s="167"/>
      <c r="B1126" s="167" t="s">
        <v>1063</v>
      </c>
      <c r="C1126" s="397" t="s">
        <v>9</v>
      </c>
      <c r="D1126" s="647">
        <v>1</v>
      </c>
      <c r="E1126" s="592">
        <v>0.5</v>
      </c>
      <c r="F1126" s="595">
        <v>2</v>
      </c>
      <c r="G1126" s="235"/>
      <c r="H1126" s="235">
        <f>0.45-0.182</f>
        <v>0.26800000000000002</v>
      </c>
      <c r="I1126" s="477">
        <f t="shared" si="163"/>
        <v>0.26800000000000002</v>
      </c>
      <c r="J1126" s="167"/>
      <c r="K1126" s="758"/>
    </row>
    <row r="1127" spans="1:11">
      <c r="A1127" s="167"/>
      <c r="B1127" s="167"/>
      <c r="C1127" s="397"/>
      <c r="D1127" s="647"/>
      <c r="E1127" s="251"/>
      <c r="F1127" s="235"/>
      <c r="G1127" s="235"/>
      <c r="H1127" s="235"/>
      <c r="I1127" s="477"/>
      <c r="J1127" s="167"/>
      <c r="K1127" s="758"/>
    </row>
    <row r="1128" spans="1:11">
      <c r="A1128" s="167"/>
      <c r="B1128" s="267"/>
      <c r="C1128" s="267"/>
      <c r="D1128" s="647"/>
      <c r="E1128" s="167"/>
      <c r="F1128" s="167"/>
      <c r="G1128" s="167"/>
      <c r="H1128" s="167"/>
      <c r="I1128" s="580">
        <f>SUBTOTAL(9,I806:I1127)</f>
        <v>389.21350000000007</v>
      </c>
      <c r="J1128" s="167"/>
      <c r="K1128" s="758"/>
    </row>
    <row r="1129" spans="1:11">
      <c r="A1129" s="167"/>
      <c r="B1129" s="267" t="s">
        <v>1288</v>
      </c>
      <c r="C1129" s="267"/>
      <c r="D1129" s="647"/>
      <c r="E1129" s="167"/>
      <c r="F1129" s="167"/>
      <c r="G1129" s="167"/>
      <c r="H1129" s="477"/>
      <c r="I1129" s="167"/>
      <c r="J1129" s="167"/>
      <c r="K1129" s="758"/>
    </row>
    <row r="1130" spans="1:11">
      <c r="A1130" s="167"/>
      <c r="B1130" s="167" t="s">
        <v>933</v>
      </c>
      <c r="C1130" s="397" t="s">
        <v>71</v>
      </c>
      <c r="D1130" s="647">
        <v>1</v>
      </c>
      <c r="E1130" s="647">
        <v>1</v>
      </c>
      <c r="F1130" s="235">
        <v>3.5750000000000002</v>
      </c>
      <c r="G1130" s="235">
        <v>3.55</v>
      </c>
      <c r="H1130" s="647"/>
      <c r="I1130" s="478">
        <f>+PRODUCT(D1130:H1130)</f>
        <v>12.69125</v>
      </c>
      <c r="J1130" s="167"/>
      <c r="K1130" s="758"/>
    </row>
    <row r="1131" spans="1:11">
      <c r="A1131" s="167"/>
      <c r="B1131" s="167" t="s">
        <v>934</v>
      </c>
      <c r="C1131" s="397" t="s">
        <v>71</v>
      </c>
      <c r="D1131" s="647">
        <v>1</v>
      </c>
      <c r="E1131" s="647">
        <v>1</v>
      </c>
      <c r="F1131" s="235">
        <v>3.55</v>
      </c>
      <c r="G1131" s="235">
        <v>3.2</v>
      </c>
      <c r="H1131" s="647"/>
      <c r="I1131" s="478">
        <f t="shared" ref="I1131:I1145" si="164">+PRODUCT(D1131:H1131)</f>
        <v>11.36</v>
      </c>
      <c r="J1131" s="167"/>
      <c r="K1131" s="758"/>
    </row>
    <row r="1132" spans="1:11">
      <c r="A1132" s="167"/>
      <c r="B1132" s="167" t="s">
        <v>935</v>
      </c>
      <c r="C1132" s="397" t="s">
        <v>71</v>
      </c>
      <c r="D1132" s="647">
        <v>1</v>
      </c>
      <c r="E1132" s="647">
        <v>1</v>
      </c>
      <c r="F1132" s="235">
        <v>3.145</v>
      </c>
      <c r="G1132" s="235">
        <v>3.05</v>
      </c>
      <c r="H1132" s="647"/>
      <c r="I1132" s="478">
        <f t="shared" si="164"/>
        <v>9.5922499999999999</v>
      </c>
      <c r="J1132" s="167"/>
      <c r="K1132" s="758"/>
    </row>
    <row r="1133" spans="1:11">
      <c r="A1133" s="167"/>
      <c r="B1133" s="167"/>
      <c r="C1133" s="397" t="s">
        <v>71</v>
      </c>
      <c r="D1133" s="647">
        <v>1</v>
      </c>
      <c r="E1133" s="647">
        <v>1</v>
      </c>
      <c r="F1133" s="235">
        <v>0.9</v>
      </c>
      <c r="G1133" s="235">
        <v>0.4</v>
      </c>
      <c r="H1133" s="647"/>
      <c r="I1133" s="478">
        <f t="shared" si="164"/>
        <v>0.36000000000000004</v>
      </c>
      <c r="J1133" s="167"/>
      <c r="K1133" s="758"/>
    </row>
    <row r="1134" spans="1:11">
      <c r="A1134" s="167"/>
      <c r="B1134" s="167" t="s">
        <v>936</v>
      </c>
      <c r="C1134" s="397" t="s">
        <v>71</v>
      </c>
      <c r="D1134" s="647">
        <v>1</v>
      </c>
      <c r="E1134" s="647">
        <v>1</v>
      </c>
      <c r="F1134" s="235">
        <v>1.165</v>
      </c>
      <c r="G1134" s="235">
        <v>0.51500000000000001</v>
      </c>
      <c r="H1134" s="647"/>
      <c r="I1134" s="478">
        <f t="shared" si="164"/>
        <v>0.59997500000000004</v>
      </c>
      <c r="J1134" s="167"/>
      <c r="K1134" s="758"/>
    </row>
    <row r="1135" spans="1:11">
      <c r="A1135" s="167"/>
      <c r="B1135" s="167" t="s">
        <v>937</v>
      </c>
      <c r="C1135" s="397" t="s">
        <v>71</v>
      </c>
      <c r="D1135" s="647">
        <v>1</v>
      </c>
      <c r="E1135" s="647">
        <v>1</v>
      </c>
      <c r="F1135" s="235">
        <v>3.5750000000000002</v>
      </c>
      <c r="G1135" s="235">
        <v>1.57</v>
      </c>
      <c r="H1135" s="647"/>
      <c r="I1135" s="478">
        <f t="shared" si="164"/>
        <v>5.6127500000000001</v>
      </c>
      <c r="J1135" s="167"/>
      <c r="K1135" s="758"/>
    </row>
    <row r="1136" spans="1:11">
      <c r="A1136" s="167"/>
      <c r="B1136" s="167" t="s">
        <v>938</v>
      </c>
      <c r="C1136" s="397" t="s">
        <v>71</v>
      </c>
      <c r="D1136" s="647">
        <v>1</v>
      </c>
      <c r="E1136" s="647">
        <v>1</v>
      </c>
      <c r="F1136" s="235">
        <v>2.5</v>
      </c>
      <c r="G1136" s="235">
        <v>1.6</v>
      </c>
      <c r="H1136" s="647"/>
      <c r="I1136" s="478">
        <f t="shared" si="164"/>
        <v>4</v>
      </c>
      <c r="J1136" s="167"/>
      <c r="K1136" s="758"/>
    </row>
    <row r="1137" spans="1:11">
      <c r="A1137" s="167"/>
      <c r="B1137" s="167" t="s">
        <v>939</v>
      </c>
      <c r="C1137" s="397" t="s">
        <v>71</v>
      </c>
      <c r="D1137" s="647">
        <v>1</v>
      </c>
      <c r="E1137" s="647">
        <v>1</v>
      </c>
      <c r="F1137" s="235">
        <v>2.7850000000000001</v>
      </c>
      <c r="G1137" s="235">
        <v>1.2</v>
      </c>
      <c r="H1137" s="647"/>
      <c r="I1137" s="478">
        <f t="shared" si="164"/>
        <v>3.3420000000000001</v>
      </c>
      <c r="J1137" s="167"/>
      <c r="K1137" s="758"/>
    </row>
    <row r="1138" spans="1:11">
      <c r="A1138" s="167"/>
      <c r="B1138" s="167" t="s">
        <v>940</v>
      </c>
      <c r="C1138" s="397" t="s">
        <v>71</v>
      </c>
      <c r="D1138" s="647">
        <v>1</v>
      </c>
      <c r="E1138" s="647">
        <v>1</v>
      </c>
      <c r="F1138" s="235">
        <v>6.3650000000000002</v>
      </c>
      <c r="G1138" s="235">
        <v>3.72</v>
      </c>
      <c r="H1138" s="235"/>
      <c r="I1138" s="478">
        <f t="shared" si="164"/>
        <v>23.677800000000001</v>
      </c>
      <c r="J1138" s="167"/>
      <c r="K1138" s="758"/>
    </row>
    <row r="1139" spans="1:11">
      <c r="A1139" s="167"/>
      <c r="B1139" s="167"/>
      <c r="C1139" s="397" t="s">
        <v>71</v>
      </c>
      <c r="D1139" s="647">
        <v>1</v>
      </c>
      <c r="E1139" s="647">
        <v>1</v>
      </c>
      <c r="F1139" s="235">
        <v>4.1150000000000002</v>
      </c>
      <c r="G1139" s="235">
        <v>0.38500000000000001</v>
      </c>
      <c r="H1139" s="235"/>
      <c r="I1139" s="478">
        <f t="shared" si="164"/>
        <v>1.5842750000000001</v>
      </c>
      <c r="J1139" s="167"/>
      <c r="K1139" s="758"/>
    </row>
    <row r="1140" spans="1:11">
      <c r="A1140" s="167"/>
      <c r="B1140" s="167" t="s">
        <v>941</v>
      </c>
      <c r="C1140" s="397" t="s">
        <v>71</v>
      </c>
      <c r="D1140" s="647">
        <v>1</v>
      </c>
      <c r="E1140" s="647">
        <v>1</v>
      </c>
      <c r="F1140" s="235">
        <v>1.5</v>
      </c>
      <c r="G1140" s="235">
        <v>1.0349999999999999</v>
      </c>
      <c r="H1140" s="647"/>
      <c r="I1140" s="478">
        <f t="shared" si="164"/>
        <v>1.5524999999999998</v>
      </c>
      <c r="J1140" s="167"/>
      <c r="K1140" s="758"/>
    </row>
    <row r="1141" spans="1:11">
      <c r="A1141" s="167"/>
      <c r="B1141" s="167" t="s">
        <v>942</v>
      </c>
      <c r="C1141" s="397" t="s">
        <v>71</v>
      </c>
      <c r="D1141" s="647">
        <v>1</v>
      </c>
      <c r="E1141" s="647">
        <v>1</v>
      </c>
      <c r="F1141" s="235">
        <v>2.85</v>
      </c>
      <c r="G1141" s="235">
        <v>2.335</v>
      </c>
      <c r="H1141" s="647"/>
      <c r="I1141" s="478">
        <f t="shared" si="164"/>
        <v>6.6547499999999999</v>
      </c>
      <c r="J1141" s="167"/>
      <c r="K1141" s="758"/>
    </row>
    <row r="1142" spans="1:11">
      <c r="A1142" s="167"/>
      <c r="B1142" s="167" t="s">
        <v>943</v>
      </c>
      <c r="C1142" s="397" t="s">
        <v>71</v>
      </c>
      <c r="D1142" s="647">
        <v>1</v>
      </c>
      <c r="E1142" s="647">
        <v>1</v>
      </c>
      <c r="F1142" s="235">
        <v>6.3</v>
      </c>
      <c r="G1142" s="235">
        <v>2</v>
      </c>
      <c r="H1142" s="235"/>
      <c r="I1142" s="478">
        <f t="shared" si="164"/>
        <v>12.6</v>
      </c>
      <c r="J1142" s="167"/>
      <c r="K1142" s="758"/>
    </row>
    <row r="1143" spans="1:11">
      <c r="A1143" s="167"/>
      <c r="B1143" s="167" t="s">
        <v>944</v>
      </c>
      <c r="C1143" s="397" t="s">
        <v>71</v>
      </c>
      <c r="D1143" s="647">
        <v>1</v>
      </c>
      <c r="E1143" s="647">
        <v>1</v>
      </c>
      <c r="F1143" s="235">
        <v>4.0650000000000004</v>
      </c>
      <c r="G1143" s="235">
        <v>2</v>
      </c>
      <c r="H1143" s="235"/>
      <c r="I1143" s="478">
        <f t="shared" si="164"/>
        <v>8.1300000000000008</v>
      </c>
      <c r="J1143" s="167"/>
      <c r="K1143" s="758"/>
    </row>
    <row r="1144" spans="1:11">
      <c r="A1144" s="167"/>
      <c r="B1144" s="167" t="s">
        <v>945</v>
      </c>
      <c r="C1144" s="397" t="s">
        <v>71</v>
      </c>
      <c r="D1144" s="647">
        <v>1</v>
      </c>
      <c r="E1144" s="647">
        <v>1</v>
      </c>
      <c r="F1144" s="235">
        <v>1.4</v>
      </c>
      <c r="G1144" s="235">
        <v>2</v>
      </c>
      <c r="H1144" s="235"/>
      <c r="I1144" s="478">
        <f t="shared" si="164"/>
        <v>2.8</v>
      </c>
      <c r="J1144" s="167"/>
      <c r="K1144" s="758"/>
    </row>
    <row r="1145" spans="1:11">
      <c r="A1145" s="167"/>
      <c r="B1145" s="167"/>
      <c r="C1145" s="397" t="s">
        <v>71</v>
      </c>
      <c r="D1145" s="647">
        <v>1</v>
      </c>
      <c r="E1145" s="647">
        <v>1</v>
      </c>
      <c r="F1145" s="235">
        <v>1.1850000000000001</v>
      </c>
      <c r="G1145" s="235">
        <v>0.435</v>
      </c>
      <c r="H1145" s="235"/>
      <c r="I1145" s="478">
        <f t="shared" si="164"/>
        <v>0.51547500000000002</v>
      </c>
      <c r="J1145" s="167"/>
      <c r="K1145" s="758"/>
    </row>
    <row r="1146" spans="1:11">
      <c r="A1146" s="167"/>
      <c r="B1146" s="267"/>
      <c r="C1146" s="397"/>
      <c r="D1146" s="647"/>
      <c r="E1146" s="647"/>
      <c r="F1146" s="235"/>
      <c r="G1146" s="235"/>
      <c r="H1146" s="647"/>
      <c r="I1146" s="580">
        <f>SUBTOTAL(9,I1130:I1145)</f>
        <v>105.07302499999997</v>
      </c>
      <c r="J1146" s="167"/>
      <c r="K1146" s="758"/>
    </row>
    <row r="1147" spans="1:11">
      <c r="A1147" s="167"/>
      <c r="B1147" s="167"/>
      <c r="C1147" s="397"/>
      <c r="D1147" s="647"/>
      <c r="E1147" s="647"/>
      <c r="F1147" s="235"/>
      <c r="G1147" s="235"/>
      <c r="H1147" s="647"/>
      <c r="I1147" s="478"/>
      <c r="J1147" s="167"/>
      <c r="K1147" s="758"/>
    </row>
    <row r="1148" spans="1:11">
      <c r="A1148" s="167"/>
      <c r="B1148" s="267" t="s">
        <v>1289</v>
      </c>
      <c r="C1148" s="397"/>
      <c r="D1148" s="647"/>
      <c r="E1148" s="647"/>
      <c r="F1148" s="235"/>
      <c r="G1148" s="235"/>
      <c r="H1148" s="647"/>
      <c r="I1148" s="478">
        <f t="shared" ref="I1148" si="165">+PRODUCT(E1148:H1148)</f>
        <v>0</v>
      </c>
      <c r="J1148" s="167"/>
      <c r="K1148" s="758"/>
    </row>
    <row r="1149" spans="1:11">
      <c r="A1149" s="167"/>
      <c r="B1149" s="167" t="s">
        <v>946</v>
      </c>
      <c r="C1149" s="397" t="s">
        <v>71</v>
      </c>
      <c r="D1149" s="647">
        <v>1</v>
      </c>
      <c r="E1149" s="647">
        <v>1</v>
      </c>
      <c r="F1149" s="235">
        <v>3.56</v>
      </c>
      <c r="G1149" s="235">
        <v>3.2749999999999999</v>
      </c>
      <c r="H1149" s="647"/>
      <c r="I1149" s="478">
        <f>+PRODUCT(D1149:H1149)</f>
        <v>11.659000000000001</v>
      </c>
      <c r="J1149" s="167"/>
      <c r="K1149" s="758"/>
    </row>
    <row r="1150" spans="1:11">
      <c r="A1150" s="167"/>
      <c r="B1150" s="167" t="s">
        <v>947</v>
      </c>
      <c r="C1150" s="397" t="s">
        <v>71</v>
      </c>
      <c r="D1150" s="647">
        <v>1</v>
      </c>
      <c r="E1150" s="647">
        <v>1</v>
      </c>
      <c r="F1150" s="235">
        <v>3.25</v>
      </c>
      <c r="G1150" s="235">
        <v>2.9249999999999998</v>
      </c>
      <c r="H1150" s="647"/>
      <c r="I1150" s="478">
        <f t="shared" ref="I1150:I1163" si="166">+PRODUCT(D1150:H1150)</f>
        <v>9.5062499999999996</v>
      </c>
      <c r="J1150" s="167"/>
      <c r="K1150" s="758"/>
    </row>
    <row r="1151" spans="1:11">
      <c r="A1151" s="167"/>
      <c r="B1151" s="167" t="s">
        <v>948</v>
      </c>
      <c r="C1151" s="397" t="s">
        <v>71</v>
      </c>
      <c r="D1151" s="647">
        <v>1</v>
      </c>
      <c r="E1151" s="647">
        <v>1</v>
      </c>
      <c r="F1151" s="235">
        <v>3.58</v>
      </c>
      <c r="G1151" s="235">
        <v>3.05</v>
      </c>
      <c r="H1151" s="647"/>
      <c r="I1151" s="478">
        <f t="shared" si="166"/>
        <v>10.918999999999999</v>
      </c>
      <c r="J1151" s="167"/>
      <c r="K1151" s="758"/>
    </row>
    <row r="1152" spans="1:11">
      <c r="A1152" s="167"/>
      <c r="B1152" s="167" t="s">
        <v>939</v>
      </c>
      <c r="C1152" s="397" t="s">
        <v>71</v>
      </c>
      <c r="D1152" s="647">
        <v>1</v>
      </c>
      <c r="E1152" s="647">
        <v>1</v>
      </c>
      <c r="F1152" s="235">
        <v>2.9249999999999998</v>
      </c>
      <c r="G1152" s="235">
        <v>1.7</v>
      </c>
      <c r="H1152" s="647"/>
      <c r="I1152" s="478">
        <f t="shared" si="166"/>
        <v>4.9724999999999993</v>
      </c>
      <c r="J1152" s="167"/>
      <c r="K1152" s="758"/>
    </row>
    <row r="1153" spans="1:11">
      <c r="A1153" s="167"/>
      <c r="B1153" s="167" t="s">
        <v>949</v>
      </c>
      <c r="C1153" s="397" t="s">
        <v>71</v>
      </c>
      <c r="D1153" s="647">
        <v>1</v>
      </c>
      <c r="E1153" s="647">
        <v>1</v>
      </c>
      <c r="F1153" s="235">
        <v>3.25</v>
      </c>
      <c r="G1153" s="235">
        <v>2.3650000000000002</v>
      </c>
      <c r="H1153" s="647"/>
      <c r="I1153" s="478">
        <f t="shared" si="166"/>
        <v>7.6862500000000011</v>
      </c>
      <c r="J1153" s="167"/>
      <c r="K1153" s="758"/>
    </row>
    <row r="1154" spans="1:11">
      <c r="A1154" s="167"/>
      <c r="B1154" s="167" t="s">
        <v>950</v>
      </c>
      <c r="C1154" s="397" t="s">
        <v>71</v>
      </c>
      <c r="D1154" s="647">
        <v>1</v>
      </c>
      <c r="E1154" s="647">
        <v>1</v>
      </c>
      <c r="F1154" s="235">
        <v>5.23</v>
      </c>
      <c r="G1154" s="235">
        <v>3.33</v>
      </c>
      <c r="H1154" s="235"/>
      <c r="I1154" s="478">
        <f t="shared" si="166"/>
        <v>17.415900000000001</v>
      </c>
      <c r="J1154" s="167"/>
      <c r="K1154" s="758"/>
    </row>
    <row r="1155" spans="1:11">
      <c r="A1155" s="167"/>
      <c r="B1155" s="167"/>
      <c r="C1155" s="397" t="s">
        <v>71</v>
      </c>
      <c r="D1155" s="647">
        <v>1</v>
      </c>
      <c r="E1155" s="647">
        <v>1</v>
      </c>
      <c r="F1155" s="235">
        <v>3.4</v>
      </c>
      <c r="G1155" s="235">
        <v>0.94</v>
      </c>
      <c r="H1155" s="235"/>
      <c r="I1155" s="478">
        <f t="shared" si="166"/>
        <v>3.1959999999999997</v>
      </c>
      <c r="J1155" s="167"/>
      <c r="K1155" s="758"/>
    </row>
    <row r="1156" spans="1:11">
      <c r="A1156" s="167"/>
      <c r="B1156" s="167"/>
      <c r="C1156" s="397" t="s">
        <v>71</v>
      </c>
      <c r="D1156" s="647">
        <v>1</v>
      </c>
      <c r="E1156" s="647">
        <v>1</v>
      </c>
      <c r="F1156" s="235">
        <v>2.5499999999999998</v>
      </c>
      <c r="G1156" s="235">
        <v>1.47</v>
      </c>
      <c r="H1156" s="235"/>
      <c r="I1156" s="478">
        <f t="shared" si="166"/>
        <v>3.7484999999999995</v>
      </c>
      <c r="J1156" s="167"/>
      <c r="K1156" s="758"/>
    </row>
    <row r="1157" spans="1:11">
      <c r="A1157" s="167"/>
      <c r="B1157" s="167" t="s">
        <v>1060</v>
      </c>
      <c r="C1157" s="397" t="s">
        <v>71</v>
      </c>
      <c r="D1157" s="647">
        <v>1</v>
      </c>
      <c r="E1157" s="647">
        <v>1</v>
      </c>
      <c r="F1157" s="235">
        <v>2.41</v>
      </c>
      <c r="G1157" s="235">
        <v>1.43</v>
      </c>
      <c r="H1157" s="235"/>
      <c r="I1157" s="478">
        <f t="shared" si="166"/>
        <v>3.4462999999999999</v>
      </c>
      <c r="J1157" s="167"/>
      <c r="K1157" s="758"/>
    </row>
    <row r="1158" spans="1:11">
      <c r="A1158" s="167"/>
      <c r="B1158" s="167" t="s">
        <v>937</v>
      </c>
      <c r="C1158" s="397" t="s">
        <v>71</v>
      </c>
      <c r="D1158" s="647">
        <v>1</v>
      </c>
      <c r="E1158" s="647">
        <v>1</v>
      </c>
      <c r="F1158" s="235">
        <v>2.2250000000000001</v>
      </c>
      <c r="G1158" s="235">
        <v>1.4950000000000001</v>
      </c>
      <c r="H1158" s="647"/>
      <c r="I1158" s="478">
        <f t="shared" si="166"/>
        <v>3.3263750000000005</v>
      </c>
      <c r="J1158" s="167"/>
      <c r="K1158" s="758"/>
    </row>
    <row r="1159" spans="1:11">
      <c r="A1159" s="167"/>
      <c r="B1159" s="167" t="s">
        <v>938</v>
      </c>
      <c r="C1159" s="397" t="s">
        <v>71</v>
      </c>
      <c r="D1159" s="647">
        <v>1</v>
      </c>
      <c r="E1159" s="647">
        <v>1</v>
      </c>
      <c r="F1159" s="235">
        <v>3.3849999999999998</v>
      </c>
      <c r="G1159" s="235">
        <v>1.425</v>
      </c>
      <c r="H1159" s="647"/>
      <c r="I1159" s="478">
        <f t="shared" si="166"/>
        <v>4.8236249999999998</v>
      </c>
      <c r="J1159" s="167"/>
      <c r="K1159" s="758"/>
    </row>
    <row r="1160" spans="1:11">
      <c r="A1160" s="167"/>
      <c r="B1160" s="167" t="s">
        <v>951</v>
      </c>
      <c r="C1160" s="397" t="s">
        <v>71</v>
      </c>
      <c r="D1160" s="647">
        <v>1</v>
      </c>
      <c r="E1160" s="647">
        <v>1</v>
      </c>
      <c r="F1160" s="235">
        <v>2.41</v>
      </c>
      <c r="G1160" s="235">
        <v>1.54</v>
      </c>
      <c r="H1160" s="647"/>
      <c r="I1160" s="478">
        <f t="shared" si="166"/>
        <v>3.7114000000000003</v>
      </c>
      <c r="J1160" s="167"/>
      <c r="K1160" s="758"/>
    </row>
    <row r="1161" spans="1:11">
      <c r="A1161" s="167"/>
      <c r="B1161" s="167" t="s">
        <v>952</v>
      </c>
      <c r="C1161" s="397" t="s">
        <v>71</v>
      </c>
      <c r="D1161" s="647">
        <v>1</v>
      </c>
      <c r="E1161" s="647">
        <v>1</v>
      </c>
      <c r="F1161" s="235">
        <v>4.665</v>
      </c>
      <c r="G1161" s="235">
        <v>2</v>
      </c>
      <c r="H1161" s="235"/>
      <c r="I1161" s="478">
        <f t="shared" si="166"/>
        <v>9.33</v>
      </c>
      <c r="J1161" s="167"/>
      <c r="K1161" s="758"/>
    </row>
    <row r="1162" spans="1:11">
      <c r="A1162" s="167"/>
      <c r="B1162" s="167" t="s">
        <v>953</v>
      </c>
      <c r="C1162" s="397" t="s">
        <v>71</v>
      </c>
      <c r="D1162" s="647">
        <v>1</v>
      </c>
      <c r="E1162" s="647">
        <v>1</v>
      </c>
      <c r="F1162" s="235">
        <v>5.1050000000000004</v>
      </c>
      <c r="G1162" s="235">
        <v>2</v>
      </c>
      <c r="H1162" s="235"/>
      <c r="I1162" s="478">
        <f t="shared" si="166"/>
        <v>10.210000000000001</v>
      </c>
      <c r="J1162" s="167"/>
      <c r="K1162" s="758"/>
    </row>
    <row r="1163" spans="1:11">
      <c r="A1163" s="167"/>
      <c r="B1163" s="167" t="s">
        <v>954</v>
      </c>
      <c r="C1163" s="397" t="s">
        <v>71</v>
      </c>
      <c r="D1163" s="647">
        <v>1</v>
      </c>
      <c r="E1163" s="647">
        <v>1</v>
      </c>
      <c r="F1163" s="235">
        <v>3.2650000000000001</v>
      </c>
      <c r="G1163" s="235">
        <v>2</v>
      </c>
      <c r="H1163" s="235"/>
      <c r="I1163" s="478">
        <f t="shared" si="166"/>
        <v>6.53</v>
      </c>
      <c r="J1163" s="167"/>
      <c r="K1163" s="758"/>
    </row>
    <row r="1164" spans="1:11">
      <c r="A1164" s="167"/>
      <c r="B1164" s="267"/>
      <c r="C1164" s="267"/>
      <c r="D1164" s="647"/>
      <c r="E1164" s="167"/>
      <c r="F1164" s="586"/>
      <c r="G1164" s="586"/>
      <c r="H1164" s="167"/>
      <c r="I1164" s="580">
        <f>SUBTOTAL(9,I1149:I1163)</f>
        <v>110.48109999999997</v>
      </c>
      <c r="J1164" s="167"/>
      <c r="K1164" s="758"/>
    </row>
    <row r="1165" spans="1:11">
      <c r="A1165" s="167"/>
      <c r="B1165" s="167"/>
      <c r="C1165" s="397"/>
      <c r="D1165" s="647"/>
      <c r="E1165" s="647"/>
      <c r="F1165" s="235"/>
      <c r="G1165" s="235"/>
      <c r="H1165" s="647"/>
      <c r="I1165" s="478"/>
      <c r="J1165" s="167"/>
      <c r="K1165" s="758"/>
    </row>
    <row r="1166" spans="1:11">
      <c r="A1166" s="167"/>
      <c r="B1166" s="267" t="s">
        <v>1290</v>
      </c>
      <c r="C1166" s="397"/>
      <c r="D1166" s="647"/>
      <c r="E1166" s="647"/>
      <c r="F1166" s="235"/>
      <c r="G1166" s="235"/>
      <c r="H1166" s="647"/>
      <c r="I1166" s="478">
        <f t="shared" ref="I1166" si="167">+PRODUCT(E1166:H1166)</f>
        <v>0</v>
      </c>
      <c r="J1166" s="167"/>
      <c r="K1166" s="758"/>
    </row>
    <row r="1167" spans="1:11">
      <c r="A1167" s="167"/>
      <c r="B1167" s="167" t="s">
        <v>946</v>
      </c>
      <c r="C1167" s="397" t="s">
        <v>71</v>
      </c>
      <c r="D1167" s="647">
        <v>1</v>
      </c>
      <c r="E1167" s="647">
        <v>1</v>
      </c>
      <c r="F1167" s="595">
        <v>3.56</v>
      </c>
      <c r="G1167" s="595">
        <v>3.2450000000000001</v>
      </c>
      <c r="H1167" s="647"/>
      <c r="I1167" s="478">
        <f>+PRODUCT(D1167:H1167)</f>
        <v>11.552200000000001</v>
      </c>
      <c r="J1167" s="167"/>
      <c r="K1167" s="758"/>
    </row>
    <row r="1168" spans="1:11">
      <c r="A1168" s="167"/>
      <c r="B1168" s="167" t="s">
        <v>947</v>
      </c>
      <c r="C1168" s="397" t="s">
        <v>71</v>
      </c>
      <c r="D1168" s="647">
        <v>1</v>
      </c>
      <c r="E1168" s="647">
        <v>1</v>
      </c>
      <c r="F1168" s="595">
        <v>3.25</v>
      </c>
      <c r="G1168" s="595">
        <v>2.9249999999999998</v>
      </c>
      <c r="H1168" s="647"/>
      <c r="I1168" s="478">
        <f t="shared" ref="I1168:I1177" si="168">+PRODUCT(D1168:H1168)</f>
        <v>9.5062499999999996</v>
      </c>
      <c r="J1168" s="167"/>
      <c r="K1168" s="758"/>
    </row>
    <row r="1169" spans="1:11">
      <c r="A1169" s="167"/>
      <c r="B1169" s="167" t="s">
        <v>939</v>
      </c>
      <c r="C1169" s="397" t="s">
        <v>71</v>
      </c>
      <c r="D1169" s="647">
        <v>1</v>
      </c>
      <c r="E1169" s="647">
        <v>1</v>
      </c>
      <c r="F1169" s="595">
        <v>2.9249999999999998</v>
      </c>
      <c r="G1169" s="595">
        <v>1.7</v>
      </c>
      <c r="H1169" s="647"/>
      <c r="I1169" s="478">
        <f t="shared" si="168"/>
        <v>4.9724999999999993</v>
      </c>
      <c r="J1169" s="167"/>
      <c r="K1169" s="758"/>
    </row>
    <row r="1170" spans="1:11">
      <c r="A1170" s="167"/>
      <c r="B1170" s="167" t="s">
        <v>949</v>
      </c>
      <c r="C1170" s="397" t="s">
        <v>71</v>
      </c>
      <c r="D1170" s="647">
        <v>1</v>
      </c>
      <c r="E1170" s="647">
        <v>1</v>
      </c>
      <c r="F1170" s="595">
        <v>3.25</v>
      </c>
      <c r="G1170" s="595">
        <v>2.3650000000000002</v>
      </c>
      <c r="H1170" s="647"/>
      <c r="I1170" s="478">
        <f t="shared" si="168"/>
        <v>7.6862500000000011</v>
      </c>
      <c r="J1170" s="167"/>
      <c r="K1170" s="758"/>
    </row>
    <row r="1171" spans="1:11">
      <c r="A1171" s="167"/>
      <c r="B1171" s="167" t="s">
        <v>950</v>
      </c>
      <c r="C1171" s="397" t="s">
        <v>71</v>
      </c>
      <c r="D1171" s="647">
        <v>1</v>
      </c>
      <c r="E1171" s="647">
        <v>1</v>
      </c>
      <c r="F1171" s="235">
        <v>5.23</v>
      </c>
      <c r="G1171" s="235">
        <v>3.33</v>
      </c>
      <c r="H1171" s="235"/>
      <c r="I1171" s="478">
        <f t="shared" si="168"/>
        <v>17.415900000000001</v>
      </c>
      <c r="J1171" s="167"/>
      <c r="K1171" s="758"/>
    </row>
    <row r="1172" spans="1:11">
      <c r="A1172" s="167"/>
      <c r="B1172" s="167"/>
      <c r="C1172" s="397" t="s">
        <v>71</v>
      </c>
      <c r="D1172" s="647">
        <v>1</v>
      </c>
      <c r="E1172" s="647">
        <v>1</v>
      </c>
      <c r="F1172" s="235">
        <v>3.4</v>
      </c>
      <c r="G1172" s="235">
        <v>0.94</v>
      </c>
      <c r="H1172" s="235"/>
      <c r="I1172" s="478">
        <f t="shared" si="168"/>
        <v>3.1959999999999997</v>
      </c>
      <c r="J1172" s="167"/>
      <c r="K1172" s="758"/>
    </row>
    <row r="1173" spans="1:11">
      <c r="A1173" s="167"/>
      <c r="B1173" s="167"/>
      <c r="C1173" s="397" t="s">
        <v>71</v>
      </c>
      <c r="D1173" s="647">
        <v>1</v>
      </c>
      <c r="E1173" s="647">
        <v>1</v>
      </c>
      <c r="F1173" s="235">
        <v>2.5499999999999998</v>
      </c>
      <c r="G1173" s="235">
        <v>1.47</v>
      </c>
      <c r="H1173" s="235"/>
      <c r="I1173" s="478">
        <f t="shared" si="168"/>
        <v>3.7484999999999995</v>
      </c>
      <c r="J1173" s="167"/>
      <c r="K1173" s="758"/>
    </row>
    <row r="1174" spans="1:11">
      <c r="A1174" s="167"/>
      <c r="B1174" s="167" t="s">
        <v>937</v>
      </c>
      <c r="C1174" s="397" t="s">
        <v>71</v>
      </c>
      <c r="D1174" s="647">
        <v>1</v>
      </c>
      <c r="E1174" s="647">
        <v>1</v>
      </c>
      <c r="F1174" s="235">
        <v>2.2250000000000001</v>
      </c>
      <c r="G1174" s="235">
        <v>1.4950000000000001</v>
      </c>
      <c r="H1174" s="647"/>
      <c r="I1174" s="478">
        <f t="shared" si="168"/>
        <v>3.3263750000000005</v>
      </c>
      <c r="J1174" s="167"/>
      <c r="K1174" s="758"/>
    </row>
    <row r="1175" spans="1:11">
      <c r="A1175" s="167"/>
      <c r="B1175" s="167" t="s">
        <v>938</v>
      </c>
      <c r="C1175" s="397" t="s">
        <v>71</v>
      </c>
      <c r="D1175" s="647">
        <v>1</v>
      </c>
      <c r="E1175" s="647">
        <v>1</v>
      </c>
      <c r="F1175" s="595">
        <v>3.3849999999999998</v>
      </c>
      <c r="G1175" s="235">
        <v>1.425</v>
      </c>
      <c r="H1175" s="647"/>
      <c r="I1175" s="478">
        <f t="shared" si="168"/>
        <v>4.8236249999999998</v>
      </c>
      <c r="J1175" s="167"/>
      <c r="K1175" s="758"/>
    </row>
    <row r="1176" spans="1:11">
      <c r="A1176" s="167"/>
      <c r="B1176" s="167" t="s">
        <v>952</v>
      </c>
      <c r="C1176" s="397" t="s">
        <v>71</v>
      </c>
      <c r="D1176" s="647">
        <v>1</v>
      </c>
      <c r="E1176" s="647">
        <v>1</v>
      </c>
      <c r="F1176" s="235">
        <v>4.665</v>
      </c>
      <c r="G1176" s="235">
        <v>2</v>
      </c>
      <c r="H1176" s="235"/>
      <c r="I1176" s="478">
        <f t="shared" si="168"/>
        <v>9.33</v>
      </c>
      <c r="J1176" s="167"/>
      <c r="K1176" s="758"/>
    </row>
    <row r="1177" spans="1:11">
      <c r="A1177" s="167"/>
      <c r="B1177" s="167" t="s">
        <v>953</v>
      </c>
      <c r="C1177" s="397" t="s">
        <v>71</v>
      </c>
      <c r="D1177" s="647">
        <v>1</v>
      </c>
      <c r="E1177" s="647">
        <v>1</v>
      </c>
      <c r="F1177" s="235">
        <v>5.1050000000000004</v>
      </c>
      <c r="G1177" s="235">
        <v>2</v>
      </c>
      <c r="H1177" s="235"/>
      <c r="I1177" s="478">
        <f t="shared" si="168"/>
        <v>10.210000000000001</v>
      </c>
      <c r="J1177" s="167"/>
      <c r="K1177" s="758"/>
    </row>
    <row r="1178" spans="1:11">
      <c r="A1178" s="167"/>
      <c r="B1178" s="267"/>
      <c r="C1178" s="267"/>
      <c r="D1178" s="647"/>
      <c r="E1178" s="167"/>
      <c r="F1178" s="586"/>
      <c r="G1178" s="586"/>
      <c r="H1178" s="167"/>
      <c r="I1178" s="580">
        <f>SUBTOTAL(9,I1167:I1177)</f>
        <v>85.767599999999987</v>
      </c>
      <c r="J1178" s="167"/>
      <c r="K1178" s="758"/>
    </row>
    <row r="1179" spans="1:11">
      <c r="A1179" s="167"/>
      <c r="B1179" s="167"/>
      <c r="C1179" s="167"/>
      <c r="D1179" s="647"/>
      <c r="E1179" s="167"/>
      <c r="F1179" s="586"/>
      <c r="G1179" s="586"/>
      <c r="H1179" s="167"/>
      <c r="I1179" s="477"/>
      <c r="J1179" s="167"/>
      <c r="K1179" s="758"/>
    </row>
    <row r="1180" spans="1:11">
      <c r="A1180" s="167"/>
      <c r="B1180" s="267" t="s">
        <v>1291</v>
      </c>
      <c r="C1180" s="267"/>
      <c r="D1180" s="647"/>
      <c r="E1180" s="167"/>
      <c r="F1180" s="586"/>
      <c r="G1180" s="586"/>
      <c r="H1180" s="167"/>
      <c r="I1180" s="477"/>
      <c r="J1180" s="167"/>
      <c r="K1180" s="758"/>
    </row>
    <row r="1181" spans="1:11">
      <c r="A1181" s="167"/>
      <c r="B1181" s="167" t="s">
        <v>946</v>
      </c>
      <c r="C1181" s="167"/>
      <c r="D1181" s="647">
        <v>3</v>
      </c>
      <c r="E1181" s="167">
        <v>1</v>
      </c>
      <c r="F1181" s="586">
        <v>3.86</v>
      </c>
      <c r="G1181" s="586">
        <v>3.25</v>
      </c>
      <c r="H1181" s="167"/>
      <c r="I1181" s="477">
        <f>+PRODUCT(D1181:H1181)</f>
        <v>37.634999999999998</v>
      </c>
      <c r="J1181" s="167"/>
      <c r="K1181" s="758"/>
    </row>
    <row r="1182" spans="1:11">
      <c r="A1182" s="167"/>
      <c r="B1182" s="167" t="s">
        <v>947</v>
      </c>
      <c r="C1182" s="167"/>
      <c r="D1182" s="647">
        <v>3</v>
      </c>
      <c r="E1182" s="167">
        <v>1</v>
      </c>
      <c r="F1182" s="586">
        <v>3.86</v>
      </c>
      <c r="G1182" s="586">
        <v>3.335</v>
      </c>
      <c r="H1182" s="167"/>
      <c r="I1182" s="477">
        <f t="shared" ref="I1182:I1194" si="169">+PRODUCT(D1182:H1182)</f>
        <v>38.619300000000003</v>
      </c>
      <c r="J1182" s="167"/>
      <c r="K1182" s="758"/>
    </row>
    <row r="1183" spans="1:11">
      <c r="A1183" s="167"/>
      <c r="B1183" s="167" t="s">
        <v>948</v>
      </c>
      <c r="C1183" s="167"/>
      <c r="D1183" s="647">
        <v>3</v>
      </c>
      <c r="E1183" s="167">
        <v>1</v>
      </c>
      <c r="F1183" s="586">
        <v>3.55</v>
      </c>
      <c r="G1183" s="586">
        <v>3.2650000000000001</v>
      </c>
      <c r="H1183" s="167"/>
      <c r="I1183" s="477">
        <f t="shared" si="169"/>
        <v>34.77225</v>
      </c>
      <c r="J1183" s="167"/>
      <c r="K1183" s="758"/>
    </row>
    <row r="1184" spans="1:11">
      <c r="A1184" s="167"/>
      <c r="B1184" s="167" t="s">
        <v>940</v>
      </c>
      <c r="C1184" s="167"/>
      <c r="D1184" s="647">
        <v>3</v>
      </c>
      <c r="E1184" s="167">
        <v>1</v>
      </c>
      <c r="F1184" s="586">
        <v>6.2450000000000001</v>
      </c>
      <c r="G1184" s="586">
        <v>3.3149999999999999</v>
      </c>
      <c r="H1184" s="167"/>
      <c r="I1184" s="477">
        <f t="shared" si="169"/>
        <v>62.106524999999998</v>
      </c>
      <c r="J1184" s="167"/>
      <c r="K1184" s="758"/>
    </row>
    <row r="1185" spans="1:11">
      <c r="A1185" s="167"/>
      <c r="B1185" s="167"/>
      <c r="C1185" s="167"/>
      <c r="D1185" s="647">
        <v>3</v>
      </c>
      <c r="E1185" s="167">
        <v>1</v>
      </c>
      <c r="F1185" s="586">
        <v>3.17</v>
      </c>
      <c r="G1185" s="586">
        <v>1.91</v>
      </c>
      <c r="H1185" s="167"/>
      <c r="I1185" s="477">
        <f t="shared" si="169"/>
        <v>18.164099999999998</v>
      </c>
      <c r="J1185" s="167"/>
      <c r="K1185" s="758"/>
    </row>
    <row r="1186" spans="1:11">
      <c r="A1186" s="167"/>
      <c r="B1186" s="167" t="s">
        <v>949</v>
      </c>
      <c r="C1186" s="167"/>
      <c r="D1186" s="647">
        <v>3</v>
      </c>
      <c r="E1186" s="167">
        <v>1</v>
      </c>
      <c r="F1186" s="586">
        <v>3.4350000000000001</v>
      </c>
      <c r="G1186" s="586">
        <v>2.3450000000000002</v>
      </c>
      <c r="H1186" s="167"/>
      <c r="I1186" s="477">
        <f t="shared" si="169"/>
        <v>24.165225000000003</v>
      </c>
      <c r="J1186" s="167"/>
      <c r="K1186" s="758"/>
    </row>
    <row r="1187" spans="1:11">
      <c r="A1187" s="167"/>
      <c r="B1187" s="167" t="s">
        <v>937</v>
      </c>
      <c r="C1187" s="167"/>
      <c r="D1187" s="647">
        <v>3</v>
      </c>
      <c r="E1187" s="167">
        <v>1</v>
      </c>
      <c r="F1187" s="586">
        <v>3.86</v>
      </c>
      <c r="G1187" s="586">
        <v>1.44</v>
      </c>
      <c r="H1187" s="167"/>
      <c r="I1187" s="477">
        <f t="shared" si="169"/>
        <v>16.6752</v>
      </c>
      <c r="J1187" s="167"/>
      <c r="K1187" s="758"/>
    </row>
    <row r="1188" spans="1:11">
      <c r="A1188" s="167"/>
      <c r="B1188" s="167" t="s">
        <v>938</v>
      </c>
      <c r="C1188" s="167"/>
      <c r="D1188" s="647">
        <v>3</v>
      </c>
      <c r="E1188" s="167">
        <v>1</v>
      </c>
      <c r="F1188" s="586">
        <v>3.55</v>
      </c>
      <c r="G1188" s="586">
        <v>1.425</v>
      </c>
      <c r="H1188" s="167"/>
      <c r="I1188" s="477">
        <f t="shared" si="169"/>
        <v>15.176249999999998</v>
      </c>
      <c r="J1188" s="167"/>
      <c r="K1188" s="758"/>
    </row>
    <row r="1189" spans="1:11">
      <c r="A1189" s="167"/>
      <c r="B1189" s="167" t="s">
        <v>951</v>
      </c>
      <c r="C1189" s="167"/>
      <c r="D1189" s="647">
        <v>3</v>
      </c>
      <c r="E1189" s="167">
        <v>1</v>
      </c>
      <c r="F1189" s="586">
        <v>3.55</v>
      </c>
      <c r="G1189" s="586">
        <v>1.425</v>
      </c>
      <c r="H1189" s="167"/>
      <c r="I1189" s="477">
        <f t="shared" si="169"/>
        <v>15.176249999999998</v>
      </c>
      <c r="J1189" s="167"/>
      <c r="K1189" s="758"/>
    </row>
    <row r="1190" spans="1:11">
      <c r="A1190" s="167"/>
      <c r="B1190" s="167" t="s">
        <v>936</v>
      </c>
      <c r="C1190" s="167"/>
      <c r="D1190" s="647">
        <v>3</v>
      </c>
      <c r="E1190" s="167">
        <v>1</v>
      </c>
      <c r="F1190" s="586">
        <v>1.2450000000000001</v>
      </c>
      <c r="G1190" s="586">
        <v>0.51500000000000001</v>
      </c>
      <c r="H1190" s="167"/>
      <c r="I1190" s="477">
        <f t="shared" si="169"/>
        <v>1.9235250000000002</v>
      </c>
      <c r="J1190" s="167"/>
      <c r="K1190" s="758"/>
    </row>
    <row r="1191" spans="1:11">
      <c r="A1191" s="167"/>
      <c r="B1191" s="167" t="s">
        <v>936</v>
      </c>
      <c r="C1191" s="167"/>
      <c r="D1191" s="647">
        <v>3</v>
      </c>
      <c r="E1191" s="167">
        <v>1</v>
      </c>
      <c r="F1191" s="586">
        <v>0.97</v>
      </c>
      <c r="G1191" s="586">
        <v>0.41499999999999998</v>
      </c>
      <c r="H1191" s="167"/>
      <c r="I1191" s="477">
        <f t="shared" si="169"/>
        <v>1.2076499999999999</v>
      </c>
      <c r="J1191" s="167"/>
      <c r="K1191" s="758"/>
    </row>
    <row r="1192" spans="1:11">
      <c r="A1192" s="167"/>
      <c r="B1192" s="167" t="s">
        <v>952</v>
      </c>
      <c r="C1192" s="167"/>
      <c r="D1192" s="647">
        <v>3</v>
      </c>
      <c r="E1192" s="167">
        <v>1</v>
      </c>
      <c r="F1192" s="586">
        <v>5.93</v>
      </c>
      <c r="G1192" s="586">
        <v>2</v>
      </c>
      <c r="H1192" s="593"/>
      <c r="I1192" s="477">
        <f t="shared" si="169"/>
        <v>35.58</v>
      </c>
      <c r="J1192" s="167"/>
      <c r="K1192" s="758"/>
    </row>
    <row r="1193" spans="1:11">
      <c r="A1193" s="167"/>
      <c r="B1193" s="167" t="s">
        <v>953</v>
      </c>
      <c r="C1193" s="167"/>
      <c r="D1193" s="647">
        <v>3</v>
      </c>
      <c r="E1193" s="167">
        <v>1</v>
      </c>
      <c r="F1193" s="586">
        <f>3.515+0.05</f>
        <v>3.5649999999999999</v>
      </c>
      <c r="G1193" s="586">
        <v>2</v>
      </c>
      <c r="H1193" s="593"/>
      <c r="I1193" s="477">
        <f t="shared" si="169"/>
        <v>21.39</v>
      </c>
      <c r="J1193" s="167"/>
      <c r="K1193" s="758"/>
    </row>
    <row r="1194" spans="1:11">
      <c r="A1194" s="167"/>
      <c r="B1194" s="167" t="s">
        <v>954</v>
      </c>
      <c r="C1194" s="167"/>
      <c r="D1194" s="647">
        <v>3</v>
      </c>
      <c r="E1194" s="167">
        <v>1</v>
      </c>
      <c r="F1194" s="586">
        <v>1.55</v>
      </c>
      <c r="G1194" s="586">
        <v>2</v>
      </c>
      <c r="H1194" s="593"/>
      <c r="I1194" s="477">
        <f t="shared" si="169"/>
        <v>9.3000000000000007</v>
      </c>
      <c r="J1194" s="167"/>
      <c r="K1194" s="758"/>
    </row>
    <row r="1195" spans="1:11">
      <c r="A1195" s="167"/>
      <c r="B1195" s="267"/>
      <c r="C1195" s="267"/>
      <c r="D1195" s="647"/>
      <c r="E1195" s="267"/>
      <c r="F1195" s="269"/>
      <c r="G1195" s="269"/>
      <c r="H1195" s="267"/>
      <c r="I1195" s="580">
        <f>SUBTOTAL(9,I1180:I1194)</f>
        <v>331.89127499999995</v>
      </c>
      <c r="J1195" s="167"/>
      <c r="K1195" s="758"/>
    </row>
    <row r="1196" spans="1:11">
      <c r="A1196" s="167"/>
      <c r="B1196" s="167"/>
      <c r="C1196" s="167"/>
      <c r="D1196" s="647"/>
      <c r="E1196" s="167"/>
      <c r="F1196" s="586"/>
      <c r="G1196" s="586"/>
      <c r="H1196" s="167"/>
      <c r="I1196" s="477"/>
      <c r="J1196" s="167"/>
      <c r="K1196" s="758"/>
    </row>
    <row r="1197" spans="1:11">
      <c r="A1197" s="167"/>
      <c r="B1197" s="267" t="s">
        <v>1299</v>
      </c>
      <c r="C1197" s="167"/>
      <c r="D1197" s="647">
        <v>1</v>
      </c>
      <c r="E1197" s="167">
        <v>1</v>
      </c>
      <c r="F1197" s="594">
        <v>5.09</v>
      </c>
      <c r="G1197" s="594">
        <v>1.5</v>
      </c>
      <c r="H1197" s="167"/>
      <c r="I1197" s="477">
        <f>+PRODUCT(D1197:H1197)</f>
        <v>7.6349999999999998</v>
      </c>
      <c r="J1197" s="167"/>
      <c r="K1197" s="758"/>
    </row>
    <row r="1198" spans="1:11">
      <c r="A1198" s="167"/>
      <c r="B1198" s="167"/>
      <c r="C1198" s="167"/>
      <c r="D1198" s="647">
        <v>1</v>
      </c>
      <c r="E1198" s="167">
        <v>1</v>
      </c>
      <c r="F1198" s="594">
        <v>3.14</v>
      </c>
      <c r="G1198" s="594">
        <v>0.95499999999999996</v>
      </c>
      <c r="H1198" s="167"/>
      <c r="I1198" s="477">
        <f t="shared" ref="I1198:I1202" si="170">+PRODUCT(D1198:H1198)</f>
        <v>2.9986999999999999</v>
      </c>
      <c r="J1198" s="167"/>
      <c r="K1198" s="758"/>
    </row>
    <row r="1199" spans="1:11">
      <c r="A1199" s="167"/>
      <c r="B1199" s="267" t="s">
        <v>955</v>
      </c>
      <c r="C1199" s="167"/>
      <c r="D1199" s="647">
        <v>1</v>
      </c>
      <c r="E1199" s="167">
        <v>1</v>
      </c>
      <c r="F1199" s="594">
        <v>3.95</v>
      </c>
      <c r="G1199" s="594">
        <v>1.61</v>
      </c>
      <c r="H1199" s="167"/>
      <c r="I1199" s="477">
        <f t="shared" si="170"/>
        <v>6.3595000000000006</v>
      </c>
      <c r="J1199" s="167"/>
      <c r="K1199" s="758"/>
    </row>
    <row r="1200" spans="1:11">
      <c r="A1200" s="167"/>
      <c r="B1200" s="167"/>
      <c r="C1200" s="167"/>
      <c r="D1200" s="647">
        <v>1</v>
      </c>
      <c r="E1200" s="167">
        <v>1</v>
      </c>
      <c r="F1200" s="594">
        <v>5.6349999999999998</v>
      </c>
      <c r="G1200" s="594">
        <v>2.44</v>
      </c>
      <c r="H1200" s="167"/>
      <c r="I1200" s="477">
        <f t="shared" si="170"/>
        <v>13.7494</v>
      </c>
      <c r="J1200" s="167"/>
      <c r="K1200" s="758"/>
    </row>
    <row r="1201" spans="1:11">
      <c r="A1201" s="167"/>
      <c r="B1201" s="267" t="s">
        <v>1293</v>
      </c>
      <c r="C1201" s="167"/>
      <c r="D1201" s="647">
        <v>1</v>
      </c>
      <c r="E1201" s="167">
        <v>1</v>
      </c>
      <c r="F1201" s="594">
        <v>4.79</v>
      </c>
      <c r="G1201" s="594">
        <v>3.19</v>
      </c>
      <c r="H1201" s="167"/>
      <c r="I1201" s="477">
        <f t="shared" si="170"/>
        <v>15.280099999999999</v>
      </c>
      <c r="J1201" s="167"/>
      <c r="K1201" s="758"/>
    </row>
    <row r="1202" spans="1:11">
      <c r="A1202" s="167"/>
      <c r="B1202" s="167"/>
      <c r="C1202" s="167"/>
      <c r="D1202" s="647">
        <v>1</v>
      </c>
      <c r="E1202" s="167">
        <v>1</v>
      </c>
      <c r="F1202" s="594">
        <v>1.4</v>
      </c>
      <c r="G1202" s="594">
        <v>0.65500000000000003</v>
      </c>
      <c r="H1202" s="167"/>
      <c r="I1202" s="477">
        <f t="shared" si="170"/>
        <v>0.91699999999999993</v>
      </c>
      <c r="J1202" s="167"/>
      <c r="K1202" s="758"/>
    </row>
    <row r="1203" spans="1:11">
      <c r="A1203" s="167"/>
      <c r="B1203" s="267" t="s">
        <v>1051</v>
      </c>
      <c r="C1203" s="167"/>
      <c r="D1203" s="647"/>
      <c r="E1203" s="167"/>
      <c r="F1203" s="586"/>
      <c r="G1203" s="586"/>
      <c r="H1203" s="167"/>
      <c r="I1203" s="477"/>
      <c r="J1203" s="167"/>
      <c r="K1203" s="758"/>
    </row>
    <row r="1204" spans="1:11">
      <c r="A1204" s="167"/>
      <c r="B1204" s="167" t="s">
        <v>1052</v>
      </c>
      <c r="C1204" s="167"/>
      <c r="D1204" s="647">
        <v>1</v>
      </c>
      <c r="E1204" s="167">
        <v>2</v>
      </c>
      <c r="F1204" s="586">
        <v>1.5</v>
      </c>
      <c r="G1204" s="586">
        <v>1.5</v>
      </c>
      <c r="H1204" s="167"/>
      <c r="I1204" s="477">
        <f t="shared" ref="I1204:I1210" si="171">+PRODUCT(D1204:H1204)</f>
        <v>4.5</v>
      </c>
      <c r="J1204" s="167"/>
      <c r="K1204" s="758"/>
    </row>
    <row r="1205" spans="1:11">
      <c r="A1205" s="167"/>
      <c r="B1205" s="167" t="s">
        <v>1053</v>
      </c>
      <c r="C1205" s="167"/>
      <c r="D1205" s="647">
        <v>1</v>
      </c>
      <c r="E1205" s="167">
        <v>2</v>
      </c>
      <c r="F1205" s="586">
        <v>2.4089999999999998</v>
      </c>
      <c r="G1205" s="586">
        <v>1.5</v>
      </c>
      <c r="H1205" s="167"/>
      <c r="I1205" s="477">
        <f t="shared" si="171"/>
        <v>7.2269999999999994</v>
      </c>
      <c r="J1205" s="167"/>
      <c r="K1205" s="758"/>
    </row>
    <row r="1206" spans="1:11">
      <c r="A1206" s="167"/>
      <c r="B1206" s="167" t="s">
        <v>1054</v>
      </c>
      <c r="C1206" s="167"/>
      <c r="D1206" s="647">
        <v>1</v>
      </c>
      <c r="E1206" s="167">
        <v>1</v>
      </c>
      <c r="F1206" s="586">
        <v>1.484</v>
      </c>
      <c r="G1206" s="586">
        <v>1.5</v>
      </c>
      <c r="H1206" s="167"/>
      <c r="I1206" s="477">
        <f t="shared" si="171"/>
        <v>2.226</v>
      </c>
      <c r="J1206" s="167"/>
      <c r="K1206" s="758"/>
    </row>
    <row r="1207" spans="1:11">
      <c r="A1207" s="167"/>
      <c r="B1207" s="167" t="s">
        <v>1055</v>
      </c>
      <c r="C1207" s="167"/>
      <c r="D1207" s="647">
        <v>1</v>
      </c>
      <c r="E1207" s="167">
        <v>1</v>
      </c>
      <c r="F1207" s="586">
        <v>3.96</v>
      </c>
      <c r="G1207" s="586">
        <v>0.26</v>
      </c>
      <c r="H1207" s="167"/>
      <c r="I1207" s="477">
        <f t="shared" si="171"/>
        <v>1.0296000000000001</v>
      </c>
      <c r="J1207" s="167"/>
      <c r="K1207" s="758"/>
    </row>
    <row r="1208" spans="1:11">
      <c r="A1208" s="167"/>
      <c r="B1208" s="167" t="s">
        <v>1056</v>
      </c>
      <c r="C1208" s="167"/>
      <c r="D1208" s="647">
        <v>1</v>
      </c>
      <c r="E1208" s="167">
        <v>1</v>
      </c>
      <c r="F1208" s="586">
        <v>3.53</v>
      </c>
      <c r="G1208" s="586">
        <v>0.23</v>
      </c>
      <c r="H1208" s="167"/>
      <c r="I1208" s="477">
        <f t="shared" si="171"/>
        <v>0.81189999999999996</v>
      </c>
      <c r="J1208" s="167"/>
      <c r="K1208" s="758"/>
    </row>
    <row r="1209" spans="1:11">
      <c r="A1209" s="167"/>
      <c r="B1209" s="167" t="s">
        <v>1063</v>
      </c>
      <c r="C1209" s="167"/>
      <c r="D1209" s="647">
        <v>1</v>
      </c>
      <c r="E1209" s="167">
        <v>1</v>
      </c>
      <c r="F1209" s="586">
        <v>3.53</v>
      </c>
      <c r="G1209" s="586">
        <f>0.45-0.175</f>
        <v>0.27500000000000002</v>
      </c>
      <c r="H1209" s="167"/>
      <c r="I1209" s="477">
        <f t="shared" si="171"/>
        <v>0.97075</v>
      </c>
      <c r="J1209" s="167"/>
      <c r="K1209" s="758"/>
    </row>
    <row r="1210" spans="1:11">
      <c r="A1210" s="167"/>
      <c r="B1210" s="167" t="s">
        <v>1063</v>
      </c>
      <c r="C1210" s="167"/>
      <c r="D1210" s="647">
        <v>1</v>
      </c>
      <c r="E1210" s="167">
        <v>1</v>
      </c>
      <c r="F1210" s="586">
        <v>3.53</v>
      </c>
      <c r="G1210" s="586">
        <v>0.45</v>
      </c>
      <c r="H1210" s="167"/>
      <c r="I1210" s="477">
        <f t="shared" si="171"/>
        <v>1.5885</v>
      </c>
      <c r="J1210" s="167"/>
      <c r="K1210" s="758"/>
    </row>
    <row r="1211" spans="1:11">
      <c r="A1211" s="167"/>
      <c r="B1211" s="267" t="s">
        <v>1294</v>
      </c>
      <c r="C1211" s="167"/>
      <c r="D1211" s="647"/>
      <c r="E1211" s="167"/>
      <c r="F1211" s="586"/>
      <c r="G1211" s="586"/>
      <c r="H1211" s="167"/>
      <c r="I1211" s="477"/>
      <c r="J1211" s="167"/>
      <c r="K1211" s="758"/>
    </row>
    <row r="1212" spans="1:11">
      <c r="A1212" s="167"/>
      <c r="B1212" s="167" t="s">
        <v>1058</v>
      </c>
      <c r="C1212" s="167"/>
      <c r="D1212" s="647">
        <v>1</v>
      </c>
      <c r="E1212" s="167">
        <v>2</v>
      </c>
      <c r="F1212" s="586">
        <v>3.2</v>
      </c>
      <c r="G1212" s="586">
        <v>1.5</v>
      </c>
      <c r="H1212" s="167"/>
      <c r="I1212" s="477">
        <f t="shared" ref="I1212:I1216" si="172">+PRODUCT(D1212:H1212)</f>
        <v>9.6000000000000014</v>
      </c>
      <c r="J1212" s="167"/>
      <c r="K1212" s="758"/>
    </row>
    <row r="1213" spans="1:11">
      <c r="A1213" s="167"/>
      <c r="B1213" s="167" t="s">
        <v>1053</v>
      </c>
      <c r="C1213" s="167"/>
      <c r="D1213" s="647">
        <v>1</v>
      </c>
      <c r="E1213" s="167">
        <v>2</v>
      </c>
      <c r="F1213" s="586">
        <v>3.343</v>
      </c>
      <c r="G1213" s="586">
        <v>1.5</v>
      </c>
      <c r="H1213" s="167"/>
      <c r="I1213" s="477">
        <f t="shared" si="172"/>
        <v>10.029</v>
      </c>
      <c r="J1213" s="167"/>
      <c r="K1213" s="758"/>
    </row>
    <row r="1214" spans="1:11">
      <c r="A1214" s="167"/>
      <c r="B1214" s="167" t="s">
        <v>1056</v>
      </c>
      <c r="C1214" s="167"/>
      <c r="D1214" s="647">
        <v>1</v>
      </c>
      <c r="E1214" s="167">
        <v>1</v>
      </c>
      <c r="F1214" s="586">
        <v>3.2</v>
      </c>
      <c r="G1214" s="586">
        <v>0.23</v>
      </c>
      <c r="H1214" s="167"/>
      <c r="I1214" s="477">
        <f t="shared" si="172"/>
        <v>0.7360000000000001</v>
      </c>
      <c r="J1214" s="167"/>
      <c r="K1214" s="758"/>
    </row>
    <row r="1215" spans="1:11">
      <c r="A1215" s="167"/>
      <c r="B1215" s="167" t="s">
        <v>1063</v>
      </c>
      <c r="C1215" s="167"/>
      <c r="D1215" s="647">
        <v>1</v>
      </c>
      <c r="E1215" s="167">
        <v>1</v>
      </c>
      <c r="F1215" s="586">
        <v>3.2</v>
      </c>
      <c r="G1215" s="586">
        <f>0.45-0.175</f>
        <v>0.27500000000000002</v>
      </c>
      <c r="H1215" s="167"/>
      <c r="I1215" s="477">
        <f t="shared" si="172"/>
        <v>0.88000000000000012</v>
      </c>
      <c r="J1215" s="167"/>
      <c r="K1215" s="758"/>
    </row>
    <row r="1216" spans="1:11">
      <c r="A1216" s="167"/>
      <c r="B1216" s="167" t="s">
        <v>1063</v>
      </c>
      <c r="C1216" s="167"/>
      <c r="D1216" s="647">
        <v>1</v>
      </c>
      <c r="E1216" s="167">
        <v>1</v>
      </c>
      <c r="F1216" s="586">
        <v>3.2</v>
      </c>
      <c r="G1216" s="586">
        <v>0.45</v>
      </c>
      <c r="H1216" s="167"/>
      <c r="I1216" s="477">
        <f t="shared" si="172"/>
        <v>1.4400000000000002</v>
      </c>
      <c r="J1216" s="167"/>
      <c r="K1216" s="758"/>
    </row>
    <row r="1217" spans="1:13">
      <c r="A1217" s="167"/>
      <c r="B1217" s="167"/>
      <c r="C1217" s="167"/>
      <c r="D1217" s="647"/>
      <c r="E1217" s="167"/>
      <c r="F1217" s="586"/>
      <c r="G1217" s="586"/>
      <c r="H1217" s="167"/>
      <c r="I1217" s="477"/>
      <c r="J1217" s="167"/>
      <c r="K1217" s="758"/>
    </row>
    <row r="1218" spans="1:13">
      <c r="A1218" s="167"/>
      <c r="B1218" s="167"/>
      <c r="C1218" s="167"/>
      <c r="D1218" s="647"/>
      <c r="E1218" s="167"/>
      <c r="F1218" s="167"/>
      <c r="G1218" s="167"/>
      <c r="H1218" s="167"/>
      <c r="I1218" s="580">
        <f>SUBTOTAL(9,I1197:I1217)</f>
        <v>87.978449999999995</v>
      </c>
      <c r="J1218" s="167"/>
      <c r="K1218" s="758"/>
    </row>
    <row r="1219" spans="1:13" ht="45">
      <c r="A1219" s="75"/>
      <c r="B1219" s="408" t="s">
        <v>1257</v>
      </c>
      <c r="C1219" s="77"/>
      <c r="D1219" s="77"/>
      <c r="E1219" s="77"/>
      <c r="F1219" s="395"/>
      <c r="G1219" s="395"/>
      <c r="H1219" s="395"/>
      <c r="I1219" s="80"/>
      <c r="J1219" s="167"/>
      <c r="K1219" s="758"/>
      <c r="L1219" s="396"/>
      <c r="M1219" s="396"/>
    </row>
    <row r="1220" spans="1:13" s="116" customFormat="1" ht="30">
      <c r="A1220" s="377">
        <v>1</v>
      </c>
      <c r="B1220" s="562" t="s">
        <v>922</v>
      </c>
      <c r="C1220" s="397" t="s">
        <v>71</v>
      </c>
      <c r="D1220" s="414">
        <v>31</v>
      </c>
      <c r="E1220" s="397">
        <v>1</v>
      </c>
      <c r="F1220" s="395">
        <v>0.3</v>
      </c>
      <c r="G1220" s="395">
        <v>0.6</v>
      </c>
      <c r="H1220" s="395">
        <v>0.45</v>
      </c>
      <c r="I1220" s="80">
        <f t="shared" ref="I1220:I1239" si="173">D1220*E1220*2*(F1220+G1220)*H1220</f>
        <v>25.11</v>
      </c>
      <c r="J1220" s="167"/>
      <c r="K1220" s="758"/>
      <c r="L1220" s="396"/>
      <c r="M1220" s="396"/>
    </row>
    <row r="1221" spans="1:13" s="116" customFormat="1">
      <c r="A1221" s="377">
        <v>2</v>
      </c>
      <c r="B1221" s="413" t="s">
        <v>621</v>
      </c>
      <c r="C1221" s="397" t="s">
        <v>71</v>
      </c>
      <c r="D1221" s="413">
        <v>15</v>
      </c>
      <c r="E1221" s="397">
        <v>1</v>
      </c>
      <c r="F1221" s="395">
        <v>0.3</v>
      </c>
      <c r="G1221" s="395">
        <v>0.7</v>
      </c>
      <c r="H1221" s="395">
        <v>0.45</v>
      </c>
      <c r="I1221" s="80">
        <f t="shared" si="173"/>
        <v>13.5</v>
      </c>
      <c r="J1221" s="167"/>
      <c r="K1221" s="758"/>
      <c r="L1221" s="396"/>
      <c r="M1221" s="396"/>
    </row>
    <row r="1222" spans="1:13" s="116" customFormat="1">
      <c r="A1222" s="377">
        <v>3</v>
      </c>
      <c r="B1222" s="413" t="s">
        <v>923</v>
      </c>
      <c r="C1222" s="397" t="s">
        <v>71</v>
      </c>
      <c r="D1222" s="413">
        <v>7</v>
      </c>
      <c r="E1222" s="397">
        <v>1</v>
      </c>
      <c r="F1222" s="395">
        <v>0.3</v>
      </c>
      <c r="G1222" s="395">
        <v>0.71499999999999997</v>
      </c>
      <c r="H1222" s="395">
        <v>0.45</v>
      </c>
      <c r="I1222" s="80">
        <f t="shared" si="173"/>
        <v>6.3944999999999999</v>
      </c>
      <c r="J1222" s="167"/>
      <c r="K1222" s="758"/>
      <c r="L1222" s="396"/>
      <c r="M1222" s="396"/>
    </row>
    <row r="1223" spans="1:13" s="116" customFormat="1">
      <c r="A1223" s="377">
        <v>4</v>
      </c>
      <c r="B1223" s="413" t="s">
        <v>623</v>
      </c>
      <c r="C1223" s="397" t="s">
        <v>71</v>
      </c>
      <c r="D1223" s="413">
        <v>2</v>
      </c>
      <c r="E1223" s="397">
        <v>1</v>
      </c>
      <c r="F1223" s="395">
        <v>0.3</v>
      </c>
      <c r="G1223" s="395">
        <v>0.8</v>
      </c>
      <c r="H1223" s="395">
        <v>0.45</v>
      </c>
      <c r="I1223" s="80">
        <f t="shared" si="173"/>
        <v>1.9800000000000002</v>
      </c>
      <c r="J1223" s="167"/>
      <c r="K1223" s="758"/>
      <c r="L1223" s="396"/>
      <c r="M1223" s="396"/>
    </row>
    <row r="1224" spans="1:13" s="116" customFormat="1">
      <c r="A1224" s="377">
        <v>5</v>
      </c>
      <c r="B1224" s="410" t="s">
        <v>624</v>
      </c>
      <c r="C1224" s="397" t="s">
        <v>71</v>
      </c>
      <c r="D1224" s="413">
        <v>1</v>
      </c>
      <c r="E1224" s="397">
        <v>1</v>
      </c>
      <c r="F1224" s="395">
        <v>0.23</v>
      </c>
      <c r="G1224" s="395">
        <v>0.65</v>
      </c>
      <c r="H1224" s="395">
        <v>0.45</v>
      </c>
      <c r="I1224" s="80">
        <f t="shared" si="173"/>
        <v>0.79200000000000004</v>
      </c>
      <c r="J1224" s="167"/>
      <c r="K1224" s="758"/>
      <c r="L1224" s="396"/>
      <c r="M1224" s="396"/>
    </row>
    <row r="1225" spans="1:13" s="116" customFormat="1">
      <c r="A1225" s="377">
        <v>6</v>
      </c>
      <c r="B1225" s="410"/>
      <c r="C1225" s="397" t="s">
        <v>71</v>
      </c>
      <c r="D1225" s="413">
        <v>1</v>
      </c>
      <c r="E1225" s="397">
        <v>1</v>
      </c>
      <c r="F1225" s="395">
        <v>0.23</v>
      </c>
      <c r="G1225" s="395">
        <f>1.65-0.23</f>
        <v>1.42</v>
      </c>
      <c r="H1225" s="395">
        <v>0.45</v>
      </c>
      <c r="I1225" s="80">
        <f t="shared" si="173"/>
        <v>1.4849999999999999</v>
      </c>
      <c r="J1225" s="167"/>
      <c r="K1225" s="758"/>
      <c r="L1225" s="396"/>
      <c r="M1225" s="396"/>
    </row>
    <row r="1226" spans="1:13" s="116" customFormat="1">
      <c r="A1226" s="377">
        <v>7</v>
      </c>
      <c r="B1226" s="410" t="s">
        <v>625</v>
      </c>
      <c r="C1226" s="397" t="s">
        <v>71</v>
      </c>
      <c r="D1226" s="413">
        <v>1</v>
      </c>
      <c r="E1226" s="397">
        <v>1</v>
      </c>
      <c r="F1226" s="395">
        <v>0.23</v>
      </c>
      <c r="G1226" s="395">
        <v>0.65</v>
      </c>
      <c r="H1226" s="395">
        <v>0.45</v>
      </c>
      <c r="I1226" s="80">
        <f t="shared" si="173"/>
        <v>0.79200000000000004</v>
      </c>
      <c r="J1226" s="167"/>
      <c r="K1226" s="758"/>
      <c r="L1226" s="396"/>
      <c r="M1226" s="396"/>
    </row>
    <row r="1227" spans="1:13" s="116" customFormat="1">
      <c r="A1227" s="377">
        <v>8</v>
      </c>
      <c r="B1227" s="410"/>
      <c r="C1227" s="397" t="s">
        <v>71</v>
      </c>
      <c r="D1227" s="413">
        <v>1</v>
      </c>
      <c r="E1227" s="397">
        <v>1</v>
      </c>
      <c r="F1227" s="395">
        <v>0.23</v>
      </c>
      <c r="G1227" s="395">
        <f>1.85-0.23</f>
        <v>1.62</v>
      </c>
      <c r="H1227" s="395">
        <v>0.45</v>
      </c>
      <c r="I1227" s="80">
        <f t="shared" si="173"/>
        <v>1.665</v>
      </c>
      <c r="J1227" s="167"/>
      <c r="K1227" s="758"/>
      <c r="L1227" s="396"/>
      <c r="M1227" s="396"/>
    </row>
    <row r="1228" spans="1:13" s="116" customFormat="1">
      <c r="A1228" s="377">
        <v>9</v>
      </c>
      <c r="B1228" s="410" t="s">
        <v>626</v>
      </c>
      <c r="C1228" s="397" t="s">
        <v>71</v>
      </c>
      <c r="D1228" s="413">
        <v>1</v>
      </c>
      <c r="E1228" s="397">
        <v>1</v>
      </c>
      <c r="F1228" s="395">
        <v>0.23</v>
      </c>
      <c r="G1228" s="395">
        <v>1</v>
      </c>
      <c r="H1228" s="395">
        <v>0.45</v>
      </c>
      <c r="I1228" s="80">
        <f t="shared" si="173"/>
        <v>1.107</v>
      </c>
      <c r="J1228" s="167"/>
      <c r="K1228" s="758"/>
      <c r="L1228" s="396"/>
      <c r="M1228" s="396"/>
    </row>
    <row r="1229" spans="1:13" s="116" customFormat="1">
      <c r="A1229" s="377">
        <v>10</v>
      </c>
      <c r="B1229" s="410" t="s">
        <v>627</v>
      </c>
      <c r="C1229" s="397" t="s">
        <v>71</v>
      </c>
      <c r="D1229" s="413">
        <v>1</v>
      </c>
      <c r="E1229" s="397">
        <v>1</v>
      </c>
      <c r="F1229" s="395">
        <v>0.23</v>
      </c>
      <c r="G1229" s="395">
        <v>1.1499999999999999</v>
      </c>
      <c r="H1229" s="395">
        <v>0.45</v>
      </c>
      <c r="I1229" s="80">
        <f t="shared" si="173"/>
        <v>1.242</v>
      </c>
      <c r="J1229" s="167"/>
      <c r="K1229" s="758"/>
      <c r="L1229" s="396"/>
      <c r="M1229" s="396"/>
    </row>
    <row r="1230" spans="1:13" s="116" customFormat="1">
      <c r="A1230" s="377">
        <v>11</v>
      </c>
      <c r="B1230" s="410" t="s">
        <v>628</v>
      </c>
      <c r="C1230" s="397" t="s">
        <v>71</v>
      </c>
      <c r="D1230" s="413">
        <v>2</v>
      </c>
      <c r="E1230" s="397">
        <v>1</v>
      </c>
      <c r="F1230" s="395">
        <v>0.23</v>
      </c>
      <c r="G1230" s="395">
        <v>1.7</v>
      </c>
      <c r="H1230" s="395">
        <v>0.45</v>
      </c>
      <c r="I1230" s="80">
        <f t="shared" si="173"/>
        <v>3.4739999999999998</v>
      </c>
      <c r="J1230" s="167"/>
      <c r="K1230" s="758"/>
      <c r="L1230" s="396"/>
      <c r="M1230" s="396"/>
    </row>
    <row r="1231" spans="1:13" s="116" customFormat="1">
      <c r="A1231" s="377">
        <v>12</v>
      </c>
      <c r="B1231" s="410" t="s">
        <v>629</v>
      </c>
      <c r="C1231" s="397" t="s">
        <v>71</v>
      </c>
      <c r="D1231" s="413">
        <v>2</v>
      </c>
      <c r="E1231" s="397">
        <v>1</v>
      </c>
      <c r="F1231" s="395">
        <v>0.23</v>
      </c>
      <c r="G1231" s="395">
        <v>1.1850000000000001</v>
      </c>
      <c r="H1231" s="395">
        <v>0.45</v>
      </c>
      <c r="I1231" s="80">
        <f t="shared" si="173"/>
        <v>2.5470000000000002</v>
      </c>
      <c r="J1231" s="167"/>
      <c r="K1231" s="758"/>
      <c r="L1231" s="396"/>
      <c r="M1231" s="396"/>
    </row>
    <row r="1232" spans="1:13" s="116" customFormat="1">
      <c r="A1232" s="377">
        <v>13</v>
      </c>
      <c r="B1232" s="410" t="s">
        <v>630</v>
      </c>
      <c r="C1232" s="397" t="s">
        <v>71</v>
      </c>
      <c r="D1232" s="413">
        <v>1</v>
      </c>
      <c r="E1232" s="397">
        <v>1</v>
      </c>
      <c r="F1232" s="395">
        <v>0.23</v>
      </c>
      <c r="G1232" s="395">
        <v>1.855</v>
      </c>
      <c r="H1232" s="395">
        <v>0.45</v>
      </c>
      <c r="I1232" s="80">
        <f t="shared" si="173"/>
        <v>1.8765000000000001</v>
      </c>
      <c r="J1232" s="167"/>
      <c r="K1232" s="758"/>
      <c r="L1232" s="396"/>
      <c r="M1232" s="396"/>
    </row>
    <row r="1233" spans="1:13" s="116" customFormat="1">
      <c r="A1233" s="377">
        <v>14</v>
      </c>
      <c r="B1233" s="410" t="s">
        <v>631</v>
      </c>
      <c r="C1233" s="397" t="s">
        <v>71</v>
      </c>
      <c r="D1233" s="413">
        <v>1</v>
      </c>
      <c r="E1233" s="397">
        <v>1</v>
      </c>
      <c r="F1233" s="395">
        <v>0.23</v>
      </c>
      <c r="G1233" s="395">
        <v>3.6</v>
      </c>
      <c r="H1233" s="395">
        <v>0.45</v>
      </c>
      <c r="I1233" s="80">
        <f t="shared" si="173"/>
        <v>3.4470000000000001</v>
      </c>
      <c r="J1233" s="167"/>
      <c r="K1233" s="758"/>
      <c r="L1233" s="396"/>
      <c r="M1233" s="396"/>
    </row>
    <row r="1234" spans="1:13" s="116" customFormat="1">
      <c r="A1234" s="377">
        <v>15</v>
      </c>
      <c r="B1234" s="410" t="s">
        <v>632</v>
      </c>
      <c r="C1234" s="397" t="s">
        <v>71</v>
      </c>
      <c r="D1234" s="413">
        <v>3</v>
      </c>
      <c r="E1234" s="397">
        <v>1</v>
      </c>
      <c r="F1234" s="395">
        <v>0.23</v>
      </c>
      <c r="G1234" s="395">
        <v>0.65</v>
      </c>
      <c r="H1234" s="395">
        <v>0.45</v>
      </c>
      <c r="I1234" s="80">
        <f t="shared" si="173"/>
        <v>2.3760000000000003</v>
      </c>
      <c r="J1234" s="167"/>
      <c r="K1234" s="758"/>
      <c r="L1234" s="396"/>
      <c r="M1234" s="396"/>
    </row>
    <row r="1235" spans="1:13" s="116" customFormat="1">
      <c r="A1235" s="377">
        <v>16</v>
      </c>
      <c r="B1235" s="410"/>
      <c r="C1235" s="397" t="s">
        <v>71</v>
      </c>
      <c r="D1235" s="413">
        <v>3</v>
      </c>
      <c r="E1235" s="397">
        <v>1</v>
      </c>
      <c r="F1235" s="395">
        <v>0.23</v>
      </c>
      <c r="G1235" s="395">
        <f>1.85-0.23</f>
        <v>1.62</v>
      </c>
      <c r="H1235" s="395">
        <v>0.45</v>
      </c>
      <c r="I1235" s="80">
        <f t="shared" si="173"/>
        <v>4.995000000000001</v>
      </c>
      <c r="J1235" s="167"/>
      <c r="K1235" s="758"/>
      <c r="L1235" s="396"/>
      <c r="M1235" s="396"/>
    </row>
    <row r="1236" spans="1:13" s="116" customFormat="1">
      <c r="A1236" s="377">
        <v>17</v>
      </c>
      <c r="B1236" s="410" t="s">
        <v>633</v>
      </c>
      <c r="C1236" s="397" t="s">
        <v>71</v>
      </c>
      <c r="D1236" s="413">
        <v>1</v>
      </c>
      <c r="E1236" s="397">
        <v>1</v>
      </c>
      <c r="F1236" s="395">
        <v>0.23</v>
      </c>
      <c r="G1236" s="395">
        <v>3.4449999999999998</v>
      </c>
      <c r="H1236" s="395">
        <v>0.45</v>
      </c>
      <c r="I1236" s="80">
        <f t="shared" si="173"/>
        <v>3.3075000000000001</v>
      </c>
      <c r="J1236" s="167"/>
      <c r="K1236" s="758"/>
      <c r="L1236" s="396"/>
      <c r="M1236" s="396"/>
    </row>
    <row r="1237" spans="1:13" s="116" customFormat="1">
      <c r="A1237" s="377">
        <v>18</v>
      </c>
      <c r="B1237" s="410" t="s">
        <v>634</v>
      </c>
      <c r="C1237" s="397" t="s">
        <v>71</v>
      </c>
      <c r="D1237" s="413">
        <v>1</v>
      </c>
      <c r="E1237" s="397">
        <v>1</v>
      </c>
      <c r="F1237" s="395">
        <v>0.23</v>
      </c>
      <c r="G1237" s="395">
        <v>4.0650000000000004</v>
      </c>
      <c r="H1237" s="395">
        <v>0.45</v>
      </c>
      <c r="I1237" s="80">
        <f t="shared" si="173"/>
        <v>3.8655000000000008</v>
      </c>
      <c r="J1237" s="167"/>
      <c r="K1237" s="758"/>
      <c r="L1237" s="396"/>
      <c r="M1237" s="396"/>
    </row>
    <row r="1238" spans="1:13" s="116" customFormat="1">
      <c r="A1238" s="377">
        <v>19</v>
      </c>
      <c r="B1238" s="410" t="s">
        <v>635</v>
      </c>
      <c r="C1238" s="397" t="s">
        <v>71</v>
      </c>
      <c r="D1238" s="413">
        <v>1</v>
      </c>
      <c r="E1238" s="397">
        <v>1</v>
      </c>
      <c r="F1238" s="395">
        <v>0.23</v>
      </c>
      <c r="G1238" s="395">
        <v>0.65</v>
      </c>
      <c r="H1238" s="395">
        <v>0.45</v>
      </c>
      <c r="I1238" s="80">
        <f t="shared" si="173"/>
        <v>0.79200000000000004</v>
      </c>
      <c r="J1238" s="167"/>
      <c r="K1238" s="758"/>
      <c r="L1238" s="396"/>
      <c r="M1238" s="396"/>
    </row>
    <row r="1239" spans="1:13" s="116" customFormat="1">
      <c r="A1239" s="377">
        <v>20</v>
      </c>
      <c r="B1239" s="410"/>
      <c r="C1239" s="397" t="s">
        <v>71</v>
      </c>
      <c r="D1239" s="413">
        <v>1</v>
      </c>
      <c r="E1239" s="397">
        <v>1</v>
      </c>
      <c r="F1239" s="395">
        <v>0.23</v>
      </c>
      <c r="G1239" s="395">
        <f>1.535-0.23</f>
        <v>1.3049999999999999</v>
      </c>
      <c r="H1239" s="395">
        <v>0.45</v>
      </c>
      <c r="I1239" s="80">
        <f t="shared" si="173"/>
        <v>1.3815</v>
      </c>
      <c r="J1239" s="167"/>
      <c r="K1239" s="758"/>
      <c r="L1239" s="396"/>
      <c r="M1239" s="396"/>
    </row>
    <row r="1240" spans="1:13" s="116" customFormat="1">
      <c r="A1240" s="377">
        <v>21</v>
      </c>
      <c r="B1240" s="410" t="s">
        <v>636</v>
      </c>
      <c r="C1240" s="397" t="s">
        <v>71</v>
      </c>
      <c r="D1240" s="413">
        <v>1</v>
      </c>
      <c r="E1240" s="397">
        <v>1</v>
      </c>
      <c r="F1240" s="395">
        <v>0.2</v>
      </c>
      <c r="G1240" s="395">
        <v>3.4449999999999998</v>
      </c>
      <c r="H1240" s="395">
        <v>0.45</v>
      </c>
      <c r="I1240" s="80">
        <f>D1240*E1240*2*(F1240+G1240)*H1240</f>
        <v>3.2805</v>
      </c>
      <c r="J1240" s="167"/>
      <c r="K1240" s="758"/>
      <c r="L1240" s="396"/>
      <c r="M1240" s="396"/>
    </row>
    <row r="1241" spans="1:13" s="116" customFormat="1">
      <c r="A1241" s="397"/>
      <c r="B1241" s="410"/>
      <c r="C1241" s="397"/>
      <c r="D1241" s="413"/>
      <c r="E1241" s="397"/>
      <c r="F1241" s="395"/>
      <c r="G1241" s="395"/>
      <c r="H1241" s="395"/>
      <c r="I1241" s="580">
        <f>SUBTOTAL(9,I1220:I1240)</f>
        <v>85.410000000000011</v>
      </c>
      <c r="J1241" s="167"/>
      <c r="K1241" s="758"/>
      <c r="L1241" s="396"/>
      <c r="M1241" s="396"/>
    </row>
    <row r="1242" spans="1:13">
      <c r="A1242" s="167"/>
      <c r="B1242" s="167"/>
      <c r="C1242" s="167"/>
      <c r="D1242" s="647"/>
      <c r="E1242" s="167"/>
      <c r="F1242" s="167"/>
      <c r="G1242" s="167"/>
      <c r="H1242" s="167"/>
      <c r="I1242" s="580"/>
      <c r="J1242" s="167"/>
      <c r="K1242" s="758"/>
    </row>
    <row r="1243" spans="1:13" ht="15.75">
      <c r="A1243" s="167"/>
      <c r="B1243" s="167"/>
      <c r="C1243" s="167"/>
      <c r="D1243" s="167"/>
      <c r="E1243" s="167"/>
      <c r="F1243" s="167"/>
      <c r="G1243" s="167"/>
      <c r="H1243" s="167"/>
      <c r="I1243" s="597">
        <f>SUBTOTAL(9,I805:I1242)</f>
        <v>1195.8149499999995</v>
      </c>
      <c r="J1243" s="167"/>
      <c r="K1243" s="760"/>
    </row>
  </sheetData>
  <mergeCells count="14">
    <mergeCell ref="K804:K1243"/>
    <mergeCell ref="F6:H6"/>
    <mergeCell ref="A6:A7"/>
    <mergeCell ref="B6:B7"/>
    <mergeCell ref="C6:C7"/>
    <mergeCell ref="D6:D7"/>
    <mergeCell ref="E6:E7"/>
    <mergeCell ref="K298:K803"/>
    <mergeCell ref="K109:K296"/>
    <mergeCell ref="K39:K68"/>
    <mergeCell ref="K9:K35"/>
    <mergeCell ref="I6:I7"/>
    <mergeCell ref="J6:J7"/>
    <mergeCell ref="K72:K106"/>
  </mergeCells>
  <pageMargins left="0.7" right="0.7" top="0.75" bottom="0.75" header="0.3" footer="0.3"/>
  <pageSetup paperSize="9" scale="77"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J22"/>
  <sheetViews>
    <sheetView topLeftCell="A16" workbookViewId="0">
      <selection activeCell="B15" sqref="B15"/>
    </sheetView>
  </sheetViews>
  <sheetFormatPr defaultRowHeight="15"/>
  <cols>
    <col min="2" max="2" width="48.7109375" customWidth="1"/>
  </cols>
  <sheetData>
    <row r="2" spans="1:10">
      <c r="A2" s="728" t="s">
        <v>495</v>
      </c>
      <c r="B2" s="728"/>
      <c r="C2" s="728"/>
      <c r="D2" s="728"/>
      <c r="E2" s="728"/>
      <c r="F2" s="728"/>
      <c r="G2" s="728"/>
      <c r="H2" s="728"/>
      <c r="I2" s="728"/>
      <c r="J2" s="728"/>
    </row>
    <row r="3" spans="1:10">
      <c r="A3" s="167"/>
      <c r="B3" s="167"/>
      <c r="C3" s="167"/>
      <c r="D3" s="728" t="s">
        <v>52</v>
      </c>
      <c r="E3" s="728"/>
      <c r="F3" s="728"/>
      <c r="G3" s="728"/>
      <c r="H3" s="728"/>
      <c r="I3" s="728"/>
      <c r="J3" s="729" t="s">
        <v>57</v>
      </c>
    </row>
    <row r="4" spans="1:10">
      <c r="A4" s="32">
        <v>5</v>
      </c>
      <c r="B4" s="33" t="s">
        <v>120</v>
      </c>
      <c r="C4" s="163"/>
      <c r="D4" s="481" t="s">
        <v>490</v>
      </c>
      <c r="E4" s="481" t="s">
        <v>491</v>
      </c>
      <c r="F4" s="481" t="s">
        <v>492</v>
      </c>
      <c r="G4" s="481" t="s">
        <v>493</v>
      </c>
      <c r="H4" s="325" t="s">
        <v>752</v>
      </c>
      <c r="I4" s="325" t="s">
        <v>753</v>
      </c>
      <c r="J4" s="729"/>
    </row>
    <row r="5" spans="1:10" ht="63.75">
      <c r="A5" s="32"/>
      <c r="B5" s="39" t="s">
        <v>121</v>
      </c>
      <c r="C5" s="163"/>
      <c r="D5" s="325"/>
      <c r="E5" s="325"/>
      <c r="F5" s="325"/>
      <c r="G5" s="325"/>
      <c r="H5" s="325"/>
      <c r="I5" s="325"/>
      <c r="J5" s="325"/>
    </row>
    <row r="6" spans="1:10">
      <c r="A6" s="32" t="s">
        <v>122</v>
      </c>
      <c r="B6" s="33" t="s">
        <v>123</v>
      </c>
      <c r="C6" s="163"/>
      <c r="D6" s="250"/>
      <c r="E6" s="325"/>
      <c r="F6" s="325"/>
      <c r="G6" s="325"/>
      <c r="H6" s="325"/>
      <c r="I6" s="325"/>
      <c r="J6" s="250"/>
    </row>
    <row r="7" spans="1:10" ht="76.5">
      <c r="A7" s="32"/>
      <c r="B7" s="39" t="s">
        <v>124</v>
      </c>
      <c r="C7" s="163" t="s">
        <v>71</v>
      </c>
      <c r="D7" s="325"/>
      <c r="E7" s="325"/>
      <c r="F7" s="325"/>
      <c r="G7" s="325"/>
      <c r="H7" s="325"/>
      <c r="I7" s="325"/>
      <c r="J7" s="250">
        <f t="shared" ref="J7:J19" si="0">SUM(D7:I7)</f>
        <v>0</v>
      </c>
    </row>
    <row r="8" spans="1:10">
      <c r="A8" s="32" t="s">
        <v>125</v>
      </c>
      <c r="B8" s="33" t="s">
        <v>123</v>
      </c>
      <c r="C8" s="163"/>
      <c r="D8" s="325"/>
      <c r="E8" s="325"/>
      <c r="F8" s="325"/>
      <c r="G8" s="325"/>
      <c r="H8" s="325"/>
      <c r="I8" s="325"/>
      <c r="J8" s="250"/>
    </row>
    <row r="9" spans="1:10" ht="112.9" customHeight="1">
      <c r="A9" s="32"/>
      <c r="B9" s="39" t="s">
        <v>166</v>
      </c>
      <c r="C9" s="163" t="s">
        <v>9</v>
      </c>
      <c r="D9" s="250">
        <f>'BRICK WORK MB'!I23</f>
        <v>36.867000000000004</v>
      </c>
      <c r="E9" s="250">
        <f>'BRICK WORK MB'!I39</f>
        <v>51.276500000000006</v>
      </c>
      <c r="F9" s="325"/>
      <c r="G9" s="325"/>
      <c r="H9" s="325"/>
      <c r="I9" s="325"/>
      <c r="J9" s="250">
        <f>SUM(D9:I9)</f>
        <v>88.143500000000017</v>
      </c>
    </row>
    <row r="10" spans="1:10">
      <c r="A10" s="32" t="s">
        <v>126</v>
      </c>
      <c r="B10" s="33" t="s">
        <v>127</v>
      </c>
      <c r="C10" s="163"/>
      <c r="D10" s="325"/>
      <c r="E10" s="325"/>
      <c r="F10" s="325"/>
      <c r="G10" s="325"/>
      <c r="H10" s="325"/>
      <c r="I10" s="325"/>
      <c r="J10" s="250"/>
    </row>
    <row r="11" spans="1:10" ht="76.5">
      <c r="A11" s="32" t="s">
        <v>128</v>
      </c>
      <c r="B11" s="39" t="s">
        <v>129</v>
      </c>
      <c r="C11" s="163"/>
      <c r="D11" s="325"/>
      <c r="E11" s="325"/>
      <c r="F11" s="325"/>
      <c r="G11" s="325"/>
      <c r="H11" s="325"/>
      <c r="I11" s="325"/>
      <c r="J11" s="250"/>
    </row>
    <row r="12" spans="1:10">
      <c r="A12" s="32" t="s">
        <v>130</v>
      </c>
      <c r="B12" s="39" t="s">
        <v>85</v>
      </c>
      <c r="C12" s="163" t="s">
        <v>71</v>
      </c>
      <c r="D12" s="325"/>
      <c r="E12" s="325"/>
      <c r="F12" s="325"/>
      <c r="G12" s="325"/>
      <c r="H12" s="325"/>
      <c r="I12" s="325"/>
      <c r="J12" s="250">
        <f t="shared" si="0"/>
        <v>0</v>
      </c>
    </row>
    <row r="13" spans="1:10" ht="25.5">
      <c r="A13" s="32" t="s">
        <v>131</v>
      </c>
      <c r="B13" s="39" t="s">
        <v>87</v>
      </c>
      <c r="C13" s="163" t="s">
        <v>71</v>
      </c>
      <c r="D13" s="325"/>
      <c r="E13" s="325"/>
      <c r="F13" s="325"/>
      <c r="G13" s="325"/>
      <c r="H13" s="325"/>
      <c r="I13" s="325"/>
      <c r="J13" s="250">
        <f t="shared" si="0"/>
        <v>0</v>
      </c>
    </row>
    <row r="14" spans="1:10">
      <c r="A14" s="32" t="s">
        <v>132</v>
      </c>
      <c r="B14" s="33" t="s">
        <v>127</v>
      </c>
      <c r="C14" s="163"/>
      <c r="D14" s="325"/>
      <c r="E14" s="325"/>
      <c r="F14" s="325"/>
      <c r="G14" s="325"/>
      <c r="H14" s="325"/>
      <c r="I14" s="325"/>
      <c r="J14" s="250"/>
    </row>
    <row r="15" spans="1:10" ht="114.75">
      <c r="A15" s="32" t="s">
        <v>133</v>
      </c>
      <c r="B15" s="39" t="s">
        <v>167</v>
      </c>
      <c r="C15" s="163"/>
      <c r="D15" s="325"/>
      <c r="E15" s="325"/>
      <c r="F15" s="325"/>
      <c r="G15" s="325"/>
      <c r="H15" s="325"/>
      <c r="I15" s="325"/>
      <c r="J15" s="250"/>
    </row>
    <row r="16" spans="1:10">
      <c r="A16" s="32" t="s">
        <v>130</v>
      </c>
      <c r="B16" s="39" t="s">
        <v>85</v>
      </c>
      <c r="C16" s="163" t="s">
        <v>9</v>
      </c>
      <c r="D16" s="325"/>
      <c r="E16" s="325"/>
      <c r="F16" s="325"/>
      <c r="G16" s="325"/>
      <c r="H16" s="325"/>
      <c r="I16" s="325"/>
      <c r="J16" s="250">
        <f t="shared" si="0"/>
        <v>0</v>
      </c>
    </row>
    <row r="17" spans="1:10" ht="25.5">
      <c r="A17" s="32" t="s">
        <v>131</v>
      </c>
      <c r="B17" s="39" t="s">
        <v>87</v>
      </c>
      <c r="C17" s="163" t="s">
        <v>9</v>
      </c>
      <c r="D17" s="325"/>
      <c r="E17" s="325"/>
      <c r="F17" s="325"/>
      <c r="G17" s="325"/>
      <c r="H17" s="325"/>
      <c r="I17" s="325"/>
      <c r="J17" s="250">
        <f t="shared" si="0"/>
        <v>0</v>
      </c>
    </row>
    <row r="18" spans="1:10">
      <c r="A18" s="32" t="s">
        <v>134</v>
      </c>
      <c r="B18" s="33" t="s">
        <v>168</v>
      </c>
      <c r="C18" s="163"/>
      <c r="D18" s="325"/>
      <c r="E18" s="325"/>
      <c r="F18" s="325"/>
      <c r="G18" s="325"/>
      <c r="H18" s="325"/>
      <c r="I18" s="325"/>
      <c r="J18" s="250"/>
    </row>
    <row r="19" spans="1:10" ht="63.75">
      <c r="A19" s="32"/>
      <c r="B19" s="39" t="s">
        <v>135</v>
      </c>
      <c r="C19" s="163" t="s">
        <v>71</v>
      </c>
      <c r="D19" s="325"/>
      <c r="E19" s="325"/>
      <c r="F19" s="325"/>
      <c r="G19" s="325"/>
      <c r="H19" s="325"/>
      <c r="I19" s="323"/>
      <c r="J19" s="250">
        <f t="shared" si="0"/>
        <v>0</v>
      </c>
    </row>
    <row r="20" spans="1:10">
      <c r="A20" s="167"/>
      <c r="B20" s="167"/>
      <c r="C20" s="167"/>
      <c r="D20" s="325"/>
      <c r="E20" s="325"/>
      <c r="F20" s="325"/>
      <c r="G20" s="325"/>
      <c r="H20" s="325"/>
      <c r="I20" s="325"/>
      <c r="J20" s="325"/>
    </row>
    <row r="21" spans="1:10">
      <c r="A21" s="167"/>
      <c r="B21" s="167"/>
      <c r="C21" s="167"/>
      <c r="D21" s="167"/>
      <c r="E21" s="167"/>
      <c r="F21" s="167"/>
      <c r="G21" s="167"/>
      <c r="H21" s="167"/>
      <c r="I21" s="170" t="s">
        <v>57</v>
      </c>
      <c r="J21" s="290">
        <f>SUM(J7:J20)</f>
        <v>88.143500000000017</v>
      </c>
    </row>
    <row r="22" spans="1:10">
      <c r="A22" s="167"/>
      <c r="B22" s="167"/>
      <c r="C22" s="167"/>
      <c r="D22" s="167"/>
      <c r="E22" s="167"/>
      <c r="F22" s="167"/>
      <c r="G22" s="167"/>
      <c r="H22" s="167"/>
      <c r="I22" s="167"/>
      <c r="J22" s="167"/>
    </row>
  </sheetData>
  <mergeCells count="3">
    <mergeCell ref="D3:I3"/>
    <mergeCell ref="J3:J4"/>
    <mergeCell ref="A2:J2"/>
  </mergeCells>
  <pageMargins left="0.7" right="0.7" top="0.75" bottom="0.75" header="0.3" footer="0.3"/>
  <pageSetup paperSize="9" scale="66"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1"/>
  <sheetViews>
    <sheetView topLeftCell="A4" workbookViewId="0">
      <selection activeCell="K38" sqref="K38"/>
    </sheetView>
  </sheetViews>
  <sheetFormatPr defaultRowHeight="15"/>
  <cols>
    <col min="2" max="2" width="19.140625" customWidth="1"/>
    <col min="9" max="9" width="9.85546875" customWidth="1"/>
    <col min="10" max="10" width="11.140625" customWidth="1"/>
  </cols>
  <sheetData>
    <row r="1" spans="1:11">
      <c r="A1" s="66" t="s">
        <v>186</v>
      </c>
      <c r="B1" s="67"/>
      <c r="C1" s="67"/>
      <c r="D1" s="67"/>
      <c r="E1" s="67"/>
      <c r="F1" s="67"/>
      <c r="G1" s="67"/>
      <c r="H1" s="67"/>
      <c r="I1" s="67"/>
      <c r="J1" s="68"/>
    </row>
    <row r="2" spans="1:11">
      <c r="A2" s="69" t="s">
        <v>187</v>
      </c>
      <c r="B2" s="27"/>
      <c r="C2" s="27"/>
      <c r="D2" s="27"/>
      <c r="E2" s="27"/>
      <c r="F2" s="27"/>
      <c r="G2" s="27"/>
      <c r="H2" s="27"/>
      <c r="I2" s="27"/>
      <c r="J2" s="70"/>
    </row>
    <row r="3" spans="1:11">
      <c r="A3" s="69" t="s">
        <v>188</v>
      </c>
      <c r="B3" s="27"/>
      <c r="C3" s="27"/>
      <c r="D3" s="27"/>
      <c r="E3" s="27"/>
      <c r="F3" s="27"/>
      <c r="G3" s="27"/>
      <c r="H3" s="27"/>
      <c r="I3" s="27"/>
      <c r="J3" s="70"/>
    </row>
    <row r="4" spans="1:11">
      <c r="A4" s="69" t="s">
        <v>412</v>
      </c>
      <c r="B4" s="27"/>
      <c r="C4" s="27"/>
      <c r="D4" s="27"/>
      <c r="E4" s="27"/>
      <c r="F4" s="27"/>
      <c r="G4" s="27"/>
      <c r="H4" s="27"/>
      <c r="I4" s="27"/>
      <c r="J4" s="70"/>
    </row>
    <row r="5" spans="1:11">
      <c r="A5" s="161"/>
      <c r="B5" s="72"/>
      <c r="C5" s="72"/>
      <c r="D5" s="72"/>
      <c r="E5" s="72"/>
      <c r="F5" s="72"/>
      <c r="G5" s="72"/>
      <c r="H5" s="72"/>
      <c r="I5" s="72"/>
      <c r="J5" s="73"/>
    </row>
    <row r="6" spans="1:11">
      <c r="A6" s="719" t="s">
        <v>1</v>
      </c>
      <c r="B6" s="720" t="s">
        <v>190</v>
      </c>
      <c r="C6" s="720" t="s">
        <v>3</v>
      </c>
      <c r="D6" s="720" t="s">
        <v>64</v>
      </c>
      <c r="E6" s="720" t="s">
        <v>64</v>
      </c>
      <c r="F6" s="720" t="s">
        <v>191</v>
      </c>
      <c r="G6" s="720"/>
      <c r="H6" s="720"/>
      <c r="I6" s="720" t="s">
        <v>192</v>
      </c>
      <c r="J6" s="727" t="s">
        <v>21</v>
      </c>
    </row>
    <row r="7" spans="1:11">
      <c r="A7" s="719"/>
      <c r="B7" s="720"/>
      <c r="C7" s="720"/>
      <c r="D7" s="720"/>
      <c r="E7" s="720"/>
      <c r="F7" s="388" t="s">
        <v>61</v>
      </c>
      <c r="G7" s="388" t="s">
        <v>62</v>
      </c>
      <c r="H7" s="388" t="s">
        <v>193</v>
      </c>
      <c r="I7" s="720"/>
      <c r="J7" s="727"/>
    </row>
    <row r="8" spans="1:11" ht="35.25" customHeight="1">
      <c r="A8" s="75"/>
      <c r="B8" s="76" t="s">
        <v>411</v>
      </c>
      <c r="C8" s="77"/>
      <c r="D8" s="77"/>
      <c r="E8" s="77"/>
      <c r="F8" s="77"/>
      <c r="G8" s="77"/>
      <c r="H8" s="77"/>
      <c r="I8" s="77"/>
      <c r="J8" s="78"/>
    </row>
    <row r="9" spans="1:11">
      <c r="A9" s="75">
        <v>1</v>
      </c>
      <c r="B9" s="77" t="s">
        <v>202</v>
      </c>
      <c r="C9" s="77" t="s">
        <v>9</v>
      </c>
      <c r="D9" s="77">
        <v>1</v>
      </c>
      <c r="E9" s="77">
        <v>1</v>
      </c>
      <c r="F9" s="375">
        <v>11.005000000000001</v>
      </c>
      <c r="G9" s="79"/>
      <c r="H9" s="79">
        <v>0.3</v>
      </c>
      <c r="I9" s="80">
        <f t="shared" ref="I9:I21" si="0">PRODUCT(D9:H9)</f>
        <v>3.3015000000000003</v>
      </c>
      <c r="J9" s="398"/>
      <c r="K9" s="763" t="s">
        <v>490</v>
      </c>
    </row>
    <row r="10" spans="1:11">
      <c r="A10" s="75">
        <f>+A9+1</f>
        <v>2</v>
      </c>
      <c r="B10" s="77" t="s">
        <v>549</v>
      </c>
      <c r="C10" s="77" t="s">
        <v>9</v>
      </c>
      <c r="D10" s="77">
        <v>1</v>
      </c>
      <c r="E10" s="77">
        <v>1</v>
      </c>
      <c r="F10" s="375">
        <v>12.414999999999999</v>
      </c>
      <c r="G10" s="79"/>
      <c r="H10" s="79">
        <v>0.3</v>
      </c>
      <c r="I10" s="80">
        <f t="shared" si="0"/>
        <v>3.7244999999999995</v>
      </c>
      <c r="J10" s="398"/>
      <c r="K10" s="763"/>
    </row>
    <row r="11" spans="1:11">
      <c r="A11" s="75">
        <f t="shared" ref="A11:A21" si="1">+A10+1</f>
        <v>3</v>
      </c>
      <c r="B11" s="77" t="s">
        <v>203</v>
      </c>
      <c r="C11" s="77" t="s">
        <v>9</v>
      </c>
      <c r="D11" s="77">
        <v>1</v>
      </c>
      <c r="E11" s="77">
        <v>1</v>
      </c>
      <c r="F11" s="375">
        <f>25.89+0.515+0.515</f>
        <v>26.92</v>
      </c>
      <c r="G11" s="79"/>
      <c r="H11" s="79">
        <v>0.3</v>
      </c>
      <c r="I11" s="80">
        <f t="shared" si="0"/>
        <v>8.0760000000000005</v>
      </c>
      <c r="J11" s="398"/>
      <c r="K11" s="763"/>
    </row>
    <row r="12" spans="1:11">
      <c r="A12" s="75">
        <f t="shared" si="1"/>
        <v>4</v>
      </c>
      <c r="B12" s="77" t="s">
        <v>204</v>
      </c>
      <c r="C12" s="77" t="s">
        <v>9</v>
      </c>
      <c r="D12" s="77">
        <v>1</v>
      </c>
      <c r="E12" s="77">
        <v>1</v>
      </c>
      <c r="F12" s="375">
        <v>21.65</v>
      </c>
      <c r="G12" s="79"/>
      <c r="H12" s="79">
        <v>0.3</v>
      </c>
      <c r="I12" s="80">
        <f t="shared" si="0"/>
        <v>6.4949999999999992</v>
      </c>
      <c r="J12" s="398"/>
      <c r="K12" s="763"/>
    </row>
    <row r="13" spans="1:11">
      <c r="A13" s="75">
        <f t="shared" si="1"/>
        <v>5</v>
      </c>
      <c r="B13" s="77" t="s">
        <v>205</v>
      </c>
      <c r="C13" s="77" t="s">
        <v>9</v>
      </c>
      <c r="D13" s="77">
        <v>1</v>
      </c>
      <c r="E13" s="77">
        <v>1</v>
      </c>
      <c r="F13" s="375">
        <v>11.09</v>
      </c>
      <c r="G13" s="79"/>
      <c r="H13" s="79">
        <v>0.3</v>
      </c>
      <c r="I13" s="80">
        <f t="shared" si="0"/>
        <v>3.327</v>
      </c>
      <c r="J13" s="398"/>
      <c r="K13" s="763"/>
    </row>
    <row r="14" spans="1:11">
      <c r="A14" s="75">
        <f t="shared" si="1"/>
        <v>6</v>
      </c>
      <c r="B14" s="77" t="s">
        <v>206</v>
      </c>
      <c r="C14" s="77" t="s">
        <v>9</v>
      </c>
      <c r="D14" s="77">
        <v>1</v>
      </c>
      <c r="E14" s="77">
        <v>1</v>
      </c>
      <c r="F14" s="375">
        <v>10.285</v>
      </c>
      <c r="G14" s="79"/>
      <c r="H14" s="79">
        <v>0.3</v>
      </c>
      <c r="I14" s="80">
        <f t="shared" si="0"/>
        <v>3.0855000000000001</v>
      </c>
      <c r="J14" s="398"/>
      <c r="K14" s="763"/>
    </row>
    <row r="15" spans="1:11">
      <c r="A15" s="75">
        <f t="shared" si="1"/>
        <v>7</v>
      </c>
      <c r="B15" s="77" t="s">
        <v>207</v>
      </c>
      <c r="C15" s="77" t="s">
        <v>9</v>
      </c>
      <c r="D15" s="77">
        <v>1</v>
      </c>
      <c r="E15" s="77">
        <v>1</v>
      </c>
      <c r="F15" s="375">
        <v>8.875</v>
      </c>
      <c r="G15" s="79"/>
      <c r="H15" s="79">
        <v>0.3</v>
      </c>
      <c r="I15" s="80">
        <f t="shared" si="0"/>
        <v>2.6625000000000001</v>
      </c>
      <c r="J15" s="398"/>
      <c r="K15" s="763"/>
    </row>
    <row r="16" spans="1:11">
      <c r="A16" s="75">
        <f t="shared" si="1"/>
        <v>8</v>
      </c>
      <c r="B16" s="77" t="s">
        <v>208</v>
      </c>
      <c r="C16" s="77" t="s">
        <v>9</v>
      </c>
      <c r="D16" s="77">
        <v>1</v>
      </c>
      <c r="E16" s="77">
        <v>1</v>
      </c>
      <c r="F16" s="375">
        <v>1.5</v>
      </c>
      <c r="G16" s="79"/>
      <c r="H16" s="79">
        <v>0.3</v>
      </c>
      <c r="I16" s="80">
        <f t="shared" si="0"/>
        <v>0.44999999999999996</v>
      </c>
      <c r="J16" s="398"/>
      <c r="K16" s="763"/>
    </row>
    <row r="17" spans="1:11">
      <c r="A17" s="75">
        <f t="shared" si="1"/>
        <v>9</v>
      </c>
      <c r="B17" s="77" t="s">
        <v>209</v>
      </c>
      <c r="C17" s="77" t="s">
        <v>9</v>
      </c>
      <c r="D17" s="77">
        <v>1</v>
      </c>
      <c r="E17" s="77">
        <v>1</v>
      </c>
      <c r="F17" s="375">
        <v>3.95</v>
      </c>
      <c r="G17" s="79"/>
      <c r="H17" s="79">
        <v>0.3</v>
      </c>
      <c r="I17" s="80">
        <f t="shared" si="0"/>
        <v>1.1850000000000001</v>
      </c>
      <c r="J17" s="398"/>
      <c r="K17" s="763"/>
    </row>
    <row r="18" spans="1:11">
      <c r="A18" s="75">
        <f t="shared" si="1"/>
        <v>10</v>
      </c>
      <c r="B18" s="77" t="s">
        <v>210</v>
      </c>
      <c r="C18" s="77" t="s">
        <v>9</v>
      </c>
      <c r="D18" s="77">
        <v>1</v>
      </c>
      <c r="E18" s="77">
        <v>1</v>
      </c>
      <c r="F18" s="375">
        <v>0.81499999999999995</v>
      </c>
      <c r="G18" s="79"/>
      <c r="H18" s="79">
        <v>0.3</v>
      </c>
      <c r="I18" s="80">
        <f t="shared" si="0"/>
        <v>0.24449999999999997</v>
      </c>
      <c r="J18" s="398"/>
      <c r="K18" s="763"/>
    </row>
    <row r="19" spans="1:11">
      <c r="A19" s="75">
        <f t="shared" si="1"/>
        <v>11</v>
      </c>
      <c r="B19" s="77" t="s">
        <v>211</v>
      </c>
      <c r="C19" s="77" t="s">
        <v>9</v>
      </c>
      <c r="D19" s="77">
        <v>1</v>
      </c>
      <c r="E19" s="77">
        <v>1</v>
      </c>
      <c r="F19" s="375">
        <v>1.6950000000000001</v>
      </c>
      <c r="G19" s="79"/>
      <c r="H19" s="79">
        <v>0.3</v>
      </c>
      <c r="I19" s="80">
        <f t="shared" si="0"/>
        <v>0.50849999999999995</v>
      </c>
      <c r="J19" s="398"/>
      <c r="K19" s="763"/>
    </row>
    <row r="20" spans="1:11">
      <c r="A20" s="75">
        <f t="shared" si="1"/>
        <v>12</v>
      </c>
      <c r="B20" s="77" t="s">
        <v>212</v>
      </c>
      <c r="C20" s="77" t="s">
        <v>9</v>
      </c>
      <c r="D20" s="77">
        <v>1</v>
      </c>
      <c r="E20" s="77">
        <v>1</v>
      </c>
      <c r="F20" s="375">
        <v>1.405</v>
      </c>
      <c r="G20" s="79"/>
      <c r="H20" s="79">
        <v>0.3</v>
      </c>
      <c r="I20" s="80">
        <f t="shared" si="0"/>
        <v>0.42149999999999999</v>
      </c>
      <c r="J20" s="398"/>
      <c r="K20" s="763"/>
    </row>
    <row r="21" spans="1:11">
      <c r="A21" s="75">
        <f t="shared" si="1"/>
        <v>13</v>
      </c>
      <c r="B21" s="77" t="s">
        <v>213</v>
      </c>
      <c r="C21" s="77" t="s">
        <v>9</v>
      </c>
      <c r="D21" s="77">
        <v>1</v>
      </c>
      <c r="E21" s="77">
        <v>1</v>
      </c>
      <c r="F21" s="375">
        <v>11.285</v>
      </c>
      <c r="G21" s="79"/>
      <c r="H21" s="79">
        <v>0.3</v>
      </c>
      <c r="I21" s="80">
        <f t="shared" si="0"/>
        <v>3.3855</v>
      </c>
      <c r="J21" s="398"/>
      <c r="K21" s="763"/>
    </row>
    <row r="22" spans="1:11">
      <c r="A22" s="75"/>
      <c r="B22" s="77"/>
      <c r="C22" s="77"/>
      <c r="D22" s="77"/>
      <c r="E22" s="77"/>
      <c r="F22" s="77"/>
      <c r="G22" s="77"/>
      <c r="H22" s="77"/>
      <c r="I22" s="80"/>
      <c r="J22" s="78"/>
    </row>
    <row r="23" spans="1:11">
      <c r="A23" s="75"/>
      <c r="B23" s="77"/>
      <c r="C23" s="77"/>
      <c r="D23" s="77"/>
      <c r="E23" s="77"/>
      <c r="F23" s="77"/>
      <c r="G23" s="77"/>
      <c r="H23" s="81" t="s">
        <v>57</v>
      </c>
      <c r="I23" s="82">
        <f>SUM(I8:I22)</f>
        <v>36.867000000000004</v>
      </c>
      <c r="J23" s="78"/>
    </row>
    <row r="24" spans="1:11" ht="35.25" customHeight="1">
      <c r="A24" s="75"/>
      <c r="B24" s="76" t="s">
        <v>411</v>
      </c>
      <c r="C24" s="77"/>
      <c r="D24" s="77"/>
      <c r="E24" s="77"/>
      <c r="F24" s="77"/>
      <c r="G24" s="77"/>
      <c r="H24" s="77"/>
      <c r="I24" s="77"/>
      <c r="J24" s="78"/>
    </row>
    <row r="25" spans="1:11">
      <c r="A25" s="75">
        <v>1</v>
      </c>
      <c r="B25" s="77" t="s">
        <v>562</v>
      </c>
      <c r="C25" s="77" t="s">
        <v>9</v>
      </c>
      <c r="D25" s="77">
        <v>1</v>
      </c>
      <c r="E25" s="77">
        <v>1</v>
      </c>
      <c r="F25" s="395">
        <f>14.275+0.9</f>
        <v>15.175000000000001</v>
      </c>
      <c r="G25" s="79"/>
      <c r="H25" s="79">
        <v>0.3</v>
      </c>
      <c r="I25" s="80">
        <f t="shared" ref="I25:I37" si="2">PRODUCT(D25:H25)</f>
        <v>4.5525000000000002</v>
      </c>
      <c r="J25" s="78"/>
      <c r="K25" s="764" t="s">
        <v>491</v>
      </c>
    </row>
    <row r="26" spans="1:11">
      <c r="A26" s="75">
        <f>+A25+1</f>
        <v>2</v>
      </c>
      <c r="B26" s="77" t="s">
        <v>563</v>
      </c>
      <c r="C26" s="77" t="s">
        <v>9</v>
      </c>
      <c r="D26" s="77">
        <v>1</v>
      </c>
      <c r="E26" s="77">
        <v>1</v>
      </c>
      <c r="F26" s="395">
        <v>12.414999999999999</v>
      </c>
      <c r="G26" s="79"/>
      <c r="H26" s="79">
        <v>0.3</v>
      </c>
      <c r="I26" s="80">
        <f t="shared" si="2"/>
        <v>3.7244999999999995</v>
      </c>
      <c r="J26" s="78"/>
      <c r="K26" s="764"/>
    </row>
    <row r="27" spans="1:11">
      <c r="A27" s="75">
        <f t="shared" ref="A27:A37" si="3">+A26+1</f>
        <v>3</v>
      </c>
      <c r="B27" s="77" t="s">
        <v>564</v>
      </c>
      <c r="C27" s="77" t="s">
        <v>9</v>
      </c>
      <c r="D27" s="77">
        <v>1</v>
      </c>
      <c r="E27" s="77">
        <v>1</v>
      </c>
      <c r="F27" s="395">
        <f>25.89+0.515+0.515</f>
        <v>26.92</v>
      </c>
      <c r="G27" s="79"/>
      <c r="H27" s="79">
        <v>0.3</v>
      </c>
      <c r="I27" s="80">
        <f t="shared" si="2"/>
        <v>8.0760000000000005</v>
      </c>
      <c r="J27" s="78"/>
      <c r="K27" s="764"/>
    </row>
    <row r="28" spans="1:11">
      <c r="A28" s="75">
        <f t="shared" si="3"/>
        <v>4</v>
      </c>
      <c r="B28" s="77" t="s">
        <v>565</v>
      </c>
      <c r="C28" s="77" t="s">
        <v>9</v>
      </c>
      <c r="D28" s="77">
        <v>1</v>
      </c>
      <c r="E28" s="77">
        <v>1</v>
      </c>
      <c r="F28" s="395">
        <v>21.65</v>
      </c>
      <c r="G28" s="79"/>
      <c r="H28" s="79">
        <v>0.85</v>
      </c>
      <c r="I28" s="80">
        <f t="shared" ref="I28" si="4">PRODUCT(D28:H28)</f>
        <v>18.4025</v>
      </c>
      <c r="J28" s="78"/>
      <c r="K28" s="764"/>
    </row>
    <row r="29" spans="1:11">
      <c r="A29" s="75">
        <f t="shared" si="3"/>
        <v>5</v>
      </c>
      <c r="B29" s="77" t="s">
        <v>566</v>
      </c>
      <c r="C29" s="77" t="s">
        <v>9</v>
      </c>
      <c r="D29" s="77">
        <v>1</v>
      </c>
      <c r="E29" s="77">
        <v>1</v>
      </c>
      <c r="F29" s="395">
        <v>11.09</v>
      </c>
      <c r="G29" s="79"/>
      <c r="H29" s="79">
        <v>0.3</v>
      </c>
      <c r="I29" s="80">
        <f t="shared" si="2"/>
        <v>3.327</v>
      </c>
      <c r="J29" s="78"/>
      <c r="K29" s="764"/>
    </row>
    <row r="30" spans="1:11">
      <c r="A30" s="75">
        <f t="shared" si="3"/>
        <v>6</v>
      </c>
      <c r="B30" s="77" t="s">
        <v>567</v>
      </c>
      <c r="C30" s="77" t="s">
        <v>9</v>
      </c>
      <c r="D30" s="77">
        <v>1</v>
      </c>
      <c r="E30" s="77">
        <v>1</v>
      </c>
      <c r="F30" s="395">
        <v>10.285</v>
      </c>
      <c r="G30" s="79"/>
      <c r="H30" s="79">
        <v>0.3</v>
      </c>
      <c r="I30" s="80">
        <f t="shared" si="2"/>
        <v>3.0855000000000001</v>
      </c>
      <c r="J30" s="78"/>
      <c r="K30" s="764"/>
    </row>
    <row r="31" spans="1:11">
      <c r="A31" s="75">
        <f t="shared" si="3"/>
        <v>7</v>
      </c>
      <c r="B31" s="77" t="s">
        <v>568</v>
      </c>
      <c r="C31" s="77" t="s">
        <v>9</v>
      </c>
      <c r="D31" s="77">
        <v>1</v>
      </c>
      <c r="E31" s="77">
        <v>1</v>
      </c>
      <c r="F31" s="395">
        <v>8.875</v>
      </c>
      <c r="G31" s="79"/>
      <c r="H31" s="79">
        <v>0.3</v>
      </c>
      <c r="I31" s="80">
        <f t="shared" si="2"/>
        <v>2.6625000000000001</v>
      </c>
      <c r="J31" s="78"/>
      <c r="K31" s="764"/>
    </row>
    <row r="32" spans="1:11">
      <c r="A32" s="75">
        <f t="shared" si="3"/>
        <v>8</v>
      </c>
      <c r="B32" s="77" t="s">
        <v>569</v>
      </c>
      <c r="C32" s="77" t="s">
        <v>9</v>
      </c>
      <c r="D32" s="77">
        <v>1</v>
      </c>
      <c r="E32" s="77">
        <v>1</v>
      </c>
      <c r="F32" s="395">
        <v>1.5</v>
      </c>
      <c r="G32" s="79"/>
      <c r="H32" s="79">
        <v>0.3</v>
      </c>
      <c r="I32" s="80">
        <f t="shared" si="2"/>
        <v>0.44999999999999996</v>
      </c>
      <c r="J32" s="78"/>
      <c r="K32" s="764"/>
    </row>
    <row r="33" spans="1:11">
      <c r="A33" s="75">
        <f t="shared" si="3"/>
        <v>9</v>
      </c>
      <c r="B33" s="77" t="s">
        <v>570</v>
      </c>
      <c r="C33" s="77" t="s">
        <v>9</v>
      </c>
      <c r="D33" s="77">
        <v>1</v>
      </c>
      <c r="E33" s="77">
        <v>1</v>
      </c>
      <c r="F33" s="395">
        <v>3.95</v>
      </c>
      <c r="G33" s="79"/>
      <c r="H33" s="79">
        <v>0.3</v>
      </c>
      <c r="I33" s="80">
        <f t="shared" si="2"/>
        <v>1.1850000000000001</v>
      </c>
      <c r="J33" s="78"/>
      <c r="K33" s="764"/>
    </row>
    <row r="34" spans="1:11">
      <c r="A34" s="75">
        <f t="shared" si="3"/>
        <v>10</v>
      </c>
      <c r="B34" s="77" t="s">
        <v>571</v>
      </c>
      <c r="C34" s="77" t="s">
        <v>9</v>
      </c>
      <c r="D34" s="77">
        <v>1</v>
      </c>
      <c r="E34" s="77">
        <v>1</v>
      </c>
      <c r="F34" s="395">
        <v>0.81499999999999995</v>
      </c>
      <c r="G34" s="79"/>
      <c r="H34" s="79">
        <v>0.3</v>
      </c>
      <c r="I34" s="80">
        <f t="shared" si="2"/>
        <v>0.24449999999999997</v>
      </c>
      <c r="J34" s="78"/>
      <c r="K34" s="764"/>
    </row>
    <row r="35" spans="1:11">
      <c r="A35" s="75">
        <f t="shared" si="3"/>
        <v>11</v>
      </c>
      <c r="B35" s="77" t="s">
        <v>572</v>
      </c>
      <c r="C35" s="77" t="s">
        <v>9</v>
      </c>
      <c r="D35" s="77">
        <v>1</v>
      </c>
      <c r="E35" s="77">
        <v>1</v>
      </c>
      <c r="F35" s="395">
        <v>1.6950000000000001</v>
      </c>
      <c r="G35" s="79"/>
      <c r="H35" s="79">
        <v>0.3</v>
      </c>
      <c r="I35" s="80">
        <f t="shared" si="2"/>
        <v>0.50849999999999995</v>
      </c>
      <c r="J35" s="78"/>
      <c r="K35" s="764"/>
    </row>
    <row r="36" spans="1:11">
      <c r="A36" s="75">
        <f t="shared" si="3"/>
        <v>12</v>
      </c>
      <c r="B36" s="77" t="s">
        <v>573</v>
      </c>
      <c r="C36" s="77" t="s">
        <v>9</v>
      </c>
      <c r="D36" s="77">
        <v>1</v>
      </c>
      <c r="E36" s="77">
        <v>1</v>
      </c>
      <c r="F36" s="395">
        <v>1.405</v>
      </c>
      <c r="G36" s="79"/>
      <c r="H36" s="79">
        <v>0.3</v>
      </c>
      <c r="I36" s="80">
        <f t="shared" si="2"/>
        <v>0.42149999999999999</v>
      </c>
      <c r="J36" s="78"/>
      <c r="K36" s="764"/>
    </row>
    <row r="37" spans="1:11">
      <c r="A37" s="75">
        <f t="shared" si="3"/>
        <v>13</v>
      </c>
      <c r="B37" s="77" t="s">
        <v>574</v>
      </c>
      <c r="C37" s="77" t="s">
        <v>9</v>
      </c>
      <c r="D37" s="77">
        <v>1</v>
      </c>
      <c r="E37" s="77">
        <v>1</v>
      </c>
      <c r="F37" s="395">
        <f>14.555+0.9</f>
        <v>15.455</v>
      </c>
      <c r="G37" s="79"/>
      <c r="H37" s="79">
        <v>0.3</v>
      </c>
      <c r="I37" s="80">
        <f t="shared" si="2"/>
        <v>4.6364999999999998</v>
      </c>
      <c r="J37" s="78"/>
      <c r="K37" s="764"/>
    </row>
    <row r="38" spans="1:11">
      <c r="A38" s="75"/>
      <c r="B38" s="77"/>
      <c r="C38" s="77"/>
      <c r="D38" s="77"/>
      <c r="E38" s="77"/>
      <c r="F38" s="77"/>
      <c r="G38" s="77"/>
      <c r="H38" s="77"/>
      <c r="I38" s="80"/>
      <c r="J38" s="78"/>
    </row>
    <row r="39" spans="1:11">
      <c r="A39" s="75"/>
      <c r="B39" s="77"/>
      <c r="C39" s="77"/>
      <c r="D39" s="77"/>
      <c r="E39" s="77"/>
      <c r="F39" s="77"/>
      <c r="G39" s="77"/>
      <c r="H39" s="81" t="s">
        <v>57</v>
      </c>
      <c r="I39" s="82">
        <f>SUM(I24:I38)</f>
        <v>51.276500000000006</v>
      </c>
      <c r="J39" s="78"/>
    </row>
    <row r="40" spans="1:11" ht="15.75" thickBot="1">
      <c r="A40" s="83"/>
      <c r="B40" s="84"/>
      <c r="C40" s="84"/>
      <c r="D40" s="84"/>
      <c r="E40" s="84"/>
      <c r="F40" s="84"/>
      <c r="G40" s="84"/>
      <c r="H40" s="84"/>
      <c r="I40" s="84"/>
      <c r="J40" s="85"/>
    </row>
    <row r="41" spans="1:11">
      <c r="A41" s="86"/>
      <c r="B41" s="86"/>
      <c r="C41" s="86"/>
      <c r="D41" s="86"/>
      <c r="E41" s="86"/>
      <c r="F41" s="86"/>
      <c r="G41" s="86"/>
      <c r="H41" s="86"/>
      <c r="I41" s="86"/>
      <c r="J41" s="86"/>
    </row>
  </sheetData>
  <mergeCells count="10">
    <mergeCell ref="K9:K21"/>
    <mergeCell ref="K25:K37"/>
    <mergeCell ref="I6:I7"/>
    <mergeCell ref="J6:J7"/>
    <mergeCell ref="A6:A7"/>
    <mergeCell ref="B6:B7"/>
    <mergeCell ref="C6:C7"/>
    <mergeCell ref="D6:D7"/>
    <mergeCell ref="E6:E7"/>
    <mergeCell ref="F6:H6"/>
  </mergeCells>
  <pageMargins left="0.7" right="0.7" top="0.75" bottom="0.75" header="0.3" footer="0.3"/>
  <pageSetup scale="79"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7"/>
  <sheetViews>
    <sheetView workbookViewId="0">
      <pane ySplit="5" topLeftCell="A12" activePane="bottomLeft" state="frozen"/>
      <selection pane="bottomLeft" activeCell="E10" sqref="E10:J10"/>
    </sheetView>
  </sheetViews>
  <sheetFormatPr defaultRowHeight="15"/>
  <cols>
    <col min="1" max="1" width="8.85546875" style="86"/>
    <col min="2" max="2" width="41.28515625" customWidth="1"/>
    <col min="3" max="4" width="13.85546875" style="221" customWidth="1"/>
    <col min="5" max="11" width="13.85546875" customWidth="1"/>
  </cols>
  <sheetData>
    <row r="1" spans="1:12" ht="18.75">
      <c r="A1" s="765" t="s">
        <v>430</v>
      </c>
      <c r="B1" s="765"/>
      <c r="C1" s="765"/>
      <c r="D1" s="765"/>
      <c r="E1" s="765"/>
      <c r="F1" s="765"/>
      <c r="G1" s="765"/>
      <c r="H1" s="765"/>
      <c r="I1" s="765"/>
      <c r="J1" s="765"/>
      <c r="K1" s="765"/>
    </row>
    <row r="2" spans="1:12" ht="18.75">
      <c r="A2" s="766" t="s">
        <v>453</v>
      </c>
      <c r="B2" s="766"/>
      <c r="C2" s="766"/>
      <c r="D2" s="766"/>
      <c r="E2" s="766"/>
      <c r="F2" s="766"/>
      <c r="G2" s="766"/>
      <c r="H2" s="766"/>
      <c r="I2" s="766"/>
      <c r="J2" s="766"/>
      <c r="K2" s="766"/>
    </row>
    <row r="3" spans="1:12" ht="18.75">
      <c r="A3" s="767" t="s">
        <v>431</v>
      </c>
      <c r="B3" s="767"/>
      <c r="C3" s="767"/>
      <c r="D3" s="767"/>
      <c r="E3" s="767"/>
      <c r="F3" s="767"/>
      <c r="G3" s="767"/>
      <c r="H3" s="767"/>
      <c r="I3" s="767"/>
      <c r="J3" s="767"/>
      <c r="K3" s="767"/>
    </row>
    <row r="4" spans="1:12" ht="15.75">
      <c r="A4" s="768" t="s">
        <v>1</v>
      </c>
      <c r="B4" s="772" t="s">
        <v>51</v>
      </c>
      <c r="C4" s="774" t="s">
        <v>60</v>
      </c>
      <c r="D4" s="770" t="s">
        <v>432</v>
      </c>
      <c r="E4" s="771"/>
      <c r="F4" s="771"/>
      <c r="G4" s="771"/>
      <c r="H4" s="771"/>
      <c r="I4" s="771"/>
      <c r="J4" s="772"/>
      <c r="K4" s="776" t="s">
        <v>58</v>
      </c>
      <c r="L4" s="189"/>
    </row>
    <row r="5" spans="1:12" ht="15.75">
      <c r="A5" s="769"/>
      <c r="B5" s="773"/>
      <c r="C5" s="775"/>
      <c r="D5" s="190" t="s">
        <v>445</v>
      </c>
      <c r="E5" s="190" t="s">
        <v>231</v>
      </c>
      <c r="F5" s="190" t="s">
        <v>232</v>
      </c>
      <c r="G5" s="190" t="s">
        <v>233</v>
      </c>
      <c r="H5" s="190" t="s">
        <v>234</v>
      </c>
      <c r="I5" s="190" t="s">
        <v>235</v>
      </c>
      <c r="J5" s="190" t="s">
        <v>236</v>
      </c>
      <c r="K5" s="777"/>
      <c r="L5" s="189"/>
    </row>
    <row r="6" spans="1:12" ht="15.75">
      <c r="A6" s="168" t="s">
        <v>229</v>
      </c>
      <c r="B6" s="241" t="s">
        <v>433</v>
      </c>
      <c r="C6" s="193" t="s">
        <v>434</v>
      </c>
      <c r="D6" s="193">
        <f>+'TMT STEEL REC.'!D31</f>
        <v>0</v>
      </c>
      <c r="E6" s="193">
        <f>+'TMT STEEL REC.'!E31</f>
        <v>46096.74</v>
      </c>
      <c r="F6" s="193">
        <f>+'TMT STEEL REC.'!F31</f>
        <v>43427.81</v>
      </c>
      <c r="G6" s="193">
        <f>+'TMT STEEL REC.'!G31</f>
        <v>29397.88</v>
      </c>
      <c r="H6" s="193">
        <f>+'TMT STEEL REC.'!H31</f>
        <v>112548.11</v>
      </c>
      <c r="I6" s="193">
        <f>+'TMT STEEL REC.'!I31</f>
        <v>68874.19</v>
      </c>
      <c r="J6" s="193">
        <f>+'TMT STEEL REC.'!J31</f>
        <v>24640</v>
      </c>
      <c r="K6" s="229">
        <f>SUM(D6:J6)</f>
        <v>324984.73</v>
      </c>
      <c r="L6" s="189"/>
    </row>
    <row r="7" spans="1:12" ht="15.75">
      <c r="A7" s="168"/>
      <c r="B7" s="242"/>
      <c r="C7" s="193"/>
      <c r="D7" s="193"/>
      <c r="E7" s="222"/>
      <c r="F7" s="222"/>
      <c r="G7" s="222"/>
      <c r="H7" s="222"/>
      <c r="I7" s="223"/>
      <c r="J7" s="224"/>
      <c r="K7" s="225"/>
      <c r="L7" s="189"/>
    </row>
    <row r="8" spans="1:12" ht="15.75">
      <c r="A8" s="168" t="s">
        <v>62</v>
      </c>
      <c r="B8" s="243" t="s">
        <v>435</v>
      </c>
      <c r="C8" s="191"/>
      <c r="D8" s="191"/>
      <c r="E8" s="226"/>
      <c r="F8" s="226"/>
      <c r="G8" s="226"/>
      <c r="H8" s="226"/>
      <c r="I8" s="226"/>
      <c r="J8" s="227"/>
      <c r="K8" s="225"/>
      <c r="L8" s="189"/>
    </row>
    <row r="9" spans="1:12" ht="15.75">
      <c r="A9" s="168" t="s">
        <v>486</v>
      </c>
      <c r="B9" s="234" t="s">
        <v>444</v>
      </c>
      <c r="C9" s="193" t="s">
        <v>434</v>
      </c>
      <c r="D9" s="249">
        <f>'TMT SUMMARY'!F15</f>
        <v>0</v>
      </c>
      <c r="E9" s="249">
        <f>'TMT SUMMARY'!G15</f>
        <v>5122.9777734793715</v>
      </c>
      <c r="F9" s="249">
        <f>'TMT SUMMARY'!H15</f>
        <v>9115.7642757517642</v>
      </c>
      <c r="G9" s="249">
        <f>'TMT SUMMARY'!I15</f>
        <v>5609.2313760000015</v>
      </c>
      <c r="H9" s="249">
        <f>'TMT SUMMARY'!J15</f>
        <v>60025.549320000006</v>
      </c>
      <c r="I9" s="249">
        <f>'TMT SUMMARY'!K15</f>
        <v>34914.631277999986</v>
      </c>
      <c r="J9" s="249">
        <f>'TMT SUMMARY'!L15</f>
        <v>17380.444320000002</v>
      </c>
      <c r="K9" s="229">
        <f>SUM(D9:J9)</f>
        <v>132168.59834323113</v>
      </c>
      <c r="L9" s="189"/>
    </row>
    <row r="10" spans="1:12" ht="31.5">
      <c r="A10" s="168" t="s">
        <v>487</v>
      </c>
      <c r="B10" s="234" t="s">
        <v>117</v>
      </c>
      <c r="C10" s="193" t="s">
        <v>434</v>
      </c>
      <c r="D10" s="249">
        <f>'TMT SUMMARY'!F22</f>
        <v>0</v>
      </c>
      <c r="E10" s="249">
        <v>22528.287800000002</v>
      </c>
      <c r="F10" s="249">
        <v>11816.469330000004</v>
      </c>
      <c r="G10" s="249">
        <v>7479.2281199999998</v>
      </c>
      <c r="H10" s="249">
        <v>12590.972599999997</v>
      </c>
      <c r="I10" s="249">
        <v>4836.4253399999998</v>
      </c>
      <c r="J10" s="249">
        <v>1635.4833600000002</v>
      </c>
      <c r="K10" s="240">
        <f>SUM(D10:J10)</f>
        <v>60886.866550000006</v>
      </c>
      <c r="L10" s="189"/>
    </row>
    <row r="11" spans="1:12" ht="63">
      <c r="A11" s="168" t="s">
        <v>488</v>
      </c>
      <c r="B11" s="244" t="s">
        <v>89</v>
      </c>
      <c r="C11" s="193" t="s">
        <v>434</v>
      </c>
      <c r="D11" s="249">
        <f>'TMT SUMMARY'!F27</f>
        <v>0</v>
      </c>
      <c r="E11" s="193">
        <f>'TMT SUMMARY'!G27</f>
        <v>36.150399999999998</v>
      </c>
      <c r="F11" s="249">
        <f>'TMT SUMMARY'!H27</f>
        <v>0</v>
      </c>
      <c r="G11" s="249">
        <f>'TMT SUMMARY'!I27</f>
        <v>0</v>
      </c>
      <c r="H11" s="249">
        <f>'TMT SUMMARY'!J27</f>
        <v>0</v>
      </c>
      <c r="I11" s="249">
        <f>'TMT SUMMARY'!K27</f>
        <v>0</v>
      </c>
      <c r="J11" s="249">
        <f>'TMT SUMMARY'!L27</f>
        <v>0</v>
      </c>
      <c r="K11" s="240">
        <f>SUM(D11:J11)</f>
        <v>36.150399999999998</v>
      </c>
      <c r="L11" s="189"/>
    </row>
    <row r="12" spans="1:12" ht="15.75">
      <c r="A12" s="168"/>
      <c r="B12" s="245"/>
      <c r="C12" s="193"/>
      <c r="D12" s="193"/>
      <c r="E12" s="228"/>
      <c r="F12" s="228"/>
      <c r="G12" s="228"/>
      <c r="H12" s="228"/>
      <c r="I12" s="228"/>
      <c r="J12" s="228"/>
      <c r="K12" s="229"/>
      <c r="L12" s="189"/>
    </row>
    <row r="13" spans="1:12" ht="18.75">
      <c r="A13" s="168" t="s">
        <v>448</v>
      </c>
      <c r="B13" s="246" t="s">
        <v>436</v>
      </c>
      <c r="C13" s="220"/>
      <c r="D13" s="464">
        <f t="shared" ref="D13:J13" si="0">SUM(D9:D12)</f>
        <v>0</v>
      </c>
      <c r="E13" s="464">
        <f t="shared" si="0"/>
        <v>27687.415973479372</v>
      </c>
      <c r="F13" s="464">
        <f t="shared" si="0"/>
        <v>20932.233605751768</v>
      </c>
      <c r="G13" s="464">
        <f t="shared" si="0"/>
        <v>13088.459496000001</v>
      </c>
      <c r="H13" s="464">
        <f t="shared" si="0"/>
        <v>72616.521919999999</v>
      </c>
      <c r="I13" s="464">
        <f t="shared" si="0"/>
        <v>39751.056617999988</v>
      </c>
      <c r="J13" s="464">
        <f t="shared" si="0"/>
        <v>19015.927680000001</v>
      </c>
      <c r="K13" s="233">
        <f>SUM(K9:K12)</f>
        <v>193091.61529323115</v>
      </c>
      <c r="L13" s="192"/>
    </row>
    <row r="14" spans="1:12" ht="15.75">
      <c r="A14" s="168" t="s">
        <v>449</v>
      </c>
      <c r="B14" s="246" t="s">
        <v>437</v>
      </c>
      <c r="C14" s="193" t="s">
        <v>434</v>
      </c>
      <c r="D14" s="465">
        <f t="shared" ref="D14:J14" si="1">D6-D13</f>
        <v>0</v>
      </c>
      <c r="E14" s="465">
        <f t="shared" si="1"/>
        <v>18409.324026520626</v>
      </c>
      <c r="F14" s="465">
        <f t="shared" si="1"/>
        <v>22495.57639424823</v>
      </c>
      <c r="G14" s="465">
        <f t="shared" si="1"/>
        <v>16309.420504</v>
      </c>
      <c r="H14" s="465">
        <f t="shared" si="1"/>
        <v>39931.588080000001</v>
      </c>
      <c r="I14" s="465">
        <f t="shared" si="1"/>
        <v>29123.133382000015</v>
      </c>
      <c r="J14" s="465">
        <f t="shared" si="1"/>
        <v>5624.0723199999993</v>
      </c>
      <c r="K14" s="231">
        <f>SUM(D14:J14)</f>
        <v>131893.11470676886</v>
      </c>
      <c r="L14" s="189"/>
    </row>
    <row r="15" spans="1:12" ht="15.75">
      <c r="A15" s="168" t="s">
        <v>450</v>
      </c>
      <c r="B15" s="246" t="s">
        <v>438</v>
      </c>
      <c r="C15" s="193" t="s">
        <v>434</v>
      </c>
      <c r="D15" s="193">
        <v>0</v>
      </c>
      <c r="E15" s="463">
        <v>6000</v>
      </c>
      <c r="F15" s="463">
        <v>17000</v>
      </c>
      <c r="G15" s="463">
        <v>10000</v>
      </c>
      <c r="H15" s="463">
        <v>24500</v>
      </c>
      <c r="I15" s="463">
        <v>23500</v>
      </c>
      <c r="J15" s="463">
        <v>4800</v>
      </c>
      <c r="K15" s="240">
        <f>SUM(D15:J15)</f>
        <v>85800</v>
      </c>
      <c r="L15" s="194"/>
    </row>
    <row r="16" spans="1:12" ht="15.75">
      <c r="A16" s="168" t="s">
        <v>451</v>
      </c>
      <c r="B16" s="246" t="s">
        <v>896</v>
      </c>
      <c r="C16" s="193" t="s">
        <v>434</v>
      </c>
      <c r="D16" s="193"/>
      <c r="E16" s="222"/>
      <c r="F16" s="222"/>
      <c r="G16" s="552">
        <v>1936.242</v>
      </c>
      <c r="H16" s="552">
        <v>2406.7429000000002</v>
      </c>
      <c r="I16" s="552">
        <v>1462.5683999999999</v>
      </c>
      <c r="J16" s="552">
        <v>272.58</v>
      </c>
      <c r="K16" s="240">
        <f>SUM(E16:J16)</f>
        <v>6078.1333000000004</v>
      </c>
      <c r="L16" s="189"/>
    </row>
    <row r="17" spans="1:12" ht="15.75">
      <c r="A17" s="455"/>
      <c r="B17" s="246" t="s">
        <v>1284</v>
      </c>
      <c r="C17" s="193" t="s">
        <v>434</v>
      </c>
      <c r="D17" s="193"/>
      <c r="E17" s="222">
        <v>4818.3995999999961</v>
      </c>
      <c r="F17" s="222">
        <v>5267.1140900000028</v>
      </c>
      <c r="G17" s="222">
        <v>2814.1650599999998</v>
      </c>
      <c r="H17" s="222">
        <v>5637.9930000000004</v>
      </c>
      <c r="I17" s="222">
        <v>3369.6487999999999</v>
      </c>
      <c r="J17" s="222">
        <v>422.96000000000004</v>
      </c>
      <c r="K17" s="240">
        <f>SUM(E17:J17)</f>
        <v>22330.280549999999</v>
      </c>
      <c r="L17" s="189"/>
    </row>
    <row r="18" spans="1:12" ht="15.75">
      <c r="A18" s="639"/>
      <c r="B18" s="246" t="s">
        <v>1283</v>
      </c>
      <c r="C18" s="193" t="s">
        <v>434</v>
      </c>
      <c r="D18" s="193"/>
      <c r="E18" s="222">
        <v>6500</v>
      </c>
      <c r="F18" s="222">
        <v>0</v>
      </c>
      <c r="G18" s="222">
        <v>1000</v>
      </c>
      <c r="H18" s="222">
        <v>5500</v>
      </c>
      <c r="I18" s="222">
        <v>0</v>
      </c>
      <c r="J18" s="232"/>
      <c r="K18" s="240">
        <f>SUM(E18:J18)</f>
        <v>13000</v>
      </c>
      <c r="L18" s="189"/>
    </row>
    <row r="19" spans="1:12" ht="15.75">
      <c r="A19" s="168"/>
      <c r="B19" s="247"/>
      <c r="C19" s="193"/>
      <c r="D19" s="193"/>
      <c r="E19" s="228"/>
      <c r="F19" s="228"/>
      <c r="G19" s="228"/>
      <c r="H19" s="228"/>
      <c r="I19" s="228"/>
      <c r="J19" s="230"/>
      <c r="K19" s="240">
        <f>SUM(D19:J19)</f>
        <v>0</v>
      </c>
      <c r="L19" s="189"/>
    </row>
    <row r="20" spans="1:12" ht="18.75">
      <c r="A20" s="168" t="s">
        <v>452</v>
      </c>
      <c r="B20" s="241" t="s">
        <v>439</v>
      </c>
      <c r="C20" s="193" t="s">
        <v>434</v>
      </c>
      <c r="D20" s="464">
        <f t="shared" ref="D20:J20" si="2">SUM(D16:D19)</f>
        <v>0</v>
      </c>
      <c r="E20" s="464">
        <f t="shared" si="2"/>
        <v>11318.399599999997</v>
      </c>
      <c r="F20" s="464">
        <f t="shared" si="2"/>
        <v>5267.1140900000028</v>
      </c>
      <c r="G20" s="464">
        <f t="shared" si="2"/>
        <v>5750.4070599999995</v>
      </c>
      <c r="H20" s="464">
        <f t="shared" si="2"/>
        <v>13544.7359</v>
      </c>
      <c r="I20" s="464">
        <f t="shared" si="2"/>
        <v>4832.2172</v>
      </c>
      <c r="J20" s="464">
        <f t="shared" si="2"/>
        <v>695.54</v>
      </c>
      <c r="K20" s="233">
        <f>SUM(D20:J20)</f>
        <v>41408.413849999997</v>
      </c>
      <c r="L20" s="192"/>
    </row>
    <row r="21" spans="1:12" ht="18.75">
      <c r="A21" s="168"/>
      <c r="B21" s="248"/>
      <c r="C21" s="220"/>
      <c r="D21" s="238"/>
      <c r="E21" s="237"/>
      <c r="F21" s="237"/>
      <c r="G21" s="237"/>
      <c r="H21" s="237"/>
      <c r="I21" s="237"/>
      <c r="J21" s="239"/>
      <c r="K21" s="229"/>
      <c r="L21" s="192"/>
    </row>
    <row r="22" spans="1:12" ht="18.75">
      <c r="A22" s="168"/>
      <c r="B22" s="248"/>
      <c r="C22" s="220"/>
      <c r="D22" s="238"/>
      <c r="E22" s="237"/>
      <c r="F22" s="237"/>
      <c r="G22" s="237"/>
      <c r="H22" s="237"/>
      <c r="I22" s="237"/>
      <c r="J22" s="237"/>
      <c r="K22" s="229"/>
      <c r="L22" s="192"/>
    </row>
    <row r="23" spans="1:12" ht="15.75">
      <c r="A23" s="168" t="s">
        <v>63</v>
      </c>
      <c r="B23" s="241" t="s">
        <v>666</v>
      </c>
      <c r="C23" s="193" t="s">
        <v>434</v>
      </c>
      <c r="D23" s="465">
        <f t="shared" ref="D23:J23" si="3">D14-D15-D20</f>
        <v>0</v>
      </c>
      <c r="E23" s="465">
        <f t="shared" si="3"/>
        <v>1090.9244265206289</v>
      </c>
      <c r="F23" s="465">
        <f t="shared" si="3"/>
        <v>228.46230424822716</v>
      </c>
      <c r="G23" s="465">
        <f t="shared" si="3"/>
        <v>559.01344400000016</v>
      </c>
      <c r="H23" s="465">
        <f t="shared" si="3"/>
        <v>1886.8521800000017</v>
      </c>
      <c r="I23" s="465">
        <f t="shared" si="3"/>
        <v>790.91618200001449</v>
      </c>
      <c r="J23" s="465">
        <f t="shared" si="3"/>
        <v>128.53231999999934</v>
      </c>
      <c r="K23" s="231">
        <f>SUM(D23:J23)</f>
        <v>4684.7008567688717</v>
      </c>
      <c r="L23" s="258">
        <f>+K23/K13</f>
        <v>2.4261544705888087E-2</v>
      </c>
    </row>
    <row r="24" spans="1:12" ht="15.75">
      <c r="A24" s="168"/>
      <c r="B24" s="242" t="s">
        <v>446</v>
      </c>
      <c r="C24" s="193"/>
      <c r="D24" s="193"/>
      <c r="E24" s="222"/>
      <c r="F24" s="222"/>
      <c r="G24" s="222"/>
      <c r="H24" s="222"/>
      <c r="I24" s="222"/>
      <c r="J24" s="232"/>
      <c r="K24" s="231">
        <v>0</v>
      </c>
      <c r="L24" s="195"/>
    </row>
    <row r="25" spans="1:12" ht="15.75">
      <c r="A25" s="168"/>
      <c r="B25" s="242" t="s">
        <v>454</v>
      </c>
      <c r="C25" s="193" t="s">
        <v>434</v>
      </c>
      <c r="D25" s="193"/>
      <c r="E25" s="226"/>
      <c r="F25" s="226"/>
      <c r="G25" s="226"/>
      <c r="H25" s="226"/>
      <c r="I25" s="223"/>
      <c r="J25" s="224"/>
      <c r="K25" s="233">
        <f>K13*2.5%</f>
        <v>4827.2903823307788</v>
      </c>
      <c r="L25" s="189"/>
    </row>
    <row r="27" spans="1:12">
      <c r="K27" s="288"/>
    </row>
  </sheetData>
  <mergeCells count="8">
    <mergeCell ref="A1:K1"/>
    <mergeCell ref="A2:K2"/>
    <mergeCell ref="A3:K3"/>
    <mergeCell ref="A4:A5"/>
    <mergeCell ref="D4:J4"/>
    <mergeCell ref="B4:B5"/>
    <mergeCell ref="C4:C5"/>
    <mergeCell ref="K4:K5"/>
  </mergeCells>
  <pageMargins left="0.7" right="0.7" top="0.75" bottom="0.75" header="0.3" footer="0.3"/>
  <pageSetup paperSize="9" scale="71" fitToHeight="0" orientation="landscape" r:id="rId1"/>
  <ignoredErrors>
    <ignoredError sqref="F20:J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3"/>
  <sheetViews>
    <sheetView workbookViewId="0">
      <pane ySplit="3" topLeftCell="A16" activePane="bottomLeft" state="frozen"/>
      <selection pane="bottomLeft" activeCell="H28" sqref="H28"/>
    </sheetView>
  </sheetViews>
  <sheetFormatPr defaultColWidth="9.140625" defaultRowHeight="12.75"/>
  <cols>
    <col min="1" max="1" width="9.140625" style="197"/>
    <col min="2" max="2" width="38.140625" style="197" customWidth="1"/>
    <col min="3" max="3" width="7.28515625" style="197" customWidth="1"/>
    <col min="4" max="4" width="13.28515625" style="197" bestFit="1" customWidth="1"/>
    <col min="5" max="5" width="11.28515625" style="197" customWidth="1"/>
    <col min="6" max="7" width="10.85546875" style="197" customWidth="1"/>
    <col min="8" max="8" width="11.5703125" style="197" customWidth="1"/>
    <col min="9" max="9" width="11.42578125" style="197" bestFit="1" customWidth="1"/>
    <col min="10" max="10" width="10.28515625" style="197" customWidth="1"/>
    <col min="11" max="11" width="12" style="197" bestFit="1" customWidth="1"/>
    <col min="12" max="12" width="10.42578125" style="196" customWidth="1"/>
    <col min="13" max="16384" width="9.140625" style="197"/>
  </cols>
  <sheetData>
    <row r="1" spans="1:12" ht="15">
      <c r="A1" s="778" t="s">
        <v>420</v>
      </c>
      <c r="B1" s="778"/>
      <c r="C1" s="778"/>
      <c r="D1" s="778"/>
      <c r="E1" s="778"/>
      <c r="F1" s="778"/>
      <c r="G1" s="778"/>
      <c r="H1" s="778"/>
      <c r="I1" s="778"/>
      <c r="J1" s="778"/>
      <c r="K1" s="778"/>
      <c r="L1" s="779"/>
    </row>
    <row r="2" spans="1:12" ht="15">
      <c r="A2" s="778" t="s">
        <v>443</v>
      </c>
      <c r="B2" s="778"/>
      <c r="C2" s="778"/>
      <c r="D2" s="778"/>
      <c r="E2" s="778"/>
      <c r="F2" s="778"/>
      <c r="G2" s="778"/>
      <c r="H2" s="778"/>
      <c r="I2" s="778"/>
      <c r="J2" s="778"/>
      <c r="K2" s="778"/>
      <c r="L2" s="779"/>
    </row>
    <row r="3" spans="1:12" ht="30">
      <c r="A3" s="206" t="s">
        <v>1</v>
      </c>
      <c r="B3" s="640" t="s">
        <v>440</v>
      </c>
      <c r="C3" s="640" t="s">
        <v>60</v>
      </c>
      <c r="D3" s="640" t="s">
        <v>447</v>
      </c>
      <c r="E3" s="201" t="s">
        <v>414</v>
      </c>
      <c r="F3" s="201" t="s">
        <v>415</v>
      </c>
      <c r="G3" s="201" t="s">
        <v>416</v>
      </c>
      <c r="H3" s="201" t="s">
        <v>417</v>
      </c>
      <c r="I3" s="201" t="s">
        <v>418</v>
      </c>
      <c r="J3" s="217" t="s">
        <v>419</v>
      </c>
      <c r="K3" s="217" t="s">
        <v>57</v>
      </c>
      <c r="L3" s="217" t="s">
        <v>441</v>
      </c>
    </row>
    <row r="4" spans="1:12" ht="15">
      <c r="A4" s="219"/>
      <c r="B4" s="218"/>
      <c r="C4" s="198"/>
      <c r="D4" s="198"/>
      <c r="E4" s="199"/>
      <c r="F4" s="200"/>
      <c r="G4" s="199"/>
      <c r="H4" s="201"/>
      <c r="I4" s="201"/>
      <c r="J4" s="202"/>
      <c r="K4" s="202"/>
      <c r="L4" s="202"/>
    </row>
    <row r="5" spans="1:12" ht="15">
      <c r="A5" s="216">
        <v>1</v>
      </c>
      <c r="B5" s="639" t="s">
        <v>877</v>
      </c>
      <c r="C5" s="198" t="s">
        <v>59</v>
      </c>
      <c r="D5" s="198"/>
      <c r="E5" s="251"/>
      <c r="F5" s="251"/>
      <c r="G5" s="251">
        <v>7700</v>
      </c>
      <c r="H5" s="251">
        <v>37621</v>
      </c>
      <c r="I5" s="251">
        <v>9370</v>
      </c>
      <c r="J5" s="251">
        <v>5474</v>
      </c>
      <c r="K5" s="254">
        <f>SUM(D5:J5)</f>
        <v>60165</v>
      </c>
      <c r="L5" s="254">
        <f>K5</f>
        <v>60165</v>
      </c>
    </row>
    <row r="6" spans="1:12" ht="15">
      <c r="A6" s="216">
        <v>2</v>
      </c>
      <c r="B6" s="639" t="s">
        <v>878</v>
      </c>
      <c r="C6" s="198" t="s">
        <v>59</v>
      </c>
      <c r="D6" s="198"/>
      <c r="E6" s="251">
        <v>9070</v>
      </c>
      <c r="F6" s="251">
        <v>6840</v>
      </c>
      <c r="G6" s="251"/>
      <c r="H6" s="251"/>
      <c r="I6" s="251">
        <v>20010</v>
      </c>
      <c r="J6" s="251"/>
      <c r="K6" s="254">
        <f t="shared" ref="K6:K28" si="0">SUM(D6:J6)</f>
        <v>35920</v>
      </c>
      <c r="L6" s="254">
        <f>L5+K6</f>
        <v>96085</v>
      </c>
    </row>
    <row r="7" spans="1:12" ht="15">
      <c r="A7" s="216">
        <v>3</v>
      </c>
      <c r="B7" s="639" t="s">
        <v>879</v>
      </c>
      <c r="C7" s="198" t="s">
        <v>59</v>
      </c>
      <c r="D7" s="198"/>
      <c r="E7" s="251"/>
      <c r="F7" s="251"/>
      <c r="G7" s="251"/>
      <c r="H7" s="251">
        <v>29850</v>
      </c>
      <c r="I7" s="251"/>
      <c r="J7" s="251">
        <v>9850</v>
      </c>
      <c r="K7" s="254">
        <f t="shared" si="0"/>
        <v>39700</v>
      </c>
      <c r="L7" s="254">
        <f t="shared" ref="L7:L28" si="1">L6+K7</f>
        <v>135785</v>
      </c>
    </row>
    <row r="8" spans="1:12" ht="15">
      <c r="A8" s="216">
        <v>4</v>
      </c>
      <c r="B8" s="639" t="s">
        <v>880</v>
      </c>
      <c r="C8" s="198" t="s">
        <v>59</v>
      </c>
      <c r="D8" s="198"/>
      <c r="E8" s="253"/>
      <c r="F8" s="253"/>
      <c r="G8" s="253">
        <v>3766</v>
      </c>
      <c r="H8" s="252"/>
      <c r="I8" s="253">
        <v>6282</v>
      </c>
      <c r="J8" s="540">
        <v>3148</v>
      </c>
      <c r="K8" s="254">
        <f t="shared" si="0"/>
        <v>13196</v>
      </c>
      <c r="L8" s="254">
        <f t="shared" si="1"/>
        <v>148981</v>
      </c>
    </row>
    <row r="9" spans="1:12" ht="15">
      <c r="A9" s="216">
        <v>5</v>
      </c>
      <c r="B9" s="639" t="s">
        <v>880</v>
      </c>
      <c r="C9" s="198" t="s">
        <v>59</v>
      </c>
      <c r="D9" s="198"/>
      <c r="E9" s="200"/>
      <c r="F9" s="200"/>
      <c r="G9" s="200"/>
      <c r="H9" s="203"/>
      <c r="I9" s="200">
        <v>4800</v>
      </c>
      <c r="J9" s="205"/>
      <c r="K9" s="254">
        <f t="shared" si="0"/>
        <v>4800</v>
      </c>
      <c r="L9" s="254">
        <f t="shared" si="1"/>
        <v>153781</v>
      </c>
    </row>
    <row r="10" spans="1:12" ht="15">
      <c r="A10" s="216">
        <v>6</v>
      </c>
      <c r="B10" s="639" t="s">
        <v>881</v>
      </c>
      <c r="C10" s="198" t="s">
        <v>59</v>
      </c>
      <c r="D10" s="204"/>
      <c r="E10" s="200"/>
      <c r="F10" s="541">
        <v>6101</v>
      </c>
      <c r="G10" s="541"/>
      <c r="H10" s="541">
        <v>10573</v>
      </c>
      <c r="I10" s="541">
        <v>2344</v>
      </c>
      <c r="J10" s="205"/>
      <c r="K10" s="254">
        <f t="shared" si="0"/>
        <v>19018</v>
      </c>
      <c r="L10" s="254">
        <f t="shared" si="1"/>
        <v>172799</v>
      </c>
    </row>
    <row r="11" spans="1:12" ht="15">
      <c r="A11" s="216">
        <v>7</v>
      </c>
      <c r="B11" s="639" t="s">
        <v>874</v>
      </c>
      <c r="C11" s="198" t="s">
        <v>59</v>
      </c>
      <c r="D11" s="204"/>
      <c r="E11" s="200"/>
      <c r="F11" s="541"/>
      <c r="G11" s="541">
        <v>1505</v>
      </c>
      <c r="H11" s="541">
        <v>1758</v>
      </c>
      <c r="I11" s="541">
        <v>892</v>
      </c>
      <c r="J11" s="205"/>
      <c r="K11" s="254">
        <f t="shared" si="0"/>
        <v>4155</v>
      </c>
      <c r="L11" s="254">
        <f t="shared" si="1"/>
        <v>176954</v>
      </c>
    </row>
    <row r="12" spans="1:12" ht="15">
      <c r="A12" s="216">
        <v>8</v>
      </c>
      <c r="B12" s="639" t="s">
        <v>873</v>
      </c>
      <c r="C12" s="198" t="s">
        <v>59</v>
      </c>
      <c r="D12" s="204"/>
      <c r="E12" s="200"/>
      <c r="F12" s="541">
        <v>-1419</v>
      </c>
      <c r="G12" s="541"/>
      <c r="H12" s="541"/>
      <c r="I12" s="541"/>
      <c r="J12" s="205"/>
      <c r="K12" s="254">
        <f t="shared" si="0"/>
        <v>-1419</v>
      </c>
      <c r="L12" s="254">
        <f t="shared" si="1"/>
        <v>175535</v>
      </c>
    </row>
    <row r="13" spans="1:12" ht="15">
      <c r="A13" s="216">
        <v>9</v>
      </c>
      <c r="B13" s="639" t="s">
        <v>882</v>
      </c>
      <c r="C13" s="198" t="s">
        <v>59</v>
      </c>
      <c r="D13" s="204"/>
      <c r="E13" s="200">
        <v>2874</v>
      </c>
      <c r="F13" s="541">
        <v>2860</v>
      </c>
      <c r="G13" s="541"/>
      <c r="H13" s="541"/>
      <c r="I13" s="541"/>
      <c r="J13" s="205"/>
      <c r="K13" s="254">
        <f t="shared" si="0"/>
        <v>5734</v>
      </c>
      <c r="L13" s="254">
        <f t="shared" si="1"/>
        <v>181269</v>
      </c>
    </row>
    <row r="14" spans="1:12" ht="15">
      <c r="A14" s="216">
        <v>10</v>
      </c>
      <c r="B14" s="639" t="s">
        <v>883</v>
      </c>
      <c r="C14" s="198" t="s">
        <v>59</v>
      </c>
      <c r="D14" s="204"/>
      <c r="E14" s="200">
        <v>26488</v>
      </c>
      <c r="F14" s="541">
        <v>12498</v>
      </c>
      <c r="G14" s="541">
        <v>3334</v>
      </c>
      <c r="H14" s="541"/>
      <c r="I14" s="541"/>
      <c r="J14" s="205"/>
      <c r="K14" s="254">
        <f t="shared" si="0"/>
        <v>42320</v>
      </c>
      <c r="L14" s="254">
        <f t="shared" si="1"/>
        <v>223589</v>
      </c>
    </row>
    <row r="15" spans="1:12" ht="15">
      <c r="A15" s="216">
        <v>11</v>
      </c>
      <c r="B15" s="639" t="s">
        <v>875</v>
      </c>
      <c r="C15" s="198" t="s">
        <v>59</v>
      </c>
      <c r="D15" s="204"/>
      <c r="E15" s="200">
        <v>-2730</v>
      </c>
      <c r="F15" s="541">
        <v>-3520</v>
      </c>
      <c r="G15" s="541"/>
      <c r="H15" s="541"/>
      <c r="I15" s="541"/>
      <c r="J15" s="205"/>
      <c r="K15" s="254">
        <f t="shared" si="0"/>
        <v>-6250</v>
      </c>
      <c r="L15" s="254">
        <f t="shared" si="1"/>
        <v>217339</v>
      </c>
    </row>
    <row r="16" spans="1:12" ht="15">
      <c r="A16" s="216">
        <v>12</v>
      </c>
      <c r="B16" s="639" t="s">
        <v>876</v>
      </c>
      <c r="C16" s="198" t="s">
        <v>59</v>
      </c>
      <c r="D16" s="204"/>
      <c r="E16" s="200">
        <v>-5620</v>
      </c>
      <c r="F16" s="541"/>
      <c r="G16" s="541"/>
      <c r="H16" s="541"/>
      <c r="I16" s="541"/>
      <c r="J16" s="205"/>
      <c r="K16" s="254">
        <f t="shared" si="0"/>
        <v>-5620</v>
      </c>
      <c r="L16" s="254">
        <f t="shared" si="1"/>
        <v>211719</v>
      </c>
    </row>
    <row r="17" spans="1:13" ht="15">
      <c r="A17" s="216">
        <v>13</v>
      </c>
      <c r="B17" s="639" t="s">
        <v>884</v>
      </c>
      <c r="C17" s="198" t="s">
        <v>59</v>
      </c>
      <c r="D17" s="204"/>
      <c r="E17" s="200"/>
      <c r="F17" s="541"/>
      <c r="G17" s="541"/>
      <c r="H17" s="541">
        <v>14269</v>
      </c>
      <c r="I17" s="541">
        <v>11506</v>
      </c>
      <c r="J17" s="205">
        <v>3502</v>
      </c>
      <c r="K17" s="254">
        <f t="shared" si="0"/>
        <v>29277</v>
      </c>
      <c r="L17" s="254">
        <f t="shared" si="1"/>
        <v>240996</v>
      </c>
    </row>
    <row r="18" spans="1:13" ht="15">
      <c r="A18" s="216">
        <v>14</v>
      </c>
      <c r="B18" s="639" t="s">
        <v>885</v>
      </c>
      <c r="C18" s="198" t="s">
        <v>59</v>
      </c>
      <c r="D18" s="204"/>
      <c r="E18" s="200">
        <v>5472</v>
      </c>
      <c r="F18" s="541"/>
      <c r="G18" s="541"/>
      <c r="H18" s="541">
        <v>12742</v>
      </c>
      <c r="I18" s="541"/>
      <c r="J18" s="205"/>
      <c r="K18" s="254">
        <f t="shared" si="0"/>
        <v>18214</v>
      </c>
      <c r="L18" s="254">
        <f t="shared" si="1"/>
        <v>259210</v>
      </c>
    </row>
    <row r="19" spans="1:13" ht="15">
      <c r="A19" s="216">
        <v>15</v>
      </c>
      <c r="B19" s="639" t="s">
        <v>886</v>
      </c>
      <c r="C19" s="198" t="s">
        <v>59</v>
      </c>
      <c r="D19" s="204"/>
      <c r="E19" s="200"/>
      <c r="F19" s="541"/>
      <c r="G19" s="541">
        <v>8880</v>
      </c>
      <c r="H19" s="541"/>
      <c r="I19" s="541">
        <v>11167</v>
      </c>
      <c r="J19" s="205"/>
      <c r="K19" s="254">
        <f t="shared" si="0"/>
        <v>20047</v>
      </c>
      <c r="L19" s="254">
        <f t="shared" si="1"/>
        <v>279257</v>
      </c>
    </row>
    <row r="20" spans="1:13" ht="15">
      <c r="A20" s="216">
        <v>16</v>
      </c>
      <c r="B20" s="639" t="s">
        <v>1275</v>
      </c>
      <c r="C20" s="198" t="s">
        <v>59</v>
      </c>
      <c r="D20" s="204"/>
      <c r="E20" s="200"/>
      <c r="F20" s="541">
        <v>13058</v>
      </c>
      <c r="G20" s="541"/>
      <c r="H20" s="541"/>
      <c r="I20" s="541"/>
      <c r="J20" s="205"/>
      <c r="K20" s="254">
        <f t="shared" si="0"/>
        <v>13058</v>
      </c>
      <c r="L20" s="254">
        <f t="shared" si="1"/>
        <v>292315</v>
      </c>
    </row>
    <row r="21" spans="1:13" ht="15">
      <c r="A21" s="216">
        <v>17</v>
      </c>
      <c r="B21" s="639" t="s">
        <v>1276</v>
      </c>
      <c r="C21" s="198" t="s">
        <v>59</v>
      </c>
      <c r="D21" s="204"/>
      <c r="E21" s="200"/>
      <c r="F21" s="541"/>
      <c r="G21" s="541"/>
      <c r="H21" s="541">
        <v>3237</v>
      </c>
      <c r="I21" s="541"/>
      <c r="J21" s="205">
        <v>3078</v>
      </c>
      <c r="K21" s="254">
        <f t="shared" si="0"/>
        <v>6315</v>
      </c>
      <c r="L21" s="254">
        <f t="shared" si="1"/>
        <v>298630</v>
      </c>
    </row>
    <row r="22" spans="1:13" ht="15">
      <c r="A22" s="216">
        <v>18</v>
      </c>
      <c r="B22" s="639" t="s">
        <v>1277</v>
      </c>
      <c r="C22" s="198" t="s">
        <v>59</v>
      </c>
      <c r="D22" s="204"/>
      <c r="E22" s="200">
        <v>3011</v>
      </c>
      <c r="F22" s="541"/>
      <c r="G22" s="541"/>
      <c r="H22" s="541"/>
      <c r="I22" s="541"/>
      <c r="J22" s="205"/>
      <c r="K22" s="254">
        <f t="shared" si="0"/>
        <v>3011</v>
      </c>
      <c r="L22" s="254">
        <f t="shared" si="1"/>
        <v>301641</v>
      </c>
    </row>
    <row r="23" spans="1:13" ht="15">
      <c r="A23" s="216">
        <v>19</v>
      </c>
      <c r="B23" s="639" t="s">
        <v>1278</v>
      </c>
      <c r="C23" s="198" t="s">
        <v>59</v>
      </c>
      <c r="D23" s="204"/>
      <c r="E23" s="200">
        <v>3175</v>
      </c>
      <c r="F23" s="541"/>
      <c r="G23" s="541"/>
      <c r="H23" s="541"/>
      <c r="I23" s="541"/>
      <c r="J23" s="205"/>
      <c r="K23" s="254">
        <f t="shared" si="0"/>
        <v>3175</v>
      </c>
      <c r="L23" s="254">
        <f t="shared" si="1"/>
        <v>304816</v>
      </c>
    </row>
    <row r="24" spans="1:13" ht="15">
      <c r="A24" s="216">
        <v>20</v>
      </c>
      <c r="B24" s="639" t="s">
        <v>1279</v>
      </c>
      <c r="C24" s="198" t="s">
        <v>59</v>
      </c>
      <c r="D24" s="204"/>
      <c r="E24" s="200">
        <v>1422</v>
      </c>
      <c r="F24" s="541"/>
      <c r="G24" s="541"/>
      <c r="H24" s="541"/>
      <c r="I24" s="541"/>
      <c r="J24" s="205"/>
      <c r="K24" s="254">
        <f t="shared" si="0"/>
        <v>1422</v>
      </c>
      <c r="L24" s="254">
        <f t="shared" si="1"/>
        <v>306238</v>
      </c>
    </row>
    <row r="25" spans="1:13" ht="15">
      <c r="A25" s="216">
        <v>21</v>
      </c>
      <c r="B25" s="639" t="s">
        <v>1280</v>
      </c>
      <c r="C25" s="198" t="s">
        <v>59</v>
      </c>
      <c r="D25" s="204"/>
      <c r="E25" s="200">
        <v>12124</v>
      </c>
      <c r="F25" s="541">
        <v>8657</v>
      </c>
      <c r="G25" s="541">
        <v>8936</v>
      </c>
      <c r="H25" s="541">
        <v>6810</v>
      </c>
      <c r="I25" s="541">
        <v>5492</v>
      </c>
      <c r="J25" s="205"/>
      <c r="K25" s="254">
        <f t="shared" si="0"/>
        <v>42019</v>
      </c>
      <c r="L25" s="254">
        <f t="shared" si="1"/>
        <v>348257</v>
      </c>
    </row>
    <row r="26" spans="1:13" ht="15">
      <c r="A26" s="216">
        <v>22</v>
      </c>
      <c r="B26" s="639" t="s">
        <v>1281</v>
      </c>
      <c r="C26" s="198"/>
      <c r="D26" s="204"/>
      <c r="E26" s="200">
        <v>-8188</v>
      </c>
      <c r="F26" s="541">
        <v>-793</v>
      </c>
      <c r="G26" s="541">
        <v>-2794</v>
      </c>
      <c r="H26" s="541">
        <v>-3696.59</v>
      </c>
      <c r="I26" s="541">
        <v>-740.55</v>
      </c>
      <c r="J26" s="205"/>
      <c r="K26" s="254">
        <f t="shared" si="0"/>
        <v>-16212.14</v>
      </c>
      <c r="L26" s="254">
        <f t="shared" si="1"/>
        <v>332044.86</v>
      </c>
    </row>
    <row r="27" spans="1:13" ht="15">
      <c r="A27" s="202">
        <v>23</v>
      </c>
      <c r="B27" s="639" t="s">
        <v>1282</v>
      </c>
      <c r="C27" s="198"/>
      <c r="D27" s="204"/>
      <c r="E27" s="253">
        <v>-1001.26</v>
      </c>
      <c r="F27" s="541">
        <v>-854.19</v>
      </c>
      <c r="G27" s="541">
        <v>-1929.12</v>
      </c>
      <c r="H27" s="541">
        <v>-615.29999999999995</v>
      </c>
      <c r="I27" s="541">
        <v>-2248.2600000000002</v>
      </c>
      <c r="J27" s="205">
        <v>-412</v>
      </c>
      <c r="K27" s="254">
        <f t="shared" si="0"/>
        <v>-7060.13</v>
      </c>
      <c r="L27" s="254">
        <f t="shared" si="1"/>
        <v>324984.73</v>
      </c>
    </row>
    <row r="28" spans="1:13" ht="15">
      <c r="A28" s="202"/>
      <c r="B28" s="643"/>
      <c r="C28" s="198"/>
      <c r="D28" s="204"/>
      <c r="E28" s="253"/>
      <c r="F28" s="541"/>
      <c r="G28" s="541"/>
      <c r="H28" s="541"/>
      <c r="I28" s="541"/>
      <c r="J28" s="205"/>
      <c r="K28" s="254">
        <f t="shared" si="0"/>
        <v>0</v>
      </c>
      <c r="L28" s="254">
        <f t="shared" si="1"/>
        <v>324984.73</v>
      </c>
    </row>
    <row r="29" spans="1:13" ht="15">
      <c r="A29" s="202"/>
      <c r="B29" s="639"/>
      <c r="C29" s="198"/>
      <c r="D29" s="204"/>
      <c r="E29" s="253"/>
      <c r="F29" s="541"/>
      <c r="G29" s="541"/>
      <c r="H29" s="541"/>
      <c r="I29" s="541"/>
      <c r="J29" s="205"/>
      <c r="K29" s="254"/>
      <c r="L29" s="254"/>
    </row>
    <row r="30" spans="1:13" ht="15">
      <c r="A30" s="202"/>
      <c r="B30" s="205"/>
      <c r="C30" s="204"/>
      <c r="D30" s="204"/>
      <c r="E30" s="200"/>
      <c r="F30" s="200"/>
      <c r="G30" s="200"/>
      <c r="H30" s="203"/>
      <c r="I30" s="200"/>
      <c r="J30" s="205"/>
      <c r="K30" s="205"/>
      <c r="L30" s="236"/>
    </row>
    <row r="31" spans="1:13" s="209" customFormat="1" ht="18.75">
      <c r="A31" s="466"/>
      <c r="B31" s="466" t="s">
        <v>442</v>
      </c>
      <c r="C31" s="466"/>
      <c r="D31" s="466">
        <f t="shared" ref="D31:K31" si="2">SUM(D4:D30)</f>
        <v>0</v>
      </c>
      <c r="E31" s="466">
        <f t="shared" si="2"/>
        <v>46096.74</v>
      </c>
      <c r="F31" s="466">
        <f t="shared" si="2"/>
        <v>43427.81</v>
      </c>
      <c r="G31" s="466">
        <f t="shared" si="2"/>
        <v>29397.88</v>
      </c>
      <c r="H31" s="466">
        <f t="shared" si="2"/>
        <v>112548.11</v>
      </c>
      <c r="I31" s="466">
        <f t="shared" si="2"/>
        <v>68874.19</v>
      </c>
      <c r="J31" s="466">
        <f t="shared" si="2"/>
        <v>24640</v>
      </c>
      <c r="K31" s="466">
        <f t="shared" si="2"/>
        <v>324984.73</v>
      </c>
      <c r="L31" s="466" t="s">
        <v>59</v>
      </c>
      <c r="M31" s="208"/>
    </row>
    <row r="32" spans="1:13" s="209" customFormat="1" ht="18.75">
      <c r="B32" s="210"/>
      <c r="C32" s="210"/>
      <c r="D32" s="210"/>
      <c r="E32" s="210"/>
      <c r="F32" s="210"/>
      <c r="G32" s="210"/>
      <c r="H32" s="210"/>
      <c r="I32" s="210"/>
      <c r="J32" s="210"/>
      <c r="K32" s="210"/>
      <c r="L32" s="207"/>
      <c r="M32" s="208"/>
    </row>
    <row r="33" spans="2:9" ht="18.75">
      <c r="B33" s="211"/>
      <c r="C33" s="211"/>
      <c r="D33" s="211"/>
      <c r="E33" s="211"/>
      <c r="F33" s="212"/>
      <c r="G33" s="213"/>
      <c r="H33" s="214"/>
      <c r="I33" s="215"/>
    </row>
  </sheetData>
  <mergeCells count="2">
    <mergeCell ref="A1:L1"/>
    <mergeCell ref="A2:L2"/>
  </mergeCells>
  <pageMargins left="0.7" right="0.7" top="0.75" bottom="0.75" header="0.3" footer="0.3"/>
  <pageSetup paperSize="9" scale="83"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9"/>
  <sheetViews>
    <sheetView topLeftCell="A10" workbookViewId="0">
      <selection activeCell="G20" sqref="G20:H20"/>
    </sheetView>
  </sheetViews>
  <sheetFormatPr defaultRowHeight="15"/>
  <cols>
    <col min="1" max="1" width="8.85546875" style="86"/>
    <col min="2" max="2" width="41.28515625" customWidth="1"/>
    <col min="3" max="3" width="24.7109375" bestFit="1" customWidth="1"/>
    <col min="6" max="6" width="9" bestFit="1" customWidth="1"/>
    <col min="7" max="7" width="10.7109375" customWidth="1"/>
    <col min="8" max="8" width="11.28515625" customWidth="1"/>
    <col min="9" max="9" width="10.7109375" customWidth="1"/>
    <col min="10" max="11" width="10.42578125" bestFit="1" customWidth="1"/>
    <col min="12" max="12" width="10.7109375" bestFit="1" customWidth="1"/>
    <col min="13" max="13" width="11.85546875" bestFit="1" customWidth="1"/>
  </cols>
  <sheetData>
    <row r="1" spans="1:13" ht="22.15" customHeight="1">
      <c r="A1" s="780" t="s">
        <v>420</v>
      </c>
      <c r="B1" s="781"/>
      <c r="C1" s="781"/>
      <c r="D1" s="781"/>
      <c r="E1" s="781"/>
      <c r="F1" s="781"/>
      <c r="G1" s="781"/>
      <c r="H1" s="781"/>
      <c r="I1" s="781"/>
      <c r="J1" s="781"/>
      <c r="K1" s="781"/>
      <c r="L1" s="781"/>
      <c r="M1" s="782"/>
    </row>
    <row r="2" spans="1:13" ht="19.899999999999999" customHeight="1">
      <c r="A2" s="783" t="s">
        <v>421</v>
      </c>
      <c r="B2" s="784"/>
      <c r="C2" s="784"/>
      <c r="D2" s="784"/>
      <c r="E2" s="784"/>
      <c r="F2" s="784"/>
      <c r="G2" s="784"/>
      <c r="H2" s="784"/>
      <c r="I2" s="784"/>
      <c r="J2" s="784"/>
      <c r="K2" s="784"/>
      <c r="L2" s="784"/>
      <c r="M2" s="785"/>
    </row>
    <row r="3" spans="1:13" ht="30">
      <c r="A3" s="175" t="s">
        <v>1</v>
      </c>
      <c r="B3" s="484" t="s">
        <v>190</v>
      </c>
      <c r="C3" s="485" t="s">
        <v>413</v>
      </c>
      <c r="D3" s="485" t="s">
        <v>60</v>
      </c>
      <c r="E3" s="485" t="s">
        <v>64</v>
      </c>
      <c r="F3" s="201" t="s">
        <v>447</v>
      </c>
      <c r="G3" s="201" t="s">
        <v>414</v>
      </c>
      <c r="H3" s="201" t="s">
        <v>415</v>
      </c>
      <c r="I3" s="201" t="s">
        <v>416</v>
      </c>
      <c r="J3" s="201" t="s">
        <v>417</v>
      </c>
      <c r="K3" s="201" t="s">
        <v>418</v>
      </c>
      <c r="L3" s="217" t="s">
        <v>419</v>
      </c>
      <c r="M3" s="543" t="s">
        <v>57</v>
      </c>
    </row>
    <row r="4" spans="1:13">
      <c r="A4" s="175"/>
      <c r="B4" s="485" t="s">
        <v>489</v>
      </c>
      <c r="C4" s="165"/>
      <c r="D4" s="165"/>
      <c r="E4" s="165"/>
      <c r="F4" s="166"/>
      <c r="G4" s="166"/>
      <c r="H4" s="166"/>
      <c r="I4" s="166"/>
      <c r="J4" s="166"/>
      <c r="K4" s="166"/>
      <c r="L4" s="164"/>
      <c r="M4" s="176"/>
    </row>
    <row r="5" spans="1:13">
      <c r="A5" s="177" t="s">
        <v>113</v>
      </c>
      <c r="B5" s="172" t="s">
        <v>577</v>
      </c>
      <c r="C5" s="483"/>
      <c r="D5" s="483"/>
      <c r="E5" s="483"/>
      <c r="F5" s="483"/>
      <c r="G5" s="483"/>
      <c r="H5" s="483"/>
      <c r="I5" s="483"/>
      <c r="J5" s="483"/>
      <c r="K5" s="483"/>
      <c r="L5" s="483"/>
      <c r="M5" s="188"/>
    </row>
    <row r="6" spans="1:13">
      <c r="A6" s="177">
        <v>1</v>
      </c>
      <c r="B6" s="563" t="s">
        <v>422</v>
      </c>
      <c r="C6" s="169" t="s">
        <v>423</v>
      </c>
      <c r="D6" s="483" t="s">
        <v>59</v>
      </c>
      <c r="E6" s="483">
        <v>1</v>
      </c>
      <c r="F6" s="483"/>
      <c r="G6" s="235">
        <f>'COL BBS'!P615*$E$6</f>
        <v>0</v>
      </c>
      <c r="H6" s="235">
        <f>'COL BBS'!Q615*$E$6</f>
        <v>752.92149466890589</v>
      </c>
      <c r="I6" s="235">
        <f>'COL BBS'!R615*$E$6</f>
        <v>352.90008</v>
      </c>
      <c r="J6" s="235">
        <f>'COL BBS'!S615*$E$6</f>
        <v>875.36423999999977</v>
      </c>
      <c r="K6" s="235">
        <f>'COL BBS'!T615*$E$6</f>
        <v>698.34677399999998</v>
      </c>
      <c r="L6" s="235">
        <f>'COL BBS'!U615*$E$6</f>
        <v>76.619879999999995</v>
      </c>
      <c r="M6" s="492">
        <f t="shared" ref="M6:M11" si="0">SUM(F6:L6)</f>
        <v>2756.1524686689058</v>
      </c>
    </row>
    <row r="7" spans="1:13">
      <c r="A7" s="177">
        <v>2</v>
      </c>
      <c r="B7" s="171" t="s">
        <v>424</v>
      </c>
      <c r="C7" s="169" t="s">
        <v>425</v>
      </c>
      <c r="D7" s="483" t="s">
        <v>59</v>
      </c>
      <c r="E7" s="483">
        <v>1</v>
      </c>
      <c r="F7" s="483"/>
      <c r="G7" s="235">
        <f>'RAFT BBS'!Q786*$E$7</f>
        <v>0</v>
      </c>
      <c r="H7" s="235">
        <f>'RAFT BBS'!R786*$E$7</f>
        <v>574.2480700000001</v>
      </c>
      <c r="I7" s="235">
        <f>'RAFT BBS'!S786*$E$7</f>
        <v>1139.079336</v>
      </c>
      <c r="J7" s="235">
        <f>'RAFT BBS'!T786*$E$7</f>
        <v>24893.957020000005</v>
      </c>
      <c r="K7" s="235">
        <f>'RAFT BBS'!U786*$E$7</f>
        <v>15376.006124999993</v>
      </c>
      <c r="L7" s="235">
        <f>'RAFT BBS'!V786*$E$7</f>
        <v>8483.9734800000006</v>
      </c>
      <c r="M7" s="492">
        <f t="shared" si="0"/>
        <v>50467.264030999999</v>
      </c>
    </row>
    <row r="8" spans="1:13">
      <c r="A8" s="177">
        <v>3</v>
      </c>
      <c r="B8" s="563" t="s">
        <v>578</v>
      </c>
      <c r="C8" s="169" t="s">
        <v>423</v>
      </c>
      <c r="D8" s="483" t="s">
        <v>59</v>
      </c>
      <c r="E8" s="483">
        <v>1</v>
      </c>
      <c r="F8" s="483"/>
      <c r="G8" s="235">
        <f>'COL BBS'!P615*$E$8</f>
        <v>0</v>
      </c>
      <c r="H8" s="235">
        <f>'COL BBS'!Q615*$E$8</f>
        <v>752.92149466890589</v>
      </c>
      <c r="I8" s="235">
        <f>'COL BBS'!R615*$E$8</f>
        <v>352.90008</v>
      </c>
      <c r="J8" s="235">
        <f>'COL BBS'!S615*$E$8</f>
        <v>875.36423999999977</v>
      </c>
      <c r="K8" s="235">
        <f>'COL BBS'!T615*$E$8</f>
        <v>698.34677399999998</v>
      </c>
      <c r="L8" s="235">
        <f>'COL BBS'!U615*$E$8</f>
        <v>76.619879999999995</v>
      </c>
      <c r="M8" s="492">
        <f t="shared" si="0"/>
        <v>2756.1524686689058</v>
      </c>
    </row>
    <row r="9" spans="1:13">
      <c r="A9" s="177">
        <v>4</v>
      </c>
      <c r="B9" s="171" t="s">
        <v>617</v>
      </c>
      <c r="C9" s="169" t="s">
        <v>425</v>
      </c>
      <c r="D9" s="483" t="s">
        <v>59</v>
      </c>
      <c r="E9" s="483">
        <v>1</v>
      </c>
      <c r="F9" s="483"/>
      <c r="G9" s="235">
        <f>'RAFT BBS'!Q1572</f>
        <v>0</v>
      </c>
      <c r="H9" s="235">
        <f>'RAFT BBS'!R1572</f>
        <v>574.2480700000001</v>
      </c>
      <c r="I9" s="235">
        <f>'RAFT BBS'!S1572</f>
        <v>1152.7829519999998</v>
      </c>
      <c r="J9" s="235">
        <f>'RAFT BBS'!T1572</f>
        <v>25482.949420000001</v>
      </c>
      <c r="K9" s="235">
        <f>'RAFT BBS'!U1572</f>
        <v>15753.763124999992</v>
      </c>
      <c r="L9" s="235">
        <f>'RAFT BBS'!V1572</f>
        <v>8483.9734800000006</v>
      </c>
      <c r="M9" s="492">
        <f t="shared" si="0"/>
        <v>51447.717046999991</v>
      </c>
    </row>
    <row r="10" spans="1:13" s="133" customFormat="1">
      <c r="A10" s="488">
        <v>5</v>
      </c>
      <c r="B10" s="564" t="s">
        <v>651</v>
      </c>
      <c r="C10" s="490" t="s">
        <v>425</v>
      </c>
      <c r="D10" s="264" t="s">
        <v>59</v>
      </c>
      <c r="E10" s="264">
        <v>1</v>
      </c>
      <c r="F10" s="264"/>
      <c r="G10" s="491">
        <f>'COL BBS'!P1687</f>
        <v>1630.8341234793654</v>
      </c>
      <c r="H10" s="491">
        <f>'COL BBS'!Q1687</f>
        <v>6329.7326664139528</v>
      </c>
      <c r="I10" s="491">
        <f>'COL BBS'!R1687</f>
        <v>1135.8727680000009</v>
      </c>
      <c r="J10" s="491">
        <f>'COL BBS'!S1687</f>
        <v>2996.7670399999997</v>
      </c>
      <c r="K10" s="491">
        <f>'COL BBS'!T1687</f>
        <v>2240.6668800000002</v>
      </c>
      <c r="L10" s="491">
        <f>'COL BBS'!U1687</f>
        <v>259.25760000000002</v>
      </c>
      <c r="M10" s="492">
        <f t="shared" si="0"/>
        <v>14593.131077893318</v>
      </c>
    </row>
    <row r="11" spans="1:13" s="133" customFormat="1">
      <c r="A11" s="488">
        <v>6</v>
      </c>
      <c r="B11" s="489" t="s">
        <v>662</v>
      </c>
      <c r="C11" s="490" t="s">
        <v>425</v>
      </c>
      <c r="D11" s="264" t="s">
        <v>59</v>
      </c>
      <c r="E11" s="264">
        <v>1</v>
      </c>
      <c r="F11" s="264"/>
      <c r="G11" s="491">
        <f>'RAFT BBS'!Q1593</f>
        <v>0</v>
      </c>
      <c r="H11" s="491">
        <f>'RAFT BBS'!R1593</f>
        <v>0</v>
      </c>
      <c r="I11" s="491">
        <f>'RAFT BBS'!S1593</f>
        <v>0</v>
      </c>
      <c r="J11" s="491">
        <f>'RAFT BBS'!T1593</f>
        <v>139.84896000000001</v>
      </c>
      <c r="K11" s="491">
        <f>'RAFT BBS'!U1593</f>
        <v>0</v>
      </c>
      <c r="L11" s="491">
        <f>'RAFT BBS'!V1593</f>
        <v>0</v>
      </c>
      <c r="M11" s="492">
        <f t="shared" si="0"/>
        <v>139.84896000000001</v>
      </c>
    </row>
    <row r="12" spans="1:13" s="133" customFormat="1">
      <c r="A12" s="488">
        <v>7</v>
      </c>
      <c r="B12" s="489" t="s">
        <v>871</v>
      </c>
      <c r="C12" s="490" t="s">
        <v>425</v>
      </c>
      <c r="D12" s="264" t="s">
        <v>59</v>
      </c>
      <c r="E12" s="264">
        <v>1</v>
      </c>
      <c r="F12" s="264"/>
      <c r="G12" s="491">
        <f>'PLINTH BEAM BBS'!M384</f>
        <v>3492.1436500000063</v>
      </c>
      <c r="H12" s="491">
        <f>'PLINTH BEAM BBS'!N384</f>
        <v>131.69248000000005</v>
      </c>
      <c r="I12" s="491">
        <f>'PLINTH BEAM BBS'!O384</f>
        <v>1475.6961600000002</v>
      </c>
      <c r="J12" s="491">
        <f>'PLINTH BEAM BBS'!P384</f>
        <v>4761.2983999999997</v>
      </c>
      <c r="K12" s="491">
        <f>'PLINTH BEAM BBS'!Q384</f>
        <v>147.50160000000002</v>
      </c>
      <c r="L12" s="491">
        <f>'PLINTH BEAM BBS'!R384</f>
        <v>0</v>
      </c>
      <c r="M12" s="492">
        <f t="shared" ref="M12" si="1">SUM(F12:L12)</f>
        <v>10008.332290000006</v>
      </c>
    </row>
    <row r="13" spans="1:13">
      <c r="A13" s="177"/>
      <c r="B13" s="167"/>
      <c r="C13" s="167"/>
      <c r="D13" s="167"/>
      <c r="E13" s="167"/>
      <c r="F13" s="167"/>
      <c r="G13" s="167"/>
      <c r="H13" s="167"/>
      <c r="I13" s="167"/>
      <c r="J13" s="167"/>
      <c r="K13" s="167"/>
      <c r="L13" s="167"/>
      <c r="M13" s="542"/>
    </row>
    <row r="14" spans="1:13">
      <c r="A14" s="177"/>
      <c r="B14" s="171"/>
      <c r="C14" s="169"/>
      <c r="D14" s="483"/>
      <c r="E14" s="483"/>
      <c r="F14" s="483"/>
      <c r="G14" s="483"/>
      <c r="H14" s="483"/>
      <c r="I14" s="483"/>
      <c r="J14" s="483"/>
      <c r="K14" s="483"/>
      <c r="L14" s="483"/>
      <c r="M14" s="178"/>
    </row>
    <row r="15" spans="1:13" ht="20.45" customHeight="1">
      <c r="A15" s="177"/>
      <c r="B15" s="171"/>
      <c r="C15" s="169"/>
      <c r="D15" s="483"/>
      <c r="E15" s="187"/>
      <c r="F15" s="256">
        <f>SUM(F6:F14)</f>
        <v>0</v>
      </c>
      <c r="G15" s="256">
        <f>SUM(G6:G14)</f>
        <v>5122.9777734793715</v>
      </c>
      <c r="H15" s="256">
        <f t="shared" ref="H15:L15" si="2">SUM(H6:H14)</f>
        <v>9115.7642757517642</v>
      </c>
      <c r="I15" s="256">
        <f t="shared" si="2"/>
        <v>5609.2313760000015</v>
      </c>
      <c r="J15" s="256">
        <f t="shared" si="2"/>
        <v>60025.549320000006</v>
      </c>
      <c r="K15" s="256">
        <f t="shared" si="2"/>
        <v>34914.631277999986</v>
      </c>
      <c r="L15" s="256">
        <f t="shared" si="2"/>
        <v>17380.444320000002</v>
      </c>
      <c r="M15" s="257">
        <f>SUM(M6:M14)</f>
        <v>132168.59834323113</v>
      </c>
    </row>
    <row r="16" spans="1:13" ht="30">
      <c r="A16" s="177" t="s">
        <v>116</v>
      </c>
      <c r="B16" s="173" t="s">
        <v>117</v>
      </c>
      <c r="C16" s="169"/>
      <c r="D16" s="483"/>
      <c r="E16" s="483"/>
      <c r="F16" s="483"/>
      <c r="G16" s="483"/>
      <c r="H16" s="483"/>
      <c r="I16" s="483"/>
      <c r="J16" s="483"/>
      <c r="K16" s="483"/>
      <c r="L16" s="483"/>
      <c r="M16" s="188"/>
    </row>
    <row r="17" spans="1:15" s="133" customFormat="1">
      <c r="A17" s="488">
        <v>1</v>
      </c>
      <c r="B17" s="489" t="s">
        <v>872</v>
      </c>
      <c r="C17" s="490" t="s">
        <v>739</v>
      </c>
      <c r="D17" s="264" t="s">
        <v>59</v>
      </c>
      <c r="E17" s="264">
        <v>1</v>
      </c>
      <c r="F17" s="264"/>
      <c r="G17" s="491">
        <f>'TYP COL BBS'!M215*$E17</f>
        <v>4818.3995999999961</v>
      </c>
      <c r="H17" s="491">
        <f>'TYP COL BBS'!N215*$E17</f>
        <v>6767.1140900000028</v>
      </c>
      <c r="I17" s="491">
        <f>'TYP COL BBS'!O215*$E17</f>
        <v>2814.1650599999998</v>
      </c>
      <c r="J17" s="491">
        <f>'TYP COL BBS'!P215*$E17</f>
        <v>5637.9930000000004</v>
      </c>
      <c r="K17" s="491">
        <f>'TYP COL BBS'!Q215*$E17</f>
        <v>4369.6487999999999</v>
      </c>
      <c r="L17" s="491">
        <f>'TYP COL BBS'!R215*$E17</f>
        <v>1422.96</v>
      </c>
      <c r="M17" s="492">
        <f t="shared" ref="M17" si="3">SUM(F17:L17)</f>
        <v>25830.280549999999</v>
      </c>
    </row>
    <row r="18" spans="1:15" s="133" customFormat="1">
      <c r="A18" s="488">
        <v>2</v>
      </c>
      <c r="B18" s="489" t="s">
        <v>1227</v>
      </c>
      <c r="C18" s="490" t="s">
        <v>739</v>
      </c>
      <c r="D18" s="264" t="s">
        <v>59</v>
      </c>
      <c r="E18" s="264">
        <v>1</v>
      </c>
      <c r="F18" s="264"/>
      <c r="G18" s="491">
        <f>('1ST FLOOR LVL SLAB BBS'!M490+'1ST FLOOR LVL SLAB BBS'!M1208)*$E18</f>
        <v>8854.9441000000024</v>
      </c>
      <c r="H18" s="491">
        <f>('1ST FLOOR LVL SLAB BBS'!N490+'1ST FLOOR LVL SLAB BBS'!N1208)*$E18</f>
        <v>2524.6776199999999</v>
      </c>
      <c r="I18" s="491">
        <f>('1ST FLOOR LVL SLAB BBS'!O490+'1ST FLOOR LVL SLAB BBS'!O1208)*$E18</f>
        <v>2329.9077600000001</v>
      </c>
      <c r="J18" s="491">
        <f>('1ST FLOOR LVL SLAB BBS'!P490+'1ST FLOOR LVL SLAB BBS'!P1208)*$E18</f>
        <v>3476.4897999999985</v>
      </c>
      <c r="K18" s="491">
        <f>('1ST FLOOR LVL SLAB BBS'!Q490+'1ST FLOOR LVL SLAB BBS'!Q1208)*$E18</f>
        <v>225.48630000000003</v>
      </c>
      <c r="L18" s="491">
        <f>('1ST FLOOR LVL SLAB BBS'!R490+'1ST FLOOR LVL SLAB BBS'!R1208)*$E18</f>
        <v>104.56600000000002</v>
      </c>
      <c r="M18" s="492">
        <f>SUM(F18:L18)</f>
        <v>17516.07158</v>
      </c>
      <c r="O18" s="133">
        <v>17516</v>
      </c>
    </row>
    <row r="19" spans="1:15" s="121" customFormat="1">
      <c r="A19" s="449">
        <v>3</v>
      </c>
      <c r="B19" s="450" t="s">
        <v>1300</v>
      </c>
      <c r="C19" s="451" t="s">
        <v>739</v>
      </c>
      <c r="D19" s="646" t="s">
        <v>59</v>
      </c>
      <c r="E19" s="646">
        <v>1</v>
      </c>
      <c r="F19" s="646"/>
      <c r="G19" s="452">
        <f>('1ST FLOOR LVL SLAB BBS'!M490+'1ST FLOOR LVL SLAB BBS'!M1208)*$E19</f>
        <v>8854.9441000000024</v>
      </c>
      <c r="H19" s="452">
        <f>('1ST FLOOR LVL SLAB BBS'!N490+'1ST FLOOR LVL SLAB BBS'!N1208)*$E19</f>
        <v>2524.6776199999999</v>
      </c>
      <c r="I19" s="452">
        <f>('1ST FLOOR LVL SLAB BBS'!O490+'1ST FLOOR LVL SLAB BBS'!O1208)*$E19</f>
        <v>2329.9077600000001</v>
      </c>
      <c r="J19" s="452">
        <f>('1ST FLOOR LVL SLAB BBS'!P490+'1ST FLOOR LVL SLAB BBS'!P1208)*$E19</f>
        <v>3476.4897999999985</v>
      </c>
      <c r="K19" s="452">
        <f>('1ST FLOOR LVL SLAB BBS'!Q490+'1ST FLOOR LVL SLAB BBS'!Q1208)*$E19</f>
        <v>225.48630000000003</v>
      </c>
      <c r="L19" s="452">
        <f>('1ST FLOOR LVL SLAB BBS'!R490+'1ST FLOOR LVL SLAB BBS'!R1208)*$E19</f>
        <v>104.56600000000002</v>
      </c>
      <c r="M19" s="255">
        <f>SUM(F19:L19)</f>
        <v>17516.07158</v>
      </c>
      <c r="O19" s="121">
        <v>17516</v>
      </c>
    </row>
    <row r="20" spans="1:15" s="121" customFormat="1">
      <c r="A20" s="449">
        <v>3</v>
      </c>
      <c r="B20" s="450" t="s">
        <v>1302</v>
      </c>
      <c r="C20" s="451" t="s">
        <v>739</v>
      </c>
      <c r="D20" s="646" t="s">
        <v>59</v>
      </c>
      <c r="E20" s="646">
        <v>0.5</v>
      </c>
      <c r="F20" s="646"/>
      <c r="G20" s="452">
        <f>'TYP COL BBS'!M424*$E20</f>
        <v>2166.8909999999996</v>
      </c>
      <c r="H20" s="452">
        <f>'TYP COL BBS'!N424*$E20</f>
        <v>2758.3879649999999</v>
      </c>
      <c r="I20" s="452">
        <f>'TYP COL BBS'!O424*$E20</f>
        <v>1936.242</v>
      </c>
      <c r="J20" s="452">
        <f>'TYP COL BBS'!P424*$E20</f>
        <v>2406.7429000000002</v>
      </c>
      <c r="K20" s="452">
        <f>'TYP COL BBS'!Q424*$E20</f>
        <v>1462.5683999999999</v>
      </c>
      <c r="L20" s="452">
        <f>'TYP COL BBS'!R424*$E20</f>
        <v>272.58</v>
      </c>
      <c r="M20" s="255">
        <f>SUM(F20:L20)</f>
        <v>11003.412265000001</v>
      </c>
      <c r="O20" s="121">
        <v>17516</v>
      </c>
    </row>
    <row r="21" spans="1:15">
      <c r="A21" s="177"/>
      <c r="B21" s="185"/>
      <c r="C21" s="169"/>
      <c r="D21" s="483"/>
      <c r="E21" s="483"/>
      <c r="F21" s="483"/>
      <c r="G21" s="483"/>
      <c r="H21" s="483"/>
      <c r="I21" s="483"/>
      <c r="J21" s="483"/>
      <c r="K21" s="483"/>
      <c r="L21" s="483"/>
      <c r="M21" s="178"/>
    </row>
    <row r="22" spans="1:15" ht="20.45" customHeight="1">
      <c r="A22" s="177"/>
      <c r="B22" s="171"/>
      <c r="C22" s="169"/>
      <c r="D22" s="483"/>
      <c r="E22" s="187"/>
      <c r="F22" s="486">
        <f t="shared" ref="F22:M22" si="4">SUM(F17:F21)</f>
        <v>0</v>
      </c>
      <c r="G22" s="486">
        <f t="shared" si="4"/>
        <v>24695.178799999998</v>
      </c>
      <c r="H22" s="486">
        <f t="shared" si="4"/>
        <v>14574.857295000003</v>
      </c>
      <c r="I22" s="486">
        <f t="shared" si="4"/>
        <v>9410.2225799999997</v>
      </c>
      <c r="J22" s="486">
        <f t="shared" si="4"/>
        <v>14997.715499999998</v>
      </c>
      <c r="K22" s="486">
        <f t="shared" si="4"/>
        <v>6283.1898000000001</v>
      </c>
      <c r="L22" s="486">
        <f t="shared" si="4"/>
        <v>1904.672</v>
      </c>
      <c r="M22" s="179">
        <f t="shared" si="4"/>
        <v>71865.835975000009</v>
      </c>
    </row>
    <row r="23" spans="1:15" ht="38.25">
      <c r="A23" s="177" t="s">
        <v>118</v>
      </c>
      <c r="B23" s="174" t="s">
        <v>89</v>
      </c>
      <c r="C23" s="169"/>
      <c r="D23" s="483"/>
      <c r="E23" s="483"/>
      <c r="F23" s="483"/>
      <c r="G23" s="483"/>
      <c r="H23" s="483"/>
      <c r="I23" s="483"/>
      <c r="J23" s="483"/>
      <c r="K23" s="483"/>
      <c r="L23" s="483"/>
      <c r="M23" s="188"/>
    </row>
    <row r="24" spans="1:15" ht="30">
      <c r="A24" s="449">
        <v>1</v>
      </c>
      <c r="B24" s="454" t="s">
        <v>887</v>
      </c>
      <c r="C24" s="451"/>
      <c r="D24" s="482" t="s">
        <v>59</v>
      </c>
      <c r="E24" s="482">
        <v>2</v>
      </c>
      <c r="F24" s="482"/>
      <c r="G24" s="482">
        <f>'RAFT BBS'!Q1607*$E24</f>
        <v>36.150399999999998</v>
      </c>
      <c r="H24" s="482">
        <f>'RAFT BBS'!R1607*$E24</f>
        <v>0</v>
      </c>
      <c r="I24" s="482">
        <f>'RAFT BBS'!S1607*$E24</f>
        <v>0</v>
      </c>
      <c r="J24" s="482">
        <f>'RAFT BBS'!T1607*$E24</f>
        <v>0</v>
      </c>
      <c r="K24" s="482">
        <f>'RAFT BBS'!U1607*$E24</f>
        <v>0</v>
      </c>
      <c r="L24" s="482">
        <f>'RAFT BBS'!V1607*$E24</f>
        <v>0</v>
      </c>
      <c r="M24" s="255">
        <f>SUM(F24:L24)</f>
        <v>36.150399999999998</v>
      </c>
    </row>
    <row r="25" spans="1:15">
      <c r="A25" s="177">
        <v>2</v>
      </c>
      <c r="B25" s="186"/>
      <c r="C25" s="169"/>
      <c r="D25" s="483"/>
      <c r="E25" s="483"/>
      <c r="F25" s="483"/>
      <c r="G25" s="483"/>
      <c r="H25" s="483"/>
      <c r="I25" s="483"/>
      <c r="J25" s="483"/>
      <c r="K25" s="483"/>
      <c r="L25" s="483"/>
      <c r="M25" s="178">
        <f>SUM(F25:L25)</f>
        <v>0</v>
      </c>
    </row>
    <row r="26" spans="1:15">
      <c r="A26" s="177"/>
      <c r="B26" s="171"/>
      <c r="C26" s="169"/>
      <c r="D26" s="483"/>
      <c r="E26" s="483"/>
      <c r="F26" s="483"/>
      <c r="G26" s="483"/>
      <c r="H26" s="483"/>
      <c r="I26" s="483"/>
      <c r="J26" s="483"/>
      <c r="K26" s="483"/>
      <c r="L26" s="483"/>
      <c r="M26" s="178"/>
    </row>
    <row r="27" spans="1:15" ht="20.45" customHeight="1">
      <c r="A27" s="177"/>
      <c r="B27" s="171"/>
      <c r="C27" s="169"/>
      <c r="D27" s="483"/>
      <c r="E27" s="187"/>
      <c r="F27" s="486">
        <f>SUM(F24:F26)</f>
        <v>0</v>
      </c>
      <c r="G27" s="486">
        <f>SUM(G24:G26)</f>
        <v>36.150399999999998</v>
      </c>
      <c r="H27" s="486">
        <f t="shared" ref="H27:M27" si="5">SUM(H24:H26)</f>
        <v>0</v>
      </c>
      <c r="I27" s="486">
        <f t="shared" si="5"/>
        <v>0</v>
      </c>
      <c r="J27" s="486">
        <f t="shared" si="5"/>
        <v>0</v>
      </c>
      <c r="K27" s="486">
        <f t="shared" si="5"/>
        <v>0</v>
      </c>
      <c r="L27" s="486">
        <f t="shared" si="5"/>
        <v>0</v>
      </c>
      <c r="M27" s="179">
        <f t="shared" si="5"/>
        <v>36.150399999999998</v>
      </c>
    </row>
    <row r="28" spans="1:15" ht="15.75" thickBot="1">
      <c r="A28" s="180"/>
      <c r="B28" s="181"/>
      <c r="C28" s="182"/>
      <c r="D28" s="183"/>
      <c r="E28" s="183"/>
      <c r="F28" s="183"/>
      <c r="G28" s="183"/>
      <c r="H28" s="183"/>
      <c r="I28" s="183"/>
      <c r="J28" s="183"/>
      <c r="K28" s="183"/>
      <c r="L28" s="183"/>
      <c r="M28" s="184"/>
    </row>
    <row r="29" spans="1:15">
      <c r="C29" s="86"/>
      <c r="D29" s="86"/>
      <c r="E29" s="86"/>
      <c r="F29" s="86"/>
      <c r="G29" s="86"/>
      <c r="H29" s="86"/>
      <c r="I29" s="86"/>
      <c r="J29" s="86"/>
      <c r="K29" s="86"/>
      <c r="L29" s="86"/>
      <c r="M29" s="529">
        <f>M15+M22+M27</f>
        <v>204070.58471823114</v>
      </c>
    </row>
  </sheetData>
  <mergeCells count="2">
    <mergeCell ref="A1:M1"/>
    <mergeCell ref="A2:M2"/>
  </mergeCells>
  <pageMargins left="0.7" right="0.7" top="0.75" bottom="0.75" header="0.3" footer="0.3"/>
  <pageSetup scale="63"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607"/>
  <sheetViews>
    <sheetView view="pageBreakPreview" topLeftCell="A1589" zoomScale="85" zoomScaleNormal="85" zoomScaleSheetLayoutView="85" workbookViewId="0">
      <selection activeCell="Q793" sqref="Q793:V1568"/>
    </sheetView>
  </sheetViews>
  <sheetFormatPr defaultRowHeight="15"/>
  <cols>
    <col min="1" max="1" width="6.85546875" customWidth="1"/>
    <col min="2" max="2" width="30.28515625" customWidth="1"/>
    <col min="3" max="5" width="7.5703125" customWidth="1"/>
    <col min="6" max="6" width="8.5703125" customWidth="1"/>
    <col min="7" max="10" width="8.85546875" customWidth="1"/>
    <col min="11" max="11" width="8.85546875" style="133" customWidth="1"/>
    <col min="12" max="12" width="6.7109375" customWidth="1"/>
    <col min="13" max="13" width="8.85546875" customWidth="1"/>
    <col min="14" max="14" width="10" customWidth="1"/>
    <col min="15" max="15" width="8.85546875" customWidth="1"/>
    <col min="16" max="16" width="11.85546875" bestFit="1" customWidth="1"/>
    <col min="17" max="22" width="9.5703125" customWidth="1"/>
  </cols>
  <sheetData>
    <row r="1" spans="1:23" ht="18.75">
      <c r="A1" s="800" t="s">
        <v>215</v>
      </c>
      <c r="B1" s="800"/>
      <c r="C1" s="87"/>
      <c r="D1" s="87"/>
      <c r="E1" s="87"/>
      <c r="F1" s="87"/>
      <c r="G1" s="87"/>
      <c r="H1" s="87"/>
      <c r="I1" s="87"/>
      <c r="J1" s="87"/>
      <c r="K1" s="88"/>
      <c r="L1" s="87"/>
      <c r="M1" s="87"/>
      <c r="N1" s="87"/>
      <c r="O1" s="87"/>
      <c r="P1" s="87"/>
      <c r="Q1" s="87"/>
      <c r="R1" s="87"/>
      <c r="S1" s="87"/>
      <c r="T1" s="87"/>
      <c r="U1" s="87"/>
      <c r="V1" s="87"/>
      <c r="W1" s="87"/>
    </row>
    <row r="2" spans="1:23" ht="15.75">
      <c r="A2" s="791" t="s">
        <v>580</v>
      </c>
      <c r="B2" s="792"/>
      <c r="C2" s="792"/>
      <c r="D2" s="792"/>
      <c r="E2" s="792"/>
      <c r="F2" s="792"/>
      <c r="G2" s="792"/>
      <c r="H2" s="792"/>
      <c r="I2" s="792"/>
      <c r="J2" s="792"/>
      <c r="K2" s="792"/>
      <c r="L2" s="792"/>
      <c r="M2" s="792"/>
      <c r="N2" s="792"/>
      <c r="O2" s="792"/>
      <c r="P2" s="792"/>
      <c r="Q2" s="792"/>
      <c r="R2" s="792"/>
      <c r="S2" s="792"/>
      <c r="T2" s="792"/>
      <c r="U2" s="792"/>
      <c r="V2" s="792"/>
      <c r="W2" s="793"/>
    </row>
    <row r="3" spans="1:23" ht="54.75" customHeight="1">
      <c r="A3" s="90" t="s">
        <v>50</v>
      </c>
      <c r="B3" s="90" t="s">
        <v>51</v>
      </c>
      <c r="C3" s="801" t="s">
        <v>216</v>
      </c>
      <c r="D3" s="801"/>
      <c r="E3" s="801"/>
      <c r="F3" s="802"/>
      <c r="G3" s="91" t="s">
        <v>217</v>
      </c>
      <c r="H3" s="91" t="s">
        <v>218</v>
      </c>
      <c r="I3" s="91" t="s">
        <v>219</v>
      </c>
      <c r="J3" s="91" t="s">
        <v>220</v>
      </c>
      <c r="K3" s="91" t="s">
        <v>221</v>
      </c>
      <c r="L3" s="90" t="s">
        <v>222</v>
      </c>
      <c r="M3" s="91" t="s">
        <v>223</v>
      </c>
      <c r="N3" s="91" t="s">
        <v>224</v>
      </c>
      <c r="O3" s="91" t="s">
        <v>225</v>
      </c>
      <c r="P3" s="90" t="s">
        <v>226</v>
      </c>
      <c r="Q3" s="802" t="s">
        <v>227</v>
      </c>
      <c r="R3" s="803"/>
      <c r="S3" s="803"/>
      <c r="T3" s="803"/>
      <c r="U3" s="803"/>
      <c r="V3" s="804"/>
      <c r="W3" s="90" t="s">
        <v>228</v>
      </c>
    </row>
    <row r="4" spans="1:23">
      <c r="A4" s="92" t="s">
        <v>229</v>
      </c>
      <c r="B4" s="93" t="s">
        <v>230</v>
      </c>
      <c r="C4" s="94"/>
      <c r="D4" s="95"/>
      <c r="E4" s="95"/>
      <c r="F4" s="96"/>
      <c r="G4" s="97"/>
      <c r="H4" s="98"/>
      <c r="I4" s="99"/>
      <c r="J4" s="99"/>
      <c r="K4" s="100"/>
      <c r="L4" s="99"/>
      <c r="M4" s="99"/>
      <c r="N4" s="99"/>
      <c r="O4" s="99"/>
      <c r="P4" s="101"/>
      <c r="Q4" s="102" t="s">
        <v>231</v>
      </c>
      <c r="R4" s="102" t="s">
        <v>232</v>
      </c>
      <c r="S4" s="102" t="s">
        <v>233</v>
      </c>
      <c r="T4" s="102" t="s">
        <v>234</v>
      </c>
      <c r="U4" s="102" t="s">
        <v>235</v>
      </c>
      <c r="V4" s="102" t="s">
        <v>236</v>
      </c>
      <c r="W4" s="102"/>
    </row>
    <row r="5" spans="1:23">
      <c r="A5" s="92"/>
      <c r="B5" s="103" t="s">
        <v>237</v>
      </c>
      <c r="C5" s="94"/>
      <c r="D5" s="95"/>
      <c r="E5" s="95"/>
      <c r="F5" s="96"/>
      <c r="G5" s="97"/>
      <c r="H5" s="98"/>
      <c r="I5" s="99"/>
      <c r="J5" s="99"/>
      <c r="K5" s="100"/>
      <c r="L5" s="99"/>
      <c r="M5" s="99"/>
      <c r="N5" s="99"/>
      <c r="O5" s="99"/>
      <c r="P5" s="101"/>
      <c r="Q5" s="104" t="str">
        <f>IF($H5=8,$P5,"")</f>
        <v/>
      </c>
      <c r="R5" s="104" t="str">
        <f>IF($H5=10,$P5,"")</f>
        <v/>
      </c>
      <c r="S5" s="104" t="str">
        <f>IF($H5=12,$P5,"")</f>
        <v/>
      </c>
      <c r="T5" s="104" t="str">
        <f>IF($H5=16,$P5,"")</f>
        <v/>
      </c>
      <c r="U5" s="104" t="str">
        <f>IF($H5=20,$P5,"")</f>
        <v/>
      </c>
      <c r="V5" s="104" t="str">
        <f>IF($H5=25,$P5,"")</f>
        <v/>
      </c>
      <c r="W5" s="105"/>
    </row>
    <row r="6" spans="1:23">
      <c r="A6" s="92">
        <v>1</v>
      </c>
      <c r="B6" s="106" t="s">
        <v>238</v>
      </c>
      <c r="C6" s="94"/>
      <c r="D6" s="95"/>
      <c r="E6" s="95"/>
      <c r="F6" s="96"/>
      <c r="G6" s="97"/>
      <c r="H6" s="98"/>
      <c r="I6" s="99"/>
      <c r="J6" s="99"/>
      <c r="K6" s="100"/>
      <c r="L6" s="99"/>
      <c r="M6" s="99"/>
      <c r="N6" s="99"/>
      <c r="O6" s="99"/>
      <c r="P6" s="101"/>
      <c r="Q6" s="104" t="str">
        <f t="shared" ref="Q6:Q108" si="0">IF($H6=8,$P6,"")</f>
        <v/>
      </c>
      <c r="R6" s="104" t="str">
        <f t="shared" ref="R6:R108" si="1">IF($H6=10,$P6,"")</f>
        <v/>
      </c>
      <c r="S6" s="104" t="str">
        <f t="shared" ref="S6:S108" si="2">IF($H6=12,$P6,"")</f>
        <v/>
      </c>
      <c r="T6" s="104" t="str">
        <f t="shared" ref="T6:T108" si="3">IF($H6=16,$P6,"")</f>
        <v/>
      </c>
      <c r="U6" s="104" t="str">
        <f t="shared" ref="U6:U108" si="4">IF($H6=20,$P6,"")</f>
        <v/>
      </c>
      <c r="V6" s="104" t="str">
        <f t="shared" ref="V6:V108" si="5">IF($H6=25,$P6,"")</f>
        <v/>
      </c>
      <c r="W6" s="105"/>
    </row>
    <row r="7" spans="1:23">
      <c r="A7" s="92"/>
      <c r="B7" t="s">
        <v>239</v>
      </c>
      <c r="C7" s="107">
        <v>0.5</v>
      </c>
      <c r="D7" s="786">
        <f>21.65-2*0.05</f>
        <v>21.549999999999997</v>
      </c>
      <c r="E7" s="799"/>
      <c r="F7" s="107">
        <v>0.5</v>
      </c>
      <c r="G7" s="108">
        <v>0.25</v>
      </c>
      <c r="H7" s="98">
        <v>16</v>
      </c>
      <c r="I7" s="99">
        <v>1</v>
      </c>
      <c r="J7" s="101">
        <f>ROUNDDOWN(8.855/G7/2+1,0)</f>
        <v>18</v>
      </c>
      <c r="K7" s="109">
        <f>D7</f>
        <v>21.549999999999997</v>
      </c>
      <c r="L7" s="110">
        <f>IF(O7&lt;12,"0",0.049*H7)*2</f>
        <v>1.5680000000000001</v>
      </c>
      <c r="M7" s="111">
        <v>2</v>
      </c>
      <c r="N7" s="99">
        <f>M7*2*H7/1000</f>
        <v>6.4000000000000001E-2</v>
      </c>
      <c r="O7" s="112">
        <f>(D7+C7+F7)-N7</f>
        <v>22.485999999999997</v>
      </c>
      <c r="P7" s="112">
        <f>(I7*J7*O7)+L7</f>
        <v>406.31599999999992</v>
      </c>
      <c r="Q7" s="104" t="str">
        <f t="shared" si="0"/>
        <v/>
      </c>
      <c r="R7" s="104" t="str">
        <f t="shared" si="1"/>
        <v/>
      </c>
      <c r="S7" s="104" t="str">
        <f t="shared" si="2"/>
        <v/>
      </c>
      <c r="T7" s="104">
        <f t="shared" si="3"/>
        <v>406.31599999999992</v>
      </c>
      <c r="U7" s="104" t="str">
        <f t="shared" si="4"/>
        <v/>
      </c>
      <c r="V7" s="104" t="str">
        <f t="shared" si="5"/>
        <v/>
      </c>
      <c r="W7" s="105"/>
    </row>
    <row r="8" spans="1:23">
      <c r="A8" s="92"/>
      <c r="B8" s="105"/>
      <c r="C8" s="94"/>
      <c r="D8" s="95"/>
      <c r="E8" s="95"/>
      <c r="F8" s="96"/>
      <c r="G8" s="97"/>
      <c r="H8" s="98"/>
      <c r="I8" s="99"/>
      <c r="J8" s="99"/>
      <c r="K8" s="109"/>
      <c r="L8" s="112"/>
      <c r="M8" s="112"/>
      <c r="N8" s="99"/>
      <c r="O8" s="112"/>
      <c r="P8" s="112"/>
      <c r="Q8" s="104" t="str">
        <f t="shared" si="0"/>
        <v/>
      </c>
      <c r="R8" s="104" t="str">
        <f t="shared" si="1"/>
        <v/>
      </c>
      <c r="S8" s="104" t="str">
        <f t="shared" si="2"/>
        <v/>
      </c>
      <c r="T8" s="104" t="str">
        <f t="shared" si="3"/>
        <v/>
      </c>
      <c r="U8" s="104" t="str">
        <f t="shared" si="4"/>
        <v/>
      </c>
      <c r="V8" s="104" t="str">
        <f t="shared" si="5"/>
        <v/>
      </c>
      <c r="W8" s="105"/>
    </row>
    <row r="9" spans="1:23">
      <c r="A9" s="92">
        <v>1</v>
      </c>
      <c r="B9" s="106" t="s">
        <v>238</v>
      </c>
      <c r="C9" s="94"/>
      <c r="D9" s="95"/>
      <c r="E9" s="95"/>
      <c r="F9" s="96"/>
      <c r="G9" s="97"/>
      <c r="H9" s="98"/>
      <c r="I9" s="99"/>
      <c r="J9" s="99"/>
      <c r="K9" s="100"/>
      <c r="L9" s="99"/>
      <c r="M9" s="99"/>
      <c r="N9" s="99"/>
      <c r="O9" s="99"/>
      <c r="P9" s="101"/>
      <c r="Q9" s="104" t="str">
        <f t="shared" si="0"/>
        <v/>
      </c>
      <c r="R9" s="104" t="str">
        <f t="shared" si="1"/>
        <v/>
      </c>
      <c r="S9" s="104" t="str">
        <f t="shared" si="2"/>
        <v/>
      </c>
      <c r="T9" s="104" t="str">
        <f t="shared" si="3"/>
        <v/>
      </c>
      <c r="U9" s="104" t="str">
        <f t="shared" si="4"/>
        <v/>
      </c>
      <c r="V9" s="104" t="str">
        <f t="shared" si="5"/>
        <v/>
      </c>
      <c r="W9" s="105"/>
    </row>
    <row r="10" spans="1:23">
      <c r="A10" s="92"/>
      <c r="B10" t="s">
        <v>239</v>
      </c>
      <c r="C10" s="107">
        <v>0.5</v>
      </c>
      <c r="D10" s="786">
        <f>21.65-2*0.05</f>
        <v>21.549999999999997</v>
      </c>
      <c r="E10" s="799"/>
      <c r="F10" s="107">
        <v>0.5</v>
      </c>
      <c r="G10" s="108">
        <v>0.25</v>
      </c>
      <c r="H10" s="98">
        <v>16</v>
      </c>
      <c r="I10" s="99">
        <v>1</v>
      </c>
      <c r="J10" s="101">
        <f>ROUNDDOWN(8.855/G10/2,0)</f>
        <v>17</v>
      </c>
      <c r="K10" s="109">
        <f>D10</f>
        <v>21.549999999999997</v>
      </c>
      <c r="L10" s="110">
        <f>IF(O10&lt;12,"0",0.049*H10)</f>
        <v>0.78400000000000003</v>
      </c>
      <c r="M10" s="111">
        <v>2</v>
      </c>
      <c r="N10" s="99">
        <f>M10*2*H10/1000</f>
        <v>6.4000000000000001E-2</v>
      </c>
      <c r="O10" s="112">
        <f>(D10+C10+F10)-N10</f>
        <v>22.485999999999997</v>
      </c>
      <c r="P10" s="112">
        <f>(I10*J10*O10)+L10</f>
        <v>383.04599999999994</v>
      </c>
      <c r="Q10" s="104" t="str">
        <f t="shared" si="0"/>
        <v/>
      </c>
      <c r="R10" s="104" t="str">
        <f t="shared" si="1"/>
        <v/>
      </c>
      <c r="S10" s="104" t="str">
        <f t="shared" si="2"/>
        <v/>
      </c>
      <c r="T10" s="104">
        <f t="shared" si="3"/>
        <v>383.04599999999994</v>
      </c>
      <c r="U10" s="104" t="str">
        <f t="shared" si="4"/>
        <v/>
      </c>
      <c r="V10" s="104" t="str">
        <f t="shared" si="5"/>
        <v/>
      </c>
      <c r="W10" s="105"/>
    </row>
    <row r="11" spans="1:23">
      <c r="A11" s="92"/>
      <c r="B11" s="105"/>
      <c r="C11" s="94"/>
      <c r="D11" s="95"/>
      <c r="E11" s="95"/>
      <c r="F11" s="96"/>
      <c r="G11" s="97"/>
      <c r="H11" s="98"/>
      <c r="I11" s="99"/>
      <c r="J11" s="99"/>
      <c r="K11" s="109"/>
      <c r="L11" s="112"/>
      <c r="M11" s="112"/>
      <c r="N11" s="99"/>
      <c r="O11" s="112"/>
      <c r="P11" s="112"/>
      <c r="Q11" s="104" t="str">
        <f t="shared" si="0"/>
        <v/>
      </c>
      <c r="R11" s="104" t="str">
        <f t="shared" si="1"/>
        <v/>
      </c>
      <c r="S11" s="104" t="str">
        <f t="shared" si="2"/>
        <v/>
      </c>
      <c r="T11" s="104" t="str">
        <f t="shared" si="3"/>
        <v/>
      </c>
      <c r="U11" s="104" t="str">
        <f t="shared" si="4"/>
        <v/>
      </c>
      <c r="V11" s="104" t="str">
        <f t="shared" si="5"/>
        <v/>
      </c>
      <c r="W11" s="105"/>
    </row>
    <row r="12" spans="1:23">
      <c r="A12" s="92">
        <v>2</v>
      </c>
      <c r="B12" s="106" t="s">
        <v>240</v>
      </c>
      <c r="C12" s="94"/>
      <c r="D12" s="95"/>
      <c r="E12" s="95"/>
      <c r="F12" s="96"/>
      <c r="G12" s="97"/>
      <c r="H12" s="98"/>
      <c r="I12" s="99"/>
      <c r="J12" s="99"/>
      <c r="K12" s="100"/>
      <c r="L12" s="99"/>
      <c r="M12" s="99"/>
      <c r="N12" s="99"/>
      <c r="O12" s="99"/>
      <c r="P12" s="101"/>
      <c r="Q12" s="104" t="str">
        <f t="shared" si="0"/>
        <v/>
      </c>
      <c r="R12" s="104" t="str">
        <f t="shared" si="1"/>
        <v/>
      </c>
      <c r="S12" s="104" t="str">
        <f t="shared" si="2"/>
        <v/>
      </c>
      <c r="T12" s="104" t="str">
        <f t="shared" si="3"/>
        <v/>
      </c>
      <c r="U12" s="104" t="str">
        <f t="shared" si="4"/>
        <v/>
      </c>
      <c r="V12" s="104" t="str">
        <f t="shared" si="5"/>
        <v/>
      </c>
      <c r="W12" s="105"/>
    </row>
    <row r="13" spans="1:23">
      <c r="A13" s="92"/>
      <c r="B13" t="s">
        <v>239</v>
      </c>
      <c r="C13" s="107">
        <v>0.5</v>
      </c>
      <c r="D13" s="786">
        <f>21.65+0.515-2*0.05</f>
        <v>22.064999999999998</v>
      </c>
      <c r="E13" s="799"/>
      <c r="F13" s="107">
        <v>0.5</v>
      </c>
      <c r="G13" s="108">
        <v>0.25</v>
      </c>
      <c r="H13" s="98">
        <v>16</v>
      </c>
      <c r="I13" s="99">
        <v>1</v>
      </c>
      <c r="J13" s="101">
        <f>ROUNDDOWN(2.535/G13/2+1,0)</f>
        <v>6</v>
      </c>
      <c r="K13" s="109">
        <f>D13</f>
        <v>22.064999999999998</v>
      </c>
      <c r="L13" s="112">
        <f>IF(O13&lt;12,"0",0.049*H13)*2</f>
        <v>1.5680000000000001</v>
      </c>
      <c r="M13" s="111">
        <v>2</v>
      </c>
      <c r="N13" s="99">
        <f>M13*2*H13/1000</f>
        <v>6.4000000000000001E-2</v>
      </c>
      <c r="O13" s="112">
        <f>(D13+C13+F13)-N13</f>
        <v>23.000999999999998</v>
      </c>
      <c r="P13" s="112">
        <f>(I13*J13*O13)+L13</f>
        <v>139.57399999999998</v>
      </c>
      <c r="Q13" s="104" t="str">
        <f t="shared" si="0"/>
        <v/>
      </c>
      <c r="R13" s="104" t="str">
        <f t="shared" si="1"/>
        <v/>
      </c>
      <c r="S13" s="104" t="str">
        <f t="shared" si="2"/>
        <v/>
      </c>
      <c r="T13" s="104">
        <f t="shared" si="3"/>
        <v>139.57399999999998</v>
      </c>
      <c r="U13" s="104" t="str">
        <f t="shared" si="4"/>
        <v/>
      </c>
      <c r="V13" s="104" t="str">
        <f t="shared" si="5"/>
        <v/>
      </c>
      <c r="W13" s="105"/>
    </row>
    <row r="14" spans="1:23">
      <c r="A14" s="92"/>
      <c r="B14" s="105"/>
      <c r="C14" s="94"/>
      <c r="D14" s="95"/>
      <c r="E14" s="95"/>
      <c r="F14" s="96"/>
      <c r="G14" s="97"/>
      <c r="H14" s="98"/>
      <c r="I14" s="99"/>
      <c r="J14" s="99"/>
      <c r="K14" s="100"/>
      <c r="L14" s="99"/>
      <c r="M14" s="99"/>
      <c r="N14" s="99"/>
      <c r="O14" s="99"/>
      <c r="P14" s="101"/>
      <c r="Q14" s="104" t="str">
        <f t="shared" si="0"/>
        <v/>
      </c>
      <c r="R14" s="104" t="str">
        <f t="shared" si="1"/>
        <v/>
      </c>
      <c r="S14" s="104" t="str">
        <f t="shared" si="2"/>
        <v/>
      </c>
      <c r="T14" s="104" t="str">
        <f t="shared" si="3"/>
        <v/>
      </c>
      <c r="U14" s="104" t="str">
        <f t="shared" si="4"/>
        <v/>
      </c>
      <c r="V14" s="104" t="str">
        <f t="shared" si="5"/>
        <v/>
      </c>
      <c r="W14" s="105"/>
    </row>
    <row r="15" spans="1:23">
      <c r="A15" s="92">
        <v>2</v>
      </c>
      <c r="B15" s="106" t="s">
        <v>240</v>
      </c>
      <c r="C15" s="94"/>
      <c r="D15" s="95"/>
      <c r="E15" s="95"/>
      <c r="F15" s="96"/>
      <c r="G15" s="97"/>
      <c r="H15" s="98"/>
      <c r="I15" s="99"/>
      <c r="J15" s="99"/>
      <c r="K15" s="100"/>
      <c r="L15" s="99"/>
      <c r="M15" s="99"/>
      <c r="N15" s="99"/>
      <c r="O15" s="99"/>
      <c r="P15" s="101"/>
      <c r="Q15" s="104" t="str">
        <f t="shared" si="0"/>
        <v/>
      </c>
      <c r="R15" s="104" t="str">
        <f t="shared" si="1"/>
        <v/>
      </c>
      <c r="S15" s="104" t="str">
        <f t="shared" si="2"/>
        <v/>
      </c>
      <c r="T15" s="104" t="str">
        <f t="shared" si="3"/>
        <v/>
      </c>
      <c r="U15" s="104" t="str">
        <f t="shared" si="4"/>
        <v/>
      </c>
      <c r="V15" s="104" t="str">
        <f t="shared" si="5"/>
        <v/>
      </c>
      <c r="W15" s="105"/>
    </row>
    <row r="16" spans="1:23">
      <c r="A16" s="92"/>
      <c r="B16" t="s">
        <v>239</v>
      </c>
      <c r="C16" s="107">
        <v>0.5</v>
      </c>
      <c r="D16" s="786">
        <f>21.65+0.515-2*0.05</f>
        <v>22.064999999999998</v>
      </c>
      <c r="E16" s="799"/>
      <c r="F16" s="107">
        <v>0.5</v>
      </c>
      <c r="G16" s="108">
        <v>0.25</v>
      </c>
      <c r="H16" s="98">
        <v>16</v>
      </c>
      <c r="I16" s="99">
        <v>1</v>
      </c>
      <c r="J16" s="101">
        <f>ROUNDDOWN(2.535/G16/2,0)</f>
        <v>5</v>
      </c>
      <c r="K16" s="109">
        <f>D16</f>
        <v>22.064999999999998</v>
      </c>
      <c r="L16" s="112">
        <f>IF(O16&lt;12,"0",0.049*H16)</f>
        <v>0.78400000000000003</v>
      </c>
      <c r="M16" s="111">
        <v>2</v>
      </c>
      <c r="N16" s="99">
        <f>M16*2*H16/1000</f>
        <v>6.4000000000000001E-2</v>
      </c>
      <c r="O16" s="112">
        <f>(D16+C16+F16)-N16</f>
        <v>23.000999999999998</v>
      </c>
      <c r="P16" s="112">
        <f>(I16*J16*O16)+L16</f>
        <v>115.789</v>
      </c>
      <c r="Q16" s="104" t="str">
        <f t="shared" si="0"/>
        <v/>
      </c>
      <c r="R16" s="104" t="str">
        <f t="shared" si="1"/>
        <v/>
      </c>
      <c r="S16" s="104" t="str">
        <f t="shared" si="2"/>
        <v/>
      </c>
      <c r="T16" s="104">
        <f t="shared" si="3"/>
        <v>115.789</v>
      </c>
      <c r="U16" s="104" t="str">
        <f t="shared" si="4"/>
        <v/>
      </c>
      <c r="V16" s="104" t="str">
        <f t="shared" si="5"/>
        <v/>
      </c>
      <c r="W16" s="105"/>
    </row>
    <row r="17" spans="1:23">
      <c r="A17" s="92"/>
      <c r="B17" s="105"/>
      <c r="C17" s="94"/>
      <c r="D17" s="95"/>
      <c r="E17" s="95"/>
      <c r="F17" s="96"/>
      <c r="G17" s="97"/>
      <c r="H17" s="98"/>
      <c r="I17" s="99"/>
      <c r="J17" s="99"/>
      <c r="K17" s="100"/>
      <c r="L17" s="99"/>
      <c r="M17" s="99"/>
      <c r="N17" s="99"/>
      <c r="O17" s="99"/>
      <c r="P17" s="101"/>
      <c r="Q17" s="104" t="str">
        <f t="shared" si="0"/>
        <v/>
      </c>
      <c r="R17" s="104" t="str">
        <f t="shared" si="1"/>
        <v/>
      </c>
      <c r="S17" s="104" t="str">
        <f t="shared" si="2"/>
        <v/>
      </c>
      <c r="T17" s="104" t="str">
        <f t="shared" si="3"/>
        <v/>
      </c>
      <c r="U17" s="104" t="str">
        <f t="shared" si="4"/>
        <v/>
      </c>
      <c r="V17" s="104" t="str">
        <f t="shared" si="5"/>
        <v/>
      </c>
      <c r="W17" s="105"/>
    </row>
    <row r="18" spans="1:23">
      <c r="A18" s="92">
        <v>3</v>
      </c>
      <c r="B18" s="106" t="s">
        <v>241</v>
      </c>
      <c r="C18" s="94"/>
      <c r="D18" s="95"/>
      <c r="E18" s="95"/>
      <c r="F18" s="96"/>
      <c r="G18" s="97"/>
      <c r="H18" s="98"/>
      <c r="I18" s="99"/>
      <c r="J18" s="99"/>
      <c r="K18" s="100"/>
      <c r="L18" s="99"/>
      <c r="M18" s="99"/>
      <c r="N18" s="99"/>
      <c r="O18" s="99"/>
      <c r="P18" s="101"/>
      <c r="Q18" s="104" t="str">
        <f t="shared" si="0"/>
        <v/>
      </c>
      <c r="R18" s="104" t="str">
        <f t="shared" si="1"/>
        <v/>
      </c>
      <c r="S18" s="104" t="str">
        <f t="shared" si="2"/>
        <v/>
      </c>
      <c r="T18" s="104" t="str">
        <f t="shared" si="3"/>
        <v/>
      </c>
      <c r="U18" s="104" t="str">
        <f t="shared" si="4"/>
        <v/>
      </c>
      <c r="V18" s="104" t="str">
        <f t="shared" si="5"/>
        <v/>
      </c>
      <c r="W18" s="105"/>
    </row>
    <row r="19" spans="1:23">
      <c r="A19" s="92"/>
      <c r="B19" t="s">
        <v>239</v>
      </c>
      <c r="C19" s="107">
        <v>0.5</v>
      </c>
      <c r="D19" s="786">
        <f>32.45-2*0.05</f>
        <v>32.35</v>
      </c>
      <c r="E19" s="799"/>
      <c r="F19" s="107">
        <v>0.5</v>
      </c>
      <c r="G19" s="108">
        <v>0.25</v>
      </c>
      <c r="H19" s="98">
        <v>16</v>
      </c>
      <c r="I19" s="99">
        <v>1</v>
      </c>
      <c r="J19" s="101">
        <f>ROUND(6.245/G19/2+1,0)</f>
        <v>13</v>
      </c>
      <c r="K19" s="109">
        <f>D19</f>
        <v>32.35</v>
      </c>
      <c r="L19" s="112">
        <f>IF(O19&lt;12,"0",0.049*H19)*3</f>
        <v>2.3520000000000003</v>
      </c>
      <c r="M19" s="111">
        <v>2</v>
      </c>
      <c r="N19" s="99">
        <f>M19*2*H19/1000</f>
        <v>6.4000000000000001E-2</v>
      </c>
      <c r="O19" s="112">
        <f>(D19+C19+F19)-N19</f>
        <v>33.286000000000001</v>
      </c>
      <c r="P19" s="112">
        <f>(I19*J19*O19)+L19</f>
        <v>435.07</v>
      </c>
      <c r="Q19" s="104" t="str">
        <f t="shared" si="0"/>
        <v/>
      </c>
      <c r="R19" s="104" t="str">
        <f t="shared" si="1"/>
        <v/>
      </c>
      <c r="S19" s="104" t="str">
        <f t="shared" si="2"/>
        <v/>
      </c>
      <c r="T19" s="104">
        <f t="shared" si="3"/>
        <v>435.07</v>
      </c>
      <c r="U19" s="104" t="str">
        <f t="shared" si="4"/>
        <v/>
      </c>
      <c r="V19" s="104" t="str">
        <f t="shared" si="5"/>
        <v/>
      </c>
      <c r="W19" s="105"/>
    </row>
    <row r="20" spans="1:23">
      <c r="A20" s="92"/>
      <c r="B20" s="113"/>
      <c r="C20" s="94"/>
      <c r="D20" s="95"/>
      <c r="E20" s="114"/>
      <c r="F20" s="96"/>
      <c r="G20" s="97"/>
      <c r="H20" s="98"/>
      <c r="I20" s="99"/>
      <c r="J20" s="99"/>
      <c r="K20" s="100"/>
      <c r="L20" s="99"/>
      <c r="M20" s="99"/>
      <c r="N20" s="99"/>
      <c r="O20" s="99"/>
      <c r="P20" s="101"/>
      <c r="Q20" s="104" t="str">
        <f t="shared" si="0"/>
        <v/>
      </c>
      <c r="R20" s="104" t="str">
        <f t="shared" si="1"/>
        <v/>
      </c>
      <c r="S20" s="104" t="str">
        <f t="shared" si="2"/>
        <v/>
      </c>
      <c r="T20" s="104" t="str">
        <f t="shared" si="3"/>
        <v/>
      </c>
      <c r="U20" s="104" t="str">
        <f t="shared" si="4"/>
        <v/>
      </c>
      <c r="V20" s="104" t="str">
        <f t="shared" si="5"/>
        <v/>
      </c>
      <c r="W20" s="105"/>
    </row>
    <row r="21" spans="1:23">
      <c r="A21" s="92">
        <v>3</v>
      </c>
      <c r="B21" s="106" t="s">
        <v>241</v>
      </c>
      <c r="C21" s="94"/>
      <c r="D21" s="95"/>
      <c r="E21" s="95"/>
      <c r="F21" s="96"/>
      <c r="G21" s="97"/>
      <c r="H21" s="98"/>
      <c r="I21" s="99"/>
      <c r="J21" s="99"/>
      <c r="K21" s="100"/>
      <c r="L21" s="99"/>
      <c r="M21" s="99"/>
      <c r="N21" s="99"/>
      <c r="O21" s="99"/>
      <c r="P21" s="101"/>
      <c r="Q21" s="104" t="str">
        <f t="shared" si="0"/>
        <v/>
      </c>
      <c r="R21" s="104" t="str">
        <f t="shared" si="1"/>
        <v/>
      </c>
      <c r="S21" s="104" t="str">
        <f t="shared" si="2"/>
        <v/>
      </c>
      <c r="T21" s="104" t="str">
        <f t="shared" si="3"/>
        <v/>
      </c>
      <c r="U21" s="104" t="str">
        <f t="shared" si="4"/>
        <v/>
      </c>
      <c r="V21" s="104" t="str">
        <f t="shared" si="5"/>
        <v/>
      </c>
      <c r="W21" s="105"/>
    </row>
    <row r="22" spans="1:23">
      <c r="A22" s="92"/>
      <c r="B22" t="s">
        <v>239</v>
      </c>
      <c r="C22" s="107">
        <v>0.5</v>
      </c>
      <c r="D22" s="786">
        <f>32.45-2*0.05</f>
        <v>32.35</v>
      </c>
      <c r="E22" s="799"/>
      <c r="F22" s="107">
        <v>0.5</v>
      </c>
      <c r="G22" s="108">
        <v>0.25</v>
      </c>
      <c r="H22" s="98">
        <v>16</v>
      </c>
      <c r="I22" s="99">
        <v>1</v>
      </c>
      <c r="J22" s="101">
        <f>ROUND(6.245/G22/2+0,0)</f>
        <v>12</v>
      </c>
      <c r="K22" s="109">
        <f>D22</f>
        <v>32.35</v>
      </c>
      <c r="L22" s="379">
        <f>IF(O22&lt;12,"0",0.049*H22)*2</f>
        <v>1.5680000000000001</v>
      </c>
      <c r="M22" s="111">
        <v>2</v>
      </c>
      <c r="N22" s="99">
        <f>M22*2*H22/1000</f>
        <v>6.4000000000000001E-2</v>
      </c>
      <c r="O22" s="112">
        <f>(D22+C22+F22)-N22</f>
        <v>33.286000000000001</v>
      </c>
      <c r="P22" s="112">
        <f>(I22*J22*O22)+L22</f>
        <v>401</v>
      </c>
      <c r="Q22" s="104" t="str">
        <f t="shared" si="0"/>
        <v/>
      </c>
      <c r="R22" s="104" t="str">
        <f t="shared" si="1"/>
        <v/>
      </c>
      <c r="S22" s="104" t="str">
        <f t="shared" si="2"/>
        <v/>
      </c>
      <c r="T22" s="104">
        <f t="shared" si="3"/>
        <v>401</v>
      </c>
      <c r="U22" s="104" t="str">
        <f t="shared" si="4"/>
        <v/>
      </c>
      <c r="V22" s="104" t="str">
        <f t="shared" si="5"/>
        <v/>
      </c>
      <c r="W22" s="105"/>
    </row>
    <row r="23" spans="1:23">
      <c r="A23" s="92"/>
      <c r="B23" s="113"/>
      <c r="C23" s="94"/>
      <c r="D23" s="95"/>
      <c r="E23" s="114"/>
      <c r="F23" s="96"/>
      <c r="G23" s="97"/>
      <c r="H23" s="98"/>
      <c r="I23" s="99"/>
      <c r="J23" s="99"/>
      <c r="K23" s="100"/>
      <c r="L23" s="99"/>
      <c r="M23" s="99"/>
      <c r="N23" s="99"/>
      <c r="O23" s="99"/>
      <c r="P23" s="101"/>
      <c r="Q23" s="104" t="str">
        <f t="shared" si="0"/>
        <v/>
      </c>
      <c r="R23" s="104" t="str">
        <f t="shared" si="1"/>
        <v/>
      </c>
      <c r="S23" s="104" t="str">
        <f t="shared" si="2"/>
        <v/>
      </c>
      <c r="T23" s="104" t="str">
        <f t="shared" si="3"/>
        <v/>
      </c>
      <c r="U23" s="104" t="str">
        <f t="shared" si="4"/>
        <v/>
      </c>
      <c r="V23" s="104" t="str">
        <f t="shared" si="5"/>
        <v/>
      </c>
      <c r="W23" s="105"/>
    </row>
    <row r="24" spans="1:23">
      <c r="A24" s="92">
        <v>4</v>
      </c>
      <c r="B24" s="106" t="s">
        <v>242</v>
      </c>
      <c r="C24" s="94"/>
      <c r="D24" s="95"/>
      <c r="E24" s="95"/>
      <c r="F24" s="96"/>
      <c r="G24" s="97"/>
      <c r="H24" s="98"/>
      <c r="I24" s="99"/>
      <c r="J24" s="99"/>
      <c r="K24" s="100"/>
      <c r="L24" s="99"/>
      <c r="M24" s="99"/>
      <c r="N24" s="99"/>
      <c r="O24" s="99"/>
      <c r="P24" s="101"/>
      <c r="Q24" s="104" t="str">
        <f t="shared" si="0"/>
        <v/>
      </c>
      <c r="R24" s="104" t="str">
        <f t="shared" si="1"/>
        <v/>
      </c>
      <c r="S24" s="104" t="str">
        <f t="shared" si="2"/>
        <v/>
      </c>
      <c r="T24" s="104" t="str">
        <f t="shared" si="3"/>
        <v/>
      </c>
      <c r="U24" s="104" t="str">
        <f t="shared" si="4"/>
        <v/>
      </c>
      <c r="V24" s="104" t="str">
        <f t="shared" si="5"/>
        <v/>
      </c>
      <c r="W24" s="105"/>
    </row>
    <row r="25" spans="1:23">
      <c r="A25" s="92"/>
      <c r="B25" t="s">
        <v>239</v>
      </c>
      <c r="C25" s="107">
        <v>0.5</v>
      </c>
      <c r="D25" s="786">
        <f>31.935-2*0.05</f>
        <v>31.834999999999997</v>
      </c>
      <c r="E25" s="799"/>
      <c r="F25" s="107">
        <v>0.5</v>
      </c>
      <c r="G25" s="108">
        <v>0.25</v>
      </c>
      <c r="H25" s="98">
        <v>16</v>
      </c>
      <c r="I25" s="99">
        <v>1</v>
      </c>
      <c r="J25" s="101">
        <f>ROUND(2.63/G25/2+1,0)</f>
        <v>6</v>
      </c>
      <c r="K25" s="109">
        <f>D25</f>
        <v>31.834999999999997</v>
      </c>
      <c r="L25" s="112">
        <f>IF(O25&lt;12,"0",0.049*H25)*3</f>
        <v>2.3520000000000003</v>
      </c>
      <c r="M25" s="111">
        <v>2</v>
      </c>
      <c r="N25" s="99">
        <f>M25*2*H25/1000</f>
        <v>6.4000000000000001E-2</v>
      </c>
      <c r="O25" s="112">
        <f>(D25+C25+F25)-N25</f>
        <v>32.770999999999994</v>
      </c>
      <c r="P25" s="112">
        <f>(I25*J25*O25)+L25</f>
        <v>198.97799999999998</v>
      </c>
      <c r="Q25" s="104" t="str">
        <f t="shared" si="0"/>
        <v/>
      </c>
      <c r="R25" s="104" t="str">
        <f t="shared" si="1"/>
        <v/>
      </c>
      <c r="S25" s="104" t="str">
        <f t="shared" si="2"/>
        <v/>
      </c>
      <c r="T25" s="104">
        <f t="shared" si="3"/>
        <v>198.97799999999998</v>
      </c>
      <c r="U25" s="104" t="str">
        <f t="shared" si="4"/>
        <v/>
      </c>
      <c r="V25" s="104" t="str">
        <f t="shared" si="5"/>
        <v/>
      </c>
      <c r="W25" s="105"/>
    </row>
    <row r="26" spans="1:23">
      <c r="A26" s="92"/>
      <c r="B26" s="113"/>
      <c r="C26" s="94"/>
      <c r="D26" s="95"/>
      <c r="E26" s="114"/>
      <c r="F26" s="96"/>
      <c r="G26" s="97"/>
      <c r="H26" s="98"/>
      <c r="I26" s="99"/>
      <c r="J26" s="99"/>
      <c r="K26" s="100"/>
      <c r="L26" s="99"/>
      <c r="M26" s="99"/>
      <c r="N26" s="99"/>
      <c r="O26" s="99"/>
      <c r="P26" s="101"/>
      <c r="Q26" s="104" t="str">
        <f t="shared" si="0"/>
        <v/>
      </c>
      <c r="R26" s="104" t="str">
        <f t="shared" si="1"/>
        <v/>
      </c>
      <c r="S26" s="104" t="str">
        <f t="shared" si="2"/>
        <v/>
      </c>
      <c r="T26" s="104" t="str">
        <f t="shared" si="3"/>
        <v/>
      </c>
      <c r="U26" s="104" t="str">
        <f t="shared" si="4"/>
        <v/>
      </c>
      <c r="V26" s="104" t="str">
        <f t="shared" si="5"/>
        <v/>
      </c>
      <c r="W26" s="105"/>
    </row>
    <row r="27" spans="1:23">
      <c r="A27" s="92">
        <v>4</v>
      </c>
      <c r="B27" s="106" t="s">
        <v>242</v>
      </c>
      <c r="C27" s="94"/>
      <c r="D27" s="95"/>
      <c r="E27" s="95"/>
      <c r="F27" s="96"/>
      <c r="G27" s="97"/>
      <c r="H27" s="98"/>
      <c r="I27" s="99"/>
      <c r="J27" s="99"/>
      <c r="K27" s="100"/>
      <c r="L27" s="99"/>
      <c r="M27" s="99"/>
      <c r="N27" s="99"/>
      <c r="O27" s="99"/>
      <c r="P27" s="101"/>
      <c r="Q27" s="104" t="str">
        <f t="shared" si="0"/>
        <v/>
      </c>
      <c r="R27" s="104" t="str">
        <f t="shared" si="1"/>
        <v/>
      </c>
      <c r="S27" s="104" t="str">
        <f t="shared" si="2"/>
        <v/>
      </c>
      <c r="T27" s="104" t="str">
        <f t="shared" si="3"/>
        <v/>
      </c>
      <c r="U27" s="104" t="str">
        <f t="shared" si="4"/>
        <v/>
      </c>
      <c r="V27" s="104" t="str">
        <f t="shared" si="5"/>
        <v/>
      </c>
      <c r="W27" s="105"/>
    </row>
    <row r="28" spans="1:23">
      <c r="A28" s="92"/>
      <c r="B28" t="s">
        <v>239</v>
      </c>
      <c r="C28" s="107">
        <v>0.5</v>
      </c>
      <c r="D28" s="786">
        <f>31.935-2*0.05</f>
        <v>31.834999999999997</v>
      </c>
      <c r="E28" s="799"/>
      <c r="F28" s="107">
        <v>0.5</v>
      </c>
      <c r="G28" s="108">
        <v>0.25</v>
      </c>
      <c r="H28" s="98">
        <v>16</v>
      </c>
      <c r="I28" s="99">
        <v>1</v>
      </c>
      <c r="J28" s="101">
        <f>ROUND(2.63/G28/2,0)</f>
        <v>5</v>
      </c>
      <c r="K28" s="109">
        <f>D28</f>
        <v>31.834999999999997</v>
      </c>
      <c r="L28" s="112">
        <f>IF(O28&lt;12,"0",0.049*H28)*2</f>
        <v>1.5680000000000001</v>
      </c>
      <c r="M28" s="111">
        <v>2</v>
      </c>
      <c r="N28" s="99">
        <f>M28*2*H28/1000</f>
        <v>6.4000000000000001E-2</v>
      </c>
      <c r="O28" s="112">
        <f>(D28+C28+F28)-N28</f>
        <v>32.770999999999994</v>
      </c>
      <c r="P28" s="112">
        <f>(I28*J28*O28)+L28</f>
        <v>165.42299999999997</v>
      </c>
      <c r="Q28" s="104" t="str">
        <f t="shared" si="0"/>
        <v/>
      </c>
      <c r="R28" s="104" t="str">
        <f t="shared" si="1"/>
        <v/>
      </c>
      <c r="S28" s="104" t="str">
        <f t="shared" si="2"/>
        <v/>
      </c>
      <c r="T28" s="104">
        <f t="shared" si="3"/>
        <v>165.42299999999997</v>
      </c>
      <c r="U28" s="104" t="str">
        <f t="shared" si="4"/>
        <v/>
      </c>
      <c r="V28" s="104" t="str">
        <f t="shared" si="5"/>
        <v/>
      </c>
      <c r="W28" s="105"/>
    </row>
    <row r="29" spans="1:23">
      <c r="A29" s="92"/>
      <c r="B29" s="113"/>
      <c r="C29" s="94"/>
      <c r="D29" s="95"/>
      <c r="E29" s="114"/>
      <c r="F29" s="96"/>
      <c r="G29" s="97"/>
      <c r="H29" s="98"/>
      <c r="I29" s="99"/>
      <c r="J29" s="99"/>
      <c r="K29" s="100"/>
      <c r="L29" s="99"/>
      <c r="M29" s="99"/>
      <c r="N29" s="99"/>
      <c r="O29" s="99"/>
      <c r="P29" s="101"/>
      <c r="Q29" s="104" t="str">
        <f t="shared" si="0"/>
        <v/>
      </c>
      <c r="R29" s="104" t="str">
        <f t="shared" si="1"/>
        <v/>
      </c>
      <c r="S29" s="104" t="str">
        <f t="shared" si="2"/>
        <v/>
      </c>
      <c r="T29" s="104" t="str">
        <f t="shared" si="3"/>
        <v/>
      </c>
      <c r="U29" s="104" t="str">
        <f t="shared" si="4"/>
        <v/>
      </c>
      <c r="V29" s="104" t="str">
        <f t="shared" si="5"/>
        <v/>
      </c>
      <c r="W29" s="105"/>
    </row>
    <row r="30" spans="1:23">
      <c r="A30" s="92">
        <v>5</v>
      </c>
      <c r="B30" s="106" t="s">
        <v>243</v>
      </c>
      <c r="C30" s="94"/>
      <c r="D30" s="95"/>
      <c r="E30" s="95"/>
      <c r="F30" s="96"/>
      <c r="G30" s="97"/>
      <c r="H30" s="98"/>
      <c r="I30" s="99"/>
      <c r="J30" s="99"/>
      <c r="K30" s="100"/>
      <c r="L30" s="99"/>
      <c r="M30" s="99"/>
      <c r="N30" s="99"/>
      <c r="O30" s="99"/>
      <c r="P30" s="101"/>
      <c r="Q30" s="104" t="str">
        <f t="shared" si="0"/>
        <v/>
      </c>
      <c r="R30" s="104" t="str">
        <f t="shared" si="1"/>
        <v/>
      </c>
      <c r="S30" s="104" t="str">
        <f t="shared" si="2"/>
        <v/>
      </c>
      <c r="T30" s="104" t="str">
        <f t="shared" si="3"/>
        <v/>
      </c>
      <c r="U30" s="104" t="str">
        <f t="shared" si="4"/>
        <v/>
      </c>
      <c r="V30" s="104" t="str">
        <f t="shared" si="5"/>
        <v/>
      </c>
      <c r="W30" s="105"/>
    </row>
    <row r="31" spans="1:23">
      <c r="A31" s="92"/>
      <c r="B31" t="s">
        <v>239</v>
      </c>
      <c r="C31" s="107">
        <v>0.5</v>
      </c>
      <c r="D31" s="786">
        <f>31.95-2*0.05-1.5</f>
        <v>30.349999999999998</v>
      </c>
      <c r="E31" s="799"/>
      <c r="F31" s="107">
        <v>0.5</v>
      </c>
      <c r="G31" s="108">
        <v>0.25</v>
      </c>
      <c r="H31" s="98">
        <v>16</v>
      </c>
      <c r="I31" s="99">
        <v>1</v>
      </c>
      <c r="J31" s="101">
        <f>ROUND(3.95/G31/2+1,0)</f>
        <v>9</v>
      </c>
      <c r="K31" s="109">
        <f>D31</f>
        <v>30.349999999999998</v>
      </c>
      <c r="L31" s="112">
        <f>IF(O31&lt;12,"0",0.049*H31)*3</f>
        <v>2.3520000000000003</v>
      </c>
      <c r="M31" s="111">
        <v>2</v>
      </c>
      <c r="N31" s="99">
        <f>M31*2*H31/1000</f>
        <v>6.4000000000000001E-2</v>
      </c>
      <c r="O31" s="112">
        <f>(D31+C31+F31)-N31</f>
        <v>31.285999999999998</v>
      </c>
      <c r="P31" s="112">
        <f>(I31*J31*O31)+L31</f>
        <v>283.92599999999993</v>
      </c>
      <c r="Q31" s="104" t="str">
        <f t="shared" si="0"/>
        <v/>
      </c>
      <c r="R31" s="104" t="str">
        <f t="shared" si="1"/>
        <v/>
      </c>
      <c r="S31" s="104" t="str">
        <f t="shared" si="2"/>
        <v/>
      </c>
      <c r="T31" s="104">
        <f t="shared" si="3"/>
        <v>283.92599999999993</v>
      </c>
      <c r="U31" s="104" t="str">
        <f t="shared" si="4"/>
        <v/>
      </c>
      <c r="V31" s="104" t="str">
        <f t="shared" si="5"/>
        <v/>
      </c>
      <c r="W31" s="105"/>
    </row>
    <row r="32" spans="1:23">
      <c r="A32" s="92"/>
      <c r="B32" s="113"/>
      <c r="C32" s="94"/>
      <c r="D32" s="95"/>
      <c r="E32" s="114"/>
      <c r="F32" s="96"/>
      <c r="G32" s="97"/>
      <c r="H32" s="98"/>
      <c r="I32" s="99"/>
      <c r="J32" s="99"/>
      <c r="K32" s="100"/>
      <c r="L32" s="99"/>
      <c r="M32" s="99"/>
      <c r="N32" s="99"/>
      <c r="O32" s="99"/>
      <c r="P32" s="101"/>
      <c r="Q32" s="104" t="str">
        <f t="shared" si="0"/>
        <v/>
      </c>
      <c r="R32" s="104" t="str">
        <f t="shared" si="1"/>
        <v/>
      </c>
      <c r="S32" s="104" t="str">
        <f t="shared" si="2"/>
        <v/>
      </c>
      <c r="T32" s="104" t="str">
        <f t="shared" si="3"/>
        <v/>
      </c>
      <c r="U32" s="104" t="str">
        <f t="shared" si="4"/>
        <v/>
      </c>
      <c r="V32" s="104" t="str">
        <f t="shared" si="5"/>
        <v/>
      </c>
      <c r="W32" s="105"/>
    </row>
    <row r="33" spans="1:23">
      <c r="A33" s="92">
        <v>5</v>
      </c>
      <c r="B33" s="106" t="s">
        <v>243</v>
      </c>
      <c r="C33" s="94"/>
      <c r="D33" s="95"/>
      <c r="E33" s="95"/>
      <c r="F33" s="96"/>
      <c r="G33" s="97"/>
      <c r="H33" s="98"/>
      <c r="I33" s="99"/>
      <c r="J33" s="99"/>
      <c r="K33" s="100"/>
      <c r="L33" s="99"/>
      <c r="M33" s="99"/>
      <c r="N33" s="99"/>
      <c r="O33" s="99"/>
      <c r="P33" s="101"/>
      <c r="Q33" s="104" t="str">
        <f t="shared" si="0"/>
        <v/>
      </c>
      <c r="R33" s="104" t="str">
        <f t="shared" si="1"/>
        <v/>
      </c>
      <c r="S33" s="104" t="str">
        <f t="shared" si="2"/>
        <v/>
      </c>
      <c r="T33" s="104" t="str">
        <f t="shared" si="3"/>
        <v/>
      </c>
      <c r="U33" s="104" t="str">
        <f t="shared" si="4"/>
        <v/>
      </c>
      <c r="V33" s="104" t="str">
        <f t="shared" si="5"/>
        <v/>
      </c>
      <c r="W33" s="105"/>
    </row>
    <row r="34" spans="1:23">
      <c r="A34" s="92"/>
      <c r="B34" t="s">
        <v>239</v>
      </c>
      <c r="C34" s="107">
        <v>0.5</v>
      </c>
      <c r="D34" s="786">
        <f>31.95-2*0.05-1.5</f>
        <v>30.349999999999998</v>
      </c>
      <c r="E34" s="799"/>
      <c r="F34" s="107">
        <v>0.5</v>
      </c>
      <c r="G34" s="108">
        <v>0.25</v>
      </c>
      <c r="H34" s="98">
        <v>16</v>
      </c>
      <c r="I34" s="99">
        <v>1</v>
      </c>
      <c r="J34" s="101">
        <f>ROUND(3.95/G34/2,0)</f>
        <v>8</v>
      </c>
      <c r="K34" s="109">
        <f>D34</f>
        <v>30.349999999999998</v>
      </c>
      <c r="L34" s="112">
        <f>IF(O34&lt;12,"0",0.049*H34)*2</f>
        <v>1.5680000000000001</v>
      </c>
      <c r="M34" s="111">
        <v>2</v>
      </c>
      <c r="N34" s="99">
        <f>M34*2*H34/1000</f>
        <v>6.4000000000000001E-2</v>
      </c>
      <c r="O34" s="112">
        <f>(D34+C34+F34)-N34</f>
        <v>31.285999999999998</v>
      </c>
      <c r="P34" s="112">
        <f>(I34*J34*O34)+L34</f>
        <v>251.85599999999999</v>
      </c>
      <c r="Q34" s="104" t="str">
        <f t="shared" si="0"/>
        <v/>
      </c>
      <c r="R34" s="104" t="str">
        <f t="shared" si="1"/>
        <v/>
      </c>
      <c r="S34" s="104" t="str">
        <f t="shared" si="2"/>
        <v/>
      </c>
      <c r="T34" s="104">
        <f t="shared" si="3"/>
        <v>251.85599999999999</v>
      </c>
      <c r="U34" s="104" t="str">
        <f t="shared" si="4"/>
        <v/>
      </c>
      <c r="V34" s="104" t="str">
        <f t="shared" si="5"/>
        <v/>
      </c>
      <c r="W34" s="105"/>
    </row>
    <row r="35" spans="1:23">
      <c r="A35" s="92"/>
      <c r="B35" s="113"/>
      <c r="C35" s="94"/>
      <c r="D35" s="95"/>
      <c r="E35" s="114"/>
      <c r="F35" s="96"/>
      <c r="G35" s="97"/>
      <c r="H35" s="98"/>
      <c r="I35" s="99"/>
      <c r="J35" s="99"/>
      <c r="K35" s="100"/>
      <c r="L35" s="99"/>
      <c r="M35" s="99"/>
      <c r="N35" s="99"/>
      <c r="O35" s="99"/>
      <c r="P35" s="101"/>
      <c r="Q35" s="104" t="str">
        <f t="shared" si="0"/>
        <v/>
      </c>
      <c r="R35" s="104" t="str">
        <f t="shared" si="1"/>
        <v/>
      </c>
      <c r="S35" s="104" t="str">
        <f t="shared" si="2"/>
        <v/>
      </c>
      <c r="T35" s="104" t="str">
        <f t="shared" si="3"/>
        <v/>
      </c>
      <c r="U35" s="104" t="str">
        <f t="shared" si="4"/>
        <v/>
      </c>
      <c r="V35" s="104" t="str">
        <f t="shared" si="5"/>
        <v/>
      </c>
      <c r="W35" s="105"/>
    </row>
    <row r="36" spans="1:23">
      <c r="A36" s="92">
        <v>6</v>
      </c>
      <c r="B36" s="106" t="s">
        <v>244</v>
      </c>
      <c r="C36" s="94"/>
      <c r="D36" s="95"/>
      <c r="E36" s="95"/>
      <c r="F36" s="96"/>
      <c r="G36" s="97"/>
      <c r="H36" s="98"/>
      <c r="I36" s="99"/>
      <c r="J36" s="99"/>
      <c r="K36" s="100"/>
      <c r="L36" s="99"/>
      <c r="M36" s="99"/>
      <c r="N36" s="99"/>
      <c r="O36" s="99"/>
      <c r="P36" s="101"/>
      <c r="Q36" s="104" t="str">
        <f t="shared" si="0"/>
        <v/>
      </c>
      <c r="R36" s="104" t="str">
        <f t="shared" si="1"/>
        <v/>
      </c>
      <c r="S36" s="104" t="str">
        <f t="shared" si="2"/>
        <v/>
      </c>
      <c r="T36" s="104" t="str">
        <f t="shared" si="3"/>
        <v/>
      </c>
      <c r="U36" s="104" t="str">
        <f t="shared" si="4"/>
        <v/>
      </c>
      <c r="V36" s="104" t="str">
        <f t="shared" si="5"/>
        <v/>
      </c>
      <c r="W36" s="105"/>
    </row>
    <row r="37" spans="1:23">
      <c r="A37" s="92"/>
      <c r="B37" t="s">
        <v>239</v>
      </c>
      <c r="C37" s="107">
        <v>0.5</v>
      </c>
      <c r="D37" s="786">
        <f>31.95-2*0.05-1.5-0.815</f>
        <v>29.534999999999997</v>
      </c>
      <c r="E37" s="799"/>
      <c r="F37" s="107">
        <v>0.5</v>
      </c>
      <c r="G37" s="108">
        <v>0.25</v>
      </c>
      <c r="H37" s="98">
        <v>16</v>
      </c>
      <c r="I37" s="99">
        <v>1</v>
      </c>
      <c r="J37" s="101">
        <f>ROUND(1.695/G37/2+1,0)</f>
        <v>4</v>
      </c>
      <c r="K37" s="109">
        <f>D37</f>
        <v>29.534999999999997</v>
      </c>
      <c r="L37" s="112">
        <f>IF(O37&lt;12,"0",0.049*H37)*3</f>
        <v>2.3520000000000003</v>
      </c>
      <c r="M37" s="111">
        <v>2</v>
      </c>
      <c r="N37" s="99">
        <f>M37*2*H37/1000</f>
        <v>6.4000000000000001E-2</v>
      </c>
      <c r="O37" s="112">
        <f>(D37+C37+F37)-N37</f>
        <v>30.470999999999997</v>
      </c>
      <c r="P37" s="112">
        <f>(I37*J37*O37)+L37</f>
        <v>124.23599999999999</v>
      </c>
      <c r="Q37" s="104" t="str">
        <f t="shared" si="0"/>
        <v/>
      </c>
      <c r="R37" s="104" t="str">
        <f t="shared" si="1"/>
        <v/>
      </c>
      <c r="S37" s="104" t="str">
        <f t="shared" si="2"/>
        <v/>
      </c>
      <c r="T37" s="104">
        <f t="shared" si="3"/>
        <v>124.23599999999999</v>
      </c>
      <c r="U37" s="104" t="str">
        <f t="shared" si="4"/>
        <v/>
      </c>
      <c r="V37" s="104" t="str">
        <f t="shared" si="5"/>
        <v/>
      </c>
      <c r="W37" s="105"/>
    </row>
    <row r="38" spans="1:23">
      <c r="A38" s="92"/>
      <c r="B38" s="113"/>
      <c r="C38" s="94"/>
      <c r="D38" s="95"/>
      <c r="E38" s="114"/>
      <c r="F38" s="96"/>
      <c r="G38" s="97"/>
      <c r="H38" s="98"/>
      <c r="I38" s="99"/>
      <c r="J38" s="99"/>
      <c r="K38" s="100"/>
      <c r="L38" s="99"/>
      <c r="M38" s="99"/>
      <c r="N38" s="99"/>
      <c r="O38" s="99"/>
      <c r="P38" s="101"/>
      <c r="Q38" s="104" t="str">
        <f t="shared" si="0"/>
        <v/>
      </c>
      <c r="R38" s="104" t="str">
        <f t="shared" si="1"/>
        <v/>
      </c>
      <c r="S38" s="104" t="str">
        <f t="shared" si="2"/>
        <v/>
      </c>
      <c r="T38" s="104" t="str">
        <f t="shared" si="3"/>
        <v/>
      </c>
      <c r="U38" s="104" t="str">
        <f t="shared" si="4"/>
        <v/>
      </c>
      <c r="V38" s="104" t="str">
        <f t="shared" si="5"/>
        <v/>
      </c>
      <c r="W38" s="105"/>
    </row>
    <row r="39" spans="1:23">
      <c r="A39" s="92">
        <v>6</v>
      </c>
      <c r="B39" s="106" t="s">
        <v>244</v>
      </c>
      <c r="C39" s="94"/>
      <c r="D39" s="95"/>
      <c r="E39" s="95"/>
      <c r="F39" s="96"/>
      <c r="G39" s="97"/>
      <c r="H39" s="98"/>
      <c r="I39" s="99"/>
      <c r="J39" s="99"/>
      <c r="K39" s="100"/>
      <c r="L39" s="99"/>
      <c r="M39" s="99"/>
      <c r="N39" s="99"/>
      <c r="O39" s="99"/>
      <c r="P39" s="101"/>
      <c r="Q39" s="104" t="str">
        <f t="shared" si="0"/>
        <v/>
      </c>
      <c r="R39" s="104" t="str">
        <f t="shared" si="1"/>
        <v/>
      </c>
      <c r="S39" s="104" t="str">
        <f t="shared" si="2"/>
        <v/>
      </c>
      <c r="T39" s="104" t="str">
        <f t="shared" si="3"/>
        <v/>
      </c>
      <c r="U39" s="104" t="str">
        <f t="shared" si="4"/>
        <v/>
      </c>
      <c r="V39" s="104" t="str">
        <f t="shared" si="5"/>
        <v/>
      </c>
      <c r="W39" s="105"/>
    </row>
    <row r="40" spans="1:23">
      <c r="A40" s="92"/>
      <c r="B40" t="s">
        <v>239</v>
      </c>
      <c r="C40" s="107">
        <v>0.5</v>
      </c>
      <c r="D40" s="786">
        <f>31.95-2*0.05-1.5-0.815</f>
        <v>29.534999999999997</v>
      </c>
      <c r="E40" s="799"/>
      <c r="F40" s="107">
        <v>0.5</v>
      </c>
      <c r="G40" s="108">
        <v>0.25</v>
      </c>
      <c r="H40" s="98">
        <v>16</v>
      </c>
      <c r="I40" s="99">
        <v>1</v>
      </c>
      <c r="J40" s="101">
        <f>ROUND(1.695/G40/2,0)</f>
        <v>3</v>
      </c>
      <c r="K40" s="109">
        <f>D40</f>
        <v>29.534999999999997</v>
      </c>
      <c r="L40" s="112">
        <f>IF(O40&lt;12,"0",0.049*H40)*2</f>
        <v>1.5680000000000001</v>
      </c>
      <c r="M40" s="111">
        <v>2</v>
      </c>
      <c r="N40" s="99">
        <f>M40*2*H40/1000</f>
        <v>6.4000000000000001E-2</v>
      </c>
      <c r="O40" s="112">
        <f>(D40+C40+F40)-N40</f>
        <v>30.470999999999997</v>
      </c>
      <c r="P40" s="112">
        <f>(I40*J40*O40)+L40</f>
        <v>92.98099999999998</v>
      </c>
      <c r="Q40" s="104" t="str">
        <f t="shared" si="0"/>
        <v/>
      </c>
      <c r="R40" s="104" t="str">
        <f t="shared" si="1"/>
        <v/>
      </c>
      <c r="S40" s="104" t="str">
        <f t="shared" si="2"/>
        <v/>
      </c>
      <c r="T40" s="104">
        <f t="shared" si="3"/>
        <v>92.98099999999998</v>
      </c>
      <c r="U40" s="104" t="str">
        <f t="shared" si="4"/>
        <v/>
      </c>
      <c r="V40" s="104" t="str">
        <f t="shared" si="5"/>
        <v/>
      </c>
      <c r="W40" s="105"/>
    </row>
    <row r="41" spans="1:23">
      <c r="A41" s="92"/>
      <c r="B41" s="113"/>
      <c r="C41" s="94"/>
      <c r="D41" s="95"/>
      <c r="E41" s="114"/>
      <c r="F41" s="96"/>
      <c r="G41" s="97"/>
      <c r="H41" s="98"/>
      <c r="I41" s="99"/>
      <c r="J41" s="99"/>
      <c r="K41" s="100"/>
      <c r="L41" s="99"/>
      <c r="M41" s="99"/>
      <c r="N41" s="99"/>
      <c r="O41" s="99"/>
      <c r="P41" s="101"/>
      <c r="Q41" s="104" t="str">
        <f t="shared" si="0"/>
        <v/>
      </c>
      <c r="R41" s="104" t="str">
        <f t="shared" si="1"/>
        <v/>
      </c>
      <c r="S41" s="104" t="str">
        <f t="shared" si="2"/>
        <v/>
      </c>
      <c r="T41" s="104" t="str">
        <f t="shared" si="3"/>
        <v/>
      </c>
      <c r="U41" s="104" t="str">
        <f t="shared" si="4"/>
        <v/>
      </c>
      <c r="V41" s="104" t="str">
        <f t="shared" si="5"/>
        <v/>
      </c>
      <c r="W41" s="105"/>
    </row>
    <row r="42" spans="1:23">
      <c r="A42" s="92">
        <v>7</v>
      </c>
      <c r="B42" s="106" t="s">
        <v>245</v>
      </c>
      <c r="C42" s="94"/>
      <c r="D42" s="95"/>
      <c r="E42" s="95"/>
      <c r="F42" s="96"/>
      <c r="G42" s="97"/>
      <c r="H42" s="98"/>
      <c r="I42" s="99"/>
      <c r="J42" s="99"/>
      <c r="K42" s="100"/>
      <c r="L42" s="99"/>
      <c r="M42" s="99"/>
      <c r="N42" s="99"/>
      <c r="O42" s="99"/>
      <c r="P42" s="101"/>
      <c r="Q42" s="104" t="str">
        <f t="shared" si="0"/>
        <v/>
      </c>
      <c r="R42" s="104" t="str">
        <f t="shared" si="1"/>
        <v/>
      </c>
      <c r="S42" s="104" t="str">
        <f t="shared" si="2"/>
        <v/>
      </c>
      <c r="T42" s="104" t="str">
        <f t="shared" si="3"/>
        <v/>
      </c>
      <c r="U42" s="104" t="str">
        <f t="shared" si="4"/>
        <v/>
      </c>
      <c r="V42" s="104" t="str">
        <f t="shared" si="5"/>
        <v/>
      </c>
      <c r="W42" s="105"/>
    </row>
    <row r="43" spans="1:23">
      <c r="A43" s="92"/>
      <c r="B43" t="s">
        <v>239</v>
      </c>
      <c r="C43" s="107">
        <v>0.5</v>
      </c>
      <c r="D43" s="786">
        <f>15.8-2*0.05</f>
        <v>15.700000000000001</v>
      </c>
      <c r="E43" s="799"/>
      <c r="F43" s="107">
        <v>0.5</v>
      </c>
      <c r="G43" s="108">
        <v>0.25</v>
      </c>
      <c r="H43" s="98">
        <v>16</v>
      </c>
      <c r="I43" s="99">
        <v>1</v>
      </c>
      <c r="J43" s="101">
        <f>ROUND(11.285/G43+1,0)</f>
        <v>46</v>
      </c>
      <c r="K43" s="109">
        <f>D43</f>
        <v>15.700000000000001</v>
      </c>
      <c r="L43" s="112">
        <f>IF(O43&lt;12,"0",0.049*H43)</f>
        <v>0.78400000000000003</v>
      </c>
      <c r="M43" s="111">
        <v>2</v>
      </c>
      <c r="N43" s="99">
        <f>M43*2*H43/1000</f>
        <v>6.4000000000000001E-2</v>
      </c>
      <c r="O43" s="112">
        <f>(D43+C43+F43)-N43</f>
        <v>16.636000000000003</v>
      </c>
      <c r="P43" s="112">
        <f>(I43*J43*O43)+L43</f>
        <v>766.04000000000008</v>
      </c>
      <c r="Q43" s="104" t="str">
        <f t="shared" si="0"/>
        <v/>
      </c>
      <c r="R43" s="104" t="str">
        <f t="shared" si="1"/>
        <v/>
      </c>
      <c r="S43" s="104" t="str">
        <f t="shared" si="2"/>
        <v/>
      </c>
      <c r="T43" s="104">
        <f t="shared" si="3"/>
        <v>766.04000000000008</v>
      </c>
      <c r="U43" s="104" t="str">
        <f t="shared" si="4"/>
        <v/>
      </c>
      <c r="V43" s="104" t="str">
        <f t="shared" si="5"/>
        <v/>
      </c>
      <c r="W43" s="105"/>
    </row>
    <row r="44" spans="1:23">
      <c r="A44" s="92"/>
      <c r="B44" s="113"/>
      <c r="C44" s="94"/>
      <c r="D44" s="95"/>
      <c r="E44" s="114"/>
      <c r="F44" s="96"/>
      <c r="G44" s="97"/>
      <c r="H44" s="98"/>
      <c r="I44" s="99"/>
      <c r="J44" s="99"/>
      <c r="K44" s="100"/>
      <c r="L44" s="99"/>
      <c r="M44" s="99"/>
      <c r="N44" s="99"/>
      <c r="O44" s="99"/>
      <c r="P44" s="101"/>
      <c r="Q44" s="104" t="str">
        <f t="shared" si="0"/>
        <v/>
      </c>
      <c r="R44" s="104" t="str">
        <f t="shared" si="1"/>
        <v/>
      </c>
      <c r="S44" s="104" t="str">
        <f t="shared" si="2"/>
        <v/>
      </c>
      <c r="T44" s="104" t="str">
        <f t="shared" si="3"/>
        <v/>
      </c>
      <c r="U44" s="104" t="str">
        <f t="shared" si="4"/>
        <v/>
      </c>
      <c r="V44" s="104" t="str">
        <f t="shared" si="5"/>
        <v/>
      </c>
      <c r="W44" s="105"/>
    </row>
    <row r="45" spans="1:23">
      <c r="A45" s="92"/>
      <c r="B45" s="113"/>
      <c r="C45" s="94"/>
      <c r="D45" s="95"/>
      <c r="E45" s="114"/>
      <c r="F45" s="96"/>
      <c r="G45" s="97"/>
      <c r="H45" s="98"/>
      <c r="I45" s="99"/>
      <c r="J45" s="99"/>
      <c r="K45" s="100"/>
      <c r="L45" s="99"/>
      <c r="M45" s="99"/>
      <c r="N45" s="99"/>
      <c r="O45" s="99"/>
      <c r="P45" s="101"/>
      <c r="Q45" s="104" t="str">
        <f t="shared" si="0"/>
        <v/>
      </c>
      <c r="R45" s="104" t="str">
        <f t="shared" si="1"/>
        <v/>
      </c>
      <c r="S45" s="104" t="str">
        <f t="shared" si="2"/>
        <v/>
      </c>
      <c r="T45" s="104" t="str">
        <f t="shared" si="3"/>
        <v/>
      </c>
      <c r="U45" s="104" t="str">
        <f t="shared" si="4"/>
        <v/>
      </c>
      <c r="V45" s="104" t="str">
        <f t="shared" si="5"/>
        <v/>
      </c>
      <c r="W45" s="105"/>
    </row>
    <row r="46" spans="1:23">
      <c r="A46" s="92"/>
      <c r="B46" s="103" t="s">
        <v>246</v>
      </c>
      <c r="C46" s="94"/>
      <c r="D46" s="95"/>
      <c r="E46" s="95"/>
      <c r="F46" s="96"/>
      <c r="G46" s="97"/>
      <c r="H46" s="98"/>
      <c r="I46" s="99"/>
      <c r="J46" s="99"/>
      <c r="K46" s="100"/>
      <c r="L46" s="99"/>
      <c r="M46" s="99"/>
      <c r="N46" s="99"/>
      <c r="O46" s="99"/>
      <c r="P46" s="101"/>
      <c r="Q46" s="104" t="str">
        <f t="shared" si="0"/>
        <v/>
      </c>
      <c r="R46" s="104" t="str">
        <f t="shared" si="1"/>
        <v/>
      </c>
      <c r="S46" s="104" t="str">
        <f t="shared" si="2"/>
        <v/>
      </c>
      <c r="T46" s="104" t="str">
        <f t="shared" si="3"/>
        <v/>
      </c>
      <c r="U46" s="104" t="str">
        <f t="shared" si="4"/>
        <v/>
      </c>
      <c r="V46" s="104" t="str">
        <f t="shared" si="5"/>
        <v/>
      </c>
      <c r="W46" s="105"/>
    </row>
    <row r="47" spans="1:23">
      <c r="A47" s="92">
        <v>1</v>
      </c>
      <c r="B47" s="115" t="s">
        <v>207</v>
      </c>
      <c r="C47" s="94"/>
      <c r="D47" s="95"/>
      <c r="E47" s="95"/>
      <c r="F47" s="96"/>
      <c r="G47" s="97"/>
      <c r="H47" s="98"/>
      <c r="I47" s="99"/>
      <c r="J47" s="99"/>
      <c r="K47" s="100"/>
      <c r="L47" s="99"/>
      <c r="M47" s="99"/>
      <c r="N47" s="99"/>
      <c r="O47" s="99"/>
      <c r="P47" s="101"/>
      <c r="Q47" s="104" t="str">
        <f t="shared" si="0"/>
        <v/>
      </c>
      <c r="R47" s="104" t="str">
        <f t="shared" si="1"/>
        <v/>
      </c>
      <c r="S47" s="104" t="str">
        <f t="shared" si="2"/>
        <v/>
      </c>
      <c r="T47" s="104" t="str">
        <f t="shared" si="3"/>
        <v/>
      </c>
      <c r="U47" s="104" t="str">
        <f t="shared" si="4"/>
        <v/>
      </c>
      <c r="V47" s="104" t="str">
        <f t="shared" si="5"/>
        <v/>
      </c>
      <c r="W47" s="105"/>
    </row>
    <row r="48" spans="1:23">
      <c r="A48" s="92"/>
      <c r="B48" s="116" t="s">
        <v>247</v>
      </c>
      <c r="C48" s="107">
        <v>0.5</v>
      </c>
      <c r="D48" s="786">
        <f>8.875-2*0.05</f>
        <v>8.7750000000000004</v>
      </c>
      <c r="E48" s="799"/>
      <c r="F48" s="107">
        <v>0.5</v>
      </c>
      <c r="G48" s="108">
        <v>0.25</v>
      </c>
      <c r="H48" s="98">
        <v>16</v>
      </c>
      <c r="I48" s="99">
        <v>1</v>
      </c>
      <c r="J48" s="101">
        <f>ROUND(1.5/G48+1,0)</f>
        <v>7</v>
      </c>
      <c r="K48" s="109">
        <f>D48</f>
        <v>8.7750000000000004</v>
      </c>
      <c r="L48" s="110" t="str">
        <f>IF(O48&lt;12,"0",0.049*H48)</f>
        <v>0</v>
      </c>
      <c r="M48" s="111">
        <v>2</v>
      </c>
      <c r="N48" s="99">
        <f>M48*2*H48/1000</f>
        <v>6.4000000000000001E-2</v>
      </c>
      <c r="O48" s="112">
        <f>(D48+C48+F48)-N48</f>
        <v>9.7110000000000003</v>
      </c>
      <c r="P48" s="112">
        <f>(I48*J48*O48)+L48</f>
        <v>67.977000000000004</v>
      </c>
      <c r="Q48" s="104" t="str">
        <f t="shared" si="0"/>
        <v/>
      </c>
      <c r="R48" s="104" t="str">
        <f t="shared" si="1"/>
        <v/>
      </c>
      <c r="S48" s="104" t="str">
        <f t="shared" si="2"/>
        <v/>
      </c>
      <c r="T48" s="104">
        <f t="shared" si="3"/>
        <v>67.977000000000004</v>
      </c>
      <c r="U48" s="104" t="str">
        <f t="shared" si="4"/>
        <v/>
      </c>
      <c r="V48" s="104" t="str">
        <f t="shared" si="5"/>
        <v/>
      </c>
      <c r="W48" s="105"/>
    </row>
    <row r="49" spans="1:23">
      <c r="A49" s="92"/>
      <c r="B49" s="115"/>
      <c r="C49" s="94"/>
      <c r="D49" s="95"/>
      <c r="E49" s="95"/>
      <c r="F49" s="96"/>
      <c r="G49" s="97"/>
      <c r="H49" s="98"/>
      <c r="I49" s="99"/>
      <c r="J49" s="99"/>
      <c r="K49" s="100"/>
      <c r="L49" s="99"/>
      <c r="M49" s="99"/>
      <c r="N49" s="99"/>
      <c r="O49" s="99"/>
      <c r="P49" s="101"/>
      <c r="Q49" s="104" t="str">
        <f t="shared" si="0"/>
        <v/>
      </c>
      <c r="R49" s="104" t="str">
        <f t="shared" si="1"/>
        <v/>
      </c>
      <c r="S49" s="104" t="str">
        <f t="shared" si="2"/>
        <v/>
      </c>
      <c r="T49" s="104" t="str">
        <f t="shared" si="3"/>
        <v/>
      </c>
      <c r="U49" s="104" t="str">
        <f t="shared" si="4"/>
        <v/>
      </c>
      <c r="V49" s="104" t="str">
        <f t="shared" si="5"/>
        <v/>
      </c>
      <c r="W49" s="105"/>
    </row>
    <row r="50" spans="1:23">
      <c r="A50" s="92">
        <v>2</v>
      </c>
      <c r="B50" s="115" t="s">
        <v>248</v>
      </c>
      <c r="C50" s="94"/>
      <c r="D50" s="95"/>
      <c r="E50" s="95"/>
      <c r="F50" s="96"/>
      <c r="G50" s="97"/>
      <c r="H50" s="98"/>
      <c r="I50" s="99"/>
      <c r="J50" s="99"/>
      <c r="K50" s="100"/>
      <c r="L50" s="99"/>
      <c r="M50" s="99"/>
      <c r="N50" s="99"/>
      <c r="O50" s="99"/>
      <c r="P50" s="101"/>
      <c r="Q50" s="104" t="str">
        <f t="shared" si="0"/>
        <v/>
      </c>
      <c r="R50" s="104" t="str">
        <f t="shared" si="1"/>
        <v/>
      </c>
      <c r="S50" s="104" t="str">
        <f t="shared" si="2"/>
        <v/>
      </c>
      <c r="T50" s="104" t="str">
        <f t="shared" si="3"/>
        <v/>
      </c>
      <c r="U50" s="104" t="str">
        <f t="shared" si="4"/>
        <v/>
      </c>
      <c r="V50" s="104" t="str">
        <f t="shared" si="5"/>
        <v/>
      </c>
      <c r="W50" s="105"/>
    </row>
    <row r="51" spans="1:23">
      <c r="A51" s="92"/>
      <c r="B51" s="116" t="s">
        <v>247</v>
      </c>
      <c r="C51" s="107">
        <v>0.5</v>
      </c>
      <c r="D51" s="786">
        <f>12.825-2*0.05</f>
        <v>12.725</v>
      </c>
      <c r="E51" s="799"/>
      <c r="F51" s="107">
        <v>0.5</v>
      </c>
      <c r="G51" s="108">
        <v>0.25</v>
      </c>
      <c r="H51" s="98">
        <v>16</v>
      </c>
      <c r="I51" s="99">
        <v>1</v>
      </c>
      <c r="J51" s="101">
        <f>ROUND(0.815/G51+1,0)</f>
        <v>4</v>
      </c>
      <c r="K51" s="109">
        <f>D51</f>
        <v>12.725</v>
      </c>
      <c r="L51" s="110">
        <f>IF(O51&lt;12,"0",0.049*H51)</f>
        <v>0.78400000000000003</v>
      </c>
      <c r="M51" s="111">
        <v>2</v>
      </c>
      <c r="N51" s="99">
        <f>M51*2*H51/1000</f>
        <v>6.4000000000000001E-2</v>
      </c>
      <c r="O51" s="112">
        <f>(D51+C51+F51)-N51</f>
        <v>13.661</v>
      </c>
      <c r="P51" s="112">
        <f>(I51*J51*O51)+L51</f>
        <v>55.427999999999997</v>
      </c>
      <c r="Q51" s="104" t="str">
        <f t="shared" si="0"/>
        <v/>
      </c>
      <c r="R51" s="104" t="str">
        <f t="shared" si="1"/>
        <v/>
      </c>
      <c r="S51" s="104" t="str">
        <f t="shared" si="2"/>
        <v/>
      </c>
      <c r="T51" s="104">
        <f t="shared" si="3"/>
        <v>55.427999999999997</v>
      </c>
      <c r="U51" s="104" t="str">
        <f t="shared" si="4"/>
        <v/>
      </c>
      <c r="V51" s="104" t="str">
        <f t="shared" si="5"/>
        <v/>
      </c>
      <c r="W51" s="105"/>
    </row>
    <row r="52" spans="1:23">
      <c r="A52" s="92"/>
      <c r="B52" s="116"/>
      <c r="C52" s="107"/>
      <c r="D52" s="117"/>
      <c r="E52" s="117"/>
      <c r="F52" s="118"/>
      <c r="G52" s="108"/>
      <c r="H52" s="98"/>
      <c r="I52" s="99"/>
      <c r="J52" s="101"/>
      <c r="K52" s="109"/>
      <c r="L52" s="110"/>
      <c r="M52" s="111"/>
      <c r="N52" s="99"/>
      <c r="O52" s="112"/>
      <c r="P52" s="112"/>
      <c r="Q52" s="104" t="str">
        <f t="shared" si="0"/>
        <v/>
      </c>
      <c r="R52" s="104" t="str">
        <f t="shared" si="1"/>
        <v/>
      </c>
      <c r="S52" s="104" t="str">
        <f t="shared" si="2"/>
        <v/>
      </c>
      <c r="T52" s="104" t="str">
        <f t="shared" si="3"/>
        <v/>
      </c>
      <c r="U52" s="104" t="str">
        <f t="shared" si="4"/>
        <v/>
      </c>
      <c r="V52" s="104" t="str">
        <f t="shared" si="5"/>
        <v/>
      </c>
      <c r="W52" s="105"/>
    </row>
    <row r="53" spans="1:23">
      <c r="A53" s="92">
        <v>3</v>
      </c>
      <c r="B53" s="115" t="s">
        <v>249</v>
      </c>
      <c r="C53" s="94"/>
      <c r="D53" s="95"/>
      <c r="E53" s="95"/>
      <c r="F53" s="96"/>
      <c r="G53" s="97"/>
      <c r="H53" s="98"/>
      <c r="I53" s="99"/>
      <c r="J53" s="99"/>
      <c r="K53" s="100"/>
      <c r="L53" s="99"/>
      <c r="M53" s="99"/>
      <c r="N53" s="99"/>
      <c r="O53" s="99"/>
      <c r="P53" s="101"/>
      <c r="Q53" s="104" t="str">
        <f t="shared" si="0"/>
        <v/>
      </c>
      <c r="R53" s="104" t="str">
        <f t="shared" si="1"/>
        <v/>
      </c>
      <c r="S53" s="104" t="str">
        <f t="shared" si="2"/>
        <v/>
      </c>
      <c r="T53" s="104" t="str">
        <f t="shared" si="3"/>
        <v/>
      </c>
      <c r="U53" s="104" t="str">
        <f t="shared" si="4"/>
        <v/>
      </c>
      <c r="V53" s="104" t="str">
        <f t="shared" si="5"/>
        <v/>
      </c>
      <c r="W53" s="105"/>
    </row>
    <row r="54" spans="1:23">
      <c r="A54" s="92"/>
      <c r="B54" s="116" t="s">
        <v>247</v>
      </c>
      <c r="C54" s="107">
        <v>0.5</v>
      </c>
      <c r="D54" s="786">
        <f>14.52-2*0.05</f>
        <v>14.42</v>
      </c>
      <c r="E54" s="799"/>
      <c r="F54" s="107">
        <v>0.5</v>
      </c>
      <c r="G54" s="108">
        <v>0.25</v>
      </c>
      <c r="H54" s="98">
        <v>16</v>
      </c>
      <c r="I54" s="99">
        <v>1</v>
      </c>
      <c r="J54" s="101">
        <f>ROUND(1.405/G54+1,0)</f>
        <v>7</v>
      </c>
      <c r="K54" s="109">
        <f>D54</f>
        <v>14.42</v>
      </c>
      <c r="L54" s="110">
        <f>IF(O54&lt;12,"0",0.049*H54)</f>
        <v>0.78400000000000003</v>
      </c>
      <c r="M54" s="111">
        <v>2</v>
      </c>
      <c r="N54" s="99">
        <f>M54*2*H54/1000</f>
        <v>6.4000000000000001E-2</v>
      </c>
      <c r="O54" s="112">
        <f>(D54+C54+F54)-N54</f>
        <v>15.356</v>
      </c>
      <c r="P54" s="112">
        <f>(I54*J54*O54)+L54</f>
        <v>108.27600000000001</v>
      </c>
      <c r="Q54" s="104" t="str">
        <f t="shared" si="0"/>
        <v/>
      </c>
      <c r="R54" s="104" t="str">
        <f t="shared" si="1"/>
        <v/>
      </c>
      <c r="S54" s="104" t="str">
        <f t="shared" si="2"/>
        <v/>
      </c>
      <c r="T54" s="104">
        <f t="shared" si="3"/>
        <v>108.27600000000001</v>
      </c>
      <c r="U54" s="104" t="str">
        <f t="shared" si="4"/>
        <v/>
      </c>
      <c r="V54" s="104" t="str">
        <f t="shared" si="5"/>
        <v/>
      </c>
      <c r="W54" s="105"/>
    </row>
    <row r="55" spans="1:23">
      <c r="A55" s="92"/>
      <c r="B55" s="115"/>
      <c r="C55" s="94"/>
      <c r="D55" s="95"/>
      <c r="E55" s="95"/>
      <c r="F55" s="96"/>
      <c r="G55" s="97"/>
      <c r="H55" s="98"/>
      <c r="I55" s="99"/>
      <c r="J55" s="99"/>
      <c r="K55" s="100"/>
      <c r="L55" s="99"/>
      <c r="M55" s="99"/>
      <c r="N55" s="99"/>
      <c r="O55" s="99"/>
      <c r="P55" s="101"/>
      <c r="Q55" s="104" t="str">
        <f t="shared" si="0"/>
        <v/>
      </c>
      <c r="R55" s="104" t="str">
        <f t="shared" si="1"/>
        <v/>
      </c>
      <c r="S55" s="104" t="str">
        <f t="shared" si="2"/>
        <v/>
      </c>
      <c r="T55" s="104" t="str">
        <f t="shared" si="3"/>
        <v/>
      </c>
      <c r="U55" s="104" t="str">
        <f t="shared" si="4"/>
        <v/>
      </c>
      <c r="V55" s="104" t="str">
        <f t="shared" si="5"/>
        <v/>
      </c>
      <c r="W55" s="105"/>
    </row>
    <row r="56" spans="1:23">
      <c r="A56" s="92">
        <v>4</v>
      </c>
      <c r="B56" s="115" t="s">
        <v>250</v>
      </c>
      <c r="C56" s="94"/>
      <c r="D56" s="95"/>
      <c r="E56" s="95"/>
      <c r="F56" s="96"/>
      <c r="G56" s="97"/>
      <c r="H56" s="98"/>
      <c r="I56" s="99"/>
      <c r="J56" s="99"/>
      <c r="K56" s="100"/>
      <c r="L56" s="99"/>
      <c r="M56" s="99"/>
      <c r="N56" s="99"/>
      <c r="O56" s="99"/>
      <c r="P56" s="101"/>
      <c r="Q56" s="104" t="str">
        <f t="shared" si="0"/>
        <v/>
      </c>
      <c r="R56" s="104" t="str">
        <f t="shared" si="1"/>
        <v/>
      </c>
      <c r="S56" s="104" t="str">
        <f t="shared" si="2"/>
        <v/>
      </c>
      <c r="T56" s="104" t="str">
        <f t="shared" si="3"/>
        <v/>
      </c>
      <c r="U56" s="104" t="str">
        <f t="shared" si="4"/>
        <v/>
      </c>
      <c r="V56" s="104" t="str">
        <f t="shared" si="5"/>
        <v/>
      </c>
      <c r="W56" s="105"/>
    </row>
    <row r="57" spans="1:23">
      <c r="A57" s="92"/>
      <c r="B57" s="116" t="s">
        <v>247</v>
      </c>
      <c r="C57" s="107"/>
      <c r="D57" s="786">
        <f>25.805-1*0.05</f>
        <v>25.754999999999999</v>
      </c>
      <c r="E57" s="786"/>
      <c r="F57" s="118">
        <v>0.5</v>
      </c>
      <c r="G57" s="108">
        <v>0.25</v>
      </c>
      <c r="H57" s="98">
        <v>16</v>
      </c>
      <c r="I57" s="99">
        <v>1</v>
      </c>
      <c r="J57" s="101">
        <f>ROUND(6.565/G57+1,0)</f>
        <v>27</v>
      </c>
      <c r="K57" s="109">
        <f>D57</f>
        <v>25.754999999999999</v>
      </c>
      <c r="L57" s="110">
        <f>IF(O57&lt;12,"0",0.049*H57)*2</f>
        <v>1.5680000000000001</v>
      </c>
      <c r="M57" s="111">
        <v>1</v>
      </c>
      <c r="N57" s="99">
        <f>M57*1*H57/1000</f>
        <v>1.6E-2</v>
      </c>
      <c r="O57" s="112">
        <f>(D57+C57+F57)-N57</f>
        <v>26.239000000000001</v>
      </c>
      <c r="P57" s="112">
        <f>(I57*J57*O57)+L57</f>
        <v>710.02099999999996</v>
      </c>
      <c r="Q57" s="104" t="str">
        <f t="shared" si="0"/>
        <v/>
      </c>
      <c r="R57" s="104" t="str">
        <f t="shared" si="1"/>
        <v/>
      </c>
      <c r="S57" s="104" t="str">
        <f t="shared" si="2"/>
        <v/>
      </c>
      <c r="T57" s="104">
        <f t="shared" si="3"/>
        <v>710.02099999999996</v>
      </c>
      <c r="U57" s="104" t="str">
        <f t="shared" si="4"/>
        <v/>
      </c>
      <c r="V57" s="104" t="str">
        <f t="shared" si="5"/>
        <v/>
      </c>
      <c r="W57" s="105"/>
    </row>
    <row r="58" spans="1:23">
      <c r="A58" s="92"/>
      <c r="B58" s="115"/>
      <c r="C58" s="94"/>
      <c r="D58" s="95"/>
      <c r="E58" s="95"/>
      <c r="F58" s="96"/>
      <c r="G58" s="97"/>
      <c r="H58" s="98"/>
      <c r="I58" s="99"/>
      <c r="J58" s="99"/>
      <c r="K58" s="100"/>
      <c r="L58" s="99"/>
      <c r="M58" s="99"/>
      <c r="N58" s="99"/>
      <c r="O58" s="99"/>
      <c r="P58" s="101"/>
      <c r="Q58" s="104" t="str">
        <f t="shared" si="0"/>
        <v/>
      </c>
      <c r="R58" s="104" t="str">
        <f t="shared" si="1"/>
        <v/>
      </c>
      <c r="S58" s="104" t="str">
        <f t="shared" si="2"/>
        <v/>
      </c>
      <c r="T58" s="104" t="str">
        <f t="shared" si="3"/>
        <v/>
      </c>
      <c r="U58" s="104" t="str">
        <f t="shared" si="4"/>
        <v/>
      </c>
      <c r="V58" s="104" t="str">
        <f t="shared" si="5"/>
        <v/>
      </c>
      <c r="W58" s="105"/>
    </row>
    <row r="59" spans="1:23">
      <c r="A59" s="92">
        <v>5</v>
      </c>
      <c r="B59" s="115" t="s">
        <v>251</v>
      </c>
      <c r="C59" s="94"/>
      <c r="D59" s="95"/>
      <c r="E59" s="95"/>
      <c r="F59" s="96"/>
      <c r="G59" s="97"/>
      <c r="H59" s="98"/>
      <c r="I59" s="99"/>
      <c r="J59" s="99"/>
      <c r="K59" s="100"/>
      <c r="L59" s="99"/>
      <c r="M59" s="99"/>
      <c r="N59" s="99"/>
      <c r="O59" s="99"/>
      <c r="P59" s="101"/>
      <c r="Q59" s="104" t="str">
        <f t="shared" si="0"/>
        <v/>
      </c>
      <c r="R59" s="104" t="str">
        <f t="shared" si="1"/>
        <v/>
      </c>
      <c r="S59" s="104" t="str">
        <f t="shared" si="2"/>
        <v/>
      </c>
      <c r="T59" s="104" t="str">
        <f t="shared" si="3"/>
        <v/>
      </c>
      <c r="U59" s="104" t="str">
        <f t="shared" si="4"/>
        <v/>
      </c>
      <c r="V59" s="104" t="str">
        <f t="shared" si="5"/>
        <v/>
      </c>
      <c r="W59" s="105"/>
    </row>
    <row r="60" spans="1:23">
      <c r="A60" s="92"/>
      <c r="B60" s="116" t="s">
        <v>247</v>
      </c>
      <c r="C60" s="107"/>
      <c r="D60" s="786">
        <f>36.89-1*0.05</f>
        <v>36.840000000000003</v>
      </c>
      <c r="E60" s="786"/>
      <c r="F60" s="118">
        <v>0.5</v>
      </c>
      <c r="G60" s="108">
        <v>0.25</v>
      </c>
      <c r="H60" s="98">
        <v>16</v>
      </c>
      <c r="I60" s="99">
        <v>1</v>
      </c>
      <c r="J60" s="101">
        <f>ROUND(9.235/G60+1,0)-8</f>
        <v>30</v>
      </c>
      <c r="K60" s="109">
        <f>D60</f>
        <v>36.840000000000003</v>
      </c>
      <c r="L60" s="110">
        <f>IF(O60&lt;12,"0",0.049*H60)*3</f>
        <v>2.3520000000000003</v>
      </c>
      <c r="M60" s="111">
        <v>1</v>
      </c>
      <c r="N60" s="99">
        <f>M60*1*H60/1000</f>
        <v>1.6E-2</v>
      </c>
      <c r="O60" s="112">
        <f>(D60+C60+F60)-N60</f>
        <v>37.324000000000005</v>
      </c>
      <c r="P60" s="112">
        <f>(I60*J60*O60)+L60</f>
        <v>1122.0720000000003</v>
      </c>
      <c r="Q60" s="104" t="str">
        <f t="shared" si="0"/>
        <v/>
      </c>
      <c r="R60" s="104" t="str">
        <f t="shared" si="1"/>
        <v/>
      </c>
      <c r="S60" s="104" t="str">
        <f t="shared" si="2"/>
        <v/>
      </c>
      <c r="T60" s="104">
        <f t="shared" si="3"/>
        <v>1122.0720000000003</v>
      </c>
      <c r="U60" s="104" t="str">
        <f t="shared" si="4"/>
        <v/>
      </c>
      <c r="V60" s="104" t="str">
        <f t="shared" si="5"/>
        <v/>
      </c>
      <c r="W60" s="105"/>
    </row>
    <row r="61" spans="1:23">
      <c r="A61" s="92"/>
      <c r="B61" s="115"/>
      <c r="C61" s="94"/>
      <c r="D61" s="95"/>
      <c r="E61" s="95"/>
      <c r="F61" s="96"/>
      <c r="G61" s="97"/>
      <c r="H61" s="98"/>
      <c r="I61" s="99"/>
      <c r="J61" s="99"/>
      <c r="K61" s="100"/>
      <c r="L61" s="99"/>
      <c r="M61" s="99"/>
      <c r="N61" s="99"/>
      <c r="O61" s="99"/>
      <c r="P61" s="101"/>
      <c r="Q61" s="104" t="str">
        <f t="shared" si="0"/>
        <v/>
      </c>
      <c r="R61" s="104" t="str">
        <f t="shared" si="1"/>
        <v/>
      </c>
      <c r="S61" s="104" t="str">
        <f t="shared" si="2"/>
        <v/>
      </c>
      <c r="T61" s="104" t="str">
        <f t="shared" si="3"/>
        <v/>
      </c>
      <c r="U61" s="104" t="str">
        <f t="shared" si="4"/>
        <v/>
      </c>
      <c r="V61" s="104" t="str">
        <f t="shared" si="5"/>
        <v/>
      </c>
      <c r="W61" s="105"/>
    </row>
    <row r="62" spans="1:23">
      <c r="A62" s="92">
        <v>6</v>
      </c>
      <c r="B62" s="115" t="s">
        <v>252</v>
      </c>
      <c r="C62" s="94"/>
      <c r="D62" s="95"/>
      <c r="E62" s="95"/>
      <c r="F62" s="96"/>
      <c r="G62" s="97"/>
      <c r="H62" s="98"/>
      <c r="I62" s="99"/>
      <c r="J62" s="99"/>
      <c r="K62" s="100"/>
      <c r="L62" s="99"/>
      <c r="M62" s="99"/>
      <c r="N62" s="99"/>
      <c r="O62" s="99"/>
      <c r="P62" s="101"/>
      <c r="Q62" s="104" t="str">
        <f t="shared" si="0"/>
        <v/>
      </c>
      <c r="R62" s="104" t="str">
        <f t="shared" si="1"/>
        <v/>
      </c>
      <c r="S62" s="104" t="str">
        <f t="shared" si="2"/>
        <v/>
      </c>
      <c r="T62" s="104" t="str">
        <f t="shared" si="3"/>
        <v/>
      </c>
      <c r="U62" s="104" t="str">
        <f t="shared" si="4"/>
        <v/>
      </c>
      <c r="V62" s="104" t="str">
        <f t="shared" si="5"/>
        <v/>
      </c>
      <c r="W62" s="105"/>
    </row>
    <row r="63" spans="1:23">
      <c r="A63" s="92"/>
      <c r="B63" s="116" t="s">
        <v>247</v>
      </c>
      <c r="C63" s="107">
        <v>0.5</v>
      </c>
      <c r="D63" s="786">
        <f>25.89-2*0.05</f>
        <v>25.79</v>
      </c>
      <c r="E63" s="799"/>
      <c r="F63" s="107">
        <v>0.5</v>
      </c>
      <c r="G63" s="108">
        <v>0.25</v>
      </c>
      <c r="H63" s="98">
        <v>16</v>
      </c>
      <c r="I63" s="99">
        <v>1</v>
      </c>
      <c r="J63" s="101">
        <f>ROUND(12.415/G63+1,0)</f>
        <v>51</v>
      </c>
      <c r="K63" s="109">
        <f>D63</f>
        <v>25.79</v>
      </c>
      <c r="L63" s="110">
        <f>IF(O63&lt;12,"0",0.049*H63)*2</f>
        <v>1.5680000000000001</v>
      </c>
      <c r="M63" s="111">
        <v>2</v>
      </c>
      <c r="N63" s="99">
        <f>M63*2*H63/1000</f>
        <v>6.4000000000000001E-2</v>
      </c>
      <c r="O63" s="112">
        <f>(D63+C63+F63)-N63</f>
        <v>26.725999999999999</v>
      </c>
      <c r="P63" s="112">
        <f>(I63*J63*O63)+L63</f>
        <v>1364.5939999999998</v>
      </c>
      <c r="Q63" s="104" t="str">
        <f t="shared" si="0"/>
        <v/>
      </c>
      <c r="R63" s="104" t="str">
        <f t="shared" si="1"/>
        <v/>
      </c>
      <c r="S63" s="104" t="str">
        <f t="shared" si="2"/>
        <v/>
      </c>
      <c r="T63" s="104">
        <f t="shared" si="3"/>
        <v>1364.5939999999998</v>
      </c>
      <c r="U63" s="104" t="str">
        <f t="shared" si="4"/>
        <v/>
      </c>
      <c r="V63" s="104" t="str">
        <f t="shared" si="5"/>
        <v/>
      </c>
      <c r="W63" s="105"/>
    </row>
    <row r="64" spans="1:23">
      <c r="A64" s="92"/>
      <c r="B64" s="115"/>
      <c r="C64" s="94"/>
      <c r="D64" s="95"/>
      <c r="E64" s="95"/>
      <c r="F64" s="96"/>
      <c r="G64" s="97"/>
      <c r="H64" s="98"/>
      <c r="I64" s="99"/>
      <c r="J64" s="99"/>
      <c r="K64" s="100"/>
      <c r="L64" s="99"/>
      <c r="M64" s="99"/>
      <c r="N64" s="99"/>
      <c r="O64" s="99"/>
      <c r="P64" s="101"/>
      <c r="Q64" s="104" t="str">
        <f t="shared" si="0"/>
        <v/>
      </c>
      <c r="R64" s="104" t="str">
        <f t="shared" si="1"/>
        <v/>
      </c>
      <c r="S64" s="104" t="str">
        <f t="shared" si="2"/>
        <v/>
      </c>
      <c r="T64" s="104" t="str">
        <f t="shared" si="3"/>
        <v/>
      </c>
      <c r="U64" s="104" t="str">
        <f t="shared" si="4"/>
        <v/>
      </c>
      <c r="V64" s="104" t="str">
        <f t="shared" si="5"/>
        <v/>
      </c>
      <c r="W64" s="105"/>
    </row>
    <row r="65" spans="1:23">
      <c r="A65" s="92">
        <v>7</v>
      </c>
      <c r="B65" s="115" t="s">
        <v>253</v>
      </c>
      <c r="C65" s="94"/>
      <c r="D65" s="95"/>
      <c r="E65" s="95"/>
      <c r="F65" s="96"/>
      <c r="G65" s="97"/>
      <c r="H65" s="98"/>
      <c r="I65" s="99"/>
      <c r="J65" s="99"/>
      <c r="K65" s="100"/>
      <c r="L65" s="99"/>
      <c r="M65" s="99"/>
      <c r="N65" s="99"/>
      <c r="O65" s="99"/>
      <c r="P65" s="101"/>
      <c r="Q65" s="104" t="str">
        <f t="shared" si="0"/>
        <v/>
      </c>
      <c r="R65" s="104" t="str">
        <f t="shared" si="1"/>
        <v/>
      </c>
      <c r="S65" s="104" t="str">
        <f t="shared" si="2"/>
        <v/>
      </c>
      <c r="T65" s="104" t="str">
        <f t="shared" si="3"/>
        <v/>
      </c>
      <c r="U65" s="104" t="str">
        <f t="shared" si="4"/>
        <v/>
      </c>
      <c r="V65" s="104" t="str">
        <f t="shared" si="5"/>
        <v/>
      </c>
      <c r="W65" s="105"/>
    </row>
    <row r="66" spans="1:23">
      <c r="A66" s="92"/>
      <c r="B66" t="s">
        <v>247</v>
      </c>
      <c r="C66" s="107">
        <v>0.5</v>
      </c>
      <c r="D66" s="786">
        <f>8.78-2*0.05</f>
        <v>8.68</v>
      </c>
      <c r="E66" s="799"/>
      <c r="F66" s="107">
        <v>0.5</v>
      </c>
      <c r="G66" s="108">
        <v>0.25</v>
      </c>
      <c r="H66" s="98">
        <v>16</v>
      </c>
      <c r="I66" s="99">
        <v>1</v>
      </c>
      <c r="J66" s="101">
        <f>ROUND(0.515/G66+1,0)</f>
        <v>3</v>
      </c>
      <c r="K66" s="109">
        <f>D66</f>
        <v>8.68</v>
      </c>
      <c r="L66" s="110" t="str">
        <f>IF(O66&lt;12,"0",0.049*H66)</f>
        <v>0</v>
      </c>
      <c r="M66" s="111">
        <v>2</v>
      </c>
      <c r="N66" s="99">
        <f>M66*2*H66/1000</f>
        <v>6.4000000000000001E-2</v>
      </c>
      <c r="O66" s="112">
        <f>(D66+C66+F66)-N66</f>
        <v>9.6159999999999997</v>
      </c>
      <c r="P66" s="112">
        <f>(I66*J66*O66)+L66</f>
        <v>28.847999999999999</v>
      </c>
      <c r="Q66" s="104" t="str">
        <f t="shared" si="0"/>
        <v/>
      </c>
      <c r="R66" s="104" t="str">
        <f t="shared" si="1"/>
        <v/>
      </c>
      <c r="S66" s="104" t="str">
        <f t="shared" si="2"/>
        <v/>
      </c>
      <c r="T66" s="104">
        <f t="shared" si="3"/>
        <v>28.847999999999999</v>
      </c>
      <c r="U66" s="104" t="str">
        <f t="shared" si="4"/>
        <v/>
      </c>
      <c r="V66" s="104" t="str">
        <f t="shared" si="5"/>
        <v/>
      </c>
      <c r="W66" s="105"/>
    </row>
    <row r="67" spans="1:23">
      <c r="A67" s="92"/>
      <c r="B67" s="115"/>
      <c r="C67" s="94"/>
      <c r="D67" s="95"/>
      <c r="E67" s="95"/>
      <c r="F67" s="96"/>
      <c r="G67" s="97"/>
      <c r="H67" s="98"/>
      <c r="I67" s="99"/>
      <c r="J67" s="99"/>
      <c r="K67" s="100"/>
      <c r="L67" s="99"/>
      <c r="M67" s="99"/>
      <c r="N67" s="99"/>
      <c r="O67" s="99"/>
      <c r="P67" s="101"/>
      <c r="Q67" s="104" t="str">
        <f t="shared" si="0"/>
        <v/>
      </c>
      <c r="R67" s="104" t="str">
        <f t="shared" si="1"/>
        <v/>
      </c>
      <c r="S67" s="104" t="str">
        <f t="shared" si="2"/>
        <v/>
      </c>
      <c r="T67" s="104" t="str">
        <f t="shared" si="3"/>
        <v/>
      </c>
      <c r="U67" s="104" t="str">
        <f t="shared" si="4"/>
        <v/>
      </c>
      <c r="V67" s="104" t="str">
        <f t="shared" si="5"/>
        <v/>
      </c>
      <c r="W67" s="105"/>
    </row>
    <row r="68" spans="1:23">
      <c r="A68" s="92"/>
      <c r="B68" s="115"/>
      <c r="C68" s="94"/>
      <c r="D68" s="95"/>
      <c r="E68" s="95"/>
      <c r="F68" s="96"/>
      <c r="G68" s="97"/>
      <c r="H68" s="98"/>
      <c r="I68" s="99"/>
      <c r="J68" s="99"/>
      <c r="K68" s="100"/>
      <c r="L68" s="99"/>
      <c r="M68" s="99"/>
      <c r="N68" s="99"/>
      <c r="O68" s="99"/>
      <c r="P68" s="101"/>
      <c r="Q68" s="104" t="str">
        <f t="shared" si="0"/>
        <v/>
      </c>
      <c r="R68" s="104" t="str">
        <f t="shared" si="1"/>
        <v/>
      </c>
      <c r="S68" s="104" t="str">
        <f t="shared" si="2"/>
        <v/>
      </c>
      <c r="T68" s="104" t="str">
        <f t="shared" si="3"/>
        <v/>
      </c>
      <c r="U68" s="104" t="str">
        <f t="shared" si="4"/>
        <v/>
      </c>
      <c r="V68" s="104" t="str">
        <f t="shared" si="5"/>
        <v/>
      </c>
      <c r="W68" s="105"/>
    </row>
    <row r="69" spans="1:23">
      <c r="A69" s="92"/>
      <c r="B69" s="103" t="s">
        <v>254</v>
      </c>
      <c r="C69" s="94"/>
      <c r="D69" s="95"/>
      <c r="E69" s="95"/>
      <c r="F69" s="96"/>
      <c r="G69" s="97"/>
      <c r="H69" s="98"/>
      <c r="I69" s="99"/>
      <c r="J69" s="99"/>
      <c r="K69" s="100"/>
      <c r="L69" s="99"/>
      <c r="M69" s="99"/>
      <c r="N69" s="99"/>
      <c r="O69" s="99"/>
      <c r="P69" s="101"/>
      <c r="Q69" s="104" t="str">
        <f t="shared" si="0"/>
        <v/>
      </c>
      <c r="R69" s="104" t="str">
        <f t="shared" si="1"/>
        <v/>
      </c>
      <c r="S69" s="104" t="str">
        <f t="shared" si="2"/>
        <v/>
      </c>
      <c r="T69" s="104" t="str">
        <f t="shared" si="3"/>
        <v/>
      </c>
      <c r="U69" s="104" t="str">
        <f t="shared" si="4"/>
        <v/>
      </c>
      <c r="V69" s="104" t="str">
        <f t="shared" si="5"/>
        <v/>
      </c>
      <c r="W69" s="105"/>
    </row>
    <row r="70" spans="1:23">
      <c r="A70" s="92">
        <v>1</v>
      </c>
      <c r="B70" s="106" t="s">
        <v>238</v>
      </c>
      <c r="C70" s="94"/>
      <c r="D70" s="95"/>
      <c r="E70" s="95"/>
      <c r="F70" s="96"/>
      <c r="G70" s="97"/>
      <c r="H70" s="98"/>
      <c r="I70" s="99"/>
      <c r="J70" s="99"/>
      <c r="K70" s="100"/>
      <c r="L70" s="99"/>
      <c r="M70" s="99"/>
      <c r="N70" s="99"/>
      <c r="O70" s="99"/>
      <c r="P70" s="101"/>
      <c r="Q70" s="104" t="str">
        <f t="shared" si="0"/>
        <v/>
      </c>
      <c r="R70" s="104" t="str">
        <f t="shared" si="1"/>
        <v/>
      </c>
      <c r="S70" s="104" t="str">
        <f t="shared" si="2"/>
        <v/>
      </c>
      <c r="T70" s="104" t="str">
        <f t="shared" si="3"/>
        <v/>
      </c>
      <c r="U70" s="104" t="str">
        <f t="shared" si="4"/>
        <v/>
      </c>
      <c r="V70" s="104" t="str">
        <f t="shared" si="5"/>
        <v/>
      </c>
      <c r="W70" s="105"/>
    </row>
    <row r="71" spans="1:23">
      <c r="A71" s="92"/>
      <c r="B71" t="s">
        <v>239</v>
      </c>
      <c r="C71" s="107">
        <v>0.5</v>
      </c>
      <c r="D71" s="786">
        <f>21.65-2*0.05</f>
        <v>21.549999999999997</v>
      </c>
      <c r="E71" s="799"/>
      <c r="F71" s="107">
        <v>0.5</v>
      </c>
      <c r="G71" s="108">
        <v>0.25</v>
      </c>
      <c r="H71" s="98">
        <v>16</v>
      </c>
      <c r="I71" s="99">
        <v>1</v>
      </c>
      <c r="J71" s="101">
        <f>ROUND(8.855/G71/2+1,0)</f>
        <v>19</v>
      </c>
      <c r="K71" s="109">
        <f>D71</f>
        <v>21.549999999999997</v>
      </c>
      <c r="L71" s="110">
        <f>IF(O71&lt;12,"0",0.049*H71)*2</f>
        <v>1.5680000000000001</v>
      </c>
      <c r="M71" s="111">
        <v>2</v>
      </c>
      <c r="N71" s="99">
        <f>M71*2*H71/1000</f>
        <v>6.4000000000000001E-2</v>
      </c>
      <c r="O71" s="112">
        <f>(D71+C71+F71)-N71</f>
        <v>22.485999999999997</v>
      </c>
      <c r="P71" s="112">
        <f>(I71*J71*O71)+L71</f>
        <v>428.80199999999991</v>
      </c>
      <c r="Q71" s="104" t="str">
        <f t="shared" si="0"/>
        <v/>
      </c>
      <c r="R71" s="104" t="str">
        <f t="shared" si="1"/>
        <v/>
      </c>
      <c r="S71" s="104" t="str">
        <f t="shared" si="2"/>
        <v/>
      </c>
      <c r="T71" s="104">
        <f t="shared" si="3"/>
        <v>428.80199999999991</v>
      </c>
      <c r="U71" s="104" t="str">
        <f t="shared" si="4"/>
        <v/>
      </c>
      <c r="V71" s="104" t="str">
        <f t="shared" si="5"/>
        <v/>
      </c>
      <c r="W71" s="105"/>
    </row>
    <row r="72" spans="1:23">
      <c r="A72" s="92"/>
      <c r="B72" s="105"/>
      <c r="C72" s="94"/>
      <c r="D72" s="95"/>
      <c r="E72" s="95"/>
      <c r="F72" s="96"/>
      <c r="G72" s="97"/>
      <c r="H72" s="98"/>
      <c r="I72" s="99"/>
      <c r="J72" s="99"/>
      <c r="K72" s="109"/>
      <c r="L72" s="112"/>
      <c r="M72" s="112"/>
      <c r="N72" s="99"/>
      <c r="O72" s="112"/>
      <c r="P72" s="112"/>
      <c r="Q72" s="104" t="str">
        <f t="shared" si="0"/>
        <v/>
      </c>
      <c r="R72" s="104" t="str">
        <f t="shared" si="1"/>
        <v/>
      </c>
      <c r="S72" s="104" t="str">
        <f t="shared" si="2"/>
        <v/>
      </c>
      <c r="T72" s="104" t="str">
        <f t="shared" si="3"/>
        <v/>
      </c>
      <c r="U72" s="104" t="str">
        <f t="shared" si="4"/>
        <v/>
      </c>
      <c r="V72" s="104" t="str">
        <f t="shared" si="5"/>
        <v/>
      </c>
      <c r="W72" s="105"/>
    </row>
    <row r="73" spans="1:23">
      <c r="A73" s="92">
        <v>1</v>
      </c>
      <c r="B73" s="106" t="s">
        <v>238</v>
      </c>
      <c r="C73" s="94"/>
      <c r="D73" s="95"/>
      <c r="E73" s="95"/>
      <c r="F73" s="96"/>
      <c r="G73" s="97"/>
      <c r="H73" s="98"/>
      <c r="I73" s="99"/>
      <c r="J73" s="99"/>
      <c r="K73" s="100"/>
      <c r="L73" s="99"/>
      <c r="M73" s="99"/>
      <c r="N73" s="99"/>
      <c r="O73" s="99"/>
      <c r="P73" s="101"/>
      <c r="Q73" s="104" t="str">
        <f t="shared" si="0"/>
        <v/>
      </c>
      <c r="R73" s="104" t="str">
        <f t="shared" si="1"/>
        <v/>
      </c>
      <c r="S73" s="104" t="str">
        <f t="shared" si="2"/>
        <v/>
      </c>
      <c r="T73" s="104" t="str">
        <f t="shared" si="3"/>
        <v/>
      </c>
      <c r="U73" s="104" t="str">
        <f t="shared" si="4"/>
        <v/>
      </c>
      <c r="V73" s="104" t="str">
        <f t="shared" si="5"/>
        <v/>
      </c>
      <c r="W73" s="105"/>
    </row>
    <row r="74" spans="1:23">
      <c r="A74" s="92"/>
      <c r="B74" t="s">
        <v>239</v>
      </c>
      <c r="C74" s="107">
        <v>0.5</v>
      </c>
      <c r="D74" s="786">
        <f>21.65-2*0.05</f>
        <v>21.549999999999997</v>
      </c>
      <c r="E74" s="799"/>
      <c r="F74" s="107">
        <v>0.5</v>
      </c>
      <c r="G74" s="108">
        <v>0.25</v>
      </c>
      <c r="H74" s="98">
        <v>16</v>
      </c>
      <c r="I74" s="99">
        <v>1</v>
      </c>
      <c r="J74" s="101">
        <f>ROUND(8.855/G74/2,0)</f>
        <v>18</v>
      </c>
      <c r="K74" s="109">
        <f>D74</f>
        <v>21.549999999999997</v>
      </c>
      <c r="L74" s="110">
        <f>IF(O74&lt;12,"0",0.049*H74)</f>
        <v>0.78400000000000003</v>
      </c>
      <c r="M74" s="111">
        <v>2</v>
      </c>
      <c r="N74" s="99">
        <f>M74*2*H74/1000</f>
        <v>6.4000000000000001E-2</v>
      </c>
      <c r="O74" s="112">
        <f>(D74+C74+F74)-N74</f>
        <v>22.485999999999997</v>
      </c>
      <c r="P74" s="112">
        <f>(I74*J74*O74)+L74</f>
        <v>405.53199999999993</v>
      </c>
      <c r="Q74" s="104" t="str">
        <f t="shared" si="0"/>
        <v/>
      </c>
      <c r="R74" s="104" t="str">
        <f t="shared" si="1"/>
        <v/>
      </c>
      <c r="S74" s="104" t="str">
        <f t="shared" si="2"/>
        <v/>
      </c>
      <c r="T74" s="104">
        <f t="shared" si="3"/>
        <v>405.53199999999993</v>
      </c>
      <c r="U74" s="104" t="str">
        <f t="shared" si="4"/>
        <v/>
      </c>
      <c r="V74" s="104" t="str">
        <f t="shared" si="5"/>
        <v/>
      </c>
      <c r="W74" s="105"/>
    </row>
    <row r="75" spans="1:23">
      <c r="A75" s="92"/>
      <c r="B75" s="105"/>
      <c r="C75" s="94"/>
      <c r="D75" s="95"/>
      <c r="E75" s="95"/>
      <c r="F75" s="96"/>
      <c r="G75" s="97"/>
      <c r="H75" s="98"/>
      <c r="I75" s="99"/>
      <c r="J75" s="99"/>
      <c r="K75" s="109"/>
      <c r="L75" s="112"/>
      <c r="M75" s="112"/>
      <c r="N75" s="99"/>
      <c r="O75" s="112"/>
      <c r="P75" s="112"/>
      <c r="Q75" s="104" t="str">
        <f t="shared" si="0"/>
        <v/>
      </c>
      <c r="R75" s="104" t="str">
        <f t="shared" si="1"/>
        <v/>
      </c>
      <c r="S75" s="104" t="str">
        <f t="shared" si="2"/>
        <v/>
      </c>
      <c r="T75" s="104" t="str">
        <f t="shared" si="3"/>
        <v/>
      </c>
      <c r="U75" s="104" t="str">
        <f t="shared" si="4"/>
        <v/>
      </c>
      <c r="V75" s="104" t="str">
        <f t="shared" si="5"/>
        <v/>
      </c>
      <c r="W75" s="105"/>
    </row>
    <row r="76" spans="1:23">
      <c r="A76" s="92">
        <v>2</v>
      </c>
      <c r="B76" s="106" t="s">
        <v>240</v>
      </c>
      <c r="C76" s="94"/>
      <c r="D76" s="95"/>
      <c r="E76" s="95"/>
      <c r="F76" s="96"/>
      <c r="G76" s="97"/>
      <c r="H76" s="98"/>
      <c r="I76" s="99"/>
      <c r="J76" s="99"/>
      <c r="K76" s="100"/>
      <c r="L76" s="99"/>
      <c r="M76" s="99"/>
      <c r="N76" s="99"/>
      <c r="O76" s="99"/>
      <c r="P76" s="101"/>
      <c r="Q76" s="104" t="str">
        <f t="shared" si="0"/>
        <v/>
      </c>
      <c r="R76" s="104" t="str">
        <f t="shared" si="1"/>
        <v/>
      </c>
      <c r="S76" s="104" t="str">
        <f t="shared" si="2"/>
        <v/>
      </c>
      <c r="T76" s="104" t="str">
        <f t="shared" si="3"/>
        <v/>
      </c>
      <c r="U76" s="104" t="str">
        <f t="shared" si="4"/>
        <v/>
      </c>
      <c r="V76" s="104" t="str">
        <f t="shared" si="5"/>
        <v/>
      </c>
      <c r="W76" s="105"/>
    </row>
    <row r="77" spans="1:23">
      <c r="A77" s="92"/>
      <c r="B77" t="s">
        <v>239</v>
      </c>
      <c r="C77" s="107">
        <v>0.5</v>
      </c>
      <c r="D77" s="786">
        <f>21.65+0.515-2*0.05</f>
        <v>22.064999999999998</v>
      </c>
      <c r="E77" s="799"/>
      <c r="F77" s="107">
        <v>0.5</v>
      </c>
      <c r="G77" s="108">
        <v>0.25</v>
      </c>
      <c r="H77" s="98">
        <v>16</v>
      </c>
      <c r="I77" s="99">
        <v>1</v>
      </c>
      <c r="J77" s="101">
        <f>ROUND(2.535/G77/2+1,0)</f>
        <v>6</v>
      </c>
      <c r="K77" s="109">
        <f>D77</f>
        <v>22.064999999999998</v>
      </c>
      <c r="L77" s="112">
        <f>IF(O77&lt;12,"0",0.049*H77)*2</f>
        <v>1.5680000000000001</v>
      </c>
      <c r="M77" s="111">
        <v>2</v>
      </c>
      <c r="N77" s="99">
        <f>M77*2*H77/1000</f>
        <v>6.4000000000000001E-2</v>
      </c>
      <c r="O77" s="112">
        <f>(D77+C77+F77)-N77</f>
        <v>23.000999999999998</v>
      </c>
      <c r="P77" s="112">
        <f>(I77*J77*O77)+L77</f>
        <v>139.57399999999998</v>
      </c>
      <c r="Q77" s="104" t="str">
        <f t="shared" si="0"/>
        <v/>
      </c>
      <c r="R77" s="104" t="str">
        <f t="shared" si="1"/>
        <v/>
      </c>
      <c r="S77" s="104" t="str">
        <f t="shared" si="2"/>
        <v/>
      </c>
      <c r="T77" s="104">
        <f t="shared" si="3"/>
        <v>139.57399999999998</v>
      </c>
      <c r="U77" s="104" t="str">
        <f t="shared" si="4"/>
        <v/>
      </c>
      <c r="V77" s="104" t="str">
        <f t="shared" si="5"/>
        <v/>
      </c>
      <c r="W77" s="105"/>
    </row>
    <row r="78" spans="1:23">
      <c r="A78" s="92"/>
      <c r="B78" s="105"/>
      <c r="C78" s="94"/>
      <c r="D78" s="95"/>
      <c r="E78" s="95"/>
      <c r="F78" s="96"/>
      <c r="G78" s="97"/>
      <c r="H78" s="98"/>
      <c r="I78" s="99"/>
      <c r="J78" s="99"/>
      <c r="K78" s="100"/>
      <c r="L78" s="99"/>
      <c r="M78" s="99"/>
      <c r="N78" s="99"/>
      <c r="O78" s="99"/>
      <c r="P78" s="101"/>
      <c r="Q78" s="104" t="str">
        <f t="shared" si="0"/>
        <v/>
      </c>
      <c r="R78" s="104" t="str">
        <f t="shared" si="1"/>
        <v/>
      </c>
      <c r="S78" s="104" t="str">
        <f t="shared" si="2"/>
        <v/>
      </c>
      <c r="T78" s="104" t="str">
        <f t="shared" si="3"/>
        <v/>
      </c>
      <c r="U78" s="104" t="str">
        <f t="shared" si="4"/>
        <v/>
      </c>
      <c r="V78" s="104" t="str">
        <f t="shared" si="5"/>
        <v/>
      </c>
      <c r="W78" s="105"/>
    </row>
    <row r="79" spans="1:23">
      <c r="A79" s="92">
        <v>2</v>
      </c>
      <c r="B79" s="106" t="s">
        <v>240</v>
      </c>
      <c r="C79" s="94"/>
      <c r="D79" s="95"/>
      <c r="E79" s="95"/>
      <c r="F79" s="96"/>
      <c r="G79" s="97"/>
      <c r="H79" s="98"/>
      <c r="I79" s="99"/>
      <c r="J79" s="99"/>
      <c r="K79" s="100"/>
      <c r="L79" s="99"/>
      <c r="M79" s="99"/>
      <c r="N79" s="99"/>
      <c r="O79" s="99"/>
      <c r="P79" s="101"/>
      <c r="Q79" s="104" t="str">
        <f t="shared" si="0"/>
        <v/>
      </c>
      <c r="R79" s="104" t="str">
        <f t="shared" si="1"/>
        <v/>
      </c>
      <c r="S79" s="104" t="str">
        <f t="shared" si="2"/>
        <v/>
      </c>
      <c r="T79" s="104" t="str">
        <f t="shared" si="3"/>
        <v/>
      </c>
      <c r="U79" s="104" t="str">
        <f t="shared" si="4"/>
        <v/>
      </c>
      <c r="V79" s="104" t="str">
        <f t="shared" si="5"/>
        <v/>
      </c>
      <c r="W79" s="105"/>
    </row>
    <row r="80" spans="1:23">
      <c r="A80" s="92"/>
      <c r="B80" t="s">
        <v>239</v>
      </c>
      <c r="C80" s="107">
        <v>0.5</v>
      </c>
      <c r="D80" s="786">
        <f>21.65+0.515-2*0.05</f>
        <v>22.064999999999998</v>
      </c>
      <c r="E80" s="799"/>
      <c r="F80" s="107">
        <v>0.5</v>
      </c>
      <c r="G80" s="108">
        <v>0.25</v>
      </c>
      <c r="H80" s="98">
        <v>16</v>
      </c>
      <c r="I80" s="99">
        <v>1</v>
      </c>
      <c r="J80" s="101">
        <f>ROUND(2.535/G80/2,0)</f>
        <v>5</v>
      </c>
      <c r="K80" s="109">
        <f>D80</f>
        <v>22.064999999999998</v>
      </c>
      <c r="L80" s="112">
        <f>IF(O80&lt;12,"0",0.049*H80)</f>
        <v>0.78400000000000003</v>
      </c>
      <c r="M80" s="111">
        <v>2</v>
      </c>
      <c r="N80" s="99">
        <f>M80*2*H80/1000</f>
        <v>6.4000000000000001E-2</v>
      </c>
      <c r="O80" s="112">
        <f>(D80+C80+F80)-N80</f>
        <v>23.000999999999998</v>
      </c>
      <c r="P80" s="112">
        <f>(I80*J80*O80)+L80</f>
        <v>115.789</v>
      </c>
      <c r="Q80" s="104" t="str">
        <f t="shared" si="0"/>
        <v/>
      </c>
      <c r="R80" s="104" t="str">
        <f t="shared" si="1"/>
        <v/>
      </c>
      <c r="S80" s="104" t="str">
        <f t="shared" si="2"/>
        <v/>
      </c>
      <c r="T80" s="104">
        <f t="shared" si="3"/>
        <v>115.789</v>
      </c>
      <c r="U80" s="104" t="str">
        <f t="shared" si="4"/>
        <v/>
      </c>
      <c r="V80" s="104" t="str">
        <f t="shared" si="5"/>
        <v/>
      </c>
      <c r="W80" s="105"/>
    </row>
    <row r="81" spans="1:23">
      <c r="A81" s="92"/>
      <c r="B81" s="105"/>
      <c r="C81" s="94"/>
      <c r="D81" s="95"/>
      <c r="E81" s="95"/>
      <c r="F81" s="96"/>
      <c r="G81" s="97"/>
      <c r="H81" s="98"/>
      <c r="I81" s="99"/>
      <c r="J81" s="99"/>
      <c r="K81" s="100"/>
      <c r="L81" s="99"/>
      <c r="M81" s="99"/>
      <c r="N81" s="99"/>
      <c r="O81" s="99"/>
      <c r="P81" s="101"/>
      <c r="Q81" s="104" t="str">
        <f t="shared" si="0"/>
        <v/>
      </c>
      <c r="R81" s="104" t="str">
        <f t="shared" si="1"/>
        <v/>
      </c>
      <c r="S81" s="104" t="str">
        <f t="shared" si="2"/>
        <v/>
      </c>
      <c r="T81" s="104" t="str">
        <f t="shared" si="3"/>
        <v/>
      </c>
      <c r="U81" s="104" t="str">
        <f t="shared" si="4"/>
        <v/>
      </c>
      <c r="V81" s="104" t="str">
        <f t="shared" si="5"/>
        <v/>
      </c>
      <c r="W81" s="105"/>
    </row>
    <row r="82" spans="1:23">
      <c r="A82" s="92">
        <v>3</v>
      </c>
      <c r="B82" s="106" t="s">
        <v>241</v>
      </c>
      <c r="C82" s="94"/>
      <c r="D82" s="95"/>
      <c r="E82" s="95"/>
      <c r="F82" s="96"/>
      <c r="G82" s="97"/>
      <c r="H82" s="98"/>
      <c r="I82" s="99"/>
      <c r="J82" s="99"/>
      <c r="K82" s="100"/>
      <c r="L82" s="99"/>
      <c r="M82" s="99"/>
      <c r="N82" s="99"/>
      <c r="O82" s="99"/>
      <c r="P82" s="101"/>
      <c r="Q82" s="104" t="str">
        <f t="shared" si="0"/>
        <v/>
      </c>
      <c r="R82" s="104" t="str">
        <f t="shared" si="1"/>
        <v/>
      </c>
      <c r="S82" s="104" t="str">
        <f t="shared" si="2"/>
        <v/>
      </c>
      <c r="T82" s="104" t="str">
        <f t="shared" si="3"/>
        <v/>
      </c>
      <c r="U82" s="104" t="str">
        <f t="shared" si="4"/>
        <v/>
      </c>
      <c r="V82" s="104" t="str">
        <f t="shared" si="5"/>
        <v/>
      </c>
      <c r="W82" s="105"/>
    </row>
    <row r="83" spans="1:23">
      <c r="A83" s="92"/>
      <c r="B83" t="s">
        <v>239</v>
      </c>
      <c r="C83" s="107">
        <v>0.5</v>
      </c>
      <c r="D83" s="786">
        <f>32.45-2*0.05</f>
        <v>32.35</v>
      </c>
      <c r="E83" s="799"/>
      <c r="F83" s="107">
        <v>0.5</v>
      </c>
      <c r="G83" s="108">
        <v>0.25</v>
      </c>
      <c r="H83" s="98">
        <v>16</v>
      </c>
      <c r="I83" s="99">
        <v>1</v>
      </c>
      <c r="J83" s="101">
        <f>ROUND(6.245/G83/2+1,0)</f>
        <v>13</v>
      </c>
      <c r="K83" s="109">
        <f>D83</f>
        <v>32.35</v>
      </c>
      <c r="L83" s="112">
        <f>IF(O83&lt;12,"0",0.049*H83)*3</f>
        <v>2.3520000000000003</v>
      </c>
      <c r="M83" s="111">
        <v>2</v>
      </c>
      <c r="N83" s="99">
        <f>M83*2*H83/1000</f>
        <v>6.4000000000000001E-2</v>
      </c>
      <c r="O83" s="112">
        <f>(D83+C83+F83)-N83</f>
        <v>33.286000000000001</v>
      </c>
      <c r="P83" s="112">
        <f>(I83*J83*O83)+L83</f>
        <v>435.07</v>
      </c>
      <c r="Q83" s="104" t="str">
        <f t="shared" si="0"/>
        <v/>
      </c>
      <c r="R83" s="104" t="str">
        <f t="shared" si="1"/>
        <v/>
      </c>
      <c r="S83" s="104" t="str">
        <f t="shared" si="2"/>
        <v/>
      </c>
      <c r="T83" s="104">
        <f t="shared" si="3"/>
        <v>435.07</v>
      </c>
      <c r="U83" s="104" t="str">
        <f t="shared" si="4"/>
        <v/>
      </c>
      <c r="V83" s="104" t="str">
        <f t="shared" si="5"/>
        <v/>
      </c>
      <c r="W83" s="105"/>
    </row>
    <row r="84" spans="1:23">
      <c r="A84" s="92"/>
      <c r="B84" s="113"/>
      <c r="C84" s="94"/>
      <c r="D84" s="95"/>
      <c r="E84" s="114"/>
      <c r="F84" s="96"/>
      <c r="G84" s="97"/>
      <c r="H84" s="98"/>
      <c r="I84" s="99"/>
      <c r="J84" s="99"/>
      <c r="K84" s="100"/>
      <c r="L84" s="99"/>
      <c r="M84" s="99"/>
      <c r="N84" s="99"/>
      <c r="O84" s="99"/>
      <c r="P84" s="101"/>
      <c r="Q84" s="104" t="str">
        <f t="shared" si="0"/>
        <v/>
      </c>
      <c r="R84" s="104" t="str">
        <f t="shared" si="1"/>
        <v/>
      </c>
      <c r="S84" s="104" t="str">
        <f t="shared" si="2"/>
        <v/>
      </c>
      <c r="T84" s="104" t="str">
        <f t="shared" si="3"/>
        <v/>
      </c>
      <c r="U84" s="104" t="str">
        <f t="shared" si="4"/>
        <v/>
      </c>
      <c r="V84" s="104" t="str">
        <f t="shared" si="5"/>
        <v/>
      </c>
      <c r="W84" s="105"/>
    </row>
    <row r="85" spans="1:23">
      <c r="A85" s="92">
        <v>3</v>
      </c>
      <c r="B85" s="106" t="s">
        <v>241</v>
      </c>
      <c r="C85" s="94"/>
      <c r="D85" s="95"/>
      <c r="E85" s="95"/>
      <c r="F85" s="96"/>
      <c r="G85" s="97"/>
      <c r="H85" s="98"/>
      <c r="I85" s="99"/>
      <c r="J85" s="99"/>
      <c r="K85" s="100"/>
      <c r="L85" s="99"/>
      <c r="M85" s="99"/>
      <c r="N85" s="99"/>
      <c r="O85" s="99"/>
      <c r="P85" s="101"/>
      <c r="Q85" s="104" t="str">
        <f t="shared" si="0"/>
        <v/>
      </c>
      <c r="R85" s="104" t="str">
        <f t="shared" si="1"/>
        <v/>
      </c>
      <c r="S85" s="104" t="str">
        <f t="shared" si="2"/>
        <v/>
      </c>
      <c r="T85" s="104" t="str">
        <f t="shared" si="3"/>
        <v/>
      </c>
      <c r="U85" s="104" t="str">
        <f t="shared" si="4"/>
        <v/>
      </c>
      <c r="V85" s="104" t="str">
        <f t="shared" si="5"/>
        <v/>
      </c>
      <c r="W85" s="105"/>
    </row>
    <row r="86" spans="1:23">
      <c r="A86" s="92"/>
      <c r="B86" t="s">
        <v>239</v>
      </c>
      <c r="C86" s="107">
        <v>0.5</v>
      </c>
      <c r="D86" s="786">
        <f>32.45-2*0.05</f>
        <v>32.35</v>
      </c>
      <c r="E86" s="799"/>
      <c r="F86" s="107">
        <v>0.5</v>
      </c>
      <c r="G86" s="108">
        <v>0.25</v>
      </c>
      <c r="H86" s="98">
        <v>16</v>
      </c>
      <c r="I86" s="99">
        <v>1</v>
      </c>
      <c r="J86" s="101">
        <f>ROUND(6.245/G86/2,0)</f>
        <v>12</v>
      </c>
      <c r="K86" s="109">
        <f>D86</f>
        <v>32.35</v>
      </c>
      <c r="L86" s="112">
        <f>IF(O86&lt;12,"0",0.049*H86)*2</f>
        <v>1.5680000000000001</v>
      </c>
      <c r="M86" s="111">
        <v>2</v>
      </c>
      <c r="N86" s="99">
        <f>M86*2*H86/1000</f>
        <v>6.4000000000000001E-2</v>
      </c>
      <c r="O86" s="112">
        <f>(D86+C86+F86)-N86</f>
        <v>33.286000000000001</v>
      </c>
      <c r="P86" s="112">
        <f>(I86*J86*O86)+L86</f>
        <v>401</v>
      </c>
      <c r="Q86" s="104" t="str">
        <f t="shared" si="0"/>
        <v/>
      </c>
      <c r="R86" s="104" t="str">
        <f t="shared" si="1"/>
        <v/>
      </c>
      <c r="S86" s="104" t="str">
        <f t="shared" si="2"/>
        <v/>
      </c>
      <c r="T86" s="104">
        <f t="shared" si="3"/>
        <v>401</v>
      </c>
      <c r="U86" s="104" t="str">
        <f t="shared" si="4"/>
        <v/>
      </c>
      <c r="V86" s="104" t="str">
        <f t="shared" si="5"/>
        <v/>
      </c>
      <c r="W86" s="105"/>
    </row>
    <row r="87" spans="1:23">
      <c r="A87" s="92"/>
      <c r="B87" s="113"/>
      <c r="C87" s="94"/>
      <c r="D87" s="95"/>
      <c r="E87" s="114"/>
      <c r="F87" s="96"/>
      <c r="G87" s="97"/>
      <c r="H87" s="98"/>
      <c r="I87" s="99"/>
      <c r="J87" s="99"/>
      <c r="K87" s="100"/>
      <c r="L87" s="99"/>
      <c r="M87" s="99"/>
      <c r="N87" s="99"/>
      <c r="O87" s="99"/>
      <c r="P87" s="101"/>
      <c r="Q87" s="104" t="str">
        <f t="shared" si="0"/>
        <v/>
      </c>
      <c r="R87" s="104" t="str">
        <f t="shared" si="1"/>
        <v/>
      </c>
      <c r="S87" s="104" t="str">
        <f t="shared" si="2"/>
        <v/>
      </c>
      <c r="T87" s="104" t="str">
        <f t="shared" si="3"/>
        <v/>
      </c>
      <c r="U87" s="104" t="str">
        <f t="shared" si="4"/>
        <v/>
      </c>
      <c r="V87" s="104" t="str">
        <f t="shared" si="5"/>
        <v/>
      </c>
      <c r="W87" s="105"/>
    </row>
    <row r="88" spans="1:23">
      <c r="A88" s="92">
        <v>4</v>
      </c>
      <c r="B88" s="106" t="s">
        <v>242</v>
      </c>
      <c r="C88" s="94"/>
      <c r="D88" s="95"/>
      <c r="E88" s="95"/>
      <c r="F88" s="96"/>
      <c r="G88" s="97"/>
      <c r="H88" s="98"/>
      <c r="I88" s="99"/>
      <c r="J88" s="99"/>
      <c r="K88" s="100"/>
      <c r="L88" s="99"/>
      <c r="M88" s="99"/>
      <c r="N88" s="99"/>
      <c r="O88" s="99"/>
      <c r="P88" s="101"/>
      <c r="Q88" s="104" t="str">
        <f t="shared" si="0"/>
        <v/>
      </c>
      <c r="R88" s="104" t="str">
        <f t="shared" si="1"/>
        <v/>
      </c>
      <c r="S88" s="104" t="str">
        <f t="shared" si="2"/>
        <v/>
      </c>
      <c r="T88" s="104" t="str">
        <f t="shared" si="3"/>
        <v/>
      </c>
      <c r="U88" s="104" t="str">
        <f t="shared" si="4"/>
        <v/>
      </c>
      <c r="V88" s="104" t="str">
        <f t="shared" si="5"/>
        <v/>
      </c>
      <c r="W88" s="105"/>
    </row>
    <row r="89" spans="1:23">
      <c r="A89" s="92"/>
      <c r="B89" t="s">
        <v>239</v>
      </c>
      <c r="C89" s="107">
        <v>0.5</v>
      </c>
      <c r="D89" s="786">
        <f>31.935-2*0.05</f>
        <v>31.834999999999997</v>
      </c>
      <c r="E89" s="799"/>
      <c r="F89" s="107">
        <v>0.5</v>
      </c>
      <c r="G89" s="108">
        <v>0.25</v>
      </c>
      <c r="H89" s="98">
        <v>16</v>
      </c>
      <c r="I89" s="99">
        <v>1</v>
      </c>
      <c r="J89" s="101">
        <f>ROUND(2.63/G89/2+1,0)</f>
        <v>6</v>
      </c>
      <c r="K89" s="109">
        <f>D89</f>
        <v>31.834999999999997</v>
      </c>
      <c r="L89" s="112">
        <f>IF(O89&lt;12,"0",0.049*H89)*3</f>
        <v>2.3520000000000003</v>
      </c>
      <c r="M89" s="111">
        <v>2</v>
      </c>
      <c r="N89" s="99">
        <f>M89*2*H89/1000</f>
        <v>6.4000000000000001E-2</v>
      </c>
      <c r="O89" s="112">
        <f>(D89+C89+F89)-N89</f>
        <v>32.770999999999994</v>
      </c>
      <c r="P89" s="112">
        <f>(I89*J89*O89)+L89</f>
        <v>198.97799999999998</v>
      </c>
      <c r="Q89" s="104" t="str">
        <f t="shared" si="0"/>
        <v/>
      </c>
      <c r="R89" s="104" t="str">
        <f t="shared" si="1"/>
        <v/>
      </c>
      <c r="S89" s="104" t="str">
        <f t="shared" si="2"/>
        <v/>
      </c>
      <c r="T89" s="104">
        <f t="shared" si="3"/>
        <v>198.97799999999998</v>
      </c>
      <c r="U89" s="104" t="str">
        <f t="shared" si="4"/>
        <v/>
      </c>
      <c r="V89" s="104" t="str">
        <f t="shared" si="5"/>
        <v/>
      </c>
      <c r="W89" s="105"/>
    </row>
    <row r="90" spans="1:23">
      <c r="A90" s="92"/>
      <c r="B90" s="113"/>
      <c r="C90" s="94"/>
      <c r="D90" s="95"/>
      <c r="E90" s="114"/>
      <c r="F90" s="96"/>
      <c r="G90" s="97"/>
      <c r="H90" s="98"/>
      <c r="I90" s="99"/>
      <c r="J90" s="99"/>
      <c r="K90" s="100"/>
      <c r="L90" s="99"/>
      <c r="M90" s="99"/>
      <c r="N90" s="99"/>
      <c r="O90" s="99"/>
      <c r="P90" s="101"/>
      <c r="Q90" s="104" t="str">
        <f t="shared" si="0"/>
        <v/>
      </c>
      <c r="R90" s="104" t="str">
        <f t="shared" si="1"/>
        <v/>
      </c>
      <c r="S90" s="104" t="str">
        <f t="shared" si="2"/>
        <v/>
      </c>
      <c r="T90" s="104" t="str">
        <f t="shared" si="3"/>
        <v/>
      </c>
      <c r="U90" s="104" t="str">
        <f t="shared" si="4"/>
        <v/>
      </c>
      <c r="V90" s="104" t="str">
        <f t="shared" si="5"/>
        <v/>
      </c>
      <c r="W90" s="105"/>
    </row>
    <row r="91" spans="1:23">
      <c r="A91" s="92">
        <v>4</v>
      </c>
      <c r="B91" s="106" t="s">
        <v>242</v>
      </c>
      <c r="C91" s="94"/>
      <c r="D91" s="95"/>
      <c r="E91" s="95"/>
      <c r="F91" s="96"/>
      <c r="G91" s="97"/>
      <c r="H91" s="98"/>
      <c r="I91" s="99"/>
      <c r="J91" s="99"/>
      <c r="K91" s="100"/>
      <c r="L91" s="99"/>
      <c r="M91" s="99"/>
      <c r="N91" s="99"/>
      <c r="O91" s="99"/>
      <c r="P91" s="101"/>
      <c r="Q91" s="104" t="str">
        <f t="shared" si="0"/>
        <v/>
      </c>
      <c r="R91" s="104" t="str">
        <f t="shared" si="1"/>
        <v/>
      </c>
      <c r="S91" s="104" t="str">
        <f t="shared" si="2"/>
        <v/>
      </c>
      <c r="T91" s="104" t="str">
        <f t="shared" si="3"/>
        <v/>
      </c>
      <c r="U91" s="104" t="str">
        <f t="shared" si="4"/>
        <v/>
      </c>
      <c r="V91" s="104" t="str">
        <f t="shared" si="5"/>
        <v/>
      </c>
      <c r="W91" s="105"/>
    </row>
    <row r="92" spans="1:23">
      <c r="A92" s="92"/>
      <c r="B92" t="s">
        <v>239</v>
      </c>
      <c r="C92" s="107">
        <v>0.5</v>
      </c>
      <c r="D92" s="786">
        <f>31.935-2*0.05</f>
        <v>31.834999999999997</v>
      </c>
      <c r="E92" s="799"/>
      <c r="F92" s="107">
        <v>0.5</v>
      </c>
      <c r="G92" s="108">
        <v>0.25</v>
      </c>
      <c r="H92" s="98">
        <v>16</v>
      </c>
      <c r="I92" s="99">
        <v>1</v>
      </c>
      <c r="J92" s="101">
        <f>ROUND(2.63/G92/2,0)</f>
        <v>5</v>
      </c>
      <c r="K92" s="109">
        <f>D92</f>
        <v>31.834999999999997</v>
      </c>
      <c r="L92" s="112">
        <f>IF(O92&lt;12,"0",0.049*H92)*2</f>
        <v>1.5680000000000001</v>
      </c>
      <c r="M92" s="111">
        <v>2</v>
      </c>
      <c r="N92" s="99">
        <f>M92*2*H92/1000</f>
        <v>6.4000000000000001E-2</v>
      </c>
      <c r="O92" s="112">
        <f>(D92+C92+F92)-N92</f>
        <v>32.770999999999994</v>
      </c>
      <c r="P92" s="112">
        <f>(I92*J92*O92)+L92</f>
        <v>165.42299999999997</v>
      </c>
      <c r="Q92" s="104" t="str">
        <f t="shared" si="0"/>
        <v/>
      </c>
      <c r="R92" s="104" t="str">
        <f t="shared" si="1"/>
        <v/>
      </c>
      <c r="S92" s="104" t="str">
        <f t="shared" si="2"/>
        <v/>
      </c>
      <c r="T92" s="104">
        <f t="shared" si="3"/>
        <v>165.42299999999997</v>
      </c>
      <c r="U92" s="104" t="str">
        <f t="shared" si="4"/>
        <v/>
      </c>
      <c r="V92" s="104" t="str">
        <f t="shared" si="5"/>
        <v/>
      </c>
      <c r="W92" s="105"/>
    </row>
    <row r="93" spans="1:23">
      <c r="A93" s="92"/>
      <c r="B93" s="113"/>
      <c r="C93" s="94"/>
      <c r="D93" s="95"/>
      <c r="E93" s="114"/>
      <c r="F93" s="96"/>
      <c r="G93" s="97"/>
      <c r="H93" s="98"/>
      <c r="I93" s="99"/>
      <c r="J93" s="99"/>
      <c r="K93" s="100"/>
      <c r="L93" s="99"/>
      <c r="M93" s="99"/>
      <c r="N93" s="99"/>
      <c r="O93" s="99"/>
      <c r="P93" s="101"/>
      <c r="Q93" s="104" t="str">
        <f t="shared" si="0"/>
        <v/>
      </c>
      <c r="R93" s="104" t="str">
        <f t="shared" si="1"/>
        <v/>
      </c>
      <c r="S93" s="104" t="str">
        <f t="shared" si="2"/>
        <v/>
      </c>
      <c r="T93" s="104" t="str">
        <f t="shared" si="3"/>
        <v/>
      </c>
      <c r="U93" s="104" t="str">
        <f t="shared" si="4"/>
        <v/>
      </c>
      <c r="V93" s="104" t="str">
        <f t="shared" si="5"/>
        <v/>
      </c>
      <c r="W93" s="105"/>
    </row>
    <row r="94" spans="1:23">
      <c r="A94" s="92">
        <v>5</v>
      </c>
      <c r="B94" s="106" t="s">
        <v>243</v>
      </c>
      <c r="C94" s="94"/>
      <c r="D94" s="95"/>
      <c r="E94" s="95"/>
      <c r="F94" s="96"/>
      <c r="G94" s="97"/>
      <c r="H94" s="98"/>
      <c r="I94" s="99"/>
      <c r="J94" s="99"/>
      <c r="K94" s="100"/>
      <c r="L94" s="99"/>
      <c r="M94" s="99"/>
      <c r="N94" s="99"/>
      <c r="O94" s="99"/>
      <c r="P94" s="101"/>
      <c r="Q94" s="104" t="str">
        <f t="shared" si="0"/>
        <v/>
      </c>
      <c r="R94" s="104" t="str">
        <f t="shared" si="1"/>
        <v/>
      </c>
      <c r="S94" s="104" t="str">
        <f t="shared" si="2"/>
        <v/>
      </c>
      <c r="T94" s="104" t="str">
        <f t="shared" si="3"/>
        <v/>
      </c>
      <c r="U94" s="104" t="str">
        <f t="shared" si="4"/>
        <v/>
      </c>
      <c r="V94" s="104" t="str">
        <f t="shared" si="5"/>
        <v/>
      </c>
      <c r="W94" s="105"/>
    </row>
    <row r="95" spans="1:23">
      <c r="A95" s="92"/>
      <c r="B95" t="s">
        <v>239</v>
      </c>
      <c r="C95" s="107">
        <v>0.5</v>
      </c>
      <c r="D95" s="786">
        <f>31.95-2*0.05-1.5</f>
        <v>30.349999999999998</v>
      </c>
      <c r="E95" s="799"/>
      <c r="F95" s="107">
        <v>0.5</v>
      </c>
      <c r="G95" s="108">
        <v>0.25</v>
      </c>
      <c r="H95" s="98">
        <v>16</v>
      </c>
      <c r="I95" s="99">
        <v>1</v>
      </c>
      <c r="J95" s="101">
        <f>ROUND(3.95/G95/2+1,0)</f>
        <v>9</v>
      </c>
      <c r="K95" s="109">
        <f>D95</f>
        <v>30.349999999999998</v>
      </c>
      <c r="L95" s="112">
        <f>IF(O95&lt;12,"0",0.049*H95)*3</f>
        <v>2.3520000000000003</v>
      </c>
      <c r="M95" s="111">
        <v>2</v>
      </c>
      <c r="N95" s="99">
        <f>M95*2*H95/1000</f>
        <v>6.4000000000000001E-2</v>
      </c>
      <c r="O95" s="112">
        <f>(D95+C95+F95)-N95</f>
        <v>31.285999999999998</v>
      </c>
      <c r="P95" s="112">
        <f>(I95*J95*O95)+L95</f>
        <v>283.92599999999993</v>
      </c>
      <c r="Q95" s="104" t="str">
        <f t="shared" si="0"/>
        <v/>
      </c>
      <c r="R95" s="104" t="str">
        <f t="shared" si="1"/>
        <v/>
      </c>
      <c r="S95" s="104" t="str">
        <f t="shared" si="2"/>
        <v/>
      </c>
      <c r="T95" s="104">
        <f t="shared" si="3"/>
        <v>283.92599999999993</v>
      </c>
      <c r="U95" s="104" t="str">
        <f t="shared" si="4"/>
        <v/>
      </c>
      <c r="V95" s="104" t="str">
        <f t="shared" si="5"/>
        <v/>
      </c>
      <c r="W95" s="105"/>
    </row>
    <row r="96" spans="1:23">
      <c r="A96" s="92"/>
      <c r="B96" s="113"/>
      <c r="C96" s="94"/>
      <c r="D96" s="95"/>
      <c r="E96" s="114"/>
      <c r="F96" s="96"/>
      <c r="G96" s="97"/>
      <c r="H96" s="98"/>
      <c r="I96" s="99"/>
      <c r="J96" s="99"/>
      <c r="K96" s="100"/>
      <c r="L96" s="99"/>
      <c r="M96" s="99"/>
      <c r="N96" s="99"/>
      <c r="O96" s="99"/>
      <c r="P96" s="101"/>
      <c r="Q96" s="104" t="str">
        <f t="shared" si="0"/>
        <v/>
      </c>
      <c r="R96" s="104" t="str">
        <f t="shared" si="1"/>
        <v/>
      </c>
      <c r="S96" s="104" t="str">
        <f t="shared" si="2"/>
        <v/>
      </c>
      <c r="T96" s="104" t="str">
        <f t="shared" si="3"/>
        <v/>
      </c>
      <c r="U96" s="104" t="str">
        <f t="shared" si="4"/>
        <v/>
      </c>
      <c r="V96" s="104" t="str">
        <f t="shared" si="5"/>
        <v/>
      </c>
      <c r="W96" s="105"/>
    </row>
    <row r="97" spans="1:23">
      <c r="A97" s="92">
        <v>5</v>
      </c>
      <c r="B97" s="106" t="s">
        <v>243</v>
      </c>
      <c r="C97" s="94"/>
      <c r="D97" s="95"/>
      <c r="E97" s="95"/>
      <c r="F97" s="96"/>
      <c r="G97" s="97"/>
      <c r="H97" s="98"/>
      <c r="I97" s="99"/>
      <c r="J97" s="99"/>
      <c r="K97" s="100"/>
      <c r="L97" s="99"/>
      <c r="M97" s="99"/>
      <c r="N97" s="99"/>
      <c r="O97" s="99"/>
      <c r="P97" s="101"/>
      <c r="Q97" s="104" t="str">
        <f t="shared" si="0"/>
        <v/>
      </c>
      <c r="R97" s="104" t="str">
        <f t="shared" si="1"/>
        <v/>
      </c>
      <c r="S97" s="104" t="str">
        <f t="shared" si="2"/>
        <v/>
      </c>
      <c r="T97" s="104" t="str">
        <f t="shared" si="3"/>
        <v/>
      </c>
      <c r="U97" s="104" t="str">
        <f t="shared" si="4"/>
        <v/>
      </c>
      <c r="V97" s="104" t="str">
        <f t="shared" si="5"/>
        <v/>
      </c>
      <c r="W97" s="105"/>
    </row>
    <row r="98" spans="1:23">
      <c r="A98" s="92"/>
      <c r="B98" t="s">
        <v>239</v>
      </c>
      <c r="C98" s="107">
        <v>0.5</v>
      </c>
      <c r="D98" s="786">
        <f>31.95-2*0.05-1.5</f>
        <v>30.349999999999998</v>
      </c>
      <c r="E98" s="799"/>
      <c r="F98" s="107">
        <v>0.5</v>
      </c>
      <c r="G98" s="108">
        <v>0.25</v>
      </c>
      <c r="H98" s="98">
        <v>16</v>
      </c>
      <c r="I98" s="99">
        <v>1</v>
      </c>
      <c r="J98" s="101">
        <f>ROUND(3.95/G98/2,0)</f>
        <v>8</v>
      </c>
      <c r="K98" s="109">
        <f>D98</f>
        <v>30.349999999999998</v>
      </c>
      <c r="L98" s="112">
        <f>IF(O98&lt;12,"0",0.049*H98)*2</f>
        <v>1.5680000000000001</v>
      </c>
      <c r="M98" s="111">
        <v>2</v>
      </c>
      <c r="N98" s="99">
        <f>M98*2*H98/1000</f>
        <v>6.4000000000000001E-2</v>
      </c>
      <c r="O98" s="112">
        <f>(D98+C98+F98)-N98</f>
        <v>31.285999999999998</v>
      </c>
      <c r="P98" s="112">
        <f>(I98*J98*O98)+L98</f>
        <v>251.85599999999999</v>
      </c>
      <c r="Q98" s="104" t="str">
        <f t="shared" si="0"/>
        <v/>
      </c>
      <c r="R98" s="104" t="str">
        <f t="shared" si="1"/>
        <v/>
      </c>
      <c r="S98" s="104" t="str">
        <f t="shared" si="2"/>
        <v/>
      </c>
      <c r="T98" s="104">
        <f t="shared" si="3"/>
        <v>251.85599999999999</v>
      </c>
      <c r="U98" s="104" t="str">
        <f t="shared" si="4"/>
        <v/>
      </c>
      <c r="V98" s="104" t="str">
        <f t="shared" si="5"/>
        <v/>
      </c>
      <c r="W98" s="105"/>
    </row>
    <row r="99" spans="1:23">
      <c r="A99" s="92"/>
      <c r="B99" s="113"/>
      <c r="C99" s="94"/>
      <c r="D99" s="95"/>
      <c r="E99" s="114"/>
      <c r="F99" s="96"/>
      <c r="G99" s="97"/>
      <c r="H99" s="98"/>
      <c r="I99" s="99"/>
      <c r="J99" s="99"/>
      <c r="K99" s="100"/>
      <c r="L99" s="99"/>
      <c r="M99" s="99"/>
      <c r="N99" s="99"/>
      <c r="O99" s="99"/>
      <c r="P99" s="101"/>
      <c r="Q99" s="104" t="str">
        <f t="shared" si="0"/>
        <v/>
      </c>
      <c r="R99" s="104" t="str">
        <f t="shared" si="1"/>
        <v/>
      </c>
      <c r="S99" s="104" t="str">
        <f t="shared" si="2"/>
        <v/>
      </c>
      <c r="T99" s="104" t="str">
        <f t="shared" si="3"/>
        <v/>
      </c>
      <c r="U99" s="104" t="str">
        <f t="shared" si="4"/>
        <v/>
      </c>
      <c r="V99" s="104" t="str">
        <f t="shared" si="5"/>
        <v/>
      </c>
      <c r="W99" s="105"/>
    </row>
    <row r="100" spans="1:23">
      <c r="A100" s="92">
        <v>6</v>
      </c>
      <c r="B100" s="106" t="s">
        <v>244</v>
      </c>
      <c r="C100" s="94"/>
      <c r="D100" s="95"/>
      <c r="E100" s="95"/>
      <c r="F100" s="96"/>
      <c r="G100" s="97"/>
      <c r="H100" s="98"/>
      <c r="I100" s="99"/>
      <c r="J100" s="99"/>
      <c r="K100" s="100"/>
      <c r="L100" s="99"/>
      <c r="M100" s="99"/>
      <c r="N100" s="99"/>
      <c r="O100" s="99"/>
      <c r="P100" s="101"/>
      <c r="Q100" s="104" t="str">
        <f t="shared" si="0"/>
        <v/>
      </c>
      <c r="R100" s="104" t="str">
        <f t="shared" si="1"/>
        <v/>
      </c>
      <c r="S100" s="104" t="str">
        <f t="shared" si="2"/>
        <v/>
      </c>
      <c r="T100" s="104" t="str">
        <f t="shared" si="3"/>
        <v/>
      </c>
      <c r="U100" s="104" t="str">
        <f t="shared" si="4"/>
        <v/>
      </c>
      <c r="V100" s="104" t="str">
        <f t="shared" si="5"/>
        <v/>
      </c>
      <c r="W100" s="105"/>
    </row>
    <row r="101" spans="1:23">
      <c r="A101" s="92"/>
      <c r="B101" t="s">
        <v>239</v>
      </c>
      <c r="C101" s="107">
        <v>0.5</v>
      </c>
      <c r="D101" s="786">
        <f>31.95-2*0.05-1.5-0.815</f>
        <v>29.534999999999997</v>
      </c>
      <c r="E101" s="799"/>
      <c r="F101" s="107">
        <v>0.5</v>
      </c>
      <c r="G101" s="108">
        <v>0.25</v>
      </c>
      <c r="H101" s="98">
        <v>16</v>
      </c>
      <c r="I101" s="99">
        <v>1</v>
      </c>
      <c r="J101" s="101">
        <f>ROUND(1.695/G101/2+1,0)</f>
        <v>4</v>
      </c>
      <c r="K101" s="109">
        <f>D101</f>
        <v>29.534999999999997</v>
      </c>
      <c r="L101" s="112">
        <f>IF(O101&lt;12,"0",0.049*H101)*3</f>
        <v>2.3520000000000003</v>
      </c>
      <c r="M101" s="111">
        <v>2</v>
      </c>
      <c r="N101" s="99">
        <f>M101*2*H101/1000</f>
        <v>6.4000000000000001E-2</v>
      </c>
      <c r="O101" s="112">
        <f>(D101+C101+F101)-N101</f>
        <v>30.470999999999997</v>
      </c>
      <c r="P101" s="112">
        <f>(I101*J101*O101)+L101</f>
        <v>124.23599999999999</v>
      </c>
      <c r="Q101" s="104" t="str">
        <f t="shared" si="0"/>
        <v/>
      </c>
      <c r="R101" s="104" t="str">
        <f t="shared" si="1"/>
        <v/>
      </c>
      <c r="S101" s="104" t="str">
        <f t="shared" si="2"/>
        <v/>
      </c>
      <c r="T101" s="104">
        <f t="shared" si="3"/>
        <v>124.23599999999999</v>
      </c>
      <c r="U101" s="104" t="str">
        <f t="shared" si="4"/>
        <v/>
      </c>
      <c r="V101" s="104" t="str">
        <f t="shared" si="5"/>
        <v/>
      </c>
      <c r="W101" s="105"/>
    </row>
    <row r="102" spans="1:23">
      <c r="A102" s="92"/>
      <c r="B102" s="113"/>
      <c r="C102" s="94"/>
      <c r="D102" s="95"/>
      <c r="E102" s="114"/>
      <c r="F102" s="96"/>
      <c r="G102" s="97"/>
      <c r="H102" s="98"/>
      <c r="I102" s="99"/>
      <c r="J102" s="99"/>
      <c r="K102" s="100"/>
      <c r="L102" s="99"/>
      <c r="M102" s="99"/>
      <c r="N102" s="99"/>
      <c r="O102" s="99"/>
      <c r="P102" s="101"/>
      <c r="Q102" s="104" t="str">
        <f t="shared" si="0"/>
        <v/>
      </c>
      <c r="R102" s="104" t="str">
        <f t="shared" si="1"/>
        <v/>
      </c>
      <c r="S102" s="104" t="str">
        <f t="shared" si="2"/>
        <v/>
      </c>
      <c r="T102" s="104" t="str">
        <f t="shared" si="3"/>
        <v/>
      </c>
      <c r="U102" s="104" t="str">
        <f t="shared" si="4"/>
        <v/>
      </c>
      <c r="V102" s="104" t="str">
        <f t="shared" si="5"/>
        <v/>
      </c>
      <c r="W102" s="105"/>
    </row>
    <row r="103" spans="1:23">
      <c r="A103" s="92">
        <v>6</v>
      </c>
      <c r="B103" s="106" t="s">
        <v>244</v>
      </c>
      <c r="C103" s="94"/>
      <c r="D103" s="95"/>
      <c r="E103" s="95"/>
      <c r="F103" s="96"/>
      <c r="G103" s="97"/>
      <c r="H103" s="98"/>
      <c r="I103" s="99"/>
      <c r="J103" s="99"/>
      <c r="K103" s="100"/>
      <c r="L103" s="99"/>
      <c r="M103" s="99"/>
      <c r="N103" s="99"/>
      <c r="O103" s="99"/>
      <c r="P103" s="101"/>
      <c r="Q103" s="104" t="str">
        <f t="shared" si="0"/>
        <v/>
      </c>
      <c r="R103" s="104" t="str">
        <f t="shared" si="1"/>
        <v/>
      </c>
      <c r="S103" s="104" t="str">
        <f t="shared" si="2"/>
        <v/>
      </c>
      <c r="T103" s="104" t="str">
        <f t="shared" si="3"/>
        <v/>
      </c>
      <c r="U103" s="104" t="str">
        <f t="shared" si="4"/>
        <v/>
      </c>
      <c r="V103" s="104" t="str">
        <f t="shared" si="5"/>
        <v/>
      </c>
      <c r="W103" s="105"/>
    </row>
    <row r="104" spans="1:23">
      <c r="A104" s="92"/>
      <c r="B104" t="s">
        <v>239</v>
      </c>
      <c r="C104" s="107">
        <v>0.5</v>
      </c>
      <c r="D104" s="786">
        <f>31.95-2*0.05-1.5-0.815</f>
        <v>29.534999999999997</v>
      </c>
      <c r="E104" s="799"/>
      <c r="F104" s="107">
        <v>0.5</v>
      </c>
      <c r="G104" s="108">
        <v>0.25</v>
      </c>
      <c r="H104" s="98">
        <v>16</v>
      </c>
      <c r="I104" s="99">
        <v>1</v>
      </c>
      <c r="J104" s="101">
        <f>ROUND(1.695/G104/2,0)</f>
        <v>3</v>
      </c>
      <c r="K104" s="109">
        <f>D104</f>
        <v>29.534999999999997</v>
      </c>
      <c r="L104" s="112">
        <f>IF(O104&lt;12,"0",0.049*H104)*2</f>
        <v>1.5680000000000001</v>
      </c>
      <c r="M104" s="111">
        <v>2</v>
      </c>
      <c r="N104" s="99">
        <f>M104*2*H104/1000</f>
        <v>6.4000000000000001E-2</v>
      </c>
      <c r="O104" s="112">
        <f>(D104+C104+F104)-N104</f>
        <v>30.470999999999997</v>
      </c>
      <c r="P104" s="112">
        <f>(I104*J104*O104)+L104</f>
        <v>92.98099999999998</v>
      </c>
      <c r="Q104" s="104" t="str">
        <f t="shared" si="0"/>
        <v/>
      </c>
      <c r="R104" s="104" t="str">
        <f t="shared" si="1"/>
        <v/>
      </c>
      <c r="S104" s="104" t="str">
        <f t="shared" si="2"/>
        <v/>
      </c>
      <c r="T104" s="104">
        <f t="shared" si="3"/>
        <v>92.98099999999998</v>
      </c>
      <c r="U104" s="104" t="str">
        <f t="shared" si="4"/>
        <v/>
      </c>
      <c r="V104" s="104" t="str">
        <f t="shared" si="5"/>
        <v/>
      </c>
      <c r="W104" s="105"/>
    </row>
    <row r="105" spans="1:23">
      <c r="A105" s="92"/>
      <c r="B105" s="113"/>
      <c r="C105" s="94"/>
      <c r="D105" s="95"/>
      <c r="E105" s="114"/>
      <c r="F105" s="96"/>
      <c r="G105" s="97"/>
      <c r="H105" s="98"/>
      <c r="I105" s="99"/>
      <c r="J105" s="99"/>
      <c r="K105" s="100"/>
      <c r="L105" s="99"/>
      <c r="M105" s="99"/>
      <c r="N105" s="99"/>
      <c r="O105" s="99"/>
      <c r="P105" s="101"/>
      <c r="Q105" s="104" t="str">
        <f t="shared" si="0"/>
        <v/>
      </c>
      <c r="R105" s="104" t="str">
        <f t="shared" si="1"/>
        <v/>
      </c>
      <c r="S105" s="104" t="str">
        <f t="shared" si="2"/>
        <v/>
      </c>
      <c r="T105" s="104" t="str">
        <f t="shared" si="3"/>
        <v/>
      </c>
      <c r="U105" s="104" t="str">
        <f t="shared" si="4"/>
        <v/>
      </c>
      <c r="V105" s="104" t="str">
        <f t="shared" si="5"/>
        <v/>
      </c>
      <c r="W105" s="105"/>
    </row>
    <row r="106" spans="1:23">
      <c r="A106" s="92">
        <v>7</v>
      </c>
      <c r="B106" s="106" t="s">
        <v>245</v>
      </c>
      <c r="C106" s="94"/>
      <c r="D106" s="95"/>
      <c r="E106" s="95"/>
      <c r="F106" s="96"/>
      <c r="G106" s="97"/>
      <c r="H106" s="98"/>
      <c r="I106" s="99"/>
      <c r="J106" s="99"/>
      <c r="K106" s="100"/>
      <c r="L106" s="99"/>
      <c r="M106" s="99"/>
      <c r="N106" s="99"/>
      <c r="O106" s="99"/>
      <c r="P106" s="101"/>
      <c r="Q106" s="104" t="str">
        <f t="shared" si="0"/>
        <v/>
      </c>
      <c r="R106" s="104" t="str">
        <f t="shared" si="1"/>
        <v/>
      </c>
      <c r="S106" s="104" t="str">
        <f t="shared" si="2"/>
        <v/>
      </c>
      <c r="T106" s="104" t="str">
        <f t="shared" si="3"/>
        <v/>
      </c>
      <c r="U106" s="104" t="str">
        <f t="shared" si="4"/>
        <v/>
      </c>
      <c r="V106" s="104" t="str">
        <f t="shared" si="5"/>
        <v/>
      </c>
      <c r="W106" s="105"/>
    </row>
    <row r="107" spans="1:23">
      <c r="A107" s="92"/>
      <c r="B107" t="s">
        <v>239</v>
      </c>
      <c r="C107" s="107">
        <v>0.5</v>
      </c>
      <c r="D107" s="786">
        <f>15.8-2*0.05</f>
        <v>15.700000000000001</v>
      </c>
      <c r="E107" s="799"/>
      <c r="F107" s="107">
        <v>0.5</v>
      </c>
      <c r="G107" s="108">
        <v>0.25</v>
      </c>
      <c r="H107" s="98">
        <v>16</v>
      </c>
      <c r="I107" s="99">
        <v>1</v>
      </c>
      <c r="J107" s="101">
        <f>ROUND(11.285/G107+1,0)</f>
        <v>46</v>
      </c>
      <c r="K107" s="109">
        <f>D107</f>
        <v>15.700000000000001</v>
      </c>
      <c r="L107" s="112">
        <f>IF(O107&lt;12,"0",0.049*H107)</f>
        <v>0.78400000000000003</v>
      </c>
      <c r="M107" s="111">
        <v>2</v>
      </c>
      <c r="N107" s="99">
        <f>M107*2*H107/1000</f>
        <v>6.4000000000000001E-2</v>
      </c>
      <c r="O107" s="112">
        <f>(D107+C107+F107)-N107</f>
        <v>16.636000000000003</v>
      </c>
      <c r="P107" s="112">
        <f>(I107*J107*O107)+L107</f>
        <v>766.04000000000008</v>
      </c>
      <c r="Q107" s="104" t="str">
        <f t="shared" si="0"/>
        <v/>
      </c>
      <c r="R107" s="104" t="str">
        <f t="shared" si="1"/>
        <v/>
      </c>
      <c r="S107" s="104" t="str">
        <f t="shared" si="2"/>
        <v/>
      </c>
      <c r="T107" s="104">
        <f t="shared" si="3"/>
        <v>766.04000000000008</v>
      </c>
      <c r="U107" s="104" t="str">
        <f t="shared" si="4"/>
        <v/>
      </c>
      <c r="V107" s="104" t="str">
        <f t="shared" si="5"/>
        <v/>
      </c>
      <c r="W107" s="105"/>
    </row>
    <row r="108" spans="1:23">
      <c r="A108" s="92"/>
      <c r="B108" s="113"/>
      <c r="C108" s="94"/>
      <c r="D108" s="95"/>
      <c r="E108" s="114"/>
      <c r="F108" s="96"/>
      <c r="G108" s="97"/>
      <c r="H108" s="98"/>
      <c r="I108" s="99"/>
      <c r="J108" s="99"/>
      <c r="K108" s="100"/>
      <c r="L108" s="99"/>
      <c r="M108" s="99"/>
      <c r="N108" s="99"/>
      <c r="O108" s="99"/>
      <c r="P108" s="101"/>
      <c r="Q108" s="104" t="str">
        <f t="shared" si="0"/>
        <v/>
      </c>
      <c r="R108" s="104" t="str">
        <f t="shared" si="1"/>
        <v/>
      </c>
      <c r="S108" s="104" t="str">
        <f t="shared" si="2"/>
        <v/>
      </c>
      <c r="T108" s="104" t="str">
        <f t="shared" si="3"/>
        <v/>
      </c>
      <c r="U108" s="104" t="str">
        <f t="shared" si="4"/>
        <v/>
      </c>
      <c r="V108" s="104" t="str">
        <f t="shared" si="5"/>
        <v/>
      </c>
      <c r="W108" s="105"/>
    </row>
    <row r="109" spans="1:23">
      <c r="A109" s="92"/>
      <c r="B109" s="113"/>
      <c r="C109" s="94"/>
      <c r="D109" s="95"/>
      <c r="E109" s="114"/>
      <c r="F109" s="96"/>
      <c r="G109" s="97"/>
      <c r="H109" s="98"/>
      <c r="I109" s="99"/>
      <c r="J109" s="99"/>
      <c r="K109" s="100"/>
      <c r="L109" s="99"/>
      <c r="M109" s="99"/>
      <c r="N109" s="99"/>
      <c r="O109" s="99"/>
      <c r="P109" s="101"/>
      <c r="Q109" s="104" t="str">
        <f t="shared" ref="Q109:Q172" si="6">IF($H109=8,$P109,"")</f>
        <v/>
      </c>
      <c r="R109" s="104" t="str">
        <f t="shared" ref="R109:R172" si="7">IF($H109=10,$P109,"")</f>
        <v/>
      </c>
      <c r="S109" s="104" t="str">
        <f t="shared" ref="S109:S172" si="8">IF($H109=12,$P109,"")</f>
        <v/>
      </c>
      <c r="T109" s="104" t="str">
        <f t="shared" ref="T109:T172" si="9">IF($H109=16,$P109,"")</f>
        <v/>
      </c>
      <c r="U109" s="104" t="str">
        <f t="shared" ref="U109:U172" si="10">IF($H109=20,$P109,"")</f>
        <v/>
      </c>
      <c r="V109" s="104" t="str">
        <f t="shared" ref="V109:V172" si="11">IF($H109=25,$P109,"")</f>
        <v/>
      </c>
      <c r="W109" s="105"/>
    </row>
    <row r="110" spans="1:23">
      <c r="A110" s="92"/>
      <c r="B110" s="103" t="s">
        <v>255</v>
      </c>
      <c r="C110" s="94"/>
      <c r="D110" s="95"/>
      <c r="E110" s="95"/>
      <c r="F110" s="96"/>
      <c r="G110" s="97"/>
      <c r="H110" s="98"/>
      <c r="I110" s="99"/>
      <c r="J110" s="99"/>
      <c r="K110" s="100"/>
      <c r="L110" s="99"/>
      <c r="M110" s="99"/>
      <c r="N110" s="99"/>
      <c r="O110" s="99"/>
      <c r="P110" s="101"/>
      <c r="Q110" s="104" t="str">
        <f t="shared" si="6"/>
        <v/>
      </c>
      <c r="R110" s="104" t="str">
        <f t="shared" si="7"/>
        <v/>
      </c>
      <c r="S110" s="104" t="str">
        <f t="shared" si="8"/>
        <v/>
      </c>
      <c r="T110" s="104" t="str">
        <f t="shared" si="9"/>
        <v/>
      </c>
      <c r="U110" s="104" t="str">
        <f t="shared" si="10"/>
        <v/>
      </c>
      <c r="V110" s="104" t="str">
        <f t="shared" si="11"/>
        <v/>
      </c>
      <c r="W110" s="105"/>
    </row>
    <row r="111" spans="1:23">
      <c r="A111" s="92">
        <v>1</v>
      </c>
      <c r="B111" s="115" t="s">
        <v>207</v>
      </c>
      <c r="C111" s="94"/>
      <c r="D111" s="95"/>
      <c r="E111" s="95"/>
      <c r="F111" s="96"/>
      <c r="G111" s="97"/>
      <c r="H111" s="98"/>
      <c r="I111" s="99"/>
      <c r="J111" s="99"/>
      <c r="K111" s="100"/>
      <c r="L111" s="99"/>
      <c r="M111" s="99"/>
      <c r="N111" s="99"/>
      <c r="O111" s="99"/>
      <c r="P111" s="101"/>
      <c r="Q111" s="104" t="str">
        <f t="shared" si="6"/>
        <v/>
      </c>
      <c r="R111" s="104" t="str">
        <f t="shared" si="7"/>
        <v/>
      </c>
      <c r="S111" s="104" t="str">
        <f t="shared" si="8"/>
        <v/>
      </c>
      <c r="T111" s="104" t="str">
        <f t="shared" si="9"/>
        <v/>
      </c>
      <c r="U111" s="104" t="str">
        <f t="shared" si="10"/>
        <v/>
      </c>
      <c r="V111" s="104" t="str">
        <f t="shared" si="11"/>
        <v/>
      </c>
      <c r="W111" s="105"/>
    </row>
    <row r="112" spans="1:23">
      <c r="A112" s="92"/>
      <c r="B112" s="116" t="s">
        <v>247</v>
      </c>
      <c r="C112" s="107">
        <v>0.5</v>
      </c>
      <c r="D112" s="786">
        <f>8.875-2*0.05</f>
        <v>8.7750000000000004</v>
      </c>
      <c r="E112" s="799"/>
      <c r="F112" s="107">
        <v>0.5</v>
      </c>
      <c r="G112" s="108">
        <v>0.25</v>
      </c>
      <c r="H112" s="98">
        <v>16</v>
      </c>
      <c r="I112" s="99">
        <v>1</v>
      </c>
      <c r="J112" s="101">
        <f>ROUND(1.5/G112+1,0)</f>
        <v>7</v>
      </c>
      <c r="K112" s="109">
        <f>D112</f>
        <v>8.7750000000000004</v>
      </c>
      <c r="L112" s="110" t="str">
        <f>IF(O112&lt;12,"0",0.049*H112)</f>
        <v>0</v>
      </c>
      <c r="M112" s="111">
        <v>2</v>
      </c>
      <c r="N112" s="99">
        <f>M112*2*H112/1000</f>
        <v>6.4000000000000001E-2</v>
      </c>
      <c r="O112" s="112">
        <f>(D112+C112+F112)-N112</f>
        <v>9.7110000000000003</v>
      </c>
      <c r="P112" s="112">
        <f>(I112*J112*O112)+L112</f>
        <v>67.977000000000004</v>
      </c>
      <c r="Q112" s="104" t="str">
        <f t="shared" si="6"/>
        <v/>
      </c>
      <c r="R112" s="104" t="str">
        <f t="shared" si="7"/>
        <v/>
      </c>
      <c r="S112" s="104" t="str">
        <f t="shared" si="8"/>
        <v/>
      </c>
      <c r="T112" s="104">
        <f t="shared" si="9"/>
        <v>67.977000000000004</v>
      </c>
      <c r="U112" s="104" t="str">
        <f t="shared" si="10"/>
        <v/>
      </c>
      <c r="V112" s="104" t="str">
        <f t="shared" si="11"/>
        <v/>
      </c>
      <c r="W112" s="105"/>
    </row>
    <row r="113" spans="1:23">
      <c r="A113" s="92"/>
      <c r="B113" s="115"/>
      <c r="C113" s="94"/>
      <c r="D113" s="95"/>
      <c r="E113" s="95"/>
      <c r="F113" s="96"/>
      <c r="G113" s="97"/>
      <c r="H113" s="98"/>
      <c r="I113" s="99"/>
      <c r="J113" s="99"/>
      <c r="K113" s="100"/>
      <c r="L113" s="99"/>
      <c r="M113" s="99"/>
      <c r="N113" s="99"/>
      <c r="O113" s="99"/>
      <c r="P113" s="101"/>
      <c r="Q113" s="104" t="str">
        <f t="shared" si="6"/>
        <v/>
      </c>
      <c r="R113" s="104" t="str">
        <f t="shared" si="7"/>
        <v/>
      </c>
      <c r="S113" s="104" t="str">
        <f t="shared" si="8"/>
        <v/>
      </c>
      <c r="T113" s="104" t="str">
        <f t="shared" si="9"/>
        <v/>
      </c>
      <c r="U113" s="104" t="str">
        <f t="shared" si="10"/>
        <v/>
      </c>
      <c r="V113" s="104" t="str">
        <f t="shared" si="11"/>
        <v/>
      </c>
      <c r="W113" s="105"/>
    </row>
    <row r="114" spans="1:23">
      <c r="A114" s="92">
        <v>2</v>
      </c>
      <c r="B114" s="115" t="s">
        <v>248</v>
      </c>
      <c r="C114" s="94"/>
      <c r="D114" s="95"/>
      <c r="E114" s="95"/>
      <c r="F114" s="96"/>
      <c r="G114" s="97"/>
      <c r="H114" s="98"/>
      <c r="I114" s="99"/>
      <c r="J114" s="99"/>
      <c r="K114" s="100"/>
      <c r="L114" s="99"/>
      <c r="M114" s="99"/>
      <c r="N114" s="99"/>
      <c r="O114" s="99"/>
      <c r="P114" s="101"/>
      <c r="Q114" s="104" t="str">
        <f t="shared" si="6"/>
        <v/>
      </c>
      <c r="R114" s="104" t="str">
        <f t="shared" si="7"/>
        <v/>
      </c>
      <c r="S114" s="104" t="str">
        <f t="shared" si="8"/>
        <v/>
      </c>
      <c r="T114" s="104" t="str">
        <f t="shared" si="9"/>
        <v/>
      </c>
      <c r="U114" s="104" t="str">
        <f t="shared" si="10"/>
        <v/>
      </c>
      <c r="V114" s="104" t="str">
        <f t="shared" si="11"/>
        <v/>
      </c>
      <c r="W114" s="105"/>
    </row>
    <row r="115" spans="1:23">
      <c r="A115" s="92"/>
      <c r="B115" s="116" t="s">
        <v>247</v>
      </c>
      <c r="C115" s="107">
        <v>0.5</v>
      </c>
      <c r="D115" s="786">
        <f>12.825-2*0.05</f>
        <v>12.725</v>
      </c>
      <c r="E115" s="799"/>
      <c r="F115" s="107">
        <v>0.5</v>
      </c>
      <c r="G115" s="108">
        <v>0.25</v>
      </c>
      <c r="H115" s="98">
        <v>16</v>
      </c>
      <c r="I115" s="99">
        <v>1</v>
      </c>
      <c r="J115" s="101">
        <f>ROUND(0.815/G115+1,0)</f>
        <v>4</v>
      </c>
      <c r="K115" s="109">
        <f>D115</f>
        <v>12.725</v>
      </c>
      <c r="L115" s="110">
        <f>IF(O115&lt;12,"0",0.049*H115)</f>
        <v>0.78400000000000003</v>
      </c>
      <c r="M115" s="111">
        <v>2</v>
      </c>
      <c r="N115" s="99">
        <f>M115*2*H115/1000</f>
        <v>6.4000000000000001E-2</v>
      </c>
      <c r="O115" s="112">
        <f>(D115+C115+F115)-N115</f>
        <v>13.661</v>
      </c>
      <c r="P115" s="112">
        <f>(I115*J115*O115)+L115</f>
        <v>55.427999999999997</v>
      </c>
      <c r="Q115" s="104" t="str">
        <f t="shared" si="6"/>
        <v/>
      </c>
      <c r="R115" s="104" t="str">
        <f t="shared" si="7"/>
        <v/>
      </c>
      <c r="S115" s="104" t="str">
        <f t="shared" si="8"/>
        <v/>
      </c>
      <c r="T115" s="104">
        <f t="shared" si="9"/>
        <v>55.427999999999997</v>
      </c>
      <c r="U115" s="104" t="str">
        <f t="shared" si="10"/>
        <v/>
      </c>
      <c r="V115" s="104" t="str">
        <f t="shared" si="11"/>
        <v/>
      </c>
      <c r="W115" s="105"/>
    </row>
    <row r="116" spans="1:23">
      <c r="A116" s="92"/>
      <c r="B116" s="116"/>
      <c r="C116" s="107"/>
      <c r="D116" s="117"/>
      <c r="E116" s="117"/>
      <c r="F116" s="118"/>
      <c r="G116" s="108"/>
      <c r="H116" s="98"/>
      <c r="I116" s="99"/>
      <c r="J116" s="101"/>
      <c r="K116" s="109"/>
      <c r="L116" s="110"/>
      <c r="M116" s="111"/>
      <c r="N116" s="99"/>
      <c r="O116" s="112"/>
      <c r="P116" s="112"/>
      <c r="Q116" s="104" t="str">
        <f t="shared" si="6"/>
        <v/>
      </c>
      <c r="R116" s="104" t="str">
        <f t="shared" si="7"/>
        <v/>
      </c>
      <c r="S116" s="104" t="str">
        <f t="shared" si="8"/>
        <v/>
      </c>
      <c r="T116" s="104" t="str">
        <f t="shared" si="9"/>
        <v/>
      </c>
      <c r="U116" s="104" t="str">
        <f t="shared" si="10"/>
        <v/>
      </c>
      <c r="V116" s="104" t="str">
        <f t="shared" si="11"/>
        <v/>
      </c>
      <c r="W116" s="105"/>
    </row>
    <row r="117" spans="1:23">
      <c r="A117" s="92">
        <v>3</v>
      </c>
      <c r="B117" s="115" t="s">
        <v>249</v>
      </c>
      <c r="C117" s="94"/>
      <c r="D117" s="95"/>
      <c r="E117" s="95"/>
      <c r="F117" s="96"/>
      <c r="G117" s="97"/>
      <c r="H117" s="98"/>
      <c r="I117" s="99"/>
      <c r="J117" s="99"/>
      <c r="K117" s="100"/>
      <c r="L117" s="99"/>
      <c r="M117" s="99"/>
      <c r="N117" s="99"/>
      <c r="O117" s="99"/>
      <c r="P117" s="101"/>
      <c r="Q117" s="104" t="str">
        <f t="shared" si="6"/>
        <v/>
      </c>
      <c r="R117" s="104" t="str">
        <f t="shared" si="7"/>
        <v/>
      </c>
      <c r="S117" s="104" t="str">
        <f t="shared" si="8"/>
        <v/>
      </c>
      <c r="T117" s="104" t="str">
        <f t="shared" si="9"/>
        <v/>
      </c>
      <c r="U117" s="104" t="str">
        <f t="shared" si="10"/>
        <v/>
      </c>
      <c r="V117" s="104" t="str">
        <f t="shared" si="11"/>
        <v/>
      </c>
      <c r="W117" s="105"/>
    </row>
    <row r="118" spans="1:23">
      <c r="A118" s="92"/>
      <c r="B118" s="116" t="s">
        <v>247</v>
      </c>
      <c r="C118" s="107">
        <v>0.5</v>
      </c>
      <c r="D118" s="786">
        <f>14.52-2*0.05</f>
        <v>14.42</v>
      </c>
      <c r="E118" s="799"/>
      <c r="F118" s="107">
        <v>0.5</v>
      </c>
      <c r="G118" s="108">
        <v>0.25</v>
      </c>
      <c r="H118" s="98">
        <v>16</v>
      </c>
      <c r="I118" s="99">
        <v>1</v>
      </c>
      <c r="J118" s="101">
        <f>ROUND(1.405/G118+1,0)</f>
        <v>7</v>
      </c>
      <c r="K118" s="109">
        <f>D118</f>
        <v>14.42</v>
      </c>
      <c r="L118" s="110">
        <f>IF(O118&lt;12,"0",0.049*H118)</f>
        <v>0.78400000000000003</v>
      </c>
      <c r="M118" s="111">
        <v>2</v>
      </c>
      <c r="N118" s="99">
        <f>M118*2*H118/1000</f>
        <v>6.4000000000000001E-2</v>
      </c>
      <c r="O118" s="112">
        <f>(D118+C118+F118)-N118</f>
        <v>15.356</v>
      </c>
      <c r="P118" s="112">
        <f>(I118*J118*O118)+L118</f>
        <v>108.27600000000001</v>
      </c>
      <c r="Q118" s="104" t="str">
        <f t="shared" si="6"/>
        <v/>
      </c>
      <c r="R118" s="104" t="str">
        <f t="shared" si="7"/>
        <v/>
      </c>
      <c r="S118" s="104" t="str">
        <f t="shared" si="8"/>
        <v/>
      </c>
      <c r="T118" s="104">
        <f t="shared" si="9"/>
        <v>108.27600000000001</v>
      </c>
      <c r="U118" s="104" t="str">
        <f t="shared" si="10"/>
        <v/>
      </c>
      <c r="V118" s="104" t="str">
        <f t="shared" si="11"/>
        <v/>
      </c>
      <c r="W118" s="105"/>
    </row>
    <row r="119" spans="1:23">
      <c r="A119" s="92"/>
      <c r="B119" s="115"/>
      <c r="C119" s="94"/>
      <c r="D119" s="95"/>
      <c r="E119" s="95"/>
      <c r="F119" s="96"/>
      <c r="G119" s="97"/>
      <c r="H119" s="98"/>
      <c r="I119" s="99"/>
      <c r="J119" s="99"/>
      <c r="K119" s="100"/>
      <c r="L119" s="99"/>
      <c r="M119" s="99"/>
      <c r="N119" s="99"/>
      <c r="O119" s="99"/>
      <c r="P119" s="101"/>
      <c r="Q119" s="104" t="str">
        <f t="shared" si="6"/>
        <v/>
      </c>
      <c r="R119" s="104" t="str">
        <f t="shared" si="7"/>
        <v/>
      </c>
      <c r="S119" s="104" t="str">
        <f t="shared" si="8"/>
        <v/>
      </c>
      <c r="T119" s="104" t="str">
        <f t="shared" si="9"/>
        <v/>
      </c>
      <c r="U119" s="104" t="str">
        <f t="shared" si="10"/>
        <v/>
      </c>
      <c r="V119" s="104" t="str">
        <f t="shared" si="11"/>
        <v/>
      </c>
      <c r="W119" s="105"/>
    </row>
    <row r="120" spans="1:23">
      <c r="A120" s="92">
        <v>4</v>
      </c>
      <c r="B120" s="115" t="s">
        <v>250</v>
      </c>
      <c r="C120" s="94"/>
      <c r="D120" s="95"/>
      <c r="E120" s="95"/>
      <c r="F120" s="96"/>
      <c r="G120" s="97"/>
      <c r="H120" s="98"/>
      <c r="I120" s="99"/>
      <c r="J120" s="99"/>
      <c r="K120" s="100"/>
      <c r="L120" s="99"/>
      <c r="M120" s="99"/>
      <c r="N120" s="99"/>
      <c r="O120" s="99"/>
      <c r="P120" s="101"/>
      <c r="Q120" s="104" t="str">
        <f t="shared" si="6"/>
        <v/>
      </c>
      <c r="R120" s="104" t="str">
        <f t="shared" si="7"/>
        <v/>
      </c>
      <c r="S120" s="104" t="str">
        <f t="shared" si="8"/>
        <v/>
      </c>
      <c r="T120" s="104" t="str">
        <f t="shared" si="9"/>
        <v/>
      </c>
      <c r="U120" s="104" t="str">
        <f t="shared" si="10"/>
        <v/>
      </c>
      <c r="V120" s="104" t="str">
        <f t="shared" si="11"/>
        <v/>
      </c>
      <c r="W120" s="105"/>
    </row>
    <row r="121" spans="1:23">
      <c r="A121" s="92"/>
      <c r="B121" s="116" t="s">
        <v>247</v>
      </c>
      <c r="C121" s="107"/>
      <c r="D121" s="786">
        <f>25.805-1*0.05</f>
        <v>25.754999999999999</v>
      </c>
      <c r="E121" s="786"/>
      <c r="F121" s="118">
        <v>0.5</v>
      </c>
      <c r="G121" s="108">
        <v>0.25</v>
      </c>
      <c r="H121" s="98">
        <v>16</v>
      </c>
      <c r="I121" s="99">
        <v>1</v>
      </c>
      <c r="J121" s="101">
        <f>ROUND(6.565/G121+1,0)</f>
        <v>27</v>
      </c>
      <c r="K121" s="109">
        <f>D121</f>
        <v>25.754999999999999</v>
      </c>
      <c r="L121" s="110">
        <f>IF(O121&lt;12,"0",0.049*H121)*2</f>
        <v>1.5680000000000001</v>
      </c>
      <c r="M121" s="111">
        <v>1</v>
      </c>
      <c r="N121" s="99">
        <f>M121*1*H121/1000</f>
        <v>1.6E-2</v>
      </c>
      <c r="O121" s="112">
        <f>(D121+C121+F121)-N121</f>
        <v>26.239000000000001</v>
      </c>
      <c r="P121" s="112">
        <f>(I121*J121*O121)+L121</f>
        <v>710.02099999999996</v>
      </c>
      <c r="Q121" s="104" t="str">
        <f t="shared" si="6"/>
        <v/>
      </c>
      <c r="R121" s="104" t="str">
        <f t="shared" si="7"/>
        <v/>
      </c>
      <c r="S121" s="104" t="str">
        <f t="shared" si="8"/>
        <v/>
      </c>
      <c r="T121" s="104">
        <f t="shared" si="9"/>
        <v>710.02099999999996</v>
      </c>
      <c r="U121" s="104" t="str">
        <f t="shared" si="10"/>
        <v/>
      </c>
      <c r="V121" s="104" t="str">
        <f t="shared" si="11"/>
        <v/>
      </c>
      <c r="W121" s="105"/>
    </row>
    <row r="122" spans="1:23">
      <c r="A122" s="92"/>
      <c r="B122" s="115"/>
      <c r="C122" s="94"/>
      <c r="D122" s="95"/>
      <c r="E122" s="95"/>
      <c r="F122" s="96"/>
      <c r="G122" s="97"/>
      <c r="H122" s="98"/>
      <c r="I122" s="99"/>
      <c r="J122" s="99"/>
      <c r="K122" s="100"/>
      <c r="L122" s="99"/>
      <c r="M122" s="99"/>
      <c r="N122" s="99"/>
      <c r="O122" s="99"/>
      <c r="P122" s="101"/>
      <c r="Q122" s="104" t="str">
        <f t="shared" si="6"/>
        <v/>
      </c>
      <c r="R122" s="104" t="str">
        <f t="shared" si="7"/>
        <v/>
      </c>
      <c r="S122" s="104" t="str">
        <f t="shared" si="8"/>
        <v/>
      </c>
      <c r="T122" s="104" t="str">
        <f t="shared" si="9"/>
        <v/>
      </c>
      <c r="U122" s="104" t="str">
        <f t="shared" si="10"/>
        <v/>
      </c>
      <c r="V122" s="104" t="str">
        <f t="shared" si="11"/>
        <v/>
      </c>
      <c r="W122" s="105"/>
    </row>
    <row r="123" spans="1:23">
      <c r="A123" s="92">
        <v>5</v>
      </c>
      <c r="B123" s="115" t="s">
        <v>251</v>
      </c>
      <c r="C123" s="94"/>
      <c r="D123" s="95"/>
      <c r="E123" s="95"/>
      <c r="F123" s="96"/>
      <c r="G123" s="97"/>
      <c r="H123" s="98"/>
      <c r="I123" s="99"/>
      <c r="J123" s="99"/>
      <c r="K123" s="100"/>
      <c r="L123" s="99"/>
      <c r="M123" s="99"/>
      <c r="N123" s="99"/>
      <c r="O123" s="99"/>
      <c r="P123" s="101"/>
      <c r="Q123" s="104" t="str">
        <f t="shared" si="6"/>
        <v/>
      </c>
      <c r="R123" s="104" t="str">
        <f t="shared" si="7"/>
        <v/>
      </c>
      <c r="S123" s="104" t="str">
        <f t="shared" si="8"/>
        <v/>
      </c>
      <c r="T123" s="104" t="str">
        <f t="shared" si="9"/>
        <v/>
      </c>
      <c r="U123" s="104" t="str">
        <f t="shared" si="10"/>
        <v/>
      </c>
      <c r="V123" s="104" t="str">
        <f t="shared" si="11"/>
        <v/>
      </c>
      <c r="W123" s="105"/>
    </row>
    <row r="124" spans="1:23">
      <c r="A124" s="92"/>
      <c r="B124" s="116" t="s">
        <v>247</v>
      </c>
      <c r="C124" s="107"/>
      <c r="D124" s="786">
        <f>36.89-1*0.05</f>
        <v>36.840000000000003</v>
      </c>
      <c r="E124" s="786"/>
      <c r="F124" s="118">
        <v>0.5</v>
      </c>
      <c r="G124" s="108">
        <v>0.25</v>
      </c>
      <c r="H124" s="98">
        <v>16</v>
      </c>
      <c r="I124" s="99">
        <v>1</v>
      </c>
      <c r="J124" s="101">
        <f>ROUND(9.235/G124+1,0)-8</f>
        <v>30</v>
      </c>
      <c r="K124" s="109">
        <f>D124</f>
        <v>36.840000000000003</v>
      </c>
      <c r="L124" s="110">
        <f>IF(O124&lt;12,"0",0.049*H124)*3</f>
        <v>2.3520000000000003</v>
      </c>
      <c r="M124" s="111">
        <v>1</v>
      </c>
      <c r="N124" s="99">
        <f>M124*1*H124/1000</f>
        <v>1.6E-2</v>
      </c>
      <c r="O124" s="112">
        <f>(D124+C124+F124)-N124</f>
        <v>37.324000000000005</v>
      </c>
      <c r="P124" s="112">
        <f>(I124*J124*O124)+L124</f>
        <v>1122.0720000000003</v>
      </c>
      <c r="Q124" s="104" t="str">
        <f t="shared" si="6"/>
        <v/>
      </c>
      <c r="R124" s="104" t="str">
        <f t="shared" si="7"/>
        <v/>
      </c>
      <c r="S124" s="104" t="str">
        <f t="shared" si="8"/>
        <v/>
      </c>
      <c r="T124" s="104">
        <f t="shared" si="9"/>
        <v>1122.0720000000003</v>
      </c>
      <c r="U124" s="104" t="str">
        <f t="shared" si="10"/>
        <v/>
      </c>
      <c r="V124" s="104" t="str">
        <f t="shared" si="11"/>
        <v/>
      </c>
      <c r="W124" s="105"/>
    </row>
    <row r="125" spans="1:23">
      <c r="A125" s="92"/>
      <c r="B125" s="115"/>
      <c r="C125" s="94"/>
      <c r="D125" s="95"/>
      <c r="E125" s="95"/>
      <c r="F125" s="96"/>
      <c r="G125" s="97"/>
      <c r="H125" s="98"/>
      <c r="I125" s="99"/>
      <c r="J125" s="99"/>
      <c r="K125" s="100"/>
      <c r="L125" s="99"/>
      <c r="M125" s="99"/>
      <c r="N125" s="99"/>
      <c r="O125" s="99"/>
      <c r="P125" s="101"/>
      <c r="Q125" s="104" t="str">
        <f t="shared" si="6"/>
        <v/>
      </c>
      <c r="R125" s="104" t="str">
        <f t="shared" si="7"/>
        <v/>
      </c>
      <c r="S125" s="104" t="str">
        <f t="shared" si="8"/>
        <v/>
      </c>
      <c r="T125" s="104" t="str">
        <f t="shared" si="9"/>
        <v/>
      </c>
      <c r="U125" s="104" t="str">
        <f t="shared" si="10"/>
        <v/>
      </c>
      <c r="V125" s="104" t="str">
        <f t="shared" si="11"/>
        <v/>
      </c>
      <c r="W125" s="105"/>
    </row>
    <row r="126" spans="1:23">
      <c r="A126" s="92">
        <v>6</v>
      </c>
      <c r="B126" s="115" t="s">
        <v>252</v>
      </c>
      <c r="C126" s="94"/>
      <c r="D126" s="95"/>
      <c r="E126" s="95"/>
      <c r="F126" s="96"/>
      <c r="G126" s="97"/>
      <c r="H126" s="98"/>
      <c r="I126" s="99"/>
      <c r="J126" s="99"/>
      <c r="K126" s="100"/>
      <c r="L126" s="99"/>
      <c r="M126" s="99"/>
      <c r="N126" s="99"/>
      <c r="O126" s="99"/>
      <c r="P126" s="101"/>
      <c r="Q126" s="104" t="str">
        <f t="shared" si="6"/>
        <v/>
      </c>
      <c r="R126" s="104" t="str">
        <f t="shared" si="7"/>
        <v/>
      </c>
      <c r="S126" s="104" t="str">
        <f t="shared" si="8"/>
        <v/>
      </c>
      <c r="T126" s="104" t="str">
        <f t="shared" si="9"/>
        <v/>
      </c>
      <c r="U126" s="104" t="str">
        <f t="shared" si="10"/>
        <v/>
      </c>
      <c r="V126" s="104" t="str">
        <f t="shared" si="11"/>
        <v/>
      </c>
      <c r="W126" s="105"/>
    </row>
    <row r="127" spans="1:23">
      <c r="A127" s="92"/>
      <c r="B127" s="116" t="s">
        <v>247</v>
      </c>
      <c r="C127" s="107">
        <v>0.5</v>
      </c>
      <c r="D127" s="786">
        <f>25.89-2*0.05</f>
        <v>25.79</v>
      </c>
      <c r="E127" s="799"/>
      <c r="F127" s="107">
        <v>0.5</v>
      </c>
      <c r="G127" s="108">
        <v>0.25</v>
      </c>
      <c r="H127" s="98">
        <v>16</v>
      </c>
      <c r="I127" s="99">
        <v>1</v>
      </c>
      <c r="J127" s="101">
        <f>ROUND(12.415/G127+1,0)</f>
        <v>51</v>
      </c>
      <c r="K127" s="109">
        <f>D127</f>
        <v>25.79</v>
      </c>
      <c r="L127" s="110">
        <f>IF(O127&lt;12,"0",0.049*H127)*2</f>
        <v>1.5680000000000001</v>
      </c>
      <c r="M127" s="111">
        <v>2</v>
      </c>
      <c r="N127" s="99">
        <f>M127*2*H127/1000</f>
        <v>6.4000000000000001E-2</v>
      </c>
      <c r="O127" s="112">
        <f>(D127+C127+F127)-N127</f>
        <v>26.725999999999999</v>
      </c>
      <c r="P127" s="112">
        <f>(I127*J127*O127)+L127</f>
        <v>1364.5939999999998</v>
      </c>
      <c r="Q127" s="104" t="str">
        <f t="shared" si="6"/>
        <v/>
      </c>
      <c r="R127" s="104" t="str">
        <f t="shared" si="7"/>
        <v/>
      </c>
      <c r="S127" s="104" t="str">
        <f t="shared" si="8"/>
        <v/>
      </c>
      <c r="T127" s="104">
        <f t="shared" si="9"/>
        <v>1364.5939999999998</v>
      </c>
      <c r="U127" s="104" t="str">
        <f t="shared" si="10"/>
        <v/>
      </c>
      <c r="V127" s="104" t="str">
        <f t="shared" si="11"/>
        <v/>
      </c>
      <c r="W127" s="105"/>
    </row>
    <row r="128" spans="1:23">
      <c r="A128" s="92"/>
      <c r="B128" s="115"/>
      <c r="C128" s="94"/>
      <c r="D128" s="95"/>
      <c r="E128" s="95"/>
      <c r="F128" s="96"/>
      <c r="G128" s="97"/>
      <c r="H128" s="98"/>
      <c r="I128" s="99"/>
      <c r="J128" s="99"/>
      <c r="K128" s="100"/>
      <c r="L128" s="99"/>
      <c r="M128" s="99"/>
      <c r="N128" s="99"/>
      <c r="O128" s="99"/>
      <c r="P128" s="101"/>
      <c r="Q128" s="104" t="str">
        <f t="shared" si="6"/>
        <v/>
      </c>
      <c r="R128" s="104" t="str">
        <f t="shared" si="7"/>
        <v/>
      </c>
      <c r="S128" s="104" t="str">
        <f t="shared" si="8"/>
        <v/>
      </c>
      <c r="T128" s="104" t="str">
        <f t="shared" si="9"/>
        <v/>
      </c>
      <c r="U128" s="104" t="str">
        <f t="shared" si="10"/>
        <v/>
      </c>
      <c r="V128" s="104" t="str">
        <f t="shared" si="11"/>
        <v/>
      </c>
      <c r="W128" s="105"/>
    </row>
    <row r="129" spans="1:23">
      <c r="A129" s="92">
        <v>7</v>
      </c>
      <c r="B129" s="115" t="s">
        <v>253</v>
      </c>
      <c r="C129" s="94"/>
      <c r="D129" s="95"/>
      <c r="E129" s="95"/>
      <c r="F129" s="96"/>
      <c r="G129" s="97"/>
      <c r="H129" s="98"/>
      <c r="I129" s="99"/>
      <c r="J129" s="99"/>
      <c r="K129" s="100"/>
      <c r="L129" s="99"/>
      <c r="M129" s="99"/>
      <c r="N129" s="99"/>
      <c r="O129" s="99"/>
      <c r="P129" s="101"/>
      <c r="Q129" s="104" t="str">
        <f t="shared" si="6"/>
        <v/>
      </c>
      <c r="R129" s="104" t="str">
        <f t="shared" si="7"/>
        <v/>
      </c>
      <c r="S129" s="104" t="str">
        <f t="shared" si="8"/>
        <v/>
      </c>
      <c r="T129" s="104" t="str">
        <f t="shared" si="9"/>
        <v/>
      </c>
      <c r="U129" s="104" t="str">
        <f t="shared" si="10"/>
        <v/>
      </c>
      <c r="V129" s="104" t="str">
        <f t="shared" si="11"/>
        <v/>
      </c>
      <c r="W129" s="105"/>
    </row>
    <row r="130" spans="1:23">
      <c r="A130" s="92"/>
      <c r="B130" t="s">
        <v>247</v>
      </c>
      <c r="C130" s="107">
        <v>0.5</v>
      </c>
      <c r="D130" s="786">
        <f>8.78-2*0.05</f>
        <v>8.68</v>
      </c>
      <c r="E130" s="799"/>
      <c r="F130" s="107">
        <v>0.5</v>
      </c>
      <c r="G130" s="108">
        <v>0.25</v>
      </c>
      <c r="H130" s="98">
        <v>16</v>
      </c>
      <c r="I130" s="99">
        <v>1</v>
      </c>
      <c r="J130" s="101">
        <f>ROUND(0.515/G130+1,0)</f>
        <v>3</v>
      </c>
      <c r="K130" s="109">
        <f>D130</f>
        <v>8.68</v>
      </c>
      <c r="L130" s="110" t="str">
        <f>IF(O130&lt;12,"0",0.049*H130)</f>
        <v>0</v>
      </c>
      <c r="M130" s="111">
        <v>2</v>
      </c>
      <c r="N130" s="99">
        <f>M130*2*H130/1000</f>
        <v>6.4000000000000001E-2</v>
      </c>
      <c r="O130" s="112">
        <f>(D130+C130+F130)-N130</f>
        <v>9.6159999999999997</v>
      </c>
      <c r="P130" s="112">
        <f>(I130*J130*O130)+L130</f>
        <v>28.847999999999999</v>
      </c>
      <c r="Q130" s="104" t="str">
        <f t="shared" si="6"/>
        <v/>
      </c>
      <c r="R130" s="104" t="str">
        <f t="shared" si="7"/>
        <v/>
      </c>
      <c r="S130" s="104" t="str">
        <f t="shared" si="8"/>
        <v/>
      </c>
      <c r="T130" s="104">
        <f t="shared" si="9"/>
        <v>28.847999999999999</v>
      </c>
      <c r="U130" s="104" t="str">
        <f t="shared" si="10"/>
        <v/>
      </c>
      <c r="V130" s="104" t="str">
        <f t="shared" si="11"/>
        <v/>
      </c>
      <c r="W130" s="105"/>
    </row>
    <row r="131" spans="1:23">
      <c r="A131" s="92"/>
      <c r="B131" s="115"/>
      <c r="C131" s="94"/>
      <c r="D131" s="95"/>
      <c r="E131" s="95"/>
      <c r="F131" s="96"/>
      <c r="G131" s="97"/>
      <c r="H131" s="98"/>
      <c r="I131" s="99"/>
      <c r="J131" s="99"/>
      <c r="K131" s="100"/>
      <c r="L131" s="99"/>
      <c r="M131" s="99"/>
      <c r="N131" s="99"/>
      <c r="O131" s="99"/>
      <c r="P131" s="101"/>
      <c r="Q131" s="104" t="str">
        <f t="shared" si="6"/>
        <v/>
      </c>
      <c r="R131" s="104" t="str">
        <f t="shared" si="7"/>
        <v/>
      </c>
      <c r="S131" s="104" t="str">
        <f t="shared" si="8"/>
        <v/>
      </c>
      <c r="T131" s="104" t="str">
        <f t="shared" si="9"/>
        <v/>
      </c>
      <c r="U131" s="104" t="str">
        <f t="shared" si="10"/>
        <v/>
      </c>
      <c r="V131" s="104" t="str">
        <f t="shared" si="11"/>
        <v/>
      </c>
      <c r="W131" s="105"/>
    </row>
    <row r="132" spans="1:23">
      <c r="A132" s="92"/>
      <c r="B132" s="115"/>
      <c r="C132" s="94"/>
      <c r="D132" s="95"/>
      <c r="E132" s="95"/>
      <c r="F132" s="96"/>
      <c r="G132" s="97"/>
      <c r="H132" s="98"/>
      <c r="I132" s="99"/>
      <c r="J132" s="99"/>
      <c r="K132" s="100"/>
      <c r="L132" s="99"/>
      <c r="M132" s="99"/>
      <c r="N132" s="99"/>
      <c r="O132" s="99"/>
      <c r="P132" s="101"/>
      <c r="Q132" s="104" t="str">
        <f t="shared" si="6"/>
        <v/>
      </c>
      <c r="R132" s="104" t="str">
        <f t="shared" si="7"/>
        <v/>
      </c>
      <c r="S132" s="104" t="str">
        <f t="shared" si="8"/>
        <v/>
      </c>
      <c r="T132" s="104" t="str">
        <f t="shared" si="9"/>
        <v/>
      </c>
      <c r="U132" s="104" t="str">
        <f t="shared" si="10"/>
        <v/>
      </c>
      <c r="V132" s="104" t="str">
        <f t="shared" si="11"/>
        <v/>
      </c>
      <c r="W132" s="105"/>
    </row>
    <row r="133" spans="1:23">
      <c r="A133" s="92"/>
      <c r="B133" s="103" t="s">
        <v>256</v>
      </c>
      <c r="C133" s="94"/>
      <c r="D133" s="95"/>
      <c r="E133" s="95"/>
      <c r="F133" s="96"/>
      <c r="G133" s="97"/>
      <c r="H133" s="98"/>
      <c r="I133" s="99"/>
      <c r="J133" s="99"/>
      <c r="K133" s="100"/>
      <c r="L133" s="99"/>
      <c r="M133" s="99"/>
      <c r="N133" s="99"/>
      <c r="O133" s="99"/>
      <c r="P133" s="101"/>
      <c r="Q133" s="104" t="str">
        <f t="shared" si="6"/>
        <v/>
      </c>
      <c r="R133" s="104" t="str">
        <f t="shared" si="7"/>
        <v/>
      </c>
      <c r="S133" s="104" t="str">
        <f t="shared" si="8"/>
        <v/>
      </c>
      <c r="T133" s="104" t="str">
        <f t="shared" si="9"/>
        <v/>
      </c>
      <c r="U133" s="104" t="str">
        <f t="shared" si="10"/>
        <v/>
      </c>
      <c r="V133" s="104" t="str">
        <f t="shared" si="11"/>
        <v/>
      </c>
      <c r="W133" s="105"/>
    </row>
    <row r="134" spans="1:23">
      <c r="A134" s="92">
        <v>1</v>
      </c>
      <c r="B134" s="106" t="s">
        <v>206</v>
      </c>
      <c r="C134" s="107"/>
      <c r="D134" s="786">
        <f>10.285</f>
        <v>10.285</v>
      </c>
      <c r="E134" s="799"/>
      <c r="F134" s="107"/>
      <c r="G134" s="108">
        <v>0.25</v>
      </c>
      <c r="H134" s="98">
        <v>12</v>
      </c>
      <c r="I134" s="99">
        <v>1</v>
      </c>
      <c r="J134" s="101">
        <v>2</v>
      </c>
      <c r="K134" s="109">
        <f>D134</f>
        <v>10.285</v>
      </c>
      <c r="L134" s="110" t="str">
        <f>IF(O134&lt;12,"0",0.049*H134)</f>
        <v>0</v>
      </c>
      <c r="M134" s="111"/>
      <c r="N134" s="99">
        <f>M134*2*H134/1000</f>
        <v>0</v>
      </c>
      <c r="O134" s="112">
        <f>(D134+C134+F134)-N134</f>
        <v>10.285</v>
      </c>
      <c r="P134" s="112">
        <f>(I134*J134*O134)+1*L134</f>
        <v>20.57</v>
      </c>
      <c r="Q134" s="104" t="str">
        <f t="shared" si="6"/>
        <v/>
      </c>
      <c r="R134" s="104" t="str">
        <f t="shared" si="7"/>
        <v/>
      </c>
      <c r="S134" s="104">
        <f t="shared" si="8"/>
        <v>20.57</v>
      </c>
      <c r="T134" s="104" t="str">
        <f t="shared" si="9"/>
        <v/>
      </c>
      <c r="U134" s="104" t="str">
        <f t="shared" si="10"/>
        <v/>
      </c>
      <c r="V134" s="104" t="str">
        <f t="shared" si="11"/>
        <v/>
      </c>
      <c r="W134" s="105"/>
    </row>
    <row r="135" spans="1:23">
      <c r="A135" s="92"/>
      <c r="B135" s="115"/>
      <c r="C135" s="94"/>
      <c r="D135" s="95"/>
      <c r="E135" s="95"/>
      <c r="F135" s="96"/>
      <c r="G135" s="97"/>
      <c r="H135" s="98"/>
      <c r="I135" s="99"/>
      <c r="J135" s="99"/>
      <c r="K135" s="100"/>
      <c r="L135" s="99"/>
      <c r="M135" s="99"/>
      <c r="N135" s="99"/>
      <c r="O135" s="99"/>
      <c r="P135" s="101"/>
      <c r="Q135" s="104" t="str">
        <f t="shared" si="6"/>
        <v/>
      </c>
      <c r="R135" s="104" t="str">
        <f t="shared" si="7"/>
        <v/>
      </c>
      <c r="S135" s="104" t="str">
        <f t="shared" si="8"/>
        <v/>
      </c>
      <c r="T135" s="104" t="str">
        <f t="shared" si="9"/>
        <v/>
      </c>
      <c r="U135" s="104" t="str">
        <f t="shared" si="10"/>
        <v/>
      </c>
      <c r="V135" s="104" t="str">
        <f t="shared" si="11"/>
        <v/>
      </c>
      <c r="W135" s="105"/>
    </row>
    <row r="136" spans="1:23">
      <c r="A136" s="92">
        <v>2</v>
      </c>
      <c r="B136" s="106" t="s">
        <v>257</v>
      </c>
      <c r="C136" s="107"/>
      <c r="D136" s="786">
        <f>11.09</f>
        <v>11.09</v>
      </c>
      <c r="E136" s="799"/>
      <c r="F136" s="107"/>
      <c r="G136" s="108">
        <v>0.25</v>
      </c>
      <c r="H136" s="98">
        <v>12</v>
      </c>
      <c r="I136" s="99">
        <v>1</v>
      </c>
      <c r="J136" s="101">
        <v>2</v>
      </c>
      <c r="K136" s="109">
        <f>D136</f>
        <v>11.09</v>
      </c>
      <c r="L136" s="110" t="str">
        <f>IF(O136&lt;12,"0",0.049*H136)</f>
        <v>0</v>
      </c>
      <c r="M136" s="111"/>
      <c r="N136" s="99">
        <f>M136*2*H136/1000</f>
        <v>0</v>
      </c>
      <c r="O136" s="112">
        <f>(D136+C136+F136)-N136</f>
        <v>11.09</v>
      </c>
      <c r="P136" s="112">
        <f>(I136*J136*O136)+1*L136</f>
        <v>22.18</v>
      </c>
      <c r="Q136" s="104" t="str">
        <f t="shared" si="6"/>
        <v/>
      </c>
      <c r="R136" s="104" t="str">
        <f t="shared" si="7"/>
        <v/>
      </c>
      <c r="S136" s="104">
        <f t="shared" si="8"/>
        <v>22.18</v>
      </c>
      <c r="T136" s="104" t="str">
        <f t="shared" si="9"/>
        <v/>
      </c>
      <c r="U136" s="104" t="str">
        <f t="shared" si="10"/>
        <v/>
      </c>
      <c r="V136" s="104" t="str">
        <f t="shared" si="11"/>
        <v/>
      </c>
      <c r="W136" s="105"/>
    </row>
    <row r="137" spans="1:23">
      <c r="A137" s="92"/>
      <c r="B137" s="106"/>
      <c r="C137" s="107"/>
      <c r="D137" s="117"/>
      <c r="E137" s="117"/>
      <c r="F137" s="118"/>
      <c r="G137" s="108"/>
      <c r="H137" s="98"/>
      <c r="I137" s="99"/>
      <c r="J137" s="101"/>
      <c r="K137" s="109"/>
      <c r="L137" s="110"/>
      <c r="M137" s="111"/>
      <c r="N137" s="99"/>
      <c r="O137" s="112"/>
      <c r="P137" s="112"/>
      <c r="Q137" s="104" t="str">
        <f t="shared" si="6"/>
        <v/>
      </c>
      <c r="R137" s="104" t="str">
        <f t="shared" si="7"/>
        <v/>
      </c>
      <c r="S137" s="104" t="str">
        <f t="shared" si="8"/>
        <v/>
      </c>
      <c r="T137" s="104" t="str">
        <f t="shared" si="9"/>
        <v/>
      </c>
      <c r="U137" s="104" t="str">
        <f t="shared" si="10"/>
        <v/>
      </c>
      <c r="V137" s="104" t="str">
        <f t="shared" si="11"/>
        <v/>
      </c>
      <c r="W137" s="105"/>
    </row>
    <row r="138" spans="1:23">
      <c r="A138" s="92">
        <v>3</v>
      </c>
      <c r="B138" s="106" t="s">
        <v>258</v>
      </c>
      <c r="C138" s="107"/>
      <c r="D138" s="786">
        <f>21.65-2*0.05</f>
        <v>21.549999999999997</v>
      </c>
      <c r="E138" s="799"/>
      <c r="F138" s="107"/>
      <c r="G138" s="108">
        <v>0.25</v>
      </c>
      <c r="H138" s="98">
        <v>12</v>
      </c>
      <c r="I138" s="99">
        <v>1</v>
      </c>
      <c r="J138" s="101">
        <v>2</v>
      </c>
      <c r="K138" s="109">
        <f>D138</f>
        <v>21.549999999999997</v>
      </c>
      <c r="L138" s="110">
        <f>IF(O138&lt;12,"0",0.049*H138)</f>
        <v>0.58800000000000008</v>
      </c>
      <c r="M138" s="111"/>
      <c r="N138" s="99">
        <f>M138*2*H138/1000</f>
        <v>0</v>
      </c>
      <c r="O138" s="112">
        <f>(D138+C138+F138)-N138</f>
        <v>21.549999999999997</v>
      </c>
      <c r="P138" s="112">
        <f>(I138*J138*O138)+2*L138</f>
        <v>44.275999999999996</v>
      </c>
      <c r="Q138" s="104" t="str">
        <f t="shared" si="6"/>
        <v/>
      </c>
      <c r="R138" s="104" t="str">
        <f t="shared" si="7"/>
        <v/>
      </c>
      <c r="S138" s="104">
        <f t="shared" si="8"/>
        <v>44.275999999999996</v>
      </c>
      <c r="T138" s="104" t="str">
        <f t="shared" si="9"/>
        <v/>
      </c>
      <c r="U138" s="104" t="str">
        <f t="shared" si="10"/>
        <v/>
      </c>
      <c r="V138" s="104" t="str">
        <f t="shared" si="11"/>
        <v/>
      </c>
      <c r="W138" s="105"/>
    </row>
    <row r="139" spans="1:23">
      <c r="A139" s="92"/>
      <c r="B139" s="106"/>
      <c r="C139" s="107"/>
      <c r="D139" s="117"/>
      <c r="E139" s="117"/>
      <c r="F139" s="118"/>
      <c r="G139" s="108"/>
      <c r="H139" s="98"/>
      <c r="I139" s="99"/>
      <c r="J139" s="101"/>
      <c r="K139" s="109"/>
      <c r="L139" s="110"/>
      <c r="M139" s="111"/>
      <c r="N139" s="99"/>
      <c r="O139" s="112"/>
      <c r="P139" s="112"/>
      <c r="Q139" s="104" t="str">
        <f t="shared" si="6"/>
        <v/>
      </c>
      <c r="R139" s="104" t="str">
        <f t="shared" si="7"/>
        <v/>
      </c>
      <c r="S139" s="104" t="str">
        <f t="shared" si="8"/>
        <v/>
      </c>
      <c r="T139" s="104" t="str">
        <f t="shared" si="9"/>
        <v/>
      </c>
      <c r="U139" s="104" t="str">
        <f t="shared" si="10"/>
        <v/>
      </c>
      <c r="V139" s="104" t="str">
        <f t="shared" si="11"/>
        <v/>
      </c>
      <c r="W139" s="105"/>
    </row>
    <row r="140" spans="1:23">
      <c r="A140" s="92">
        <v>5</v>
      </c>
      <c r="B140" s="106" t="s">
        <v>207</v>
      </c>
      <c r="C140" s="107"/>
      <c r="D140" s="786">
        <f>8.875-2*0.05</f>
        <v>8.7750000000000004</v>
      </c>
      <c r="E140" s="799"/>
      <c r="F140" s="107"/>
      <c r="G140" s="108">
        <v>0.25</v>
      </c>
      <c r="H140" s="98">
        <v>12</v>
      </c>
      <c r="I140" s="99">
        <v>1</v>
      </c>
      <c r="J140" s="101">
        <v>2</v>
      </c>
      <c r="K140" s="109">
        <f>D140</f>
        <v>8.7750000000000004</v>
      </c>
      <c r="L140" s="110" t="str">
        <f>IF(O140&lt;12,"0",0.049*H140)</f>
        <v>0</v>
      </c>
      <c r="M140" s="111"/>
      <c r="N140" s="99">
        <f>M140*2*H140/1000</f>
        <v>0</v>
      </c>
      <c r="O140" s="112">
        <f>(D140+C140+F140)-N140</f>
        <v>8.7750000000000004</v>
      </c>
      <c r="P140" s="112">
        <f>(I140*J140*O140)+1*L140</f>
        <v>17.55</v>
      </c>
      <c r="Q140" s="104" t="str">
        <f t="shared" si="6"/>
        <v/>
      </c>
      <c r="R140" s="104" t="str">
        <f t="shared" si="7"/>
        <v/>
      </c>
      <c r="S140" s="104">
        <f t="shared" si="8"/>
        <v>17.55</v>
      </c>
      <c r="T140" s="104" t="str">
        <f t="shared" si="9"/>
        <v/>
      </c>
      <c r="U140" s="104" t="str">
        <f t="shared" si="10"/>
        <v/>
      </c>
      <c r="V140" s="104" t="str">
        <f t="shared" si="11"/>
        <v/>
      </c>
      <c r="W140" s="105"/>
    </row>
    <row r="141" spans="1:23">
      <c r="A141" s="92"/>
      <c r="B141" s="106"/>
      <c r="C141" s="107"/>
      <c r="D141" s="117"/>
      <c r="E141" s="117"/>
      <c r="F141" s="118"/>
      <c r="G141" s="108"/>
      <c r="H141" s="98"/>
      <c r="I141" s="99"/>
      <c r="J141" s="101"/>
      <c r="K141" s="109"/>
      <c r="L141" s="110"/>
      <c r="M141" s="111"/>
      <c r="N141" s="99"/>
      <c r="O141" s="112"/>
      <c r="P141" s="112"/>
      <c r="Q141" s="104" t="str">
        <f t="shared" si="6"/>
        <v/>
      </c>
      <c r="R141" s="104" t="str">
        <f t="shared" si="7"/>
        <v/>
      </c>
      <c r="S141" s="104" t="str">
        <f t="shared" si="8"/>
        <v/>
      </c>
      <c r="T141" s="104" t="str">
        <f t="shared" si="9"/>
        <v/>
      </c>
      <c r="U141" s="104" t="str">
        <f t="shared" si="10"/>
        <v/>
      </c>
      <c r="V141" s="104" t="str">
        <f t="shared" si="11"/>
        <v/>
      </c>
      <c r="W141" s="105"/>
    </row>
    <row r="142" spans="1:23">
      <c r="A142" s="92">
        <v>6</v>
      </c>
      <c r="B142" s="106" t="s">
        <v>259</v>
      </c>
      <c r="C142" s="107"/>
      <c r="D142" s="786">
        <v>1.5</v>
      </c>
      <c r="E142" s="799"/>
      <c r="F142" s="107"/>
      <c r="G142" s="108">
        <v>0.25</v>
      </c>
      <c r="H142" s="98">
        <v>12</v>
      </c>
      <c r="I142" s="99">
        <v>1</v>
      </c>
      <c r="J142" s="101">
        <v>2</v>
      </c>
      <c r="K142" s="109">
        <f>D142</f>
        <v>1.5</v>
      </c>
      <c r="L142" s="110" t="str">
        <f>IF(O142&lt;12,"0",0.049*H142)</f>
        <v>0</v>
      </c>
      <c r="M142" s="111"/>
      <c r="N142" s="99">
        <f>M142*2*H142/1000</f>
        <v>0</v>
      </c>
      <c r="O142" s="112">
        <f>(D142+C142+F142)-N142</f>
        <v>1.5</v>
      </c>
      <c r="P142" s="112">
        <f>(I142*J142*O142)+1*L142</f>
        <v>3</v>
      </c>
      <c r="Q142" s="104" t="str">
        <f t="shared" si="6"/>
        <v/>
      </c>
      <c r="R142" s="104" t="str">
        <f t="shared" si="7"/>
        <v/>
      </c>
      <c r="S142" s="104">
        <f t="shared" si="8"/>
        <v>3</v>
      </c>
      <c r="T142" s="104" t="str">
        <f t="shared" si="9"/>
        <v/>
      </c>
      <c r="U142" s="104" t="str">
        <f t="shared" si="10"/>
        <v/>
      </c>
      <c r="V142" s="104" t="str">
        <f t="shared" si="11"/>
        <v/>
      </c>
      <c r="W142" s="105"/>
    </row>
    <row r="143" spans="1:23">
      <c r="A143" s="92"/>
      <c r="B143" s="106"/>
      <c r="C143" s="107"/>
      <c r="D143" s="117"/>
      <c r="E143" s="117"/>
      <c r="F143" s="118"/>
      <c r="G143" s="108"/>
      <c r="H143" s="98"/>
      <c r="I143" s="99"/>
      <c r="J143" s="101"/>
      <c r="K143" s="109"/>
      <c r="L143" s="110"/>
      <c r="M143" s="111"/>
      <c r="N143" s="99"/>
      <c r="O143" s="112"/>
      <c r="P143" s="112"/>
      <c r="Q143" s="104" t="str">
        <f t="shared" si="6"/>
        <v/>
      </c>
      <c r="R143" s="104" t="str">
        <f t="shared" si="7"/>
        <v/>
      </c>
      <c r="S143" s="104" t="str">
        <f t="shared" si="8"/>
        <v/>
      </c>
      <c r="T143" s="104" t="str">
        <f t="shared" si="9"/>
        <v/>
      </c>
      <c r="U143" s="104" t="str">
        <f t="shared" si="10"/>
        <v/>
      </c>
      <c r="V143" s="104" t="str">
        <f t="shared" si="11"/>
        <v/>
      </c>
      <c r="W143" s="105"/>
    </row>
    <row r="144" spans="1:23">
      <c r="A144" s="92">
        <v>7</v>
      </c>
      <c r="B144" s="106" t="s">
        <v>260</v>
      </c>
      <c r="C144" s="107"/>
      <c r="D144" s="786">
        <v>3.95</v>
      </c>
      <c r="E144" s="799"/>
      <c r="F144" s="107"/>
      <c r="G144" s="108">
        <v>0.25</v>
      </c>
      <c r="H144" s="98">
        <v>12</v>
      </c>
      <c r="I144" s="99">
        <v>1</v>
      </c>
      <c r="J144" s="101">
        <v>2</v>
      </c>
      <c r="K144" s="109">
        <f>D144</f>
        <v>3.95</v>
      </c>
      <c r="L144" s="110" t="str">
        <f>IF(O144&lt;12,"0",0.049*H144)</f>
        <v>0</v>
      </c>
      <c r="M144" s="111"/>
      <c r="N144" s="99">
        <f>M144*2*H144/1000</f>
        <v>0</v>
      </c>
      <c r="O144" s="112">
        <f>(D144+C144+F144)-N144</f>
        <v>3.95</v>
      </c>
      <c r="P144" s="112">
        <f>(I144*J144*O144)+1*L144</f>
        <v>7.9</v>
      </c>
      <c r="Q144" s="104" t="str">
        <f t="shared" si="6"/>
        <v/>
      </c>
      <c r="R144" s="104" t="str">
        <f t="shared" si="7"/>
        <v/>
      </c>
      <c r="S144" s="104">
        <f t="shared" si="8"/>
        <v>7.9</v>
      </c>
      <c r="T144" s="104" t="str">
        <f t="shared" si="9"/>
        <v/>
      </c>
      <c r="U144" s="104" t="str">
        <f t="shared" si="10"/>
        <v/>
      </c>
      <c r="V144" s="104" t="str">
        <f t="shared" si="11"/>
        <v/>
      </c>
      <c r="W144" s="105"/>
    </row>
    <row r="145" spans="1:23">
      <c r="A145" s="92"/>
      <c r="B145" s="106"/>
      <c r="C145" s="107"/>
      <c r="D145" s="117"/>
      <c r="E145" s="117"/>
      <c r="F145" s="118"/>
      <c r="G145" s="108"/>
      <c r="H145" s="98"/>
      <c r="I145" s="99"/>
      <c r="J145" s="101"/>
      <c r="K145" s="109"/>
      <c r="L145" s="110"/>
      <c r="M145" s="111"/>
      <c r="N145" s="99"/>
      <c r="O145" s="112"/>
      <c r="P145" s="112"/>
      <c r="Q145" s="104" t="str">
        <f t="shared" si="6"/>
        <v/>
      </c>
      <c r="R145" s="104" t="str">
        <f t="shared" si="7"/>
        <v/>
      </c>
      <c r="S145" s="104" t="str">
        <f t="shared" si="8"/>
        <v/>
      </c>
      <c r="T145" s="104" t="str">
        <f t="shared" si="9"/>
        <v/>
      </c>
      <c r="U145" s="104" t="str">
        <f t="shared" si="10"/>
        <v/>
      </c>
      <c r="V145" s="104" t="str">
        <f t="shared" si="11"/>
        <v/>
      </c>
      <c r="W145" s="105"/>
    </row>
    <row r="146" spans="1:23">
      <c r="A146" s="92">
        <v>8</v>
      </c>
      <c r="B146" s="106" t="s">
        <v>261</v>
      </c>
      <c r="C146" s="107"/>
      <c r="D146" s="786">
        <v>0.81499999999999995</v>
      </c>
      <c r="E146" s="799"/>
      <c r="F146" s="107"/>
      <c r="G146" s="108">
        <v>0.25</v>
      </c>
      <c r="H146" s="98">
        <v>12</v>
      </c>
      <c r="I146" s="99">
        <v>1</v>
      </c>
      <c r="J146" s="101">
        <v>2</v>
      </c>
      <c r="K146" s="109">
        <f>D146</f>
        <v>0.81499999999999995</v>
      </c>
      <c r="L146" s="110" t="str">
        <f>IF(O146&lt;12,"0",0.049*H146)</f>
        <v>0</v>
      </c>
      <c r="M146" s="111"/>
      <c r="N146" s="99">
        <f>M146*2*H146/1000</f>
        <v>0</v>
      </c>
      <c r="O146" s="112">
        <f>(D146+C146+F146)-N146</f>
        <v>0.81499999999999995</v>
      </c>
      <c r="P146" s="112">
        <f>(I146*J146*O146)+1*L146</f>
        <v>1.63</v>
      </c>
      <c r="Q146" s="104" t="str">
        <f t="shared" si="6"/>
        <v/>
      </c>
      <c r="R146" s="104" t="str">
        <f t="shared" si="7"/>
        <v/>
      </c>
      <c r="S146" s="104">
        <f t="shared" si="8"/>
        <v>1.63</v>
      </c>
      <c r="T146" s="104" t="str">
        <f t="shared" si="9"/>
        <v/>
      </c>
      <c r="U146" s="104" t="str">
        <f t="shared" si="10"/>
        <v/>
      </c>
      <c r="V146" s="104" t="str">
        <f t="shared" si="11"/>
        <v/>
      </c>
      <c r="W146" s="105"/>
    </row>
    <row r="147" spans="1:23">
      <c r="A147" s="92"/>
      <c r="B147" s="106"/>
      <c r="C147" s="107"/>
      <c r="D147" s="117"/>
      <c r="E147" s="117"/>
      <c r="F147" s="118"/>
      <c r="G147" s="108"/>
      <c r="H147" s="98"/>
      <c r="I147" s="99"/>
      <c r="J147" s="101"/>
      <c r="K147" s="109"/>
      <c r="L147" s="110"/>
      <c r="M147" s="111"/>
      <c r="N147" s="99"/>
      <c r="O147" s="112"/>
      <c r="P147" s="112"/>
      <c r="Q147" s="104" t="str">
        <f t="shared" si="6"/>
        <v/>
      </c>
      <c r="R147" s="104" t="str">
        <f t="shared" si="7"/>
        <v/>
      </c>
      <c r="S147" s="104" t="str">
        <f t="shared" si="8"/>
        <v/>
      </c>
      <c r="T147" s="104" t="str">
        <f t="shared" si="9"/>
        <v/>
      </c>
      <c r="U147" s="104" t="str">
        <f t="shared" si="10"/>
        <v/>
      </c>
      <c r="V147" s="104" t="str">
        <f t="shared" si="11"/>
        <v/>
      </c>
      <c r="W147" s="105"/>
    </row>
    <row r="148" spans="1:23">
      <c r="A148" s="92">
        <v>9</v>
      </c>
      <c r="B148" s="106" t="s">
        <v>211</v>
      </c>
      <c r="C148" s="107"/>
      <c r="D148" s="786">
        <v>1.6950000000000001</v>
      </c>
      <c r="E148" s="799"/>
      <c r="F148" s="107"/>
      <c r="G148" s="108">
        <v>0.25</v>
      </c>
      <c r="H148" s="98">
        <v>12</v>
      </c>
      <c r="I148" s="99">
        <v>1</v>
      </c>
      <c r="J148" s="101">
        <v>2</v>
      </c>
      <c r="K148" s="109">
        <f>D148</f>
        <v>1.6950000000000001</v>
      </c>
      <c r="L148" s="110" t="str">
        <f>IF(O148&lt;12,"0",0.049*H148)</f>
        <v>0</v>
      </c>
      <c r="M148" s="111"/>
      <c r="N148" s="99">
        <f>M148*2*H148/1000</f>
        <v>0</v>
      </c>
      <c r="O148" s="112">
        <f>(D148+C148+F148)-N148</f>
        <v>1.6950000000000001</v>
      </c>
      <c r="P148" s="112">
        <f>(I148*J148*O148)+1*L148</f>
        <v>3.39</v>
      </c>
      <c r="Q148" s="104" t="str">
        <f t="shared" si="6"/>
        <v/>
      </c>
      <c r="R148" s="104" t="str">
        <f t="shared" si="7"/>
        <v/>
      </c>
      <c r="S148" s="104">
        <f t="shared" si="8"/>
        <v>3.39</v>
      </c>
      <c r="T148" s="104" t="str">
        <f t="shared" si="9"/>
        <v/>
      </c>
      <c r="U148" s="104" t="str">
        <f t="shared" si="10"/>
        <v/>
      </c>
      <c r="V148" s="104" t="str">
        <f t="shared" si="11"/>
        <v/>
      </c>
      <c r="W148" s="105"/>
    </row>
    <row r="149" spans="1:23">
      <c r="A149" s="92"/>
      <c r="B149" s="106"/>
      <c r="C149" s="107"/>
      <c r="D149" s="117"/>
      <c r="E149" s="117"/>
      <c r="F149" s="118"/>
      <c r="G149" s="108"/>
      <c r="H149" s="98"/>
      <c r="I149" s="99"/>
      <c r="J149" s="101"/>
      <c r="K149" s="109"/>
      <c r="L149" s="110"/>
      <c r="M149" s="111"/>
      <c r="N149" s="99"/>
      <c r="O149" s="112"/>
      <c r="P149" s="112"/>
      <c r="Q149" s="104" t="str">
        <f t="shared" si="6"/>
        <v/>
      </c>
      <c r="R149" s="104" t="str">
        <f t="shared" si="7"/>
        <v/>
      </c>
      <c r="S149" s="104" t="str">
        <f t="shared" si="8"/>
        <v/>
      </c>
      <c r="T149" s="104" t="str">
        <f t="shared" si="9"/>
        <v/>
      </c>
      <c r="U149" s="104" t="str">
        <f t="shared" si="10"/>
        <v/>
      </c>
      <c r="V149" s="104" t="str">
        <f t="shared" si="11"/>
        <v/>
      </c>
      <c r="W149" s="105"/>
    </row>
    <row r="150" spans="1:23">
      <c r="A150" s="92">
        <v>10</v>
      </c>
      <c r="B150" s="106" t="s">
        <v>262</v>
      </c>
      <c r="C150" s="107"/>
      <c r="D150" s="786">
        <v>1.405</v>
      </c>
      <c r="E150" s="799"/>
      <c r="F150" s="107"/>
      <c r="G150" s="108">
        <v>0.25</v>
      </c>
      <c r="H150" s="98">
        <v>12</v>
      </c>
      <c r="I150" s="99">
        <v>1</v>
      </c>
      <c r="J150" s="101">
        <v>2</v>
      </c>
      <c r="K150" s="109">
        <f>D150</f>
        <v>1.405</v>
      </c>
      <c r="L150" s="110" t="str">
        <f>IF(O150&lt;12,"0",0.049*H150)</f>
        <v>0</v>
      </c>
      <c r="M150" s="111"/>
      <c r="N150" s="99">
        <f>M150*2*H150/1000</f>
        <v>0</v>
      </c>
      <c r="O150" s="112">
        <f>(D150+C150+F150)-N150</f>
        <v>1.405</v>
      </c>
      <c r="P150" s="112">
        <f>(I150*J150*O150)+1*L150</f>
        <v>2.81</v>
      </c>
      <c r="Q150" s="104" t="str">
        <f t="shared" si="6"/>
        <v/>
      </c>
      <c r="R150" s="104" t="str">
        <f t="shared" si="7"/>
        <v/>
      </c>
      <c r="S150" s="104">
        <f t="shared" si="8"/>
        <v>2.81</v>
      </c>
      <c r="T150" s="104" t="str">
        <f t="shared" si="9"/>
        <v/>
      </c>
      <c r="U150" s="104" t="str">
        <f t="shared" si="10"/>
        <v/>
      </c>
      <c r="V150" s="104" t="str">
        <f t="shared" si="11"/>
        <v/>
      </c>
      <c r="W150" s="105"/>
    </row>
    <row r="151" spans="1:23">
      <c r="A151" s="92"/>
      <c r="B151" s="106"/>
      <c r="C151" s="107"/>
      <c r="D151" s="117"/>
      <c r="E151" s="117"/>
      <c r="F151" s="118"/>
      <c r="G151" s="108"/>
      <c r="H151" s="98"/>
      <c r="I151" s="99"/>
      <c r="J151" s="101"/>
      <c r="K151" s="109"/>
      <c r="L151" s="110"/>
      <c r="M151" s="111"/>
      <c r="N151" s="99"/>
      <c r="O151" s="112"/>
      <c r="P151" s="112"/>
      <c r="Q151" s="104" t="str">
        <f t="shared" si="6"/>
        <v/>
      </c>
      <c r="R151" s="104" t="str">
        <f t="shared" si="7"/>
        <v/>
      </c>
      <c r="S151" s="104" t="str">
        <f t="shared" si="8"/>
        <v/>
      </c>
      <c r="T151" s="104" t="str">
        <f t="shared" si="9"/>
        <v/>
      </c>
      <c r="U151" s="104" t="str">
        <f t="shared" si="10"/>
        <v/>
      </c>
      <c r="V151" s="104" t="str">
        <f t="shared" si="11"/>
        <v/>
      </c>
      <c r="W151" s="105"/>
    </row>
    <row r="152" spans="1:23">
      <c r="A152" s="92">
        <v>11</v>
      </c>
      <c r="B152" s="106" t="s">
        <v>263</v>
      </c>
      <c r="C152" s="107"/>
      <c r="D152" s="786">
        <f>11.285</f>
        <v>11.285</v>
      </c>
      <c r="E152" s="786"/>
      <c r="F152" s="118"/>
      <c r="G152" s="108">
        <v>0.25</v>
      </c>
      <c r="H152" s="98">
        <v>12</v>
      </c>
      <c r="I152" s="99">
        <v>1</v>
      </c>
      <c r="J152" s="101">
        <v>2</v>
      </c>
      <c r="K152" s="109">
        <f>D152</f>
        <v>11.285</v>
      </c>
      <c r="L152" s="110" t="str">
        <f>IF(O152&lt;12,"0",0.049*H152)</f>
        <v>0</v>
      </c>
      <c r="M152" s="111"/>
      <c r="N152" s="99">
        <f>M152*1*H152/1000</f>
        <v>0</v>
      </c>
      <c r="O152" s="112">
        <f>(D152+C152+F152)-N152</f>
        <v>11.285</v>
      </c>
      <c r="P152" s="112">
        <f>(I152*J152*O152)+2*L152</f>
        <v>22.57</v>
      </c>
      <c r="Q152" s="104" t="str">
        <f t="shared" si="6"/>
        <v/>
      </c>
      <c r="R152" s="104" t="str">
        <f t="shared" si="7"/>
        <v/>
      </c>
      <c r="S152" s="104">
        <f t="shared" si="8"/>
        <v>22.57</v>
      </c>
      <c r="T152" s="104" t="str">
        <f t="shared" si="9"/>
        <v/>
      </c>
      <c r="U152" s="104" t="str">
        <f t="shared" si="10"/>
        <v/>
      </c>
      <c r="V152" s="104" t="str">
        <f t="shared" si="11"/>
        <v/>
      </c>
      <c r="W152" s="105"/>
    </row>
    <row r="153" spans="1:23">
      <c r="A153" s="92"/>
      <c r="B153" s="106"/>
      <c r="C153" s="107"/>
      <c r="D153" s="117"/>
      <c r="E153" s="117"/>
      <c r="F153" s="118"/>
      <c r="G153" s="108"/>
      <c r="H153" s="98"/>
      <c r="I153" s="99"/>
      <c r="J153" s="101"/>
      <c r="K153" s="109"/>
      <c r="L153" s="110"/>
      <c r="M153" s="111"/>
      <c r="N153" s="99"/>
      <c r="O153" s="112"/>
      <c r="P153" s="112"/>
      <c r="Q153" s="104" t="str">
        <f t="shared" si="6"/>
        <v/>
      </c>
      <c r="R153" s="104" t="str">
        <f t="shared" si="7"/>
        <v/>
      </c>
      <c r="S153" s="104" t="str">
        <f t="shared" si="8"/>
        <v/>
      </c>
      <c r="T153" s="104" t="str">
        <f t="shared" si="9"/>
        <v/>
      </c>
      <c r="U153" s="104" t="str">
        <f t="shared" si="10"/>
        <v/>
      </c>
      <c r="V153" s="104" t="str">
        <f t="shared" si="11"/>
        <v/>
      </c>
      <c r="W153" s="105"/>
    </row>
    <row r="154" spans="1:23">
      <c r="A154" s="92">
        <v>12</v>
      </c>
      <c r="B154" s="106" t="s">
        <v>264</v>
      </c>
      <c r="C154" s="107"/>
      <c r="D154" s="786">
        <v>11.005000000000001</v>
      </c>
      <c r="E154" s="786"/>
      <c r="F154" s="118"/>
      <c r="G154" s="108">
        <v>0.25</v>
      </c>
      <c r="H154" s="98">
        <v>12</v>
      </c>
      <c r="I154" s="99">
        <v>1</v>
      </c>
      <c r="J154" s="101">
        <v>2</v>
      </c>
      <c r="K154" s="109">
        <f>D154</f>
        <v>11.005000000000001</v>
      </c>
      <c r="L154" s="110" t="str">
        <f>IF(O154&lt;12,"0",0.049*H154)</f>
        <v>0</v>
      </c>
      <c r="M154" s="111"/>
      <c r="N154" s="99">
        <f>M154*1*H154/1000</f>
        <v>0</v>
      </c>
      <c r="O154" s="112">
        <f>(D154+C154+F154)-N154</f>
        <v>11.005000000000001</v>
      </c>
      <c r="P154" s="112">
        <f>(I154*J154*O154)+2*L154</f>
        <v>22.01</v>
      </c>
      <c r="Q154" s="104" t="str">
        <f t="shared" si="6"/>
        <v/>
      </c>
      <c r="R154" s="104" t="str">
        <f t="shared" si="7"/>
        <v/>
      </c>
      <c r="S154" s="104">
        <f t="shared" si="8"/>
        <v>22.01</v>
      </c>
      <c r="T154" s="104" t="str">
        <f t="shared" si="9"/>
        <v/>
      </c>
      <c r="U154" s="104" t="str">
        <f t="shared" si="10"/>
        <v/>
      </c>
      <c r="V154" s="104" t="str">
        <f t="shared" si="11"/>
        <v/>
      </c>
      <c r="W154" s="105"/>
    </row>
    <row r="155" spans="1:23">
      <c r="A155" s="92"/>
      <c r="B155" s="106"/>
      <c r="C155" s="107"/>
      <c r="D155" s="117"/>
      <c r="E155" s="117"/>
      <c r="F155" s="118"/>
      <c r="G155" s="108"/>
      <c r="H155" s="98"/>
      <c r="I155" s="99"/>
      <c r="J155" s="101"/>
      <c r="K155" s="109"/>
      <c r="L155" s="110"/>
      <c r="M155" s="111"/>
      <c r="N155" s="99"/>
      <c r="O155" s="112"/>
      <c r="P155" s="112"/>
      <c r="Q155" s="104" t="str">
        <f t="shared" si="6"/>
        <v/>
      </c>
      <c r="R155" s="104" t="str">
        <f t="shared" si="7"/>
        <v/>
      </c>
      <c r="S155" s="104" t="str">
        <f t="shared" si="8"/>
        <v/>
      </c>
      <c r="T155" s="104" t="str">
        <f t="shared" si="9"/>
        <v/>
      </c>
      <c r="U155" s="104" t="str">
        <f t="shared" si="10"/>
        <v/>
      </c>
      <c r="V155" s="104" t="str">
        <f t="shared" si="11"/>
        <v/>
      </c>
      <c r="W155" s="105"/>
    </row>
    <row r="156" spans="1:23">
      <c r="A156" s="92">
        <v>13</v>
      </c>
      <c r="B156" s="106" t="s">
        <v>265</v>
      </c>
      <c r="C156" s="107"/>
      <c r="D156" s="786">
        <f>12.415</f>
        <v>12.414999999999999</v>
      </c>
      <c r="E156" s="799"/>
      <c r="F156" s="107"/>
      <c r="G156" s="108">
        <v>0.25</v>
      </c>
      <c r="H156" s="98">
        <v>12</v>
      </c>
      <c r="I156" s="99">
        <v>1</v>
      </c>
      <c r="J156" s="101">
        <v>2</v>
      </c>
      <c r="K156" s="109">
        <f>D156</f>
        <v>12.414999999999999</v>
      </c>
      <c r="L156" s="110">
        <f>IF(O156&lt;12,"0",0.049*H156)</f>
        <v>0.58800000000000008</v>
      </c>
      <c r="M156" s="111"/>
      <c r="N156" s="99">
        <f>M156*2*H156/1000</f>
        <v>0</v>
      </c>
      <c r="O156" s="112">
        <f>(D156+C156+F156)-N156</f>
        <v>12.414999999999999</v>
      </c>
      <c r="P156" s="112">
        <f>(I156*J156*O156)+1*L156</f>
        <v>25.417999999999999</v>
      </c>
      <c r="Q156" s="104" t="str">
        <f t="shared" si="6"/>
        <v/>
      </c>
      <c r="R156" s="104" t="str">
        <f t="shared" si="7"/>
        <v/>
      </c>
      <c r="S156" s="104">
        <f t="shared" si="8"/>
        <v>25.417999999999999</v>
      </c>
      <c r="T156" s="104" t="str">
        <f t="shared" si="9"/>
        <v/>
      </c>
      <c r="U156" s="104" t="str">
        <f t="shared" si="10"/>
        <v/>
      </c>
      <c r="V156" s="104" t="str">
        <f t="shared" si="11"/>
        <v/>
      </c>
      <c r="W156" s="105"/>
    </row>
    <row r="157" spans="1:23">
      <c r="A157" s="92"/>
      <c r="B157" s="106"/>
      <c r="C157" s="107"/>
      <c r="D157" s="117"/>
      <c r="E157" s="117"/>
      <c r="F157" s="118"/>
      <c r="G157" s="108"/>
      <c r="H157" s="98"/>
      <c r="I157" s="99"/>
      <c r="J157" s="101"/>
      <c r="K157" s="109"/>
      <c r="L157" s="110"/>
      <c r="M157" s="111"/>
      <c r="N157" s="99"/>
      <c r="O157" s="112"/>
      <c r="P157" s="112"/>
      <c r="Q157" s="104" t="str">
        <f t="shared" si="6"/>
        <v/>
      </c>
      <c r="R157" s="104" t="str">
        <f t="shared" si="7"/>
        <v/>
      </c>
      <c r="S157" s="104" t="str">
        <f t="shared" si="8"/>
        <v/>
      </c>
      <c r="T157" s="104" t="str">
        <f t="shared" si="9"/>
        <v/>
      </c>
      <c r="U157" s="104" t="str">
        <f t="shared" si="10"/>
        <v/>
      </c>
      <c r="V157" s="104" t="str">
        <f t="shared" si="11"/>
        <v/>
      </c>
      <c r="W157" s="105"/>
    </row>
    <row r="158" spans="1:23">
      <c r="A158" s="92">
        <v>14</v>
      </c>
      <c r="B158" s="106" t="s">
        <v>266</v>
      </c>
      <c r="C158" s="107"/>
      <c r="D158" s="786">
        <f>25.89-0.05*2</f>
        <v>25.79</v>
      </c>
      <c r="E158" s="799"/>
      <c r="F158" s="107"/>
      <c r="G158" s="108">
        <v>0.25</v>
      </c>
      <c r="H158" s="98">
        <v>12</v>
      </c>
      <c r="I158" s="99">
        <v>1</v>
      </c>
      <c r="J158" s="101">
        <v>2</v>
      </c>
      <c r="K158" s="109">
        <f>D158</f>
        <v>25.79</v>
      </c>
      <c r="L158" s="110">
        <f>IF(O158&lt;12,"0",0.049*H158)</f>
        <v>0.58800000000000008</v>
      </c>
      <c r="M158" s="111"/>
      <c r="N158" s="99">
        <f>M158*2*H158/1000</f>
        <v>0</v>
      </c>
      <c r="O158" s="112">
        <f>(D158+C158+F158)-N158</f>
        <v>25.79</v>
      </c>
      <c r="P158" s="112">
        <f>(I158*J158*O158)+1*L158</f>
        <v>52.167999999999999</v>
      </c>
      <c r="Q158" s="104" t="str">
        <f t="shared" si="6"/>
        <v/>
      </c>
      <c r="R158" s="104" t="str">
        <f t="shared" si="7"/>
        <v/>
      </c>
      <c r="S158" s="104">
        <f t="shared" si="8"/>
        <v>52.167999999999999</v>
      </c>
      <c r="T158" s="104" t="str">
        <f t="shared" si="9"/>
        <v/>
      </c>
      <c r="U158" s="104" t="str">
        <f t="shared" si="10"/>
        <v/>
      </c>
      <c r="V158" s="104" t="str">
        <f t="shared" si="11"/>
        <v/>
      </c>
      <c r="W158" s="105"/>
    </row>
    <row r="159" spans="1:23">
      <c r="A159" s="92"/>
      <c r="B159" s="106"/>
      <c r="C159" s="107"/>
      <c r="D159" s="117"/>
      <c r="E159" s="117"/>
      <c r="F159" s="118"/>
      <c r="G159" s="108"/>
      <c r="H159" s="98"/>
      <c r="I159" s="99"/>
      <c r="J159" s="101"/>
      <c r="K159" s="109"/>
      <c r="L159" s="110"/>
      <c r="M159" s="111"/>
      <c r="N159" s="99"/>
      <c r="O159" s="112"/>
      <c r="P159" s="112"/>
      <c r="Q159" s="104" t="str">
        <f t="shared" si="6"/>
        <v/>
      </c>
      <c r="R159" s="104" t="str">
        <f t="shared" si="7"/>
        <v/>
      </c>
      <c r="S159" s="104" t="str">
        <f t="shared" si="8"/>
        <v/>
      </c>
      <c r="T159" s="104" t="str">
        <f t="shared" si="9"/>
        <v/>
      </c>
      <c r="U159" s="104" t="str">
        <f t="shared" si="10"/>
        <v/>
      </c>
      <c r="V159" s="104" t="str">
        <f t="shared" si="11"/>
        <v/>
      </c>
      <c r="W159" s="105"/>
    </row>
    <row r="160" spans="1:23">
      <c r="A160" s="92"/>
      <c r="B160" s="106"/>
      <c r="C160" s="107"/>
      <c r="D160" s="117"/>
      <c r="E160" s="117"/>
      <c r="F160" s="118"/>
      <c r="G160" s="108"/>
      <c r="H160" s="98"/>
      <c r="I160" s="99"/>
      <c r="J160" s="101"/>
      <c r="K160" s="109"/>
      <c r="L160" s="110"/>
      <c r="M160" s="111"/>
      <c r="N160" s="99"/>
      <c r="O160" s="112"/>
      <c r="P160" s="112"/>
      <c r="Q160" s="104" t="str">
        <f t="shared" si="6"/>
        <v/>
      </c>
      <c r="R160" s="104" t="str">
        <f t="shared" si="7"/>
        <v/>
      </c>
      <c r="S160" s="104" t="str">
        <f t="shared" si="8"/>
        <v/>
      </c>
      <c r="T160" s="104" t="str">
        <f t="shared" si="9"/>
        <v/>
      </c>
      <c r="U160" s="104" t="str">
        <f t="shared" si="10"/>
        <v/>
      </c>
      <c r="V160" s="104" t="str">
        <f t="shared" si="11"/>
        <v/>
      </c>
      <c r="W160" s="105"/>
    </row>
    <row r="161" spans="1:23">
      <c r="A161" s="92"/>
      <c r="B161" s="103" t="s">
        <v>267</v>
      </c>
      <c r="C161" s="94"/>
      <c r="D161" s="95"/>
      <c r="E161" s="119">
        <v>0.95</v>
      </c>
      <c r="F161" s="96"/>
      <c r="G161" s="97"/>
      <c r="H161" s="98"/>
      <c r="I161" s="99"/>
      <c r="J161" s="99"/>
      <c r="K161" s="100"/>
      <c r="L161" s="99"/>
      <c r="M161" s="99"/>
      <c r="N161" s="99"/>
      <c r="O161" s="99"/>
      <c r="P161" s="101"/>
      <c r="Q161" s="104" t="str">
        <f t="shared" si="6"/>
        <v/>
      </c>
      <c r="R161" s="104" t="str">
        <f t="shared" si="7"/>
        <v/>
      </c>
      <c r="S161" s="104" t="str">
        <f t="shared" si="8"/>
        <v/>
      </c>
      <c r="T161" s="104" t="str">
        <f t="shared" si="9"/>
        <v/>
      </c>
      <c r="U161" s="104" t="str">
        <f t="shared" si="10"/>
        <v/>
      </c>
      <c r="V161" s="104" t="str">
        <f t="shared" si="11"/>
        <v/>
      </c>
      <c r="W161" s="105"/>
    </row>
    <row r="162" spans="1:23">
      <c r="A162" s="92">
        <v>1</v>
      </c>
      <c r="B162" s="106"/>
      <c r="C162" s="107"/>
      <c r="D162" s="786"/>
      <c r="E162" s="799"/>
      <c r="F162" s="107"/>
      <c r="G162" s="108"/>
      <c r="H162" s="98">
        <v>20</v>
      </c>
      <c r="I162" s="99">
        <v>1</v>
      </c>
      <c r="J162" s="380">
        <v>785</v>
      </c>
      <c r="K162" s="109">
        <f>0.35+0.675+0.95+0.675+0.35</f>
        <v>3</v>
      </c>
      <c r="L162" s="110" t="str">
        <f>IF(O162&lt;12,"0",0.049*H162)</f>
        <v>0</v>
      </c>
      <c r="M162" s="111"/>
      <c r="N162" s="112">
        <f>M162*2*H162/1000</f>
        <v>0</v>
      </c>
      <c r="O162" s="110">
        <f>K162-N162</f>
        <v>3</v>
      </c>
      <c r="P162" s="110">
        <f>(I162*J162*O162)+1*L162</f>
        <v>2355</v>
      </c>
      <c r="Q162" s="104" t="str">
        <f t="shared" si="6"/>
        <v/>
      </c>
      <c r="R162" s="104" t="str">
        <f t="shared" si="7"/>
        <v/>
      </c>
      <c r="S162" s="104" t="str">
        <f t="shared" si="8"/>
        <v/>
      </c>
      <c r="T162" s="104" t="str">
        <f t="shared" si="9"/>
        <v/>
      </c>
      <c r="U162" s="104">
        <f t="shared" si="10"/>
        <v>2355</v>
      </c>
      <c r="V162" s="104" t="str">
        <f t="shared" si="11"/>
        <v/>
      </c>
      <c r="W162" s="105"/>
    </row>
    <row r="163" spans="1:23">
      <c r="A163" s="92"/>
      <c r="B163" s="106"/>
      <c r="C163" s="107"/>
      <c r="D163" s="117"/>
      <c r="E163" s="117">
        <v>0.67500000000000004</v>
      </c>
      <c r="F163" s="118"/>
      <c r="G163" s="108"/>
      <c r="H163" s="98"/>
      <c r="I163" s="99"/>
      <c r="J163" s="101"/>
      <c r="K163" s="109"/>
      <c r="L163" s="110"/>
      <c r="M163" s="111"/>
      <c r="N163" s="99"/>
      <c r="O163" s="112"/>
      <c r="P163" s="112"/>
      <c r="Q163" s="104" t="str">
        <f t="shared" si="6"/>
        <v/>
      </c>
      <c r="R163" s="104" t="str">
        <f t="shared" si="7"/>
        <v/>
      </c>
      <c r="S163" s="104" t="str">
        <f t="shared" si="8"/>
        <v/>
      </c>
      <c r="T163" s="104" t="str">
        <f t="shared" si="9"/>
        <v/>
      </c>
      <c r="U163" s="104" t="str">
        <f t="shared" si="10"/>
        <v/>
      </c>
      <c r="V163" s="104" t="str">
        <f t="shared" si="11"/>
        <v/>
      </c>
      <c r="W163" s="105"/>
    </row>
    <row r="164" spans="1:23">
      <c r="A164" s="92"/>
      <c r="B164" s="106"/>
      <c r="C164" s="107"/>
      <c r="D164" s="117"/>
      <c r="E164" s="117"/>
      <c r="F164" s="120">
        <v>0.35</v>
      </c>
      <c r="G164" s="108"/>
      <c r="H164" s="98"/>
      <c r="I164" s="99"/>
      <c r="J164" s="101"/>
      <c r="K164" s="109"/>
      <c r="L164" s="110"/>
      <c r="M164" s="111"/>
      <c r="N164" s="99"/>
      <c r="O164" s="112"/>
      <c r="P164" s="112"/>
      <c r="Q164" s="104" t="str">
        <f t="shared" si="6"/>
        <v/>
      </c>
      <c r="R164" s="104" t="str">
        <f t="shared" si="7"/>
        <v/>
      </c>
      <c r="S164" s="104" t="str">
        <f t="shared" si="8"/>
        <v/>
      </c>
      <c r="T164" s="104" t="str">
        <f t="shared" si="9"/>
        <v/>
      </c>
      <c r="U164" s="104" t="str">
        <f t="shared" si="10"/>
        <v/>
      </c>
      <c r="V164" s="104" t="str">
        <f t="shared" si="11"/>
        <v/>
      </c>
      <c r="W164" s="105"/>
    </row>
    <row r="165" spans="1:23">
      <c r="A165" s="92"/>
      <c r="B165" s="106"/>
      <c r="C165" s="107"/>
      <c r="D165" s="117"/>
      <c r="E165" s="117"/>
      <c r="F165" s="118"/>
      <c r="G165" s="108"/>
      <c r="H165" s="98"/>
      <c r="I165" s="99"/>
      <c r="J165" s="101"/>
      <c r="K165" s="109"/>
      <c r="L165" s="110"/>
      <c r="M165" s="111"/>
      <c r="N165" s="99"/>
      <c r="O165" s="112"/>
      <c r="P165" s="112"/>
      <c r="Q165" s="104" t="str">
        <f t="shared" si="6"/>
        <v/>
      </c>
      <c r="R165" s="104" t="str">
        <f t="shared" si="7"/>
        <v/>
      </c>
      <c r="S165" s="104" t="str">
        <f t="shared" si="8"/>
        <v/>
      </c>
      <c r="T165" s="104" t="str">
        <f t="shared" si="9"/>
        <v/>
      </c>
      <c r="U165" s="104" t="str">
        <f t="shared" si="10"/>
        <v/>
      </c>
      <c r="V165" s="104" t="str">
        <f t="shared" si="11"/>
        <v/>
      </c>
      <c r="W165" s="105"/>
    </row>
    <row r="166" spans="1:23">
      <c r="A166" s="92"/>
      <c r="B166" s="106"/>
      <c r="C166" s="107"/>
      <c r="D166" s="117"/>
      <c r="E166" s="117"/>
      <c r="F166" s="118"/>
      <c r="G166" s="108"/>
      <c r="H166" s="98"/>
      <c r="I166" s="99"/>
      <c r="J166" s="101"/>
      <c r="K166" s="109"/>
      <c r="L166" s="110"/>
      <c r="M166" s="111"/>
      <c r="N166" s="99"/>
      <c r="O166" s="112"/>
      <c r="P166" s="112"/>
      <c r="Q166" s="104" t="str">
        <f t="shared" si="6"/>
        <v/>
      </c>
      <c r="R166" s="104" t="str">
        <f t="shared" si="7"/>
        <v/>
      </c>
      <c r="S166" s="104" t="str">
        <f t="shared" si="8"/>
        <v/>
      </c>
      <c r="T166" s="104" t="str">
        <f t="shared" si="9"/>
        <v/>
      </c>
      <c r="U166" s="104" t="str">
        <f t="shared" si="10"/>
        <v/>
      </c>
      <c r="V166" s="104" t="str">
        <f t="shared" si="11"/>
        <v/>
      </c>
      <c r="W166" s="105"/>
    </row>
    <row r="167" spans="1:23">
      <c r="A167" s="92"/>
      <c r="B167" s="103" t="s">
        <v>268</v>
      </c>
      <c r="C167" s="107"/>
      <c r="D167" s="117"/>
      <c r="E167" s="117"/>
      <c r="F167" s="118"/>
      <c r="G167" s="108"/>
      <c r="H167" s="98"/>
      <c r="I167" s="99"/>
      <c r="J167" s="101"/>
      <c r="K167" s="109"/>
      <c r="L167" s="110"/>
      <c r="M167" s="111"/>
      <c r="N167" s="99"/>
      <c r="O167" s="112"/>
      <c r="P167" s="112"/>
      <c r="Q167" s="104" t="str">
        <f t="shared" si="6"/>
        <v/>
      </c>
      <c r="R167" s="104" t="str">
        <f t="shared" si="7"/>
        <v/>
      </c>
      <c r="S167" s="104" t="str">
        <f t="shared" si="8"/>
        <v/>
      </c>
      <c r="T167" s="104" t="str">
        <f t="shared" si="9"/>
        <v/>
      </c>
      <c r="U167" s="104" t="str">
        <f t="shared" si="10"/>
        <v/>
      </c>
      <c r="V167" s="104" t="str">
        <f t="shared" si="11"/>
        <v/>
      </c>
      <c r="W167" s="105"/>
    </row>
    <row r="168" spans="1:23" ht="15" customHeight="1">
      <c r="A168" s="92">
        <v>1</v>
      </c>
      <c r="B168" s="121" t="s">
        <v>426</v>
      </c>
      <c r="C168" s="122"/>
      <c r="D168" s="798">
        <f>0.7+1.65+1</f>
        <v>3.3499999999999996</v>
      </c>
      <c r="E168" s="798"/>
      <c r="F168" s="118"/>
      <c r="G168" s="108">
        <v>0.25</v>
      </c>
      <c r="H168" s="98">
        <v>20</v>
      </c>
      <c r="I168" s="99">
        <v>1</v>
      </c>
      <c r="J168" s="101">
        <f>ROUND(1.95/G168+1,0)</f>
        <v>9</v>
      </c>
      <c r="K168" s="109">
        <f>D168</f>
        <v>3.3499999999999996</v>
      </c>
      <c r="L168" s="110" t="str">
        <f>IF(O168&lt;12,"0",0.049*H168)</f>
        <v>0</v>
      </c>
      <c r="M168" s="111">
        <v>0</v>
      </c>
      <c r="N168" s="99">
        <f>M168*2*H168/1000</f>
        <v>0</v>
      </c>
      <c r="O168" s="112">
        <f>(D168)-N168</f>
        <v>3.3499999999999996</v>
      </c>
      <c r="P168" s="112">
        <f>(I168*J168*O168)+L168</f>
        <v>30.15</v>
      </c>
      <c r="Q168" s="104" t="str">
        <f t="shared" si="6"/>
        <v/>
      </c>
      <c r="R168" s="104" t="str">
        <f t="shared" si="7"/>
        <v/>
      </c>
      <c r="S168" s="104" t="str">
        <f t="shared" si="8"/>
        <v/>
      </c>
      <c r="T168" s="104" t="str">
        <f t="shared" si="9"/>
        <v/>
      </c>
      <c r="U168" s="104">
        <f t="shared" si="10"/>
        <v>30.15</v>
      </c>
      <c r="V168" s="104" t="str">
        <f t="shared" si="11"/>
        <v/>
      </c>
      <c r="W168" s="105"/>
    </row>
    <row r="169" spans="1:23">
      <c r="A169" s="92"/>
      <c r="B169" s="121" t="s">
        <v>269</v>
      </c>
      <c r="C169" s="107"/>
      <c r="D169" s="117"/>
      <c r="E169" s="117"/>
      <c r="F169" s="118"/>
      <c r="G169" s="108"/>
      <c r="H169" s="98"/>
      <c r="I169" s="99"/>
      <c r="J169" s="101"/>
      <c r="K169" s="109"/>
      <c r="L169" s="110"/>
      <c r="M169" s="111"/>
      <c r="N169" s="99"/>
      <c r="O169" s="112"/>
      <c r="P169" s="112"/>
      <c r="Q169" s="104" t="str">
        <f t="shared" si="6"/>
        <v/>
      </c>
      <c r="R169" s="104" t="str">
        <f t="shared" si="7"/>
        <v/>
      </c>
      <c r="S169" s="104" t="str">
        <f t="shared" si="8"/>
        <v/>
      </c>
      <c r="T169" s="104" t="str">
        <f t="shared" si="9"/>
        <v/>
      </c>
      <c r="U169" s="104" t="str">
        <f t="shared" si="10"/>
        <v/>
      </c>
      <c r="V169" s="104" t="str">
        <f t="shared" si="11"/>
        <v/>
      </c>
      <c r="W169" s="105"/>
    </row>
    <row r="170" spans="1:23">
      <c r="A170" s="92"/>
      <c r="B170" s="123"/>
      <c r="C170" s="107"/>
      <c r="D170" s="117"/>
      <c r="E170" s="117"/>
      <c r="F170" s="118"/>
      <c r="G170" s="108"/>
      <c r="H170" s="98"/>
      <c r="I170" s="99"/>
      <c r="J170" s="101"/>
      <c r="K170" s="109"/>
      <c r="L170" s="110"/>
      <c r="M170" s="111"/>
      <c r="N170" s="99"/>
      <c r="O170" s="112"/>
      <c r="P170" s="112"/>
      <c r="Q170" s="104" t="str">
        <f t="shared" si="6"/>
        <v/>
      </c>
      <c r="R170" s="104" t="str">
        <f t="shared" si="7"/>
        <v/>
      </c>
      <c r="S170" s="104" t="str">
        <f t="shared" si="8"/>
        <v/>
      </c>
      <c r="T170" s="104" t="str">
        <f t="shared" si="9"/>
        <v/>
      </c>
      <c r="U170" s="104" t="str">
        <f t="shared" si="10"/>
        <v/>
      </c>
      <c r="V170" s="104" t="str">
        <f t="shared" si="11"/>
        <v/>
      </c>
      <c r="W170" s="105"/>
    </row>
    <row r="171" spans="1:23" ht="15" customHeight="1">
      <c r="A171" s="92">
        <v>2</v>
      </c>
      <c r="B171" s="121" t="s">
        <v>427</v>
      </c>
      <c r="C171" s="122"/>
      <c r="D171" s="798">
        <f>0.7+0.65+0.6</f>
        <v>1.9500000000000002</v>
      </c>
      <c r="E171" s="798"/>
      <c r="F171" s="118"/>
      <c r="G171" s="108">
        <v>0.25</v>
      </c>
      <c r="H171" s="98">
        <v>12</v>
      </c>
      <c r="I171" s="99">
        <v>1</v>
      </c>
      <c r="J171" s="101">
        <f>ROUND(3.35/G171+1,0)</f>
        <v>14</v>
      </c>
      <c r="K171" s="109">
        <f>D171</f>
        <v>1.9500000000000002</v>
      </c>
      <c r="L171" s="110" t="str">
        <f>IF(O171&lt;12,"0",0.049*H171)</f>
        <v>0</v>
      </c>
      <c r="M171" s="111">
        <v>0</v>
      </c>
      <c r="N171" s="99">
        <f>M171*2*H171/1000</f>
        <v>0</v>
      </c>
      <c r="O171" s="112">
        <f>(D171)-N171</f>
        <v>1.9500000000000002</v>
      </c>
      <c r="P171" s="112">
        <f>(I171*J171*O171)+L171</f>
        <v>27.300000000000004</v>
      </c>
      <c r="Q171" s="104" t="str">
        <f t="shared" si="6"/>
        <v/>
      </c>
      <c r="R171" s="104" t="str">
        <f t="shared" si="7"/>
        <v/>
      </c>
      <c r="S171" s="104">
        <f t="shared" si="8"/>
        <v>27.300000000000004</v>
      </c>
      <c r="T171" s="104" t="str">
        <f t="shared" si="9"/>
        <v/>
      </c>
      <c r="U171" s="104" t="str">
        <f t="shared" si="10"/>
        <v/>
      </c>
      <c r="V171" s="104" t="str">
        <f t="shared" si="11"/>
        <v/>
      </c>
      <c r="W171" s="105"/>
    </row>
    <row r="172" spans="1:23">
      <c r="A172" s="92"/>
      <c r="B172" s="121" t="s">
        <v>269</v>
      </c>
      <c r="C172" s="107"/>
      <c r="D172" s="117"/>
      <c r="E172" s="117"/>
      <c r="F172" s="118"/>
      <c r="G172" s="108"/>
      <c r="H172" s="98"/>
      <c r="I172" s="99"/>
      <c r="J172" s="101"/>
      <c r="K172" s="109"/>
      <c r="L172" s="110"/>
      <c r="M172" s="111"/>
      <c r="N172" s="99"/>
      <c r="O172" s="112"/>
      <c r="P172" s="112"/>
      <c r="Q172" s="104" t="str">
        <f t="shared" si="6"/>
        <v/>
      </c>
      <c r="R172" s="104" t="str">
        <f t="shared" si="7"/>
        <v/>
      </c>
      <c r="S172" s="104" t="str">
        <f t="shared" si="8"/>
        <v/>
      </c>
      <c r="T172" s="104" t="str">
        <f t="shared" si="9"/>
        <v/>
      </c>
      <c r="U172" s="104" t="str">
        <f t="shared" si="10"/>
        <v/>
      </c>
      <c r="V172" s="104" t="str">
        <f t="shared" si="11"/>
        <v/>
      </c>
      <c r="W172" s="105"/>
    </row>
    <row r="173" spans="1:23">
      <c r="A173" s="92"/>
      <c r="B173" s="123"/>
      <c r="C173" s="107"/>
      <c r="D173" s="117"/>
      <c r="E173" s="117"/>
      <c r="F173" s="118"/>
      <c r="G173" s="108"/>
      <c r="H173" s="98"/>
      <c r="I173" s="99"/>
      <c r="J173" s="101"/>
      <c r="K173" s="109"/>
      <c r="L173" s="110"/>
      <c r="M173" s="111"/>
      <c r="N173" s="99"/>
      <c r="O173" s="112"/>
      <c r="P173" s="112"/>
      <c r="Q173" s="104" t="str">
        <f t="shared" ref="Q173:Q236" si="12">IF($H173=8,$P173,"")</f>
        <v/>
      </c>
      <c r="R173" s="104" t="str">
        <f t="shared" ref="R173:R236" si="13">IF($H173=10,$P173,"")</f>
        <v/>
      </c>
      <c r="S173" s="104" t="str">
        <f t="shared" ref="S173:S236" si="14">IF($H173=12,$P173,"")</f>
        <v/>
      </c>
      <c r="T173" s="104" t="str">
        <f t="shared" ref="T173:T236" si="15">IF($H173=16,$P173,"")</f>
        <v/>
      </c>
      <c r="U173" s="104" t="str">
        <f t="shared" ref="U173:U236" si="16">IF($H173=20,$P173,"")</f>
        <v/>
      </c>
      <c r="V173" s="104" t="str">
        <f t="shared" ref="V173:V236" si="17">IF($H173=25,$P173,"")</f>
        <v/>
      </c>
      <c r="W173" s="105"/>
    </row>
    <row r="174" spans="1:23" ht="15" customHeight="1">
      <c r="A174" s="92">
        <v>3</v>
      </c>
      <c r="B174" s="121" t="s">
        <v>426</v>
      </c>
      <c r="C174" s="122"/>
      <c r="D174" s="798">
        <f>1.25+0.6+0.75-0.05</f>
        <v>2.5500000000000003</v>
      </c>
      <c r="E174" s="798"/>
      <c r="F174" s="118"/>
      <c r="G174" s="108">
        <v>0.25</v>
      </c>
      <c r="H174" s="98">
        <v>25</v>
      </c>
      <c r="I174" s="99">
        <v>1</v>
      </c>
      <c r="J174" s="101">
        <f>ROUND(2.3/G174+1,0)</f>
        <v>10</v>
      </c>
      <c r="K174" s="109">
        <f>D174</f>
        <v>2.5500000000000003</v>
      </c>
      <c r="L174" s="110" t="str">
        <f>IF(O174&lt;12,"0",0.049*H174)</f>
        <v>0</v>
      </c>
      <c r="M174" s="111">
        <v>0</v>
      </c>
      <c r="N174" s="99">
        <f>M174*2*H174/1000</f>
        <v>0</v>
      </c>
      <c r="O174" s="112">
        <f>(D174)-N174</f>
        <v>2.5500000000000003</v>
      </c>
      <c r="P174" s="112">
        <f>(I174*J174*O174)+L174</f>
        <v>25.500000000000004</v>
      </c>
      <c r="Q174" s="104" t="str">
        <f t="shared" si="12"/>
        <v/>
      </c>
      <c r="R174" s="104" t="str">
        <f t="shared" si="13"/>
        <v/>
      </c>
      <c r="S174" s="104" t="str">
        <f t="shared" si="14"/>
        <v/>
      </c>
      <c r="T174" s="104" t="str">
        <f t="shared" si="15"/>
        <v/>
      </c>
      <c r="U174" s="104" t="str">
        <f t="shared" si="16"/>
        <v/>
      </c>
      <c r="V174" s="104">
        <f t="shared" si="17"/>
        <v>25.500000000000004</v>
      </c>
      <c r="W174" s="105"/>
    </row>
    <row r="175" spans="1:23">
      <c r="A175" s="92"/>
      <c r="B175" s="121" t="s">
        <v>270</v>
      </c>
      <c r="C175" s="107"/>
      <c r="D175" s="117"/>
      <c r="E175" s="117"/>
      <c r="F175" s="118"/>
      <c r="G175" s="108"/>
      <c r="H175" s="98"/>
      <c r="I175" s="99"/>
      <c r="J175" s="101"/>
      <c r="K175" s="109"/>
      <c r="L175" s="110"/>
      <c r="M175" s="111"/>
      <c r="N175" s="99"/>
      <c r="O175" s="112"/>
      <c r="P175" s="112"/>
      <c r="Q175" s="104" t="str">
        <f t="shared" si="12"/>
        <v/>
      </c>
      <c r="R175" s="104" t="str">
        <f t="shared" si="13"/>
        <v/>
      </c>
      <c r="S175" s="104" t="str">
        <f t="shared" si="14"/>
        <v/>
      </c>
      <c r="T175" s="104" t="str">
        <f t="shared" si="15"/>
        <v/>
      </c>
      <c r="U175" s="104" t="str">
        <f t="shared" si="16"/>
        <v/>
      </c>
      <c r="V175" s="104" t="str">
        <f t="shared" si="17"/>
        <v/>
      </c>
      <c r="W175" s="105"/>
    </row>
    <row r="176" spans="1:23">
      <c r="A176" s="92"/>
      <c r="B176" s="121"/>
      <c r="C176" s="107"/>
      <c r="D176" s="117"/>
      <c r="E176" s="117"/>
      <c r="F176" s="118"/>
      <c r="G176" s="108"/>
      <c r="H176" s="98"/>
      <c r="I176" s="99"/>
      <c r="J176" s="101"/>
      <c r="K176" s="109"/>
      <c r="L176" s="110"/>
      <c r="M176" s="111"/>
      <c r="N176" s="99"/>
      <c r="O176" s="112"/>
      <c r="P176" s="112"/>
      <c r="Q176" s="104" t="str">
        <f t="shared" si="12"/>
        <v/>
      </c>
      <c r="R176" s="104" t="str">
        <f t="shared" si="13"/>
        <v/>
      </c>
      <c r="S176" s="104" t="str">
        <f t="shared" si="14"/>
        <v/>
      </c>
      <c r="T176" s="104" t="str">
        <f t="shared" si="15"/>
        <v/>
      </c>
      <c r="U176" s="104" t="str">
        <f t="shared" si="16"/>
        <v/>
      </c>
      <c r="V176" s="104" t="str">
        <f t="shared" si="17"/>
        <v/>
      </c>
      <c r="W176" s="105"/>
    </row>
    <row r="177" spans="1:23" ht="15" customHeight="1">
      <c r="A177" s="92">
        <v>4</v>
      </c>
      <c r="B177" s="121" t="s">
        <v>427</v>
      </c>
      <c r="C177" s="122"/>
      <c r="D177" s="798">
        <f>1+0.3+1</f>
        <v>2.2999999999999998</v>
      </c>
      <c r="E177" s="798"/>
      <c r="F177" s="118"/>
      <c r="G177" s="108">
        <v>0.25</v>
      </c>
      <c r="H177" s="98">
        <v>20</v>
      </c>
      <c r="I177" s="99">
        <v>1</v>
      </c>
      <c r="J177" s="101">
        <f>ROUND(2.55/G177+1,0)</f>
        <v>11</v>
      </c>
      <c r="K177" s="109">
        <f>D177</f>
        <v>2.2999999999999998</v>
      </c>
      <c r="L177" s="110" t="str">
        <f>IF(O177&lt;12,"0",0.049*H177)</f>
        <v>0</v>
      </c>
      <c r="M177" s="111">
        <v>0</v>
      </c>
      <c r="N177" s="99">
        <f>M177*2*H177/1000</f>
        <v>0</v>
      </c>
      <c r="O177" s="112">
        <f>(D177)-N177</f>
        <v>2.2999999999999998</v>
      </c>
      <c r="P177" s="112">
        <f>(I177*J177*O177)+L177</f>
        <v>25.299999999999997</v>
      </c>
      <c r="Q177" s="104" t="str">
        <f t="shared" si="12"/>
        <v/>
      </c>
      <c r="R177" s="104" t="str">
        <f t="shared" si="13"/>
        <v/>
      </c>
      <c r="S177" s="104" t="str">
        <f t="shared" si="14"/>
        <v/>
      </c>
      <c r="T177" s="104" t="str">
        <f t="shared" si="15"/>
        <v/>
      </c>
      <c r="U177" s="104">
        <f t="shared" si="16"/>
        <v>25.299999999999997</v>
      </c>
      <c r="V177" s="104" t="str">
        <f t="shared" si="17"/>
        <v/>
      </c>
      <c r="W177" s="105"/>
    </row>
    <row r="178" spans="1:23">
      <c r="A178" s="92"/>
      <c r="B178" s="121" t="s">
        <v>270</v>
      </c>
      <c r="C178" s="107"/>
      <c r="D178" s="117"/>
      <c r="E178" s="117"/>
      <c r="F178" s="118"/>
      <c r="G178" s="108"/>
      <c r="H178" s="98"/>
      <c r="I178" s="99"/>
      <c r="J178" s="101"/>
      <c r="K178" s="109"/>
      <c r="L178" s="110"/>
      <c r="M178" s="111"/>
      <c r="N178" s="99"/>
      <c r="O178" s="112"/>
      <c r="P178" s="112"/>
      <c r="Q178" s="104" t="str">
        <f t="shared" si="12"/>
        <v/>
      </c>
      <c r="R178" s="104" t="str">
        <f t="shared" si="13"/>
        <v/>
      </c>
      <c r="S178" s="104" t="str">
        <f t="shared" si="14"/>
        <v/>
      </c>
      <c r="T178" s="104" t="str">
        <f t="shared" si="15"/>
        <v/>
      </c>
      <c r="U178" s="104" t="str">
        <f t="shared" si="16"/>
        <v/>
      </c>
      <c r="V178" s="104" t="str">
        <f t="shared" si="17"/>
        <v/>
      </c>
      <c r="W178" s="105"/>
    </row>
    <row r="179" spans="1:23">
      <c r="A179" s="92"/>
      <c r="B179" s="121"/>
      <c r="C179" s="107"/>
      <c r="D179" s="117"/>
      <c r="E179" s="117"/>
      <c r="F179" s="118"/>
      <c r="G179" s="108"/>
      <c r="H179" s="98"/>
      <c r="I179" s="99"/>
      <c r="J179" s="101"/>
      <c r="K179" s="109"/>
      <c r="L179" s="110"/>
      <c r="M179" s="111"/>
      <c r="N179" s="99"/>
      <c r="O179" s="112"/>
      <c r="P179" s="112"/>
      <c r="Q179" s="104" t="str">
        <f t="shared" si="12"/>
        <v/>
      </c>
      <c r="R179" s="104" t="str">
        <f t="shared" si="13"/>
        <v/>
      </c>
      <c r="S179" s="104" t="str">
        <f t="shared" si="14"/>
        <v/>
      </c>
      <c r="T179" s="104" t="str">
        <f t="shared" si="15"/>
        <v/>
      </c>
      <c r="U179" s="104" t="str">
        <f t="shared" si="16"/>
        <v/>
      </c>
      <c r="V179" s="104" t="str">
        <f t="shared" si="17"/>
        <v/>
      </c>
      <c r="W179" s="105"/>
    </row>
    <row r="180" spans="1:23" ht="15" customHeight="1">
      <c r="A180" s="92">
        <v>5</v>
      </c>
      <c r="B180" s="121" t="s">
        <v>426</v>
      </c>
      <c r="C180" s="122"/>
      <c r="D180" s="798">
        <f>0.75-0.05+0.3+1</f>
        <v>2</v>
      </c>
      <c r="E180" s="798"/>
      <c r="F180" s="118"/>
      <c r="G180" s="108">
        <v>0.25</v>
      </c>
      <c r="H180" s="98">
        <v>20</v>
      </c>
      <c r="I180" s="99">
        <v>1</v>
      </c>
      <c r="J180" s="101">
        <f>ROUND(2.3/G180+1,0)</f>
        <v>10</v>
      </c>
      <c r="K180" s="109">
        <f>D180</f>
        <v>2</v>
      </c>
      <c r="L180" s="110" t="str">
        <f>IF(O180&lt;12,"0",0.049*H180)</f>
        <v>0</v>
      </c>
      <c r="M180" s="111">
        <v>0</v>
      </c>
      <c r="N180" s="99">
        <f>M180*2*H180/1000</f>
        <v>0</v>
      </c>
      <c r="O180" s="112">
        <f>(D180)-N180</f>
        <v>2</v>
      </c>
      <c r="P180" s="112">
        <f>(I180*J180*O180)+L180</f>
        <v>20</v>
      </c>
      <c r="Q180" s="104" t="str">
        <f t="shared" si="12"/>
        <v/>
      </c>
      <c r="R180" s="104" t="str">
        <f t="shared" si="13"/>
        <v/>
      </c>
      <c r="S180" s="104" t="str">
        <f t="shared" si="14"/>
        <v/>
      </c>
      <c r="T180" s="104" t="str">
        <f t="shared" si="15"/>
        <v/>
      </c>
      <c r="U180" s="104">
        <f t="shared" si="16"/>
        <v>20</v>
      </c>
      <c r="V180" s="104" t="str">
        <f t="shared" si="17"/>
        <v/>
      </c>
      <c r="W180" s="105"/>
    </row>
    <row r="181" spans="1:23">
      <c r="A181" s="92"/>
      <c r="B181" s="121" t="s">
        <v>271</v>
      </c>
      <c r="C181" s="107"/>
      <c r="D181" s="117"/>
      <c r="E181" s="117"/>
      <c r="F181" s="118"/>
      <c r="G181" s="108"/>
      <c r="H181" s="98"/>
      <c r="I181" s="99"/>
      <c r="J181" s="101"/>
      <c r="K181" s="109"/>
      <c r="L181" s="110"/>
      <c r="M181" s="111"/>
      <c r="N181" s="99"/>
      <c r="O181" s="112"/>
      <c r="P181" s="112"/>
      <c r="Q181" s="104" t="str">
        <f t="shared" si="12"/>
        <v/>
      </c>
      <c r="R181" s="104" t="str">
        <f t="shared" si="13"/>
        <v/>
      </c>
      <c r="S181" s="104" t="str">
        <f t="shared" si="14"/>
        <v/>
      </c>
      <c r="T181" s="104" t="str">
        <f t="shared" si="15"/>
        <v/>
      </c>
      <c r="U181" s="104" t="str">
        <f t="shared" si="16"/>
        <v/>
      </c>
      <c r="V181" s="104" t="str">
        <f t="shared" si="17"/>
        <v/>
      </c>
      <c r="W181" s="105"/>
    </row>
    <row r="182" spans="1:23">
      <c r="A182" s="92"/>
      <c r="B182" s="121"/>
      <c r="C182" s="107"/>
      <c r="D182" s="117"/>
      <c r="E182" s="117"/>
      <c r="F182" s="118"/>
      <c r="G182" s="108"/>
      <c r="H182" s="98"/>
      <c r="I182" s="99"/>
      <c r="J182" s="101"/>
      <c r="K182" s="109"/>
      <c r="L182" s="110"/>
      <c r="M182" s="111"/>
      <c r="N182" s="99"/>
      <c r="O182" s="112"/>
      <c r="P182" s="112"/>
      <c r="Q182" s="104" t="str">
        <f t="shared" si="12"/>
        <v/>
      </c>
      <c r="R182" s="104" t="str">
        <f t="shared" si="13"/>
        <v/>
      </c>
      <c r="S182" s="104" t="str">
        <f t="shared" si="14"/>
        <v/>
      </c>
      <c r="T182" s="104" t="str">
        <f t="shared" si="15"/>
        <v/>
      </c>
      <c r="U182" s="104" t="str">
        <f t="shared" si="16"/>
        <v/>
      </c>
      <c r="V182" s="104" t="str">
        <f t="shared" si="17"/>
        <v/>
      </c>
      <c r="W182" s="105"/>
    </row>
    <row r="183" spans="1:23" ht="15" customHeight="1">
      <c r="A183" s="92">
        <v>6</v>
      </c>
      <c r="B183" s="121" t="s">
        <v>427</v>
      </c>
      <c r="C183" s="122"/>
      <c r="D183" s="798">
        <f>1+0.6+0.75-0.05</f>
        <v>2.3000000000000003</v>
      </c>
      <c r="E183" s="798"/>
      <c r="F183" s="118"/>
      <c r="G183" s="108">
        <v>0.25</v>
      </c>
      <c r="H183" s="98">
        <v>20</v>
      </c>
      <c r="I183" s="99">
        <v>1</v>
      </c>
      <c r="J183" s="101">
        <f>ROUND(2/G183+1,0)</f>
        <v>9</v>
      </c>
      <c r="K183" s="109">
        <f>D183</f>
        <v>2.3000000000000003</v>
      </c>
      <c r="L183" s="110" t="str">
        <f>IF(O183&lt;12,"0",0.049*H183)</f>
        <v>0</v>
      </c>
      <c r="M183" s="111">
        <v>0</v>
      </c>
      <c r="N183" s="99">
        <f>M183*2*H183/1000</f>
        <v>0</v>
      </c>
      <c r="O183" s="112">
        <f>(D183)-N183</f>
        <v>2.3000000000000003</v>
      </c>
      <c r="P183" s="112">
        <f>(I183*J183*O183)+L183</f>
        <v>20.700000000000003</v>
      </c>
      <c r="Q183" s="104" t="str">
        <f t="shared" si="12"/>
        <v/>
      </c>
      <c r="R183" s="104" t="str">
        <f t="shared" si="13"/>
        <v/>
      </c>
      <c r="S183" s="104" t="str">
        <f t="shared" si="14"/>
        <v/>
      </c>
      <c r="T183" s="104" t="str">
        <f t="shared" si="15"/>
        <v/>
      </c>
      <c r="U183" s="104">
        <f t="shared" si="16"/>
        <v>20.700000000000003</v>
      </c>
      <c r="V183" s="104" t="str">
        <f t="shared" si="17"/>
        <v/>
      </c>
      <c r="W183" s="105"/>
    </row>
    <row r="184" spans="1:23">
      <c r="A184" s="92"/>
      <c r="B184" s="121" t="s">
        <v>271</v>
      </c>
      <c r="C184" s="107"/>
      <c r="D184" s="117"/>
      <c r="E184" s="117"/>
      <c r="F184" s="118"/>
      <c r="G184" s="108"/>
      <c r="H184" s="98"/>
      <c r="I184" s="99"/>
      <c r="J184" s="101"/>
      <c r="K184" s="109"/>
      <c r="L184" s="110"/>
      <c r="M184" s="111"/>
      <c r="N184" s="99"/>
      <c r="O184" s="112"/>
      <c r="P184" s="112"/>
      <c r="Q184" s="104" t="str">
        <f t="shared" si="12"/>
        <v/>
      </c>
      <c r="R184" s="104" t="str">
        <f t="shared" si="13"/>
        <v/>
      </c>
      <c r="S184" s="104" t="str">
        <f t="shared" si="14"/>
        <v/>
      </c>
      <c r="T184" s="104" t="str">
        <f t="shared" si="15"/>
        <v/>
      </c>
      <c r="U184" s="104" t="str">
        <f t="shared" si="16"/>
        <v/>
      </c>
      <c r="V184" s="104" t="str">
        <f t="shared" si="17"/>
        <v/>
      </c>
      <c r="W184" s="105"/>
    </row>
    <row r="185" spans="1:23">
      <c r="A185" s="92"/>
      <c r="B185" s="121"/>
      <c r="C185" s="107"/>
      <c r="D185" s="117"/>
      <c r="E185" s="117"/>
      <c r="F185" s="118"/>
      <c r="G185" s="108"/>
      <c r="H185" s="98"/>
      <c r="I185" s="99"/>
      <c r="J185" s="101"/>
      <c r="K185" s="109"/>
      <c r="L185" s="110"/>
      <c r="M185" s="111"/>
      <c r="N185" s="99"/>
      <c r="O185" s="112"/>
      <c r="P185" s="112"/>
      <c r="Q185" s="104" t="str">
        <f t="shared" si="12"/>
        <v/>
      </c>
      <c r="R185" s="104" t="str">
        <f t="shared" si="13"/>
        <v/>
      </c>
      <c r="S185" s="104" t="str">
        <f t="shared" si="14"/>
        <v/>
      </c>
      <c r="T185" s="104" t="str">
        <f t="shared" si="15"/>
        <v/>
      </c>
      <c r="U185" s="104" t="str">
        <f t="shared" si="16"/>
        <v/>
      </c>
      <c r="V185" s="104" t="str">
        <f t="shared" si="17"/>
        <v/>
      </c>
      <c r="W185" s="105"/>
    </row>
    <row r="186" spans="1:23" ht="15" customHeight="1">
      <c r="A186" s="92">
        <v>7</v>
      </c>
      <c r="B186" s="121" t="s">
        <v>426</v>
      </c>
      <c r="C186" s="122"/>
      <c r="D186" s="798">
        <f>0.75-0.05+1.85+1</f>
        <v>3.55</v>
      </c>
      <c r="E186" s="798"/>
      <c r="F186" s="118"/>
      <c r="G186" s="108">
        <v>0.25</v>
      </c>
      <c r="H186" s="98">
        <v>20</v>
      </c>
      <c r="I186" s="99">
        <v>1</v>
      </c>
      <c r="J186" s="101">
        <f>ROUND(2.4/G186+1,0)</f>
        <v>11</v>
      </c>
      <c r="K186" s="109">
        <f>D186</f>
        <v>3.55</v>
      </c>
      <c r="L186" s="110" t="str">
        <f>IF(O186&lt;12,"0",0.049*H186)</f>
        <v>0</v>
      </c>
      <c r="M186" s="111">
        <v>0</v>
      </c>
      <c r="N186" s="99">
        <f>M186*2*H186/1000</f>
        <v>0</v>
      </c>
      <c r="O186" s="112">
        <f>(D186)-N186</f>
        <v>3.55</v>
      </c>
      <c r="P186" s="112">
        <f>(I186*J186*O186)+L186</f>
        <v>39.049999999999997</v>
      </c>
      <c r="Q186" s="104" t="str">
        <f t="shared" si="12"/>
        <v/>
      </c>
      <c r="R186" s="104" t="str">
        <f t="shared" si="13"/>
        <v/>
      </c>
      <c r="S186" s="104" t="str">
        <f t="shared" si="14"/>
        <v/>
      </c>
      <c r="T186" s="104" t="str">
        <f t="shared" si="15"/>
        <v/>
      </c>
      <c r="U186" s="104">
        <f t="shared" si="16"/>
        <v>39.049999999999997</v>
      </c>
      <c r="V186" s="104" t="str">
        <f t="shared" si="17"/>
        <v/>
      </c>
      <c r="W186" s="105"/>
    </row>
    <row r="187" spans="1:23">
      <c r="A187" s="92"/>
      <c r="B187" s="121" t="s">
        <v>272</v>
      </c>
      <c r="C187" s="107"/>
      <c r="D187" s="117"/>
      <c r="E187" s="117"/>
      <c r="F187" s="118"/>
      <c r="G187" s="108"/>
      <c r="H187" s="98"/>
      <c r="I187" s="99"/>
      <c r="J187" s="101"/>
      <c r="K187" s="109"/>
      <c r="L187" s="110"/>
      <c r="M187" s="111"/>
      <c r="N187" s="99"/>
      <c r="O187" s="112"/>
      <c r="P187" s="112"/>
      <c r="Q187" s="104" t="str">
        <f t="shared" si="12"/>
        <v/>
      </c>
      <c r="R187" s="104" t="str">
        <f t="shared" si="13"/>
        <v/>
      </c>
      <c r="S187" s="104" t="str">
        <f t="shared" si="14"/>
        <v/>
      </c>
      <c r="T187" s="104" t="str">
        <f t="shared" si="15"/>
        <v/>
      </c>
      <c r="U187" s="104" t="str">
        <f t="shared" si="16"/>
        <v/>
      </c>
      <c r="V187" s="104" t="str">
        <f t="shared" si="17"/>
        <v/>
      </c>
      <c r="W187" s="105"/>
    </row>
    <row r="188" spans="1:23">
      <c r="A188" s="92"/>
      <c r="B188" s="121"/>
      <c r="C188" s="107"/>
      <c r="D188" s="117"/>
      <c r="E188" s="117"/>
      <c r="F188" s="118"/>
      <c r="G188" s="108"/>
      <c r="H188" s="98"/>
      <c r="I188" s="99"/>
      <c r="J188" s="101"/>
      <c r="K188" s="109"/>
      <c r="L188" s="110"/>
      <c r="M188" s="111"/>
      <c r="N188" s="99"/>
      <c r="O188" s="112"/>
      <c r="P188" s="112"/>
      <c r="Q188" s="104" t="str">
        <f t="shared" si="12"/>
        <v/>
      </c>
      <c r="R188" s="104" t="str">
        <f t="shared" si="13"/>
        <v/>
      </c>
      <c r="S188" s="104" t="str">
        <f t="shared" si="14"/>
        <v/>
      </c>
      <c r="T188" s="104" t="str">
        <f t="shared" si="15"/>
        <v/>
      </c>
      <c r="U188" s="104" t="str">
        <f t="shared" si="16"/>
        <v/>
      </c>
      <c r="V188" s="104" t="str">
        <f t="shared" si="17"/>
        <v/>
      </c>
      <c r="W188" s="105"/>
    </row>
    <row r="189" spans="1:23" ht="15" customHeight="1">
      <c r="A189" s="92">
        <v>7</v>
      </c>
      <c r="B189" s="121" t="s">
        <v>426</v>
      </c>
      <c r="C189" s="122"/>
      <c r="D189" s="798">
        <f>0.75-0.05+0.8+1</f>
        <v>2.5</v>
      </c>
      <c r="E189" s="798"/>
      <c r="F189" s="118"/>
      <c r="G189" s="108">
        <v>0.25</v>
      </c>
      <c r="H189" s="98">
        <v>25</v>
      </c>
      <c r="I189" s="99">
        <v>1</v>
      </c>
      <c r="J189" s="101">
        <f>ROUND(1.645/G189+1,0)</f>
        <v>8</v>
      </c>
      <c r="K189" s="109">
        <f>D189</f>
        <v>2.5</v>
      </c>
      <c r="L189" s="110" t="str">
        <f>IF(O189&lt;12,"0",0.049*H189)</f>
        <v>0</v>
      </c>
      <c r="M189" s="111">
        <v>0</v>
      </c>
      <c r="N189" s="99">
        <f>M189*2*H189/1000</f>
        <v>0</v>
      </c>
      <c r="O189" s="112">
        <f>(D189)-N189</f>
        <v>2.5</v>
      </c>
      <c r="P189" s="112">
        <f>(I189*J189*O189)+L189</f>
        <v>20</v>
      </c>
      <c r="Q189" s="104" t="str">
        <f t="shared" si="12"/>
        <v/>
      </c>
      <c r="R189" s="104" t="str">
        <f t="shared" si="13"/>
        <v/>
      </c>
      <c r="S189" s="104" t="str">
        <f t="shared" si="14"/>
        <v/>
      </c>
      <c r="T189" s="104" t="str">
        <f t="shared" si="15"/>
        <v/>
      </c>
      <c r="U189" s="104" t="str">
        <f t="shared" si="16"/>
        <v/>
      </c>
      <c r="V189" s="104">
        <f t="shared" si="17"/>
        <v>20</v>
      </c>
      <c r="W189" s="105"/>
    </row>
    <row r="190" spans="1:23">
      <c r="A190" s="92"/>
      <c r="B190" s="121" t="s">
        <v>272</v>
      </c>
      <c r="C190" s="107"/>
      <c r="D190" s="117"/>
      <c r="E190" s="117"/>
      <c r="F190" s="118"/>
      <c r="G190" s="108"/>
      <c r="H190" s="98"/>
      <c r="I190" s="99"/>
      <c r="J190" s="101"/>
      <c r="K190" s="109"/>
      <c r="L190" s="110"/>
      <c r="M190" s="111"/>
      <c r="N190" s="99"/>
      <c r="O190" s="112"/>
      <c r="P190" s="112"/>
      <c r="Q190" s="104" t="str">
        <f t="shared" si="12"/>
        <v/>
      </c>
      <c r="R190" s="104" t="str">
        <f t="shared" si="13"/>
        <v/>
      </c>
      <c r="S190" s="104" t="str">
        <f t="shared" si="14"/>
        <v/>
      </c>
      <c r="T190" s="104" t="str">
        <f t="shared" si="15"/>
        <v/>
      </c>
      <c r="U190" s="104" t="str">
        <f t="shared" si="16"/>
        <v/>
      </c>
      <c r="V190" s="104" t="str">
        <f t="shared" si="17"/>
        <v/>
      </c>
      <c r="W190" s="105"/>
    </row>
    <row r="191" spans="1:23">
      <c r="A191" s="92"/>
      <c r="B191" s="121"/>
      <c r="C191" s="107"/>
      <c r="D191" s="117"/>
      <c r="E191" s="117"/>
      <c r="F191" s="118"/>
      <c r="G191" s="108"/>
      <c r="H191" s="98"/>
      <c r="I191" s="99"/>
      <c r="J191" s="101"/>
      <c r="K191" s="109"/>
      <c r="L191" s="110"/>
      <c r="M191" s="111"/>
      <c r="N191" s="99"/>
      <c r="O191" s="112"/>
      <c r="P191" s="112"/>
      <c r="Q191" s="104" t="str">
        <f t="shared" si="12"/>
        <v/>
      </c>
      <c r="R191" s="104" t="str">
        <f t="shared" si="13"/>
        <v/>
      </c>
      <c r="S191" s="104" t="str">
        <f t="shared" si="14"/>
        <v/>
      </c>
      <c r="T191" s="104" t="str">
        <f t="shared" si="15"/>
        <v/>
      </c>
      <c r="U191" s="104" t="str">
        <f t="shared" si="16"/>
        <v/>
      </c>
      <c r="V191" s="104" t="str">
        <f t="shared" si="17"/>
        <v/>
      </c>
      <c r="W191" s="105"/>
    </row>
    <row r="192" spans="1:23" ht="15" customHeight="1">
      <c r="A192" s="92">
        <v>8</v>
      </c>
      <c r="B192" s="121" t="s">
        <v>427</v>
      </c>
      <c r="C192" s="122"/>
      <c r="D192" s="798">
        <f>1+0.65+0.75-0.05</f>
        <v>2.35</v>
      </c>
      <c r="E192" s="798"/>
      <c r="F192" s="118"/>
      <c r="G192" s="108">
        <v>0.25</v>
      </c>
      <c r="H192" s="98">
        <v>25</v>
      </c>
      <c r="I192" s="99">
        <v>1</v>
      </c>
      <c r="J192" s="101">
        <f>ROUND(0.815/G192+1,0)</f>
        <v>4</v>
      </c>
      <c r="K192" s="109">
        <f>D192</f>
        <v>2.35</v>
      </c>
      <c r="L192" s="110" t="str">
        <f>IF(O192&lt;12,"0",0.049*H192)</f>
        <v>0</v>
      </c>
      <c r="M192" s="111">
        <v>0</v>
      </c>
      <c r="N192" s="99">
        <f>M192*2*H192/1000</f>
        <v>0</v>
      </c>
      <c r="O192" s="112">
        <f>(D192)-N192</f>
        <v>2.35</v>
      </c>
      <c r="P192" s="112">
        <f>(I192*J192*O192)+L192</f>
        <v>9.4</v>
      </c>
      <c r="Q192" s="104" t="str">
        <f t="shared" si="12"/>
        <v/>
      </c>
      <c r="R192" s="104" t="str">
        <f t="shared" si="13"/>
        <v/>
      </c>
      <c r="S192" s="104" t="str">
        <f t="shared" si="14"/>
        <v/>
      </c>
      <c r="T192" s="104" t="str">
        <f t="shared" si="15"/>
        <v/>
      </c>
      <c r="U192" s="104" t="str">
        <f t="shared" si="16"/>
        <v/>
      </c>
      <c r="V192" s="104">
        <f t="shared" si="17"/>
        <v>9.4</v>
      </c>
      <c r="W192" s="105"/>
    </row>
    <row r="193" spans="1:23">
      <c r="A193" s="92"/>
      <c r="B193" s="121" t="s">
        <v>272</v>
      </c>
      <c r="C193" s="107"/>
      <c r="D193" s="117"/>
      <c r="E193" s="117"/>
      <c r="F193" s="118"/>
      <c r="G193" s="108"/>
      <c r="H193" s="98"/>
      <c r="I193" s="99"/>
      <c r="J193" s="101"/>
      <c r="K193" s="109"/>
      <c r="L193" s="110"/>
      <c r="M193" s="111"/>
      <c r="N193" s="99"/>
      <c r="O193" s="112"/>
      <c r="P193" s="112"/>
      <c r="Q193" s="104" t="str">
        <f t="shared" si="12"/>
        <v/>
      </c>
      <c r="R193" s="104" t="str">
        <f t="shared" si="13"/>
        <v/>
      </c>
      <c r="S193" s="104" t="str">
        <f t="shared" si="14"/>
        <v/>
      </c>
      <c r="T193" s="104" t="str">
        <f t="shared" si="15"/>
        <v/>
      </c>
      <c r="U193" s="104" t="str">
        <f t="shared" si="16"/>
        <v/>
      </c>
      <c r="V193" s="104" t="str">
        <f t="shared" si="17"/>
        <v/>
      </c>
      <c r="W193" s="105"/>
    </row>
    <row r="194" spans="1:23">
      <c r="A194" s="92"/>
      <c r="B194" s="121"/>
      <c r="C194" s="107"/>
      <c r="D194" s="117"/>
      <c r="E194" s="117"/>
      <c r="F194" s="118"/>
      <c r="G194" s="108"/>
      <c r="H194" s="98"/>
      <c r="I194" s="99"/>
      <c r="J194" s="101"/>
      <c r="K194" s="109"/>
      <c r="L194" s="110"/>
      <c r="M194" s="111"/>
      <c r="N194" s="99"/>
      <c r="O194" s="112"/>
      <c r="P194" s="112"/>
      <c r="Q194" s="104" t="str">
        <f t="shared" si="12"/>
        <v/>
      </c>
      <c r="R194" s="104" t="str">
        <f t="shared" si="13"/>
        <v/>
      </c>
      <c r="S194" s="104" t="str">
        <f t="shared" si="14"/>
        <v/>
      </c>
      <c r="T194" s="104" t="str">
        <f t="shared" si="15"/>
        <v/>
      </c>
      <c r="U194" s="104" t="str">
        <f t="shared" si="16"/>
        <v/>
      </c>
      <c r="V194" s="104" t="str">
        <f t="shared" si="17"/>
        <v/>
      </c>
      <c r="W194" s="105"/>
    </row>
    <row r="195" spans="1:23" ht="15" customHeight="1">
      <c r="A195" s="92">
        <v>9</v>
      </c>
      <c r="B195" s="121" t="s">
        <v>427</v>
      </c>
      <c r="C195" s="122"/>
      <c r="D195" s="798">
        <f>1+0.65+0.75+1.695</f>
        <v>4.0949999999999998</v>
      </c>
      <c r="E195" s="798"/>
      <c r="F195" s="118"/>
      <c r="G195" s="108">
        <v>0.25</v>
      </c>
      <c r="H195" s="98">
        <v>25</v>
      </c>
      <c r="I195" s="99">
        <v>1</v>
      </c>
      <c r="J195" s="101">
        <f>ROUND(2.745/G195+1,0)</f>
        <v>12</v>
      </c>
      <c r="K195" s="109">
        <f>D195</f>
        <v>4.0949999999999998</v>
      </c>
      <c r="L195" s="110" t="str">
        <f>IF(O195&lt;12,"0",0.049*H195)</f>
        <v>0</v>
      </c>
      <c r="M195" s="111">
        <v>0</v>
      </c>
      <c r="N195" s="99">
        <f>M195*2*H195/1000</f>
        <v>0</v>
      </c>
      <c r="O195" s="112">
        <f>(D195)-N195</f>
        <v>4.0949999999999998</v>
      </c>
      <c r="P195" s="112">
        <f>(I195*J195*O195)+L195</f>
        <v>49.14</v>
      </c>
      <c r="Q195" s="104" t="str">
        <f t="shared" si="12"/>
        <v/>
      </c>
      <c r="R195" s="104" t="str">
        <f t="shared" si="13"/>
        <v/>
      </c>
      <c r="S195" s="104" t="str">
        <f t="shared" si="14"/>
        <v/>
      </c>
      <c r="T195" s="104" t="str">
        <f t="shared" si="15"/>
        <v/>
      </c>
      <c r="U195" s="104" t="str">
        <f t="shared" si="16"/>
        <v/>
      </c>
      <c r="V195" s="104">
        <f t="shared" si="17"/>
        <v>49.14</v>
      </c>
      <c r="W195" s="105"/>
    </row>
    <row r="196" spans="1:23">
      <c r="A196" s="92"/>
      <c r="B196" s="121" t="s">
        <v>272</v>
      </c>
      <c r="C196" s="107"/>
      <c r="D196" s="117"/>
      <c r="E196" s="117"/>
      <c r="F196" s="118"/>
      <c r="G196" s="108"/>
      <c r="H196" s="98"/>
      <c r="I196" s="99"/>
      <c r="J196" s="101"/>
      <c r="K196" s="109"/>
      <c r="L196" s="110"/>
      <c r="M196" s="111"/>
      <c r="N196" s="99"/>
      <c r="O196" s="112"/>
      <c r="P196" s="112"/>
      <c r="Q196" s="104" t="str">
        <f t="shared" si="12"/>
        <v/>
      </c>
      <c r="R196" s="104" t="str">
        <f t="shared" si="13"/>
        <v/>
      </c>
      <c r="S196" s="104" t="str">
        <f t="shared" si="14"/>
        <v/>
      </c>
      <c r="T196" s="104" t="str">
        <f t="shared" si="15"/>
        <v/>
      </c>
      <c r="U196" s="104" t="str">
        <f t="shared" si="16"/>
        <v/>
      </c>
      <c r="V196" s="104" t="str">
        <f t="shared" si="17"/>
        <v/>
      </c>
      <c r="W196" s="105"/>
    </row>
    <row r="197" spans="1:23">
      <c r="A197" s="92"/>
      <c r="B197" s="121"/>
      <c r="C197" s="107"/>
      <c r="D197" s="117"/>
      <c r="E197" s="117"/>
      <c r="F197" s="118"/>
      <c r="G197" s="108"/>
      <c r="H197" s="98"/>
      <c r="I197" s="99"/>
      <c r="J197" s="101"/>
      <c r="K197" s="109"/>
      <c r="L197" s="110"/>
      <c r="M197" s="111"/>
      <c r="N197" s="99"/>
      <c r="O197" s="112"/>
      <c r="P197" s="112"/>
      <c r="Q197" s="104" t="str">
        <f t="shared" si="12"/>
        <v/>
      </c>
      <c r="R197" s="104" t="str">
        <f t="shared" si="13"/>
        <v/>
      </c>
      <c r="S197" s="104" t="str">
        <f t="shared" si="14"/>
        <v/>
      </c>
      <c r="T197" s="104" t="str">
        <f t="shared" si="15"/>
        <v/>
      </c>
      <c r="U197" s="104" t="str">
        <f t="shared" si="16"/>
        <v/>
      </c>
      <c r="V197" s="104" t="str">
        <f t="shared" si="17"/>
        <v/>
      </c>
      <c r="W197" s="105"/>
    </row>
    <row r="198" spans="1:23" ht="15" customHeight="1">
      <c r="A198" s="92">
        <v>10</v>
      </c>
      <c r="B198" s="121" t="s">
        <v>426</v>
      </c>
      <c r="C198" s="122"/>
      <c r="D198" s="798">
        <f>1.25+0.6+1.25</f>
        <v>3.1</v>
      </c>
      <c r="E198" s="798"/>
      <c r="F198" s="118"/>
      <c r="G198" s="108">
        <v>0.25</v>
      </c>
      <c r="H198" s="98">
        <v>25</v>
      </c>
      <c r="I198" s="99">
        <v>1</v>
      </c>
      <c r="J198" s="101">
        <f>ROUND(2.3/G198+1,0)</f>
        <v>10</v>
      </c>
      <c r="K198" s="109">
        <f>D198</f>
        <v>3.1</v>
      </c>
      <c r="L198" s="110" t="str">
        <f>IF(O198&lt;12,"0",0.049*H198)</f>
        <v>0</v>
      </c>
      <c r="M198" s="111">
        <v>0</v>
      </c>
      <c r="N198" s="99">
        <f>M198*2*H198/1000</f>
        <v>0</v>
      </c>
      <c r="O198" s="112">
        <f>(D198)-N198</f>
        <v>3.1</v>
      </c>
      <c r="P198" s="112">
        <f>(I198*J198*O198)+L198</f>
        <v>31</v>
      </c>
      <c r="Q198" s="104" t="str">
        <f t="shared" si="12"/>
        <v/>
      </c>
      <c r="R198" s="104" t="str">
        <f t="shared" si="13"/>
        <v/>
      </c>
      <c r="S198" s="104" t="str">
        <f t="shared" si="14"/>
        <v/>
      </c>
      <c r="T198" s="104" t="str">
        <f t="shared" si="15"/>
        <v/>
      </c>
      <c r="U198" s="104" t="str">
        <f t="shared" si="16"/>
        <v/>
      </c>
      <c r="V198" s="104">
        <f t="shared" si="17"/>
        <v>31</v>
      </c>
      <c r="W198" s="105"/>
    </row>
    <row r="199" spans="1:23">
      <c r="A199" s="92"/>
      <c r="B199" s="121" t="s">
        <v>273</v>
      </c>
      <c r="C199" s="107"/>
      <c r="D199" s="117"/>
      <c r="E199" s="117"/>
      <c r="F199" s="118"/>
      <c r="G199" s="108"/>
      <c r="H199" s="98"/>
      <c r="I199" s="99"/>
      <c r="J199" s="101"/>
      <c r="K199" s="109"/>
      <c r="L199" s="110"/>
      <c r="M199" s="111"/>
      <c r="N199" s="99"/>
      <c r="O199" s="112"/>
      <c r="P199" s="112"/>
      <c r="Q199" s="104" t="str">
        <f t="shared" si="12"/>
        <v/>
      </c>
      <c r="R199" s="104" t="str">
        <f t="shared" si="13"/>
        <v/>
      </c>
      <c r="S199" s="104" t="str">
        <f t="shared" si="14"/>
        <v/>
      </c>
      <c r="T199" s="104" t="str">
        <f t="shared" si="15"/>
        <v/>
      </c>
      <c r="U199" s="104" t="str">
        <f t="shared" si="16"/>
        <v/>
      </c>
      <c r="V199" s="104" t="str">
        <f t="shared" si="17"/>
        <v/>
      </c>
      <c r="W199" s="105"/>
    </row>
    <row r="200" spans="1:23">
      <c r="A200" s="92"/>
      <c r="B200" s="121"/>
      <c r="C200" s="107"/>
      <c r="D200" s="117"/>
      <c r="E200" s="117"/>
      <c r="F200" s="118"/>
      <c r="G200" s="108"/>
      <c r="H200" s="98"/>
      <c r="I200" s="99"/>
      <c r="J200" s="101"/>
      <c r="K200" s="109"/>
      <c r="L200" s="110"/>
      <c r="M200" s="111"/>
      <c r="N200" s="99"/>
      <c r="O200" s="112"/>
      <c r="P200" s="112"/>
      <c r="Q200" s="104" t="str">
        <f t="shared" si="12"/>
        <v/>
      </c>
      <c r="R200" s="104" t="str">
        <f t="shared" si="13"/>
        <v/>
      </c>
      <c r="S200" s="104" t="str">
        <f t="shared" si="14"/>
        <v/>
      </c>
      <c r="T200" s="104" t="str">
        <f t="shared" si="15"/>
        <v/>
      </c>
      <c r="U200" s="104" t="str">
        <f t="shared" si="16"/>
        <v/>
      </c>
      <c r="V200" s="104" t="str">
        <f t="shared" si="17"/>
        <v/>
      </c>
      <c r="W200" s="105"/>
    </row>
    <row r="201" spans="1:23" ht="15" customHeight="1">
      <c r="A201" s="92">
        <v>11</v>
      </c>
      <c r="B201" s="121" t="s">
        <v>427</v>
      </c>
      <c r="C201" s="122"/>
      <c r="D201" s="798">
        <f>1+0.3+1</f>
        <v>2.2999999999999998</v>
      </c>
      <c r="E201" s="798"/>
      <c r="F201" s="118"/>
      <c r="G201" s="108">
        <v>0.25</v>
      </c>
      <c r="H201" s="98">
        <v>20</v>
      </c>
      <c r="I201" s="99">
        <v>1</v>
      </c>
      <c r="J201" s="101">
        <f>ROUND(3.1/G201+1,0)</f>
        <v>13</v>
      </c>
      <c r="K201" s="109">
        <f>D201</f>
        <v>2.2999999999999998</v>
      </c>
      <c r="L201" s="110" t="str">
        <f>IF(O201&lt;12,"0",0.049*H201)</f>
        <v>0</v>
      </c>
      <c r="M201" s="111">
        <v>0</v>
      </c>
      <c r="N201" s="99">
        <f>M201*2*H201/1000</f>
        <v>0</v>
      </c>
      <c r="O201" s="112">
        <f>(D201)-N201</f>
        <v>2.2999999999999998</v>
      </c>
      <c r="P201" s="112">
        <f>(I201*J201*O201)+L201</f>
        <v>29.9</v>
      </c>
      <c r="Q201" s="104" t="str">
        <f t="shared" si="12"/>
        <v/>
      </c>
      <c r="R201" s="104" t="str">
        <f t="shared" si="13"/>
        <v/>
      </c>
      <c r="S201" s="104" t="str">
        <f t="shared" si="14"/>
        <v/>
      </c>
      <c r="T201" s="104" t="str">
        <f t="shared" si="15"/>
        <v/>
      </c>
      <c r="U201" s="104">
        <f t="shared" si="16"/>
        <v>29.9</v>
      </c>
      <c r="V201" s="104" t="str">
        <f t="shared" si="17"/>
        <v/>
      </c>
      <c r="W201" s="105"/>
    </row>
    <row r="202" spans="1:23">
      <c r="A202" s="92"/>
      <c r="B202" s="121" t="s">
        <v>273</v>
      </c>
      <c r="C202" s="107"/>
      <c r="D202" s="117"/>
      <c r="E202" s="117"/>
      <c r="F202" s="118"/>
      <c r="G202" s="108"/>
      <c r="H202" s="98"/>
      <c r="I202" s="99"/>
      <c r="J202" s="101"/>
      <c r="K202" s="109"/>
      <c r="L202" s="110"/>
      <c r="M202" s="111"/>
      <c r="N202" s="99"/>
      <c r="O202" s="112"/>
      <c r="P202" s="112"/>
      <c r="Q202" s="104" t="str">
        <f t="shared" si="12"/>
        <v/>
      </c>
      <c r="R202" s="104" t="str">
        <f t="shared" si="13"/>
        <v/>
      </c>
      <c r="S202" s="104" t="str">
        <f t="shared" si="14"/>
        <v/>
      </c>
      <c r="T202" s="104" t="str">
        <f t="shared" si="15"/>
        <v/>
      </c>
      <c r="U202" s="104" t="str">
        <f t="shared" si="16"/>
        <v/>
      </c>
      <c r="V202" s="104" t="str">
        <f t="shared" si="17"/>
        <v/>
      </c>
      <c r="W202" s="105"/>
    </row>
    <row r="203" spans="1:23">
      <c r="A203" s="92"/>
      <c r="B203" s="121"/>
      <c r="C203" s="107"/>
      <c r="D203" s="117"/>
      <c r="E203" s="117"/>
      <c r="F203" s="118"/>
      <c r="G203" s="108"/>
      <c r="H203" s="98"/>
      <c r="I203" s="99"/>
      <c r="J203" s="101"/>
      <c r="K203" s="109"/>
      <c r="L203" s="110"/>
      <c r="M203" s="111"/>
      <c r="N203" s="99"/>
      <c r="O203" s="112"/>
      <c r="P203" s="112"/>
      <c r="Q203" s="104" t="str">
        <f t="shared" si="12"/>
        <v/>
      </c>
      <c r="R203" s="104" t="str">
        <f t="shared" si="13"/>
        <v/>
      </c>
      <c r="S203" s="104" t="str">
        <f t="shared" si="14"/>
        <v/>
      </c>
      <c r="T203" s="104" t="str">
        <f t="shared" si="15"/>
        <v/>
      </c>
      <c r="U203" s="104" t="str">
        <f t="shared" si="16"/>
        <v/>
      </c>
      <c r="V203" s="104" t="str">
        <f t="shared" si="17"/>
        <v/>
      </c>
      <c r="W203" s="105"/>
    </row>
    <row r="204" spans="1:23" ht="15" customHeight="1">
      <c r="A204" s="92">
        <v>12</v>
      </c>
      <c r="B204" s="121" t="s">
        <v>426</v>
      </c>
      <c r="C204" s="122"/>
      <c r="D204" s="798">
        <f>0.75-0.05+0.3+1.25</f>
        <v>2.25</v>
      </c>
      <c r="E204" s="798"/>
      <c r="F204" s="118"/>
      <c r="G204" s="108">
        <v>0.25</v>
      </c>
      <c r="H204" s="98">
        <v>25</v>
      </c>
      <c r="I204" s="99">
        <v>1</v>
      </c>
      <c r="J204" s="101">
        <f>ROUND(2.6/G204+1,0)</f>
        <v>11</v>
      </c>
      <c r="K204" s="109">
        <f>D204</f>
        <v>2.25</v>
      </c>
      <c r="L204" s="110" t="str">
        <f>IF(O204&lt;12,"0",0.049*H204)</f>
        <v>0</v>
      </c>
      <c r="M204" s="111">
        <v>0</v>
      </c>
      <c r="N204" s="99">
        <f>M204*2*H204/1000</f>
        <v>0</v>
      </c>
      <c r="O204" s="112">
        <f>(D204)-N204</f>
        <v>2.25</v>
      </c>
      <c r="P204" s="112">
        <f>(I204*J204*O204)+L204</f>
        <v>24.75</v>
      </c>
      <c r="Q204" s="104" t="str">
        <f t="shared" si="12"/>
        <v/>
      </c>
      <c r="R204" s="104" t="str">
        <f t="shared" si="13"/>
        <v/>
      </c>
      <c r="S204" s="104" t="str">
        <f t="shared" si="14"/>
        <v/>
      </c>
      <c r="T204" s="104" t="str">
        <f t="shared" si="15"/>
        <v/>
      </c>
      <c r="U204" s="104" t="str">
        <f t="shared" si="16"/>
        <v/>
      </c>
      <c r="V204" s="104">
        <f t="shared" si="17"/>
        <v>24.75</v>
      </c>
      <c r="W204" s="105"/>
    </row>
    <row r="205" spans="1:23">
      <c r="A205" s="92"/>
      <c r="B205" s="121" t="s">
        <v>274</v>
      </c>
      <c r="C205" s="107"/>
      <c r="D205" s="117"/>
      <c r="E205" s="117"/>
      <c r="F205" s="118"/>
      <c r="G205" s="108"/>
      <c r="H205" s="98"/>
      <c r="I205" s="99"/>
      <c r="J205" s="101"/>
      <c r="K205" s="109"/>
      <c r="L205" s="110"/>
      <c r="M205" s="111"/>
      <c r="N205" s="99"/>
      <c r="O205" s="112"/>
      <c r="P205" s="112"/>
      <c r="Q205" s="104" t="str">
        <f t="shared" si="12"/>
        <v/>
      </c>
      <c r="R205" s="104" t="str">
        <f t="shared" si="13"/>
        <v/>
      </c>
      <c r="S205" s="104" t="str">
        <f t="shared" si="14"/>
        <v/>
      </c>
      <c r="T205" s="104" t="str">
        <f t="shared" si="15"/>
        <v/>
      </c>
      <c r="U205" s="104" t="str">
        <f t="shared" si="16"/>
        <v/>
      </c>
      <c r="V205" s="104" t="str">
        <f t="shared" si="17"/>
        <v/>
      </c>
      <c r="W205" s="105"/>
    </row>
    <row r="206" spans="1:23">
      <c r="A206" s="92"/>
      <c r="B206" s="121"/>
      <c r="C206" s="107"/>
      <c r="D206" s="117"/>
      <c r="E206" s="117"/>
      <c r="F206" s="118"/>
      <c r="G206" s="108"/>
      <c r="H206" s="98"/>
      <c r="I206" s="99"/>
      <c r="J206" s="101"/>
      <c r="K206" s="109"/>
      <c r="L206" s="110"/>
      <c r="M206" s="111"/>
      <c r="N206" s="99"/>
      <c r="O206" s="112"/>
      <c r="P206" s="112"/>
      <c r="Q206" s="104" t="str">
        <f t="shared" si="12"/>
        <v/>
      </c>
      <c r="R206" s="104" t="str">
        <f t="shared" si="13"/>
        <v/>
      </c>
      <c r="S206" s="104" t="str">
        <f t="shared" si="14"/>
        <v/>
      </c>
      <c r="T206" s="104" t="str">
        <f t="shared" si="15"/>
        <v/>
      </c>
      <c r="U206" s="104" t="str">
        <f t="shared" si="16"/>
        <v/>
      </c>
      <c r="V206" s="104" t="str">
        <f t="shared" si="17"/>
        <v/>
      </c>
      <c r="W206" s="105"/>
    </row>
    <row r="207" spans="1:23" ht="15" customHeight="1">
      <c r="A207" s="92">
        <v>13</v>
      </c>
      <c r="B207" s="121" t="s">
        <v>427</v>
      </c>
      <c r="C207" s="122"/>
      <c r="D207" s="798">
        <f>1+0.6+1</f>
        <v>2.6</v>
      </c>
      <c r="E207" s="798"/>
      <c r="F207" s="118"/>
      <c r="G207" s="108">
        <v>0.25</v>
      </c>
      <c r="H207" s="98">
        <v>20</v>
      </c>
      <c r="I207" s="99">
        <v>1</v>
      </c>
      <c r="J207" s="101">
        <f>ROUND(2.25/G207+1,0)</f>
        <v>10</v>
      </c>
      <c r="K207" s="109">
        <f>D207</f>
        <v>2.6</v>
      </c>
      <c r="L207" s="110" t="str">
        <f>IF(O207&lt;12,"0",0.049*H207)</f>
        <v>0</v>
      </c>
      <c r="M207" s="111">
        <v>0</v>
      </c>
      <c r="N207" s="99">
        <f>M207*2*H207/1000</f>
        <v>0</v>
      </c>
      <c r="O207" s="112">
        <f>(D207)-N207</f>
        <v>2.6</v>
      </c>
      <c r="P207" s="112">
        <f>(I207*J207*O207)+L207</f>
        <v>26</v>
      </c>
      <c r="Q207" s="104" t="str">
        <f t="shared" si="12"/>
        <v/>
      </c>
      <c r="R207" s="104" t="str">
        <f t="shared" si="13"/>
        <v/>
      </c>
      <c r="S207" s="104" t="str">
        <f t="shared" si="14"/>
        <v/>
      </c>
      <c r="T207" s="104" t="str">
        <f t="shared" si="15"/>
        <v/>
      </c>
      <c r="U207" s="104">
        <f t="shared" si="16"/>
        <v>26</v>
      </c>
      <c r="V207" s="104" t="str">
        <f t="shared" si="17"/>
        <v/>
      </c>
      <c r="W207" s="105"/>
    </row>
    <row r="208" spans="1:23">
      <c r="A208" s="92"/>
      <c r="B208" s="121" t="s">
        <v>275</v>
      </c>
      <c r="C208" s="107"/>
      <c r="D208" s="117"/>
      <c r="E208" s="117"/>
      <c r="F208" s="118"/>
      <c r="G208" s="108"/>
      <c r="H208" s="98"/>
      <c r="I208" s="99"/>
      <c r="J208" s="101"/>
      <c r="K208" s="109"/>
      <c r="L208" s="110"/>
      <c r="M208" s="111"/>
      <c r="N208" s="99"/>
      <c r="O208" s="112"/>
      <c r="P208" s="112"/>
      <c r="Q208" s="104" t="str">
        <f t="shared" si="12"/>
        <v/>
      </c>
      <c r="R208" s="104" t="str">
        <f t="shared" si="13"/>
        <v/>
      </c>
      <c r="S208" s="104" t="str">
        <f t="shared" si="14"/>
        <v/>
      </c>
      <c r="T208" s="104" t="str">
        <f t="shared" si="15"/>
        <v/>
      </c>
      <c r="U208" s="104" t="str">
        <f t="shared" si="16"/>
        <v/>
      </c>
      <c r="V208" s="104" t="str">
        <f t="shared" si="17"/>
        <v/>
      </c>
      <c r="W208" s="105"/>
    </row>
    <row r="209" spans="1:23">
      <c r="A209" s="92"/>
      <c r="B209" s="121"/>
      <c r="C209" s="107"/>
      <c r="D209" s="117"/>
      <c r="E209" s="117"/>
      <c r="F209" s="118"/>
      <c r="G209" s="108"/>
      <c r="H209" s="98"/>
      <c r="I209" s="99"/>
      <c r="J209" s="101"/>
      <c r="K209" s="109"/>
      <c r="L209" s="110"/>
      <c r="M209" s="111"/>
      <c r="N209" s="99"/>
      <c r="O209" s="112"/>
      <c r="P209" s="112"/>
      <c r="Q209" s="104" t="str">
        <f t="shared" si="12"/>
        <v/>
      </c>
      <c r="R209" s="104" t="str">
        <f t="shared" si="13"/>
        <v/>
      </c>
      <c r="S209" s="104" t="str">
        <f t="shared" si="14"/>
        <v/>
      </c>
      <c r="T209" s="104" t="str">
        <f t="shared" si="15"/>
        <v/>
      </c>
      <c r="U209" s="104" t="str">
        <f t="shared" si="16"/>
        <v/>
      </c>
      <c r="V209" s="104" t="str">
        <f t="shared" si="17"/>
        <v/>
      </c>
      <c r="W209" s="105"/>
    </row>
    <row r="210" spans="1:23" ht="15" customHeight="1">
      <c r="A210" s="92">
        <v>14</v>
      </c>
      <c r="B210" s="121" t="s">
        <v>426</v>
      </c>
      <c r="C210" s="122"/>
      <c r="D210" s="798">
        <f>0.75-0.05+0.3+1.25</f>
        <v>2.25</v>
      </c>
      <c r="E210" s="798"/>
      <c r="F210" s="118"/>
      <c r="G210" s="108">
        <v>0.25</v>
      </c>
      <c r="H210" s="98">
        <v>25</v>
      </c>
      <c r="I210" s="99">
        <v>1</v>
      </c>
      <c r="J210" s="101">
        <f>ROUND(3.1/G210+1,0)</f>
        <v>13</v>
      </c>
      <c r="K210" s="109">
        <f>D210</f>
        <v>2.25</v>
      </c>
      <c r="L210" s="110" t="str">
        <f>IF(O210&lt;12,"0",0.049*H210)</f>
        <v>0</v>
      </c>
      <c r="M210" s="111">
        <v>0</v>
      </c>
      <c r="N210" s="99">
        <f>M210*2*H210/1000</f>
        <v>0</v>
      </c>
      <c r="O210" s="112">
        <f>(D210)-N210</f>
        <v>2.25</v>
      </c>
      <c r="P210" s="112">
        <f>(I210*J210*O210)+L210</f>
        <v>29.25</v>
      </c>
      <c r="Q210" s="104" t="str">
        <f t="shared" si="12"/>
        <v/>
      </c>
      <c r="R210" s="104" t="str">
        <f t="shared" si="13"/>
        <v/>
      </c>
      <c r="S210" s="104" t="str">
        <f t="shared" si="14"/>
        <v/>
      </c>
      <c r="T210" s="104" t="str">
        <f t="shared" si="15"/>
        <v/>
      </c>
      <c r="U210" s="104" t="str">
        <f t="shared" si="16"/>
        <v/>
      </c>
      <c r="V210" s="104">
        <f t="shared" si="17"/>
        <v>29.25</v>
      </c>
      <c r="W210" s="105"/>
    </row>
    <row r="211" spans="1:23">
      <c r="A211" s="92"/>
      <c r="B211" s="121" t="s">
        <v>276</v>
      </c>
      <c r="C211" s="107"/>
      <c r="D211" s="117"/>
      <c r="E211" s="117"/>
      <c r="F211" s="118"/>
      <c r="G211" s="108"/>
      <c r="H211" s="98"/>
      <c r="I211" s="99"/>
      <c r="J211" s="101"/>
      <c r="K211" s="109"/>
      <c r="L211" s="110"/>
      <c r="M211" s="111"/>
      <c r="N211" s="99"/>
      <c r="O211" s="112"/>
      <c r="P211" s="112"/>
      <c r="Q211" s="104" t="str">
        <f t="shared" si="12"/>
        <v/>
      </c>
      <c r="R211" s="104" t="str">
        <f t="shared" si="13"/>
        <v/>
      </c>
      <c r="S211" s="104" t="str">
        <f t="shared" si="14"/>
        <v/>
      </c>
      <c r="T211" s="104" t="str">
        <f t="shared" si="15"/>
        <v/>
      </c>
      <c r="U211" s="104" t="str">
        <f t="shared" si="16"/>
        <v/>
      </c>
      <c r="V211" s="104" t="str">
        <f t="shared" si="17"/>
        <v/>
      </c>
      <c r="W211" s="105"/>
    </row>
    <row r="212" spans="1:23">
      <c r="A212" s="92"/>
      <c r="B212" s="121"/>
      <c r="C212" s="107"/>
      <c r="D212" s="117"/>
      <c r="E212" s="117"/>
      <c r="F212" s="118"/>
      <c r="G212" s="108"/>
      <c r="H212" s="98"/>
      <c r="I212" s="99"/>
      <c r="J212" s="101"/>
      <c r="K212" s="109"/>
      <c r="L212" s="110"/>
      <c r="M212" s="111"/>
      <c r="N212" s="99"/>
      <c r="O212" s="112"/>
      <c r="P212" s="112"/>
      <c r="Q212" s="104" t="str">
        <f t="shared" si="12"/>
        <v/>
      </c>
      <c r="R212" s="104" t="str">
        <f t="shared" si="13"/>
        <v/>
      </c>
      <c r="S212" s="104" t="str">
        <f t="shared" si="14"/>
        <v/>
      </c>
      <c r="T212" s="104" t="str">
        <f t="shared" si="15"/>
        <v/>
      </c>
      <c r="U212" s="104" t="str">
        <f t="shared" si="16"/>
        <v/>
      </c>
      <c r="V212" s="104" t="str">
        <f t="shared" si="17"/>
        <v/>
      </c>
      <c r="W212" s="105"/>
    </row>
    <row r="213" spans="1:23" ht="15" customHeight="1">
      <c r="A213" s="92">
        <v>15</v>
      </c>
      <c r="B213" s="121" t="s">
        <v>427</v>
      </c>
      <c r="C213" s="122"/>
      <c r="D213" s="798">
        <f>1.25+0.6+1.25</f>
        <v>3.1</v>
      </c>
      <c r="E213" s="798"/>
      <c r="F213" s="118"/>
      <c r="G213" s="108">
        <v>0.25</v>
      </c>
      <c r="H213" s="98">
        <v>25</v>
      </c>
      <c r="I213" s="99">
        <v>1</v>
      </c>
      <c r="J213" s="101">
        <f>ROUND(2.25/G213+1,0)</f>
        <v>10</v>
      </c>
      <c r="K213" s="109">
        <f>D213</f>
        <v>3.1</v>
      </c>
      <c r="L213" s="110" t="str">
        <f>IF(O213&lt;12,"0",0.049*H213)</f>
        <v>0</v>
      </c>
      <c r="M213" s="111">
        <v>0</v>
      </c>
      <c r="N213" s="99">
        <f>M213*2*H213/1000</f>
        <v>0</v>
      </c>
      <c r="O213" s="112">
        <f>(D213)-N213</f>
        <v>3.1</v>
      </c>
      <c r="P213" s="112">
        <f>(I213*J213*O213)+L213</f>
        <v>31</v>
      </c>
      <c r="Q213" s="104" t="str">
        <f t="shared" si="12"/>
        <v/>
      </c>
      <c r="R213" s="104" t="str">
        <f t="shared" si="13"/>
        <v/>
      </c>
      <c r="S213" s="104" t="str">
        <f t="shared" si="14"/>
        <v/>
      </c>
      <c r="T213" s="104" t="str">
        <f t="shared" si="15"/>
        <v/>
      </c>
      <c r="U213" s="104" t="str">
        <f t="shared" si="16"/>
        <v/>
      </c>
      <c r="V213" s="104">
        <f t="shared" si="17"/>
        <v>31</v>
      </c>
      <c r="W213" s="105"/>
    </row>
    <row r="214" spans="1:23">
      <c r="A214" s="92"/>
      <c r="B214" s="121" t="s">
        <v>276</v>
      </c>
      <c r="C214" s="107"/>
      <c r="D214" s="117"/>
      <c r="E214" s="117"/>
      <c r="F214" s="118"/>
      <c r="G214" s="108"/>
      <c r="H214" s="98"/>
      <c r="I214" s="99"/>
      <c r="J214" s="101"/>
      <c r="K214" s="109"/>
      <c r="L214" s="110"/>
      <c r="M214" s="111"/>
      <c r="N214" s="99"/>
      <c r="O214" s="112"/>
      <c r="P214" s="112"/>
      <c r="Q214" s="104" t="str">
        <f t="shared" si="12"/>
        <v/>
      </c>
      <c r="R214" s="104" t="str">
        <f t="shared" si="13"/>
        <v/>
      </c>
      <c r="S214" s="104" t="str">
        <f t="shared" si="14"/>
        <v/>
      </c>
      <c r="T214" s="104" t="str">
        <f t="shared" si="15"/>
        <v/>
      </c>
      <c r="U214" s="104" t="str">
        <f t="shared" si="16"/>
        <v/>
      </c>
      <c r="V214" s="104" t="str">
        <f t="shared" si="17"/>
        <v/>
      </c>
      <c r="W214" s="105"/>
    </row>
    <row r="215" spans="1:23">
      <c r="A215" s="92"/>
      <c r="B215" s="121"/>
      <c r="C215" s="107"/>
      <c r="D215" s="117"/>
      <c r="E215" s="117"/>
      <c r="F215" s="118"/>
      <c r="G215" s="108"/>
      <c r="H215" s="98"/>
      <c r="I215" s="99"/>
      <c r="J215" s="101"/>
      <c r="K215" s="109"/>
      <c r="L215" s="110"/>
      <c r="M215" s="111"/>
      <c r="N215" s="99"/>
      <c r="O215" s="112"/>
      <c r="P215" s="112"/>
      <c r="Q215" s="104" t="str">
        <f t="shared" si="12"/>
        <v/>
      </c>
      <c r="R215" s="104" t="str">
        <f t="shared" si="13"/>
        <v/>
      </c>
      <c r="S215" s="104" t="str">
        <f t="shared" si="14"/>
        <v/>
      </c>
      <c r="T215" s="104" t="str">
        <f t="shared" si="15"/>
        <v/>
      </c>
      <c r="U215" s="104" t="str">
        <f t="shared" si="16"/>
        <v/>
      </c>
      <c r="V215" s="104" t="str">
        <f t="shared" si="17"/>
        <v/>
      </c>
      <c r="W215" s="105"/>
    </row>
    <row r="216" spans="1:23" ht="15" customHeight="1">
      <c r="A216" s="92">
        <v>16</v>
      </c>
      <c r="B216" s="121" t="s">
        <v>426</v>
      </c>
      <c r="C216" s="122"/>
      <c r="D216" s="798">
        <f>1+0.3+1</f>
        <v>2.2999999999999998</v>
      </c>
      <c r="E216" s="798"/>
      <c r="F216" s="118"/>
      <c r="G216" s="108">
        <v>0.25</v>
      </c>
      <c r="H216" s="98">
        <v>20</v>
      </c>
      <c r="I216" s="99">
        <v>1</v>
      </c>
      <c r="J216" s="101">
        <f>ROUND(1.9/G216+1,0)</f>
        <v>9</v>
      </c>
      <c r="K216" s="109">
        <f>D216</f>
        <v>2.2999999999999998</v>
      </c>
      <c r="L216" s="110" t="str">
        <f>IF(O216&lt;12,"0",0.049*H216)</f>
        <v>0</v>
      </c>
      <c r="M216" s="111">
        <v>0</v>
      </c>
      <c r="N216" s="99">
        <f>M216*2*H216/1000</f>
        <v>0</v>
      </c>
      <c r="O216" s="112">
        <f>(D216)-N216</f>
        <v>2.2999999999999998</v>
      </c>
      <c r="P216" s="112">
        <f>(I216*J216*O216)+L216</f>
        <v>20.7</v>
      </c>
      <c r="Q216" s="104" t="str">
        <f t="shared" si="12"/>
        <v/>
      </c>
      <c r="R216" s="104" t="str">
        <f t="shared" si="13"/>
        <v/>
      </c>
      <c r="S216" s="104" t="str">
        <f t="shared" si="14"/>
        <v/>
      </c>
      <c r="T216" s="104" t="str">
        <f t="shared" si="15"/>
        <v/>
      </c>
      <c r="U216" s="104">
        <f t="shared" si="16"/>
        <v>20.7</v>
      </c>
      <c r="V216" s="104" t="str">
        <f t="shared" si="17"/>
        <v/>
      </c>
      <c r="W216" s="105"/>
    </row>
    <row r="217" spans="1:23">
      <c r="A217" s="92"/>
      <c r="B217" s="121" t="s">
        <v>277</v>
      </c>
      <c r="C217" s="107"/>
      <c r="D217" s="117"/>
      <c r="E217" s="117"/>
      <c r="F217" s="118"/>
      <c r="G217" s="108"/>
      <c r="H217" s="98"/>
      <c r="I217" s="99"/>
      <c r="J217" s="101"/>
      <c r="K217" s="109"/>
      <c r="L217" s="110"/>
      <c r="M217" s="111"/>
      <c r="N217" s="99"/>
      <c r="O217" s="112"/>
      <c r="P217" s="112"/>
      <c r="Q217" s="104" t="str">
        <f t="shared" si="12"/>
        <v/>
      </c>
      <c r="R217" s="104" t="str">
        <f t="shared" si="13"/>
        <v/>
      </c>
      <c r="S217" s="104" t="str">
        <f t="shared" si="14"/>
        <v/>
      </c>
      <c r="T217" s="104" t="str">
        <f t="shared" si="15"/>
        <v/>
      </c>
      <c r="U217" s="104" t="str">
        <f t="shared" si="16"/>
        <v/>
      </c>
      <c r="V217" s="104" t="str">
        <f t="shared" si="17"/>
        <v/>
      </c>
      <c r="W217" s="105"/>
    </row>
    <row r="218" spans="1:23">
      <c r="A218" s="92"/>
      <c r="B218" s="121"/>
      <c r="C218" s="107"/>
      <c r="D218" s="117"/>
      <c r="E218" s="117"/>
      <c r="F218" s="118"/>
      <c r="G218" s="108"/>
      <c r="H218" s="98"/>
      <c r="I218" s="99"/>
      <c r="J218" s="101"/>
      <c r="K218" s="109"/>
      <c r="L218" s="110"/>
      <c r="M218" s="111"/>
      <c r="N218" s="99"/>
      <c r="O218" s="112"/>
      <c r="P218" s="112"/>
      <c r="Q218" s="104" t="str">
        <f t="shared" si="12"/>
        <v/>
      </c>
      <c r="R218" s="104" t="str">
        <f t="shared" si="13"/>
        <v/>
      </c>
      <c r="S218" s="104" t="str">
        <f t="shared" si="14"/>
        <v/>
      </c>
      <c r="T218" s="104" t="str">
        <f t="shared" si="15"/>
        <v/>
      </c>
      <c r="U218" s="104" t="str">
        <f t="shared" si="16"/>
        <v/>
      </c>
      <c r="V218" s="104" t="str">
        <f t="shared" si="17"/>
        <v/>
      </c>
      <c r="W218" s="105"/>
    </row>
    <row r="219" spans="1:23" ht="15" customHeight="1">
      <c r="A219" s="92">
        <v>17</v>
      </c>
      <c r="B219" s="121" t="s">
        <v>427</v>
      </c>
      <c r="C219" s="122"/>
      <c r="D219" s="798">
        <f>0.75-0.05+0.6+0.6</f>
        <v>1.9</v>
      </c>
      <c r="E219" s="798"/>
      <c r="F219" s="118"/>
      <c r="G219" s="108">
        <v>0.25</v>
      </c>
      <c r="H219" s="98">
        <v>12</v>
      </c>
      <c r="I219" s="99">
        <v>1</v>
      </c>
      <c r="J219" s="101">
        <f>ROUND(2.3/G219+1,0)</f>
        <v>10</v>
      </c>
      <c r="K219" s="109">
        <f>D219</f>
        <v>1.9</v>
      </c>
      <c r="L219" s="110" t="str">
        <f>IF(O219&lt;12,"0",0.049*H219)</f>
        <v>0</v>
      </c>
      <c r="M219" s="111">
        <v>0</v>
      </c>
      <c r="N219" s="99">
        <f>M219*2*H219/1000</f>
        <v>0</v>
      </c>
      <c r="O219" s="112">
        <f>(D219)-N219</f>
        <v>1.9</v>
      </c>
      <c r="P219" s="112">
        <f>(I219*J219*O219)+L219</f>
        <v>19</v>
      </c>
      <c r="Q219" s="104" t="str">
        <f t="shared" si="12"/>
        <v/>
      </c>
      <c r="R219" s="104" t="str">
        <f t="shared" si="13"/>
        <v/>
      </c>
      <c r="S219" s="104">
        <f t="shared" si="14"/>
        <v>19</v>
      </c>
      <c r="T219" s="104" t="str">
        <f t="shared" si="15"/>
        <v/>
      </c>
      <c r="U219" s="104" t="str">
        <f t="shared" si="16"/>
        <v/>
      </c>
      <c r="V219" s="104" t="str">
        <f t="shared" si="17"/>
        <v/>
      </c>
      <c r="W219" s="105"/>
    </row>
    <row r="220" spans="1:23">
      <c r="A220" s="92"/>
      <c r="B220" s="121" t="s">
        <v>277</v>
      </c>
      <c r="C220" s="107"/>
      <c r="D220" s="117"/>
      <c r="E220" s="117"/>
      <c r="F220" s="118"/>
      <c r="G220" s="108"/>
      <c r="H220" s="98"/>
      <c r="I220" s="99"/>
      <c r="J220" s="101"/>
      <c r="K220" s="109"/>
      <c r="L220" s="110"/>
      <c r="M220" s="111"/>
      <c r="N220" s="99"/>
      <c r="O220" s="112"/>
      <c r="P220" s="112"/>
      <c r="Q220" s="104" t="str">
        <f t="shared" si="12"/>
        <v/>
      </c>
      <c r="R220" s="104" t="str">
        <f t="shared" si="13"/>
        <v/>
      </c>
      <c r="S220" s="104" t="str">
        <f t="shared" si="14"/>
        <v/>
      </c>
      <c r="T220" s="104" t="str">
        <f t="shared" si="15"/>
        <v/>
      </c>
      <c r="U220" s="104" t="str">
        <f t="shared" si="16"/>
        <v/>
      </c>
      <c r="V220" s="104" t="str">
        <f t="shared" si="17"/>
        <v/>
      </c>
      <c r="W220" s="105"/>
    </row>
    <row r="221" spans="1:23">
      <c r="A221" s="92"/>
      <c r="B221" s="121"/>
      <c r="C221" s="107"/>
      <c r="D221" s="117"/>
      <c r="E221" s="117"/>
      <c r="F221" s="118"/>
      <c r="G221" s="108"/>
      <c r="H221" s="98"/>
      <c r="I221" s="99"/>
      <c r="J221" s="101"/>
      <c r="K221" s="109"/>
      <c r="L221" s="110"/>
      <c r="M221" s="111"/>
      <c r="N221" s="99"/>
      <c r="O221" s="112"/>
      <c r="P221" s="112"/>
      <c r="Q221" s="104" t="str">
        <f t="shared" si="12"/>
        <v/>
      </c>
      <c r="R221" s="104" t="str">
        <f t="shared" si="13"/>
        <v/>
      </c>
      <c r="S221" s="104" t="str">
        <f t="shared" si="14"/>
        <v/>
      </c>
      <c r="T221" s="104" t="str">
        <f t="shared" si="15"/>
        <v/>
      </c>
      <c r="U221" s="104" t="str">
        <f t="shared" si="16"/>
        <v/>
      </c>
      <c r="V221" s="104" t="str">
        <f t="shared" si="17"/>
        <v/>
      </c>
      <c r="W221" s="105"/>
    </row>
    <row r="222" spans="1:23" ht="15" customHeight="1">
      <c r="A222" s="92">
        <v>18</v>
      </c>
      <c r="B222" s="121" t="s">
        <v>426</v>
      </c>
      <c r="C222" s="122"/>
      <c r="D222" s="798">
        <f>1+0.6+1</f>
        <v>2.6</v>
      </c>
      <c r="E222" s="798"/>
      <c r="F222" s="118"/>
      <c r="G222" s="108">
        <v>0.25</v>
      </c>
      <c r="H222" s="98">
        <v>20</v>
      </c>
      <c r="I222" s="99">
        <v>1</v>
      </c>
      <c r="J222" s="101">
        <f>ROUND(2.3/G222+1,0)</f>
        <v>10</v>
      </c>
      <c r="K222" s="109">
        <f>D222</f>
        <v>2.6</v>
      </c>
      <c r="L222" s="110" t="str">
        <f>IF(O222&lt;12,"0",0.049*H222)</f>
        <v>0</v>
      </c>
      <c r="M222" s="111">
        <v>0</v>
      </c>
      <c r="N222" s="99">
        <f>M222*2*H222/1000</f>
        <v>0</v>
      </c>
      <c r="O222" s="112">
        <f>(D222)-N222</f>
        <v>2.6</v>
      </c>
      <c r="P222" s="112">
        <f>(I222*J222*O222)+L222</f>
        <v>26</v>
      </c>
      <c r="Q222" s="104" t="str">
        <f t="shared" si="12"/>
        <v/>
      </c>
      <c r="R222" s="104" t="str">
        <f t="shared" si="13"/>
        <v/>
      </c>
      <c r="S222" s="104" t="str">
        <f t="shared" si="14"/>
        <v/>
      </c>
      <c r="T222" s="104" t="str">
        <f t="shared" si="15"/>
        <v/>
      </c>
      <c r="U222" s="104">
        <f t="shared" si="16"/>
        <v>26</v>
      </c>
      <c r="V222" s="104" t="str">
        <f t="shared" si="17"/>
        <v/>
      </c>
      <c r="W222" s="105"/>
    </row>
    <row r="223" spans="1:23">
      <c r="A223" s="92"/>
      <c r="B223" s="121" t="s">
        <v>278</v>
      </c>
      <c r="C223" s="107"/>
      <c r="D223" s="117"/>
      <c r="E223" s="117"/>
      <c r="F223" s="118"/>
      <c r="G223" s="108"/>
      <c r="H223" s="98"/>
      <c r="I223" s="99"/>
      <c r="J223" s="101"/>
      <c r="K223" s="109"/>
      <c r="L223" s="110"/>
      <c r="M223" s="111"/>
      <c r="N223" s="99"/>
      <c r="O223" s="112"/>
      <c r="P223" s="112"/>
      <c r="Q223" s="104" t="str">
        <f t="shared" si="12"/>
        <v/>
      </c>
      <c r="R223" s="104" t="str">
        <f t="shared" si="13"/>
        <v/>
      </c>
      <c r="S223" s="104" t="str">
        <f t="shared" si="14"/>
        <v/>
      </c>
      <c r="T223" s="104" t="str">
        <f t="shared" si="15"/>
        <v/>
      </c>
      <c r="U223" s="104" t="str">
        <f t="shared" si="16"/>
        <v/>
      </c>
      <c r="V223" s="104" t="str">
        <f t="shared" si="17"/>
        <v/>
      </c>
      <c r="W223" s="105"/>
    </row>
    <row r="224" spans="1:23">
      <c r="A224" s="92"/>
      <c r="B224" s="121"/>
      <c r="C224" s="107"/>
      <c r="D224" s="117"/>
      <c r="E224" s="117"/>
      <c r="F224" s="118"/>
      <c r="G224" s="108"/>
      <c r="H224" s="98"/>
      <c r="I224" s="99"/>
      <c r="J224" s="101"/>
      <c r="K224" s="109"/>
      <c r="L224" s="110"/>
      <c r="M224" s="111"/>
      <c r="N224" s="99"/>
      <c r="O224" s="112"/>
      <c r="P224" s="112"/>
      <c r="Q224" s="104" t="str">
        <f t="shared" si="12"/>
        <v/>
      </c>
      <c r="R224" s="104" t="str">
        <f t="shared" si="13"/>
        <v/>
      </c>
      <c r="S224" s="104" t="str">
        <f t="shared" si="14"/>
        <v/>
      </c>
      <c r="T224" s="104" t="str">
        <f t="shared" si="15"/>
        <v/>
      </c>
      <c r="U224" s="104" t="str">
        <f t="shared" si="16"/>
        <v/>
      </c>
      <c r="V224" s="104" t="str">
        <f t="shared" si="17"/>
        <v/>
      </c>
      <c r="W224" s="105"/>
    </row>
    <row r="225" spans="1:23" ht="15" customHeight="1">
      <c r="A225" s="92">
        <v>19</v>
      </c>
      <c r="B225" s="121" t="s">
        <v>427</v>
      </c>
      <c r="C225" s="122"/>
      <c r="D225" s="798">
        <f>1+0.3+1</f>
        <v>2.2999999999999998</v>
      </c>
      <c r="E225" s="798"/>
      <c r="F225" s="118"/>
      <c r="G225" s="108">
        <v>0.25</v>
      </c>
      <c r="H225" s="98">
        <v>20</v>
      </c>
      <c r="I225" s="99">
        <v>1</v>
      </c>
      <c r="J225" s="101">
        <f>ROUND(2.6/G225+1,0)</f>
        <v>11</v>
      </c>
      <c r="K225" s="109">
        <f>D225</f>
        <v>2.2999999999999998</v>
      </c>
      <c r="L225" s="110" t="str">
        <f>IF(O225&lt;12,"0",0.049*H225)</f>
        <v>0</v>
      </c>
      <c r="M225" s="111">
        <v>0</v>
      </c>
      <c r="N225" s="99">
        <f>M225*2*H225/1000</f>
        <v>0</v>
      </c>
      <c r="O225" s="112">
        <f>(D225)-N225</f>
        <v>2.2999999999999998</v>
      </c>
      <c r="P225" s="112">
        <f>(I225*J225*O225)+L225</f>
        <v>25.299999999999997</v>
      </c>
      <c r="Q225" s="104" t="str">
        <f t="shared" si="12"/>
        <v/>
      </c>
      <c r="R225" s="104" t="str">
        <f t="shared" si="13"/>
        <v/>
      </c>
      <c r="S225" s="104" t="str">
        <f t="shared" si="14"/>
        <v/>
      </c>
      <c r="T225" s="104" t="str">
        <f t="shared" si="15"/>
        <v/>
      </c>
      <c r="U225" s="104">
        <f t="shared" si="16"/>
        <v>25.299999999999997</v>
      </c>
      <c r="V225" s="104" t="str">
        <f t="shared" si="17"/>
        <v/>
      </c>
      <c r="W225" s="105"/>
    </row>
    <row r="226" spans="1:23">
      <c r="A226" s="92"/>
      <c r="B226" s="121" t="s">
        <v>278</v>
      </c>
      <c r="C226" s="107"/>
      <c r="D226" s="117"/>
      <c r="E226" s="117"/>
      <c r="F226" s="118"/>
      <c r="G226" s="108"/>
      <c r="H226" s="98"/>
      <c r="I226" s="99"/>
      <c r="J226" s="101"/>
      <c r="K226" s="109"/>
      <c r="L226" s="110"/>
      <c r="M226" s="111"/>
      <c r="N226" s="99"/>
      <c r="O226" s="112"/>
      <c r="P226" s="112"/>
      <c r="Q226" s="104" t="str">
        <f t="shared" si="12"/>
        <v/>
      </c>
      <c r="R226" s="104" t="str">
        <f t="shared" si="13"/>
        <v/>
      </c>
      <c r="S226" s="104" t="str">
        <f t="shared" si="14"/>
        <v/>
      </c>
      <c r="T226" s="104" t="str">
        <f t="shared" si="15"/>
        <v/>
      </c>
      <c r="U226" s="104" t="str">
        <f t="shared" si="16"/>
        <v/>
      </c>
      <c r="V226" s="104" t="str">
        <f t="shared" si="17"/>
        <v/>
      </c>
      <c r="W226" s="105"/>
    </row>
    <row r="227" spans="1:23">
      <c r="A227" s="92"/>
      <c r="B227" s="121"/>
      <c r="C227" s="107"/>
      <c r="D227" s="117"/>
      <c r="E227" s="117"/>
      <c r="F227" s="118"/>
      <c r="G227" s="108"/>
      <c r="H227" s="98"/>
      <c r="I227" s="99"/>
      <c r="J227" s="101"/>
      <c r="K227" s="109"/>
      <c r="L227" s="110"/>
      <c r="M227" s="111"/>
      <c r="N227" s="99"/>
      <c r="O227" s="112"/>
      <c r="P227" s="112"/>
      <c r="Q227" s="104" t="str">
        <f t="shared" si="12"/>
        <v/>
      </c>
      <c r="R227" s="104" t="str">
        <f t="shared" si="13"/>
        <v/>
      </c>
      <c r="S227" s="104" t="str">
        <f t="shared" si="14"/>
        <v/>
      </c>
      <c r="T227" s="104" t="str">
        <f t="shared" si="15"/>
        <v/>
      </c>
      <c r="U227" s="104" t="str">
        <f t="shared" si="16"/>
        <v/>
      </c>
      <c r="V227" s="104" t="str">
        <f t="shared" si="17"/>
        <v/>
      </c>
      <c r="W227" s="105"/>
    </row>
    <row r="228" spans="1:23" ht="15" customHeight="1">
      <c r="A228" s="92">
        <v>20</v>
      </c>
      <c r="B228" s="121" t="s">
        <v>426</v>
      </c>
      <c r="C228" s="122"/>
      <c r="D228" s="798">
        <f>1+0.3+1</f>
        <v>2.2999999999999998</v>
      </c>
      <c r="E228" s="798"/>
      <c r="F228" s="118"/>
      <c r="G228" s="108">
        <v>0.25</v>
      </c>
      <c r="H228" s="98">
        <v>20</v>
      </c>
      <c r="I228" s="99">
        <v>1</v>
      </c>
      <c r="J228" s="101">
        <f>ROUND(3.1/G228+1,0)</f>
        <v>13</v>
      </c>
      <c r="K228" s="109">
        <f>D228</f>
        <v>2.2999999999999998</v>
      </c>
      <c r="L228" s="110" t="str">
        <f>IF(O228&lt;12,"0",0.049*H228)</f>
        <v>0</v>
      </c>
      <c r="M228" s="111">
        <v>0</v>
      </c>
      <c r="N228" s="99">
        <f>M228*2*H228/1000</f>
        <v>0</v>
      </c>
      <c r="O228" s="112">
        <f>(D228)-N228</f>
        <v>2.2999999999999998</v>
      </c>
      <c r="P228" s="112">
        <f>(I228*J228*O228)+L228</f>
        <v>29.9</v>
      </c>
      <c r="Q228" s="104" t="str">
        <f t="shared" si="12"/>
        <v/>
      </c>
      <c r="R228" s="104" t="str">
        <f t="shared" si="13"/>
        <v/>
      </c>
      <c r="S228" s="104" t="str">
        <f t="shared" si="14"/>
        <v/>
      </c>
      <c r="T228" s="104" t="str">
        <f t="shared" si="15"/>
        <v/>
      </c>
      <c r="U228" s="104">
        <f t="shared" si="16"/>
        <v>29.9</v>
      </c>
      <c r="V228" s="104" t="str">
        <f t="shared" si="17"/>
        <v/>
      </c>
      <c r="W228" s="105"/>
    </row>
    <row r="229" spans="1:23">
      <c r="A229" s="92"/>
      <c r="B229" s="121" t="s">
        <v>279</v>
      </c>
      <c r="C229" s="107"/>
      <c r="D229" s="117"/>
      <c r="E229" s="117"/>
      <c r="F229" s="118"/>
      <c r="G229" s="108"/>
      <c r="H229" s="98"/>
      <c r="I229" s="99"/>
      <c r="J229" s="101"/>
      <c r="K229" s="109"/>
      <c r="L229" s="110"/>
      <c r="M229" s="111"/>
      <c r="N229" s="99"/>
      <c r="O229" s="112"/>
      <c r="P229" s="112"/>
      <c r="Q229" s="104" t="str">
        <f t="shared" si="12"/>
        <v/>
      </c>
      <c r="R229" s="104" t="str">
        <f t="shared" si="13"/>
        <v/>
      </c>
      <c r="S229" s="104" t="str">
        <f t="shared" si="14"/>
        <v/>
      </c>
      <c r="T229" s="104" t="str">
        <f t="shared" si="15"/>
        <v/>
      </c>
      <c r="U229" s="104" t="str">
        <f t="shared" si="16"/>
        <v/>
      </c>
      <c r="V229" s="104" t="str">
        <f t="shared" si="17"/>
        <v/>
      </c>
      <c r="W229" s="105"/>
    </row>
    <row r="230" spans="1:23">
      <c r="A230" s="92"/>
      <c r="B230" s="121"/>
      <c r="C230" s="107"/>
      <c r="D230" s="117"/>
      <c r="E230" s="117"/>
      <c r="F230" s="118"/>
      <c r="G230" s="108"/>
      <c r="H230" s="98"/>
      <c r="I230" s="99"/>
      <c r="J230" s="101"/>
      <c r="K230" s="109"/>
      <c r="L230" s="110"/>
      <c r="M230" s="111"/>
      <c r="N230" s="99"/>
      <c r="O230" s="112"/>
      <c r="P230" s="112"/>
      <c r="Q230" s="104" t="str">
        <f t="shared" si="12"/>
        <v/>
      </c>
      <c r="R230" s="104" t="str">
        <f t="shared" si="13"/>
        <v/>
      </c>
      <c r="S230" s="104" t="str">
        <f t="shared" si="14"/>
        <v/>
      </c>
      <c r="T230" s="104" t="str">
        <f t="shared" si="15"/>
        <v/>
      </c>
      <c r="U230" s="104" t="str">
        <f t="shared" si="16"/>
        <v/>
      </c>
      <c r="V230" s="104" t="str">
        <f t="shared" si="17"/>
        <v/>
      </c>
      <c r="W230" s="105"/>
    </row>
    <row r="231" spans="1:23" ht="15" customHeight="1">
      <c r="A231" s="92">
        <v>21</v>
      </c>
      <c r="B231" s="121" t="s">
        <v>427</v>
      </c>
      <c r="C231" s="122"/>
      <c r="D231" s="798">
        <f>1.25+0.6+1.25</f>
        <v>3.1</v>
      </c>
      <c r="E231" s="798"/>
      <c r="F231" s="118"/>
      <c r="G231" s="108">
        <v>0.25</v>
      </c>
      <c r="H231" s="98">
        <v>25</v>
      </c>
      <c r="I231" s="99">
        <v>1</v>
      </c>
      <c r="J231" s="101">
        <f>ROUND(2.3/G231+1,0)</f>
        <v>10</v>
      </c>
      <c r="K231" s="109">
        <f>D231</f>
        <v>3.1</v>
      </c>
      <c r="L231" s="110" t="str">
        <f>IF(O231&lt;12,"0",0.049*H231)</f>
        <v>0</v>
      </c>
      <c r="M231" s="111">
        <v>0</v>
      </c>
      <c r="N231" s="99">
        <f>M231*2*H231/1000</f>
        <v>0</v>
      </c>
      <c r="O231" s="112">
        <f>(D231)-N231</f>
        <v>3.1</v>
      </c>
      <c r="P231" s="112">
        <f>(I231*J231*O231)+L231</f>
        <v>31</v>
      </c>
      <c r="Q231" s="104" t="str">
        <f t="shared" si="12"/>
        <v/>
      </c>
      <c r="R231" s="104" t="str">
        <f t="shared" si="13"/>
        <v/>
      </c>
      <c r="S231" s="104" t="str">
        <f t="shared" si="14"/>
        <v/>
      </c>
      <c r="T231" s="104" t="str">
        <f t="shared" si="15"/>
        <v/>
      </c>
      <c r="U231" s="104" t="str">
        <f t="shared" si="16"/>
        <v/>
      </c>
      <c r="V231" s="104">
        <f t="shared" si="17"/>
        <v>31</v>
      </c>
      <c r="W231" s="105"/>
    </row>
    <row r="232" spans="1:23">
      <c r="A232" s="92"/>
      <c r="B232" s="121" t="s">
        <v>279</v>
      </c>
      <c r="C232" s="107"/>
      <c r="D232" s="117"/>
      <c r="E232" s="117"/>
      <c r="F232" s="118"/>
      <c r="G232" s="108"/>
      <c r="H232" s="98"/>
      <c r="I232" s="99"/>
      <c r="J232" s="101"/>
      <c r="K232" s="109"/>
      <c r="L232" s="110"/>
      <c r="M232" s="111"/>
      <c r="N232" s="99"/>
      <c r="O232" s="112"/>
      <c r="P232" s="112"/>
      <c r="Q232" s="104" t="str">
        <f t="shared" si="12"/>
        <v/>
      </c>
      <c r="R232" s="104" t="str">
        <f t="shared" si="13"/>
        <v/>
      </c>
      <c r="S232" s="104" t="str">
        <f t="shared" si="14"/>
        <v/>
      </c>
      <c r="T232" s="104" t="str">
        <f t="shared" si="15"/>
        <v/>
      </c>
      <c r="U232" s="104" t="str">
        <f t="shared" si="16"/>
        <v/>
      </c>
      <c r="V232" s="104" t="str">
        <f t="shared" si="17"/>
        <v/>
      </c>
      <c r="W232" s="105"/>
    </row>
    <row r="233" spans="1:23">
      <c r="A233" s="92"/>
      <c r="B233" s="121"/>
      <c r="C233" s="107"/>
      <c r="D233" s="117"/>
      <c r="E233" s="117"/>
      <c r="F233" s="118"/>
      <c r="G233" s="108"/>
      <c r="H233" s="98"/>
      <c r="I233" s="99"/>
      <c r="J233" s="101"/>
      <c r="K233" s="109"/>
      <c r="L233" s="110"/>
      <c r="M233" s="111"/>
      <c r="N233" s="99"/>
      <c r="O233" s="112"/>
      <c r="P233" s="112"/>
      <c r="Q233" s="104" t="str">
        <f t="shared" si="12"/>
        <v/>
      </c>
      <c r="R233" s="104" t="str">
        <f t="shared" si="13"/>
        <v/>
      </c>
      <c r="S233" s="104" t="str">
        <f t="shared" si="14"/>
        <v/>
      </c>
      <c r="T233" s="104" t="str">
        <f t="shared" si="15"/>
        <v/>
      </c>
      <c r="U233" s="104" t="str">
        <f t="shared" si="16"/>
        <v/>
      </c>
      <c r="V233" s="104" t="str">
        <f t="shared" si="17"/>
        <v/>
      </c>
      <c r="W233" s="105"/>
    </row>
    <row r="234" spans="1:23" ht="15" customHeight="1">
      <c r="A234" s="92">
        <v>22</v>
      </c>
      <c r="B234" s="121" t="s">
        <v>426</v>
      </c>
      <c r="C234" s="122"/>
      <c r="D234" s="798">
        <f>1+0.3+1</f>
        <v>2.2999999999999998</v>
      </c>
      <c r="E234" s="798"/>
      <c r="F234" s="118"/>
      <c r="G234" s="108">
        <v>0.25</v>
      </c>
      <c r="H234" s="98">
        <v>20</v>
      </c>
      <c r="I234" s="99">
        <v>1</v>
      </c>
      <c r="J234" s="101">
        <f>ROUND(3.1/G234+1,0)</f>
        <v>13</v>
      </c>
      <c r="K234" s="109">
        <f>D234</f>
        <v>2.2999999999999998</v>
      </c>
      <c r="L234" s="110" t="str">
        <f>IF(O234&lt;12,"0",0.049*H234)</f>
        <v>0</v>
      </c>
      <c r="M234" s="111">
        <v>0</v>
      </c>
      <c r="N234" s="99">
        <f>M234*2*H234/1000</f>
        <v>0</v>
      </c>
      <c r="O234" s="112">
        <f>(D234)-N234</f>
        <v>2.2999999999999998</v>
      </c>
      <c r="P234" s="112">
        <f>(I234*J234*O234)+L234</f>
        <v>29.9</v>
      </c>
      <c r="Q234" s="104" t="str">
        <f t="shared" si="12"/>
        <v/>
      </c>
      <c r="R234" s="104" t="str">
        <f t="shared" si="13"/>
        <v/>
      </c>
      <c r="S234" s="104" t="str">
        <f t="shared" si="14"/>
        <v/>
      </c>
      <c r="T234" s="104" t="str">
        <f t="shared" si="15"/>
        <v/>
      </c>
      <c r="U234" s="104">
        <f t="shared" si="16"/>
        <v>29.9</v>
      </c>
      <c r="V234" s="104" t="str">
        <f t="shared" si="17"/>
        <v/>
      </c>
      <c r="W234" s="105"/>
    </row>
    <row r="235" spans="1:23">
      <c r="A235" s="92"/>
      <c r="B235" s="121" t="s">
        <v>280</v>
      </c>
      <c r="C235" s="107"/>
      <c r="D235" s="117"/>
      <c r="E235" s="117"/>
      <c r="F235" s="118"/>
      <c r="G235" s="108"/>
      <c r="H235" s="98"/>
      <c r="I235" s="99"/>
      <c r="J235" s="101"/>
      <c r="K235" s="109"/>
      <c r="L235" s="110"/>
      <c r="M235" s="111"/>
      <c r="N235" s="99"/>
      <c r="O235" s="112"/>
      <c r="P235" s="112"/>
      <c r="Q235" s="104" t="str">
        <f t="shared" si="12"/>
        <v/>
      </c>
      <c r="R235" s="104" t="str">
        <f t="shared" si="13"/>
        <v/>
      </c>
      <c r="S235" s="104" t="str">
        <f t="shared" si="14"/>
        <v/>
      </c>
      <c r="T235" s="104" t="str">
        <f t="shared" si="15"/>
        <v/>
      </c>
      <c r="U235" s="104" t="str">
        <f t="shared" si="16"/>
        <v/>
      </c>
      <c r="V235" s="104" t="str">
        <f t="shared" si="17"/>
        <v/>
      </c>
      <c r="W235" s="105"/>
    </row>
    <row r="236" spans="1:23">
      <c r="A236" s="92"/>
      <c r="B236" s="121"/>
      <c r="C236" s="107"/>
      <c r="D236" s="117"/>
      <c r="E236" s="117"/>
      <c r="F236" s="118"/>
      <c r="G236" s="108"/>
      <c r="H236" s="98"/>
      <c r="I236" s="99"/>
      <c r="J236" s="101"/>
      <c r="K236" s="109"/>
      <c r="L236" s="110"/>
      <c r="M236" s="111"/>
      <c r="N236" s="99"/>
      <c r="O236" s="112"/>
      <c r="P236" s="112"/>
      <c r="Q236" s="104" t="str">
        <f t="shared" si="12"/>
        <v/>
      </c>
      <c r="R236" s="104" t="str">
        <f t="shared" si="13"/>
        <v/>
      </c>
      <c r="S236" s="104" t="str">
        <f t="shared" si="14"/>
        <v/>
      </c>
      <c r="T236" s="104" t="str">
        <f t="shared" si="15"/>
        <v/>
      </c>
      <c r="U236" s="104" t="str">
        <f t="shared" si="16"/>
        <v/>
      </c>
      <c r="V236" s="104" t="str">
        <f t="shared" si="17"/>
        <v/>
      </c>
      <c r="W236" s="105"/>
    </row>
    <row r="237" spans="1:23" ht="15" customHeight="1">
      <c r="A237" s="92">
        <v>23</v>
      </c>
      <c r="B237" s="121" t="s">
        <v>427</v>
      </c>
      <c r="C237" s="122"/>
      <c r="D237" s="798">
        <f>1.25+0.6+1.25</f>
        <v>3.1</v>
      </c>
      <c r="E237" s="798"/>
      <c r="F237" s="118"/>
      <c r="G237" s="108">
        <v>0.25</v>
      </c>
      <c r="H237" s="98">
        <v>25</v>
      </c>
      <c r="I237" s="99">
        <v>1</v>
      </c>
      <c r="J237" s="101">
        <f>ROUND(2.3/G237+1,0)</f>
        <v>10</v>
      </c>
      <c r="K237" s="109">
        <f>D237</f>
        <v>3.1</v>
      </c>
      <c r="L237" s="110" t="str">
        <f>IF(O237&lt;12,"0",0.049*H237)</f>
        <v>0</v>
      </c>
      <c r="M237" s="111">
        <v>0</v>
      </c>
      <c r="N237" s="99">
        <f>M237*2*H237/1000</f>
        <v>0</v>
      </c>
      <c r="O237" s="112">
        <f>(D237)-N237</f>
        <v>3.1</v>
      </c>
      <c r="P237" s="112">
        <f>(I237*J237*O237)+L237</f>
        <v>31</v>
      </c>
      <c r="Q237" s="104" t="str">
        <f t="shared" ref="Q237:Q300" si="18">IF($H237=8,$P237,"")</f>
        <v/>
      </c>
      <c r="R237" s="104" t="str">
        <f t="shared" ref="R237:R300" si="19">IF($H237=10,$P237,"")</f>
        <v/>
      </c>
      <c r="S237" s="104" t="str">
        <f t="shared" ref="S237:S300" si="20">IF($H237=12,$P237,"")</f>
        <v/>
      </c>
      <c r="T237" s="104" t="str">
        <f t="shared" ref="T237:T300" si="21">IF($H237=16,$P237,"")</f>
        <v/>
      </c>
      <c r="U237" s="104" t="str">
        <f t="shared" ref="U237:U300" si="22">IF($H237=20,$P237,"")</f>
        <v/>
      </c>
      <c r="V237" s="104">
        <f t="shared" ref="V237:V300" si="23">IF($H237=25,$P237,"")</f>
        <v>31</v>
      </c>
      <c r="W237" s="105"/>
    </row>
    <row r="238" spans="1:23">
      <c r="A238" s="92"/>
      <c r="B238" s="121" t="s">
        <v>280</v>
      </c>
      <c r="C238" s="107"/>
      <c r="D238" s="117"/>
      <c r="E238" s="117"/>
      <c r="F238" s="118"/>
      <c r="G238" s="108"/>
      <c r="H238" s="98"/>
      <c r="I238" s="99"/>
      <c r="J238" s="101"/>
      <c r="K238" s="109"/>
      <c r="L238" s="110"/>
      <c r="M238" s="111"/>
      <c r="N238" s="99"/>
      <c r="O238" s="112"/>
      <c r="P238" s="112"/>
      <c r="Q238" s="104" t="str">
        <f t="shared" si="18"/>
        <v/>
      </c>
      <c r="R238" s="104" t="str">
        <f t="shared" si="19"/>
        <v/>
      </c>
      <c r="S238" s="104" t="str">
        <f t="shared" si="20"/>
        <v/>
      </c>
      <c r="T238" s="104" t="str">
        <f t="shared" si="21"/>
        <v/>
      </c>
      <c r="U238" s="104" t="str">
        <f t="shared" si="22"/>
        <v/>
      </c>
      <c r="V238" s="104" t="str">
        <f t="shared" si="23"/>
        <v/>
      </c>
      <c r="W238" s="105"/>
    </row>
    <row r="239" spans="1:23">
      <c r="A239" s="92"/>
      <c r="B239" s="121"/>
      <c r="C239" s="107"/>
      <c r="D239" s="117"/>
      <c r="E239" s="117"/>
      <c r="F239" s="118"/>
      <c r="G239" s="108"/>
      <c r="H239" s="98"/>
      <c r="I239" s="99"/>
      <c r="J239" s="101"/>
      <c r="K239" s="109"/>
      <c r="L239" s="110"/>
      <c r="M239" s="111"/>
      <c r="N239" s="99"/>
      <c r="O239" s="112"/>
      <c r="P239" s="112"/>
      <c r="Q239" s="104" t="str">
        <f t="shared" si="18"/>
        <v/>
      </c>
      <c r="R239" s="104" t="str">
        <f t="shared" si="19"/>
        <v/>
      </c>
      <c r="S239" s="104" t="str">
        <f t="shared" si="20"/>
        <v/>
      </c>
      <c r="T239" s="104" t="str">
        <f t="shared" si="21"/>
        <v/>
      </c>
      <c r="U239" s="104" t="str">
        <f t="shared" si="22"/>
        <v/>
      </c>
      <c r="V239" s="104" t="str">
        <f t="shared" si="23"/>
        <v/>
      </c>
      <c r="W239" s="105"/>
    </row>
    <row r="240" spans="1:23" ht="15" customHeight="1">
      <c r="A240" s="92">
        <v>24</v>
      </c>
      <c r="B240" s="121" t="s">
        <v>426</v>
      </c>
      <c r="C240" s="122"/>
      <c r="D240" s="798">
        <f>1+0.3+1</f>
        <v>2.2999999999999998</v>
      </c>
      <c r="E240" s="798"/>
      <c r="F240" s="118"/>
      <c r="G240" s="108">
        <v>0.25</v>
      </c>
      <c r="H240" s="98">
        <v>20</v>
      </c>
      <c r="I240" s="99">
        <v>1</v>
      </c>
      <c r="J240" s="101">
        <f>ROUND(2.715/G240+1,0)</f>
        <v>12</v>
      </c>
      <c r="K240" s="109">
        <f>D240</f>
        <v>2.2999999999999998</v>
      </c>
      <c r="L240" s="110" t="str">
        <f>IF(O240&lt;12,"0",0.049*H240)</f>
        <v>0</v>
      </c>
      <c r="M240" s="111">
        <v>0</v>
      </c>
      <c r="N240" s="99">
        <f>M240*2*H240/1000</f>
        <v>0</v>
      </c>
      <c r="O240" s="112">
        <f>(D240)-N240</f>
        <v>2.2999999999999998</v>
      </c>
      <c r="P240" s="112">
        <f>(I240*J240*O240)+L240</f>
        <v>27.599999999999998</v>
      </c>
      <c r="Q240" s="104" t="str">
        <f t="shared" si="18"/>
        <v/>
      </c>
      <c r="R240" s="104" t="str">
        <f t="shared" si="19"/>
        <v/>
      </c>
      <c r="S240" s="104" t="str">
        <f t="shared" si="20"/>
        <v/>
      </c>
      <c r="T240" s="104" t="str">
        <f t="shared" si="21"/>
        <v/>
      </c>
      <c r="U240" s="104">
        <f t="shared" si="22"/>
        <v>27.599999999999998</v>
      </c>
      <c r="V240" s="104" t="str">
        <f t="shared" si="23"/>
        <v/>
      </c>
      <c r="W240" s="105"/>
    </row>
    <row r="241" spans="1:23">
      <c r="A241" s="92"/>
      <c r="B241" s="121" t="s">
        <v>281</v>
      </c>
      <c r="C241" s="107"/>
      <c r="D241" s="117"/>
      <c r="E241" s="117"/>
      <c r="F241" s="118"/>
      <c r="G241" s="108"/>
      <c r="H241" s="98"/>
      <c r="I241" s="99"/>
      <c r="J241" s="101"/>
      <c r="K241" s="109"/>
      <c r="L241" s="110"/>
      <c r="M241" s="111"/>
      <c r="N241" s="99"/>
      <c r="O241" s="112"/>
      <c r="P241" s="112"/>
      <c r="Q241" s="104" t="str">
        <f t="shared" si="18"/>
        <v/>
      </c>
      <c r="R241" s="104" t="str">
        <f t="shared" si="19"/>
        <v/>
      </c>
      <c r="S241" s="104" t="str">
        <f t="shared" si="20"/>
        <v/>
      </c>
      <c r="T241" s="104" t="str">
        <f t="shared" si="21"/>
        <v/>
      </c>
      <c r="U241" s="104" t="str">
        <f t="shared" si="22"/>
        <v/>
      </c>
      <c r="V241" s="104" t="str">
        <f t="shared" si="23"/>
        <v/>
      </c>
      <c r="W241" s="105"/>
    </row>
    <row r="242" spans="1:23">
      <c r="A242" s="92"/>
      <c r="B242" s="121"/>
      <c r="C242" s="107"/>
      <c r="D242" s="117"/>
      <c r="E242" s="117"/>
      <c r="F242" s="118"/>
      <c r="G242" s="108"/>
      <c r="H242" s="98"/>
      <c r="I242" s="99"/>
      <c r="J242" s="101"/>
      <c r="K242" s="109"/>
      <c r="L242" s="110"/>
      <c r="M242" s="111"/>
      <c r="N242" s="99"/>
      <c r="O242" s="112"/>
      <c r="P242" s="112"/>
      <c r="Q242" s="104" t="str">
        <f t="shared" si="18"/>
        <v/>
      </c>
      <c r="R242" s="104" t="str">
        <f t="shared" si="19"/>
        <v/>
      </c>
      <c r="S242" s="104" t="str">
        <f t="shared" si="20"/>
        <v/>
      </c>
      <c r="T242" s="104" t="str">
        <f t="shared" si="21"/>
        <v/>
      </c>
      <c r="U242" s="104" t="str">
        <f t="shared" si="22"/>
        <v/>
      </c>
      <c r="V242" s="104" t="str">
        <f t="shared" si="23"/>
        <v/>
      </c>
      <c r="W242" s="105"/>
    </row>
    <row r="243" spans="1:23" ht="15" customHeight="1">
      <c r="A243" s="92">
        <v>25</v>
      </c>
      <c r="B243" s="121" t="s">
        <v>427</v>
      </c>
      <c r="C243" s="122"/>
      <c r="D243" s="798">
        <f>1+0.715+1</f>
        <v>2.7149999999999999</v>
      </c>
      <c r="E243" s="798"/>
      <c r="F243" s="118"/>
      <c r="G243" s="108">
        <v>0.25</v>
      </c>
      <c r="H243" s="98">
        <v>20</v>
      </c>
      <c r="I243" s="99">
        <v>1</v>
      </c>
      <c r="J243" s="101">
        <f>ROUND(2.3/G243+1,0)</f>
        <v>10</v>
      </c>
      <c r="K243" s="109">
        <f>D243</f>
        <v>2.7149999999999999</v>
      </c>
      <c r="L243" s="110" t="str">
        <f>IF(O243&lt;12,"0",0.049*H243)</f>
        <v>0</v>
      </c>
      <c r="M243" s="111">
        <v>0</v>
      </c>
      <c r="N243" s="99">
        <f>M243*2*H243/1000</f>
        <v>0</v>
      </c>
      <c r="O243" s="112">
        <f>(D243)-N243</f>
        <v>2.7149999999999999</v>
      </c>
      <c r="P243" s="112">
        <f>(I243*J243*O243)+L243</f>
        <v>27.15</v>
      </c>
      <c r="Q243" s="104" t="str">
        <f t="shared" si="18"/>
        <v/>
      </c>
      <c r="R243" s="104" t="str">
        <f t="shared" si="19"/>
        <v/>
      </c>
      <c r="S243" s="104" t="str">
        <f t="shared" si="20"/>
        <v/>
      </c>
      <c r="T243" s="104" t="str">
        <f t="shared" si="21"/>
        <v/>
      </c>
      <c r="U243" s="104">
        <f t="shared" si="22"/>
        <v>27.15</v>
      </c>
      <c r="V243" s="104" t="str">
        <f t="shared" si="23"/>
        <v/>
      </c>
      <c r="W243" s="105"/>
    </row>
    <row r="244" spans="1:23">
      <c r="A244" s="92"/>
      <c r="B244" s="121" t="s">
        <v>281</v>
      </c>
      <c r="C244" s="107"/>
      <c r="D244" s="117"/>
      <c r="E244" s="117"/>
      <c r="F244" s="118"/>
      <c r="G244" s="108"/>
      <c r="H244" s="98"/>
      <c r="I244" s="99"/>
      <c r="J244" s="101"/>
      <c r="K244" s="109"/>
      <c r="L244" s="110"/>
      <c r="M244" s="111"/>
      <c r="N244" s="99"/>
      <c r="O244" s="112"/>
      <c r="P244" s="112"/>
      <c r="Q244" s="104" t="str">
        <f t="shared" si="18"/>
        <v/>
      </c>
      <c r="R244" s="104" t="str">
        <f t="shared" si="19"/>
        <v/>
      </c>
      <c r="S244" s="104" t="str">
        <f t="shared" si="20"/>
        <v/>
      </c>
      <c r="T244" s="104" t="str">
        <f t="shared" si="21"/>
        <v/>
      </c>
      <c r="U244" s="104" t="str">
        <f t="shared" si="22"/>
        <v/>
      </c>
      <c r="V244" s="104" t="str">
        <f t="shared" si="23"/>
        <v/>
      </c>
      <c r="W244" s="105"/>
    </row>
    <row r="245" spans="1:23">
      <c r="A245" s="92"/>
      <c r="B245" s="121"/>
      <c r="C245" s="107"/>
      <c r="D245" s="117"/>
      <c r="E245" s="117"/>
      <c r="F245" s="118"/>
      <c r="G245" s="108"/>
      <c r="H245" s="98"/>
      <c r="I245" s="99"/>
      <c r="J245" s="101"/>
      <c r="K245" s="109"/>
      <c r="L245" s="110"/>
      <c r="M245" s="111"/>
      <c r="N245" s="99"/>
      <c r="O245" s="112"/>
      <c r="P245" s="112"/>
      <c r="Q245" s="104" t="str">
        <f t="shared" si="18"/>
        <v/>
      </c>
      <c r="R245" s="104" t="str">
        <f t="shared" si="19"/>
        <v/>
      </c>
      <c r="S245" s="104" t="str">
        <f t="shared" si="20"/>
        <v/>
      </c>
      <c r="T245" s="104" t="str">
        <f t="shared" si="21"/>
        <v/>
      </c>
      <c r="U245" s="104" t="str">
        <f t="shared" si="22"/>
        <v/>
      </c>
      <c r="V245" s="104" t="str">
        <f t="shared" si="23"/>
        <v/>
      </c>
      <c r="W245" s="105"/>
    </row>
    <row r="246" spans="1:23" ht="15" customHeight="1">
      <c r="A246" s="92">
        <v>26</v>
      </c>
      <c r="B246" s="121" t="s">
        <v>426</v>
      </c>
      <c r="C246" s="122"/>
      <c r="D246" s="798">
        <f>1+1+0.835+0.1+1</f>
        <v>3.9350000000000001</v>
      </c>
      <c r="E246" s="798"/>
      <c r="F246" s="118"/>
      <c r="G246" s="108">
        <v>0.25</v>
      </c>
      <c r="H246" s="98">
        <v>20</v>
      </c>
      <c r="I246" s="99">
        <v>1</v>
      </c>
      <c r="J246" s="101">
        <f>ROUND(4.075/G246+1,0)</f>
        <v>17</v>
      </c>
      <c r="K246" s="109">
        <f>D246</f>
        <v>3.9350000000000001</v>
      </c>
      <c r="L246" s="110" t="str">
        <f>IF(O246&lt;12,"0",0.049*H246)</f>
        <v>0</v>
      </c>
      <c r="M246" s="111">
        <v>0</v>
      </c>
      <c r="N246" s="99">
        <f>M246*2*H246/1000</f>
        <v>0</v>
      </c>
      <c r="O246" s="112">
        <f>(D246)-N246</f>
        <v>3.9350000000000001</v>
      </c>
      <c r="P246" s="112">
        <f>(I246*J246*O246)+L246</f>
        <v>66.894999999999996</v>
      </c>
      <c r="Q246" s="104" t="str">
        <f t="shared" si="18"/>
        <v/>
      </c>
      <c r="R246" s="104" t="str">
        <f t="shared" si="19"/>
        <v/>
      </c>
      <c r="S246" s="104" t="str">
        <f t="shared" si="20"/>
        <v/>
      </c>
      <c r="T246" s="104" t="str">
        <f t="shared" si="21"/>
        <v/>
      </c>
      <c r="U246" s="104">
        <f t="shared" si="22"/>
        <v>66.894999999999996</v>
      </c>
      <c r="V246" s="104" t="str">
        <f t="shared" si="23"/>
        <v/>
      </c>
      <c r="W246" s="105"/>
    </row>
    <row r="247" spans="1:23">
      <c r="A247" s="92"/>
      <c r="B247" s="121" t="s">
        <v>282</v>
      </c>
      <c r="C247" s="107"/>
      <c r="D247" s="117"/>
      <c r="E247" s="117"/>
      <c r="F247" s="118"/>
      <c r="G247" s="108"/>
      <c r="H247" s="98"/>
      <c r="I247" s="99"/>
      <c r="J247" s="101"/>
      <c r="K247" s="109"/>
      <c r="L247" s="110"/>
      <c r="M247" s="111"/>
      <c r="N247" s="99"/>
      <c r="O247" s="112"/>
      <c r="P247" s="112"/>
      <c r="Q247" s="104" t="str">
        <f t="shared" si="18"/>
        <v/>
      </c>
      <c r="R247" s="104" t="str">
        <f t="shared" si="19"/>
        <v/>
      </c>
      <c r="S247" s="104" t="str">
        <f t="shared" si="20"/>
        <v/>
      </c>
      <c r="T247" s="104" t="str">
        <f t="shared" si="21"/>
        <v/>
      </c>
      <c r="U247" s="104" t="str">
        <f t="shared" si="22"/>
        <v/>
      </c>
      <c r="V247" s="104" t="str">
        <f t="shared" si="23"/>
        <v/>
      </c>
      <c r="W247" s="105"/>
    </row>
    <row r="248" spans="1:23">
      <c r="A248" s="92"/>
      <c r="B248" s="121"/>
      <c r="C248" s="107"/>
      <c r="D248" s="117"/>
      <c r="E248" s="117"/>
      <c r="F248" s="118"/>
      <c r="G248" s="108"/>
      <c r="H248" s="98"/>
      <c r="I248" s="99"/>
      <c r="J248" s="101"/>
      <c r="K248" s="109"/>
      <c r="L248" s="110"/>
      <c r="M248" s="111"/>
      <c r="N248" s="99"/>
      <c r="O248" s="112"/>
      <c r="P248" s="112"/>
      <c r="Q248" s="104" t="str">
        <f t="shared" si="18"/>
        <v/>
      </c>
      <c r="R248" s="104" t="str">
        <f t="shared" si="19"/>
        <v/>
      </c>
      <c r="S248" s="104" t="str">
        <f t="shared" si="20"/>
        <v/>
      </c>
      <c r="T248" s="104" t="str">
        <f t="shared" si="21"/>
        <v/>
      </c>
      <c r="U248" s="104" t="str">
        <f t="shared" si="22"/>
        <v/>
      </c>
      <c r="V248" s="104" t="str">
        <f t="shared" si="23"/>
        <v/>
      </c>
      <c r="W248" s="105"/>
    </row>
    <row r="249" spans="1:23" ht="15" customHeight="1">
      <c r="A249" s="92">
        <v>27</v>
      </c>
      <c r="B249" s="121" t="s">
        <v>427</v>
      </c>
      <c r="C249" s="122"/>
      <c r="D249" s="798">
        <v>4.0599999999999996</v>
      </c>
      <c r="E249" s="798"/>
      <c r="F249" s="118"/>
      <c r="G249" s="108">
        <v>0.25</v>
      </c>
      <c r="H249" s="98">
        <v>20</v>
      </c>
      <c r="I249" s="99">
        <v>1</v>
      </c>
      <c r="J249" s="101">
        <f>ROUND(3.935/G249+1,0)</f>
        <v>17</v>
      </c>
      <c r="K249" s="109">
        <f>D249</f>
        <v>4.0599999999999996</v>
      </c>
      <c r="L249" s="110" t="str">
        <f>IF(O249&lt;12,"0",0.049*H249)</f>
        <v>0</v>
      </c>
      <c r="M249" s="111">
        <v>0</v>
      </c>
      <c r="N249" s="99">
        <f>M249*2*H249/1000</f>
        <v>0</v>
      </c>
      <c r="O249" s="112">
        <f>(D249)-N249</f>
        <v>4.0599999999999996</v>
      </c>
      <c r="P249" s="112">
        <f>(I249*J249*O249)+L249</f>
        <v>69.02</v>
      </c>
      <c r="Q249" s="104" t="str">
        <f t="shared" si="18"/>
        <v/>
      </c>
      <c r="R249" s="104" t="str">
        <f t="shared" si="19"/>
        <v/>
      </c>
      <c r="S249" s="104" t="str">
        <f t="shared" si="20"/>
        <v/>
      </c>
      <c r="T249" s="104" t="str">
        <f t="shared" si="21"/>
        <v/>
      </c>
      <c r="U249" s="104">
        <f t="shared" si="22"/>
        <v>69.02</v>
      </c>
      <c r="V249" s="104" t="str">
        <f t="shared" si="23"/>
        <v/>
      </c>
      <c r="W249" s="105"/>
    </row>
    <row r="250" spans="1:23">
      <c r="A250" s="92"/>
      <c r="B250" s="121" t="s">
        <v>282</v>
      </c>
      <c r="C250" s="107"/>
      <c r="D250" s="117"/>
      <c r="E250" s="117"/>
      <c r="F250" s="118"/>
      <c r="G250" s="108"/>
      <c r="H250" s="98"/>
      <c r="I250" s="99"/>
      <c r="J250" s="101"/>
      <c r="K250" s="109"/>
      <c r="L250" s="110"/>
      <c r="M250" s="111"/>
      <c r="N250" s="99"/>
      <c r="O250" s="112"/>
      <c r="P250" s="112"/>
      <c r="Q250" s="104" t="str">
        <f t="shared" si="18"/>
        <v/>
      </c>
      <c r="R250" s="104" t="str">
        <f t="shared" si="19"/>
        <v/>
      </c>
      <c r="S250" s="104" t="str">
        <f t="shared" si="20"/>
        <v/>
      </c>
      <c r="T250" s="104" t="str">
        <f t="shared" si="21"/>
        <v/>
      </c>
      <c r="U250" s="104" t="str">
        <f t="shared" si="22"/>
        <v/>
      </c>
      <c r="V250" s="104" t="str">
        <f t="shared" si="23"/>
        <v/>
      </c>
      <c r="W250" s="105"/>
    </row>
    <row r="251" spans="1:23">
      <c r="A251" s="92"/>
      <c r="B251" s="121"/>
      <c r="C251" s="107"/>
      <c r="D251" s="117"/>
      <c r="E251" s="117"/>
      <c r="F251" s="118"/>
      <c r="G251" s="108"/>
      <c r="H251" s="98"/>
      <c r="I251" s="99"/>
      <c r="J251" s="101"/>
      <c r="K251" s="109"/>
      <c r="L251" s="110"/>
      <c r="M251" s="111"/>
      <c r="N251" s="99"/>
      <c r="O251" s="112"/>
      <c r="P251" s="112"/>
      <c r="Q251" s="104" t="str">
        <f t="shared" si="18"/>
        <v/>
      </c>
      <c r="R251" s="104" t="str">
        <f t="shared" si="19"/>
        <v/>
      </c>
      <c r="S251" s="104" t="str">
        <f t="shared" si="20"/>
        <v/>
      </c>
      <c r="T251" s="104" t="str">
        <f t="shared" si="21"/>
        <v/>
      </c>
      <c r="U251" s="104" t="str">
        <f t="shared" si="22"/>
        <v/>
      </c>
      <c r="V251" s="104" t="str">
        <f t="shared" si="23"/>
        <v/>
      </c>
      <c r="W251" s="105"/>
    </row>
    <row r="252" spans="1:23" ht="15" customHeight="1">
      <c r="A252" s="92">
        <v>28</v>
      </c>
      <c r="B252" s="121" t="s">
        <v>426</v>
      </c>
      <c r="C252" s="122"/>
      <c r="D252" s="798">
        <f>0.8+0.23+0.8</f>
        <v>1.83</v>
      </c>
      <c r="E252" s="798"/>
      <c r="F252" s="118"/>
      <c r="G252" s="108">
        <v>0.25</v>
      </c>
      <c r="H252" s="98">
        <v>16</v>
      </c>
      <c r="I252" s="99">
        <v>1</v>
      </c>
      <c r="J252" s="101">
        <f>ROUND(3.185/G252+1,0)</f>
        <v>14</v>
      </c>
      <c r="K252" s="109">
        <f>D252</f>
        <v>1.83</v>
      </c>
      <c r="L252" s="110" t="str">
        <f>IF(O252&lt;12,"0",0.049*H252)</f>
        <v>0</v>
      </c>
      <c r="M252" s="111">
        <v>0</v>
      </c>
      <c r="N252" s="99">
        <f>M252*2*H252/1000</f>
        <v>0</v>
      </c>
      <c r="O252" s="112">
        <f>(D252)-N252</f>
        <v>1.83</v>
      </c>
      <c r="P252" s="112">
        <f>(I252*J252*O252)+L252</f>
        <v>25.62</v>
      </c>
      <c r="Q252" s="104" t="str">
        <f t="shared" si="18"/>
        <v/>
      </c>
      <c r="R252" s="104" t="str">
        <f t="shared" si="19"/>
        <v/>
      </c>
      <c r="S252" s="104" t="str">
        <f t="shared" si="20"/>
        <v/>
      </c>
      <c r="T252" s="104">
        <f t="shared" si="21"/>
        <v>25.62</v>
      </c>
      <c r="U252" s="104" t="str">
        <f t="shared" si="22"/>
        <v/>
      </c>
      <c r="V252" s="104" t="str">
        <f t="shared" si="23"/>
        <v/>
      </c>
      <c r="W252" s="105"/>
    </row>
    <row r="253" spans="1:23">
      <c r="A253" s="92"/>
      <c r="B253" s="121" t="s">
        <v>283</v>
      </c>
      <c r="C253" s="107"/>
      <c r="D253" s="117"/>
      <c r="E253" s="117"/>
      <c r="F253" s="118"/>
      <c r="G253" s="108"/>
      <c r="H253" s="98"/>
      <c r="I253" s="99"/>
      <c r="J253" s="101"/>
      <c r="K253" s="109"/>
      <c r="L253" s="110"/>
      <c r="M253" s="111"/>
      <c r="N253" s="99"/>
      <c r="O253" s="112"/>
      <c r="P253" s="112"/>
      <c r="Q253" s="104" t="str">
        <f t="shared" si="18"/>
        <v/>
      </c>
      <c r="R253" s="104" t="str">
        <f t="shared" si="19"/>
        <v/>
      </c>
      <c r="S253" s="104" t="str">
        <f t="shared" si="20"/>
        <v/>
      </c>
      <c r="T253" s="104" t="str">
        <f t="shared" si="21"/>
        <v/>
      </c>
      <c r="U253" s="104" t="str">
        <f t="shared" si="22"/>
        <v/>
      </c>
      <c r="V253" s="104" t="str">
        <f t="shared" si="23"/>
        <v/>
      </c>
      <c r="W253" s="105"/>
    </row>
    <row r="254" spans="1:23">
      <c r="A254" s="92"/>
      <c r="B254" s="121"/>
      <c r="C254" s="107"/>
      <c r="D254" s="117"/>
      <c r="E254" s="117"/>
      <c r="F254" s="118"/>
      <c r="G254" s="108"/>
      <c r="H254" s="98"/>
      <c r="I254" s="99"/>
      <c r="J254" s="101"/>
      <c r="K254" s="109"/>
      <c r="L254" s="110"/>
      <c r="M254" s="111"/>
      <c r="N254" s="99"/>
      <c r="O254" s="112"/>
      <c r="P254" s="112"/>
      <c r="Q254" s="104" t="str">
        <f t="shared" si="18"/>
        <v/>
      </c>
      <c r="R254" s="104" t="str">
        <f t="shared" si="19"/>
        <v/>
      </c>
      <c r="S254" s="104" t="str">
        <f t="shared" si="20"/>
        <v/>
      </c>
      <c r="T254" s="104" t="str">
        <f t="shared" si="21"/>
        <v/>
      </c>
      <c r="U254" s="104" t="str">
        <f t="shared" si="22"/>
        <v/>
      </c>
      <c r="V254" s="104" t="str">
        <f t="shared" si="23"/>
        <v/>
      </c>
      <c r="W254" s="105"/>
    </row>
    <row r="255" spans="1:23" ht="15" customHeight="1">
      <c r="A255" s="92">
        <v>29</v>
      </c>
      <c r="B255" s="121" t="s">
        <v>427</v>
      </c>
      <c r="C255" s="122"/>
      <c r="D255" s="798">
        <f>1+1.185+1</f>
        <v>3.1850000000000001</v>
      </c>
      <c r="E255" s="798"/>
      <c r="F255" s="118"/>
      <c r="G255" s="108">
        <v>0.25</v>
      </c>
      <c r="H255" s="98">
        <v>20</v>
      </c>
      <c r="I255" s="99">
        <v>1</v>
      </c>
      <c r="J255" s="101">
        <f>ROUND(1.83/G255+1,0)</f>
        <v>8</v>
      </c>
      <c r="K255" s="109">
        <f>D255</f>
        <v>3.1850000000000001</v>
      </c>
      <c r="L255" s="110" t="str">
        <f>IF(O255&lt;12,"0",0.049*H255)</f>
        <v>0</v>
      </c>
      <c r="M255" s="111">
        <v>0</v>
      </c>
      <c r="N255" s="99">
        <f>M255*2*H255/1000</f>
        <v>0</v>
      </c>
      <c r="O255" s="112">
        <f>(D255)-N255</f>
        <v>3.1850000000000001</v>
      </c>
      <c r="P255" s="112">
        <f>(I255*J255*O255)+L255</f>
        <v>25.48</v>
      </c>
      <c r="Q255" s="104" t="str">
        <f t="shared" si="18"/>
        <v/>
      </c>
      <c r="R255" s="104" t="str">
        <f t="shared" si="19"/>
        <v/>
      </c>
      <c r="S255" s="104" t="str">
        <f t="shared" si="20"/>
        <v/>
      </c>
      <c r="T255" s="104" t="str">
        <f t="shared" si="21"/>
        <v/>
      </c>
      <c r="U255" s="104">
        <f t="shared" si="22"/>
        <v>25.48</v>
      </c>
      <c r="V255" s="104" t="str">
        <f t="shared" si="23"/>
        <v/>
      </c>
      <c r="W255" s="105"/>
    </row>
    <row r="256" spans="1:23">
      <c r="A256" s="92"/>
      <c r="B256" s="121" t="s">
        <v>284</v>
      </c>
      <c r="C256" s="107"/>
      <c r="D256" s="117"/>
      <c r="E256" s="117"/>
      <c r="F256" s="118"/>
      <c r="G256" s="108"/>
      <c r="H256" s="98"/>
      <c r="I256" s="99"/>
      <c r="J256" s="101"/>
      <c r="K256" s="109"/>
      <c r="L256" s="110"/>
      <c r="M256" s="111"/>
      <c r="N256" s="99"/>
      <c r="O256" s="112"/>
      <c r="P256" s="112"/>
      <c r="Q256" s="104" t="str">
        <f t="shared" si="18"/>
        <v/>
      </c>
      <c r="R256" s="104" t="str">
        <f t="shared" si="19"/>
        <v/>
      </c>
      <c r="S256" s="104" t="str">
        <f t="shared" si="20"/>
        <v/>
      </c>
      <c r="T256" s="104" t="str">
        <f t="shared" si="21"/>
        <v/>
      </c>
      <c r="U256" s="104" t="str">
        <f t="shared" si="22"/>
        <v/>
      </c>
      <c r="V256" s="104" t="str">
        <f t="shared" si="23"/>
        <v/>
      </c>
      <c r="W256" s="105"/>
    </row>
    <row r="257" spans="1:23">
      <c r="A257" s="92"/>
      <c r="B257" s="121"/>
      <c r="C257" s="107"/>
      <c r="D257" s="117"/>
      <c r="E257" s="117"/>
      <c r="F257" s="118"/>
      <c r="G257" s="108"/>
      <c r="H257" s="98"/>
      <c r="I257" s="99"/>
      <c r="J257" s="101"/>
      <c r="K257" s="109"/>
      <c r="L257" s="110"/>
      <c r="M257" s="111"/>
      <c r="N257" s="99"/>
      <c r="O257" s="112"/>
      <c r="P257" s="112"/>
      <c r="Q257" s="104" t="str">
        <f t="shared" si="18"/>
        <v/>
      </c>
      <c r="R257" s="104" t="str">
        <f t="shared" si="19"/>
        <v/>
      </c>
      <c r="S257" s="104" t="str">
        <f t="shared" si="20"/>
        <v/>
      </c>
      <c r="T257" s="104" t="str">
        <f t="shared" si="21"/>
        <v/>
      </c>
      <c r="U257" s="104" t="str">
        <f t="shared" si="22"/>
        <v/>
      </c>
      <c r="V257" s="104" t="str">
        <f t="shared" si="23"/>
        <v/>
      </c>
      <c r="W257" s="105"/>
    </row>
    <row r="258" spans="1:23" ht="15" customHeight="1">
      <c r="A258" s="92">
        <v>30</v>
      </c>
      <c r="B258" s="121" t="s">
        <v>426</v>
      </c>
      <c r="C258" s="122"/>
      <c r="D258" s="798">
        <f>0.8+0.6+0.8</f>
        <v>2.2000000000000002</v>
      </c>
      <c r="E258" s="798"/>
      <c r="F258" s="118"/>
      <c r="G258" s="108">
        <v>0.25</v>
      </c>
      <c r="H258" s="98">
        <v>20</v>
      </c>
      <c r="I258" s="99">
        <v>1</v>
      </c>
      <c r="J258" s="101">
        <f>ROUND(2.8/G258+1,0)</f>
        <v>12</v>
      </c>
      <c r="K258" s="109">
        <f>D258</f>
        <v>2.2000000000000002</v>
      </c>
      <c r="L258" s="110" t="str">
        <f>IF(O258&lt;12,"0",0.049*H258)</f>
        <v>0</v>
      </c>
      <c r="M258" s="111">
        <v>0</v>
      </c>
      <c r="N258" s="99">
        <f>M258*2*H258/1000</f>
        <v>0</v>
      </c>
      <c r="O258" s="112">
        <f>(D258)-N258</f>
        <v>2.2000000000000002</v>
      </c>
      <c r="P258" s="112">
        <f>(I258*J258*O258)+L258</f>
        <v>26.400000000000002</v>
      </c>
      <c r="Q258" s="104" t="str">
        <f t="shared" si="18"/>
        <v/>
      </c>
      <c r="R258" s="104" t="str">
        <f t="shared" si="19"/>
        <v/>
      </c>
      <c r="S258" s="104" t="str">
        <f t="shared" si="20"/>
        <v/>
      </c>
      <c r="T258" s="104" t="str">
        <f t="shared" si="21"/>
        <v/>
      </c>
      <c r="U258" s="104">
        <f t="shared" si="22"/>
        <v>26.400000000000002</v>
      </c>
      <c r="V258" s="104" t="str">
        <f t="shared" si="23"/>
        <v/>
      </c>
      <c r="W258" s="105"/>
    </row>
    <row r="259" spans="1:23">
      <c r="A259" s="92"/>
      <c r="B259" s="121" t="s">
        <v>285</v>
      </c>
      <c r="C259" s="107"/>
      <c r="D259" s="117"/>
      <c r="E259" s="117"/>
      <c r="F259" s="118"/>
      <c r="G259" s="108"/>
      <c r="H259" s="98"/>
      <c r="I259" s="99"/>
      <c r="J259" s="101"/>
      <c r="K259" s="109"/>
      <c r="L259" s="110"/>
      <c r="M259" s="111"/>
      <c r="N259" s="99"/>
      <c r="O259" s="112"/>
      <c r="P259" s="112"/>
      <c r="Q259" s="104" t="str">
        <f t="shared" si="18"/>
        <v/>
      </c>
      <c r="R259" s="104" t="str">
        <f t="shared" si="19"/>
        <v/>
      </c>
      <c r="S259" s="104" t="str">
        <f t="shared" si="20"/>
        <v/>
      </c>
      <c r="T259" s="104" t="str">
        <f t="shared" si="21"/>
        <v/>
      </c>
      <c r="U259" s="104" t="str">
        <f t="shared" si="22"/>
        <v/>
      </c>
      <c r="V259" s="104" t="str">
        <f t="shared" si="23"/>
        <v/>
      </c>
      <c r="W259" s="105"/>
    </row>
    <row r="260" spans="1:23">
      <c r="A260" s="92"/>
      <c r="B260" s="121"/>
      <c r="C260" s="107"/>
      <c r="D260" s="117"/>
      <c r="E260" s="117"/>
      <c r="F260" s="118"/>
      <c r="G260" s="108"/>
      <c r="H260" s="98"/>
      <c r="I260" s="99"/>
      <c r="J260" s="101"/>
      <c r="K260" s="109"/>
      <c r="L260" s="110"/>
      <c r="M260" s="111"/>
      <c r="N260" s="99"/>
      <c r="O260" s="112"/>
      <c r="P260" s="112"/>
      <c r="Q260" s="104" t="str">
        <f t="shared" si="18"/>
        <v/>
      </c>
      <c r="R260" s="104" t="str">
        <f t="shared" si="19"/>
        <v/>
      </c>
      <c r="S260" s="104" t="str">
        <f t="shared" si="20"/>
        <v/>
      </c>
      <c r="T260" s="104" t="str">
        <f t="shared" si="21"/>
        <v/>
      </c>
      <c r="U260" s="104" t="str">
        <f t="shared" si="22"/>
        <v/>
      </c>
      <c r="V260" s="104" t="str">
        <f t="shared" si="23"/>
        <v/>
      </c>
      <c r="W260" s="105"/>
    </row>
    <row r="261" spans="1:23" ht="15" customHeight="1">
      <c r="A261" s="92">
        <v>31</v>
      </c>
      <c r="B261" s="121" t="s">
        <v>427</v>
      </c>
      <c r="C261" s="122"/>
      <c r="D261" s="798">
        <f>1.25+0.3+1.25</f>
        <v>2.8</v>
      </c>
      <c r="E261" s="798"/>
      <c r="F261" s="118"/>
      <c r="G261" s="108">
        <v>0.25</v>
      </c>
      <c r="H261" s="98">
        <v>25</v>
      </c>
      <c r="I261" s="99">
        <v>1</v>
      </c>
      <c r="J261" s="101">
        <f>ROUND(2.2/G261+1,0)</f>
        <v>10</v>
      </c>
      <c r="K261" s="109">
        <f>D261</f>
        <v>2.8</v>
      </c>
      <c r="L261" s="110" t="str">
        <f>IF(O261&lt;12,"0",0.049*H261)</f>
        <v>0</v>
      </c>
      <c r="M261" s="111">
        <v>0</v>
      </c>
      <c r="N261" s="99">
        <f>M261*2*H261/1000</f>
        <v>0</v>
      </c>
      <c r="O261" s="112">
        <f>(D261)-N261</f>
        <v>2.8</v>
      </c>
      <c r="P261" s="112">
        <f>(I261*J261*O261)+L261</f>
        <v>28</v>
      </c>
      <c r="Q261" s="104" t="str">
        <f t="shared" si="18"/>
        <v/>
      </c>
      <c r="R261" s="104" t="str">
        <f t="shared" si="19"/>
        <v/>
      </c>
      <c r="S261" s="104" t="str">
        <f t="shared" si="20"/>
        <v/>
      </c>
      <c r="T261" s="104" t="str">
        <f t="shared" si="21"/>
        <v/>
      </c>
      <c r="U261" s="104" t="str">
        <f t="shared" si="22"/>
        <v/>
      </c>
      <c r="V261" s="104">
        <f t="shared" si="23"/>
        <v>28</v>
      </c>
      <c r="W261" s="105"/>
    </row>
    <row r="262" spans="1:23">
      <c r="A262" s="92"/>
      <c r="B262" s="121" t="s">
        <v>285</v>
      </c>
      <c r="C262" s="107"/>
      <c r="D262" s="117"/>
      <c r="E262" s="117"/>
      <c r="F262" s="118"/>
      <c r="G262" s="108"/>
      <c r="H262" s="98"/>
      <c r="I262" s="99"/>
      <c r="J262" s="101"/>
      <c r="K262" s="109"/>
      <c r="L262" s="110"/>
      <c r="M262" s="111"/>
      <c r="N262" s="99"/>
      <c r="O262" s="112"/>
      <c r="P262" s="112"/>
      <c r="Q262" s="104" t="str">
        <f t="shared" si="18"/>
        <v/>
      </c>
      <c r="R262" s="104" t="str">
        <f t="shared" si="19"/>
        <v/>
      </c>
      <c r="S262" s="104" t="str">
        <f t="shared" si="20"/>
        <v/>
      </c>
      <c r="T262" s="104" t="str">
        <f t="shared" si="21"/>
        <v/>
      </c>
      <c r="U262" s="104" t="str">
        <f t="shared" si="22"/>
        <v/>
      </c>
      <c r="V262" s="104" t="str">
        <f t="shared" si="23"/>
        <v/>
      </c>
      <c r="W262" s="105"/>
    </row>
    <row r="263" spans="1:23">
      <c r="A263" s="92"/>
      <c r="B263" s="121"/>
      <c r="C263" s="107"/>
      <c r="D263" s="117"/>
      <c r="E263" s="117"/>
      <c r="F263" s="118"/>
      <c r="G263" s="108"/>
      <c r="H263" s="98"/>
      <c r="I263" s="99"/>
      <c r="J263" s="101"/>
      <c r="K263" s="109"/>
      <c r="L263" s="110"/>
      <c r="M263" s="111"/>
      <c r="N263" s="99"/>
      <c r="O263" s="112"/>
      <c r="P263" s="112"/>
      <c r="Q263" s="104" t="str">
        <f t="shared" si="18"/>
        <v/>
      </c>
      <c r="R263" s="104" t="str">
        <f t="shared" si="19"/>
        <v/>
      </c>
      <c r="S263" s="104" t="str">
        <f t="shared" si="20"/>
        <v/>
      </c>
      <c r="T263" s="104" t="str">
        <f t="shared" si="21"/>
        <v/>
      </c>
      <c r="U263" s="104" t="str">
        <f t="shared" si="22"/>
        <v/>
      </c>
      <c r="V263" s="104" t="str">
        <f t="shared" si="23"/>
        <v/>
      </c>
      <c r="W263" s="105"/>
    </row>
    <row r="264" spans="1:23" ht="15" customHeight="1">
      <c r="A264" s="92">
        <v>32</v>
      </c>
      <c r="B264" s="121" t="s">
        <v>426</v>
      </c>
      <c r="C264" s="122"/>
      <c r="D264" s="798">
        <f>1.25+0.3+1.25</f>
        <v>2.8</v>
      </c>
      <c r="E264" s="798"/>
      <c r="F264" s="118"/>
      <c r="G264" s="108">
        <v>0.25</v>
      </c>
      <c r="H264" s="98">
        <v>25</v>
      </c>
      <c r="I264" s="99">
        <v>1</v>
      </c>
      <c r="J264" s="101">
        <f>ROUND(2.6/G264+1,0)</f>
        <v>11</v>
      </c>
      <c r="K264" s="109">
        <f>D264</f>
        <v>2.8</v>
      </c>
      <c r="L264" s="110" t="str">
        <f>IF(O264&lt;12,"0",0.049*H264)</f>
        <v>0</v>
      </c>
      <c r="M264" s="111">
        <v>0</v>
      </c>
      <c r="N264" s="99">
        <f>M264*2*H264/1000</f>
        <v>0</v>
      </c>
      <c r="O264" s="112">
        <f>(D264)-N264</f>
        <v>2.8</v>
      </c>
      <c r="P264" s="112">
        <f>(I264*J264*O264)+L264</f>
        <v>30.799999999999997</v>
      </c>
      <c r="Q264" s="104" t="str">
        <f t="shared" si="18"/>
        <v/>
      </c>
      <c r="R264" s="104" t="str">
        <f t="shared" si="19"/>
        <v/>
      </c>
      <c r="S264" s="104" t="str">
        <f t="shared" si="20"/>
        <v/>
      </c>
      <c r="T264" s="104" t="str">
        <f t="shared" si="21"/>
        <v/>
      </c>
      <c r="U264" s="104" t="str">
        <f t="shared" si="22"/>
        <v/>
      </c>
      <c r="V264" s="104">
        <f t="shared" si="23"/>
        <v>30.799999999999997</v>
      </c>
      <c r="W264" s="105"/>
    </row>
    <row r="265" spans="1:23">
      <c r="A265" s="92"/>
      <c r="B265" s="121" t="s">
        <v>286</v>
      </c>
      <c r="C265" s="107"/>
      <c r="D265" s="117"/>
      <c r="E265" s="117"/>
      <c r="F265" s="118"/>
      <c r="G265" s="108"/>
      <c r="H265" s="98"/>
      <c r="I265" s="99"/>
      <c r="J265" s="101"/>
      <c r="K265" s="109"/>
      <c r="L265" s="110"/>
      <c r="M265" s="111"/>
      <c r="N265" s="99"/>
      <c r="O265" s="112"/>
      <c r="P265" s="112"/>
      <c r="Q265" s="104" t="str">
        <f t="shared" si="18"/>
        <v/>
      </c>
      <c r="R265" s="104" t="str">
        <f t="shared" si="19"/>
        <v/>
      </c>
      <c r="S265" s="104" t="str">
        <f t="shared" si="20"/>
        <v/>
      </c>
      <c r="T265" s="104" t="str">
        <f t="shared" si="21"/>
        <v/>
      </c>
      <c r="U265" s="104" t="str">
        <f t="shared" si="22"/>
        <v/>
      </c>
      <c r="V265" s="104" t="str">
        <f t="shared" si="23"/>
        <v/>
      </c>
      <c r="W265" s="105"/>
    </row>
    <row r="266" spans="1:23">
      <c r="A266" s="92"/>
      <c r="B266" s="121"/>
      <c r="C266" s="107"/>
      <c r="D266" s="117"/>
      <c r="E266" s="117"/>
      <c r="F266" s="118"/>
      <c r="G266" s="108"/>
      <c r="H266" s="98"/>
      <c r="I266" s="99"/>
      <c r="J266" s="101"/>
      <c r="K266" s="109"/>
      <c r="L266" s="110"/>
      <c r="M266" s="111"/>
      <c r="N266" s="99"/>
      <c r="O266" s="112"/>
      <c r="P266" s="112"/>
      <c r="Q266" s="104" t="str">
        <f t="shared" si="18"/>
        <v/>
      </c>
      <c r="R266" s="104" t="str">
        <f t="shared" si="19"/>
        <v/>
      </c>
      <c r="S266" s="104" t="str">
        <f t="shared" si="20"/>
        <v/>
      </c>
      <c r="T266" s="104" t="str">
        <f t="shared" si="21"/>
        <v/>
      </c>
      <c r="U266" s="104" t="str">
        <f t="shared" si="22"/>
        <v/>
      </c>
      <c r="V266" s="104" t="str">
        <f t="shared" si="23"/>
        <v/>
      </c>
      <c r="W266" s="105"/>
    </row>
    <row r="267" spans="1:23" ht="15" customHeight="1">
      <c r="A267" s="92">
        <v>33</v>
      </c>
      <c r="B267" s="121" t="s">
        <v>427</v>
      </c>
      <c r="C267" s="122"/>
      <c r="D267" s="798">
        <f>1+0.6+1</f>
        <v>2.6</v>
      </c>
      <c r="E267" s="798"/>
      <c r="F267" s="118"/>
      <c r="G267" s="108">
        <v>0.25</v>
      </c>
      <c r="H267" s="98">
        <v>20</v>
      </c>
      <c r="I267" s="99">
        <v>1</v>
      </c>
      <c r="J267" s="101">
        <f>ROUND(2.8/G267+1,0)</f>
        <v>12</v>
      </c>
      <c r="K267" s="109">
        <f>D267</f>
        <v>2.6</v>
      </c>
      <c r="L267" s="110" t="str">
        <f>IF(O267&lt;12,"0",0.049*H267)</f>
        <v>0</v>
      </c>
      <c r="M267" s="111">
        <v>0</v>
      </c>
      <c r="N267" s="99">
        <f>M267*2*H267/1000</f>
        <v>0</v>
      </c>
      <c r="O267" s="112">
        <f>(D267)-N267</f>
        <v>2.6</v>
      </c>
      <c r="P267" s="112">
        <f>(I267*J267*O267)+L267</f>
        <v>31.200000000000003</v>
      </c>
      <c r="Q267" s="104" t="str">
        <f t="shared" si="18"/>
        <v/>
      </c>
      <c r="R267" s="104" t="str">
        <f t="shared" si="19"/>
        <v/>
      </c>
      <c r="S267" s="104" t="str">
        <f t="shared" si="20"/>
        <v/>
      </c>
      <c r="T267" s="104" t="str">
        <f t="shared" si="21"/>
        <v/>
      </c>
      <c r="U267" s="104">
        <f t="shared" si="22"/>
        <v>31.200000000000003</v>
      </c>
      <c r="V267" s="104" t="str">
        <f t="shared" si="23"/>
        <v/>
      </c>
      <c r="W267" s="105"/>
    </row>
    <row r="268" spans="1:23">
      <c r="A268" s="92"/>
      <c r="B268" s="121" t="s">
        <v>286</v>
      </c>
      <c r="C268" s="107"/>
      <c r="D268" s="117"/>
      <c r="E268" s="117"/>
      <c r="F268" s="118"/>
      <c r="G268" s="108"/>
      <c r="H268" s="98"/>
      <c r="I268" s="99"/>
      <c r="J268" s="101"/>
      <c r="K268" s="109"/>
      <c r="L268" s="110"/>
      <c r="M268" s="111"/>
      <c r="N268" s="99"/>
      <c r="O268" s="112"/>
      <c r="P268" s="112"/>
      <c r="Q268" s="104" t="str">
        <f t="shared" si="18"/>
        <v/>
      </c>
      <c r="R268" s="104" t="str">
        <f t="shared" si="19"/>
        <v/>
      </c>
      <c r="S268" s="104" t="str">
        <f t="shared" si="20"/>
        <v/>
      </c>
      <c r="T268" s="104" t="str">
        <f t="shared" si="21"/>
        <v/>
      </c>
      <c r="U268" s="104" t="str">
        <f t="shared" si="22"/>
        <v/>
      </c>
      <c r="V268" s="104" t="str">
        <f t="shared" si="23"/>
        <v/>
      </c>
      <c r="W268" s="105"/>
    </row>
    <row r="269" spans="1:23">
      <c r="A269" s="92"/>
      <c r="B269" s="121"/>
      <c r="C269" s="107"/>
      <c r="D269" s="117"/>
      <c r="E269" s="117"/>
      <c r="F269" s="118"/>
      <c r="G269" s="108"/>
      <c r="H269" s="98"/>
      <c r="I269" s="99"/>
      <c r="J269" s="101"/>
      <c r="K269" s="109"/>
      <c r="L269" s="110"/>
      <c r="M269" s="111"/>
      <c r="N269" s="99"/>
      <c r="O269" s="112"/>
      <c r="P269" s="112"/>
      <c r="Q269" s="104" t="str">
        <f t="shared" si="18"/>
        <v/>
      </c>
      <c r="R269" s="104" t="str">
        <f t="shared" si="19"/>
        <v/>
      </c>
      <c r="S269" s="104" t="str">
        <f t="shared" si="20"/>
        <v/>
      </c>
      <c r="T269" s="104" t="str">
        <f t="shared" si="21"/>
        <v/>
      </c>
      <c r="U269" s="104" t="str">
        <f t="shared" si="22"/>
        <v/>
      </c>
      <c r="V269" s="104" t="str">
        <f t="shared" si="23"/>
        <v/>
      </c>
      <c r="W269" s="105"/>
    </row>
    <row r="270" spans="1:23" ht="15" customHeight="1">
      <c r="A270" s="92">
        <v>34</v>
      </c>
      <c r="B270" s="121" t="s">
        <v>426</v>
      </c>
      <c r="C270" s="122"/>
      <c r="D270" s="798">
        <f>1.25+0.3+1.25</f>
        <v>2.8</v>
      </c>
      <c r="E270" s="798"/>
      <c r="F270" s="118"/>
      <c r="G270" s="108">
        <v>0.25</v>
      </c>
      <c r="H270" s="98">
        <v>25</v>
      </c>
      <c r="I270" s="99">
        <v>1</v>
      </c>
      <c r="J270" s="101">
        <f>ROUND(3.1/G270+1,0)</f>
        <v>13</v>
      </c>
      <c r="K270" s="109">
        <f>D270</f>
        <v>2.8</v>
      </c>
      <c r="L270" s="110" t="str">
        <f>IF(O270&lt;12,"0",0.049*H270)</f>
        <v>0</v>
      </c>
      <c r="M270" s="111">
        <v>0</v>
      </c>
      <c r="N270" s="99">
        <f>M270*2*H270/1000</f>
        <v>0</v>
      </c>
      <c r="O270" s="112">
        <f>(D270)-N270</f>
        <v>2.8</v>
      </c>
      <c r="P270" s="112">
        <f>(I270*J270*O270)+L270</f>
        <v>36.4</v>
      </c>
      <c r="Q270" s="104" t="str">
        <f t="shared" si="18"/>
        <v/>
      </c>
      <c r="R270" s="104" t="str">
        <f t="shared" si="19"/>
        <v/>
      </c>
      <c r="S270" s="104" t="str">
        <f t="shared" si="20"/>
        <v/>
      </c>
      <c r="T270" s="104" t="str">
        <f t="shared" si="21"/>
        <v/>
      </c>
      <c r="U270" s="104" t="str">
        <f t="shared" si="22"/>
        <v/>
      </c>
      <c r="V270" s="104">
        <f t="shared" si="23"/>
        <v>36.4</v>
      </c>
      <c r="W270" s="105"/>
    </row>
    <row r="271" spans="1:23">
      <c r="A271" s="92"/>
      <c r="B271" s="121" t="s">
        <v>287</v>
      </c>
      <c r="C271" s="107"/>
      <c r="D271" s="117"/>
      <c r="E271" s="117"/>
      <c r="F271" s="118"/>
      <c r="G271" s="108"/>
      <c r="H271" s="98"/>
      <c r="I271" s="99"/>
      <c r="J271" s="101"/>
      <c r="K271" s="109"/>
      <c r="L271" s="110"/>
      <c r="M271" s="111"/>
      <c r="N271" s="99"/>
      <c r="O271" s="112"/>
      <c r="P271" s="112"/>
      <c r="Q271" s="104" t="str">
        <f t="shared" si="18"/>
        <v/>
      </c>
      <c r="R271" s="104" t="str">
        <f t="shared" si="19"/>
        <v/>
      </c>
      <c r="S271" s="104" t="str">
        <f t="shared" si="20"/>
        <v/>
      </c>
      <c r="T271" s="104" t="str">
        <f t="shared" si="21"/>
        <v/>
      </c>
      <c r="U271" s="104" t="str">
        <f t="shared" si="22"/>
        <v/>
      </c>
      <c r="V271" s="104" t="str">
        <f t="shared" si="23"/>
        <v/>
      </c>
      <c r="W271" s="105"/>
    </row>
    <row r="272" spans="1:23">
      <c r="A272" s="92"/>
      <c r="B272" s="121"/>
      <c r="C272" s="107"/>
      <c r="D272" s="117"/>
      <c r="E272" s="117"/>
      <c r="F272" s="118"/>
      <c r="G272" s="108"/>
      <c r="H272" s="98"/>
      <c r="I272" s="99"/>
      <c r="J272" s="101"/>
      <c r="K272" s="109"/>
      <c r="L272" s="110"/>
      <c r="M272" s="111"/>
      <c r="N272" s="99"/>
      <c r="O272" s="112"/>
      <c r="P272" s="112"/>
      <c r="Q272" s="104" t="str">
        <f t="shared" si="18"/>
        <v/>
      </c>
      <c r="R272" s="104" t="str">
        <f t="shared" si="19"/>
        <v/>
      </c>
      <c r="S272" s="104" t="str">
        <f t="shared" si="20"/>
        <v/>
      </c>
      <c r="T272" s="104" t="str">
        <f t="shared" si="21"/>
        <v/>
      </c>
      <c r="U272" s="104" t="str">
        <f t="shared" si="22"/>
        <v/>
      </c>
      <c r="V272" s="104" t="str">
        <f t="shared" si="23"/>
        <v/>
      </c>
      <c r="W272" s="105"/>
    </row>
    <row r="273" spans="1:23" ht="15" customHeight="1">
      <c r="A273" s="92">
        <v>35</v>
      </c>
      <c r="B273" s="121" t="s">
        <v>427</v>
      </c>
      <c r="C273" s="122"/>
      <c r="D273" s="798">
        <f>1.25+0.6+1.25</f>
        <v>3.1</v>
      </c>
      <c r="E273" s="798"/>
      <c r="F273" s="118"/>
      <c r="G273" s="108">
        <v>0.25</v>
      </c>
      <c r="H273" s="98">
        <v>25</v>
      </c>
      <c r="I273" s="99">
        <v>1</v>
      </c>
      <c r="J273" s="101">
        <f>ROUND(2.8/G273+1,0)</f>
        <v>12</v>
      </c>
      <c r="K273" s="109">
        <f>D273</f>
        <v>3.1</v>
      </c>
      <c r="L273" s="110" t="str">
        <f>IF(O273&lt;12,"0",0.049*H273)</f>
        <v>0</v>
      </c>
      <c r="M273" s="111">
        <v>0</v>
      </c>
      <c r="N273" s="99">
        <f>M273*2*H273/1000</f>
        <v>0</v>
      </c>
      <c r="O273" s="112">
        <f>(D273)-N273</f>
        <v>3.1</v>
      </c>
      <c r="P273" s="112">
        <f>(I273*J273*O273)+L273</f>
        <v>37.200000000000003</v>
      </c>
      <c r="Q273" s="104" t="str">
        <f t="shared" si="18"/>
        <v/>
      </c>
      <c r="R273" s="104" t="str">
        <f t="shared" si="19"/>
        <v/>
      </c>
      <c r="S273" s="104" t="str">
        <f t="shared" si="20"/>
        <v/>
      </c>
      <c r="T273" s="104" t="str">
        <f t="shared" si="21"/>
        <v/>
      </c>
      <c r="U273" s="104" t="str">
        <f t="shared" si="22"/>
        <v/>
      </c>
      <c r="V273" s="104">
        <f t="shared" si="23"/>
        <v>37.200000000000003</v>
      </c>
      <c r="W273" s="105"/>
    </row>
    <row r="274" spans="1:23">
      <c r="A274" s="92"/>
      <c r="B274" s="121" t="s">
        <v>287</v>
      </c>
      <c r="C274" s="107"/>
      <c r="D274" s="117"/>
      <c r="E274" s="117"/>
      <c r="F274" s="118"/>
      <c r="G274" s="108"/>
      <c r="H274" s="98"/>
      <c r="I274" s="99"/>
      <c r="J274" s="101"/>
      <c r="K274" s="109"/>
      <c r="L274" s="110"/>
      <c r="M274" s="111"/>
      <c r="N274" s="99"/>
      <c r="O274" s="112"/>
      <c r="P274" s="112"/>
      <c r="Q274" s="104" t="str">
        <f t="shared" si="18"/>
        <v/>
      </c>
      <c r="R274" s="104" t="str">
        <f t="shared" si="19"/>
        <v/>
      </c>
      <c r="S274" s="104" t="str">
        <f t="shared" si="20"/>
        <v/>
      </c>
      <c r="T274" s="104" t="str">
        <f t="shared" si="21"/>
        <v/>
      </c>
      <c r="U274" s="104" t="str">
        <f t="shared" si="22"/>
        <v/>
      </c>
      <c r="V274" s="104" t="str">
        <f t="shared" si="23"/>
        <v/>
      </c>
      <c r="W274" s="105"/>
    </row>
    <row r="275" spans="1:23">
      <c r="A275" s="92"/>
      <c r="B275" s="121"/>
      <c r="C275" s="107"/>
      <c r="D275" s="117"/>
      <c r="E275" s="117"/>
      <c r="F275" s="118"/>
      <c r="G275" s="108"/>
      <c r="H275" s="98"/>
      <c r="I275" s="99"/>
      <c r="J275" s="101"/>
      <c r="K275" s="109"/>
      <c r="L275" s="110"/>
      <c r="M275" s="111"/>
      <c r="N275" s="99"/>
      <c r="O275" s="112"/>
      <c r="P275" s="112"/>
      <c r="Q275" s="104" t="str">
        <f t="shared" si="18"/>
        <v/>
      </c>
      <c r="R275" s="104" t="str">
        <f t="shared" si="19"/>
        <v/>
      </c>
      <c r="S275" s="104" t="str">
        <f t="shared" si="20"/>
        <v/>
      </c>
      <c r="T275" s="104" t="str">
        <f t="shared" si="21"/>
        <v/>
      </c>
      <c r="U275" s="104" t="str">
        <f t="shared" si="22"/>
        <v/>
      </c>
      <c r="V275" s="104" t="str">
        <f t="shared" si="23"/>
        <v/>
      </c>
      <c r="W275" s="105"/>
    </row>
    <row r="276" spans="1:23" ht="15" customHeight="1">
      <c r="A276" s="92">
        <v>36</v>
      </c>
      <c r="B276" s="121" t="s">
        <v>426</v>
      </c>
      <c r="C276" s="122"/>
      <c r="D276" s="798">
        <f>0.75-0.05+0.115+0.47+0.515+1.17+1.935+0.055+1</f>
        <v>5.9599999999999991</v>
      </c>
      <c r="E276" s="798"/>
      <c r="F276" s="118"/>
      <c r="G276" s="108">
        <v>0.25</v>
      </c>
      <c r="H276" s="98">
        <v>25</v>
      </c>
      <c r="I276" s="99">
        <v>1</v>
      </c>
      <c r="J276" s="101">
        <f>ROUND(2.6/G276+1,0)</f>
        <v>11</v>
      </c>
      <c r="K276" s="109">
        <f>D276</f>
        <v>5.9599999999999991</v>
      </c>
      <c r="L276" s="110" t="str">
        <f>IF(O276&lt;12,"0",0.049*H276)</f>
        <v>0</v>
      </c>
      <c r="M276" s="111">
        <v>0</v>
      </c>
      <c r="N276" s="99">
        <f>M276*2*H276/1000</f>
        <v>0</v>
      </c>
      <c r="O276" s="112">
        <f>(D276)-N276</f>
        <v>5.9599999999999991</v>
      </c>
      <c r="P276" s="112">
        <f>(I276*J276*O276)+L276</f>
        <v>65.559999999999988</v>
      </c>
      <c r="Q276" s="104" t="str">
        <f t="shared" si="18"/>
        <v/>
      </c>
      <c r="R276" s="104" t="str">
        <f t="shared" si="19"/>
        <v/>
      </c>
      <c r="S276" s="104" t="str">
        <f t="shared" si="20"/>
        <v/>
      </c>
      <c r="T276" s="104" t="str">
        <f t="shared" si="21"/>
        <v/>
      </c>
      <c r="U276" s="104" t="str">
        <f t="shared" si="22"/>
        <v/>
      </c>
      <c r="V276" s="104">
        <f t="shared" si="23"/>
        <v>65.559999999999988</v>
      </c>
      <c r="W276" s="105"/>
    </row>
    <row r="277" spans="1:23">
      <c r="A277" s="92"/>
      <c r="B277" s="121" t="s">
        <v>288</v>
      </c>
      <c r="C277" s="107"/>
      <c r="D277" s="117"/>
      <c r="E277" s="117"/>
      <c r="F277" s="118"/>
      <c r="G277" s="108"/>
      <c r="H277" s="98"/>
      <c r="I277" s="99"/>
      <c r="J277" s="101"/>
      <c r="K277" s="109"/>
      <c r="L277" s="110"/>
      <c r="M277" s="111"/>
      <c r="N277" s="99"/>
      <c r="O277" s="112"/>
      <c r="P277" s="112"/>
      <c r="Q277" s="104" t="str">
        <f t="shared" si="18"/>
        <v/>
      </c>
      <c r="R277" s="104" t="str">
        <f t="shared" si="19"/>
        <v/>
      </c>
      <c r="S277" s="104" t="str">
        <f t="shared" si="20"/>
        <v/>
      </c>
      <c r="T277" s="104" t="str">
        <f t="shared" si="21"/>
        <v/>
      </c>
      <c r="U277" s="104" t="str">
        <f t="shared" si="22"/>
        <v/>
      </c>
      <c r="V277" s="104" t="str">
        <f t="shared" si="23"/>
        <v/>
      </c>
      <c r="W277" s="105"/>
    </row>
    <row r="278" spans="1:23">
      <c r="A278" s="92"/>
      <c r="B278" s="121"/>
      <c r="C278" s="107"/>
      <c r="D278" s="117"/>
      <c r="E278" s="117"/>
      <c r="F278" s="118"/>
      <c r="G278" s="108"/>
      <c r="H278" s="98"/>
      <c r="I278" s="99"/>
      <c r="J278" s="101"/>
      <c r="K278" s="109"/>
      <c r="L278" s="110"/>
      <c r="M278" s="111"/>
      <c r="N278" s="99"/>
      <c r="O278" s="112"/>
      <c r="P278" s="112"/>
      <c r="Q278" s="104" t="str">
        <f t="shared" si="18"/>
        <v/>
      </c>
      <c r="R278" s="104" t="str">
        <f t="shared" si="19"/>
        <v/>
      </c>
      <c r="S278" s="104" t="str">
        <f t="shared" si="20"/>
        <v/>
      </c>
      <c r="T278" s="104" t="str">
        <f t="shared" si="21"/>
        <v/>
      </c>
      <c r="U278" s="104" t="str">
        <f t="shared" si="22"/>
        <v/>
      </c>
      <c r="V278" s="104" t="str">
        <f t="shared" si="23"/>
        <v/>
      </c>
      <c r="W278" s="105"/>
    </row>
    <row r="279" spans="1:23" ht="15" customHeight="1">
      <c r="A279" s="92">
        <v>37</v>
      </c>
      <c r="B279" s="121" t="s">
        <v>426</v>
      </c>
      <c r="C279" s="122"/>
      <c r="D279" s="798">
        <f>0.75-0.05+0.115+0.47+0.515+1.17+1.935+0.055+1</f>
        <v>5.9599999999999991</v>
      </c>
      <c r="E279" s="798"/>
      <c r="F279" s="118"/>
      <c r="G279" s="108">
        <v>0.25</v>
      </c>
      <c r="H279" s="98">
        <v>25</v>
      </c>
      <c r="I279" s="99">
        <v>1</v>
      </c>
      <c r="J279" s="101">
        <f>ROUND(2.6/G279+1,0)</f>
        <v>11</v>
      </c>
      <c r="K279" s="109">
        <f>D279</f>
        <v>5.9599999999999991</v>
      </c>
      <c r="L279" s="110" t="str">
        <f>IF(O279&lt;12,"0",0.049*H279)</f>
        <v>0</v>
      </c>
      <c r="M279" s="111">
        <v>0</v>
      </c>
      <c r="N279" s="99">
        <f>M279*2*H279/1000</f>
        <v>0</v>
      </c>
      <c r="O279" s="112">
        <f>(D279)-N279</f>
        <v>5.9599999999999991</v>
      </c>
      <c r="P279" s="112">
        <f>(I279*J279*O279)+L279</f>
        <v>65.559999999999988</v>
      </c>
      <c r="Q279" s="104" t="str">
        <f t="shared" si="18"/>
        <v/>
      </c>
      <c r="R279" s="104" t="str">
        <f t="shared" si="19"/>
        <v/>
      </c>
      <c r="S279" s="104" t="str">
        <f t="shared" si="20"/>
        <v/>
      </c>
      <c r="T279" s="104" t="str">
        <f t="shared" si="21"/>
        <v/>
      </c>
      <c r="U279" s="104" t="str">
        <f t="shared" si="22"/>
        <v/>
      </c>
      <c r="V279" s="104">
        <f t="shared" si="23"/>
        <v>65.559999999999988</v>
      </c>
      <c r="W279" s="105"/>
    </row>
    <row r="280" spans="1:23">
      <c r="A280" s="92"/>
      <c r="B280" s="121" t="s">
        <v>288</v>
      </c>
      <c r="C280" s="107"/>
      <c r="D280" s="117"/>
      <c r="E280" s="117"/>
      <c r="F280" s="118"/>
      <c r="G280" s="108"/>
      <c r="H280" s="98"/>
      <c r="I280" s="99"/>
      <c r="J280" s="101"/>
      <c r="K280" s="109"/>
      <c r="L280" s="110"/>
      <c r="M280" s="111"/>
      <c r="N280" s="99"/>
      <c r="O280" s="112"/>
      <c r="P280" s="112"/>
      <c r="Q280" s="104" t="str">
        <f t="shared" si="18"/>
        <v/>
      </c>
      <c r="R280" s="104" t="str">
        <f t="shared" si="19"/>
        <v/>
      </c>
      <c r="S280" s="104" t="str">
        <f t="shared" si="20"/>
        <v/>
      </c>
      <c r="T280" s="104" t="str">
        <f t="shared" si="21"/>
        <v/>
      </c>
      <c r="U280" s="104" t="str">
        <f t="shared" si="22"/>
        <v/>
      </c>
      <c r="V280" s="104" t="str">
        <f t="shared" si="23"/>
        <v/>
      </c>
      <c r="W280" s="105"/>
    </row>
    <row r="281" spans="1:23">
      <c r="A281" s="92"/>
      <c r="B281" s="121"/>
      <c r="C281" s="107"/>
      <c r="D281" s="117"/>
      <c r="E281" s="117"/>
      <c r="F281" s="118"/>
      <c r="G281" s="108"/>
      <c r="H281" s="98"/>
      <c r="I281" s="99"/>
      <c r="J281" s="101"/>
      <c r="K281" s="109"/>
      <c r="L281" s="110"/>
      <c r="M281" s="111"/>
      <c r="N281" s="99"/>
      <c r="O281" s="112"/>
      <c r="P281" s="112"/>
      <c r="Q281" s="104" t="str">
        <f t="shared" si="18"/>
        <v/>
      </c>
      <c r="R281" s="104" t="str">
        <f t="shared" si="19"/>
        <v/>
      </c>
      <c r="S281" s="104" t="str">
        <f t="shared" si="20"/>
        <v/>
      </c>
      <c r="T281" s="104" t="str">
        <f t="shared" si="21"/>
        <v/>
      </c>
      <c r="U281" s="104" t="str">
        <f t="shared" si="22"/>
        <v/>
      </c>
      <c r="V281" s="104" t="str">
        <f t="shared" si="23"/>
        <v/>
      </c>
      <c r="W281" s="105"/>
    </row>
    <row r="282" spans="1:23" ht="15" customHeight="1">
      <c r="A282" s="92">
        <v>38</v>
      </c>
      <c r="B282" s="121" t="s">
        <v>427</v>
      </c>
      <c r="C282" s="122"/>
      <c r="D282" s="798">
        <f>0.75-0.05+0.65+1.25</f>
        <v>2.6</v>
      </c>
      <c r="E282" s="798"/>
      <c r="F282" s="118"/>
      <c r="G282" s="108">
        <v>0.25</v>
      </c>
      <c r="H282" s="98">
        <v>20</v>
      </c>
      <c r="I282" s="99">
        <v>1</v>
      </c>
      <c r="J282" s="101">
        <f>ROUND(5.96/G282+1,0)</f>
        <v>25</v>
      </c>
      <c r="K282" s="109">
        <f>D282</f>
        <v>2.6</v>
      </c>
      <c r="L282" s="110" t="str">
        <f>IF(O282&lt;12,"0",0.049*H282)</f>
        <v>0</v>
      </c>
      <c r="M282" s="111">
        <v>0</v>
      </c>
      <c r="N282" s="99">
        <f>M282*2*H282/1000</f>
        <v>0</v>
      </c>
      <c r="O282" s="112">
        <f>(D282)-N282</f>
        <v>2.6</v>
      </c>
      <c r="P282" s="112">
        <f>(I282*J282*O282)+L282</f>
        <v>65</v>
      </c>
      <c r="Q282" s="104" t="str">
        <f t="shared" si="18"/>
        <v/>
      </c>
      <c r="R282" s="104" t="str">
        <f t="shared" si="19"/>
        <v/>
      </c>
      <c r="S282" s="104" t="str">
        <f t="shared" si="20"/>
        <v/>
      </c>
      <c r="T282" s="104" t="str">
        <f t="shared" si="21"/>
        <v/>
      </c>
      <c r="U282" s="104">
        <f t="shared" si="22"/>
        <v>65</v>
      </c>
      <c r="V282" s="104" t="str">
        <f t="shared" si="23"/>
        <v/>
      </c>
      <c r="W282" s="105"/>
    </row>
    <row r="283" spans="1:23">
      <c r="A283" s="92"/>
      <c r="B283" s="121" t="s">
        <v>288</v>
      </c>
      <c r="C283" s="107"/>
      <c r="D283" s="117"/>
      <c r="E283" s="117"/>
      <c r="F283" s="118"/>
      <c r="G283" s="108"/>
      <c r="H283" s="98"/>
      <c r="I283" s="99"/>
      <c r="J283" s="101"/>
      <c r="K283" s="109"/>
      <c r="L283" s="110"/>
      <c r="M283" s="111"/>
      <c r="N283" s="99"/>
      <c r="O283" s="112"/>
      <c r="P283" s="112"/>
      <c r="Q283" s="104" t="str">
        <f t="shared" si="18"/>
        <v/>
      </c>
      <c r="R283" s="104" t="str">
        <f t="shared" si="19"/>
        <v/>
      </c>
      <c r="S283" s="104" t="str">
        <f t="shared" si="20"/>
        <v/>
      </c>
      <c r="T283" s="104" t="str">
        <f t="shared" si="21"/>
        <v/>
      </c>
      <c r="U283" s="104" t="str">
        <f t="shared" si="22"/>
        <v/>
      </c>
      <c r="V283" s="104" t="str">
        <f t="shared" si="23"/>
        <v/>
      </c>
      <c r="W283" s="105"/>
    </row>
    <row r="284" spans="1:23">
      <c r="A284" s="92"/>
      <c r="B284" s="121"/>
      <c r="C284" s="107"/>
      <c r="D284" s="117"/>
      <c r="E284" s="117"/>
      <c r="F284" s="118"/>
      <c r="G284" s="108"/>
      <c r="H284" s="98"/>
      <c r="I284" s="99"/>
      <c r="J284" s="101"/>
      <c r="K284" s="109"/>
      <c r="L284" s="110"/>
      <c r="M284" s="111"/>
      <c r="N284" s="99"/>
      <c r="O284" s="112"/>
      <c r="P284" s="112"/>
      <c r="Q284" s="104" t="str">
        <f t="shared" si="18"/>
        <v/>
      </c>
      <c r="R284" s="104" t="str">
        <f t="shared" si="19"/>
        <v/>
      </c>
      <c r="S284" s="104" t="str">
        <f t="shared" si="20"/>
        <v/>
      </c>
      <c r="T284" s="104" t="str">
        <f t="shared" si="21"/>
        <v/>
      </c>
      <c r="U284" s="104" t="str">
        <f t="shared" si="22"/>
        <v/>
      </c>
      <c r="V284" s="104" t="str">
        <f t="shared" si="23"/>
        <v/>
      </c>
      <c r="W284" s="105"/>
    </row>
    <row r="285" spans="1:23" ht="15" customHeight="1">
      <c r="A285" s="92">
        <v>39</v>
      </c>
      <c r="B285" s="121" t="s">
        <v>426</v>
      </c>
      <c r="C285" s="122"/>
      <c r="D285" s="798">
        <f>0.75-0.05+0.6+1</f>
        <v>2.2999999999999998</v>
      </c>
      <c r="E285" s="798"/>
      <c r="F285" s="118"/>
      <c r="G285" s="108">
        <v>0.25</v>
      </c>
      <c r="H285" s="98">
        <v>20</v>
      </c>
      <c r="I285" s="99">
        <v>1</v>
      </c>
      <c r="J285" s="101">
        <f>ROUND(2.8/G285+1,0)</f>
        <v>12</v>
      </c>
      <c r="K285" s="109">
        <f>D285</f>
        <v>2.2999999999999998</v>
      </c>
      <c r="L285" s="110" t="str">
        <f>IF(O285&lt;12,"0",0.049*H285)</f>
        <v>0</v>
      </c>
      <c r="M285" s="111">
        <v>0</v>
      </c>
      <c r="N285" s="99">
        <f>M285*2*H285/1000</f>
        <v>0</v>
      </c>
      <c r="O285" s="112">
        <f>(D285)-N285</f>
        <v>2.2999999999999998</v>
      </c>
      <c r="P285" s="112">
        <f>(I285*J285*O285)+L285</f>
        <v>27.599999999999998</v>
      </c>
      <c r="Q285" s="104" t="str">
        <f t="shared" si="18"/>
        <v/>
      </c>
      <c r="R285" s="104" t="str">
        <f t="shared" si="19"/>
        <v/>
      </c>
      <c r="S285" s="104" t="str">
        <f t="shared" si="20"/>
        <v/>
      </c>
      <c r="T285" s="104" t="str">
        <f t="shared" si="21"/>
        <v/>
      </c>
      <c r="U285" s="104">
        <f t="shared" si="22"/>
        <v>27.599999999999998</v>
      </c>
      <c r="V285" s="104" t="str">
        <f t="shared" si="23"/>
        <v/>
      </c>
      <c r="W285" s="105"/>
    </row>
    <row r="286" spans="1:23">
      <c r="A286" s="92"/>
      <c r="B286" s="121" t="s">
        <v>289</v>
      </c>
      <c r="C286" s="107"/>
      <c r="D286" s="117"/>
      <c r="E286" s="117"/>
      <c r="F286" s="118"/>
      <c r="G286" s="108"/>
      <c r="H286" s="98"/>
      <c r="I286" s="99"/>
      <c r="J286" s="101"/>
      <c r="K286" s="109"/>
      <c r="L286" s="110"/>
      <c r="M286" s="111"/>
      <c r="N286" s="99"/>
      <c r="O286" s="112"/>
      <c r="P286" s="112"/>
      <c r="Q286" s="104" t="str">
        <f t="shared" si="18"/>
        <v/>
      </c>
      <c r="R286" s="104" t="str">
        <f t="shared" si="19"/>
        <v/>
      </c>
      <c r="S286" s="104" t="str">
        <f t="shared" si="20"/>
        <v/>
      </c>
      <c r="T286" s="104" t="str">
        <f t="shared" si="21"/>
        <v/>
      </c>
      <c r="U286" s="104" t="str">
        <f t="shared" si="22"/>
        <v/>
      </c>
      <c r="V286" s="104" t="str">
        <f t="shared" si="23"/>
        <v/>
      </c>
      <c r="W286" s="105"/>
    </row>
    <row r="287" spans="1:23">
      <c r="A287" s="92"/>
      <c r="B287" s="121"/>
      <c r="C287" s="107"/>
      <c r="D287" s="117"/>
      <c r="E287" s="117"/>
      <c r="F287" s="118"/>
      <c r="G287" s="108"/>
      <c r="H287" s="98"/>
      <c r="I287" s="99"/>
      <c r="J287" s="101"/>
      <c r="K287" s="109"/>
      <c r="L287" s="110"/>
      <c r="M287" s="111"/>
      <c r="N287" s="99"/>
      <c r="O287" s="112"/>
      <c r="P287" s="112"/>
      <c r="Q287" s="104" t="str">
        <f t="shared" si="18"/>
        <v/>
      </c>
      <c r="R287" s="104" t="str">
        <f t="shared" si="19"/>
        <v/>
      </c>
      <c r="S287" s="104" t="str">
        <f t="shared" si="20"/>
        <v/>
      </c>
      <c r="T287" s="104" t="str">
        <f t="shared" si="21"/>
        <v/>
      </c>
      <c r="U287" s="104" t="str">
        <f t="shared" si="22"/>
        <v/>
      </c>
      <c r="V287" s="104" t="str">
        <f t="shared" si="23"/>
        <v/>
      </c>
      <c r="W287" s="105"/>
    </row>
    <row r="288" spans="1:23" ht="15" customHeight="1">
      <c r="A288" s="92">
        <v>40</v>
      </c>
      <c r="B288" s="121" t="s">
        <v>427</v>
      </c>
      <c r="C288" s="122"/>
      <c r="D288" s="798">
        <f>1.25+0.3+1.25</f>
        <v>2.8</v>
      </c>
      <c r="E288" s="798"/>
      <c r="F288" s="118"/>
      <c r="G288" s="108">
        <v>0.25</v>
      </c>
      <c r="H288" s="98">
        <v>25</v>
      </c>
      <c r="I288" s="99">
        <v>1</v>
      </c>
      <c r="J288" s="101">
        <f>ROUND(2.3/G288+1,0)</f>
        <v>10</v>
      </c>
      <c r="K288" s="109">
        <f>D288</f>
        <v>2.8</v>
      </c>
      <c r="L288" s="110" t="str">
        <f>IF(O288&lt;12,"0",0.049*H288)</f>
        <v>0</v>
      </c>
      <c r="M288" s="111">
        <v>0</v>
      </c>
      <c r="N288" s="99">
        <f>M288*2*H288/1000</f>
        <v>0</v>
      </c>
      <c r="O288" s="112">
        <f>(D288)-N288</f>
        <v>2.8</v>
      </c>
      <c r="P288" s="112">
        <f>(I288*J288*O288)+L288</f>
        <v>28</v>
      </c>
      <c r="Q288" s="104" t="str">
        <f t="shared" si="18"/>
        <v/>
      </c>
      <c r="R288" s="104" t="str">
        <f t="shared" si="19"/>
        <v/>
      </c>
      <c r="S288" s="104" t="str">
        <f t="shared" si="20"/>
        <v/>
      </c>
      <c r="T288" s="104" t="str">
        <f t="shared" si="21"/>
        <v/>
      </c>
      <c r="U288" s="104" t="str">
        <f t="shared" si="22"/>
        <v/>
      </c>
      <c r="V288" s="104">
        <f t="shared" si="23"/>
        <v>28</v>
      </c>
      <c r="W288" s="105"/>
    </row>
    <row r="289" spans="1:23">
      <c r="A289" s="92"/>
      <c r="B289" s="121" t="s">
        <v>289</v>
      </c>
      <c r="C289" s="107"/>
      <c r="D289" s="117"/>
      <c r="E289" s="117"/>
      <c r="F289" s="118"/>
      <c r="G289" s="108"/>
      <c r="H289" s="98"/>
      <c r="I289" s="99"/>
      <c r="J289" s="101"/>
      <c r="K289" s="109"/>
      <c r="L289" s="110"/>
      <c r="M289" s="111"/>
      <c r="N289" s="99"/>
      <c r="O289" s="112"/>
      <c r="P289" s="112"/>
      <c r="Q289" s="104" t="str">
        <f t="shared" si="18"/>
        <v/>
      </c>
      <c r="R289" s="104" t="str">
        <f t="shared" si="19"/>
        <v/>
      </c>
      <c r="S289" s="104" t="str">
        <f t="shared" si="20"/>
        <v/>
      </c>
      <c r="T289" s="104" t="str">
        <f t="shared" si="21"/>
        <v/>
      </c>
      <c r="U289" s="104" t="str">
        <f t="shared" si="22"/>
        <v/>
      </c>
      <c r="V289" s="104" t="str">
        <f t="shared" si="23"/>
        <v/>
      </c>
      <c r="W289" s="105"/>
    </row>
    <row r="290" spans="1:23">
      <c r="A290" s="92"/>
      <c r="B290" s="121"/>
      <c r="C290" s="107"/>
      <c r="D290" s="117"/>
      <c r="E290" s="117"/>
      <c r="F290" s="118"/>
      <c r="G290" s="108"/>
      <c r="H290" s="98"/>
      <c r="I290" s="99"/>
      <c r="J290" s="101"/>
      <c r="K290" s="109"/>
      <c r="L290" s="110"/>
      <c r="M290" s="111"/>
      <c r="N290" s="99"/>
      <c r="O290" s="112"/>
      <c r="P290" s="112"/>
      <c r="Q290" s="104" t="str">
        <f t="shared" si="18"/>
        <v/>
      </c>
      <c r="R290" s="104" t="str">
        <f t="shared" si="19"/>
        <v/>
      </c>
      <c r="S290" s="104" t="str">
        <f t="shared" si="20"/>
        <v/>
      </c>
      <c r="T290" s="104" t="str">
        <f t="shared" si="21"/>
        <v/>
      </c>
      <c r="U290" s="104" t="str">
        <f t="shared" si="22"/>
        <v/>
      </c>
      <c r="V290" s="104" t="str">
        <f t="shared" si="23"/>
        <v/>
      </c>
      <c r="W290" s="105"/>
    </row>
    <row r="291" spans="1:23" ht="15" customHeight="1">
      <c r="A291" s="92">
        <v>41</v>
      </c>
      <c r="B291" s="121" t="s">
        <v>426</v>
      </c>
      <c r="C291" s="122"/>
      <c r="D291" s="797">
        <f>0.12+0.715+1</f>
        <v>1.835</v>
      </c>
      <c r="E291" s="797"/>
      <c r="F291" s="118"/>
      <c r="G291" s="108">
        <v>0.25</v>
      </c>
      <c r="H291" s="98">
        <v>20</v>
      </c>
      <c r="I291" s="99">
        <v>1</v>
      </c>
      <c r="J291" s="101">
        <f>ROUND(2.3/G291+1,0)</f>
        <v>10</v>
      </c>
      <c r="K291" s="109">
        <f>D291</f>
        <v>1.835</v>
      </c>
      <c r="L291" s="110" t="str">
        <f>IF(O291&lt;12,"0",0.049*H291)</f>
        <v>0</v>
      </c>
      <c r="M291" s="111">
        <v>0</v>
      </c>
      <c r="N291" s="99">
        <f>M291*2*H291/1000</f>
        <v>0</v>
      </c>
      <c r="O291" s="112">
        <f>(D291)-N291</f>
        <v>1.835</v>
      </c>
      <c r="P291" s="112">
        <f>(I291*J291*O291)+L291</f>
        <v>18.350000000000001</v>
      </c>
      <c r="Q291" s="104" t="str">
        <f t="shared" si="18"/>
        <v/>
      </c>
      <c r="R291" s="104" t="str">
        <f t="shared" si="19"/>
        <v/>
      </c>
      <c r="S291" s="104" t="str">
        <f t="shared" si="20"/>
        <v/>
      </c>
      <c r="T291" s="104" t="str">
        <f t="shared" si="21"/>
        <v/>
      </c>
      <c r="U291" s="104">
        <f t="shared" si="22"/>
        <v>18.350000000000001</v>
      </c>
      <c r="V291" s="104" t="str">
        <f t="shared" si="23"/>
        <v/>
      </c>
      <c r="W291" s="105"/>
    </row>
    <row r="292" spans="1:23">
      <c r="A292" s="92"/>
      <c r="B292" s="121" t="s">
        <v>290</v>
      </c>
      <c r="C292" s="107"/>
      <c r="D292" s="117"/>
      <c r="E292" s="117"/>
      <c r="F292" s="118"/>
      <c r="G292" s="108"/>
      <c r="H292" s="98"/>
      <c r="I292" s="99"/>
      <c r="J292" s="101"/>
      <c r="K292" s="109"/>
      <c r="L292" s="110"/>
      <c r="M292" s="111"/>
      <c r="N292" s="99"/>
      <c r="O292" s="112"/>
      <c r="P292" s="112"/>
      <c r="Q292" s="104" t="str">
        <f t="shared" si="18"/>
        <v/>
      </c>
      <c r="R292" s="104" t="str">
        <f t="shared" si="19"/>
        <v/>
      </c>
      <c r="S292" s="104" t="str">
        <f t="shared" si="20"/>
        <v/>
      </c>
      <c r="T292" s="104" t="str">
        <f t="shared" si="21"/>
        <v/>
      </c>
      <c r="U292" s="104" t="str">
        <f t="shared" si="22"/>
        <v/>
      </c>
      <c r="V292" s="104" t="str">
        <f t="shared" si="23"/>
        <v/>
      </c>
      <c r="W292" s="105"/>
    </row>
    <row r="293" spans="1:23">
      <c r="A293" s="92"/>
      <c r="B293" s="121"/>
      <c r="C293" s="107"/>
      <c r="D293" s="117"/>
      <c r="E293" s="117"/>
      <c r="F293" s="118"/>
      <c r="G293" s="108"/>
      <c r="H293" s="98"/>
      <c r="I293" s="99"/>
      <c r="J293" s="101"/>
      <c r="K293" s="109"/>
      <c r="L293" s="110"/>
      <c r="M293" s="111"/>
      <c r="N293" s="99"/>
      <c r="O293" s="112"/>
      <c r="P293" s="112"/>
      <c r="Q293" s="104" t="str">
        <f t="shared" si="18"/>
        <v/>
      </c>
      <c r="R293" s="104" t="str">
        <f t="shared" si="19"/>
        <v/>
      </c>
      <c r="S293" s="104" t="str">
        <f t="shared" si="20"/>
        <v/>
      </c>
      <c r="T293" s="104" t="str">
        <f t="shared" si="21"/>
        <v/>
      </c>
      <c r="U293" s="104" t="str">
        <f t="shared" si="22"/>
        <v/>
      </c>
      <c r="V293" s="104" t="str">
        <f t="shared" si="23"/>
        <v/>
      </c>
      <c r="W293" s="105"/>
    </row>
    <row r="294" spans="1:23" ht="15" customHeight="1">
      <c r="A294" s="92">
        <v>42</v>
      </c>
      <c r="B294" s="121" t="s">
        <v>427</v>
      </c>
      <c r="C294" s="122"/>
      <c r="D294" s="797">
        <f>1+0.3+1</f>
        <v>2.2999999999999998</v>
      </c>
      <c r="E294" s="797"/>
      <c r="F294" s="118"/>
      <c r="G294" s="108">
        <v>0.25</v>
      </c>
      <c r="H294" s="98">
        <v>20</v>
      </c>
      <c r="I294" s="99">
        <v>1</v>
      </c>
      <c r="J294" s="101">
        <f>ROUND(1.835/G294+1,0)</f>
        <v>8</v>
      </c>
      <c r="K294" s="109">
        <f>D294</f>
        <v>2.2999999999999998</v>
      </c>
      <c r="L294" s="110" t="str">
        <f>IF(O294&lt;12,"0",0.049*H294)</f>
        <v>0</v>
      </c>
      <c r="M294" s="111">
        <v>0</v>
      </c>
      <c r="N294" s="99">
        <f>M294*2*H294/1000</f>
        <v>0</v>
      </c>
      <c r="O294" s="112">
        <f>(D294)-N294</f>
        <v>2.2999999999999998</v>
      </c>
      <c r="P294" s="112">
        <f>(I294*J294*O294)+L294</f>
        <v>18.399999999999999</v>
      </c>
      <c r="Q294" s="104" t="str">
        <f t="shared" si="18"/>
        <v/>
      </c>
      <c r="R294" s="104" t="str">
        <f t="shared" si="19"/>
        <v/>
      </c>
      <c r="S294" s="104" t="str">
        <f t="shared" si="20"/>
        <v/>
      </c>
      <c r="T294" s="104" t="str">
        <f t="shared" si="21"/>
        <v/>
      </c>
      <c r="U294" s="104">
        <f t="shared" si="22"/>
        <v>18.399999999999999</v>
      </c>
      <c r="V294" s="104" t="str">
        <f t="shared" si="23"/>
        <v/>
      </c>
      <c r="W294" s="105"/>
    </row>
    <row r="295" spans="1:23">
      <c r="A295" s="92"/>
      <c r="B295" s="121" t="s">
        <v>290</v>
      </c>
      <c r="C295" s="107"/>
      <c r="D295" s="117"/>
      <c r="E295" s="117"/>
      <c r="F295" s="118"/>
      <c r="G295" s="108"/>
      <c r="H295" s="98"/>
      <c r="I295" s="99"/>
      <c r="J295" s="101"/>
      <c r="K295" s="109"/>
      <c r="L295" s="110"/>
      <c r="M295" s="111"/>
      <c r="N295" s="99"/>
      <c r="O295" s="112"/>
      <c r="P295" s="112"/>
      <c r="Q295" s="104" t="str">
        <f t="shared" si="18"/>
        <v/>
      </c>
      <c r="R295" s="104" t="str">
        <f t="shared" si="19"/>
        <v/>
      </c>
      <c r="S295" s="104" t="str">
        <f t="shared" si="20"/>
        <v/>
      </c>
      <c r="T295" s="104" t="str">
        <f t="shared" si="21"/>
        <v/>
      </c>
      <c r="U295" s="104" t="str">
        <f t="shared" si="22"/>
        <v/>
      </c>
      <c r="V295" s="104" t="str">
        <f t="shared" si="23"/>
        <v/>
      </c>
      <c r="W295" s="105"/>
    </row>
    <row r="296" spans="1:23">
      <c r="A296" s="92"/>
      <c r="B296" s="121"/>
      <c r="C296" s="107"/>
      <c r="D296" s="117"/>
      <c r="E296" s="117"/>
      <c r="F296" s="118"/>
      <c r="G296" s="108"/>
      <c r="H296" s="98"/>
      <c r="I296" s="99"/>
      <c r="J296" s="101"/>
      <c r="K296" s="109"/>
      <c r="L296" s="110"/>
      <c r="M296" s="111"/>
      <c r="N296" s="99"/>
      <c r="O296" s="112"/>
      <c r="P296" s="112"/>
      <c r="Q296" s="104" t="str">
        <f t="shared" si="18"/>
        <v/>
      </c>
      <c r="R296" s="104" t="str">
        <f t="shared" si="19"/>
        <v/>
      </c>
      <c r="S296" s="104" t="str">
        <f t="shared" si="20"/>
        <v/>
      </c>
      <c r="T296" s="104" t="str">
        <f t="shared" si="21"/>
        <v/>
      </c>
      <c r="U296" s="104" t="str">
        <f t="shared" si="22"/>
        <v/>
      </c>
      <c r="V296" s="104" t="str">
        <f t="shared" si="23"/>
        <v/>
      </c>
      <c r="W296" s="105"/>
    </row>
    <row r="297" spans="1:23" ht="15" customHeight="1">
      <c r="A297" s="92">
        <v>43</v>
      </c>
      <c r="B297" s="121" t="s">
        <v>426</v>
      </c>
      <c r="C297" s="122"/>
      <c r="D297" s="797">
        <f>1.25+0.75+1.25</f>
        <v>3.25</v>
      </c>
      <c r="E297" s="797"/>
      <c r="F297" s="118"/>
      <c r="G297" s="108">
        <v>0.25</v>
      </c>
      <c r="H297" s="98">
        <v>25</v>
      </c>
      <c r="I297" s="99">
        <v>1</v>
      </c>
      <c r="J297" s="101">
        <f>ROUND(2.8/G297+1,0)</f>
        <v>12</v>
      </c>
      <c r="K297" s="109">
        <f>D297</f>
        <v>3.25</v>
      </c>
      <c r="L297" s="110" t="str">
        <f>IF(O297&lt;12,"0",0.049*H297)</f>
        <v>0</v>
      </c>
      <c r="M297" s="111">
        <v>0</v>
      </c>
      <c r="N297" s="99">
        <f>M297*2*H297/1000</f>
        <v>0</v>
      </c>
      <c r="O297" s="112">
        <f>(D297)-N297</f>
        <v>3.25</v>
      </c>
      <c r="P297" s="112">
        <f>(I297*J297*O297)+L297</f>
        <v>39</v>
      </c>
      <c r="Q297" s="104" t="str">
        <f t="shared" si="18"/>
        <v/>
      </c>
      <c r="R297" s="104" t="str">
        <f t="shared" si="19"/>
        <v/>
      </c>
      <c r="S297" s="104" t="str">
        <f t="shared" si="20"/>
        <v/>
      </c>
      <c r="T297" s="104" t="str">
        <f t="shared" si="21"/>
        <v/>
      </c>
      <c r="U297" s="104" t="str">
        <f t="shared" si="22"/>
        <v/>
      </c>
      <c r="V297" s="104">
        <f t="shared" si="23"/>
        <v>39</v>
      </c>
      <c r="W297" s="105"/>
    </row>
    <row r="298" spans="1:23">
      <c r="A298" s="92"/>
      <c r="B298" s="121" t="s">
        <v>291</v>
      </c>
      <c r="C298" s="107"/>
      <c r="D298" s="117"/>
      <c r="E298" s="117"/>
      <c r="F298" s="118"/>
      <c r="G298" s="108"/>
      <c r="H298" s="98"/>
      <c r="I298" s="99"/>
      <c r="J298" s="101"/>
      <c r="K298" s="109"/>
      <c r="L298" s="110"/>
      <c r="M298" s="111"/>
      <c r="N298" s="99"/>
      <c r="O298" s="112"/>
      <c r="P298" s="112"/>
      <c r="Q298" s="104" t="str">
        <f t="shared" si="18"/>
        <v/>
      </c>
      <c r="R298" s="104" t="str">
        <f t="shared" si="19"/>
        <v/>
      </c>
      <c r="S298" s="104" t="str">
        <f t="shared" si="20"/>
        <v/>
      </c>
      <c r="T298" s="104" t="str">
        <f t="shared" si="21"/>
        <v/>
      </c>
      <c r="U298" s="104" t="str">
        <f t="shared" si="22"/>
        <v/>
      </c>
      <c r="V298" s="104" t="str">
        <f t="shared" si="23"/>
        <v/>
      </c>
      <c r="W298" s="105"/>
    </row>
    <row r="299" spans="1:23">
      <c r="A299" s="92"/>
      <c r="B299" s="121"/>
      <c r="C299" s="107"/>
      <c r="D299" s="117"/>
      <c r="E299" s="117"/>
      <c r="F299" s="118"/>
      <c r="G299" s="108"/>
      <c r="H299" s="98"/>
      <c r="I299" s="99"/>
      <c r="J299" s="101"/>
      <c r="K299" s="109"/>
      <c r="L299" s="110"/>
      <c r="M299" s="111"/>
      <c r="N299" s="99"/>
      <c r="O299" s="112"/>
      <c r="P299" s="112"/>
      <c r="Q299" s="104" t="str">
        <f t="shared" si="18"/>
        <v/>
      </c>
      <c r="R299" s="104" t="str">
        <f t="shared" si="19"/>
        <v/>
      </c>
      <c r="S299" s="104" t="str">
        <f t="shared" si="20"/>
        <v/>
      </c>
      <c r="T299" s="104" t="str">
        <f t="shared" si="21"/>
        <v/>
      </c>
      <c r="U299" s="104" t="str">
        <f t="shared" si="22"/>
        <v/>
      </c>
      <c r="V299" s="104" t="str">
        <f t="shared" si="23"/>
        <v/>
      </c>
      <c r="W299" s="105"/>
    </row>
    <row r="300" spans="1:23" ht="15" customHeight="1">
      <c r="A300" s="92">
        <v>44</v>
      </c>
      <c r="B300" s="121" t="s">
        <v>427</v>
      </c>
      <c r="C300" s="122"/>
      <c r="D300" s="797">
        <f>1.25+0.3+1.25</f>
        <v>2.8</v>
      </c>
      <c r="E300" s="797"/>
      <c r="F300" s="118"/>
      <c r="G300" s="108">
        <v>0.25</v>
      </c>
      <c r="H300" s="98">
        <v>25</v>
      </c>
      <c r="I300" s="99">
        <v>1</v>
      </c>
      <c r="J300" s="101">
        <f>ROUND(3.25/G300+1,0)</f>
        <v>14</v>
      </c>
      <c r="K300" s="109">
        <f>D300</f>
        <v>2.8</v>
      </c>
      <c r="L300" s="110" t="str">
        <f>IF(O300&lt;12,"0",0.049*H300)</f>
        <v>0</v>
      </c>
      <c r="M300" s="111">
        <v>0</v>
      </c>
      <c r="N300" s="99">
        <f>M300*2*H300/1000</f>
        <v>0</v>
      </c>
      <c r="O300" s="112">
        <f>(D300)-N300</f>
        <v>2.8</v>
      </c>
      <c r="P300" s="112">
        <f>(I300*J300*O300)+L300</f>
        <v>39.199999999999996</v>
      </c>
      <c r="Q300" s="104" t="str">
        <f t="shared" si="18"/>
        <v/>
      </c>
      <c r="R300" s="104" t="str">
        <f t="shared" si="19"/>
        <v/>
      </c>
      <c r="S300" s="104" t="str">
        <f t="shared" si="20"/>
        <v/>
      </c>
      <c r="T300" s="104" t="str">
        <f t="shared" si="21"/>
        <v/>
      </c>
      <c r="U300" s="104" t="str">
        <f t="shared" si="22"/>
        <v/>
      </c>
      <c r="V300" s="104">
        <f t="shared" si="23"/>
        <v>39.199999999999996</v>
      </c>
      <c r="W300" s="105"/>
    </row>
    <row r="301" spans="1:23">
      <c r="A301" s="92"/>
      <c r="B301" s="121" t="s">
        <v>291</v>
      </c>
      <c r="C301" s="107"/>
      <c r="D301" s="117"/>
      <c r="E301" s="117"/>
      <c r="F301" s="118"/>
      <c r="G301" s="108"/>
      <c r="H301" s="98"/>
      <c r="I301" s="99"/>
      <c r="J301" s="101"/>
      <c r="K301" s="109"/>
      <c r="L301" s="110"/>
      <c r="M301" s="111"/>
      <c r="N301" s="99"/>
      <c r="O301" s="112"/>
      <c r="P301" s="112"/>
      <c r="Q301" s="104" t="str">
        <f t="shared" ref="Q301:Q364" si="24">IF($H301=8,$P301,"")</f>
        <v/>
      </c>
      <c r="R301" s="104" t="str">
        <f t="shared" ref="R301:R364" si="25">IF($H301=10,$P301,"")</f>
        <v/>
      </c>
      <c r="S301" s="104" t="str">
        <f t="shared" ref="S301:S364" si="26">IF($H301=12,$P301,"")</f>
        <v/>
      </c>
      <c r="T301" s="104" t="str">
        <f t="shared" ref="T301:T364" si="27">IF($H301=16,$P301,"")</f>
        <v/>
      </c>
      <c r="U301" s="104" t="str">
        <f t="shared" ref="U301:U364" si="28">IF($H301=20,$P301,"")</f>
        <v/>
      </c>
      <c r="V301" s="104" t="str">
        <f t="shared" ref="V301:V364" si="29">IF($H301=25,$P301,"")</f>
        <v/>
      </c>
      <c r="W301" s="105"/>
    </row>
    <row r="302" spans="1:23">
      <c r="A302" s="92"/>
      <c r="B302" s="121"/>
      <c r="C302" s="107"/>
      <c r="D302" s="117"/>
      <c r="E302" s="117"/>
      <c r="F302" s="118"/>
      <c r="G302" s="108"/>
      <c r="H302" s="98"/>
      <c r="I302" s="99"/>
      <c r="J302" s="101"/>
      <c r="K302" s="109"/>
      <c r="L302" s="110"/>
      <c r="M302" s="111"/>
      <c r="N302" s="99"/>
      <c r="O302" s="112"/>
      <c r="P302" s="112"/>
      <c r="Q302" s="104" t="str">
        <f t="shared" si="24"/>
        <v/>
      </c>
      <c r="R302" s="104" t="str">
        <f t="shared" si="25"/>
        <v/>
      </c>
      <c r="S302" s="104" t="str">
        <f t="shared" si="26"/>
        <v/>
      </c>
      <c r="T302" s="104" t="str">
        <f t="shared" si="27"/>
        <v/>
      </c>
      <c r="U302" s="104" t="str">
        <f t="shared" si="28"/>
        <v/>
      </c>
      <c r="V302" s="104" t="str">
        <f t="shared" si="29"/>
        <v/>
      </c>
      <c r="W302" s="105"/>
    </row>
    <row r="303" spans="1:23" ht="15" customHeight="1">
      <c r="A303" s="92">
        <v>45</v>
      </c>
      <c r="B303" s="121" t="s">
        <v>426</v>
      </c>
      <c r="C303" s="122"/>
      <c r="D303" s="798">
        <f>1.25+0.23+1.25</f>
        <v>2.73</v>
      </c>
      <c r="E303" s="798"/>
      <c r="F303" s="118"/>
      <c r="G303" s="108">
        <v>0.25</v>
      </c>
      <c r="H303" s="98">
        <v>25</v>
      </c>
      <c r="I303" s="99">
        <v>1</v>
      </c>
      <c r="J303" s="101">
        <f>ROUND(3.7/G303+1,0)</f>
        <v>16</v>
      </c>
      <c r="K303" s="109">
        <f>D303</f>
        <v>2.73</v>
      </c>
      <c r="L303" s="110" t="str">
        <f>IF(O303&lt;12,"0",0.049*H303)</f>
        <v>0</v>
      </c>
      <c r="M303" s="111">
        <v>0</v>
      </c>
      <c r="N303" s="99">
        <f>M303*2*H303/1000</f>
        <v>0</v>
      </c>
      <c r="O303" s="112">
        <f>(D303)-N303</f>
        <v>2.73</v>
      </c>
      <c r="P303" s="112">
        <f>(I303*J303*O303)+L303</f>
        <v>43.68</v>
      </c>
      <c r="Q303" s="104" t="str">
        <f t="shared" si="24"/>
        <v/>
      </c>
      <c r="R303" s="104" t="str">
        <f t="shared" si="25"/>
        <v/>
      </c>
      <c r="S303" s="104" t="str">
        <f t="shared" si="26"/>
        <v/>
      </c>
      <c r="T303" s="104" t="str">
        <f t="shared" si="27"/>
        <v/>
      </c>
      <c r="U303" s="104" t="str">
        <f t="shared" si="28"/>
        <v/>
      </c>
      <c r="V303" s="104">
        <f t="shared" si="29"/>
        <v>43.68</v>
      </c>
      <c r="W303" s="105"/>
    </row>
    <row r="304" spans="1:23">
      <c r="A304" s="92"/>
      <c r="B304" s="121" t="s">
        <v>292</v>
      </c>
      <c r="C304" s="107"/>
      <c r="D304" s="117"/>
      <c r="E304" s="117"/>
      <c r="F304" s="118"/>
      <c r="G304" s="108"/>
      <c r="H304" s="98"/>
      <c r="I304" s="99"/>
      <c r="J304" s="101"/>
      <c r="K304" s="109"/>
      <c r="L304" s="110"/>
      <c r="M304" s="111"/>
      <c r="N304" s="99"/>
      <c r="O304" s="112"/>
      <c r="P304" s="112"/>
      <c r="Q304" s="104" t="str">
        <f t="shared" si="24"/>
        <v/>
      </c>
      <c r="R304" s="104" t="str">
        <f t="shared" si="25"/>
        <v/>
      </c>
      <c r="S304" s="104" t="str">
        <f t="shared" si="26"/>
        <v/>
      </c>
      <c r="T304" s="104" t="str">
        <f t="shared" si="27"/>
        <v/>
      </c>
      <c r="U304" s="104" t="str">
        <f t="shared" si="28"/>
        <v/>
      </c>
      <c r="V304" s="104" t="str">
        <f t="shared" si="29"/>
        <v/>
      </c>
      <c r="W304" s="105"/>
    </row>
    <row r="305" spans="1:23">
      <c r="A305" s="92"/>
      <c r="B305" s="121"/>
      <c r="C305" s="107"/>
      <c r="D305" s="117"/>
      <c r="E305" s="117"/>
      <c r="F305" s="118"/>
      <c r="G305" s="108"/>
      <c r="H305" s="98"/>
      <c r="I305" s="99"/>
      <c r="J305" s="101"/>
      <c r="K305" s="109"/>
      <c r="L305" s="110"/>
      <c r="M305" s="111"/>
      <c r="N305" s="99"/>
      <c r="O305" s="112"/>
      <c r="P305" s="112"/>
      <c r="Q305" s="104" t="str">
        <f t="shared" si="24"/>
        <v/>
      </c>
      <c r="R305" s="104" t="str">
        <f t="shared" si="25"/>
        <v/>
      </c>
      <c r="S305" s="104" t="str">
        <f t="shared" si="26"/>
        <v/>
      </c>
      <c r="T305" s="104" t="str">
        <f t="shared" si="27"/>
        <v/>
      </c>
      <c r="U305" s="104" t="str">
        <f t="shared" si="28"/>
        <v/>
      </c>
      <c r="V305" s="104" t="str">
        <f t="shared" si="29"/>
        <v/>
      </c>
      <c r="W305" s="105"/>
    </row>
    <row r="306" spans="1:23" ht="15" customHeight="1">
      <c r="A306" s="92">
        <v>46</v>
      </c>
      <c r="B306" s="121" t="s">
        <v>427</v>
      </c>
      <c r="C306" s="122"/>
      <c r="D306" s="798">
        <f>1+1.7+1</f>
        <v>3.7</v>
      </c>
      <c r="E306" s="798"/>
      <c r="F306" s="118"/>
      <c r="G306" s="108">
        <v>0.25</v>
      </c>
      <c r="H306" s="98">
        <v>20</v>
      </c>
      <c r="I306" s="99">
        <v>1</v>
      </c>
      <c r="J306" s="101">
        <f>ROUND(2.73/G306+1,0)</f>
        <v>12</v>
      </c>
      <c r="K306" s="109">
        <f>D306</f>
        <v>3.7</v>
      </c>
      <c r="L306" s="110" t="str">
        <f>IF(O306&lt;12,"0",0.049*H306)</f>
        <v>0</v>
      </c>
      <c r="M306" s="111">
        <v>0</v>
      </c>
      <c r="N306" s="99">
        <f>M306*2*H306/1000</f>
        <v>0</v>
      </c>
      <c r="O306" s="112">
        <f>(D306)-N306</f>
        <v>3.7</v>
      </c>
      <c r="P306" s="112">
        <f>(I306*J306*O306)+L306</f>
        <v>44.400000000000006</v>
      </c>
      <c r="Q306" s="104" t="str">
        <f t="shared" si="24"/>
        <v/>
      </c>
      <c r="R306" s="104" t="str">
        <f t="shared" si="25"/>
        <v/>
      </c>
      <c r="S306" s="104" t="str">
        <f t="shared" si="26"/>
        <v/>
      </c>
      <c r="T306" s="104" t="str">
        <f t="shared" si="27"/>
        <v/>
      </c>
      <c r="U306" s="104">
        <f t="shared" si="28"/>
        <v>44.400000000000006</v>
      </c>
      <c r="V306" s="104" t="str">
        <f t="shared" si="29"/>
        <v/>
      </c>
      <c r="W306" s="105"/>
    </row>
    <row r="307" spans="1:23">
      <c r="A307" s="92"/>
      <c r="B307" s="121" t="s">
        <v>292</v>
      </c>
      <c r="C307" s="107"/>
      <c r="D307" s="117"/>
      <c r="E307" s="117"/>
      <c r="F307" s="118"/>
      <c r="G307" s="108"/>
      <c r="H307" s="98"/>
      <c r="I307" s="99"/>
      <c r="J307" s="101"/>
      <c r="K307" s="109"/>
      <c r="L307" s="110"/>
      <c r="M307" s="111"/>
      <c r="N307" s="99"/>
      <c r="O307" s="112"/>
      <c r="P307" s="112"/>
      <c r="Q307" s="104" t="str">
        <f t="shared" si="24"/>
        <v/>
      </c>
      <c r="R307" s="104" t="str">
        <f t="shared" si="25"/>
        <v/>
      </c>
      <c r="S307" s="104" t="str">
        <f t="shared" si="26"/>
        <v/>
      </c>
      <c r="T307" s="104" t="str">
        <f t="shared" si="27"/>
        <v/>
      </c>
      <c r="U307" s="104" t="str">
        <f t="shared" si="28"/>
        <v/>
      </c>
      <c r="V307" s="104" t="str">
        <f t="shared" si="29"/>
        <v/>
      </c>
      <c r="W307" s="105"/>
    </row>
    <row r="308" spans="1:23">
      <c r="A308" s="92"/>
      <c r="B308" s="121"/>
      <c r="C308" s="107"/>
      <c r="D308" s="117"/>
      <c r="E308" s="117"/>
      <c r="F308" s="118"/>
      <c r="G308" s="108"/>
      <c r="H308" s="98"/>
      <c r="I308" s="99"/>
      <c r="J308" s="101"/>
      <c r="K308" s="109"/>
      <c r="L308" s="110"/>
      <c r="M308" s="111"/>
      <c r="N308" s="99"/>
      <c r="O308" s="112"/>
      <c r="P308" s="112"/>
      <c r="Q308" s="104" t="str">
        <f t="shared" si="24"/>
        <v/>
      </c>
      <c r="R308" s="104" t="str">
        <f t="shared" si="25"/>
        <v/>
      </c>
      <c r="S308" s="104" t="str">
        <f t="shared" si="26"/>
        <v/>
      </c>
      <c r="T308" s="104" t="str">
        <f t="shared" si="27"/>
        <v/>
      </c>
      <c r="U308" s="104" t="str">
        <f t="shared" si="28"/>
        <v/>
      </c>
      <c r="V308" s="104" t="str">
        <f t="shared" si="29"/>
        <v/>
      </c>
      <c r="W308" s="105"/>
    </row>
    <row r="309" spans="1:23" ht="15" customHeight="1">
      <c r="A309" s="92">
        <v>47</v>
      </c>
      <c r="B309" s="121" t="s">
        <v>426</v>
      </c>
      <c r="C309" s="122"/>
      <c r="D309" s="798">
        <f>1+0.23+1</f>
        <v>2.23</v>
      </c>
      <c r="E309" s="798"/>
      <c r="F309" s="118"/>
      <c r="G309" s="108">
        <v>0.25</v>
      </c>
      <c r="H309" s="98">
        <v>20</v>
      </c>
      <c r="I309" s="99">
        <v>1</v>
      </c>
      <c r="J309" s="101">
        <f>ROUND(3.7/G309+1,0)</f>
        <v>16</v>
      </c>
      <c r="K309" s="109">
        <f>D309</f>
        <v>2.23</v>
      </c>
      <c r="L309" s="110" t="str">
        <f>IF(O309&lt;12,"0",0.049*H309)</f>
        <v>0</v>
      </c>
      <c r="M309" s="111">
        <v>0</v>
      </c>
      <c r="N309" s="99">
        <f>M309*2*H309/1000</f>
        <v>0</v>
      </c>
      <c r="O309" s="112">
        <f>(D309)-N309</f>
        <v>2.23</v>
      </c>
      <c r="P309" s="112">
        <f>(I309*J309*O309)+L309</f>
        <v>35.68</v>
      </c>
      <c r="Q309" s="104" t="str">
        <f t="shared" si="24"/>
        <v/>
      </c>
      <c r="R309" s="104" t="str">
        <f t="shared" si="25"/>
        <v/>
      </c>
      <c r="S309" s="104" t="str">
        <f t="shared" si="26"/>
        <v/>
      </c>
      <c r="T309" s="104" t="str">
        <f t="shared" si="27"/>
        <v/>
      </c>
      <c r="U309" s="104">
        <f t="shared" si="28"/>
        <v>35.68</v>
      </c>
      <c r="V309" s="104" t="str">
        <f t="shared" si="29"/>
        <v/>
      </c>
      <c r="W309" s="105"/>
    </row>
    <row r="310" spans="1:23">
      <c r="A310" s="92"/>
      <c r="B310" s="121" t="s">
        <v>293</v>
      </c>
      <c r="C310" s="107"/>
      <c r="D310" s="117"/>
      <c r="E310" s="117"/>
      <c r="F310" s="118"/>
      <c r="G310" s="108"/>
      <c r="H310" s="98"/>
      <c r="I310" s="99"/>
      <c r="J310" s="101"/>
      <c r="K310" s="109"/>
      <c r="L310" s="110"/>
      <c r="M310" s="111"/>
      <c r="N310" s="99"/>
      <c r="O310" s="112"/>
      <c r="P310" s="112"/>
      <c r="Q310" s="104" t="str">
        <f t="shared" si="24"/>
        <v/>
      </c>
      <c r="R310" s="104" t="str">
        <f t="shared" si="25"/>
        <v/>
      </c>
      <c r="S310" s="104" t="str">
        <f t="shared" si="26"/>
        <v/>
      </c>
      <c r="T310" s="104" t="str">
        <f t="shared" si="27"/>
        <v/>
      </c>
      <c r="U310" s="104" t="str">
        <f t="shared" si="28"/>
        <v/>
      </c>
      <c r="V310" s="104" t="str">
        <f t="shared" si="29"/>
        <v/>
      </c>
      <c r="W310" s="105"/>
    </row>
    <row r="311" spans="1:23">
      <c r="A311" s="92"/>
      <c r="B311" s="121"/>
      <c r="C311" s="107"/>
      <c r="D311" s="117"/>
      <c r="E311" s="117"/>
      <c r="F311" s="118"/>
      <c r="G311" s="108"/>
      <c r="H311" s="98"/>
      <c r="I311" s="99"/>
      <c r="J311" s="101"/>
      <c r="K311" s="109"/>
      <c r="L311" s="110"/>
      <c r="M311" s="111"/>
      <c r="N311" s="99"/>
      <c r="O311" s="112"/>
      <c r="P311" s="112"/>
      <c r="Q311" s="104" t="str">
        <f t="shared" si="24"/>
        <v/>
      </c>
      <c r="R311" s="104" t="str">
        <f t="shared" si="25"/>
        <v/>
      </c>
      <c r="S311" s="104" t="str">
        <f t="shared" si="26"/>
        <v/>
      </c>
      <c r="T311" s="104" t="str">
        <f t="shared" si="27"/>
        <v/>
      </c>
      <c r="U311" s="104" t="str">
        <f t="shared" si="28"/>
        <v/>
      </c>
      <c r="V311" s="104" t="str">
        <f t="shared" si="29"/>
        <v/>
      </c>
      <c r="W311" s="105"/>
    </row>
    <row r="312" spans="1:23" ht="15" customHeight="1">
      <c r="A312" s="92">
        <v>48</v>
      </c>
      <c r="B312" s="121" t="s">
        <v>427</v>
      </c>
      <c r="C312" s="122"/>
      <c r="D312" s="798">
        <f>1+1.7+1</f>
        <v>3.7</v>
      </c>
      <c r="E312" s="798"/>
      <c r="F312" s="118"/>
      <c r="G312" s="108">
        <v>0.25</v>
      </c>
      <c r="H312" s="98">
        <v>20</v>
      </c>
      <c r="I312" s="99">
        <v>1</v>
      </c>
      <c r="J312" s="101">
        <f>ROUND(2.23/G312+1,0)</f>
        <v>10</v>
      </c>
      <c r="K312" s="109">
        <f>D312</f>
        <v>3.7</v>
      </c>
      <c r="L312" s="110" t="str">
        <f>IF(O312&lt;12,"0",0.049*H312)</f>
        <v>0</v>
      </c>
      <c r="M312" s="111">
        <v>0</v>
      </c>
      <c r="N312" s="99">
        <f>M312*2*H312/1000</f>
        <v>0</v>
      </c>
      <c r="O312" s="112">
        <f>(D312)-N312</f>
        <v>3.7</v>
      </c>
      <c r="P312" s="112">
        <f>(I312*J312*O312)+L312</f>
        <v>37</v>
      </c>
      <c r="Q312" s="104" t="str">
        <f t="shared" si="24"/>
        <v/>
      </c>
      <c r="R312" s="104" t="str">
        <f t="shared" si="25"/>
        <v/>
      </c>
      <c r="S312" s="104" t="str">
        <f t="shared" si="26"/>
        <v/>
      </c>
      <c r="T312" s="104" t="str">
        <f t="shared" si="27"/>
        <v/>
      </c>
      <c r="U312" s="104">
        <f t="shared" si="28"/>
        <v>37</v>
      </c>
      <c r="V312" s="104" t="str">
        <f t="shared" si="29"/>
        <v/>
      </c>
      <c r="W312" s="105"/>
    </row>
    <row r="313" spans="1:23">
      <c r="A313" s="92"/>
      <c r="B313" s="121" t="s">
        <v>293</v>
      </c>
      <c r="C313" s="107"/>
      <c r="D313" s="117"/>
      <c r="E313" s="117"/>
      <c r="F313" s="118"/>
      <c r="G313" s="108"/>
      <c r="H313" s="98"/>
      <c r="I313" s="99"/>
      <c r="J313" s="101"/>
      <c r="K313" s="109"/>
      <c r="L313" s="110"/>
      <c r="M313" s="111"/>
      <c r="N313" s="99"/>
      <c r="O313" s="112"/>
      <c r="P313" s="112"/>
      <c r="Q313" s="104" t="str">
        <f t="shared" si="24"/>
        <v/>
      </c>
      <c r="R313" s="104" t="str">
        <f t="shared" si="25"/>
        <v/>
      </c>
      <c r="S313" s="104" t="str">
        <f t="shared" si="26"/>
        <v/>
      </c>
      <c r="T313" s="104" t="str">
        <f t="shared" si="27"/>
        <v/>
      </c>
      <c r="U313" s="104" t="str">
        <f t="shared" si="28"/>
        <v/>
      </c>
      <c r="V313" s="104" t="str">
        <f t="shared" si="29"/>
        <v/>
      </c>
      <c r="W313" s="105"/>
    </row>
    <row r="314" spans="1:23">
      <c r="A314" s="92"/>
      <c r="B314" s="121"/>
      <c r="C314" s="107"/>
      <c r="D314" s="117"/>
      <c r="E314" s="117"/>
      <c r="F314" s="118"/>
      <c r="G314" s="108"/>
      <c r="H314" s="98"/>
      <c r="I314" s="99"/>
      <c r="J314" s="101"/>
      <c r="K314" s="109"/>
      <c r="L314" s="110"/>
      <c r="M314" s="111"/>
      <c r="N314" s="99"/>
      <c r="O314" s="112"/>
      <c r="P314" s="112"/>
      <c r="Q314" s="104" t="str">
        <f t="shared" si="24"/>
        <v/>
      </c>
      <c r="R314" s="104" t="str">
        <f t="shared" si="25"/>
        <v/>
      </c>
      <c r="S314" s="104" t="str">
        <f t="shared" si="26"/>
        <v/>
      </c>
      <c r="T314" s="104" t="str">
        <f t="shared" si="27"/>
        <v/>
      </c>
      <c r="U314" s="104" t="str">
        <f t="shared" si="28"/>
        <v/>
      </c>
      <c r="V314" s="104" t="str">
        <f t="shared" si="29"/>
        <v/>
      </c>
      <c r="W314" s="105"/>
    </row>
    <row r="315" spans="1:23" ht="15" customHeight="1">
      <c r="A315" s="92">
        <v>49</v>
      </c>
      <c r="B315" s="121" t="s">
        <v>426</v>
      </c>
      <c r="C315" s="122"/>
      <c r="D315" s="798">
        <f>1+1.5-0.17+0.47+0.515+1.17+0.115+1</f>
        <v>5.6</v>
      </c>
      <c r="E315" s="798"/>
      <c r="F315" s="118"/>
      <c r="G315" s="108">
        <v>0.25</v>
      </c>
      <c r="H315" s="98">
        <v>20</v>
      </c>
      <c r="I315" s="99">
        <v>1</v>
      </c>
      <c r="J315" s="101">
        <f>ROUND(4.725/G315+1,0)</f>
        <v>20</v>
      </c>
      <c r="K315" s="109">
        <f>D315</f>
        <v>5.6</v>
      </c>
      <c r="L315" s="110" t="str">
        <f>IF(O315&lt;12,"0",0.049*H315)</f>
        <v>0</v>
      </c>
      <c r="M315" s="111">
        <v>0</v>
      </c>
      <c r="N315" s="99">
        <f>M315*2*H315/1000</f>
        <v>0</v>
      </c>
      <c r="O315" s="112">
        <f>(D315)-N315</f>
        <v>5.6</v>
      </c>
      <c r="P315" s="112">
        <f>(I315*J315*O315)+L315</f>
        <v>112</v>
      </c>
      <c r="Q315" s="104" t="str">
        <f t="shared" si="24"/>
        <v/>
      </c>
      <c r="R315" s="104" t="str">
        <f t="shared" si="25"/>
        <v/>
      </c>
      <c r="S315" s="104" t="str">
        <f t="shared" si="26"/>
        <v/>
      </c>
      <c r="T315" s="104" t="str">
        <f t="shared" si="27"/>
        <v/>
      </c>
      <c r="U315" s="104">
        <f t="shared" si="28"/>
        <v>112</v>
      </c>
      <c r="V315" s="104" t="str">
        <f t="shared" si="29"/>
        <v/>
      </c>
      <c r="W315" s="105"/>
    </row>
    <row r="316" spans="1:23">
      <c r="A316" s="92"/>
      <c r="B316" s="121" t="s">
        <v>294</v>
      </c>
      <c r="C316" s="107"/>
      <c r="D316" s="117"/>
      <c r="E316" s="117"/>
      <c r="F316" s="118"/>
      <c r="G316" s="108"/>
      <c r="H316" s="98"/>
      <c r="I316" s="99"/>
      <c r="J316" s="101"/>
      <c r="K316" s="109"/>
      <c r="L316" s="110"/>
      <c r="M316" s="111"/>
      <c r="N316" s="99"/>
      <c r="O316" s="112"/>
      <c r="P316" s="112"/>
      <c r="Q316" s="104" t="str">
        <f t="shared" si="24"/>
        <v/>
      </c>
      <c r="R316" s="104" t="str">
        <f t="shared" si="25"/>
        <v/>
      </c>
      <c r="S316" s="104" t="str">
        <f t="shared" si="26"/>
        <v/>
      </c>
      <c r="T316" s="104" t="str">
        <f t="shared" si="27"/>
        <v/>
      </c>
      <c r="U316" s="104" t="str">
        <f t="shared" si="28"/>
        <v/>
      </c>
      <c r="V316" s="104" t="str">
        <f t="shared" si="29"/>
        <v/>
      </c>
      <c r="W316" s="105"/>
    </row>
    <row r="317" spans="1:23">
      <c r="A317" s="92"/>
      <c r="B317" s="121"/>
      <c r="C317" s="107"/>
      <c r="D317" s="117"/>
      <c r="E317" s="117"/>
      <c r="F317" s="118"/>
      <c r="G317" s="108"/>
      <c r="H317" s="98"/>
      <c r="I317" s="99"/>
      <c r="J317" s="101"/>
      <c r="K317" s="109"/>
      <c r="L317" s="110"/>
      <c r="M317" s="111"/>
      <c r="N317" s="99"/>
      <c r="O317" s="112"/>
      <c r="P317" s="112"/>
      <c r="Q317" s="104" t="str">
        <f t="shared" si="24"/>
        <v/>
      </c>
      <c r="R317" s="104" t="str">
        <f t="shared" si="25"/>
        <v/>
      </c>
      <c r="S317" s="104" t="str">
        <f t="shared" si="26"/>
        <v/>
      </c>
      <c r="T317" s="104" t="str">
        <f t="shared" si="27"/>
        <v/>
      </c>
      <c r="U317" s="104" t="str">
        <f t="shared" si="28"/>
        <v/>
      </c>
      <c r="V317" s="104" t="str">
        <f t="shared" si="29"/>
        <v/>
      </c>
      <c r="W317" s="105"/>
    </row>
    <row r="318" spans="1:23" ht="15" customHeight="1">
      <c r="A318" s="92">
        <v>50</v>
      </c>
      <c r="B318" s="121" t="s">
        <v>427</v>
      </c>
      <c r="C318" s="122"/>
      <c r="D318" s="798">
        <f>1.25+1.855-0.23+0.6+1.25</f>
        <v>4.7249999999999996</v>
      </c>
      <c r="E318" s="798"/>
      <c r="F318" s="118"/>
      <c r="G318" s="108">
        <v>0.25</v>
      </c>
      <c r="H318" s="98">
        <v>25</v>
      </c>
      <c r="I318" s="99">
        <v>1</v>
      </c>
      <c r="J318" s="101">
        <f>ROUND(5.6/G318+1,0)</f>
        <v>23</v>
      </c>
      <c r="K318" s="109">
        <f>D318</f>
        <v>4.7249999999999996</v>
      </c>
      <c r="L318" s="110" t="str">
        <f>IF(O318&lt;12,"0",0.049*H318)</f>
        <v>0</v>
      </c>
      <c r="M318" s="111">
        <v>0</v>
      </c>
      <c r="N318" s="99">
        <f>M318*2*H318/1000</f>
        <v>0</v>
      </c>
      <c r="O318" s="112">
        <f>(D318)-N318</f>
        <v>4.7249999999999996</v>
      </c>
      <c r="P318" s="112">
        <f>(I318*J318*O318)+L318</f>
        <v>108.675</v>
      </c>
      <c r="Q318" s="104" t="str">
        <f t="shared" si="24"/>
        <v/>
      </c>
      <c r="R318" s="104" t="str">
        <f t="shared" si="25"/>
        <v/>
      </c>
      <c r="S318" s="104" t="str">
        <f t="shared" si="26"/>
        <v/>
      </c>
      <c r="T318" s="104" t="str">
        <f t="shared" si="27"/>
        <v/>
      </c>
      <c r="U318" s="104" t="str">
        <f t="shared" si="28"/>
        <v/>
      </c>
      <c r="V318" s="104">
        <f t="shared" si="29"/>
        <v>108.675</v>
      </c>
      <c r="W318" s="105"/>
    </row>
    <row r="319" spans="1:23">
      <c r="A319" s="92"/>
      <c r="B319" s="121" t="s">
        <v>294</v>
      </c>
      <c r="C319" s="107"/>
      <c r="D319" s="117"/>
      <c r="E319" s="117"/>
      <c r="F319" s="118"/>
      <c r="G319" s="108"/>
      <c r="H319" s="98"/>
      <c r="I319" s="99"/>
      <c r="J319" s="101"/>
      <c r="K319" s="109"/>
      <c r="L319" s="110"/>
      <c r="M319" s="111"/>
      <c r="N319" s="99"/>
      <c r="O319" s="112"/>
      <c r="P319" s="112"/>
      <c r="Q319" s="104" t="str">
        <f t="shared" si="24"/>
        <v/>
      </c>
      <c r="R319" s="104" t="str">
        <f t="shared" si="25"/>
        <v/>
      </c>
      <c r="S319" s="104" t="str">
        <f t="shared" si="26"/>
        <v/>
      </c>
      <c r="T319" s="104" t="str">
        <f t="shared" si="27"/>
        <v/>
      </c>
      <c r="U319" s="104" t="str">
        <f t="shared" si="28"/>
        <v/>
      </c>
      <c r="V319" s="104" t="str">
        <f t="shared" si="29"/>
        <v/>
      </c>
      <c r="W319" s="105"/>
    </row>
    <row r="320" spans="1:23">
      <c r="A320" s="92"/>
      <c r="B320" s="121"/>
      <c r="C320" s="107"/>
      <c r="D320" s="117"/>
      <c r="E320" s="117"/>
      <c r="F320" s="118"/>
      <c r="G320" s="108"/>
      <c r="H320" s="98"/>
      <c r="I320" s="99"/>
      <c r="J320" s="101"/>
      <c r="K320" s="109"/>
      <c r="L320" s="110"/>
      <c r="M320" s="111"/>
      <c r="N320" s="99"/>
      <c r="O320" s="112"/>
      <c r="P320" s="112"/>
      <c r="Q320" s="104" t="str">
        <f t="shared" si="24"/>
        <v/>
      </c>
      <c r="R320" s="104" t="str">
        <f t="shared" si="25"/>
        <v/>
      </c>
      <c r="S320" s="104" t="str">
        <f t="shared" si="26"/>
        <v/>
      </c>
      <c r="T320" s="104" t="str">
        <f t="shared" si="27"/>
        <v/>
      </c>
      <c r="U320" s="104" t="str">
        <f t="shared" si="28"/>
        <v/>
      </c>
      <c r="V320" s="104" t="str">
        <f t="shared" si="29"/>
        <v/>
      </c>
      <c r="W320" s="105"/>
    </row>
    <row r="321" spans="1:23" ht="15" customHeight="1">
      <c r="A321" s="92">
        <v>51</v>
      </c>
      <c r="B321" s="121" t="s">
        <v>426</v>
      </c>
      <c r="C321" s="122"/>
      <c r="D321" s="798">
        <f>1.25+3.6+1.25</f>
        <v>6.1</v>
      </c>
      <c r="E321" s="798"/>
      <c r="F321" s="118"/>
      <c r="G321" s="108">
        <v>0.25</v>
      </c>
      <c r="H321" s="98">
        <v>25</v>
      </c>
      <c r="I321" s="99">
        <v>1</v>
      </c>
      <c r="J321" s="101">
        <f>ROUND(2.73/G321+1,0)</f>
        <v>12</v>
      </c>
      <c r="K321" s="109">
        <f>D321</f>
        <v>6.1</v>
      </c>
      <c r="L321" s="110" t="str">
        <f>IF(O321&lt;12,"0",0.049*H321)</f>
        <v>0</v>
      </c>
      <c r="M321" s="111">
        <v>0</v>
      </c>
      <c r="N321" s="99">
        <f>M321*2*H321/1000</f>
        <v>0</v>
      </c>
      <c r="O321" s="112">
        <f>(D321)-N321</f>
        <v>6.1</v>
      </c>
      <c r="P321" s="112">
        <f>(I321*J321*O321)+L321</f>
        <v>73.199999999999989</v>
      </c>
      <c r="Q321" s="104" t="str">
        <f t="shared" si="24"/>
        <v/>
      </c>
      <c r="R321" s="104" t="str">
        <f t="shared" si="25"/>
        <v/>
      </c>
      <c r="S321" s="104" t="str">
        <f t="shared" si="26"/>
        <v/>
      </c>
      <c r="T321" s="104" t="str">
        <f t="shared" si="27"/>
        <v/>
      </c>
      <c r="U321" s="104" t="str">
        <f t="shared" si="28"/>
        <v/>
      </c>
      <c r="V321" s="104">
        <f t="shared" si="29"/>
        <v>73.199999999999989</v>
      </c>
      <c r="W321" s="105"/>
    </row>
    <row r="322" spans="1:23">
      <c r="A322" s="92"/>
      <c r="B322" s="121" t="s">
        <v>295</v>
      </c>
      <c r="C322" s="107"/>
      <c r="D322" s="117"/>
      <c r="E322" s="117"/>
      <c r="F322" s="118"/>
      <c r="G322" s="108"/>
      <c r="H322" s="98"/>
      <c r="I322" s="99"/>
      <c r="J322" s="101"/>
      <c r="K322" s="109"/>
      <c r="L322" s="110"/>
      <c r="M322" s="111"/>
      <c r="N322" s="99"/>
      <c r="O322" s="112"/>
      <c r="P322" s="112"/>
      <c r="Q322" s="104" t="str">
        <f t="shared" si="24"/>
        <v/>
      </c>
      <c r="R322" s="104" t="str">
        <f t="shared" si="25"/>
        <v/>
      </c>
      <c r="S322" s="104" t="str">
        <f t="shared" si="26"/>
        <v/>
      </c>
      <c r="T322" s="104" t="str">
        <f t="shared" si="27"/>
        <v/>
      </c>
      <c r="U322" s="104" t="str">
        <f t="shared" si="28"/>
        <v/>
      </c>
      <c r="V322" s="104" t="str">
        <f t="shared" si="29"/>
        <v/>
      </c>
      <c r="W322" s="105"/>
    </row>
    <row r="323" spans="1:23">
      <c r="A323" s="92"/>
      <c r="B323" s="121"/>
      <c r="C323" s="107"/>
      <c r="D323" s="117"/>
      <c r="E323" s="117"/>
      <c r="F323" s="118"/>
      <c r="G323" s="108"/>
      <c r="H323" s="98"/>
      <c r="I323" s="99"/>
      <c r="J323" s="101"/>
      <c r="K323" s="109"/>
      <c r="L323" s="110"/>
      <c r="M323" s="111"/>
      <c r="N323" s="99"/>
      <c r="O323" s="112"/>
      <c r="P323" s="112"/>
      <c r="Q323" s="104" t="str">
        <f t="shared" si="24"/>
        <v/>
      </c>
      <c r="R323" s="104" t="str">
        <f t="shared" si="25"/>
        <v/>
      </c>
      <c r="S323" s="104" t="str">
        <f t="shared" si="26"/>
        <v/>
      </c>
      <c r="T323" s="104" t="str">
        <f t="shared" si="27"/>
        <v/>
      </c>
      <c r="U323" s="104" t="str">
        <f t="shared" si="28"/>
        <v/>
      </c>
      <c r="V323" s="104" t="str">
        <f t="shared" si="29"/>
        <v/>
      </c>
      <c r="W323" s="105"/>
    </row>
    <row r="324" spans="1:23" ht="15" customHeight="1">
      <c r="A324" s="92">
        <v>52</v>
      </c>
      <c r="B324" s="121" t="s">
        <v>427</v>
      </c>
      <c r="C324" s="122"/>
      <c r="D324" s="798">
        <f>1.25+0.23+1.25</f>
        <v>2.73</v>
      </c>
      <c r="E324" s="798"/>
      <c r="F324" s="118"/>
      <c r="G324" s="108">
        <v>0.25</v>
      </c>
      <c r="H324" s="98">
        <v>25</v>
      </c>
      <c r="I324" s="99">
        <v>1</v>
      </c>
      <c r="J324" s="101">
        <f>ROUND(6.1/G324+1,0)</f>
        <v>25</v>
      </c>
      <c r="K324" s="109">
        <f>D324</f>
        <v>2.73</v>
      </c>
      <c r="L324" s="110" t="str">
        <f>IF(O324&lt;12,"0",0.049*H324)</f>
        <v>0</v>
      </c>
      <c r="M324" s="111">
        <v>0</v>
      </c>
      <c r="N324" s="99">
        <f>M324*2*H324/1000</f>
        <v>0</v>
      </c>
      <c r="O324" s="112">
        <f>(D324)-N324</f>
        <v>2.73</v>
      </c>
      <c r="P324" s="112">
        <f>(I324*J324*O324)+L324</f>
        <v>68.25</v>
      </c>
      <c r="Q324" s="104" t="str">
        <f t="shared" si="24"/>
        <v/>
      </c>
      <c r="R324" s="104" t="str">
        <f t="shared" si="25"/>
        <v/>
      </c>
      <c r="S324" s="104" t="str">
        <f t="shared" si="26"/>
        <v/>
      </c>
      <c r="T324" s="104" t="str">
        <f t="shared" si="27"/>
        <v/>
      </c>
      <c r="U324" s="104" t="str">
        <f t="shared" si="28"/>
        <v/>
      </c>
      <c r="V324" s="104">
        <f t="shared" si="29"/>
        <v>68.25</v>
      </c>
      <c r="W324" s="105"/>
    </row>
    <row r="325" spans="1:23">
      <c r="A325" s="92"/>
      <c r="B325" s="121" t="s">
        <v>295</v>
      </c>
      <c r="C325" s="107"/>
      <c r="D325" s="117"/>
      <c r="E325" s="117"/>
      <c r="F325" s="118"/>
      <c r="G325" s="108"/>
      <c r="H325" s="98"/>
      <c r="I325" s="99"/>
      <c r="J325" s="101"/>
      <c r="K325" s="109"/>
      <c r="L325" s="110"/>
      <c r="M325" s="111"/>
      <c r="N325" s="99"/>
      <c r="O325" s="112"/>
      <c r="P325" s="112"/>
      <c r="Q325" s="104" t="str">
        <f t="shared" si="24"/>
        <v/>
      </c>
      <c r="R325" s="104" t="str">
        <f t="shared" si="25"/>
        <v/>
      </c>
      <c r="S325" s="104" t="str">
        <f t="shared" si="26"/>
        <v/>
      </c>
      <c r="T325" s="104" t="str">
        <f t="shared" si="27"/>
        <v/>
      </c>
      <c r="U325" s="104" t="str">
        <f t="shared" si="28"/>
        <v/>
      </c>
      <c r="V325" s="104" t="str">
        <f t="shared" si="29"/>
        <v/>
      </c>
      <c r="W325" s="105"/>
    </row>
    <row r="326" spans="1:23">
      <c r="A326" s="92"/>
      <c r="B326" s="121"/>
      <c r="C326" s="107"/>
      <c r="D326" s="117"/>
      <c r="E326" s="117"/>
      <c r="F326" s="118"/>
      <c r="G326" s="108"/>
      <c r="H326" s="98"/>
      <c r="I326" s="99"/>
      <c r="J326" s="101"/>
      <c r="K326" s="109"/>
      <c r="L326" s="110"/>
      <c r="M326" s="111"/>
      <c r="N326" s="99"/>
      <c r="O326" s="112"/>
      <c r="P326" s="112"/>
      <c r="Q326" s="104" t="str">
        <f t="shared" si="24"/>
        <v/>
      </c>
      <c r="R326" s="104" t="str">
        <f t="shared" si="25"/>
        <v/>
      </c>
      <c r="S326" s="104" t="str">
        <f t="shared" si="26"/>
        <v/>
      </c>
      <c r="T326" s="104" t="str">
        <f t="shared" si="27"/>
        <v/>
      </c>
      <c r="U326" s="104" t="str">
        <f t="shared" si="28"/>
        <v/>
      </c>
      <c r="V326" s="104" t="str">
        <f t="shared" si="29"/>
        <v/>
      </c>
      <c r="W326" s="105"/>
    </row>
    <row r="327" spans="1:23" ht="15" customHeight="1">
      <c r="A327" s="92">
        <v>53</v>
      </c>
      <c r="B327" s="121" t="s">
        <v>426</v>
      </c>
      <c r="C327" s="122"/>
      <c r="D327" s="798">
        <f>1+0.75+1</f>
        <v>2.75</v>
      </c>
      <c r="E327" s="798"/>
      <c r="F327" s="118"/>
      <c r="G327" s="108">
        <v>0.25</v>
      </c>
      <c r="H327" s="98">
        <v>25</v>
      </c>
      <c r="I327" s="99">
        <v>1</v>
      </c>
      <c r="J327" s="101">
        <f>ROUND(2.8/G327+1,0)</f>
        <v>12</v>
      </c>
      <c r="K327" s="109">
        <f>D327</f>
        <v>2.75</v>
      </c>
      <c r="L327" s="110" t="str">
        <f>IF(O327&lt;12,"0",0.049*H327)</f>
        <v>0</v>
      </c>
      <c r="M327" s="111">
        <v>0</v>
      </c>
      <c r="N327" s="99">
        <f>M327*2*H327/1000</f>
        <v>0</v>
      </c>
      <c r="O327" s="112">
        <f>(D327)-N327</f>
        <v>2.75</v>
      </c>
      <c r="P327" s="112">
        <f>(I327*J327*O327)+L327</f>
        <v>33</v>
      </c>
      <c r="Q327" s="104" t="str">
        <f t="shared" si="24"/>
        <v/>
      </c>
      <c r="R327" s="104" t="str">
        <f t="shared" si="25"/>
        <v/>
      </c>
      <c r="S327" s="104" t="str">
        <f t="shared" si="26"/>
        <v/>
      </c>
      <c r="T327" s="104" t="str">
        <f t="shared" si="27"/>
        <v/>
      </c>
      <c r="U327" s="104" t="str">
        <f t="shared" si="28"/>
        <v/>
      </c>
      <c r="V327" s="104">
        <f t="shared" si="29"/>
        <v>33</v>
      </c>
      <c r="W327" s="105"/>
    </row>
    <row r="328" spans="1:23">
      <c r="A328" s="92"/>
      <c r="B328" s="121" t="s">
        <v>296</v>
      </c>
      <c r="C328" s="107"/>
      <c r="D328" s="117"/>
      <c r="E328" s="117"/>
      <c r="F328" s="118"/>
      <c r="G328" s="108"/>
      <c r="H328" s="98"/>
      <c r="I328" s="99"/>
      <c r="J328" s="101"/>
      <c r="K328" s="109"/>
      <c r="L328" s="110"/>
      <c r="M328" s="111"/>
      <c r="N328" s="99"/>
      <c r="O328" s="112"/>
      <c r="P328" s="112"/>
      <c r="Q328" s="104" t="str">
        <f t="shared" si="24"/>
        <v/>
      </c>
      <c r="R328" s="104" t="str">
        <f t="shared" si="25"/>
        <v/>
      </c>
      <c r="S328" s="104" t="str">
        <f t="shared" si="26"/>
        <v/>
      </c>
      <c r="T328" s="104" t="str">
        <f t="shared" si="27"/>
        <v/>
      </c>
      <c r="U328" s="104" t="str">
        <f t="shared" si="28"/>
        <v/>
      </c>
      <c r="V328" s="104" t="str">
        <f t="shared" si="29"/>
        <v/>
      </c>
      <c r="W328" s="105"/>
    </row>
    <row r="329" spans="1:23">
      <c r="A329" s="92"/>
      <c r="B329" s="121"/>
      <c r="C329" s="107"/>
      <c r="D329" s="117"/>
      <c r="E329" s="117"/>
      <c r="F329" s="118"/>
      <c r="G329" s="108"/>
      <c r="H329" s="98"/>
      <c r="I329" s="99"/>
      <c r="J329" s="101"/>
      <c r="K329" s="109"/>
      <c r="L329" s="110"/>
      <c r="M329" s="111"/>
      <c r="N329" s="99"/>
      <c r="O329" s="112"/>
      <c r="P329" s="112"/>
      <c r="Q329" s="104" t="str">
        <f t="shared" si="24"/>
        <v/>
      </c>
      <c r="R329" s="104" t="str">
        <f t="shared" si="25"/>
        <v/>
      </c>
      <c r="S329" s="104" t="str">
        <f t="shared" si="26"/>
        <v/>
      </c>
      <c r="T329" s="104" t="str">
        <f t="shared" si="27"/>
        <v/>
      </c>
      <c r="U329" s="104" t="str">
        <f t="shared" si="28"/>
        <v/>
      </c>
      <c r="V329" s="104" t="str">
        <f t="shared" si="29"/>
        <v/>
      </c>
      <c r="W329" s="105"/>
    </row>
    <row r="330" spans="1:23" ht="15" customHeight="1">
      <c r="A330" s="92">
        <v>54</v>
      </c>
      <c r="B330" s="121" t="s">
        <v>426</v>
      </c>
      <c r="C330" s="122"/>
      <c r="D330" s="798">
        <f>1.25+0.3+1.25</f>
        <v>2.8</v>
      </c>
      <c r="E330" s="798"/>
      <c r="F330" s="118"/>
      <c r="G330" s="108">
        <v>0.25</v>
      </c>
      <c r="H330" s="98">
        <v>20</v>
      </c>
      <c r="I330" s="99">
        <v>1</v>
      </c>
      <c r="J330" s="101">
        <f>ROUND(2.75/G330+1,0)</f>
        <v>12</v>
      </c>
      <c r="K330" s="109">
        <f>D330</f>
        <v>2.8</v>
      </c>
      <c r="L330" s="110" t="str">
        <f>IF(O330&lt;12,"0",0.049*H330)</f>
        <v>0</v>
      </c>
      <c r="M330" s="111">
        <v>0</v>
      </c>
      <c r="N330" s="99">
        <f>M330*2*H330/1000</f>
        <v>0</v>
      </c>
      <c r="O330" s="112">
        <f>(D330)-N330</f>
        <v>2.8</v>
      </c>
      <c r="P330" s="112">
        <f>(I330*J330*O330)+L330</f>
        <v>33.599999999999994</v>
      </c>
      <c r="Q330" s="104" t="str">
        <f t="shared" si="24"/>
        <v/>
      </c>
      <c r="R330" s="104" t="str">
        <f t="shared" si="25"/>
        <v/>
      </c>
      <c r="S330" s="104" t="str">
        <f t="shared" si="26"/>
        <v/>
      </c>
      <c r="T330" s="104" t="str">
        <f t="shared" si="27"/>
        <v/>
      </c>
      <c r="U330" s="104">
        <f t="shared" si="28"/>
        <v>33.599999999999994</v>
      </c>
      <c r="V330" s="104" t="str">
        <f t="shared" si="29"/>
        <v/>
      </c>
      <c r="W330" s="105"/>
    </row>
    <row r="331" spans="1:23">
      <c r="A331" s="92"/>
      <c r="B331" s="121" t="s">
        <v>296</v>
      </c>
      <c r="C331" s="107"/>
      <c r="D331" s="117"/>
      <c r="E331" s="117"/>
      <c r="F331" s="118"/>
      <c r="G331" s="108"/>
      <c r="H331" s="98"/>
      <c r="I331" s="99"/>
      <c r="J331" s="101"/>
      <c r="K331" s="109"/>
      <c r="L331" s="110"/>
      <c r="M331" s="111"/>
      <c r="N331" s="99"/>
      <c r="O331" s="112"/>
      <c r="P331" s="112"/>
      <c r="Q331" s="104" t="str">
        <f t="shared" si="24"/>
        <v/>
      </c>
      <c r="R331" s="104" t="str">
        <f t="shared" si="25"/>
        <v/>
      </c>
      <c r="S331" s="104" t="str">
        <f t="shared" si="26"/>
        <v/>
      </c>
      <c r="T331" s="104" t="str">
        <f t="shared" si="27"/>
        <v/>
      </c>
      <c r="U331" s="104" t="str">
        <f t="shared" si="28"/>
        <v/>
      </c>
      <c r="V331" s="104" t="str">
        <f t="shared" si="29"/>
        <v/>
      </c>
      <c r="W331" s="105"/>
    </row>
    <row r="332" spans="1:23">
      <c r="A332" s="92"/>
      <c r="B332" s="121"/>
      <c r="C332" s="107"/>
      <c r="D332" s="117"/>
      <c r="E332" s="117"/>
      <c r="F332" s="118"/>
      <c r="G332" s="108"/>
      <c r="H332" s="98"/>
      <c r="I332" s="99"/>
      <c r="J332" s="101"/>
      <c r="K332" s="109"/>
      <c r="L332" s="110"/>
      <c r="M332" s="111"/>
      <c r="N332" s="99"/>
      <c r="O332" s="112"/>
      <c r="P332" s="112"/>
      <c r="Q332" s="104" t="str">
        <f t="shared" si="24"/>
        <v/>
      </c>
      <c r="R332" s="104" t="str">
        <f t="shared" si="25"/>
        <v/>
      </c>
      <c r="S332" s="104" t="str">
        <f t="shared" si="26"/>
        <v/>
      </c>
      <c r="T332" s="104" t="str">
        <f t="shared" si="27"/>
        <v/>
      </c>
      <c r="U332" s="104" t="str">
        <f t="shared" si="28"/>
        <v/>
      </c>
      <c r="V332" s="104" t="str">
        <f t="shared" si="29"/>
        <v/>
      </c>
      <c r="W332" s="105"/>
    </row>
    <row r="333" spans="1:23" ht="15" customHeight="1">
      <c r="A333" s="92">
        <v>55</v>
      </c>
      <c r="B333" s="121" t="s">
        <v>427</v>
      </c>
      <c r="C333" s="122"/>
      <c r="D333" s="798">
        <v>2.75</v>
      </c>
      <c r="E333" s="798"/>
      <c r="F333" s="118"/>
      <c r="G333" s="108">
        <v>0.25</v>
      </c>
      <c r="H333" s="98">
        <v>25</v>
      </c>
      <c r="I333" s="99">
        <v>1</v>
      </c>
      <c r="J333" s="101">
        <f>ROUND(2.75/G333+1,0)</f>
        <v>12</v>
      </c>
      <c r="K333" s="109">
        <f>D333</f>
        <v>2.75</v>
      </c>
      <c r="L333" s="110" t="str">
        <f>IF(O333&lt;12,"0",0.049*H333)</f>
        <v>0</v>
      </c>
      <c r="M333" s="111">
        <v>0</v>
      </c>
      <c r="N333" s="99">
        <f>M333*2*H333/1000</f>
        <v>0</v>
      </c>
      <c r="O333" s="112">
        <f>(D333)-N333</f>
        <v>2.75</v>
      </c>
      <c r="P333" s="112">
        <f>(I333*J333*O333)+L333</f>
        <v>33</v>
      </c>
      <c r="Q333" s="104" t="str">
        <f t="shared" si="24"/>
        <v/>
      </c>
      <c r="R333" s="104" t="str">
        <f t="shared" si="25"/>
        <v/>
      </c>
      <c r="S333" s="104" t="str">
        <f t="shared" si="26"/>
        <v/>
      </c>
      <c r="T333" s="104" t="str">
        <f t="shared" si="27"/>
        <v/>
      </c>
      <c r="U333" s="104" t="str">
        <f t="shared" si="28"/>
        <v/>
      </c>
      <c r="V333" s="104">
        <f t="shared" si="29"/>
        <v>33</v>
      </c>
      <c r="W333" s="105"/>
    </row>
    <row r="334" spans="1:23">
      <c r="A334" s="92"/>
      <c r="B334" s="121" t="s">
        <v>296</v>
      </c>
      <c r="C334" s="107"/>
      <c r="D334" s="117"/>
      <c r="E334" s="117"/>
      <c r="F334" s="118"/>
      <c r="G334" s="108"/>
      <c r="H334" s="98"/>
      <c r="I334" s="99"/>
      <c r="J334" s="101"/>
      <c r="K334" s="109"/>
      <c r="L334" s="110"/>
      <c r="M334" s="111"/>
      <c r="N334" s="99"/>
      <c r="O334" s="112"/>
      <c r="P334" s="112"/>
      <c r="Q334" s="104" t="str">
        <f t="shared" si="24"/>
        <v/>
      </c>
      <c r="R334" s="104" t="str">
        <f t="shared" si="25"/>
        <v/>
      </c>
      <c r="S334" s="104" t="str">
        <f t="shared" si="26"/>
        <v/>
      </c>
      <c r="T334" s="104" t="str">
        <f t="shared" si="27"/>
        <v/>
      </c>
      <c r="U334" s="104" t="str">
        <f t="shared" si="28"/>
        <v/>
      </c>
      <c r="V334" s="104" t="str">
        <f t="shared" si="29"/>
        <v/>
      </c>
      <c r="W334" s="105"/>
    </row>
    <row r="335" spans="1:23">
      <c r="A335" s="92"/>
      <c r="B335" s="121"/>
      <c r="C335" s="107"/>
      <c r="D335" s="117"/>
      <c r="E335" s="117"/>
      <c r="F335" s="118"/>
      <c r="G335" s="108"/>
      <c r="H335" s="98"/>
      <c r="I335" s="99"/>
      <c r="J335" s="101"/>
      <c r="K335" s="109"/>
      <c r="L335" s="110"/>
      <c r="M335" s="111"/>
      <c r="N335" s="99"/>
      <c r="O335" s="112"/>
      <c r="P335" s="112"/>
      <c r="Q335" s="104" t="str">
        <f t="shared" si="24"/>
        <v/>
      </c>
      <c r="R335" s="104" t="str">
        <f t="shared" si="25"/>
        <v/>
      </c>
      <c r="S335" s="104" t="str">
        <f t="shared" si="26"/>
        <v/>
      </c>
      <c r="T335" s="104" t="str">
        <f t="shared" si="27"/>
        <v/>
      </c>
      <c r="U335" s="104" t="str">
        <f t="shared" si="28"/>
        <v/>
      </c>
      <c r="V335" s="104" t="str">
        <f t="shared" si="29"/>
        <v/>
      </c>
      <c r="W335" s="105"/>
    </row>
    <row r="336" spans="1:23" ht="15" customHeight="1">
      <c r="A336" s="92">
        <v>56</v>
      </c>
      <c r="B336" s="121" t="s">
        <v>427</v>
      </c>
      <c r="C336" s="122"/>
      <c r="D336" s="798">
        <f>1.25+0.3+1.25</f>
        <v>2.8</v>
      </c>
      <c r="E336" s="798"/>
      <c r="F336" s="118"/>
      <c r="G336" s="108">
        <v>0.25</v>
      </c>
      <c r="H336" s="98">
        <v>20</v>
      </c>
      <c r="I336" s="99">
        <v>1</v>
      </c>
      <c r="J336" s="101">
        <f>ROUND(2.75/G336+1,0)</f>
        <v>12</v>
      </c>
      <c r="K336" s="109">
        <f>D336</f>
        <v>2.8</v>
      </c>
      <c r="L336" s="110" t="str">
        <f>IF(O336&lt;12,"0",0.049*H336)</f>
        <v>0</v>
      </c>
      <c r="M336" s="111">
        <v>0</v>
      </c>
      <c r="N336" s="99">
        <f>M336*2*H336/1000</f>
        <v>0</v>
      </c>
      <c r="O336" s="112">
        <f>(D336)-N336</f>
        <v>2.8</v>
      </c>
      <c r="P336" s="112">
        <f>(I336*J336*O336)+L336</f>
        <v>33.599999999999994</v>
      </c>
      <c r="Q336" s="104" t="str">
        <f t="shared" si="24"/>
        <v/>
      </c>
      <c r="R336" s="104" t="str">
        <f t="shared" si="25"/>
        <v/>
      </c>
      <c r="S336" s="104" t="str">
        <f t="shared" si="26"/>
        <v/>
      </c>
      <c r="T336" s="104" t="str">
        <f t="shared" si="27"/>
        <v/>
      </c>
      <c r="U336" s="104">
        <f t="shared" si="28"/>
        <v>33.599999999999994</v>
      </c>
      <c r="V336" s="104" t="str">
        <f t="shared" si="29"/>
        <v/>
      </c>
      <c r="W336" s="105"/>
    </row>
    <row r="337" spans="1:23">
      <c r="A337" s="92"/>
      <c r="B337" s="121" t="s">
        <v>296</v>
      </c>
      <c r="C337" s="107"/>
      <c r="D337" s="117"/>
      <c r="E337" s="117"/>
      <c r="F337" s="118"/>
      <c r="G337" s="108"/>
      <c r="H337" s="98"/>
      <c r="I337" s="99"/>
      <c r="J337" s="101"/>
      <c r="K337" s="109"/>
      <c r="L337" s="110"/>
      <c r="M337" s="111"/>
      <c r="N337" s="99"/>
      <c r="O337" s="112"/>
      <c r="P337" s="112"/>
      <c r="Q337" s="104" t="str">
        <f t="shared" si="24"/>
        <v/>
      </c>
      <c r="R337" s="104" t="str">
        <f t="shared" si="25"/>
        <v/>
      </c>
      <c r="S337" s="104" t="str">
        <f t="shared" si="26"/>
        <v/>
      </c>
      <c r="T337" s="104" t="str">
        <f t="shared" si="27"/>
        <v/>
      </c>
      <c r="U337" s="104" t="str">
        <f t="shared" si="28"/>
        <v/>
      </c>
      <c r="V337" s="104" t="str">
        <f t="shared" si="29"/>
        <v/>
      </c>
      <c r="W337" s="105"/>
    </row>
    <row r="338" spans="1:23">
      <c r="A338" s="92"/>
      <c r="B338" s="121"/>
      <c r="C338" s="107"/>
      <c r="D338" s="117"/>
      <c r="E338" s="117"/>
      <c r="F338" s="118"/>
      <c r="G338" s="108"/>
      <c r="H338" s="98"/>
      <c r="I338" s="99"/>
      <c r="J338" s="101"/>
      <c r="K338" s="109"/>
      <c r="L338" s="110"/>
      <c r="M338" s="111"/>
      <c r="N338" s="99"/>
      <c r="O338" s="112"/>
      <c r="P338" s="112"/>
      <c r="Q338" s="104" t="str">
        <f t="shared" si="24"/>
        <v/>
      </c>
      <c r="R338" s="104" t="str">
        <f t="shared" si="25"/>
        <v/>
      </c>
      <c r="S338" s="104" t="str">
        <f t="shared" si="26"/>
        <v/>
      </c>
      <c r="T338" s="104" t="str">
        <f t="shared" si="27"/>
        <v/>
      </c>
      <c r="U338" s="104" t="str">
        <f t="shared" si="28"/>
        <v/>
      </c>
      <c r="V338" s="104" t="str">
        <f t="shared" si="29"/>
        <v/>
      </c>
      <c r="W338" s="105"/>
    </row>
    <row r="339" spans="1:23" ht="15" customHeight="1">
      <c r="A339" s="92">
        <v>57</v>
      </c>
      <c r="B339" s="121" t="s">
        <v>426</v>
      </c>
      <c r="C339" s="122"/>
      <c r="D339" s="798">
        <f>1.25+0.75+1.25</f>
        <v>3.25</v>
      </c>
      <c r="E339" s="798"/>
      <c r="F339" s="118"/>
      <c r="G339" s="108">
        <v>0.25</v>
      </c>
      <c r="H339" s="98">
        <v>25</v>
      </c>
      <c r="I339" s="99">
        <v>1</v>
      </c>
      <c r="J339" s="101">
        <f>ROUND(2.3/G339+1,0)</f>
        <v>10</v>
      </c>
      <c r="K339" s="109">
        <f>D339</f>
        <v>3.25</v>
      </c>
      <c r="L339" s="110" t="str">
        <f>IF(O339&lt;12,"0",0.049*H339)</f>
        <v>0</v>
      </c>
      <c r="M339" s="111">
        <v>0</v>
      </c>
      <c r="N339" s="99">
        <f>M339*2*H339/1000</f>
        <v>0</v>
      </c>
      <c r="O339" s="112">
        <f>(D339)-N339</f>
        <v>3.25</v>
      </c>
      <c r="P339" s="112">
        <f>(I339*J339*O339)+L339</f>
        <v>32.5</v>
      </c>
      <c r="Q339" s="104" t="str">
        <f t="shared" si="24"/>
        <v/>
      </c>
      <c r="R339" s="104" t="str">
        <f t="shared" si="25"/>
        <v/>
      </c>
      <c r="S339" s="104" t="str">
        <f t="shared" si="26"/>
        <v/>
      </c>
      <c r="T339" s="104" t="str">
        <f t="shared" si="27"/>
        <v/>
      </c>
      <c r="U339" s="104" t="str">
        <f t="shared" si="28"/>
        <v/>
      </c>
      <c r="V339" s="104">
        <f t="shared" si="29"/>
        <v>32.5</v>
      </c>
      <c r="W339" s="105"/>
    </row>
    <row r="340" spans="1:23">
      <c r="A340" s="92"/>
      <c r="B340" s="121" t="s">
        <v>297</v>
      </c>
      <c r="C340" s="107"/>
      <c r="D340" s="117"/>
      <c r="E340" s="117"/>
      <c r="F340" s="118"/>
      <c r="G340" s="108"/>
      <c r="H340" s="98"/>
      <c r="I340" s="99"/>
      <c r="J340" s="101"/>
      <c r="K340" s="109"/>
      <c r="L340" s="110"/>
      <c r="M340" s="111"/>
      <c r="N340" s="99"/>
      <c r="O340" s="112"/>
      <c r="P340" s="112"/>
      <c r="Q340" s="104" t="str">
        <f t="shared" si="24"/>
        <v/>
      </c>
      <c r="R340" s="104" t="str">
        <f t="shared" si="25"/>
        <v/>
      </c>
      <c r="S340" s="104" t="str">
        <f t="shared" si="26"/>
        <v/>
      </c>
      <c r="T340" s="104" t="str">
        <f t="shared" si="27"/>
        <v/>
      </c>
      <c r="U340" s="104" t="str">
        <f t="shared" si="28"/>
        <v/>
      </c>
      <c r="V340" s="104" t="str">
        <f t="shared" si="29"/>
        <v/>
      </c>
      <c r="W340" s="105"/>
    </row>
    <row r="341" spans="1:23">
      <c r="A341" s="92"/>
      <c r="B341" s="121"/>
      <c r="C341" s="107"/>
      <c r="D341" s="117"/>
      <c r="E341" s="117"/>
      <c r="F341" s="118"/>
      <c r="G341" s="108"/>
      <c r="H341" s="98"/>
      <c r="I341" s="99"/>
      <c r="J341" s="101"/>
      <c r="K341" s="109"/>
      <c r="L341" s="110"/>
      <c r="M341" s="111"/>
      <c r="N341" s="99"/>
      <c r="O341" s="112"/>
      <c r="P341" s="112"/>
      <c r="Q341" s="104" t="str">
        <f t="shared" si="24"/>
        <v/>
      </c>
      <c r="R341" s="104" t="str">
        <f t="shared" si="25"/>
        <v/>
      </c>
      <c r="S341" s="104" t="str">
        <f t="shared" si="26"/>
        <v/>
      </c>
      <c r="T341" s="104" t="str">
        <f t="shared" si="27"/>
        <v/>
      </c>
      <c r="U341" s="104" t="str">
        <f t="shared" si="28"/>
        <v/>
      </c>
      <c r="V341" s="104" t="str">
        <f t="shared" si="29"/>
        <v/>
      </c>
      <c r="W341" s="105"/>
    </row>
    <row r="342" spans="1:23" ht="15" customHeight="1">
      <c r="A342" s="92">
        <v>58</v>
      </c>
      <c r="B342" s="121" t="s">
        <v>427</v>
      </c>
      <c r="C342" s="122"/>
      <c r="D342" s="798">
        <f>1+0.3+1</f>
        <v>2.2999999999999998</v>
      </c>
      <c r="E342" s="798"/>
      <c r="F342" s="118"/>
      <c r="G342" s="108">
        <v>0.25</v>
      </c>
      <c r="H342" s="98">
        <v>20</v>
      </c>
      <c r="I342" s="99">
        <v>1</v>
      </c>
      <c r="J342" s="101">
        <f>ROUND(3.25/G342+1,0)</f>
        <v>14</v>
      </c>
      <c r="K342" s="109">
        <f>D342</f>
        <v>2.2999999999999998</v>
      </c>
      <c r="L342" s="110" t="str">
        <f>IF(O342&lt;12,"0",0.049*H342)</f>
        <v>0</v>
      </c>
      <c r="M342" s="111">
        <v>0</v>
      </c>
      <c r="N342" s="99">
        <f>M342*2*H342/1000</f>
        <v>0</v>
      </c>
      <c r="O342" s="112">
        <f>(D342)-N342</f>
        <v>2.2999999999999998</v>
      </c>
      <c r="P342" s="112">
        <f>(I342*J342*O342)+L342</f>
        <v>32.199999999999996</v>
      </c>
      <c r="Q342" s="104" t="str">
        <f t="shared" si="24"/>
        <v/>
      </c>
      <c r="R342" s="104" t="str">
        <f t="shared" si="25"/>
        <v/>
      </c>
      <c r="S342" s="104" t="str">
        <f t="shared" si="26"/>
        <v/>
      </c>
      <c r="T342" s="104" t="str">
        <f t="shared" si="27"/>
        <v/>
      </c>
      <c r="U342" s="104">
        <f t="shared" si="28"/>
        <v>32.199999999999996</v>
      </c>
      <c r="V342" s="104" t="str">
        <f t="shared" si="29"/>
        <v/>
      </c>
      <c r="W342" s="105"/>
    </row>
    <row r="343" spans="1:23">
      <c r="A343" s="92"/>
      <c r="B343" s="121" t="s">
        <v>297</v>
      </c>
      <c r="C343" s="107"/>
      <c r="D343" s="117"/>
      <c r="E343" s="117"/>
      <c r="F343" s="118"/>
      <c r="G343" s="108"/>
      <c r="H343" s="98"/>
      <c r="I343" s="99"/>
      <c r="J343" s="101"/>
      <c r="K343" s="109"/>
      <c r="L343" s="110"/>
      <c r="M343" s="111"/>
      <c r="N343" s="99"/>
      <c r="O343" s="112"/>
      <c r="P343" s="112"/>
      <c r="Q343" s="104" t="str">
        <f t="shared" si="24"/>
        <v/>
      </c>
      <c r="R343" s="104" t="str">
        <f t="shared" si="25"/>
        <v/>
      </c>
      <c r="S343" s="104" t="str">
        <f t="shared" si="26"/>
        <v/>
      </c>
      <c r="T343" s="104" t="str">
        <f t="shared" si="27"/>
        <v/>
      </c>
      <c r="U343" s="104" t="str">
        <f t="shared" si="28"/>
        <v/>
      </c>
      <c r="V343" s="104" t="str">
        <f t="shared" si="29"/>
        <v/>
      </c>
      <c r="W343" s="105"/>
    </row>
    <row r="344" spans="1:23">
      <c r="A344" s="92"/>
      <c r="B344" s="121"/>
      <c r="C344" s="107"/>
      <c r="D344" s="117"/>
      <c r="E344" s="117"/>
      <c r="F344" s="118"/>
      <c r="G344" s="108"/>
      <c r="H344" s="98"/>
      <c r="I344" s="99"/>
      <c r="J344" s="101"/>
      <c r="K344" s="109"/>
      <c r="L344" s="110"/>
      <c r="M344" s="111"/>
      <c r="N344" s="99"/>
      <c r="O344" s="112"/>
      <c r="P344" s="112"/>
      <c r="Q344" s="104" t="str">
        <f t="shared" si="24"/>
        <v/>
      </c>
      <c r="R344" s="104" t="str">
        <f t="shared" si="25"/>
        <v/>
      </c>
      <c r="S344" s="104" t="str">
        <f t="shared" si="26"/>
        <v/>
      </c>
      <c r="T344" s="104" t="str">
        <f t="shared" si="27"/>
        <v/>
      </c>
      <c r="U344" s="104" t="str">
        <f t="shared" si="28"/>
        <v/>
      </c>
      <c r="V344" s="104" t="str">
        <f t="shared" si="29"/>
        <v/>
      </c>
      <c r="W344" s="105"/>
    </row>
    <row r="345" spans="1:23" ht="15" customHeight="1">
      <c r="A345" s="92">
        <v>59</v>
      </c>
      <c r="B345" s="121" t="s">
        <v>426</v>
      </c>
      <c r="C345" s="122"/>
      <c r="D345" s="798">
        <f>1+0.75+1</f>
        <v>2.75</v>
      </c>
      <c r="E345" s="798"/>
      <c r="F345" s="118"/>
      <c r="G345" s="108">
        <v>0.25</v>
      </c>
      <c r="H345" s="98">
        <v>20</v>
      </c>
      <c r="I345" s="99">
        <v>1</v>
      </c>
      <c r="J345" s="101">
        <f>ROUND(2.8/G345+1,0)</f>
        <v>12</v>
      </c>
      <c r="K345" s="109">
        <f>D345</f>
        <v>2.75</v>
      </c>
      <c r="L345" s="110" t="str">
        <f>IF(O345&lt;12,"0",0.049*H345)</f>
        <v>0</v>
      </c>
      <c r="M345" s="111">
        <v>0</v>
      </c>
      <c r="N345" s="99">
        <f>M345*2*H345/1000</f>
        <v>0</v>
      </c>
      <c r="O345" s="112">
        <f>(D345)-N345</f>
        <v>2.75</v>
      </c>
      <c r="P345" s="112">
        <f>(I345*J345*O345)+L345</f>
        <v>33</v>
      </c>
      <c r="Q345" s="104" t="str">
        <f t="shared" si="24"/>
        <v/>
      </c>
      <c r="R345" s="104" t="str">
        <f t="shared" si="25"/>
        <v/>
      </c>
      <c r="S345" s="104" t="str">
        <f t="shared" si="26"/>
        <v/>
      </c>
      <c r="T345" s="104" t="str">
        <f t="shared" si="27"/>
        <v/>
      </c>
      <c r="U345" s="104">
        <f t="shared" si="28"/>
        <v>33</v>
      </c>
      <c r="V345" s="104" t="str">
        <f t="shared" si="29"/>
        <v/>
      </c>
      <c r="W345" s="105"/>
    </row>
    <row r="346" spans="1:23">
      <c r="A346" s="92"/>
      <c r="B346" s="121" t="s">
        <v>298</v>
      </c>
      <c r="C346" s="107"/>
      <c r="D346" s="117"/>
      <c r="E346" s="117"/>
      <c r="F346" s="118"/>
      <c r="G346" s="108"/>
      <c r="H346" s="98"/>
      <c r="I346" s="99"/>
      <c r="J346" s="101"/>
      <c r="K346" s="109"/>
      <c r="L346" s="110"/>
      <c r="M346" s="111"/>
      <c r="N346" s="99"/>
      <c r="O346" s="112"/>
      <c r="P346" s="112"/>
      <c r="Q346" s="104" t="str">
        <f t="shared" si="24"/>
        <v/>
      </c>
      <c r="R346" s="104" t="str">
        <f t="shared" si="25"/>
        <v/>
      </c>
      <c r="S346" s="104" t="str">
        <f t="shared" si="26"/>
        <v/>
      </c>
      <c r="T346" s="104" t="str">
        <f t="shared" si="27"/>
        <v/>
      </c>
      <c r="U346" s="104" t="str">
        <f t="shared" si="28"/>
        <v/>
      </c>
      <c r="V346" s="104" t="str">
        <f t="shared" si="29"/>
        <v/>
      </c>
      <c r="W346" s="105"/>
    </row>
    <row r="347" spans="1:23">
      <c r="A347" s="92"/>
      <c r="B347" s="121"/>
      <c r="C347" s="107"/>
      <c r="D347" s="117"/>
      <c r="E347" s="117"/>
      <c r="F347" s="118"/>
      <c r="G347" s="108"/>
      <c r="H347" s="98"/>
      <c r="I347" s="99"/>
      <c r="J347" s="101"/>
      <c r="K347" s="109"/>
      <c r="L347" s="110"/>
      <c r="M347" s="111"/>
      <c r="N347" s="99"/>
      <c r="O347" s="112"/>
      <c r="P347" s="112"/>
      <c r="Q347" s="104" t="str">
        <f t="shared" si="24"/>
        <v/>
      </c>
      <c r="R347" s="104" t="str">
        <f t="shared" si="25"/>
        <v/>
      </c>
      <c r="S347" s="104" t="str">
        <f t="shared" si="26"/>
        <v/>
      </c>
      <c r="T347" s="104" t="str">
        <f t="shared" si="27"/>
        <v/>
      </c>
      <c r="U347" s="104" t="str">
        <f t="shared" si="28"/>
        <v/>
      </c>
      <c r="V347" s="104" t="str">
        <f t="shared" si="29"/>
        <v/>
      </c>
      <c r="W347" s="105"/>
    </row>
    <row r="348" spans="1:23" ht="15" customHeight="1">
      <c r="A348" s="92">
        <v>60</v>
      </c>
      <c r="B348" s="121" t="s">
        <v>427</v>
      </c>
      <c r="C348" s="122"/>
      <c r="D348" s="798">
        <f>1.25+0.3+1.25</f>
        <v>2.8</v>
      </c>
      <c r="E348" s="798"/>
      <c r="F348" s="118"/>
      <c r="G348" s="108">
        <v>0.25</v>
      </c>
      <c r="H348" s="98">
        <v>25</v>
      </c>
      <c r="I348" s="99">
        <v>1</v>
      </c>
      <c r="J348" s="101">
        <f>ROUND(2.75/G348+1,0)</f>
        <v>12</v>
      </c>
      <c r="K348" s="109">
        <f>D348</f>
        <v>2.8</v>
      </c>
      <c r="L348" s="110" t="str">
        <f>IF(O348&lt;12,"0",0.049*H348)</f>
        <v>0</v>
      </c>
      <c r="M348" s="111">
        <v>0</v>
      </c>
      <c r="N348" s="99">
        <f>M348*2*H348/1000</f>
        <v>0</v>
      </c>
      <c r="O348" s="112">
        <f>(D348)-N348</f>
        <v>2.8</v>
      </c>
      <c r="P348" s="112">
        <f>(I348*J348*O348)+L348</f>
        <v>33.599999999999994</v>
      </c>
      <c r="Q348" s="104" t="str">
        <f t="shared" si="24"/>
        <v/>
      </c>
      <c r="R348" s="104" t="str">
        <f t="shared" si="25"/>
        <v/>
      </c>
      <c r="S348" s="104" t="str">
        <f t="shared" si="26"/>
        <v/>
      </c>
      <c r="T348" s="104" t="str">
        <f t="shared" si="27"/>
        <v/>
      </c>
      <c r="U348" s="104" t="str">
        <f t="shared" si="28"/>
        <v/>
      </c>
      <c r="V348" s="104">
        <f t="shared" si="29"/>
        <v>33.599999999999994</v>
      </c>
      <c r="W348" s="105"/>
    </row>
    <row r="349" spans="1:23">
      <c r="A349" s="92"/>
      <c r="B349" s="121" t="s">
        <v>298</v>
      </c>
      <c r="C349" s="107"/>
      <c r="D349" s="117"/>
      <c r="E349" s="117"/>
      <c r="F349" s="118"/>
      <c r="G349" s="108"/>
      <c r="H349" s="98"/>
      <c r="I349" s="99"/>
      <c r="J349" s="101"/>
      <c r="K349" s="109"/>
      <c r="L349" s="110"/>
      <c r="M349" s="111"/>
      <c r="N349" s="99"/>
      <c r="O349" s="112"/>
      <c r="P349" s="112"/>
      <c r="Q349" s="104" t="str">
        <f t="shared" si="24"/>
        <v/>
      </c>
      <c r="R349" s="104" t="str">
        <f t="shared" si="25"/>
        <v/>
      </c>
      <c r="S349" s="104" t="str">
        <f t="shared" si="26"/>
        <v/>
      </c>
      <c r="T349" s="104" t="str">
        <f t="shared" si="27"/>
        <v/>
      </c>
      <c r="U349" s="104" t="str">
        <f t="shared" si="28"/>
        <v/>
      </c>
      <c r="V349" s="104" t="str">
        <f t="shared" si="29"/>
        <v/>
      </c>
      <c r="W349" s="105"/>
    </row>
    <row r="350" spans="1:23">
      <c r="A350" s="92"/>
      <c r="B350" s="121"/>
      <c r="C350" s="107"/>
      <c r="D350" s="117"/>
      <c r="E350" s="117"/>
      <c r="F350" s="118"/>
      <c r="G350" s="108"/>
      <c r="H350" s="98"/>
      <c r="I350" s="99"/>
      <c r="J350" s="101"/>
      <c r="K350" s="109"/>
      <c r="L350" s="110"/>
      <c r="M350" s="111"/>
      <c r="N350" s="99"/>
      <c r="O350" s="112"/>
      <c r="P350" s="112"/>
      <c r="Q350" s="104" t="str">
        <f t="shared" si="24"/>
        <v/>
      </c>
      <c r="R350" s="104" t="str">
        <f t="shared" si="25"/>
        <v/>
      </c>
      <c r="S350" s="104" t="str">
        <f t="shared" si="26"/>
        <v/>
      </c>
      <c r="T350" s="104" t="str">
        <f t="shared" si="27"/>
        <v/>
      </c>
      <c r="U350" s="104" t="str">
        <f t="shared" si="28"/>
        <v/>
      </c>
      <c r="V350" s="104" t="str">
        <f t="shared" si="29"/>
        <v/>
      </c>
      <c r="W350" s="105"/>
    </row>
    <row r="351" spans="1:23" ht="15" customHeight="1">
      <c r="A351" s="92">
        <v>61</v>
      </c>
      <c r="B351" s="121" t="s">
        <v>427</v>
      </c>
      <c r="C351" s="122"/>
      <c r="D351" s="798">
        <f>1.25+0.3+1.25</f>
        <v>2.8</v>
      </c>
      <c r="E351" s="798"/>
      <c r="F351" s="118"/>
      <c r="G351" s="108">
        <v>0.25</v>
      </c>
      <c r="H351" s="98">
        <v>20</v>
      </c>
      <c r="I351" s="99">
        <v>1</v>
      </c>
      <c r="J351" s="101">
        <f>ROUND(2.75/G351+1,0)</f>
        <v>12</v>
      </c>
      <c r="K351" s="109">
        <f>D351</f>
        <v>2.8</v>
      </c>
      <c r="L351" s="110" t="str">
        <f>IF(O351&lt;12,"0",0.049*H351)</f>
        <v>0</v>
      </c>
      <c r="M351" s="111">
        <v>0</v>
      </c>
      <c r="N351" s="99">
        <f>M351*2*H351/1000</f>
        <v>0</v>
      </c>
      <c r="O351" s="112">
        <f>(D351)-N351</f>
        <v>2.8</v>
      </c>
      <c r="P351" s="112">
        <f>(I351*J351*O351)+L351</f>
        <v>33.599999999999994</v>
      </c>
      <c r="Q351" s="104" t="str">
        <f t="shared" si="24"/>
        <v/>
      </c>
      <c r="R351" s="104" t="str">
        <f t="shared" si="25"/>
        <v/>
      </c>
      <c r="S351" s="104" t="str">
        <f t="shared" si="26"/>
        <v/>
      </c>
      <c r="T351" s="104" t="str">
        <f t="shared" si="27"/>
        <v/>
      </c>
      <c r="U351" s="104">
        <f t="shared" si="28"/>
        <v>33.599999999999994</v>
      </c>
      <c r="V351" s="104" t="str">
        <f t="shared" si="29"/>
        <v/>
      </c>
      <c r="W351" s="105"/>
    </row>
    <row r="352" spans="1:23">
      <c r="A352" s="92"/>
      <c r="B352" s="121" t="s">
        <v>298</v>
      </c>
      <c r="C352" s="107"/>
      <c r="D352" s="117"/>
      <c r="E352" s="117"/>
      <c r="F352" s="118"/>
      <c r="G352" s="108"/>
      <c r="H352" s="98"/>
      <c r="I352" s="99"/>
      <c r="J352" s="101"/>
      <c r="K352" s="109"/>
      <c r="L352" s="110"/>
      <c r="M352" s="111"/>
      <c r="N352" s="99"/>
      <c r="O352" s="112"/>
      <c r="P352" s="112"/>
      <c r="Q352" s="104" t="str">
        <f t="shared" si="24"/>
        <v/>
      </c>
      <c r="R352" s="104" t="str">
        <f t="shared" si="25"/>
        <v/>
      </c>
      <c r="S352" s="104" t="str">
        <f t="shared" si="26"/>
        <v/>
      </c>
      <c r="T352" s="104" t="str">
        <f t="shared" si="27"/>
        <v/>
      </c>
      <c r="U352" s="104" t="str">
        <f t="shared" si="28"/>
        <v/>
      </c>
      <c r="V352" s="104" t="str">
        <f t="shared" si="29"/>
        <v/>
      </c>
      <c r="W352" s="105"/>
    </row>
    <row r="353" spans="1:23">
      <c r="A353" s="92"/>
      <c r="B353" s="121"/>
      <c r="C353" s="107"/>
      <c r="D353" s="117"/>
      <c r="E353" s="117"/>
      <c r="F353" s="118"/>
      <c r="G353" s="108"/>
      <c r="H353" s="98"/>
      <c r="I353" s="99"/>
      <c r="J353" s="101"/>
      <c r="K353" s="109"/>
      <c r="L353" s="110"/>
      <c r="M353" s="111"/>
      <c r="N353" s="99"/>
      <c r="O353" s="112"/>
      <c r="P353" s="112"/>
      <c r="Q353" s="104" t="str">
        <f t="shared" si="24"/>
        <v/>
      </c>
      <c r="R353" s="104" t="str">
        <f t="shared" si="25"/>
        <v/>
      </c>
      <c r="S353" s="104" t="str">
        <f t="shared" si="26"/>
        <v/>
      </c>
      <c r="T353" s="104" t="str">
        <f t="shared" si="27"/>
        <v/>
      </c>
      <c r="U353" s="104" t="str">
        <f t="shared" si="28"/>
        <v/>
      </c>
      <c r="V353" s="104" t="str">
        <f t="shared" si="29"/>
        <v/>
      </c>
      <c r="W353" s="105"/>
    </row>
    <row r="354" spans="1:23" ht="15" customHeight="1">
      <c r="A354" s="92">
        <v>62</v>
      </c>
      <c r="B354" s="121" t="s">
        <v>426</v>
      </c>
      <c r="C354" s="122"/>
      <c r="D354" s="798">
        <f>1+0.75+1</f>
        <v>2.75</v>
      </c>
      <c r="E354" s="798"/>
      <c r="F354" s="118"/>
      <c r="G354" s="108">
        <v>0.25</v>
      </c>
      <c r="H354" s="98">
        <v>20</v>
      </c>
      <c r="I354" s="99">
        <v>1</v>
      </c>
      <c r="J354" s="101">
        <f>ROUND(2.8/G354+1,0)</f>
        <v>12</v>
      </c>
      <c r="K354" s="109">
        <f>D354</f>
        <v>2.75</v>
      </c>
      <c r="L354" s="110" t="str">
        <f>IF(O354&lt;12,"0",0.049*H354)</f>
        <v>0</v>
      </c>
      <c r="M354" s="111">
        <v>0</v>
      </c>
      <c r="N354" s="99">
        <f>M354*2*H354/1000</f>
        <v>0</v>
      </c>
      <c r="O354" s="112">
        <f>(D354)-N354</f>
        <v>2.75</v>
      </c>
      <c r="P354" s="112">
        <f>(I354*J354*O354)+L354</f>
        <v>33</v>
      </c>
      <c r="Q354" s="104" t="str">
        <f t="shared" si="24"/>
        <v/>
      </c>
      <c r="R354" s="104" t="str">
        <f t="shared" si="25"/>
        <v/>
      </c>
      <c r="S354" s="104" t="str">
        <f t="shared" si="26"/>
        <v/>
      </c>
      <c r="T354" s="104" t="str">
        <f t="shared" si="27"/>
        <v/>
      </c>
      <c r="U354" s="104">
        <f t="shared" si="28"/>
        <v>33</v>
      </c>
      <c r="V354" s="104" t="str">
        <f t="shared" si="29"/>
        <v/>
      </c>
      <c r="W354" s="105"/>
    </row>
    <row r="355" spans="1:23">
      <c r="A355" s="92"/>
      <c r="B355" s="121" t="s">
        <v>299</v>
      </c>
      <c r="C355" s="107"/>
      <c r="D355" s="117"/>
      <c r="E355" s="117"/>
      <c r="F355" s="118"/>
      <c r="G355" s="108"/>
      <c r="H355" s="98"/>
      <c r="I355" s="99"/>
      <c r="J355" s="101"/>
      <c r="K355" s="109"/>
      <c r="L355" s="110"/>
      <c r="M355" s="111"/>
      <c r="N355" s="99"/>
      <c r="O355" s="112"/>
      <c r="P355" s="112"/>
      <c r="Q355" s="104" t="str">
        <f t="shared" si="24"/>
        <v/>
      </c>
      <c r="R355" s="104" t="str">
        <f t="shared" si="25"/>
        <v/>
      </c>
      <c r="S355" s="104" t="str">
        <f t="shared" si="26"/>
        <v/>
      </c>
      <c r="T355" s="104" t="str">
        <f t="shared" si="27"/>
        <v/>
      </c>
      <c r="U355" s="104" t="str">
        <f t="shared" si="28"/>
        <v/>
      </c>
      <c r="V355" s="104" t="str">
        <f t="shared" si="29"/>
        <v/>
      </c>
      <c r="W355" s="105"/>
    </row>
    <row r="356" spans="1:23">
      <c r="A356" s="92"/>
      <c r="B356" s="121"/>
      <c r="C356" s="107"/>
      <c r="D356" s="117"/>
      <c r="E356" s="117"/>
      <c r="F356" s="118"/>
      <c r="G356" s="108"/>
      <c r="H356" s="98"/>
      <c r="I356" s="99"/>
      <c r="J356" s="101"/>
      <c r="K356" s="109"/>
      <c r="L356" s="110"/>
      <c r="M356" s="111"/>
      <c r="N356" s="99"/>
      <c r="O356" s="112"/>
      <c r="P356" s="112"/>
      <c r="Q356" s="104" t="str">
        <f t="shared" si="24"/>
        <v/>
      </c>
      <c r="R356" s="104" t="str">
        <f t="shared" si="25"/>
        <v/>
      </c>
      <c r="S356" s="104" t="str">
        <f t="shared" si="26"/>
        <v/>
      </c>
      <c r="T356" s="104" t="str">
        <f t="shared" si="27"/>
        <v/>
      </c>
      <c r="U356" s="104" t="str">
        <f t="shared" si="28"/>
        <v/>
      </c>
      <c r="V356" s="104" t="str">
        <f t="shared" si="29"/>
        <v/>
      </c>
      <c r="W356" s="105"/>
    </row>
    <row r="357" spans="1:23" ht="15" customHeight="1">
      <c r="A357" s="92">
        <v>63</v>
      </c>
      <c r="B357" s="121" t="s">
        <v>427</v>
      </c>
      <c r="C357" s="122"/>
      <c r="D357" s="798">
        <f>1.25+0.3+1.25</f>
        <v>2.8</v>
      </c>
      <c r="E357" s="798"/>
      <c r="F357" s="118"/>
      <c r="G357" s="108">
        <v>0.25</v>
      </c>
      <c r="H357" s="98">
        <v>25</v>
      </c>
      <c r="I357" s="99">
        <v>1</v>
      </c>
      <c r="J357" s="101">
        <f>ROUND(2.75/G357+1,0)</f>
        <v>12</v>
      </c>
      <c r="K357" s="109">
        <f>D357</f>
        <v>2.8</v>
      </c>
      <c r="L357" s="110" t="str">
        <f>IF(O357&lt;12,"0",0.049*H357)</f>
        <v>0</v>
      </c>
      <c r="M357" s="111">
        <v>0</v>
      </c>
      <c r="N357" s="99">
        <f>M357*2*H357/1000</f>
        <v>0</v>
      </c>
      <c r="O357" s="112">
        <f>(D357)-N357</f>
        <v>2.8</v>
      </c>
      <c r="P357" s="112">
        <f>(I357*J357*O357)+L357</f>
        <v>33.599999999999994</v>
      </c>
      <c r="Q357" s="104" t="str">
        <f t="shared" si="24"/>
        <v/>
      </c>
      <c r="R357" s="104" t="str">
        <f t="shared" si="25"/>
        <v/>
      </c>
      <c r="S357" s="104" t="str">
        <f t="shared" si="26"/>
        <v/>
      </c>
      <c r="T357" s="104" t="str">
        <f t="shared" si="27"/>
        <v/>
      </c>
      <c r="U357" s="104" t="str">
        <f t="shared" si="28"/>
        <v/>
      </c>
      <c r="V357" s="104">
        <f t="shared" si="29"/>
        <v>33.599999999999994</v>
      </c>
      <c r="W357" s="105"/>
    </row>
    <row r="358" spans="1:23">
      <c r="A358" s="92"/>
      <c r="B358" s="121" t="s">
        <v>299</v>
      </c>
      <c r="C358" s="107"/>
      <c r="D358" s="117"/>
      <c r="E358" s="117"/>
      <c r="F358" s="118"/>
      <c r="G358" s="108"/>
      <c r="H358" s="98"/>
      <c r="I358" s="99"/>
      <c r="J358" s="101"/>
      <c r="K358" s="109"/>
      <c r="L358" s="110"/>
      <c r="M358" s="111"/>
      <c r="N358" s="99"/>
      <c r="O358" s="112"/>
      <c r="P358" s="112"/>
      <c r="Q358" s="104" t="str">
        <f t="shared" si="24"/>
        <v/>
      </c>
      <c r="R358" s="104" t="str">
        <f t="shared" si="25"/>
        <v/>
      </c>
      <c r="S358" s="104" t="str">
        <f t="shared" si="26"/>
        <v/>
      </c>
      <c r="T358" s="104" t="str">
        <f t="shared" si="27"/>
        <v/>
      </c>
      <c r="U358" s="104" t="str">
        <f t="shared" si="28"/>
        <v/>
      </c>
      <c r="V358" s="104" t="str">
        <f t="shared" si="29"/>
        <v/>
      </c>
      <c r="W358" s="105"/>
    </row>
    <row r="359" spans="1:23">
      <c r="A359" s="92"/>
      <c r="B359" s="121"/>
      <c r="C359" s="107"/>
      <c r="D359" s="117"/>
      <c r="E359" s="117"/>
      <c r="F359" s="118"/>
      <c r="G359" s="108"/>
      <c r="H359" s="98"/>
      <c r="I359" s="99"/>
      <c r="J359" s="101"/>
      <c r="K359" s="109"/>
      <c r="L359" s="110"/>
      <c r="M359" s="111"/>
      <c r="N359" s="99"/>
      <c r="O359" s="112"/>
      <c r="P359" s="112"/>
      <c r="Q359" s="104" t="str">
        <f t="shared" si="24"/>
        <v/>
      </c>
      <c r="R359" s="104" t="str">
        <f t="shared" si="25"/>
        <v/>
      </c>
      <c r="S359" s="104" t="str">
        <f t="shared" si="26"/>
        <v/>
      </c>
      <c r="T359" s="104" t="str">
        <f t="shared" si="27"/>
        <v/>
      </c>
      <c r="U359" s="104" t="str">
        <f t="shared" si="28"/>
        <v/>
      </c>
      <c r="V359" s="104" t="str">
        <f t="shared" si="29"/>
        <v/>
      </c>
      <c r="W359" s="105"/>
    </row>
    <row r="360" spans="1:23" ht="15" customHeight="1">
      <c r="A360" s="92">
        <v>64</v>
      </c>
      <c r="B360" s="121" t="s">
        <v>427</v>
      </c>
      <c r="C360" s="122"/>
      <c r="D360" s="798">
        <f>1.25+0.3+1.25</f>
        <v>2.8</v>
      </c>
      <c r="E360" s="798"/>
      <c r="F360" s="118"/>
      <c r="G360" s="108">
        <v>0.25</v>
      </c>
      <c r="H360" s="98">
        <v>20</v>
      </c>
      <c r="I360" s="99">
        <v>1</v>
      </c>
      <c r="J360" s="101">
        <f>ROUND(2.75/G360+1,0)</f>
        <v>12</v>
      </c>
      <c r="K360" s="109">
        <f>D360</f>
        <v>2.8</v>
      </c>
      <c r="L360" s="110" t="str">
        <f>IF(O360&lt;12,"0",0.049*H360)</f>
        <v>0</v>
      </c>
      <c r="M360" s="111">
        <v>0</v>
      </c>
      <c r="N360" s="99">
        <f>M360*2*H360/1000</f>
        <v>0</v>
      </c>
      <c r="O360" s="112">
        <f>(D360)-N360</f>
        <v>2.8</v>
      </c>
      <c r="P360" s="112">
        <f>(I360*J360*O360)+L360</f>
        <v>33.599999999999994</v>
      </c>
      <c r="Q360" s="104" t="str">
        <f t="shared" si="24"/>
        <v/>
      </c>
      <c r="R360" s="104" t="str">
        <f t="shared" si="25"/>
        <v/>
      </c>
      <c r="S360" s="104" t="str">
        <f t="shared" si="26"/>
        <v/>
      </c>
      <c r="T360" s="104" t="str">
        <f t="shared" si="27"/>
        <v/>
      </c>
      <c r="U360" s="104">
        <f t="shared" si="28"/>
        <v>33.599999999999994</v>
      </c>
      <c r="V360" s="104" t="str">
        <f t="shared" si="29"/>
        <v/>
      </c>
      <c r="W360" s="105"/>
    </row>
    <row r="361" spans="1:23">
      <c r="A361" s="92"/>
      <c r="B361" s="121" t="s">
        <v>299</v>
      </c>
      <c r="C361" s="107"/>
      <c r="D361" s="117"/>
      <c r="E361" s="117"/>
      <c r="F361" s="118"/>
      <c r="G361" s="108"/>
      <c r="H361" s="98"/>
      <c r="I361" s="99"/>
      <c r="J361" s="101"/>
      <c r="K361" s="109"/>
      <c r="L361" s="110"/>
      <c r="M361" s="111"/>
      <c r="N361" s="99"/>
      <c r="O361" s="112"/>
      <c r="P361" s="112"/>
      <c r="Q361" s="104" t="str">
        <f t="shared" si="24"/>
        <v/>
      </c>
      <c r="R361" s="104" t="str">
        <f t="shared" si="25"/>
        <v/>
      </c>
      <c r="S361" s="104" t="str">
        <f t="shared" si="26"/>
        <v/>
      </c>
      <c r="T361" s="104" t="str">
        <f t="shared" si="27"/>
        <v/>
      </c>
      <c r="U361" s="104" t="str">
        <f t="shared" si="28"/>
        <v/>
      </c>
      <c r="V361" s="104" t="str">
        <f t="shared" si="29"/>
        <v/>
      </c>
      <c r="W361" s="105"/>
    </row>
    <row r="362" spans="1:23">
      <c r="A362" s="92"/>
      <c r="B362" s="121"/>
      <c r="C362" s="107"/>
      <c r="D362" s="117"/>
      <c r="E362" s="117"/>
      <c r="F362" s="118"/>
      <c r="G362" s="108"/>
      <c r="H362" s="98"/>
      <c r="I362" s="99"/>
      <c r="J362" s="101"/>
      <c r="K362" s="109"/>
      <c r="L362" s="110"/>
      <c r="M362" s="111"/>
      <c r="N362" s="99"/>
      <c r="O362" s="112"/>
      <c r="P362" s="112"/>
      <c r="Q362" s="104" t="str">
        <f t="shared" si="24"/>
        <v/>
      </c>
      <c r="R362" s="104" t="str">
        <f t="shared" si="25"/>
        <v/>
      </c>
      <c r="S362" s="104" t="str">
        <f t="shared" si="26"/>
        <v/>
      </c>
      <c r="T362" s="104" t="str">
        <f t="shared" si="27"/>
        <v/>
      </c>
      <c r="U362" s="104" t="str">
        <f t="shared" si="28"/>
        <v/>
      </c>
      <c r="V362" s="104" t="str">
        <f t="shared" si="29"/>
        <v/>
      </c>
      <c r="W362" s="105"/>
    </row>
    <row r="363" spans="1:23" ht="15" customHeight="1">
      <c r="A363" s="92">
        <v>65</v>
      </c>
      <c r="B363" s="121" t="s">
        <v>426</v>
      </c>
      <c r="C363" s="122"/>
      <c r="D363" s="798">
        <f>0.8+0.23+0.8</f>
        <v>1.83</v>
      </c>
      <c r="E363" s="798"/>
      <c r="F363" s="118"/>
      <c r="G363" s="108">
        <v>0.25</v>
      </c>
      <c r="H363" s="98">
        <v>16</v>
      </c>
      <c r="I363" s="99">
        <v>1</v>
      </c>
      <c r="J363" s="101">
        <f>ROUND(D366/G363+1,0)</f>
        <v>14</v>
      </c>
      <c r="K363" s="109">
        <f>D363</f>
        <v>1.83</v>
      </c>
      <c r="L363" s="110" t="str">
        <f>IF(O363&lt;12,"0",0.049*H363)</f>
        <v>0</v>
      </c>
      <c r="M363" s="111">
        <v>0</v>
      </c>
      <c r="N363" s="99">
        <f>M363*2*H363/1000</f>
        <v>0</v>
      </c>
      <c r="O363" s="112">
        <f>(D363)-N363</f>
        <v>1.83</v>
      </c>
      <c r="P363" s="112">
        <f>(I363*J363*O363)+L363</f>
        <v>25.62</v>
      </c>
      <c r="Q363" s="104" t="str">
        <f t="shared" si="24"/>
        <v/>
      </c>
      <c r="R363" s="104" t="str">
        <f t="shared" si="25"/>
        <v/>
      </c>
      <c r="S363" s="104" t="str">
        <f t="shared" si="26"/>
        <v/>
      </c>
      <c r="T363" s="104">
        <f t="shared" si="27"/>
        <v>25.62</v>
      </c>
      <c r="U363" s="104" t="str">
        <f t="shared" si="28"/>
        <v/>
      </c>
      <c r="V363" s="104" t="str">
        <f t="shared" si="29"/>
        <v/>
      </c>
      <c r="W363" s="105"/>
    </row>
    <row r="364" spans="1:23">
      <c r="A364" s="92"/>
      <c r="B364" s="121" t="s">
        <v>300</v>
      </c>
      <c r="C364" s="107"/>
      <c r="D364" s="117"/>
      <c r="E364" s="117"/>
      <c r="F364" s="118"/>
      <c r="G364" s="108"/>
      <c r="H364" s="98"/>
      <c r="I364" s="99"/>
      <c r="J364" s="101"/>
      <c r="K364" s="109"/>
      <c r="L364" s="110"/>
      <c r="M364" s="111"/>
      <c r="N364" s="99"/>
      <c r="O364" s="112"/>
      <c r="P364" s="112"/>
      <c r="Q364" s="104" t="str">
        <f t="shared" si="24"/>
        <v/>
      </c>
      <c r="R364" s="104" t="str">
        <f t="shared" si="25"/>
        <v/>
      </c>
      <c r="S364" s="104" t="str">
        <f t="shared" si="26"/>
        <v/>
      </c>
      <c r="T364" s="104" t="str">
        <f t="shared" si="27"/>
        <v/>
      </c>
      <c r="U364" s="104" t="str">
        <f t="shared" si="28"/>
        <v/>
      </c>
      <c r="V364" s="104" t="str">
        <f t="shared" si="29"/>
        <v/>
      </c>
      <c r="W364" s="105"/>
    </row>
    <row r="365" spans="1:23">
      <c r="A365" s="92"/>
      <c r="B365" s="121"/>
      <c r="C365" s="107"/>
      <c r="D365" s="117"/>
      <c r="E365" s="117"/>
      <c r="F365" s="118"/>
      <c r="G365" s="108"/>
      <c r="H365" s="98"/>
      <c r="I365" s="99"/>
      <c r="J365" s="101"/>
      <c r="K365" s="109"/>
      <c r="L365" s="110"/>
      <c r="M365" s="111"/>
      <c r="N365" s="99"/>
      <c r="O365" s="112"/>
      <c r="P365" s="112"/>
      <c r="Q365" s="104" t="str">
        <f t="shared" ref="Q365:Q428" si="30">IF($H365=8,$P365,"")</f>
        <v/>
      </c>
      <c r="R365" s="104" t="str">
        <f t="shared" ref="R365:R428" si="31">IF($H365=10,$P365,"")</f>
        <v/>
      </c>
      <c r="S365" s="104" t="str">
        <f t="shared" ref="S365:S428" si="32">IF($H365=12,$P365,"")</f>
        <v/>
      </c>
      <c r="T365" s="104" t="str">
        <f t="shared" ref="T365:T428" si="33">IF($H365=16,$P365,"")</f>
        <v/>
      </c>
      <c r="U365" s="104" t="str">
        <f t="shared" ref="U365:U428" si="34">IF($H365=20,$P365,"")</f>
        <v/>
      </c>
      <c r="V365" s="104" t="str">
        <f t="shared" ref="V365:V428" si="35">IF($H365=25,$P365,"")</f>
        <v/>
      </c>
      <c r="W365" s="105"/>
    </row>
    <row r="366" spans="1:23" ht="15" customHeight="1">
      <c r="A366" s="92">
        <v>66</v>
      </c>
      <c r="B366" s="121" t="s">
        <v>427</v>
      </c>
      <c r="C366" s="122"/>
      <c r="D366" s="798">
        <f>1+1.185+1</f>
        <v>3.1850000000000001</v>
      </c>
      <c r="E366" s="798"/>
      <c r="F366" s="118"/>
      <c r="G366" s="108">
        <v>0.25</v>
      </c>
      <c r="H366" s="98">
        <v>20</v>
      </c>
      <c r="I366" s="99">
        <v>1</v>
      </c>
      <c r="J366" s="101">
        <f>ROUND(D363/G366+1,0)</f>
        <v>8</v>
      </c>
      <c r="K366" s="109">
        <f>D366</f>
        <v>3.1850000000000001</v>
      </c>
      <c r="L366" s="110" t="str">
        <f>IF(O366&lt;12,"0",0.049*H366)</f>
        <v>0</v>
      </c>
      <c r="M366" s="111">
        <v>0</v>
      </c>
      <c r="N366" s="99">
        <f>M366*2*H366/1000</f>
        <v>0</v>
      </c>
      <c r="O366" s="112">
        <f>(D366)-N366</f>
        <v>3.1850000000000001</v>
      </c>
      <c r="P366" s="112">
        <f>(I366*J366*O366)+L366</f>
        <v>25.48</v>
      </c>
      <c r="Q366" s="104" t="str">
        <f t="shared" si="30"/>
        <v/>
      </c>
      <c r="R366" s="104" t="str">
        <f t="shared" si="31"/>
        <v/>
      </c>
      <c r="S366" s="104" t="str">
        <f t="shared" si="32"/>
        <v/>
      </c>
      <c r="T366" s="104" t="str">
        <f t="shared" si="33"/>
        <v/>
      </c>
      <c r="U366" s="104">
        <f t="shared" si="34"/>
        <v>25.48</v>
      </c>
      <c r="V366" s="104" t="str">
        <f t="shared" si="35"/>
        <v/>
      </c>
      <c r="W366" s="105"/>
    </row>
    <row r="367" spans="1:23">
      <c r="A367" s="92"/>
      <c r="B367" s="121" t="s">
        <v>300</v>
      </c>
      <c r="C367" s="107"/>
      <c r="D367" s="117"/>
      <c r="E367" s="117"/>
      <c r="F367" s="118"/>
      <c r="G367" s="108"/>
      <c r="H367" s="98"/>
      <c r="I367" s="99"/>
      <c r="J367" s="101"/>
      <c r="K367" s="109"/>
      <c r="L367" s="110"/>
      <c r="M367" s="111"/>
      <c r="N367" s="99"/>
      <c r="O367" s="112"/>
      <c r="P367" s="112"/>
      <c r="Q367" s="104" t="str">
        <f t="shared" si="30"/>
        <v/>
      </c>
      <c r="R367" s="104" t="str">
        <f t="shared" si="31"/>
        <v/>
      </c>
      <c r="S367" s="104" t="str">
        <f t="shared" si="32"/>
        <v/>
      </c>
      <c r="T367" s="104" t="str">
        <f t="shared" si="33"/>
        <v/>
      </c>
      <c r="U367" s="104" t="str">
        <f t="shared" si="34"/>
        <v/>
      </c>
      <c r="V367" s="104" t="str">
        <f t="shared" si="35"/>
        <v/>
      </c>
      <c r="W367" s="105"/>
    </row>
    <row r="368" spans="1:23">
      <c r="A368" s="92"/>
      <c r="B368" s="121"/>
      <c r="C368" s="107"/>
      <c r="D368" s="117"/>
      <c r="E368" s="117"/>
      <c r="F368" s="118"/>
      <c r="G368" s="108"/>
      <c r="H368" s="98"/>
      <c r="I368" s="99"/>
      <c r="J368" s="101"/>
      <c r="K368" s="109"/>
      <c r="L368" s="110"/>
      <c r="M368" s="111"/>
      <c r="N368" s="99"/>
      <c r="O368" s="112"/>
      <c r="P368" s="112"/>
      <c r="Q368" s="104" t="str">
        <f t="shared" si="30"/>
        <v/>
      </c>
      <c r="R368" s="104" t="str">
        <f t="shared" si="31"/>
        <v/>
      </c>
      <c r="S368" s="104" t="str">
        <f t="shared" si="32"/>
        <v/>
      </c>
      <c r="T368" s="104" t="str">
        <f t="shared" si="33"/>
        <v/>
      </c>
      <c r="U368" s="104" t="str">
        <f t="shared" si="34"/>
        <v/>
      </c>
      <c r="V368" s="104" t="str">
        <f t="shared" si="35"/>
        <v/>
      </c>
      <c r="W368" s="105"/>
    </row>
    <row r="369" spans="1:23" ht="15" customHeight="1">
      <c r="A369" s="92">
        <v>67</v>
      </c>
      <c r="B369" s="121" t="s">
        <v>426</v>
      </c>
      <c r="C369" s="122"/>
      <c r="D369" s="798">
        <f>1+0.6+1</f>
        <v>2.6</v>
      </c>
      <c r="E369" s="798"/>
      <c r="F369" s="118"/>
      <c r="G369" s="108">
        <v>0.25</v>
      </c>
      <c r="H369" s="98">
        <v>20</v>
      </c>
      <c r="I369" s="99">
        <v>1</v>
      </c>
      <c r="J369" s="101">
        <f>ROUND(D372/G369+1,0)</f>
        <v>12</v>
      </c>
      <c r="K369" s="109">
        <f>D369</f>
        <v>2.6</v>
      </c>
      <c r="L369" s="110" t="str">
        <f>IF(O369&lt;12,"0",0.049*H369)</f>
        <v>0</v>
      </c>
      <c r="M369" s="111">
        <v>0</v>
      </c>
      <c r="N369" s="99">
        <f>M369*2*H369/1000</f>
        <v>0</v>
      </c>
      <c r="O369" s="112">
        <f>(D369)-N369</f>
        <v>2.6</v>
      </c>
      <c r="P369" s="112">
        <f>(I369*J369*O369)+L369</f>
        <v>31.200000000000003</v>
      </c>
      <c r="Q369" s="104" t="str">
        <f t="shared" si="30"/>
        <v/>
      </c>
      <c r="R369" s="104" t="str">
        <f t="shared" si="31"/>
        <v/>
      </c>
      <c r="S369" s="104" t="str">
        <f t="shared" si="32"/>
        <v/>
      </c>
      <c r="T369" s="104" t="str">
        <f t="shared" si="33"/>
        <v/>
      </c>
      <c r="U369" s="104">
        <f t="shared" si="34"/>
        <v>31.200000000000003</v>
      </c>
      <c r="V369" s="104" t="str">
        <f t="shared" si="35"/>
        <v/>
      </c>
      <c r="W369" s="105"/>
    </row>
    <row r="370" spans="1:23">
      <c r="A370" s="92"/>
      <c r="B370" s="121" t="s">
        <v>301</v>
      </c>
      <c r="C370" s="107"/>
      <c r="D370" s="117"/>
      <c r="E370" s="117"/>
      <c r="F370" s="118"/>
      <c r="G370" s="108"/>
      <c r="H370" s="98"/>
      <c r="I370" s="99"/>
      <c r="J370" s="101"/>
      <c r="K370" s="109"/>
      <c r="L370" s="110"/>
      <c r="M370" s="111"/>
      <c r="N370" s="99"/>
      <c r="O370" s="112"/>
      <c r="P370" s="112"/>
      <c r="Q370" s="104" t="str">
        <f t="shared" si="30"/>
        <v/>
      </c>
      <c r="R370" s="104" t="str">
        <f t="shared" si="31"/>
        <v/>
      </c>
      <c r="S370" s="104" t="str">
        <f t="shared" si="32"/>
        <v/>
      </c>
      <c r="T370" s="104" t="str">
        <f t="shared" si="33"/>
        <v/>
      </c>
      <c r="U370" s="104" t="str">
        <f t="shared" si="34"/>
        <v/>
      </c>
      <c r="V370" s="104" t="str">
        <f t="shared" si="35"/>
        <v/>
      </c>
      <c r="W370" s="105"/>
    </row>
    <row r="371" spans="1:23">
      <c r="A371" s="92"/>
      <c r="B371" s="121"/>
      <c r="C371" s="107"/>
      <c r="D371" s="117"/>
      <c r="E371" s="117"/>
      <c r="F371" s="118"/>
      <c r="G371" s="108"/>
      <c r="H371" s="98"/>
      <c r="I371" s="99"/>
      <c r="J371" s="101"/>
      <c r="K371" s="109"/>
      <c r="L371" s="110"/>
      <c r="M371" s="111"/>
      <c r="N371" s="99"/>
      <c r="O371" s="112"/>
      <c r="P371" s="112"/>
      <c r="Q371" s="104" t="str">
        <f t="shared" si="30"/>
        <v/>
      </c>
      <c r="R371" s="104" t="str">
        <f t="shared" si="31"/>
        <v/>
      </c>
      <c r="S371" s="104" t="str">
        <f t="shared" si="32"/>
        <v/>
      </c>
      <c r="T371" s="104" t="str">
        <f t="shared" si="33"/>
        <v/>
      </c>
      <c r="U371" s="104" t="str">
        <f t="shared" si="34"/>
        <v/>
      </c>
      <c r="V371" s="104" t="str">
        <f t="shared" si="35"/>
        <v/>
      </c>
      <c r="W371" s="105"/>
    </row>
    <row r="372" spans="1:23" ht="15" customHeight="1">
      <c r="A372" s="92">
        <v>68</v>
      </c>
      <c r="B372" s="121" t="s">
        <v>427</v>
      </c>
      <c r="C372" s="122"/>
      <c r="D372" s="798">
        <f>1.25+0.3+1.25</f>
        <v>2.8</v>
      </c>
      <c r="E372" s="798"/>
      <c r="F372" s="118"/>
      <c r="G372" s="108">
        <v>0.25</v>
      </c>
      <c r="H372" s="98">
        <v>25</v>
      </c>
      <c r="I372" s="99">
        <v>1</v>
      </c>
      <c r="J372" s="101">
        <f>ROUND(D369/G372+1,0)</f>
        <v>11</v>
      </c>
      <c r="K372" s="109">
        <f>D372</f>
        <v>2.8</v>
      </c>
      <c r="L372" s="110" t="str">
        <f>IF(O372&lt;12,"0",0.049*H372)</f>
        <v>0</v>
      </c>
      <c r="M372" s="111">
        <v>0</v>
      </c>
      <c r="N372" s="99">
        <f>M372*2*H372/1000</f>
        <v>0</v>
      </c>
      <c r="O372" s="112">
        <f>(D372)-N372</f>
        <v>2.8</v>
      </c>
      <c r="P372" s="112">
        <f>(I372*J372*O372)+L372</f>
        <v>30.799999999999997</v>
      </c>
      <c r="Q372" s="104" t="str">
        <f t="shared" si="30"/>
        <v/>
      </c>
      <c r="R372" s="104" t="str">
        <f t="shared" si="31"/>
        <v/>
      </c>
      <c r="S372" s="104" t="str">
        <f t="shared" si="32"/>
        <v/>
      </c>
      <c r="T372" s="104" t="str">
        <f t="shared" si="33"/>
        <v/>
      </c>
      <c r="U372" s="104" t="str">
        <f t="shared" si="34"/>
        <v/>
      </c>
      <c r="V372" s="104">
        <f t="shared" si="35"/>
        <v>30.799999999999997</v>
      </c>
      <c r="W372" s="105"/>
    </row>
    <row r="373" spans="1:23">
      <c r="A373" s="92"/>
      <c r="B373" s="121" t="s">
        <v>301</v>
      </c>
      <c r="C373" s="107"/>
      <c r="D373" s="117"/>
      <c r="E373" s="117"/>
      <c r="F373" s="118"/>
      <c r="G373" s="108"/>
      <c r="H373" s="98"/>
      <c r="I373" s="99"/>
      <c r="J373" s="101"/>
      <c r="K373" s="109"/>
      <c r="L373" s="110"/>
      <c r="M373" s="111"/>
      <c r="N373" s="99"/>
      <c r="O373" s="112"/>
      <c r="P373" s="112"/>
      <c r="Q373" s="104" t="str">
        <f t="shared" si="30"/>
        <v/>
      </c>
      <c r="R373" s="104" t="str">
        <f t="shared" si="31"/>
        <v/>
      </c>
      <c r="S373" s="104" t="str">
        <f t="shared" si="32"/>
        <v/>
      </c>
      <c r="T373" s="104" t="str">
        <f t="shared" si="33"/>
        <v/>
      </c>
      <c r="U373" s="104" t="str">
        <f t="shared" si="34"/>
        <v/>
      </c>
      <c r="V373" s="104" t="str">
        <f t="shared" si="35"/>
        <v/>
      </c>
      <c r="W373" s="105"/>
    </row>
    <row r="374" spans="1:23">
      <c r="A374" s="92"/>
      <c r="B374" s="121"/>
      <c r="C374" s="107"/>
      <c r="D374" s="117"/>
      <c r="E374" s="117"/>
      <c r="F374" s="118"/>
      <c r="G374" s="108"/>
      <c r="H374" s="98"/>
      <c r="I374" s="99"/>
      <c r="J374" s="101"/>
      <c r="K374" s="109"/>
      <c r="L374" s="110"/>
      <c r="M374" s="111"/>
      <c r="N374" s="99"/>
      <c r="O374" s="112"/>
      <c r="P374" s="112"/>
      <c r="Q374" s="104" t="str">
        <f t="shared" si="30"/>
        <v/>
      </c>
      <c r="R374" s="104" t="str">
        <f t="shared" si="31"/>
        <v/>
      </c>
      <c r="S374" s="104" t="str">
        <f t="shared" si="32"/>
        <v/>
      </c>
      <c r="T374" s="104" t="str">
        <f t="shared" si="33"/>
        <v/>
      </c>
      <c r="U374" s="104" t="str">
        <f t="shared" si="34"/>
        <v/>
      </c>
      <c r="V374" s="104" t="str">
        <f t="shared" si="35"/>
        <v/>
      </c>
      <c r="W374" s="105"/>
    </row>
    <row r="375" spans="1:23" ht="15" customHeight="1">
      <c r="A375" s="92">
        <v>69</v>
      </c>
      <c r="B375" s="121" t="s">
        <v>426</v>
      </c>
      <c r="C375" s="122"/>
      <c r="D375" s="798">
        <f>1.25+0.3+1.25</f>
        <v>2.8</v>
      </c>
      <c r="E375" s="798"/>
      <c r="F375" s="118"/>
      <c r="G375" s="108">
        <v>0.25</v>
      </c>
      <c r="H375" s="98">
        <v>20</v>
      </c>
      <c r="I375" s="99">
        <v>1</v>
      </c>
      <c r="J375" s="101">
        <f>ROUND(D378/G375+1,0)</f>
        <v>11</v>
      </c>
      <c r="K375" s="109">
        <f>D375</f>
        <v>2.8</v>
      </c>
      <c r="L375" s="110" t="str">
        <f>IF(O375&lt;12,"0",0.049*H375)</f>
        <v>0</v>
      </c>
      <c r="M375" s="111">
        <v>0</v>
      </c>
      <c r="N375" s="99">
        <f>M375*2*H375/1000</f>
        <v>0</v>
      </c>
      <c r="O375" s="112">
        <f>(D375)-N375</f>
        <v>2.8</v>
      </c>
      <c r="P375" s="112">
        <f>(I375*J375*O375)+L375</f>
        <v>30.799999999999997</v>
      </c>
      <c r="Q375" s="104" t="str">
        <f t="shared" si="30"/>
        <v/>
      </c>
      <c r="R375" s="104" t="str">
        <f t="shared" si="31"/>
        <v/>
      </c>
      <c r="S375" s="104" t="str">
        <f t="shared" si="32"/>
        <v/>
      </c>
      <c r="T375" s="104" t="str">
        <f t="shared" si="33"/>
        <v/>
      </c>
      <c r="U375" s="104">
        <f t="shared" si="34"/>
        <v>30.799999999999997</v>
      </c>
      <c r="V375" s="104" t="str">
        <f t="shared" si="35"/>
        <v/>
      </c>
      <c r="W375" s="105"/>
    </row>
    <row r="376" spans="1:23">
      <c r="A376" s="92"/>
      <c r="B376" s="121" t="s">
        <v>302</v>
      </c>
      <c r="C376" s="107"/>
      <c r="D376" s="117"/>
      <c r="E376" s="117"/>
      <c r="F376" s="118"/>
      <c r="G376" s="108"/>
      <c r="H376" s="98"/>
      <c r="I376" s="99"/>
      <c r="J376" s="101"/>
      <c r="K376" s="109"/>
      <c r="L376" s="110"/>
      <c r="M376" s="111"/>
      <c r="N376" s="99"/>
      <c r="O376" s="112"/>
      <c r="P376" s="112"/>
      <c r="Q376" s="104" t="str">
        <f t="shared" si="30"/>
        <v/>
      </c>
      <c r="R376" s="104" t="str">
        <f t="shared" si="31"/>
        <v/>
      </c>
      <c r="S376" s="104" t="str">
        <f t="shared" si="32"/>
        <v/>
      </c>
      <c r="T376" s="104" t="str">
        <f t="shared" si="33"/>
        <v/>
      </c>
      <c r="U376" s="104" t="str">
        <f t="shared" si="34"/>
        <v/>
      </c>
      <c r="V376" s="104" t="str">
        <f t="shared" si="35"/>
        <v/>
      </c>
      <c r="W376" s="105"/>
    </row>
    <row r="377" spans="1:23">
      <c r="A377" s="92"/>
      <c r="B377" s="121"/>
      <c r="C377" s="107"/>
      <c r="D377" s="117"/>
      <c r="E377" s="117"/>
      <c r="F377" s="118"/>
      <c r="G377" s="108"/>
      <c r="H377" s="98"/>
      <c r="I377" s="99"/>
      <c r="J377" s="101"/>
      <c r="K377" s="109"/>
      <c r="L377" s="110"/>
      <c r="M377" s="111"/>
      <c r="N377" s="99"/>
      <c r="O377" s="112"/>
      <c r="P377" s="112"/>
      <c r="Q377" s="104" t="str">
        <f t="shared" si="30"/>
        <v/>
      </c>
      <c r="R377" s="104" t="str">
        <f t="shared" si="31"/>
        <v/>
      </c>
      <c r="S377" s="104" t="str">
        <f t="shared" si="32"/>
        <v/>
      </c>
      <c r="T377" s="104" t="str">
        <f t="shared" si="33"/>
        <v/>
      </c>
      <c r="U377" s="104" t="str">
        <f t="shared" si="34"/>
        <v/>
      </c>
      <c r="V377" s="104" t="str">
        <f t="shared" si="35"/>
        <v/>
      </c>
      <c r="W377" s="105"/>
    </row>
    <row r="378" spans="1:23" ht="15" customHeight="1">
      <c r="A378" s="92">
        <v>70</v>
      </c>
      <c r="B378" s="121" t="s">
        <v>427</v>
      </c>
      <c r="C378" s="122"/>
      <c r="D378" s="798">
        <f>1+0.6+1</f>
        <v>2.6</v>
      </c>
      <c r="E378" s="798"/>
      <c r="F378" s="118"/>
      <c r="G378" s="108">
        <v>0.25</v>
      </c>
      <c r="H378" s="98">
        <v>25</v>
      </c>
      <c r="I378" s="99">
        <v>1</v>
      </c>
      <c r="J378" s="101">
        <f>ROUND(D375/G378+1,0)</f>
        <v>12</v>
      </c>
      <c r="K378" s="109">
        <f>D378</f>
        <v>2.6</v>
      </c>
      <c r="L378" s="110" t="str">
        <f>IF(O378&lt;12,"0",0.049*H378)</f>
        <v>0</v>
      </c>
      <c r="M378" s="111">
        <v>0</v>
      </c>
      <c r="N378" s="99">
        <f>M378*2*H378/1000</f>
        <v>0</v>
      </c>
      <c r="O378" s="112">
        <f>(D378)-N378</f>
        <v>2.6</v>
      </c>
      <c r="P378" s="112">
        <f>(I378*J378*O378)+L378</f>
        <v>31.200000000000003</v>
      </c>
      <c r="Q378" s="104" t="str">
        <f t="shared" si="30"/>
        <v/>
      </c>
      <c r="R378" s="104" t="str">
        <f t="shared" si="31"/>
        <v/>
      </c>
      <c r="S378" s="104" t="str">
        <f t="shared" si="32"/>
        <v/>
      </c>
      <c r="T378" s="104" t="str">
        <f t="shared" si="33"/>
        <v/>
      </c>
      <c r="U378" s="104" t="str">
        <f t="shared" si="34"/>
        <v/>
      </c>
      <c r="V378" s="104">
        <f t="shared" si="35"/>
        <v>31.200000000000003</v>
      </c>
      <c r="W378" s="105"/>
    </row>
    <row r="379" spans="1:23">
      <c r="A379" s="92"/>
      <c r="B379" s="121" t="s">
        <v>302</v>
      </c>
      <c r="C379" s="107"/>
      <c r="D379" s="117"/>
      <c r="E379" s="117"/>
      <c r="F379" s="118"/>
      <c r="G379" s="108"/>
      <c r="H379" s="98"/>
      <c r="I379" s="99"/>
      <c r="J379" s="101"/>
      <c r="K379" s="109"/>
      <c r="L379" s="110"/>
      <c r="M379" s="111"/>
      <c r="N379" s="99"/>
      <c r="O379" s="112"/>
      <c r="P379" s="112"/>
      <c r="Q379" s="104" t="str">
        <f t="shared" si="30"/>
        <v/>
      </c>
      <c r="R379" s="104" t="str">
        <f t="shared" si="31"/>
        <v/>
      </c>
      <c r="S379" s="104" t="str">
        <f t="shared" si="32"/>
        <v/>
      </c>
      <c r="T379" s="104" t="str">
        <f t="shared" si="33"/>
        <v/>
      </c>
      <c r="U379" s="104" t="str">
        <f t="shared" si="34"/>
        <v/>
      </c>
      <c r="V379" s="104" t="str">
        <f t="shared" si="35"/>
        <v/>
      </c>
      <c r="W379" s="105"/>
    </row>
    <row r="380" spans="1:23">
      <c r="A380" s="92"/>
      <c r="B380" s="121"/>
      <c r="C380" s="107"/>
      <c r="D380" s="117"/>
      <c r="E380" s="117"/>
      <c r="F380" s="118"/>
      <c r="G380" s="108"/>
      <c r="H380" s="98"/>
      <c r="I380" s="99"/>
      <c r="J380" s="101"/>
      <c r="K380" s="109"/>
      <c r="L380" s="110"/>
      <c r="M380" s="111"/>
      <c r="N380" s="99"/>
      <c r="O380" s="112"/>
      <c r="P380" s="112"/>
      <c r="Q380" s="104" t="str">
        <f t="shared" si="30"/>
        <v/>
      </c>
      <c r="R380" s="104" t="str">
        <f t="shared" si="31"/>
        <v/>
      </c>
      <c r="S380" s="104" t="str">
        <f t="shared" si="32"/>
        <v/>
      </c>
      <c r="T380" s="104" t="str">
        <f t="shared" si="33"/>
        <v/>
      </c>
      <c r="U380" s="104" t="str">
        <f t="shared" si="34"/>
        <v/>
      </c>
      <c r="V380" s="104" t="str">
        <f t="shared" si="35"/>
        <v/>
      </c>
      <c r="W380" s="105"/>
    </row>
    <row r="381" spans="1:23" ht="15" customHeight="1">
      <c r="A381" s="92">
        <v>71</v>
      </c>
      <c r="B381" s="121" t="s">
        <v>426</v>
      </c>
      <c r="C381" s="122"/>
      <c r="D381" s="798">
        <f>1.25+0.3+1.25</f>
        <v>2.8</v>
      </c>
      <c r="E381" s="798"/>
      <c r="F381" s="118"/>
      <c r="G381" s="108">
        <v>0.25</v>
      </c>
      <c r="H381" s="98">
        <v>25</v>
      </c>
      <c r="I381" s="99">
        <v>1</v>
      </c>
      <c r="J381" s="101">
        <f>ROUND(3.1/G381+1,0)</f>
        <v>13</v>
      </c>
      <c r="K381" s="109">
        <f>D381</f>
        <v>2.8</v>
      </c>
      <c r="L381" s="110" t="str">
        <f>IF(O381&lt;12,"0",0.049*H381)</f>
        <v>0</v>
      </c>
      <c r="M381" s="111">
        <v>0</v>
      </c>
      <c r="N381" s="99">
        <f>M381*2*H381/1000</f>
        <v>0</v>
      </c>
      <c r="O381" s="112">
        <f>(D381)-N381</f>
        <v>2.8</v>
      </c>
      <c r="P381" s="112">
        <f>(I381*J381*O381)+L381</f>
        <v>36.4</v>
      </c>
      <c r="Q381" s="104" t="str">
        <f t="shared" si="30"/>
        <v/>
      </c>
      <c r="R381" s="104" t="str">
        <f t="shared" si="31"/>
        <v/>
      </c>
      <c r="S381" s="104" t="str">
        <f t="shared" si="32"/>
        <v/>
      </c>
      <c r="T381" s="104" t="str">
        <f t="shared" si="33"/>
        <v/>
      </c>
      <c r="U381" s="104" t="str">
        <f t="shared" si="34"/>
        <v/>
      </c>
      <c r="V381" s="104">
        <f t="shared" si="35"/>
        <v>36.4</v>
      </c>
      <c r="W381" s="105"/>
    </row>
    <row r="382" spans="1:23">
      <c r="A382" s="92"/>
      <c r="B382" s="121" t="s">
        <v>303</v>
      </c>
      <c r="C382" s="107"/>
      <c r="D382" s="117"/>
      <c r="E382" s="117"/>
      <c r="F382" s="118"/>
      <c r="G382" s="108"/>
      <c r="H382" s="98"/>
      <c r="I382" s="99"/>
      <c r="J382" s="101"/>
      <c r="K382" s="109"/>
      <c r="L382" s="110"/>
      <c r="M382" s="111"/>
      <c r="N382" s="99"/>
      <c r="O382" s="112"/>
      <c r="P382" s="112"/>
      <c r="Q382" s="104" t="str">
        <f t="shared" si="30"/>
        <v/>
      </c>
      <c r="R382" s="104" t="str">
        <f t="shared" si="31"/>
        <v/>
      </c>
      <c r="S382" s="104" t="str">
        <f t="shared" si="32"/>
        <v/>
      </c>
      <c r="T382" s="104" t="str">
        <f t="shared" si="33"/>
        <v/>
      </c>
      <c r="U382" s="104" t="str">
        <f t="shared" si="34"/>
        <v/>
      </c>
      <c r="V382" s="104" t="str">
        <f t="shared" si="35"/>
        <v/>
      </c>
      <c r="W382" s="105"/>
    </row>
    <row r="383" spans="1:23">
      <c r="A383" s="92"/>
      <c r="B383" s="121"/>
      <c r="C383" s="107"/>
      <c r="D383" s="117"/>
      <c r="E383" s="117"/>
      <c r="F383" s="118"/>
      <c r="G383" s="108"/>
      <c r="H383" s="98"/>
      <c r="I383" s="99"/>
      <c r="J383" s="101"/>
      <c r="K383" s="109"/>
      <c r="L383" s="110"/>
      <c r="M383" s="111"/>
      <c r="N383" s="99"/>
      <c r="O383" s="112"/>
      <c r="P383" s="112"/>
      <c r="Q383" s="104" t="str">
        <f t="shared" si="30"/>
        <v/>
      </c>
      <c r="R383" s="104" t="str">
        <f t="shared" si="31"/>
        <v/>
      </c>
      <c r="S383" s="104" t="str">
        <f t="shared" si="32"/>
        <v/>
      </c>
      <c r="T383" s="104" t="str">
        <f t="shared" si="33"/>
        <v/>
      </c>
      <c r="U383" s="104" t="str">
        <f t="shared" si="34"/>
        <v/>
      </c>
      <c r="V383" s="104" t="str">
        <f t="shared" si="35"/>
        <v/>
      </c>
      <c r="W383" s="105"/>
    </row>
    <row r="384" spans="1:23" ht="15" customHeight="1">
      <c r="A384" s="92">
        <v>72</v>
      </c>
      <c r="B384" s="121" t="s">
        <v>427</v>
      </c>
      <c r="C384" s="122"/>
      <c r="D384" s="798">
        <f>1.25+0.6+1.25</f>
        <v>3.1</v>
      </c>
      <c r="E384" s="798"/>
      <c r="F384" s="118"/>
      <c r="G384" s="108">
        <v>0.25</v>
      </c>
      <c r="H384" s="98">
        <v>25</v>
      </c>
      <c r="I384" s="99">
        <v>1</v>
      </c>
      <c r="J384" s="101">
        <f>ROUND(2.8/G384+1,0)</f>
        <v>12</v>
      </c>
      <c r="K384" s="109">
        <f>D384</f>
        <v>3.1</v>
      </c>
      <c r="L384" s="110" t="str">
        <f>IF(O384&lt;12,"0",0.049*H384)</f>
        <v>0</v>
      </c>
      <c r="M384" s="111">
        <v>0</v>
      </c>
      <c r="N384" s="99">
        <f>M384*2*H384/1000</f>
        <v>0</v>
      </c>
      <c r="O384" s="112">
        <f>(D384)-N384</f>
        <v>3.1</v>
      </c>
      <c r="P384" s="112">
        <f>(I384*J384*O384)+L384</f>
        <v>37.200000000000003</v>
      </c>
      <c r="Q384" s="104" t="str">
        <f t="shared" si="30"/>
        <v/>
      </c>
      <c r="R384" s="104" t="str">
        <f t="shared" si="31"/>
        <v/>
      </c>
      <c r="S384" s="104" t="str">
        <f t="shared" si="32"/>
        <v/>
      </c>
      <c r="T384" s="104" t="str">
        <f t="shared" si="33"/>
        <v/>
      </c>
      <c r="U384" s="104" t="str">
        <f t="shared" si="34"/>
        <v/>
      </c>
      <c r="V384" s="104">
        <f t="shared" si="35"/>
        <v>37.200000000000003</v>
      </c>
      <c r="W384" s="105"/>
    </row>
    <row r="385" spans="1:23">
      <c r="A385" s="92"/>
      <c r="B385" s="121" t="s">
        <v>303</v>
      </c>
      <c r="C385" s="107"/>
      <c r="D385" s="117"/>
      <c r="E385" s="117"/>
      <c r="F385" s="118"/>
      <c r="G385" s="108"/>
      <c r="H385" s="98"/>
      <c r="I385" s="99"/>
      <c r="J385" s="101"/>
      <c r="K385" s="109"/>
      <c r="L385" s="110"/>
      <c r="M385" s="111"/>
      <c r="N385" s="99"/>
      <c r="O385" s="112"/>
      <c r="P385" s="112"/>
      <c r="Q385" s="104" t="str">
        <f t="shared" si="30"/>
        <v/>
      </c>
      <c r="R385" s="104" t="str">
        <f t="shared" si="31"/>
        <v/>
      </c>
      <c r="S385" s="104" t="str">
        <f t="shared" si="32"/>
        <v/>
      </c>
      <c r="T385" s="104" t="str">
        <f t="shared" si="33"/>
        <v/>
      </c>
      <c r="U385" s="104" t="str">
        <f t="shared" si="34"/>
        <v/>
      </c>
      <c r="V385" s="104" t="str">
        <f t="shared" si="35"/>
        <v/>
      </c>
      <c r="W385" s="105"/>
    </row>
    <row r="386" spans="1:23">
      <c r="A386" s="92"/>
      <c r="B386" s="121"/>
      <c r="C386" s="107"/>
      <c r="D386" s="117"/>
      <c r="E386" s="117"/>
      <c r="F386" s="118"/>
      <c r="G386" s="108"/>
      <c r="H386" s="98"/>
      <c r="I386" s="99"/>
      <c r="J386" s="101"/>
      <c r="K386" s="109"/>
      <c r="L386" s="110"/>
      <c r="M386" s="111"/>
      <c r="N386" s="99"/>
      <c r="O386" s="112"/>
      <c r="P386" s="112"/>
      <c r="Q386" s="104" t="str">
        <f t="shared" si="30"/>
        <v/>
      </c>
      <c r="R386" s="104" t="str">
        <f t="shared" si="31"/>
        <v/>
      </c>
      <c r="S386" s="104" t="str">
        <f t="shared" si="32"/>
        <v/>
      </c>
      <c r="T386" s="104" t="str">
        <f t="shared" si="33"/>
        <v/>
      </c>
      <c r="U386" s="104" t="str">
        <f t="shared" si="34"/>
        <v/>
      </c>
      <c r="V386" s="104" t="str">
        <f t="shared" si="35"/>
        <v/>
      </c>
      <c r="W386" s="105"/>
    </row>
    <row r="387" spans="1:23" ht="15" customHeight="1">
      <c r="A387" s="92">
        <v>73</v>
      </c>
      <c r="B387" s="121" t="s">
        <v>426</v>
      </c>
      <c r="C387" s="122"/>
      <c r="D387" s="797">
        <f>1+0.3+1</f>
        <v>2.2999999999999998</v>
      </c>
      <c r="E387" s="797"/>
      <c r="F387" s="118"/>
      <c r="G387" s="108">
        <v>0.25</v>
      </c>
      <c r="H387" s="98">
        <v>20</v>
      </c>
      <c r="I387" s="99">
        <v>1</v>
      </c>
      <c r="J387" s="101">
        <f>ROUND(2.6/G387+1,0)</f>
        <v>11</v>
      </c>
      <c r="K387" s="109">
        <f>D387</f>
        <v>2.2999999999999998</v>
      </c>
      <c r="L387" s="110" t="str">
        <f>IF(O387&lt;12,"0",0.049*H387)</f>
        <v>0</v>
      </c>
      <c r="M387" s="111">
        <v>0</v>
      </c>
      <c r="N387" s="99">
        <f>M387*2*H387/1000</f>
        <v>0</v>
      </c>
      <c r="O387" s="112">
        <f>(D387)-N387</f>
        <v>2.2999999999999998</v>
      </c>
      <c r="P387" s="112">
        <f>(I387*J387*O387)+L387</f>
        <v>25.299999999999997</v>
      </c>
      <c r="Q387" s="104" t="str">
        <f t="shared" si="30"/>
        <v/>
      </c>
      <c r="R387" s="104" t="str">
        <f t="shared" si="31"/>
        <v/>
      </c>
      <c r="S387" s="104" t="str">
        <f t="shared" si="32"/>
        <v/>
      </c>
      <c r="T387" s="104" t="str">
        <f t="shared" si="33"/>
        <v/>
      </c>
      <c r="U387" s="104">
        <f t="shared" si="34"/>
        <v>25.299999999999997</v>
      </c>
      <c r="V387" s="104" t="str">
        <f t="shared" si="35"/>
        <v/>
      </c>
      <c r="W387" s="105"/>
    </row>
    <row r="388" spans="1:23">
      <c r="A388" s="92"/>
      <c r="B388" s="121" t="s">
        <v>304</v>
      </c>
      <c r="C388" s="107"/>
      <c r="D388" s="117"/>
      <c r="E388" s="117"/>
      <c r="F388" s="118"/>
      <c r="G388" s="108"/>
      <c r="H388" s="98"/>
      <c r="I388" s="99"/>
      <c r="J388" s="101"/>
      <c r="K388" s="109"/>
      <c r="L388" s="110"/>
      <c r="M388" s="111"/>
      <c r="N388" s="99"/>
      <c r="O388" s="112"/>
      <c r="P388" s="112"/>
      <c r="Q388" s="104" t="str">
        <f t="shared" si="30"/>
        <v/>
      </c>
      <c r="R388" s="104" t="str">
        <f t="shared" si="31"/>
        <v/>
      </c>
      <c r="S388" s="104" t="str">
        <f t="shared" si="32"/>
        <v/>
      </c>
      <c r="T388" s="104" t="str">
        <f t="shared" si="33"/>
        <v/>
      </c>
      <c r="U388" s="104" t="str">
        <f t="shared" si="34"/>
        <v/>
      </c>
      <c r="V388" s="104" t="str">
        <f t="shared" si="35"/>
        <v/>
      </c>
      <c r="W388" s="105"/>
    </row>
    <row r="389" spans="1:23">
      <c r="A389" s="92"/>
      <c r="B389" s="121"/>
      <c r="C389" s="107"/>
      <c r="D389" s="117"/>
      <c r="E389" s="117"/>
      <c r="F389" s="118"/>
      <c r="G389" s="108"/>
      <c r="H389" s="98"/>
      <c r="I389" s="99"/>
      <c r="J389" s="101"/>
      <c r="K389" s="109"/>
      <c r="L389" s="110"/>
      <c r="M389" s="111"/>
      <c r="N389" s="99"/>
      <c r="O389" s="112"/>
      <c r="P389" s="112"/>
      <c r="Q389" s="104" t="str">
        <f t="shared" si="30"/>
        <v/>
      </c>
      <c r="R389" s="104" t="str">
        <f t="shared" si="31"/>
        <v/>
      </c>
      <c r="S389" s="104" t="str">
        <f t="shared" si="32"/>
        <v/>
      </c>
      <c r="T389" s="104" t="str">
        <f t="shared" si="33"/>
        <v/>
      </c>
      <c r="U389" s="104" t="str">
        <f t="shared" si="34"/>
        <v/>
      </c>
      <c r="V389" s="104" t="str">
        <f t="shared" si="35"/>
        <v/>
      </c>
      <c r="W389" s="105"/>
    </row>
    <row r="390" spans="1:23" ht="15" customHeight="1">
      <c r="A390" s="92">
        <v>74</v>
      </c>
      <c r="B390" s="121" t="s">
        <v>427</v>
      </c>
      <c r="C390" s="122"/>
      <c r="D390" s="797">
        <f>1+0.6+1</f>
        <v>2.6</v>
      </c>
      <c r="E390" s="797"/>
      <c r="F390" s="118"/>
      <c r="G390" s="108">
        <v>0.25</v>
      </c>
      <c r="H390" s="98">
        <v>20</v>
      </c>
      <c r="I390" s="99">
        <v>1</v>
      </c>
      <c r="J390" s="101">
        <f>ROUND(2.3/G390+1,0)</f>
        <v>10</v>
      </c>
      <c r="K390" s="109">
        <f>D390</f>
        <v>2.6</v>
      </c>
      <c r="L390" s="110" t="str">
        <f>IF(O390&lt;12,"0",0.049*H390)</f>
        <v>0</v>
      </c>
      <c r="M390" s="111">
        <v>0</v>
      </c>
      <c r="N390" s="99">
        <f>M390*2*H390/1000</f>
        <v>0</v>
      </c>
      <c r="O390" s="112">
        <f>(D390)-N390</f>
        <v>2.6</v>
      </c>
      <c r="P390" s="112">
        <f>(I390*J390*O390)+L390</f>
        <v>26</v>
      </c>
      <c r="Q390" s="104" t="str">
        <f t="shared" si="30"/>
        <v/>
      </c>
      <c r="R390" s="104" t="str">
        <f t="shared" si="31"/>
        <v/>
      </c>
      <c r="S390" s="104" t="str">
        <f t="shared" si="32"/>
        <v/>
      </c>
      <c r="T390" s="104" t="str">
        <f t="shared" si="33"/>
        <v/>
      </c>
      <c r="U390" s="104">
        <f t="shared" si="34"/>
        <v>26</v>
      </c>
      <c r="V390" s="104" t="str">
        <f t="shared" si="35"/>
        <v/>
      </c>
      <c r="W390" s="105"/>
    </row>
    <row r="391" spans="1:23">
      <c r="A391" s="92"/>
      <c r="B391" s="121" t="s">
        <v>304</v>
      </c>
      <c r="C391" s="107"/>
      <c r="D391" s="117"/>
      <c r="E391" s="117"/>
      <c r="F391" s="118"/>
      <c r="G391" s="108"/>
      <c r="H391" s="98"/>
      <c r="I391" s="99"/>
      <c r="J391" s="101"/>
      <c r="K391" s="109"/>
      <c r="L391" s="110"/>
      <c r="M391" s="111"/>
      <c r="N391" s="99"/>
      <c r="O391" s="112"/>
      <c r="P391" s="112"/>
      <c r="Q391" s="104" t="str">
        <f t="shared" si="30"/>
        <v/>
      </c>
      <c r="R391" s="104" t="str">
        <f t="shared" si="31"/>
        <v/>
      </c>
      <c r="S391" s="104" t="str">
        <f t="shared" si="32"/>
        <v/>
      </c>
      <c r="T391" s="104" t="str">
        <f t="shared" si="33"/>
        <v/>
      </c>
      <c r="U391" s="104" t="str">
        <f t="shared" si="34"/>
        <v/>
      </c>
      <c r="V391" s="104" t="str">
        <f t="shared" si="35"/>
        <v/>
      </c>
      <c r="W391" s="105"/>
    </row>
    <row r="392" spans="1:23">
      <c r="A392" s="92"/>
      <c r="B392" s="121"/>
      <c r="C392" s="107"/>
      <c r="D392" s="117"/>
      <c r="E392" s="117"/>
      <c r="F392" s="118"/>
      <c r="G392" s="108"/>
      <c r="H392" s="98"/>
      <c r="I392" s="99"/>
      <c r="J392" s="101"/>
      <c r="K392" s="109"/>
      <c r="L392" s="110"/>
      <c r="M392" s="111"/>
      <c r="N392" s="99"/>
      <c r="O392" s="112"/>
      <c r="P392" s="112"/>
      <c r="Q392" s="104" t="str">
        <f t="shared" si="30"/>
        <v/>
      </c>
      <c r="R392" s="104" t="str">
        <f t="shared" si="31"/>
        <v/>
      </c>
      <c r="S392" s="104" t="str">
        <f t="shared" si="32"/>
        <v/>
      </c>
      <c r="T392" s="104" t="str">
        <f t="shared" si="33"/>
        <v/>
      </c>
      <c r="U392" s="104" t="str">
        <f t="shared" si="34"/>
        <v/>
      </c>
      <c r="V392" s="104" t="str">
        <f t="shared" si="35"/>
        <v/>
      </c>
      <c r="W392" s="105"/>
    </row>
    <row r="393" spans="1:23" ht="15" customHeight="1">
      <c r="A393" s="92">
        <v>75</v>
      </c>
      <c r="B393" s="121" t="s">
        <v>426</v>
      </c>
      <c r="C393" s="122"/>
      <c r="D393" s="797">
        <f>1.25+0.3+1.25</f>
        <v>2.8</v>
      </c>
      <c r="E393" s="797"/>
      <c r="F393" s="118"/>
      <c r="G393" s="108">
        <v>0.25</v>
      </c>
      <c r="H393" s="98">
        <v>25</v>
      </c>
      <c r="I393" s="99">
        <v>1</v>
      </c>
      <c r="J393" s="101">
        <f>ROUND(3.1/G393+1,0)</f>
        <v>13</v>
      </c>
      <c r="K393" s="109">
        <f>D393</f>
        <v>2.8</v>
      </c>
      <c r="L393" s="110" t="str">
        <f>IF(O393&lt;12,"0",0.049*H393)</f>
        <v>0</v>
      </c>
      <c r="M393" s="111">
        <v>0</v>
      </c>
      <c r="N393" s="99">
        <f>M393*2*H393/1000</f>
        <v>0</v>
      </c>
      <c r="O393" s="112">
        <f>(D393)-N393</f>
        <v>2.8</v>
      </c>
      <c r="P393" s="112">
        <f>(I393*J393*O393)+L393</f>
        <v>36.4</v>
      </c>
      <c r="Q393" s="104" t="str">
        <f t="shared" si="30"/>
        <v/>
      </c>
      <c r="R393" s="104" t="str">
        <f t="shared" si="31"/>
        <v/>
      </c>
      <c r="S393" s="104" t="str">
        <f t="shared" si="32"/>
        <v/>
      </c>
      <c r="T393" s="104" t="str">
        <f t="shared" si="33"/>
        <v/>
      </c>
      <c r="U393" s="104" t="str">
        <f t="shared" si="34"/>
        <v/>
      </c>
      <c r="V393" s="104">
        <f t="shared" si="35"/>
        <v>36.4</v>
      </c>
      <c r="W393" s="105"/>
    </row>
    <row r="394" spans="1:23">
      <c r="A394" s="92"/>
      <c r="B394" s="121" t="s">
        <v>280</v>
      </c>
      <c r="C394" s="107"/>
      <c r="D394" s="117"/>
      <c r="E394" s="117"/>
      <c r="F394" s="118"/>
      <c r="G394" s="108"/>
      <c r="H394" s="98"/>
      <c r="I394" s="99"/>
      <c r="J394" s="101"/>
      <c r="K394" s="109"/>
      <c r="L394" s="110"/>
      <c r="M394" s="111"/>
      <c r="N394" s="99"/>
      <c r="O394" s="112"/>
      <c r="P394" s="112"/>
      <c r="Q394" s="104" t="str">
        <f t="shared" si="30"/>
        <v/>
      </c>
      <c r="R394" s="104" t="str">
        <f t="shared" si="31"/>
        <v/>
      </c>
      <c r="S394" s="104" t="str">
        <f t="shared" si="32"/>
        <v/>
      </c>
      <c r="T394" s="104" t="str">
        <f t="shared" si="33"/>
        <v/>
      </c>
      <c r="U394" s="104" t="str">
        <f t="shared" si="34"/>
        <v/>
      </c>
      <c r="V394" s="104" t="str">
        <f t="shared" si="35"/>
        <v/>
      </c>
      <c r="W394" s="105"/>
    </row>
    <row r="395" spans="1:23">
      <c r="A395" s="92"/>
      <c r="B395" s="121"/>
      <c r="C395" s="107"/>
      <c r="D395" s="117"/>
      <c r="E395" s="117"/>
      <c r="F395" s="118"/>
      <c r="G395" s="108"/>
      <c r="H395" s="98"/>
      <c r="I395" s="99"/>
      <c r="J395" s="101"/>
      <c r="K395" s="109"/>
      <c r="L395" s="110"/>
      <c r="M395" s="111"/>
      <c r="N395" s="99"/>
      <c r="O395" s="112"/>
      <c r="P395" s="112"/>
      <c r="Q395" s="104" t="str">
        <f t="shared" si="30"/>
        <v/>
      </c>
      <c r="R395" s="104" t="str">
        <f t="shared" si="31"/>
        <v/>
      </c>
      <c r="S395" s="104" t="str">
        <f t="shared" si="32"/>
        <v/>
      </c>
      <c r="T395" s="104" t="str">
        <f t="shared" si="33"/>
        <v/>
      </c>
      <c r="U395" s="104" t="str">
        <f t="shared" si="34"/>
        <v/>
      </c>
      <c r="V395" s="104" t="str">
        <f t="shared" si="35"/>
        <v/>
      </c>
      <c r="W395" s="105"/>
    </row>
    <row r="396" spans="1:23" ht="15" customHeight="1">
      <c r="A396" s="92">
        <v>76</v>
      </c>
      <c r="B396" s="121" t="s">
        <v>427</v>
      </c>
      <c r="C396" s="122"/>
      <c r="D396" s="797">
        <f>1.25+0.6+1.25</f>
        <v>3.1</v>
      </c>
      <c r="E396" s="797"/>
      <c r="F396" s="118"/>
      <c r="G396" s="108">
        <v>0.25</v>
      </c>
      <c r="H396" s="98">
        <v>25</v>
      </c>
      <c r="I396" s="99">
        <v>1</v>
      </c>
      <c r="J396" s="101">
        <f>ROUND(2.8/G396+1,0)</f>
        <v>12</v>
      </c>
      <c r="K396" s="109">
        <f>D396</f>
        <v>3.1</v>
      </c>
      <c r="L396" s="110" t="str">
        <f>IF(O396&lt;12,"0",0.049*H396)</f>
        <v>0</v>
      </c>
      <c r="M396" s="111">
        <v>0</v>
      </c>
      <c r="N396" s="99">
        <f>M396*2*H396/1000</f>
        <v>0</v>
      </c>
      <c r="O396" s="112">
        <f>(D396)-N396</f>
        <v>3.1</v>
      </c>
      <c r="P396" s="112">
        <f>(I396*J396*O396)+L396</f>
        <v>37.200000000000003</v>
      </c>
      <c r="Q396" s="104" t="str">
        <f t="shared" si="30"/>
        <v/>
      </c>
      <c r="R396" s="104" t="str">
        <f t="shared" si="31"/>
        <v/>
      </c>
      <c r="S396" s="104" t="str">
        <f t="shared" si="32"/>
        <v/>
      </c>
      <c r="T396" s="104" t="str">
        <f t="shared" si="33"/>
        <v/>
      </c>
      <c r="U396" s="104" t="str">
        <f t="shared" si="34"/>
        <v/>
      </c>
      <c r="V396" s="104">
        <f t="shared" si="35"/>
        <v>37.200000000000003</v>
      </c>
      <c r="W396" s="105"/>
    </row>
    <row r="397" spans="1:23">
      <c r="A397" s="92"/>
      <c r="B397" s="121" t="s">
        <v>305</v>
      </c>
      <c r="C397" s="107"/>
      <c r="D397" s="117"/>
      <c r="E397" s="117"/>
      <c r="F397" s="118"/>
      <c r="G397" s="108"/>
      <c r="H397" s="98"/>
      <c r="I397" s="99"/>
      <c r="J397" s="101"/>
      <c r="K397" s="109"/>
      <c r="L397" s="110"/>
      <c r="M397" s="111"/>
      <c r="N397" s="99"/>
      <c r="O397" s="112"/>
      <c r="P397" s="112"/>
      <c r="Q397" s="104" t="str">
        <f t="shared" si="30"/>
        <v/>
      </c>
      <c r="R397" s="104" t="str">
        <f t="shared" si="31"/>
        <v/>
      </c>
      <c r="S397" s="104" t="str">
        <f t="shared" si="32"/>
        <v/>
      </c>
      <c r="T397" s="104" t="str">
        <f t="shared" si="33"/>
        <v/>
      </c>
      <c r="U397" s="104" t="str">
        <f t="shared" si="34"/>
        <v/>
      </c>
      <c r="V397" s="104" t="str">
        <f t="shared" si="35"/>
        <v/>
      </c>
      <c r="W397" s="105"/>
    </row>
    <row r="398" spans="1:23">
      <c r="A398" s="92"/>
      <c r="B398" s="121"/>
      <c r="C398" s="107"/>
      <c r="D398" s="117"/>
      <c r="E398" s="117"/>
      <c r="F398" s="118"/>
      <c r="G398" s="108"/>
      <c r="H398" s="98"/>
      <c r="I398" s="99"/>
      <c r="J398" s="101"/>
      <c r="K398" s="109"/>
      <c r="L398" s="110"/>
      <c r="M398" s="111"/>
      <c r="N398" s="99"/>
      <c r="O398" s="112"/>
      <c r="P398" s="112"/>
      <c r="Q398" s="104" t="str">
        <f t="shared" si="30"/>
        <v/>
      </c>
      <c r="R398" s="104" t="str">
        <f t="shared" si="31"/>
        <v/>
      </c>
      <c r="S398" s="104" t="str">
        <f t="shared" si="32"/>
        <v/>
      </c>
      <c r="T398" s="104" t="str">
        <f t="shared" si="33"/>
        <v/>
      </c>
      <c r="U398" s="104" t="str">
        <f t="shared" si="34"/>
        <v/>
      </c>
      <c r="V398" s="104" t="str">
        <f t="shared" si="35"/>
        <v/>
      </c>
      <c r="W398" s="105"/>
    </row>
    <row r="399" spans="1:23" ht="15" customHeight="1">
      <c r="A399" s="92">
        <v>77</v>
      </c>
      <c r="B399" s="121" t="s">
        <v>426</v>
      </c>
      <c r="C399" s="122"/>
      <c r="D399" s="797">
        <f>0.75-0.05+0.3+1.25</f>
        <v>2.25</v>
      </c>
      <c r="E399" s="797"/>
      <c r="F399" s="118"/>
      <c r="G399" s="108">
        <v>0.25</v>
      </c>
      <c r="H399" s="98">
        <v>25</v>
      </c>
      <c r="I399" s="99">
        <v>1</v>
      </c>
      <c r="J399" s="101">
        <f>ROUND(2.6/G399+1,0)</f>
        <v>11</v>
      </c>
      <c r="K399" s="109">
        <f>D399</f>
        <v>2.25</v>
      </c>
      <c r="L399" s="110" t="str">
        <f>IF(O399&lt;12,"0",0.049*H399)</f>
        <v>0</v>
      </c>
      <c r="M399" s="111">
        <v>0</v>
      </c>
      <c r="N399" s="99">
        <f>M399*2*H399/1000</f>
        <v>0</v>
      </c>
      <c r="O399" s="112">
        <f>(D399)-N399</f>
        <v>2.25</v>
      </c>
      <c r="P399" s="112">
        <f>(I399*J399*O399)+L399</f>
        <v>24.75</v>
      </c>
      <c r="Q399" s="104" t="str">
        <f t="shared" si="30"/>
        <v/>
      </c>
      <c r="R399" s="104" t="str">
        <f t="shared" si="31"/>
        <v/>
      </c>
      <c r="S399" s="104" t="str">
        <f t="shared" si="32"/>
        <v/>
      </c>
      <c r="T399" s="104" t="str">
        <f t="shared" si="33"/>
        <v/>
      </c>
      <c r="U399" s="104" t="str">
        <f t="shared" si="34"/>
        <v/>
      </c>
      <c r="V399" s="104">
        <f t="shared" si="35"/>
        <v>24.75</v>
      </c>
      <c r="W399" s="105"/>
    </row>
    <row r="400" spans="1:23">
      <c r="A400" s="92"/>
      <c r="B400" s="121" t="s">
        <v>306</v>
      </c>
      <c r="C400" s="107"/>
      <c r="D400" s="117"/>
      <c r="E400" s="117"/>
      <c r="F400" s="118"/>
      <c r="G400" s="108"/>
      <c r="H400" s="98"/>
      <c r="I400" s="99"/>
      <c r="J400" s="101"/>
      <c r="K400" s="109"/>
      <c r="L400" s="110"/>
      <c r="M400" s="111"/>
      <c r="N400" s="99"/>
      <c r="O400" s="112"/>
      <c r="P400" s="112"/>
      <c r="Q400" s="104" t="str">
        <f t="shared" si="30"/>
        <v/>
      </c>
      <c r="R400" s="104" t="str">
        <f t="shared" si="31"/>
        <v/>
      </c>
      <c r="S400" s="104" t="str">
        <f t="shared" si="32"/>
        <v/>
      </c>
      <c r="T400" s="104" t="str">
        <f t="shared" si="33"/>
        <v/>
      </c>
      <c r="U400" s="104" t="str">
        <f t="shared" si="34"/>
        <v/>
      </c>
      <c r="V400" s="104" t="str">
        <f t="shared" si="35"/>
        <v/>
      </c>
      <c r="W400" s="105"/>
    </row>
    <row r="401" spans="1:23">
      <c r="A401" s="92"/>
      <c r="B401" s="121"/>
      <c r="C401" s="107"/>
      <c r="D401" s="117"/>
      <c r="E401" s="117"/>
      <c r="F401" s="118"/>
      <c r="G401" s="108"/>
      <c r="H401" s="98"/>
      <c r="I401" s="99"/>
      <c r="J401" s="101"/>
      <c r="K401" s="109"/>
      <c r="L401" s="110"/>
      <c r="M401" s="111"/>
      <c r="N401" s="99"/>
      <c r="O401" s="112"/>
      <c r="P401" s="112"/>
      <c r="Q401" s="104" t="str">
        <f t="shared" si="30"/>
        <v/>
      </c>
      <c r="R401" s="104" t="str">
        <f t="shared" si="31"/>
        <v/>
      </c>
      <c r="S401" s="104" t="str">
        <f t="shared" si="32"/>
        <v/>
      </c>
      <c r="T401" s="104" t="str">
        <f t="shared" si="33"/>
        <v/>
      </c>
      <c r="U401" s="104" t="str">
        <f t="shared" si="34"/>
        <v/>
      </c>
      <c r="V401" s="104" t="str">
        <f t="shared" si="35"/>
        <v/>
      </c>
      <c r="W401" s="105"/>
    </row>
    <row r="402" spans="1:23" ht="15" customHeight="1">
      <c r="A402" s="92">
        <v>78</v>
      </c>
      <c r="B402" s="121" t="s">
        <v>427</v>
      </c>
      <c r="C402" s="122"/>
      <c r="D402" s="798">
        <f>1+0.6+1</f>
        <v>2.6</v>
      </c>
      <c r="E402" s="798"/>
      <c r="F402" s="118"/>
      <c r="G402" s="108">
        <v>0.25</v>
      </c>
      <c r="H402" s="98">
        <v>20</v>
      </c>
      <c r="I402" s="99">
        <v>1</v>
      </c>
      <c r="J402" s="101">
        <f>ROUND(2.25/G402+1,0)</f>
        <v>10</v>
      </c>
      <c r="K402" s="109">
        <f>D402</f>
        <v>2.6</v>
      </c>
      <c r="L402" s="110" t="str">
        <f>IF(O402&lt;12,"0",0.049*H402)</f>
        <v>0</v>
      </c>
      <c r="M402" s="111">
        <v>0</v>
      </c>
      <c r="N402" s="99">
        <f>M402*2*H402/1000</f>
        <v>0</v>
      </c>
      <c r="O402" s="112">
        <f>(D402)-N402</f>
        <v>2.6</v>
      </c>
      <c r="P402" s="112">
        <f>(I402*J402*O402)+L402</f>
        <v>26</v>
      </c>
      <c r="Q402" s="104" t="str">
        <f t="shared" si="30"/>
        <v/>
      </c>
      <c r="R402" s="104" t="str">
        <f t="shared" si="31"/>
        <v/>
      </c>
      <c r="S402" s="104" t="str">
        <f t="shared" si="32"/>
        <v/>
      </c>
      <c r="T402" s="104" t="str">
        <f t="shared" si="33"/>
        <v/>
      </c>
      <c r="U402" s="104">
        <f t="shared" si="34"/>
        <v>26</v>
      </c>
      <c r="V402" s="104" t="str">
        <f t="shared" si="35"/>
        <v/>
      </c>
      <c r="W402" s="105"/>
    </row>
    <row r="403" spans="1:23">
      <c r="A403" s="92"/>
      <c r="B403" s="121" t="s">
        <v>306</v>
      </c>
      <c r="C403" s="107"/>
      <c r="D403" s="117"/>
      <c r="E403" s="117"/>
      <c r="F403" s="118"/>
      <c r="G403" s="108"/>
      <c r="H403" s="98"/>
      <c r="I403" s="99"/>
      <c r="J403" s="101"/>
      <c r="K403" s="109"/>
      <c r="L403" s="110"/>
      <c r="M403" s="111"/>
      <c r="N403" s="99"/>
      <c r="O403" s="112"/>
      <c r="P403" s="112"/>
      <c r="Q403" s="104" t="str">
        <f t="shared" si="30"/>
        <v/>
      </c>
      <c r="R403" s="104" t="str">
        <f t="shared" si="31"/>
        <v/>
      </c>
      <c r="S403" s="104" t="str">
        <f t="shared" si="32"/>
        <v/>
      </c>
      <c r="T403" s="104" t="str">
        <f t="shared" si="33"/>
        <v/>
      </c>
      <c r="U403" s="104" t="str">
        <f t="shared" si="34"/>
        <v/>
      </c>
      <c r="V403" s="104" t="str">
        <f t="shared" si="35"/>
        <v/>
      </c>
      <c r="W403" s="105"/>
    </row>
    <row r="404" spans="1:23">
      <c r="A404" s="92"/>
      <c r="B404" s="121"/>
      <c r="C404" s="107"/>
      <c r="D404" s="117"/>
      <c r="E404" s="117"/>
      <c r="F404" s="118"/>
      <c r="G404" s="108"/>
      <c r="H404" s="98"/>
      <c r="I404" s="99"/>
      <c r="J404" s="101"/>
      <c r="K404" s="109"/>
      <c r="L404" s="110"/>
      <c r="M404" s="111"/>
      <c r="N404" s="99"/>
      <c r="O404" s="112"/>
      <c r="P404" s="112"/>
      <c r="Q404" s="104" t="str">
        <f t="shared" si="30"/>
        <v/>
      </c>
      <c r="R404" s="104" t="str">
        <f t="shared" si="31"/>
        <v/>
      </c>
      <c r="S404" s="104" t="str">
        <f t="shared" si="32"/>
        <v/>
      </c>
      <c r="T404" s="104" t="str">
        <f t="shared" si="33"/>
        <v/>
      </c>
      <c r="U404" s="104" t="str">
        <f t="shared" si="34"/>
        <v/>
      </c>
      <c r="V404" s="104" t="str">
        <f t="shared" si="35"/>
        <v/>
      </c>
      <c r="W404" s="105"/>
    </row>
    <row r="405" spans="1:23" ht="15" customHeight="1">
      <c r="A405" s="92">
        <v>79</v>
      </c>
      <c r="B405" s="121" t="s">
        <v>426</v>
      </c>
      <c r="C405" s="122"/>
      <c r="D405" s="797">
        <f>0.75-0.05+0.3+1.25</f>
        <v>2.25</v>
      </c>
      <c r="E405" s="797"/>
      <c r="F405" s="118"/>
      <c r="G405" s="108">
        <v>0.25</v>
      </c>
      <c r="H405" s="98">
        <v>25</v>
      </c>
      <c r="I405" s="99">
        <v>1</v>
      </c>
      <c r="J405" s="101">
        <f>ROUND(3.1/G405+1,0)</f>
        <v>13</v>
      </c>
      <c r="K405" s="109">
        <f>D405</f>
        <v>2.25</v>
      </c>
      <c r="L405" s="110" t="str">
        <f>IF(O405&lt;12,"0",0.049*H405)</f>
        <v>0</v>
      </c>
      <c r="M405" s="111">
        <v>0</v>
      </c>
      <c r="N405" s="99">
        <f>M405*2*H405/1000</f>
        <v>0</v>
      </c>
      <c r="O405" s="112">
        <f>(D405)-N405</f>
        <v>2.25</v>
      </c>
      <c r="P405" s="112">
        <f>(I405*J405*O405)+L405</f>
        <v>29.25</v>
      </c>
      <c r="Q405" s="104" t="str">
        <f t="shared" si="30"/>
        <v/>
      </c>
      <c r="R405" s="104" t="str">
        <f t="shared" si="31"/>
        <v/>
      </c>
      <c r="S405" s="104" t="str">
        <f t="shared" si="32"/>
        <v/>
      </c>
      <c r="T405" s="104" t="str">
        <f t="shared" si="33"/>
        <v/>
      </c>
      <c r="U405" s="104" t="str">
        <f t="shared" si="34"/>
        <v/>
      </c>
      <c r="V405" s="104">
        <f t="shared" si="35"/>
        <v>29.25</v>
      </c>
      <c r="W405" s="105"/>
    </row>
    <row r="406" spans="1:23">
      <c r="A406" s="92"/>
      <c r="B406" s="121" t="s">
        <v>307</v>
      </c>
      <c r="C406" s="107"/>
      <c r="D406" s="117"/>
      <c r="E406" s="117"/>
      <c r="F406" s="118"/>
      <c r="G406" s="108"/>
      <c r="H406" s="98"/>
      <c r="I406" s="99"/>
      <c r="J406" s="101"/>
      <c r="K406" s="109"/>
      <c r="L406" s="110"/>
      <c r="M406" s="111"/>
      <c r="N406" s="99"/>
      <c r="O406" s="112"/>
      <c r="P406" s="112"/>
      <c r="Q406" s="104" t="str">
        <f t="shared" si="30"/>
        <v/>
      </c>
      <c r="R406" s="104" t="str">
        <f t="shared" si="31"/>
        <v/>
      </c>
      <c r="S406" s="104" t="str">
        <f t="shared" si="32"/>
        <v/>
      </c>
      <c r="T406" s="104" t="str">
        <f t="shared" si="33"/>
        <v/>
      </c>
      <c r="U406" s="104" t="str">
        <f t="shared" si="34"/>
        <v/>
      </c>
      <c r="V406" s="104" t="str">
        <f t="shared" si="35"/>
        <v/>
      </c>
      <c r="W406" s="105"/>
    </row>
    <row r="407" spans="1:23">
      <c r="A407" s="92"/>
      <c r="B407" s="121"/>
      <c r="C407" s="107"/>
      <c r="D407" s="117"/>
      <c r="E407" s="117"/>
      <c r="F407" s="118"/>
      <c r="G407" s="108"/>
      <c r="H407" s="98"/>
      <c r="I407" s="99"/>
      <c r="J407" s="101"/>
      <c r="K407" s="109"/>
      <c r="L407" s="110"/>
      <c r="M407" s="111"/>
      <c r="N407" s="99"/>
      <c r="O407" s="112"/>
      <c r="P407" s="112"/>
      <c r="Q407" s="104" t="str">
        <f t="shared" si="30"/>
        <v/>
      </c>
      <c r="R407" s="104" t="str">
        <f t="shared" si="31"/>
        <v/>
      </c>
      <c r="S407" s="104" t="str">
        <f t="shared" si="32"/>
        <v/>
      </c>
      <c r="T407" s="104" t="str">
        <f t="shared" si="33"/>
        <v/>
      </c>
      <c r="U407" s="104" t="str">
        <f t="shared" si="34"/>
        <v/>
      </c>
      <c r="V407" s="104" t="str">
        <f t="shared" si="35"/>
        <v/>
      </c>
      <c r="W407" s="105"/>
    </row>
    <row r="408" spans="1:23" ht="15" customHeight="1">
      <c r="A408" s="92">
        <v>80</v>
      </c>
      <c r="B408" s="121" t="s">
        <v>427</v>
      </c>
      <c r="C408" s="122"/>
      <c r="D408" s="798">
        <f>1.25+0.6+1.25</f>
        <v>3.1</v>
      </c>
      <c r="E408" s="798"/>
      <c r="F408" s="118"/>
      <c r="G408" s="108">
        <v>0.25</v>
      </c>
      <c r="H408" s="98">
        <v>25</v>
      </c>
      <c r="I408" s="99">
        <v>1</v>
      </c>
      <c r="J408" s="101">
        <f>ROUND(2.25/G408+1,0)</f>
        <v>10</v>
      </c>
      <c r="K408" s="109">
        <f>D408</f>
        <v>3.1</v>
      </c>
      <c r="L408" s="110" t="str">
        <f>IF(O408&lt;12,"0",0.049*H408)</f>
        <v>0</v>
      </c>
      <c r="M408" s="111">
        <v>0</v>
      </c>
      <c r="N408" s="99">
        <f>M408*2*H408/1000</f>
        <v>0</v>
      </c>
      <c r="O408" s="112">
        <f>(D408)-N408</f>
        <v>3.1</v>
      </c>
      <c r="P408" s="112">
        <f>(I408*J408*O408)+L408</f>
        <v>31</v>
      </c>
      <c r="Q408" s="104" t="str">
        <f t="shared" si="30"/>
        <v/>
      </c>
      <c r="R408" s="104" t="str">
        <f t="shared" si="31"/>
        <v/>
      </c>
      <c r="S408" s="104" t="str">
        <f t="shared" si="32"/>
        <v/>
      </c>
      <c r="T408" s="104" t="str">
        <f t="shared" si="33"/>
        <v/>
      </c>
      <c r="U408" s="104" t="str">
        <f t="shared" si="34"/>
        <v/>
      </c>
      <c r="V408" s="104">
        <f t="shared" si="35"/>
        <v>31</v>
      </c>
      <c r="W408" s="105"/>
    </row>
    <row r="409" spans="1:23">
      <c r="A409" s="92"/>
      <c r="B409" s="121" t="s">
        <v>307</v>
      </c>
      <c r="C409" s="107"/>
      <c r="D409" s="117"/>
      <c r="E409" s="117"/>
      <c r="F409" s="118"/>
      <c r="G409" s="108"/>
      <c r="H409" s="98"/>
      <c r="I409" s="99"/>
      <c r="J409" s="101"/>
      <c r="K409" s="109"/>
      <c r="L409" s="110"/>
      <c r="M409" s="111"/>
      <c r="N409" s="99"/>
      <c r="O409" s="112"/>
      <c r="P409" s="112"/>
      <c r="Q409" s="104" t="str">
        <f t="shared" si="30"/>
        <v/>
      </c>
      <c r="R409" s="104" t="str">
        <f t="shared" si="31"/>
        <v/>
      </c>
      <c r="S409" s="104" t="str">
        <f t="shared" si="32"/>
        <v/>
      </c>
      <c r="T409" s="104" t="str">
        <f t="shared" si="33"/>
        <v/>
      </c>
      <c r="U409" s="104" t="str">
        <f t="shared" si="34"/>
        <v/>
      </c>
      <c r="V409" s="104" t="str">
        <f t="shared" si="35"/>
        <v/>
      </c>
      <c r="W409" s="105"/>
    </row>
    <row r="410" spans="1:23">
      <c r="A410" s="92"/>
      <c r="B410" s="121"/>
      <c r="C410" s="107"/>
      <c r="D410" s="117"/>
      <c r="E410" s="117"/>
      <c r="F410" s="118"/>
      <c r="G410" s="108"/>
      <c r="H410" s="98"/>
      <c r="I410" s="99"/>
      <c r="J410" s="101"/>
      <c r="K410" s="109"/>
      <c r="L410" s="110"/>
      <c r="M410" s="111"/>
      <c r="N410" s="99"/>
      <c r="O410" s="112"/>
      <c r="P410" s="112"/>
      <c r="Q410" s="104" t="str">
        <f t="shared" si="30"/>
        <v/>
      </c>
      <c r="R410" s="104" t="str">
        <f t="shared" si="31"/>
        <v/>
      </c>
      <c r="S410" s="104" t="str">
        <f t="shared" si="32"/>
        <v/>
      </c>
      <c r="T410" s="104" t="str">
        <f t="shared" si="33"/>
        <v/>
      </c>
      <c r="U410" s="104" t="str">
        <f t="shared" si="34"/>
        <v/>
      </c>
      <c r="V410" s="104" t="str">
        <f t="shared" si="35"/>
        <v/>
      </c>
      <c r="W410" s="105"/>
    </row>
    <row r="411" spans="1:23" ht="15" customHeight="1">
      <c r="A411" s="92">
        <v>81</v>
      </c>
      <c r="B411" s="121" t="s">
        <v>426</v>
      </c>
      <c r="C411" s="122"/>
      <c r="D411" s="798">
        <v>3.65</v>
      </c>
      <c r="E411" s="798"/>
      <c r="F411" s="118"/>
      <c r="G411" s="108">
        <v>0.25</v>
      </c>
      <c r="H411" s="98">
        <v>20</v>
      </c>
      <c r="I411" s="99">
        <v>1</v>
      </c>
      <c r="J411" s="101">
        <f>ROUND(4.045/G411+1,0)</f>
        <v>17</v>
      </c>
      <c r="K411" s="109">
        <f>D411</f>
        <v>3.65</v>
      </c>
      <c r="L411" s="110" t="str">
        <f>IF(O411&lt;12,"0",0.049*H411)</f>
        <v>0</v>
      </c>
      <c r="M411" s="111">
        <v>0</v>
      </c>
      <c r="N411" s="99">
        <f>M411*2*H411/1000</f>
        <v>0</v>
      </c>
      <c r="O411" s="112">
        <f>(D411)-N411</f>
        <v>3.65</v>
      </c>
      <c r="P411" s="112">
        <f>(I411*J411*O411)+L411</f>
        <v>62.05</v>
      </c>
      <c r="Q411" s="104" t="str">
        <f t="shared" si="30"/>
        <v/>
      </c>
      <c r="R411" s="104" t="str">
        <f t="shared" si="31"/>
        <v/>
      </c>
      <c r="S411" s="104" t="str">
        <f t="shared" si="32"/>
        <v/>
      </c>
      <c r="T411" s="104" t="str">
        <f t="shared" si="33"/>
        <v/>
      </c>
      <c r="U411" s="104">
        <f t="shared" si="34"/>
        <v>62.05</v>
      </c>
      <c r="V411" s="104" t="str">
        <f t="shared" si="35"/>
        <v/>
      </c>
      <c r="W411" s="105"/>
    </row>
    <row r="412" spans="1:23">
      <c r="A412" s="92"/>
      <c r="B412" s="121" t="s">
        <v>308</v>
      </c>
      <c r="C412" s="107"/>
      <c r="D412" s="117"/>
      <c r="E412" s="117"/>
      <c r="F412" s="118"/>
      <c r="G412" s="108"/>
      <c r="H412" s="98"/>
      <c r="I412" s="99"/>
      <c r="J412" s="101"/>
      <c r="K412" s="109"/>
      <c r="L412" s="110"/>
      <c r="M412" s="111"/>
      <c r="N412" s="99"/>
      <c r="O412" s="112"/>
      <c r="P412" s="112"/>
      <c r="Q412" s="104" t="str">
        <f t="shared" si="30"/>
        <v/>
      </c>
      <c r="R412" s="104" t="str">
        <f t="shared" si="31"/>
        <v/>
      </c>
      <c r="S412" s="104" t="str">
        <f t="shared" si="32"/>
        <v/>
      </c>
      <c r="T412" s="104" t="str">
        <f t="shared" si="33"/>
        <v/>
      </c>
      <c r="U412" s="104" t="str">
        <f t="shared" si="34"/>
        <v/>
      </c>
      <c r="V412" s="104" t="str">
        <f t="shared" si="35"/>
        <v/>
      </c>
      <c r="W412" s="105"/>
    </row>
    <row r="413" spans="1:23">
      <c r="A413" s="92"/>
      <c r="B413" s="121"/>
      <c r="C413" s="107"/>
      <c r="D413" s="117"/>
      <c r="E413" s="117"/>
      <c r="F413" s="118"/>
      <c r="G413" s="108"/>
      <c r="H413" s="98"/>
      <c r="I413" s="99"/>
      <c r="J413" s="101"/>
      <c r="K413" s="109"/>
      <c r="L413" s="110"/>
      <c r="M413" s="111"/>
      <c r="N413" s="99"/>
      <c r="O413" s="112"/>
      <c r="P413" s="112"/>
      <c r="Q413" s="104" t="str">
        <f t="shared" si="30"/>
        <v/>
      </c>
      <c r="R413" s="104" t="str">
        <f t="shared" si="31"/>
        <v/>
      </c>
      <c r="S413" s="104" t="str">
        <f t="shared" si="32"/>
        <v/>
      </c>
      <c r="T413" s="104" t="str">
        <f t="shared" si="33"/>
        <v/>
      </c>
      <c r="U413" s="104" t="str">
        <f t="shared" si="34"/>
        <v/>
      </c>
      <c r="V413" s="104" t="str">
        <f t="shared" si="35"/>
        <v/>
      </c>
      <c r="W413" s="105"/>
    </row>
    <row r="414" spans="1:23" ht="15" customHeight="1">
      <c r="A414" s="92">
        <v>82</v>
      </c>
      <c r="B414" s="121" t="s">
        <v>427</v>
      </c>
      <c r="C414" s="122"/>
      <c r="D414" s="798">
        <v>4.3449999999999998</v>
      </c>
      <c r="E414" s="798"/>
      <c r="F414" s="118"/>
      <c r="G414" s="108">
        <v>0.25</v>
      </c>
      <c r="H414" s="98">
        <v>20</v>
      </c>
      <c r="I414" s="99">
        <v>1</v>
      </c>
      <c r="J414" s="101">
        <f>ROUND(3.535/G414+1,0)</f>
        <v>15</v>
      </c>
      <c r="K414" s="109">
        <f>D414</f>
        <v>4.3449999999999998</v>
      </c>
      <c r="L414" s="110" t="str">
        <f>IF(O414&lt;12,"0",0.049*H414)</f>
        <v>0</v>
      </c>
      <c r="M414" s="111">
        <v>0</v>
      </c>
      <c r="N414" s="99">
        <f>M414*2*H414/1000</f>
        <v>0</v>
      </c>
      <c r="O414" s="112">
        <f>(D414)-N414</f>
        <v>4.3449999999999998</v>
      </c>
      <c r="P414" s="112">
        <f>(I414*J414*O414)+L414</f>
        <v>65.174999999999997</v>
      </c>
      <c r="Q414" s="104" t="str">
        <f t="shared" si="30"/>
        <v/>
      </c>
      <c r="R414" s="104" t="str">
        <f t="shared" si="31"/>
        <v/>
      </c>
      <c r="S414" s="104" t="str">
        <f t="shared" si="32"/>
        <v/>
      </c>
      <c r="T414" s="104" t="str">
        <f t="shared" si="33"/>
        <v/>
      </c>
      <c r="U414" s="104">
        <f t="shared" si="34"/>
        <v>65.174999999999997</v>
      </c>
      <c r="V414" s="104" t="str">
        <f t="shared" si="35"/>
        <v/>
      </c>
      <c r="W414" s="105"/>
    </row>
    <row r="415" spans="1:23">
      <c r="A415" s="92"/>
      <c r="B415" s="121" t="s">
        <v>308</v>
      </c>
      <c r="C415" s="107"/>
      <c r="D415" s="117"/>
      <c r="E415" s="117"/>
      <c r="F415" s="118"/>
      <c r="G415" s="108"/>
      <c r="H415" s="98"/>
      <c r="I415" s="99"/>
      <c r="J415" s="101"/>
      <c r="K415" s="109"/>
      <c r="L415" s="110"/>
      <c r="M415" s="111"/>
      <c r="N415" s="99"/>
      <c r="O415" s="112"/>
      <c r="P415" s="112"/>
      <c r="Q415" s="104" t="str">
        <f t="shared" si="30"/>
        <v/>
      </c>
      <c r="R415" s="104" t="str">
        <f t="shared" si="31"/>
        <v/>
      </c>
      <c r="S415" s="104" t="str">
        <f t="shared" si="32"/>
        <v/>
      </c>
      <c r="T415" s="104" t="str">
        <f t="shared" si="33"/>
        <v/>
      </c>
      <c r="U415" s="104" t="str">
        <f t="shared" si="34"/>
        <v/>
      </c>
      <c r="V415" s="104" t="str">
        <f t="shared" si="35"/>
        <v/>
      </c>
      <c r="W415" s="105"/>
    </row>
    <row r="416" spans="1:23">
      <c r="A416" s="92"/>
      <c r="B416" s="121"/>
      <c r="C416" s="107"/>
      <c r="D416" s="117"/>
      <c r="E416" s="117"/>
      <c r="F416" s="118"/>
      <c r="G416" s="108"/>
      <c r="H416" s="98"/>
      <c r="I416" s="99"/>
      <c r="J416" s="101"/>
      <c r="K416" s="109"/>
      <c r="L416" s="110"/>
      <c r="M416" s="111"/>
      <c r="N416" s="99"/>
      <c r="O416" s="112"/>
      <c r="P416" s="112"/>
      <c r="Q416" s="104" t="str">
        <f t="shared" si="30"/>
        <v/>
      </c>
      <c r="R416" s="104" t="str">
        <f t="shared" si="31"/>
        <v/>
      </c>
      <c r="S416" s="104" t="str">
        <f t="shared" si="32"/>
        <v/>
      </c>
      <c r="T416" s="104" t="str">
        <f t="shared" si="33"/>
        <v/>
      </c>
      <c r="U416" s="104" t="str">
        <f t="shared" si="34"/>
        <v/>
      </c>
      <c r="V416" s="104" t="str">
        <f t="shared" si="35"/>
        <v/>
      </c>
      <c r="W416" s="105"/>
    </row>
    <row r="417" spans="1:23" ht="15" customHeight="1">
      <c r="A417" s="92">
        <v>83</v>
      </c>
      <c r="B417" s="121" t="s">
        <v>426</v>
      </c>
      <c r="C417" s="122"/>
      <c r="D417" s="798">
        <f>0.6+0.715+0.6</f>
        <v>1.915</v>
      </c>
      <c r="E417" s="798"/>
      <c r="F417" s="118"/>
      <c r="G417" s="108">
        <v>0.25</v>
      </c>
      <c r="H417" s="98">
        <v>12</v>
      </c>
      <c r="I417" s="99">
        <v>1</v>
      </c>
      <c r="J417" s="101">
        <f>ROUND(D420/G417+1,0)</f>
        <v>7</v>
      </c>
      <c r="K417" s="109">
        <f>D417</f>
        <v>1.915</v>
      </c>
      <c r="L417" s="110" t="str">
        <f>IF(O417&lt;12,"0",0.049*H417)</f>
        <v>0</v>
      </c>
      <c r="M417" s="111">
        <v>0</v>
      </c>
      <c r="N417" s="99">
        <f>M417*2*H417/1000</f>
        <v>0</v>
      </c>
      <c r="O417" s="112">
        <f>(D417)-N417</f>
        <v>1.915</v>
      </c>
      <c r="P417" s="112">
        <f>(I417*J417*O417)+L417</f>
        <v>13.405000000000001</v>
      </c>
      <c r="Q417" s="104" t="str">
        <f t="shared" si="30"/>
        <v/>
      </c>
      <c r="R417" s="104" t="str">
        <f t="shared" si="31"/>
        <v/>
      </c>
      <c r="S417" s="104">
        <f t="shared" si="32"/>
        <v>13.405000000000001</v>
      </c>
      <c r="T417" s="104" t="str">
        <f t="shared" si="33"/>
        <v/>
      </c>
      <c r="U417" s="104" t="str">
        <f t="shared" si="34"/>
        <v/>
      </c>
      <c r="V417" s="104" t="str">
        <f t="shared" si="35"/>
        <v/>
      </c>
      <c r="W417" s="105"/>
    </row>
    <row r="418" spans="1:23">
      <c r="A418" s="92"/>
      <c r="B418" s="121" t="s">
        <v>309</v>
      </c>
      <c r="C418" s="107"/>
      <c r="D418" s="117"/>
      <c r="E418" s="117"/>
      <c r="F418" s="118"/>
      <c r="G418" s="108"/>
      <c r="H418" s="98"/>
      <c r="I418" s="99"/>
      <c r="J418" s="101"/>
      <c r="K418" s="109"/>
      <c r="L418" s="110"/>
      <c r="M418" s="111"/>
      <c r="N418" s="99"/>
      <c r="O418" s="112"/>
      <c r="P418" s="112"/>
      <c r="Q418" s="104" t="str">
        <f t="shared" si="30"/>
        <v/>
      </c>
      <c r="R418" s="104" t="str">
        <f t="shared" si="31"/>
        <v/>
      </c>
      <c r="S418" s="104" t="str">
        <f t="shared" si="32"/>
        <v/>
      </c>
      <c r="T418" s="104" t="str">
        <f t="shared" si="33"/>
        <v/>
      </c>
      <c r="U418" s="104" t="str">
        <f t="shared" si="34"/>
        <v/>
      </c>
      <c r="V418" s="104" t="str">
        <f t="shared" si="35"/>
        <v/>
      </c>
      <c r="W418" s="105"/>
    </row>
    <row r="419" spans="1:23">
      <c r="A419" s="92"/>
      <c r="B419" s="121"/>
      <c r="C419" s="107"/>
      <c r="D419" s="117"/>
      <c r="E419" s="117"/>
      <c r="F419" s="118"/>
      <c r="G419" s="108"/>
      <c r="H419" s="98"/>
      <c r="I419" s="99"/>
      <c r="J419" s="101"/>
      <c r="K419" s="109"/>
      <c r="L419" s="110"/>
      <c r="M419" s="111"/>
      <c r="N419" s="99"/>
      <c r="O419" s="112"/>
      <c r="P419" s="112"/>
      <c r="Q419" s="104" t="str">
        <f t="shared" si="30"/>
        <v/>
      </c>
      <c r="R419" s="104" t="str">
        <f t="shared" si="31"/>
        <v/>
      </c>
      <c r="S419" s="104" t="str">
        <f t="shared" si="32"/>
        <v/>
      </c>
      <c r="T419" s="104" t="str">
        <f t="shared" si="33"/>
        <v/>
      </c>
      <c r="U419" s="104" t="str">
        <f t="shared" si="34"/>
        <v/>
      </c>
      <c r="V419" s="104" t="str">
        <f t="shared" si="35"/>
        <v/>
      </c>
      <c r="W419" s="105"/>
    </row>
    <row r="420" spans="1:23" ht="15" customHeight="1">
      <c r="A420" s="92">
        <v>84</v>
      </c>
      <c r="B420" s="121" t="s">
        <v>427</v>
      </c>
      <c r="C420" s="122"/>
      <c r="D420" s="798">
        <f>0.75-0.05+0.3+0.6</f>
        <v>1.6</v>
      </c>
      <c r="E420" s="798"/>
      <c r="F420" s="118"/>
      <c r="G420" s="108">
        <v>0.25</v>
      </c>
      <c r="H420" s="98">
        <v>12</v>
      </c>
      <c r="I420" s="99">
        <v>1</v>
      </c>
      <c r="J420" s="101">
        <f>ROUND(D417/G420+1,0)</f>
        <v>9</v>
      </c>
      <c r="K420" s="109">
        <f>D420</f>
        <v>1.6</v>
      </c>
      <c r="L420" s="110" t="str">
        <f>IF(O420&lt;12,"0",0.049*H420)</f>
        <v>0</v>
      </c>
      <c r="M420" s="111">
        <v>0</v>
      </c>
      <c r="N420" s="99">
        <f>M420*2*H420/1000</f>
        <v>0</v>
      </c>
      <c r="O420" s="112">
        <f>(D420)-N420</f>
        <v>1.6</v>
      </c>
      <c r="P420" s="112">
        <f>(I420*J420*O420)+L420</f>
        <v>14.4</v>
      </c>
      <c r="Q420" s="104" t="str">
        <f t="shared" si="30"/>
        <v/>
      </c>
      <c r="R420" s="104" t="str">
        <f t="shared" si="31"/>
        <v/>
      </c>
      <c r="S420" s="104">
        <f t="shared" si="32"/>
        <v>14.4</v>
      </c>
      <c r="T420" s="104" t="str">
        <f t="shared" si="33"/>
        <v/>
      </c>
      <c r="U420" s="104" t="str">
        <f t="shared" si="34"/>
        <v/>
      </c>
      <c r="V420" s="104" t="str">
        <f t="shared" si="35"/>
        <v/>
      </c>
      <c r="W420" s="105"/>
    </row>
    <row r="421" spans="1:23">
      <c r="A421" s="92"/>
      <c r="B421" s="121" t="s">
        <v>309</v>
      </c>
      <c r="C421" s="107"/>
      <c r="D421" s="117"/>
      <c r="E421" s="117"/>
      <c r="F421" s="118"/>
      <c r="G421" s="108"/>
      <c r="H421" s="98"/>
      <c r="I421" s="99"/>
      <c r="J421" s="101"/>
      <c r="K421" s="109"/>
      <c r="L421" s="110"/>
      <c r="M421" s="111"/>
      <c r="N421" s="99"/>
      <c r="O421" s="112"/>
      <c r="P421" s="112"/>
      <c r="Q421" s="104" t="str">
        <f t="shared" si="30"/>
        <v/>
      </c>
      <c r="R421" s="104" t="str">
        <f t="shared" si="31"/>
        <v/>
      </c>
      <c r="S421" s="104" t="str">
        <f t="shared" si="32"/>
        <v/>
      </c>
      <c r="T421" s="104" t="str">
        <f t="shared" si="33"/>
        <v/>
      </c>
      <c r="U421" s="104" t="str">
        <f t="shared" si="34"/>
        <v/>
      </c>
      <c r="V421" s="104" t="str">
        <f t="shared" si="35"/>
        <v/>
      </c>
      <c r="W421" s="105"/>
    </row>
    <row r="422" spans="1:23">
      <c r="A422" s="92"/>
      <c r="B422" s="121"/>
      <c r="C422" s="107"/>
      <c r="D422" s="117"/>
      <c r="E422" s="117"/>
      <c r="F422" s="118"/>
      <c r="G422" s="108"/>
      <c r="H422" s="98"/>
      <c r="I422" s="99"/>
      <c r="J422" s="101"/>
      <c r="K422" s="109"/>
      <c r="L422" s="110"/>
      <c r="M422" s="111"/>
      <c r="N422" s="99"/>
      <c r="O422" s="112"/>
      <c r="P422" s="112"/>
      <c r="Q422" s="104" t="str">
        <f t="shared" si="30"/>
        <v/>
      </c>
      <c r="R422" s="104" t="str">
        <f t="shared" si="31"/>
        <v/>
      </c>
      <c r="S422" s="104" t="str">
        <f t="shared" si="32"/>
        <v/>
      </c>
      <c r="T422" s="104" t="str">
        <f t="shared" si="33"/>
        <v/>
      </c>
      <c r="U422" s="104" t="str">
        <f t="shared" si="34"/>
        <v/>
      </c>
      <c r="V422" s="104" t="str">
        <f t="shared" si="35"/>
        <v/>
      </c>
      <c r="W422" s="105"/>
    </row>
    <row r="423" spans="1:23" ht="15" customHeight="1">
      <c r="A423" s="92">
        <v>85</v>
      </c>
      <c r="B423" s="121" t="s">
        <v>426</v>
      </c>
      <c r="C423" s="122"/>
      <c r="D423" s="798">
        <f>0.6+0.715+0.6</f>
        <v>1.915</v>
      </c>
      <c r="E423" s="798"/>
      <c r="F423" s="118"/>
      <c r="G423" s="108">
        <v>0.25</v>
      </c>
      <c r="H423" s="98">
        <v>12</v>
      </c>
      <c r="I423" s="99">
        <v>1</v>
      </c>
      <c r="J423" s="101">
        <f>ROUND(D426/G423+1,0)</f>
        <v>7</v>
      </c>
      <c r="K423" s="109">
        <f>D423</f>
        <v>1.915</v>
      </c>
      <c r="L423" s="110" t="str">
        <f>IF(O423&lt;12,"0",0.049*H423)</f>
        <v>0</v>
      </c>
      <c r="M423" s="111">
        <v>0</v>
      </c>
      <c r="N423" s="99">
        <f>M423*2*H423/1000</f>
        <v>0</v>
      </c>
      <c r="O423" s="112">
        <f>(D423)-N423</f>
        <v>1.915</v>
      </c>
      <c r="P423" s="112">
        <f>(I423*J423*O423)+L423</f>
        <v>13.405000000000001</v>
      </c>
      <c r="Q423" s="104" t="str">
        <f t="shared" si="30"/>
        <v/>
      </c>
      <c r="R423" s="104" t="str">
        <f t="shared" si="31"/>
        <v/>
      </c>
      <c r="S423" s="104">
        <f t="shared" si="32"/>
        <v>13.405000000000001</v>
      </c>
      <c r="T423" s="104" t="str">
        <f t="shared" si="33"/>
        <v/>
      </c>
      <c r="U423" s="104" t="str">
        <f t="shared" si="34"/>
        <v/>
      </c>
      <c r="V423" s="104" t="str">
        <f t="shared" si="35"/>
        <v/>
      </c>
      <c r="W423" s="105"/>
    </row>
    <row r="424" spans="1:23">
      <c r="A424" s="92"/>
      <c r="B424" s="121" t="s">
        <v>310</v>
      </c>
      <c r="C424" s="107"/>
      <c r="D424" s="117"/>
      <c r="E424" s="117"/>
      <c r="F424" s="118"/>
      <c r="G424" s="108"/>
      <c r="H424" s="98"/>
      <c r="I424" s="99"/>
      <c r="J424" s="101"/>
      <c r="K424" s="109"/>
      <c r="L424" s="110"/>
      <c r="M424" s="111"/>
      <c r="N424" s="99"/>
      <c r="O424" s="112"/>
      <c r="P424" s="112"/>
      <c r="Q424" s="104" t="str">
        <f t="shared" si="30"/>
        <v/>
      </c>
      <c r="R424" s="104" t="str">
        <f t="shared" si="31"/>
        <v/>
      </c>
      <c r="S424" s="104" t="str">
        <f t="shared" si="32"/>
        <v/>
      </c>
      <c r="T424" s="104" t="str">
        <f t="shared" si="33"/>
        <v/>
      </c>
      <c r="U424" s="104" t="str">
        <f t="shared" si="34"/>
        <v/>
      </c>
      <c r="V424" s="104" t="str">
        <f t="shared" si="35"/>
        <v/>
      </c>
      <c r="W424" s="105"/>
    </row>
    <row r="425" spans="1:23">
      <c r="A425" s="92"/>
      <c r="B425" s="121"/>
      <c r="C425" s="107"/>
      <c r="D425" s="117"/>
      <c r="E425" s="117"/>
      <c r="F425" s="118"/>
      <c r="G425" s="108"/>
      <c r="H425" s="98"/>
      <c r="I425" s="99"/>
      <c r="J425" s="101"/>
      <c r="K425" s="109"/>
      <c r="L425" s="110"/>
      <c r="M425" s="111"/>
      <c r="N425" s="99"/>
      <c r="O425" s="112"/>
      <c r="P425" s="112"/>
      <c r="Q425" s="104" t="str">
        <f t="shared" si="30"/>
        <v/>
      </c>
      <c r="R425" s="104" t="str">
        <f t="shared" si="31"/>
        <v/>
      </c>
      <c r="S425" s="104" t="str">
        <f t="shared" si="32"/>
        <v/>
      </c>
      <c r="T425" s="104" t="str">
        <f t="shared" si="33"/>
        <v/>
      </c>
      <c r="U425" s="104" t="str">
        <f t="shared" si="34"/>
        <v/>
      </c>
      <c r="V425" s="104" t="str">
        <f t="shared" si="35"/>
        <v/>
      </c>
      <c r="W425" s="105"/>
    </row>
    <row r="426" spans="1:23" ht="15" customHeight="1">
      <c r="A426" s="92">
        <v>86</v>
      </c>
      <c r="B426" s="121" t="s">
        <v>427</v>
      </c>
      <c r="C426" s="122"/>
      <c r="D426" s="798">
        <f>0.75-0.05+0.3+0.6</f>
        <v>1.6</v>
      </c>
      <c r="E426" s="798"/>
      <c r="F426" s="118"/>
      <c r="G426" s="108">
        <v>0.25</v>
      </c>
      <c r="H426" s="98">
        <v>12</v>
      </c>
      <c r="I426" s="99">
        <v>1</v>
      </c>
      <c r="J426" s="101">
        <f>ROUND(D423/G426+1,0)</f>
        <v>9</v>
      </c>
      <c r="K426" s="109">
        <f>D426</f>
        <v>1.6</v>
      </c>
      <c r="L426" s="110" t="str">
        <f>IF(O426&lt;12,"0",0.049*H426)</f>
        <v>0</v>
      </c>
      <c r="M426" s="111">
        <v>0</v>
      </c>
      <c r="N426" s="99">
        <f>M426*2*H426/1000</f>
        <v>0</v>
      </c>
      <c r="O426" s="112">
        <f>(D426)-N426</f>
        <v>1.6</v>
      </c>
      <c r="P426" s="112">
        <f>(I426*J426*O426)+L426</f>
        <v>14.4</v>
      </c>
      <c r="Q426" s="104" t="str">
        <f t="shared" si="30"/>
        <v/>
      </c>
      <c r="R426" s="104" t="str">
        <f t="shared" si="31"/>
        <v/>
      </c>
      <c r="S426" s="104">
        <f t="shared" si="32"/>
        <v>14.4</v>
      </c>
      <c r="T426" s="104" t="str">
        <f t="shared" si="33"/>
        <v/>
      </c>
      <c r="U426" s="104" t="str">
        <f t="shared" si="34"/>
        <v/>
      </c>
      <c r="V426" s="104" t="str">
        <f t="shared" si="35"/>
        <v/>
      </c>
      <c r="W426" s="105"/>
    </row>
    <row r="427" spans="1:23">
      <c r="A427" s="92"/>
      <c r="B427" s="121" t="s">
        <v>310</v>
      </c>
      <c r="C427" s="107"/>
      <c r="D427" s="117"/>
      <c r="E427" s="117"/>
      <c r="F427" s="118"/>
      <c r="G427" s="108"/>
      <c r="H427" s="98"/>
      <c r="I427" s="99"/>
      <c r="J427" s="101"/>
      <c r="K427" s="109"/>
      <c r="L427" s="110"/>
      <c r="M427" s="111"/>
      <c r="N427" s="99"/>
      <c r="O427" s="112"/>
      <c r="P427" s="112"/>
      <c r="Q427" s="104" t="str">
        <f t="shared" si="30"/>
        <v/>
      </c>
      <c r="R427" s="104" t="str">
        <f t="shared" si="31"/>
        <v/>
      </c>
      <c r="S427" s="104" t="str">
        <f t="shared" si="32"/>
        <v/>
      </c>
      <c r="T427" s="104" t="str">
        <f t="shared" si="33"/>
        <v/>
      </c>
      <c r="U427" s="104" t="str">
        <f t="shared" si="34"/>
        <v/>
      </c>
      <c r="V427" s="104" t="str">
        <f t="shared" si="35"/>
        <v/>
      </c>
      <c r="W427" s="105"/>
    </row>
    <row r="428" spans="1:23">
      <c r="A428" s="92"/>
      <c r="B428" s="121"/>
      <c r="C428" s="107"/>
      <c r="D428" s="117"/>
      <c r="E428" s="117"/>
      <c r="F428" s="118"/>
      <c r="G428" s="108"/>
      <c r="H428" s="98"/>
      <c r="I428" s="99"/>
      <c r="J428" s="101"/>
      <c r="K428" s="109"/>
      <c r="L428" s="110"/>
      <c r="M428" s="111"/>
      <c r="N428" s="99"/>
      <c r="O428" s="112"/>
      <c r="P428" s="112"/>
      <c r="Q428" s="104" t="str">
        <f t="shared" si="30"/>
        <v/>
      </c>
      <c r="R428" s="104" t="str">
        <f t="shared" si="31"/>
        <v/>
      </c>
      <c r="S428" s="104" t="str">
        <f t="shared" si="32"/>
        <v/>
      </c>
      <c r="T428" s="104" t="str">
        <f t="shared" si="33"/>
        <v/>
      </c>
      <c r="U428" s="104" t="str">
        <f t="shared" si="34"/>
        <v/>
      </c>
      <c r="V428" s="104" t="str">
        <f t="shared" si="35"/>
        <v/>
      </c>
      <c r="W428" s="105"/>
    </row>
    <row r="429" spans="1:23" ht="15" customHeight="1">
      <c r="A429" s="92">
        <v>87</v>
      </c>
      <c r="B429" s="121" t="s">
        <v>426</v>
      </c>
      <c r="C429" s="122"/>
      <c r="D429" s="798">
        <f>1+0.3+1</f>
        <v>2.2999999999999998</v>
      </c>
      <c r="E429" s="798"/>
      <c r="F429" s="118"/>
      <c r="G429" s="108">
        <v>0.25</v>
      </c>
      <c r="H429" s="98">
        <v>25</v>
      </c>
      <c r="I429" s="99">
        <v>1</v>
      </c>
      <c r="J429" s="101">
        <f>ROUND(D432/G429+1,0)</f>
        <v>10</v>
      </c>
      <c r="K429" s="109">
        <f>D429</f>
        <v>2.2999999999999998</v>
      </c>
      <c r="L429" s="110" t="str">
        <f>IF(O429&lt;12,"0",0.049*H429)</f>
        <v>0</v>
      </c>
      <c r="M429" s="111">
        <v>0</v>
      </c>
      <c r="N429" s="99">
        <f>M429*2*H429/1000</f>
        <v>0</v>
      </c>
      <c r="O429" s="112">
        <f>(D429)-N429</f>
        <v>2.2999999999999998</v>
      </c>
      <c r="P429" s="112">
        <f>(I429*J429*O429)+L429</f>
        <v>23</v>
      </c>
      <c r="Q429" s="104" t="str">
        <f t="shared" ref="Q429:Q492" si="36">IF($H429=8,$P429,"")</f>
        <v/>
      </c>
      <c r="R429" s="104" t="str">
        <f t="shared" ref="R429:R492" si="37">IF($H429=10,$P429,"")</f>
        <v/>
      </c>
      <c r="S429" s="104" t="str">
        <f t="shared" ref="S429:S492" si="38">IF($H429=12,$P429,"")</f>
        <v/>
      </c>
      <c r="T429" s="104" t="str">
        <f t="shared" ref="T429:T492" si="39">IF($H429=16,$P429,"")</f>
        <v/>
      </c>
      <c r="U429" s="104" t="str">
        <f t="shared" ref="U429:U492" si="40">IF($H429=20,$P429,"")</f>
        <v/>
      </c>
      <c r="V429" s="104">
        <f t="shared" ref="V429:V492" si="41">IF($H429=25,$P429,"")</f>
        <v>23</v>
      </c>
      <c r="W429" s="105"/>
    </row>
    <row r="430" spans="1:23">
      <c r="A430" s="92"/>
      <c r="B430" s="121" t="s">
        <v>311</v>
      </c>
      <c r="C430" s="107"/>
      <c r="D430" s="117"/>
      <c r="E430" s="117"/>
      <c r="F430" s="118"/>
      <c r="G430" s="108"/>
      <c r="H430" s="98"/>
      <c r="I430" s="99"/>
      <c r="J430" s="101"/>
      <c r="K430" s="109"/>
      <c r="L430" s="110"/>
      <c r="M430" s="111"/>
      <c r="N430" s="99"/>
      <c r="O430" s="112"/>
      <c r="P430" s="112"/>
      <c r="Q430" s="104" t="str">
        <f t="shared" si="36"/>
        <v/>
      </c>
      <c r="R430" s="104" t="str">
        <f t="shared" si="37"/>
        <v/>
      </c>
      <c r="S430" s="104" t="str">
        <f t="shared" si="38"/>
        <v/>
      </c>
      <c r="T430" s="104" t="str">
        <f t="shared" si="39"/>
        <v/>
      </c>
      <c r="U430" s="104" t="str">
        <f t="shared" si="40"/>
        <v/>
      </c>
      <c r="V430" s="104" t="str">
        <f t="shared" si="41"/>
        <v/>
      </c>
      <c r="W430" s="105"/>
    </row>
    <row r="431" spans="1:23">
      <c r="A431" s="92"/>
      <c r="B431" s="121"/>
      <c r="C431" s="107"/>
      <c r="D431" s="117"/>
      <c r="E431" s="117"/>
      <c r="F431" s="118"/>
      <c r="G431" s="108"/>
      <c r="H431" s="98"/>
      <c r="I431" s="99"/>
      <c r="J431" s="101"/>
      <c r="K431" s="109"/>
      <c r="L431" s="110"/>
      <c r="M431" s="111"/>
      <c r="N431" s="99"/>
      <c r="O431" s="112"/>
      <c r="P431" s="112"/>
      <c r="Q431" s="104" t="str">
        <f t="shared" si="36"/>
        <v/>
      </c>
      <c r="R431" s="104" t="str">
        <f t="shared" si="37"/>
        <v/>
      </c>
      <c r="S431" s="104" t="str">
        <f t="shared" si="38"/>
        <v/>
      </c>
      <c r="T431" s="104" t="str">
        <f t="shared" si="39"/>
        <v/>
      </c>
      <c r="U431" s="104" t="str">
        <f t="shared" si="40"/>
        <v/>
      </c>
      <c r="V431" s="104" t="str">
        <f t="shared" si="41"/>
        <v/>
      </c>
      <c r="W431" s="105"/>
    </row>
    <row r="432" spans="1:23" ht="15" customHeight="1">
      <c r="A432" s="92">
        <v>88</v>
      </c>
      <c r="B432" s="121" t="s">
        <v>427</v>
      </c>
      <c r="C432" s="122"/>
      <c r="D432" s="798">
        <f>0.8+0.6+0.8</f>
        <v>2.2000000000000002</v>
      </c>
      <c r="E432" s="798"/>
      <c r="F432" s="118"/>
      <c r="G432" s="108">
        <v>0.25</v>
      </c>
      <c r="H432" s="98">
        <v>16</v>
      </c>
      <c r="I432" s="99">
        <v>1</v>
      </c>
      <c r="J432" s="101">
        <f>ROUND(D429/G432+1,0)</f>
        <v>10</v>
      </c>
      <c r="K432" s="109">
        <f>D432</f>
        <v>2.2000000000000002</v>
      </c>
      <c r="L432" s="110" t="str">
        <f>IF(O432&lt;12,"0",0.049*H432)</f>
        <v>0</v>
      </c>
      <c r="M432" s="111">
        <v>0</v>
      </c>
      <c r="N432" s="99">
        <f>M432*2*H432/1000</f>
        <v>0</v>
      </c>
      <c r="O432" s="112">
        <f>(D432)-N432</f>
        <v>2.2000000000000002</v>
      </c>
      <c r="P432" s="112">
        <f>(I432*J432*O432)+L432</f>
        <v>22</v>
      </c>
      <c r="Q432" s="104" t="str">
        <f t="shared" si="36"/>
        <v/>
      </c>
      <c r="R432" s="104" t="str">
        <f t="shared" si="37"/>
        <v/>
      </c>
      <c r="S432" s="104" t="str">
        <f t="shared" si="38"/>
        <v/>
      </c>
      <c r="T432" s="104">
        <f t="shared" si="39"/>
        <v>22</v>
      </c>
      <c r="U432" s="104" t="str">
        <f t="shared" si="40"/>
        <v/>
      </c>
      <c r="V432" s="104" t="str">
        <f t="shared" si="41"/>
        <v/>
      </c>
      <c r="W432" s="105"/>
    </row>
    <row r="433" spans="1:23">
      <c r="A433" s="92"/>
      <c r="B433" s="121" t="s">
        <v>311</v>
      </c>
      <c r="C433" s="107"/>
      <c r="D433" s="117"/>
      <c r="E433" s="117"/>
      <c r="F433" s="118"/>
      <c r="G433" s="108"/>
      <c r="H433" s="98"/>
      <c r="I433" s="99"/>
      <c r="J433" s="101"/>
      <c r="K433" s="109"/>
      <c r="L433" s="110"/>
      <c r="M433" s="111"/>
      <c r="N433" s="99"/>
      <c r="O433" s="112"/>
      <c r="P433" s="112"/>
      <c r="Q433" s="104" t="str">
        <f t="shared" si="36"/>
        <v/>
      </c>
      <c r="R433" s="104" t="str">
        <f t="shared" si="37"/>
        <v/>
      </c>
      <c r="S433" s="104" t="str">
        <f t="shared" si="38"/>
        <v/>
      </c>
      <c r="T433" s="104" t="str">
        <f t="shared" si="39"/>
        <v/>
      </c>
      <c r="U433" s="104" t="str">
        <f t="shared" si="40"/>
        <v/>
      </c>
      <c r="V433" s="104" t="str">
        <f t="shared" si="41"/>
        <v/>
      </c>
      <c r="W433" s="105"/>
    </row>
    <row r="434" spans="1:23">
      <c r="A434" s="92"/>
      <c r="B434" s="121"/>
      <c r="C434" s="107"/>
      <c r="D434" s="117"/>
      <c r="E434" s="117"/>
      <c r="F434" s="118"/>
      <c r="G434" s="108"/>
      <c r="H434" s="98"/>
      <c r="I434" s="99"/>
      <c r="J434" s="101"/>
      <c r="K434" s="109"/>
      <c r="L434" s="110"/>
      <c r="M434" s="111"/>
      <c r="N434" s="99"/>
      <c r="O434" s="112"/>
      <c r="P434" s="112"/>
      <c r="Q434" s="104" t="str">
        <f t="shared" si="36"/>
        <v/>
      </c>
      <c r="R434" s="104" t="str">
        <f t="shared" si="37"/>
        <v/>
      </c>
      <c r="S434" s="104" t="str">
        <f t="shared" si="38"/>
        <v/>
      </c>
      <c r="T434" s="104" t="str">
        <f t="shared" si="39"/>
        <v/>
      </c>
      <c r="U434" s="104" t="str">
        <f t="shared" si="40"/>
        <v/>
      </c>
      <c r="V434" s="104" t="str">
        <f t="shared" si="41"/>
        <v/>
      </c>
      <c r="W434" s="105"/>
    </row>
    <row r="435" spans="1:23" ht="15" customHeight="1">
      <c r="A435" s="92">
        <v>89</v>
      </c>
      <c r="B435" s="121" t="s">
        <v>426</v>
      </c>
      <c r="C435" s="122"/>
      <c r="D435" s="798">
        <f>1+0.3+1</f>
        <v>2.2999999999999998</v>
      </c>
      <c r="E435" s="798"/>
      <c r="F435" s="118"/>
      <c r="G435" s="108">
        <v>0.25</v>
      </c>
      <c r="H435" s="98">
        <v>25</v>
      </c>
      <c r="I435" s="99">
        <v>1</v>
      </c>
      <c r="J435" s="101">
        <f>ROUND(D438/G435+1,0)</f>
        <v>10</v>
      </c>
      <c r="K435" s="109">
        <f>D435</f>
        <v>2.2999999999999998</v>
      </c>
      <c r="L435" s="110" t="str">
        <f>IF(O435&lt;12,"0",0.049*H435)</f>
        <v>0</v>
      </c>
      <c r="M435" s="111">
        <v>0</v>
      </c>
      <c r="N435" s="99">
        <f>M435*2*H435/1000</f>
        <v>0</v>
      </c>
      <c r="O435" s="112">
        <f>(D435)-N435</f>
        <v>2.2999999999999998</v>
      </c>
      <c r="P435" s="112">
        <f>(I435*J435*O435)+L435</f>
        <v>23</v>
      </c>
      <c r="Q435" s="104" t="str">
        <f t="shared" si="36"/>
        <v/>
      </c>
      <c r="R435" s="104" t="str">
        <f t="shared" si="37"/>
        <v/>
      </c>
      <c r="S435" s="104" t="str">
        <f t="shared" si="38"/>
        <v/>
      </c>
      <c r="T435" s="104" t="str">
        <f t="shared" si="39"/>
        <v/>
      </c>
      <c r="U435" s="104" t="str">
        <f t="shared" si="40"/>
        <v/>
      </c>
      <c r="V435" s="104">
        <f t="shared" si="41"/>
        <v>23</v>
      </c>
      <c r="W435" s="105"/>
    </row>
    <row r="436" spans="1:23">
      <c r="A436" s="92"/>
      <c r="B436" s="121" t="s">
        <v>312</v>
      </c>
      <c r="C436" s="107"/>
      <c r="D436" s="117"/>
      <c r="E436" s="117"/>
      <c r="F436" s="118"/>
      <c r="G436" s="108"/>
      <c r="H436" s="98"/>
      <c r="I436" s="99"/>
      <c r="J436" s="101"/>
      <c r="K436" s="109"/>
      <c r="L436" s="110"/>
      <c r="M436" s="111"/>
      <c r="N436" s="99"/>
      <c r="O436" s="112"/>
      <c r="P436" s="112"/>
      <c r="Q436" s="104" t="str">
        <f t="shared" si="36"/>
        <v/>
      </c>
      <c r="R436" s="104" t="str">
        <f t="shared" si="37"/>
        <v/>
      </c>
      <c r="S436" s="104" t="str">
        <f t="shared" si="38"/>
        <v/>
      </c>
      <c r="T436" s="104" t="str">
        <f t="shared" si="39"/>
        <v/>
      </c>
      <c r="U436" s="104" t="str">
        <f t="shared" si="40"/>
        <v/>
      </c>
      <c r="V436" s="104" t="str">
        <f t="shared" si="41"/>
        <v/>
      </c>
      <c r="W436" s="105"/>
    </row>
    <row r="437" spans="1:23">
      <c r="A437" s="92"/>
      <c r="B437" s="121"/>
      <c r="C437" s="107"/>
      <c r="D437" s="117"/>
      <c r="E437" s="117"/>
      <c r="F437" s="118"/>
      <c r="G437" s="108"/>
      <c r="H437" s="98"/>
      <c r="I437" s="99"/>
      <c r="J437" s="101"/>
      <c r="K437" s="109"/>
      <c r="L437" s="110"/>
      <c r="M437" s="111"/>
      <c r="N437" s="99"/>
      <c r="O437" s="112"/>
      <c r="P437" s="112"/>
      <c r="Q437" s="104" t="str">
        <f t="shared" si="36"/>
        <v/>
      </c>
      <c r="R437" s="104" t="str">
        <f t="shared" si="37"/>
        <v/>
      </c>
      <c r="S437" s="104" t="str">
        <f t="shared" si="38"/>
        <v/>
      </c>
      <c r="T437" s="104" t="str">
        <f t="shared" si="39"/>
        <v/>
      </c>
      <c r="U437" s="104" t="str">
        <f t="shared" si="40"/>
        <v/>
      </c>
      <c r="V437" s="104" t="str">
        <f t="shared" si="41"/>
        <v/>
      </c>
      <c r="W437" s="105"/>
    </row>
    <row r="438" spans="1:23" ht="15" customHeight="1">
      <c r="A438" s="92">
        <v>90</v>
      </c>
      <c r="B438" s="121" t="s">
        <v>427</v>
      </c>
      <c r="C438" s="122"/>
      <c r="D438" s="798">
        <f>0.8+0.6+0.8</f>
        <v>2.2000000000000002</v>
      </c>
      <c r="E438" s="798"/>
      <c r="F438" s="118"/>
      <c r="G438" s="108">
        <v>0.25</v>
      </c>
      <c r="H438" s="98">
        <v>16</v>
      </c>
      <c r="I438" s="99">
        <v>1</v>
      </c>
      <c r="J438" s="101">
        <f>ROUND(D435/G438+1,0)</f>
        <v>10</v>
      </c>
      <c r="K438" s="109">
        <f>D438</f>
        <v>2.2000000000000002</v>
      </c>
      <c r="L438" s="110" t="str">
        <f>IF(O438&lt;12,"0",0.049*H438)</f>
        <v>0</v>
      </c>
      <c r="M438" s="111">
        <v>0</v>
      </c>
      <c r="N438" s="99">
        <f>M438*2*H438/1000</f>
        <v>0</v>
      </c>
      <c r="O438" s="112">
        <f>(D438)-N438</f>
        <v>2.2000000000000002</v>
      </c>
      <c r="P438" s="112">
        <f>(I438*J438*O438)+L438</f>
        <v>22</v>
      </c>
      <c r="Q438" s="104" t="str">
        <f t="shared" si="36"/>
        <v/>
      </c>
      <c r="R438" s="104" t="str">
        <f t="shared" si="37"/>
        <v/>
      </c>
      <c r="S438" s="104" t="str">
        <f t="shared" si="38"/>
        <v/>
      </c>
      <c r="T438" s="104">
        <f t="shared" si="39"/>
        <v>22</v>
      </c>
      <c r="U438" s="104" t="str">
        <f t="shared" si="40"/>
        <v/>
      </c>
      <c r="V438" s="104" t="str">
        <f t="shared" si="41"/>
        <v/>
      </c>
      <c r="W438" s="105"/>
    </row>
    <row r="439" spans="1:23">
      <c r="A439" s="92"/>
      <c r="B439" s="121" t="s">
        <v>312</v>
      </c>
      <c r="C439" s="107"/>
      <c r="D439" s="117"/>
      <c r="E439" s="117"/>
      <c r="F439" s="118"/>
      <c r="G439" s="108"/>
      <c r="H439" s="98"/>
      <c r="I439" s="99"/>
      <c r="J439" s="101"/>
      <c r="K439" s="109"/>
      <c r="L439" s="110"/>
      <c r="M439" s="111"/>
      <c r="N439" s="99"/>
      <c r="O439" s="112"/>
      <c r="P439" s="112"/>
      <c r="Q439" s="104" t="str">
        <f t="shared" si="36"/>
        <v/>
      </c>
      <c r="R439" s="104" t="str">
        <f t="shared" si="37"/>
        <v/>
      </c>
      <c r="S439" s="104" t="str">
        <f t="shared" si="38"/>
        <v/>
      </c>
      <c r="T439" s="104" t="str">
        <f t="shared" si="39"/>
        <v/>
      </c>
      <c r="U439" s="104" t="str">
        <f t="shared" si="40"/>
        <v/>
      </c>
      <c r="V439" s="104" t="str">
        <f t="shared" si="41"/>
        <v/>
      </c>
      <c r="W439" s="105"/>
    </row>
    <row r="440" spans="1:23">
      <c r="A440" s="92"/>
      <c r="B440" s="121"/>
      <c r="C440" s="107"/>
      <c r="D440" s="117"/>
      <c r="E440" s="117"/>
      <c r="F440" s="118"/>
      <c r="G440" s="108"/>
      <c r="H440" s="98"/>
      <c r="I440" s="99"/>
      <c r="J440" s="101"/>
      <c r="K440" s="109"/>
      <c r="L440" s="110"/>
      <c r="M440" s="111"/>
      <c r="N440" s="99"/>
      <c r="O440" s="112"/>
      <c r="P440" s="112"/>
      <c r="Q440" s="104" t="str">
        <f t="shared" si="36"/>
        <v/>
      </c>
      <c r="R440" s="104" t="str">
        <f t="shared" si="37"/>
        <v/>
      </c>
      <c r="S440" s="104" t="str">
        <f t="shared" si="38"/>
        <v/>
      </c>
      <c r="T440" s="104" t="str">
        <f t="shared" si="39"/>
        <v/>
      </c>
      <c r="U440" s="104" t="str">
        <f t="shared" si="40"/>
        <v/>
      </c>
      <c r="V440" s="104" t="str">
        <f t="shared" si="41"/>
        <v/>
      </c>
      <c r="W440" s="105"/>
    </row>
    <row r="441" spans="1:23" ht="15" customHeight="1">
      <c r="A441" s="92">
        <v>91</v>
      </c>
      <c r="B441" s="121" t="s">
        <v>426</v>
      </c>
      <c r="C441" s="122"/>
      <c r="D441" s="798">
        <f>1.25+0.75+1.25</f>
        <v>3.25</v>
      </c>
      <c r="E441" s="798"/>
      <c r="F441" s="118"/>
      <c r="G441" s="108">
        <v>0.25</v>
      </c>
      <c r="H441" s="98">
        <v>25</v>
      </c>
      <c r="I441" s="99">
        <v>1</v>
      </c>
      <c r="J441" s="101">
        <f>ROUND(D444/G441+1,0)</f>
        <v>12</v>
      </c>
      <c r="K441" s="109">
        <f>D441</f>
        <v>3.25</v>
      </c>
      <c r="L441" s="110" t="str">
        <f>IF(O441&lt;12,"0",0.049*H441)</f>
        <v>0</v>
      </c>
      <c r="M441" s="111">
        <v>0</v>
      </c>
      <c r="N441" s="99">
        <f>M441*2*H441/1000</f>
        <v>0</v>
      </c>
      <c r="O441" s="112">
        <f>(D441)-N441</f>
        <v>3.25</v>
      </c>
      <c r="P441" s="112">
        <f>(I441*J441*O441)+L441</f>
        <v>39</v>
      </c>
      <c r="Q441" s="104" t="str">
        <f t="shared" si="36"/>
        <v/>
      </c>
      <c r="R441" s="104" t="str">
        <f t="shared" si="37"/>
        <v/>
      </c>
      <c r="S441" s="104" t="str">
        <f t="shared" si="38"/>
        <v/>
      </c>
      <c r="T441" s="104" t="str">
        <f t="shared" si="39"/>
        <v/>
      </c>
      <c r="U441" s="104" t="str">
        <f t="shared" si="40"/>
        <v/>
      </c>
      <c r="V441" s="104">
        <f t="shared" si="41"/>
        <v>39</v>
      </c>
      <c r="W441" s="105"/>
    </row>
    <row r="442" spans="1:23">
      <c r="A442" s="92"/>
      <c r="B442" s="121" t="s">
        <v>313</v>
      </c>
      <c r="C442" s="107"/>
      <c r="D442" s="117"/>
      <c r="E442" s="117"/>
      <c r="F442" s="118"/>
      <c r="G442" s="108"/>
      <c r="H442" s="98"/>
      <c r="I442" s="99"/>
      <c r="J442" s="101"/>
      <c r="K442" s="109"/>
      <c r="L442" s="110"/>
      <c r="M442" s="111"/>
      <c r="N442" s="99"/>
      <c r="O442" s="112"/>
      <c r="P442" s="112"/>
      <c r="Q442" s="104" t="str">
        <f t="shared" si="36"/>
        <v/>
      </c>
      <c r="R442" s="104" t="str">
        <f t="shared" si="37"/>
        <v/>
      </c>
      <c r="S442" s="104" t="str">
        <f t="shared" si="38"/>
        <v/>
      </c>
      <c r="T442" s="104" t="str">
        <f t="shared" si="39"/>
        <v/>
      </c>
      <c r="U442" s="104" t="str">
        <f t="shared" si="40"/>
        <v/>
      </c>
      <c r="V442" s="104" t="str">
        <f t="shared" si="41"/>
        <v/>
      </c>
      <c r="W442" s="105"/>
    </row>
    <row r="443" spans="1:23">
      <c r="A443" s="92"/>
      <c r="B443" s="121"/>
      <c r="C443" s="107"/>
      <c r="D443" s="117"/>
      <c r="E443" s="117"/>
      <c r="F443" s="118"/>
      <c r="G443" s="108"/>
      <c r="H443" s="98"/>
      <c r="I443" s="99"/>
      <c r="J443" s="101"/>
      <c r="K443" s="109"/>
      <c r="L443" s="110"/>
      <c r="M443" s="111"/>
      <c r="N443" s="99"/>
      <c r="O443" s="112"/>
      <c r="P443" s="112"/>
      <c r="Q443" s="104" t="str">
        <f t="shared" si="36"/>
        <v/>
      </c>
      <c r="R443" s="104" t="str">
        <f t="shared" si="37"/>
        <v/>
      </c>
      <c r="S443" s="104" t="str">
        <f t="shared" si="38"/>
        <v/>
      </c>
      <c r="T443" s="104" t="str">
        <f t="shared" si="39"/>
        <v/>
      </c>
      <c r="U443" s="104" t="str">
        <f t="shared" si="40"/>
        <v/>
      </c>
      <c r="V443" s="104" t="str">
        <f t="shared" si="41"/>
        <v/>
      </c>
      <c r="W443" s="105"/>
    </row>
    <row r="444" spans="1:23" ht="15" customHeight="1">
      <c r="A444" s="92">
        <v>92</v>
      </c>
      <c r="B444" s="121" t="s">
        <v>427</v>
      </c>
      <c r="C444" s="122"/>
      <c r="D444" s="798">
        <f>1.25+0.3+1.25</f>
        <v>2.8</v>
      </c>
      <c r="E444" s="798"/>
      <c r="F444" s="118"/>
      <c r="G444" s="108">
        <v>0.25</v>
      </c>
      <c r="H444" s="98">
        <v>25</v>
      </c>
      <c r="I444" s="99">
        <v>1</v>
      </c>
      <c r="J444" s="101">
        <f>ROUND(D441/G444+1,0)</f>
        <v>14</v>
      </c>
      <c r="K444" s="109">
        <f>D444</f>
        <v>2.8</v>
      </c>
      <c r="L444" s="110" t="str">
        <f>IF(O444&lt;12,"0",0.049*H444)</f>
        <v>0</v>
      </c>
      <c r="M444" s="111">
        <v>0</v>
      </c>
      <c r="N444" s="99">
        <f>M444*2*H444/1000</f>
        <v>0</v>
      </c>
      <c r="O444" s="112">
        <f>(D444)-N444</f>
        <v>2.8</v>
      </c>
      <c r="P444" s="112">
        <f>(I444*J444*O444)+L444</f>
        <v>39.199999999999996</v>
      </c>
      <c r="Q444" s="104" t="str">
        <f t="shared" si="36"/>
        <v/>
      </c>
      <c r="R444" s="104" t="str">
        <f t="shared" si="37"/>
        <v/>
      </c>
      <c r="S444" s="104" t="str">
        <f t="shared" si="38"/>
        <v/>
      </c>
      <c r="T444" s="104" t="str">
        <f t="shared" si="39"/>
        <v/>
      </c>
      <c r="U444" s="104" t="str">
        <f t="shared" si="40"/>
        <v/>
      </c>
      <c r="V444" s="104">
        <f t="shared" si="41"/>
        <v>39.199999999999996</v>
      </c>
      <c r="W444" s="105"/>
    </row>
    <row r="445" spans="1:23">
      <c r="A445" s="92"/>
      <c r="B445" s="121" t="s">
        <v>313</v>
      </c>
      <c r="C445" s="107"/>
      <c r="D445" s="117"/>
      <c r="E445" s="117"/>
      <c r="F445" s="118"/>
      <c r="G445" s="108"/>
      <c r="H445" s="98"/>
      <c r="I445" s="99"/>
      <c r="J445" s="101"/>
      <c r="K445" s="109"/>
      <c r="L445" s="110"/>
      <c r="M445" s="111"/>
      <c r="N445" s="99"/>
      <c r="O445" s="112"/>
      <c r="P445" s="112"/>
      <c r="Q445" s="104" t="str">
        <f t="shared" si="36"/>
        <v/>
      </c>
      <c r="R445" s="104" t="str">
        <f t="shared" si="37"/>
        <v/>
      </c>
      <c r="S445" s="104" t="str">
        <f t="shared" si="38"/>
        <v/>
      </c>
      <c r="T445" s="104" t="str">
        <f t="shared" si="39"/>
        <v/>
      </c>
      <c r="U445" s="104" t="str">
        <f t="shared" si="40"/>
        <v/>
      </c>
      <c r="V445" s="104" t="str">
        <f t="shared" si="41"/>
        <v/>
      </c>
      <c r="W445" s="105"/>
    </row>
    <row r="446" spans="1:23">
      <c r="A446" s="92"/>
      <c r="B446" s="121"/>
      <c r="C446" s="107"/>
      <c r="D446" s="117"/>
      <c r="E446" s="117"/>
      <c r="F446" s="118"/>
      <c r="G446" s="108"/>
      <c r="H446" s="98"/>
      <c r="I446" s="99"/>
      <c r="J446" s="101"/>
      <c r="K446" s="109"/>
      <c r="L446" s="110"/>
      <c r="M446" s="111"/>
      <c r="N446" s="99"/>
      <c r="O446" s="112"/>
      <c r="P446" s="112"/>
      <c r="Q446" s="104" t="str">
        <f t="shared" si="36"/>
        <v/>
      </c>
      <c r="R446" s="104" t="str">
        <f t="shared" si="37"/>
        <v/>
      </c>
      <c r="S446" s="104" t="str">
        <f t="shared" si="38"/>
        <v/>
      </c>
      <c r="T446" s="104" t="str">
        <f t="shared" si="39"/>
        <v/>
      </c>
      <c r="U446" s="104" t="str">
        <f t="shared" si="40"/>
        <v/>
      </c>
      <c r="V446" s="104" t="str">
        <f t="shared" si="41"/>
        <v/>
      </c>
      <c r="W446" s="105"/>
    </row>
    <row r="447" spans="1:23" ht="15" customHeight="1">
      <c r="A447" s="92">
        <v>91</v>
      </c>
      <c r="B447" s="121" t="s">
        <v>426</v>
      </c>
      <c r="C447" s="122"/>
      <c r="D447" s="798">
        <f>1.25+0.75+1.25</f>
        <v>3.25</v>
      </c>
      <c r="E447" s="798"/>
      <c r="F447" s="118"/>
      <c r="G447" s="108">
        <v>0.25</v>
      </c>
      <c r="H447" s="98">
        <v>25</v>
      </c>
      <c r="I447" s="99">
        <v>1</v>
      </c>
      <c r="J447" s="101">
        <f>ROUND(D450/G447+1,0)</f>
        <v>12</v>
      </c>
      <c r="K447" s="109">
        <f>D447</f>
        <v>3.25</v>
      </c>
      <c r="L447" s="110" t="str">
        <f>IF(O447&lt;12,"0",0.049*H447)</f>
        <v>0</v>
      </c>
      <c r="M447" s="111">
        <v>0</v>
      </c>
      <c r="N447" s="99">
        <f>M447*2*H447/1000</f>
        <v>0</v>
      </c>
      <c r="O447" s="112">
        <f>(D447)-N447</f>
        <v>3.25</v>
      </c>
      <c r="P447" s="112">
        <f>(I447*J447*O447)+L447</f>
        <v>39</v>
      </c>
      <c r="Q447" s="104" t="str">
        <f t="shared" si="36"/>
        <v/>
      </c>
      <c r="R447" s="104" t="str">
        <f t="shared" si="37"/>
        <v/>
      </c>
      <c r="S447" s="104" t="str">
        <f t="shared" si="38"/>
        <v/>
      </c>
      <c r="T447" s="104" t="str">
        <f t="shared" si="39"/>
        <v/>
      </c>
      <c r="U447" s="104" t="str">
        <f t="shared" si="40"/>
        <v/>
      </c>
      <c r="V447" s="104">
        <f t="shared" si="41"/>
        <v>39</v>
      </c>
      <c r="W447" s="105"/>
    </row>
    <row r="448" spans="1:23">
      <c r="A448" s="92"/>
      <c r="B448" s="121" t="s">
        <v>314</v>
      </c>
      <c r="C448" s="107"/>
      <c r="D448" s="117"/>
      <c r="E448" s="117"/>
      <c r="F448" s="118"/>
      <c r="G448" s="108"/>
      <c r="H448" s="98"/>
      <c r="I448" s="99"/>
      <c r="J448" s="101"/>
      <c r="K448" s="109"/>
      <c r="L448" s="110"/>
      <c r="M448" s="111"/>
      <c r="N448" s="99"/>
      <c r="O448" s="112"/>
      <c r="P448" s="112"/>
      <c r="Q448" s="104" t="str">
        <f t="shared" si="36"/>
        <v/>
      </c>
      <c r="R448" s="104" t="str">
        <f t="shared" si="37"/>
        <v/>
      </c>
      <c r="S448" s="104" t="str">
        <f t="shared" si="38"/>
        <v/>
      </c>
      <c r="T448" s="104" t="str">
        <f t="shared" si="39"/>
        <v/>
      </c>
      <c r="U448" s="104" t="str">
        <f t="shared" si="40"/>
        <v/>
      </c>
      <c r="V448" s="104" t="str">
        <f t="shared" si="41"/>
        <v/>
      </c>
      <c r="W448" s="105"/>
    </row>
    <row r="449" spans="1:23">
      <c r="A449" s="92"/>
      <c r="B449" s="121"/>
      <c r="C449" s="107"/>
      <c r="D449" s="117"/>
      <c r="E449" s="117"/>
      <c r="F449" s="118"/>
      <c r="G449" s="108"/>
      <c r="H449" s="98"/>
      <c r="I449" s="99"/>
      <c r="J449" s="101"/>
      <c r="K449" s="109"/>
      <c r="L449" s="110"/>
      <c r="M449" s="111"/>
      <c r="N449" s="99"/>
      <c r="O449" s="112"/>
      <c r="P449" s="112"/>
      <c r="Q449" s="104" t="str">
        <f t="shared" si="36"/>
        <v/>
      </c>
      <c r="R449" s="104" t="str">
        <f t="shared" si="37"/>
        <v/>
      </c>
      <c r="S449" s="104" t="str">
        <f t="shared" si="38"/>
        <v/>
      </c>
      <c r="T449" s="104" t="str">
        <f t="shared" si="39"/>
        <v/>
      </c>
      <c r="U449" s="104" t="str">
        <f t="shared" si="40"/>
        <v/>
      </c>
      <c r="V449" s="104" t="str">
        <f t="shared" si="41"/>
        <v/>
      </c>
      <c r="W449" s="105"/>
    </row>
    <row r="450" spans="1:23" ht="15" customHeight="1">
      <c r="A450" s="92">
        <v>92</v>
      </c>
      <c r="B450" s="121" t="s">
        <v>427</v>
      </c>
      <c r="C450" s="122"/>
      <c r="D450" s="798">
        <f>1.25+0.3+1.25</f>
        <v>2.8</v>
      </c>
      <c r="E450" s="798"/>
      <c r="F450" s="118"/>
      <c r="G450" s="108">
        <v>0.25</v>
      </c>
      <c r="H450" s="98">
        <v>20</v>
      </c>
      <c r="I450" s="99">
        <v>1</v>
      </c>
      <c r="J450" s="101">
        <f>ROUND(D447/G450+1,0)</f>
        <v>14</v>
      </c>
      <c r="K450" s="109">
        <f>D450</f>
        <v>2.8</v>
      </c>
      <c r="L450" s="110" t="str">
        <f>IF(O450&lt;12,"0",0.049*H450)</f>
        <v>0</v>
      </c>
      <c r="M450" s="111">
        <v>0</v>
      </c>
      <c r="N450" s="99">
        <f>M450*2*H450/1000</f>
        <v>0</v>
      </c>
      <c r="O450" s="112">
        <f>(D450)-N450</f>
        <v>2.8</v>
      </c>
      <c r="P450" s="112">
        <f>(I450*J450*O450)+L450</f>
        <v>39.199999999999996</v>
      </c>
      <c r="Q450" s="104" t="str">
        <f t="shared" si="36"/>
        <v/>
      </c>
      <c r="R450" s="104" t="str">
        <f t="shared" si="37"/>
        <v/>
      </c>
      <c r="S450" s="104" t="str">
        <f t="shared" si="38"/>
        <v/>
      </c>
      <c r="T450" s="104" t="str">
        <f t="shared" si="39"/>
        <v/>
      </c>
      <c r="U450" s="104">
        <f t="shared" si="40"/>
        <v>39.199999999999996</v>
      </c>
      <c r="V450" s="104" t="str">
        <f t="shared" si="41"/>
        <v/>
      </c>
      <c r="W450" s="105"/>
    </row>
    <row r="451" spans="1:23">
      <c r="A451" s="92"/>
      <c r="B451" s="121" t="s">
        <v>314</v>
      </c>
      <c r="C451" s="107"/>
      <c r="D451" s="117"/>
      <c r="E451" s="117"/>
      <c r="F451" s="118"/>
      <c r="G451" s="108"/>
      <c r="H451" s="98"/>
      <c r="I451" s="99"/>
      <c r="J451" s="101"/>
      <c r="K451" s="109"/>
      <c r="L451" s="110"/>
      <c r="M451" s="111"/>
      <c r="N451" s="99"/>
      <c r="O451" s="112"/>
      <c r="P451" s="112"/>
      <c r="Q451" s="104" t="str">
        <f t="shared" si="36"/>
        <v/>
      </c>
      <c r="R451" s="104" t="str">
        <f t="shared" si="37"/>
        <v/>
      </c>
      <c r="S451" s="104" t="str">
        <f t="shared" si="38"/>
        <v/>
      </c>
      <c r="T451" s="104" t="str">
        <f t="shared" si="39"/>
        <v/>
      </c>
      <c r="U451" s="104" t="str">
        <f t="shared" si="40"/>
        <v/>
      </c>
      <c r="V451" s="104" t="str">
        <f t="shared" si="41"/>
        <v/>
      </c>
      <c r="W451" s="105"/>
    </row>
    <row r="452" spans="1:23">
      <c r="A452" s="92"/>
      <c r="B452" s="121"/>
      <c r="C452" s="107"/>
      <c r="D452" s="117"/>
      <c r="E452" s="117"/>
      <c r="F452" s="118"/>
      <c r="G452" s="108"/>
      <c r="H452" s="98"/>
      <c r="I452" s="99"/>
      <c r="J452" s="101"/>
      <c r="K452" s="109"/>
      <c r="L452" s="110"/>
      <c r="M452" s="111"/>
      <c r="N452" s="99"/>
      <c r="O452" s="112"/>
      <c r="P452" s="112"/>
      <c r="Q452" s="104" t="str">
        <f t="shared" si="36"/>
        <v/>
      </c>
      <c r="R452" s="104" t="str">
        <f t="shared" si="37"/>
        <v/>
      </c>
      <c r="S452" s="104" t="str">
        <f t="shared" si="38"/>
        <v/>
      </c>
      <c r="T452" s="104" t="str">
        <f t="shared" si="39"/>
        <v/>
      </c>
      <c r="U452" s="104" t="str">
        <f t="shared" si="40"/>
        <v/>
      </c>
      <c r="V452" s="104" t="str">
        <f t="shared" si="41"/>
        <v/>
      </c>
      <c r="W452" s="105"/>
    </row>
    <row r="453" spans="1:23" ht="15" customHeight="1">
      <c r="A453" s="92">
        <v>93</v>
      </c>
      <c r="B453" s="121" t="s">
        <v>427</v>
      </c>
      <c r="C453" s="122"/>
      <c r="D453" s="798">
        <f>1.25+0.3+1.25</f>
        <v>2.8</v>
      </c>
      <c r="E453" s="798"/>
      <c r="F453" s="118"/>
      <c r="G453" s="108">
        <v>0.25</v>
      </c>
      <c r="H453" s="98">
        <v>20</v>
      </c>
      <c r="I453" s="99">
        <v>1</v>
      </c>
      <c r="J453" s="101">
        <f>ROUND(D450/G453+1,0)</f>
        <v>12</v>
      </c>
      <c r="K453" s="109">
        <f>D453</f>
        <v>2.8</v>
      </c>
      <c r="L453" s="110" t="str">
        <f>IF(O453&lt;12,"0",0.049*H453)</f>
        <v>0</v>
      </c>
      <c r="M453" s="111">
        <v>0</v>
      </c>
      <c r="N453" s="99">
        <f>M453*2*H453/1000</f>
        <v>0</v>
      </c>
      <c r="O453" s="112">
        <f>(D453)-N453</f>
        <v>2.8</v>
      </c>
      <c r="P453" s="112">
        <f>(I453*J453*O453)+L453</f>
        <v>33.599999999999994</v>
      </c>
      <c r="Q453" s="104" t="str">
        <f t="shared" si="36"/>
        <v/>
      </c>
      <c r="R453" s="104" t="str">
        <f t="shared" si="37"/>
        <v/>
      </c>
      <c r="S453" s="104" t="str">
        <f t="shared" si="38"/>
        <v/>
      </c>
      <c r="T453" s="104" t="str">
        <f t="shared" si="39"/>
        <v/>
      </c>
      <c r="U453" s="104">
        <f t="shared" si="40"/>
        <v>33.599999999999994</v>
      </c>
      <c r="V453" s="104" t="str">
        <f t="shared" si="41"/>
        <v/>
      </c>
      <c r="W453" s="105"/>
    </row>
    <row r="454" spans="1:23">
      <c r="A454" s="92"/>
      <c r="B454" s="121" t="s">
        <v>314</v>
      </c>
      <c r="C454" s="107"/>
      <c r="D454" s="117"/>
      <c r="E454" s="117"/>
      <c r="F454" s="118"/>
      <c r="G454" s="108"/>
      <c r="H454" s="98"/>
      <c r="I454" s="99"/>
      <c r="J454" s="101"/>
      <c r="K454" s="109"/>
      <c r="L454" s="110"/>
      <c r="M454" s="111"/>
      <c r="N454" s="99"/>
      <c r="O454" s="112"/>
      <c r="P454" s="112"/>
      <c r="Q454" s="104" t="str">
        <f t="shared" si="36"/>
        <v/>
      </c>
      <c r="R454" s="104" t="str">
        <f t="shared" si="37"/>
        <v/>
      </c>
      <c r="S454" s="104" t="str">
        <f t="shared" si="38"/>
        <v/>
      </c>
      <c r="T454" s="104" t="str">
        <f t="shared" si="39"/>
        <v/>
      </c>
      <c r="U454" s="104" t="str">
        <f t="shared" si="40"/>
        <v/>
      </c>
      <c r="V454" s="104" t="str">
        <f t="shared" si="41"/>
        <v/>
      </c>
      <c r="W454" s="105"/>
    </row>
    <row r="455" spans="1:23">
      <c r="A455" s="92"/>
      <c r="B455" s="121"/>
      <c r="C455" s="107"/>
      <c r="D455" s="117"/>
      <c r="E455" s="117"/>
      <c r="F455" s="118"/>
      <c r="G455" s="108"/>
      <c r="H455" s="98"/>
      <c r="I455" s="99"/>
      <c r="J455" s="101"/>
      <c r="K455" s="109"/>
      <c r="L455" s="110"/>
      <c r="M455" s="111"/>
      <c r="N455" s="99"/>
      <c r="O455" s="112"/>
      <c r="P455" s="112"/>
      <c r="Q455" s="104" t="str">
        <f t="shared" si="36"/>
        <v/>
      </c>
      <c r="R455" s="104" t="str">
        <f t="shared" si="37"/>
        <v/>
      </c>
      <c r="S455" s="104" t="str">
        <f t="shared" si="38"/>
        <v/>
      </c>
      <c r="T455" s="104" t="str">
        <f t="shared" si="39"/>
        <v/>
      </c>
      <c r="U455" s="104" t="str">
        <f t="shared" si="40"/>
        <v/>
      </c>
      <c r="V455" s="104" t="str">
        <f t="shared" si="41"/>
        <v/>
      </c>
      <c r="W455" s="105"/>
    </row>
    <row r="456" spans="1:23" ht="15" customHeight="1">
      <c r="A456" s="92">
        <v>94</v>
      </c>
      <c r="B456" s="121" t="s">
        <v>426</v>
      </c>
      <c r="C456" s="122"/>
      <c r="D456" s="798">
        <f>1.25+0.3+1.25</f>
        <v>2.8</v>
      </c>
      <c r="E456" s="798"/>
      <c r="F456" s="118"/>
      <c r="G456" s="108">
        <v>0.25</v>
      </c>
      <c r="H456" s="98">
        <v>25</v>
      </c>
      <c r="I456" s="99">
        <v>1</v>
      </c>
      <c r="J456" s="101">
        <f>ROUND(D459/G456+1,0)</f>
        <v>13</v>
      </c>
      <c r="K456" s="109">
        <f>D456</f>
        <v>2.8</v>
      </c>
      <c r="L456" s="110" t="str">
        <f>IF(O456&lt;12,"0",0.049*H456)</f>
        <v>0</v>
      </c>
      <c r="M456" s="111">
        <v>0</v>
      </c>
      <c r="N456" s="99">
        <f>M456*2*H456/1000</f>
        <v>0</v>
      </c>
      <c r="O456" s="112">
        <f>(D456)-N456</f>
        <v>2.8</v>
      </c>
      <c r="P456" s="112">
        <f>(I456*J456*O456)+L456</f>
        <v>36.4</v>
      </c>
      <c r="Q456" s="104" t="str">
        <f t="shared" si="36"/>
        <v/>
      </c>
      <c r="R456" s="104" t="str">
        <f t="shared" si="37"/>
        <v/>
      </c>
      <c r="S456" s="104" t="str">
        <f t="shared" si="38"/>
        <v/>
      </c>
      <c r="T456" s="104" t="str">
        <f t="shared" si="39"/>
        <v/>
      </c>
      <c r="U456" s="104" t="str">
        <f t="shared" si="40"/>
        <v/>
      </c>
      <c r="V456" s="104">
        <f t="shared" si="41"/>
        <v>36.4</v>
      </c>
      <c r="W456" s="105"/>
    </row>
    <row r="457" spans="1:23">
      <c r="A457" s="92"/>
      <c r="B457" s="121" t="s">
        <v>315</v>
      </c>
      <c r="C457" s="107"/>
      <c r="D457" s="117"/>
      <c r="E457" s="117"/>
      <c r="F457" s="118"/>
      <c r="G457" s="108"/>
      <c r="H457" s="98"/>
      <c r="I457" s="99"/>
      <c r="J457" s="101"/>
      <c r="K457" s="109"/>
      <c r="L457" s="110"/>
      <c r="M457" s="111"/>
      <c r="N457" s="99"/>
      <c r="O457" s="112"/>
      <c r="P457" s="112"/>
      <c r="Q457" s="104" t="str">
        <f t="shared" si="36"/>
        <v/>
      </c>
      <c r="R457" s="104" t="str">
        <f t="shared" si="37"/>
        <v/>
      </c>
      <c r="S457" s="104" t="str">
        <f t="shared" si="38"/>
        <v/>
      </c>
      <c r="T457" s="104" t="str">
        <f t="shared" si="39"/>
        <v/>
      </c>
      <c r="U457" s="104" t="str">
        <f t="shared" si="40"/>
        <v/>
      </c>
      <c r="V457" s="104" t="str">
        <f t="shared" si="41"/>
        <v/>
      </c>
      <c r="W457" s="105"/>
    </row>
    <row r="458" spans="1:23">
      <c r="A458" s="92"/>
      <c r="B458" s="121"/>
      <c r="C458" s="107"/>
      <c r="D458" s="117"/>
      <c r="E458" s="117"/>
      <c r="F458" s="118"/>
      <c r="G458" s="108"/>
      <c r="H458" s="98"/>
      <c r="I458" s="99"/>
      <c r="J458" s="101"/>
      <c r="K458" s="109"/>
      <c r="L458" s="110"/>
      <c r="M458" s="111"/>
      <c r="N458" s="99"/>
      <c r="O458" s="112"/>
      <c r="P458" s="112"/>
      <c r="Q458" s="104" t="str">
        <f t="shared" si="36"/>
        <v/>
      </c>
      <c r="R458" s="104" t="str">
        <f t="shared" si="37"/>
        <v/>
      </c>
      <c r="S458" s="104" t="str">
        <f t="shared" si="38"/>
        <v/>
      </c>
      <c r="T458" s="104" t="str">
        <f t="shared" si="39"/>
        <v/>
      </c>
      <c r="U458" s="104" t="str">
        <f t="shared" si="40"/>
        <v/>
      </c>
      <c r="V458" s="104" t="str">
        <f t="shared" si="41"/>
        <v/>
      </c>
      <c r="W458" s="105"/>
    </row>
    <row r="459" spans="1:23" ht="15" customHeight="1">
      <c r="A459" s="92">
        <v>95</v>
      </c>
      <c r="B459" s="121" t="s">
        <v>427</v>
      </c>
      <c r="C459" s="122"/>
      <c r="D459" s="798">
        <f>1.25+0.6+1.25</f>
        <v>3.1</v>
      </c>
      <c r="E459" s="798"/>
      <c r="F459" s="118"/>
      <c r="G459" s="108">
        <v>0.25</v>
      </c>
      <c r="H459" s="98">
        <v>25</v>
      </c>
      <c r="I459" s="99">
        <v>1</v>
      </c>
      <c r="J459" s="101">
        <f>ROUND(D456/G459+1,0)</f>
        <v>12</v>
      </c>
      <c r="K459" s="109">
        <f>D459</f>
        <v>3.1</v>
      </c>
      <c r="L459" s="110" t="str">
        <f>IF(O459&lt;12,"0",0.049*H459)</f>
        <v>0</v>
      </c>
      <c r="M459" s="111">
        <v>0</v>
      </c>
      <c r="N459" s="99">
        <f>M459*2*H459/1000</f>
        <v>0</v>
      </c>
      <c r="O459" s="112">
        <f>(D459)-N459</f>
        <v>3.1</v>
      </c>
      <c r="P459" s="112">
        <f>(I459*J459*O459)+L459</f>
        <v>37.200000000000003</v>
      </c>
      <c r="Q459" s="104" t="str">
        <f t="shared" si="36"/>
        <v/>
      </c>
      <c r="R459" s="104" t="str">
        <f t="shared" si="37"/>
        <v/>
      </c>
      <c r="S459" s="104" t="str">
        <f t="shared" si="38"/>
        <v/>
      </c>
      <c r="T459" s="104" t="str">
        <f t="shared" si="39"/>
        <v/>
      </c>
      <c r="U459" s="104" t="str">
        <f t="shared" si="40"/>
        <v/>
      </c>
      <c r="V459" s="104">
        <f t="shared" si="41"/>
        <v>37.200000000000003</v>
      </c>
      <c r="W459" s="105"/>
    </row>
    <row r="460" spans="1:23">
      <c r="A460" s="92"/>
      <c r="B460" s="121" t="s">
        <v>315</v>
      </c>
      <c r="C460" s="107"/>
      <c r="D460" s="117"/>
      <c r="E460" s="117"/>
      <c r="F460" s="118"/>
      <c r="G460" s="108"/>
      <c r="H460" s="98"/>
      <c r="I460" s="99"/>
      <c r="J460" s="101"/>
      <c r="K460" s="109"/>
      <c r="L460" s="110"/>
      <c r="M460" s="111"/>
      <c r="N460" s="99"/>
      <c r="O460" s="112"/>
      <c r="P460" s="112"/>
      <c r="Q460" s="104" t="str">
        <f t="shared" si="36"/>
        <v/>
      </c>
      <c r="R460" s="104" t="str">
        <f t="shared" si="37"/>
        <v/>
      </c>
      <c r="S460" s="104" t="str">
        <f t="shared" si="38"/>
        <v/>
      </c>
      <c r="T460" s="104" t="str">
        <f t="shared" si="39"/>
        <v/>
      </c>
      <c r="U460" s="104" t="str">
        <f t="shared" si="40"/>
        <v/>
      </c>
      <c r="V460" s="104" t="str">
        <f t="shared" si="41"/>
        <v/>
      </c>
      <c r="W460" s="105"/>
    </row>
    <row r="461" spans="1:23">
      <c r="A461" s="92"/>
      <c r="B461" s="121"/>
      <c r="C461" s="107"/>
      <c r="D461" s="117"/>
      <c r="E461" s="117"/>
      <c r="F461" s="118"/>
      <c r="G461" s="108"/>
      <c r="H461" s="98"/>
      <c r="I461" s="99"/>
      <c r="J461" s="101"/>
      <c r="K461" s="109"/>
      <c r="L461" s="110"/>
      <c r="M461" s="111"/>
      <c r="N461" s="99"/>
      <c r="O461" s="112"/>
      <c r="P461" s="112"/>
      <c r="Q461" s="104" t="str">
        <f t="shared" si="36"/>
        <v/>
      </c>
      <c r="R461" s="104" t="str">
        <f t="shared" si="37"/>
        <v/>
      </c>
      <c r="S461" s="104" t="str">
        <f t="shared" si="38"/>
        <v/>
      </c>
      <c r="T461" s="104" t="str">
        <f t="shared" si="39"/>
        <v/>
      </c>
      <c r="U461" s="104" t="str">
        <f t="shared" si="40"/>
        <v/>
      </c>
      <c r="V461" s="104" t="str">
        <f t="shared" si="41"/>
        <v/>
      </c>
      <c r="W461" s="105"/>
    </row>
    <row r="462" spans="1:23" ht="15" customHeight="1">
      <c r="A462" s="92">
        <v>96</v>
      </c>
      <c r="B462" s="121" t="s">
        <v>426</v>
      </c>
      <c r="C462" s="122"/>
      <c r="D462" s="798">
        <f>1+0.75+1</f>
        <v>2.75</v>
      </c>
      <c r="E462" s="798"/>
      <c r="F462" s="118"/>
      <c r="G462" s="108">
        <v>0.25</v>
      </c>
      <c r="H462" s="98">
        <v>20</v>
      </c>
      <c r="I462" s="99">
        <v>1</v>
      </c>
      <c r="J462" s="101">
        <f>ROUND(D465/G462+1,0)</f>
        <v>8</v>
      </c>
      <c r="K462" s="109">
        <f>D462</f>
        <v>2.75</v>
      </c>
      <c r="L462" s="110" t="str">
        <f>IF(O462&lt;12,"0",0.049*H462)</f>
        <v>0</v>
      </c>
      <c r="M462" s="111">
        <v>0</v>
      </c>
      <c r="N462" s="99">
        <f>M462*2*H462/1000</f>
        <v>0</v>
      </c>
      <c r="O462" s="112">
        <f>(D462)-N462</f>
        <v>2.75</v>
      </c>
      <c r="P462" s="112">
        <f>(I462*J462*O462)+L462</f>
        <v>22</v>
      </c>
      <c r="Q462" s="104" t="str">
        <f t="shared" si="36"/>
        <v/>
      </c>
      <c r="R462" s="104" t="str">
        <f t="shared" si="37"/>
        <v/>
      </c>
      <c r="S462" s="104" t="str">
        <f t="shared" si="38"/>
        <v/>
      </c>
      <c r="T462" s="104" t="str">
        <f t="shared" si="39"/>
        <v/>
      </c>
      <c r="U462" s="104">
        <f t="shared" si="40"/>
        <v>22</v>
      </c>
      <c r="V462" s="104" t="str">
        <f t="shared" si="41"/>
        <v/>
      </c>
      <c r="W462" s="105"/>
    </row>
    <row r="463" spans="1:23">
      <c r="A463" s="92"/>
      <c r="B463" s="121" t="s">
        <v>316</v>
      </c>
      <c r="C463" s="107"/>
      <c r="D463" s="117"/>
      <c r="E463" s="117"/>
      <c r="F463" s="118"/>
      <c r="G463" s="108"/>
      <c r="H463" s="98"/>
      <c r="I463" s="99"/>
      <c r="J463" s="101"/>
      <c r="K463" s="109"/>
      <c r="L463" s="110"/>
      <c r="M463" s="111"/>
      <c r="N463" s="99"/>
      <c r="O463" s="112"/>
      <c r="P463" s="112"/>
      <c r="Q463" s="104" t="str">
        <f t="shared" si="36"/>
        <v/>
      </c>
      <c r="R463" s="104" t="str">
        <f t="shared" si="37"/>
        <v/>
      </c>
      <c r="S463" s="104" t="str">
        <f t="shared" si="38"/>
        <v/>
      </c>
      <c r="T463" s="104" t="str">
        <f t="shared" si="39"/>
        <v/>
      </c>
      <c r="U463" s="104" t="str">
        <f t="shared" si="40"/>
        <v/>
      </c>
      <c r="V463" s="104" t="str">
        <f t="shared" si="41"/>
        <v/>
      </c>
      <c r="W463" s="105"/>
    </row>
    <row r="464" spans="1:23">
      <c r="A464" s="92"/>
      <c r="B464" s="121"/>
      <c r="C464" s="107"/>
      <c r="D464" s="117"/>
      <c r="E464" s="117"/>
      <c r="F464" s="118"/>
      <c r="G464" s="108"/>
      <c r="H464" s="98"/>
      <c r="I464" s="99"/>
      <c r="J464" s="101"/>
      <c r="K464" s="109"/>
      <c r="L464" s="110"/>
      <c r="M464" s="111"/>
      <c r="N464" s="99"/>
      <c r="O464" s="112"/>
      <c r="P464" s="112"/>
      <c r="Q464" s="104" t="str">
        <f t="shared" si="36"/>
        <v/>
      </c>
      <c r="R464" s="104" t="str">
        <f t="shared" si="37"/>
        <v/>
      </c>
      <c r="S464" s="104" t="str">
        <f t="shared" si="38"/>
        <v/>
      </c>
      <c r="T464" s="104" t="str">
        <f t="shared" si="39"/>
        <v/>
      </c>
      <c r="U464" s="104" t="str">
        <f t="shared" si="40"/>
        <v/>
      </c>
      <c r="V464" s="104" t="str">
        <f t="shared" si="41"/>
        <v/>
      </c>
      <c r="W464" s="105"/>
    </row>
    <row r="465" spans="1:23" ht="15" customHeight="1">
      <c r="A465" s="92">
        <v>97</v>
      </c>
      <c r="B465" s="121" t="s">
        <v>427</v>
      </c>
      <c r="C465" s="122"/>
      <c r="D465" s="798">
        <v>1.85</v>
      </c>
      <c r="E465" s="798"/>
      <c r="F465" s="118"/>
      <c r="G465" s="108">
        <v>0.25</v>
      </c>
      <c r="H465" s="98">
        <v>20</v>
      </c>
      <c r="I465" s="99">
        <v>1</v>
      </c>
      <c r="J465" s="101">
        <f>ROUND(D462/G465+1,0)</f>
        <v>12</v>
      </c>
      <c r="K465" s="109">
        <f>D465</f>
        <v>1.85</v>
      </c>
      <c r="L465" s="110" t="str">
        <f>IF(O465&lt;12,"0",0.049*H465)</f>
        <v>0</v>
      </c>
      <c r="M465" s="111">
        <v>0</v>
      </c>
      <c r="N465" s="99">
        <f>M465*2*H465/1000</f>
        <v>0</v>
      </c>
      <c r="O465" s="112">
        <f>(D465)-N465</f>
        <v>1.85</v>
      </c>
      <c r="P465" s="112">
        <f>(I465*J465*O465)+L465</f>
        <v>22.200000000000003</v>
      </c>
      <c r="Q465" s="104" t="str">
        <f t="shared" si="36"/>
        <v/>
      </c>
      <c r="R465" s="104" t="str">
        <f t="shared" si="37"/>
        <v/>
      </c>
      <c r="S465" s="104" t="str">
        <f t="shared" si="38"/>
        <v/>
      </c>
      <c r="T465" s="104" t="str">
        <f t="shared" si="39"/>
        <v/>
      </c>
      <c r="U465" s="104">
        <f t="shared" si="40"/>
        <v>22.200000000000003</v>
      </c>
      <c r="V465" s="104" t="str">
        <f t="shared" si="41"/>
        <v/>
      </c>
      <c r="W465" s="105"/>
    </row>
    <row r="466" spans="1:23">
      <c r="A466" s="92"/>
      <c r="B466" s="121" t="s">
        <v>316</v>
      </c>
      <c r="C466" s="107"/>
      <c r="D466" s="117"/>
      <c r="E466" s="117"/>
      <c r="F466" s="118"/>
      <c r="G466" s="108"/>
      <c r="H466" s="98"/>
      <c r="I466" s="99"/>
      <c r="J466" s="101"/>
      <c r="K466" s="109"/>
      <c r="L466" s="110"/>
      <c r="M466" s="111"/>
      <c r="N466" s="99"/>
      <c r="O466" s="112"/>
      <c r="P466" s="112"/>
      <c r="Q466" s="104" t="str">
        <f t="shared" si="36"/>
        <v/>
      </c>
      <c r="R466" s="104" t="str">
        <f t="shared" si="37"/>
        <v/>
      </c>
      <c r="S466" s="104" t="str">
        <f t="shared" si="38"/>
        <v/>
      </c>
      <c r="T466" s="104" t="str">
        <f t="shared" si="39"/>
        <v/>
      </c>
      <c r="U466" s="104" t="str">
        <f t="shared" si="40"/>
        <v/>
      </c>
      <c r="V466" s="104" t="str">
        <f t="shared" si="41"/>
        <v/>
      </c>
      <c r="W466" s="105"/>
    </row>
    <row r="467" spans="1:23">
      <c r="A467" s="92"/>
      <c r="B467" s="121"/>
      <c r="C467" s="107"/>
      <c r="D467" s="117"/>
      <c r="E467" s="117"/>
      <c r="F467" s="118"/>
      <c r="G467" s="108"/>
      <c r="H467" s="98"/>
      <c r="I467" s="99"/>
      <c r="J467" s="101"/>
      <c r="K467" s="109"/>
      <c r="L467" s="110"/>
      <c r="M467" s="111"/>
      <c r="N467" s="99"/>
      <c r="O467" s="112"/>
      <c r="P467" s="112"/>
      <c r="Q467" s="104" t="str">
        <f t="shared" si="36"/>
        <v/>
      </c>
      <c r="R467" s="104" t="str">
        <f t="shared" si="37"/>
        <v/>
      </c>
      <c r="S467" s="104" t="str">
        <f t="shared" si="38"/>
        <v/>
      </c>
      <c r="T467" s="104" t="str">
        <f t="shared" si="39"/>
        <v/>
      </c>
      <c r="U467" s="104" t="str">
        <f t="shared" si="40"/>
        <v/>
      </c>
      <c r="V467" s="104" t="str">
        <f t="shared" si="41"/>
        <v/>
      </c>
      <c r="W467" s="105"/>
    </row>
    <row r="468" spans="1:23" ht="15" customHeight="1">
      <c r="A468" s="92">
        <v>98</v>
      </c>
      <c r="B468" s="121" t="s">
        <v>427</v>
      </c>
      <c r="C468" s="122"/>
      <c r="D468" s="798">
        <v>1.85</v>
      </c>
      <c r="E468" s="798"/>
      <c r="F468" s="118"/>
      <c r="G468" s="108">
        <v>0.25</v>
      </c>
      <c r="H468" s="98">
        <v>20</v>
      </c>
      <c r="I468" s="99">
        <v>1</v>
      </c>
      <c r="J468" s="101">
        <f>ROUND(D465/G468+1,0)</f>
        <v>8</v>
      </c>
      <c r="K468" s="109">
        <f>D468</f>
        <v>1.85</v>
      </c>
      <c r="L468" s="110" t="str">
        <f>IF(O468&lt;12,"0",0.049*H468)</f>
        <v>0</v>
      </c>
      <c r="M468" s="111">
        <v>0</v>
      </c>
      <c r="N468" s="99">
        <f>M468*2*H468/1000</f>
        <v>0</v>
      </c>
      <c r="O468" s="112">
        <f>(D468)-N468</f>
        <v>1.85</v>
      </c>
      <c r="P468" s="112">
        <f>(I468*J468*O468)+L468</f>
        <v>14.8</v>
      </c>
      <c r="Q468" s="104" t="str">
        <f t="shared" si="36"/>
        <v/>
      </c>
      <c r="R468" s="104" t="str">
        <f t="shared" si="37"/>
        <v/>
      </c>
      <c r="S468" s="104" t="str">
        <f t="shared" si="38"/>
        <v/>
      </c>
      <c r="T468" s="104" t="str">
        <f t="shared" si="39"/>
        <v/>
      </c>
      <c r="U468" s="104">
        <f t="shared" si="40"/>
        <v>14.8</v>
      </c>
      <c r="V468" s="104" t="str">
        <f t="shared" si="41"/>
        <v/>
      </c>
      <c r="W468" s="105"/>
    </row>
    <row r="469" spans="1:23">
      <c r="A469" s="92"/>
      <c r="B469" s="121" t="s">
        <v>316</v>
      </c>
      <c r="C469" s="107"/>
      <c r="D469" s="117"/>
      <c r="E469" s="117"/>
      <c r="F469" s="118"/>
      <c r="G469" s="108"/>
      <c r="H469" s="98"/>
      <c r="I469" s="99"/>
      <c r="J469" s="101"/>
      <c r="K469" s="109"/>
      <c r="L469" s="110"/>
      <c r="M469" s="111"/>
      <c r="N469" s="99"/>
      <c r="O469" s="112"/>
      <c r="P469" s="112"/>
      <c r="Q469" s="104" t="str">
        <f t="shared" si="36"/>
        <v/>
      </c>
      <c r="R469" s="104" t="str">
        <f t="shared" si="37"/>
        <v/>
      </c>
      <c r="S469" s="104" t="str">
        <f t="shared" si="38"/>
        <v/>
      </c>
      <c r="T469" s="104" t="str">
        <f t="shared" si="39"/>
        <v/>
      </c>
      <c r="U469" s="104" t="str">
        <f t="shared" si="40"/>
        <v/>
      </c>
      <c r="V469" s="104" t="str">
        <f t="shared" si="41"/>
        <v/>
      </c>
      <c r="W469" s="105"/>
    </row>
    <row r="470" spans="1:23">
      <c r="A470" s="92"/>
      <c r="B470" s="121"/>
      <c r="C470" s="107"/>
      <c r="D470" s="117"/>
      <c r="E470" s="117"/>
      <c r="F470" s="118"/>
      <c r="G470" s="108"/>
      <c r="H470" s="98"/>
      <c r="I470" s="99"/>
      <c r="J470" s="101"/>
      <c r="K470" s="109"/>
      <c r="L470" s="110"/>
      <c r="M470" s="111"/>
      <c r="N470" s="99"/>
      <c r="O470" s="112"/>
      <c r="P470" s="112"/>
      <c r="Q470" s="104" t="str">
        <f t="shared" si="36"/>
        <v/>
      </c>
      <c r="R470" s="104" t="str">
        <f t="shared" si="37"/>
        <v/>
      </c>
      <c r="S470" s="104" t="str">
        <f t="shared" si="38"/>
        <v/>
      </c>
      <c r="T470" s="104" t="str">
        <f t="shared" si="39"/>
        <v/>
      </c>
      <c r="U470" s="104" t="str">
        <f t="shared" si="40"/>
        <v/>
      </c>
      <c r="V470" s="104" t="str">
        <f t="shared" si="41"/>
        <v/>
      </c>
      <c r="W470" s="105"/>
    </row>
    <row r="471" spans="1:23" ht="15" customHeight="1">
      <c r="A471" s="92">
        <v>99</v>
      </c>
      <c r="B471" s="121" t="s">
        <v>426</v>
      </c>
      <c r="C471" s="122"/>
      <c r="D471" s="798">
        <f>1.25+0.75+1.25</f>
        <v>3.25</v>
      </c>
      <c r="E471" s="798"/>
      <c r="F471" s="118"/>
      <c r="G471" s="108">
        <v>0.25</v>
      </c>
      <c r="H471" s="98">
        <v>25</v>
      </c>
      <c r="I471" s="99">
        <v>1</v>
      </c>
      <c r="J471" s="101">
        <f>ROUND(D474/G471+1,0)</f>
        <v>10</v>
      </c>
      <c r="K471" s="109">
        <f>D471</f>
        <v>3.25</v>
      </c>
      <c r="L471" s="110" t="str">
        <f>IF(O471&lt;12,"0",0.049*H471)</f>
        <v>0</v>
      </c>
      <c r="M471" s="111">
        <v>0</v>
      </c>
      <c r="N471" s="99">
        <f>M471*2*H471/1000</f>
        <v>0</v>
      </c>
      <c r="O471" s="112">
        <f>(D471)-N471</f>
        <v>3.25</v>
      </c>
      <c r="P471" s="112">
        <f>(I471*J471*O471)+L471</f>
        <v>32.5</v>
      </c>
      <c r="Q471" s="104" t="str">
        <f t="shared" si="36"/>
        <v/>
      </c>
      <c r="R471" s="104" t="str">
        <f t="shared" si="37"/>
        <v/>
      </c>
      <c r="S471" s="104" t="str">
        <f t="shared" si="38"/>
        <v/>
      </c>
      <c r="T471" s="104" t="str">
        <f t="shared" si="39"/>
        <v/>
      </c>
      <c r="U471" s="104" t="str">
        <f t="shared" si="40"/>
        <v/>
      </c>
      <c r="V471" s="104">
        <f t="shared" si="41"/>
        <v>32.5</v>
      </c>
      <c r="W471" s="105"/>
    </row>
    <row r="472" spans="1:23">
      <c r="A472" s="92"/>
      <c r="B472" s="121" t="s">
        <v>317</v>
      </c>
      <c r="C472" s="107"/>
      <c r="D472" s="117"/>
      <c r="E472" s="117"/>
      <c r="F472" s="118"/>
      <c r="G472" s="108"/>
      <c r="H472" s="98"/>
      <c r="I472" s="99"/>
      <c r="J472" s="101"/>
      <c r="K472" s="109"/>
      <c r="L472" s="110"/>
      <c r="M472" s="111"/>
      <c r="N472" s="99"/>
      <c r="O472" s="112"/>
      <c r="P472" s="112"/>
      <c r="Q472" s="104" t="str">
        <f t="shared" si="36"/>
        <v/>
      </c>
      <c r="R472" s="104" t="str">
        <f t="shared" si="37"/>
        <v/>
      </c>
      <c r="S472" s="104" t="str">
        <f t="shared" si="38"/>
        <v/>
      </c>
      <c r="T472" s="104" t="str">
        <f t="shared" si="39"/>
        <v/>
      </c>
      <c r="U472" s="104" t="str">
        <f t="shared" si="40"/>
        <v/>
      </c>
      <c r="V472" s="104" t="str">
        <f t="shared" si="41"/>
        <v/>
      </c>
      <c r="W472" s="105"/>
    </row>
    <row r="473" spans="1:23">
      <c r="A473" s="92"/>
      <c r="B473" s="121"/>
      <c r="C473" s="107"/>
      <c r="D473" s="117"/>
      <c r="E473" s="117"/>
      <c r="F473" s="118"/>
      <c r="G473" s="108"/>
      <c r="H473" s="98"/>
      <c r="I473" s="99"/>
      <c r="J473" s="101"/>
      <c r="K473" s="109"/>
      <c r="L473" s="110"/>
      <c r="M473" s="111"/>
      <c r="N473" s="99"/>
      <c r="O473" s="112"/>
      <c r="P473" s="112"/>
      <c r="Q473" s="104" t="str">
        <f t="shared" si="36"/>
        <v/>
      </c>
      <c r="R473" s="104" t="str">
        <f t="shared" si="37"/>
        <v/>
      </c>
      <c r="S473" s="104" t="str">
        <f t="shared" si="38"/>
        <v/>
      </c>
      <c r="T473" s="104" t="str">
        <f t="shared" si="39"/>
        <v/>
      </c>
      <c r="U473" s="104" t="str">
        <f t="shared" si="40"/>
        <v/>
      </c>
      <c r="V473" s="104" t="str">
        <f t="shared" si="41"/>
        <v/>
      </c>
      <c r="W473" s="105"/>
    </row>
    <row r="474" spans="1:23" ht="15" customHeight="1">
      <c r="A474" s="92">
        <v>100</v>
      </c>
      <c r="B474" s="121" t="s">
        <v>427</v>
      </c>
      <c r="C474" s="122"/>
      <c r="D474" s="798">
        <f>1+0.3+1</f>
        <v>2.2999999999999998</v>
      </c>
      <c r="E474" s="798"/>
      <c r="F474" s="118"/>
      <c r="G474" s="108">
        <v>0.25</v>
      </c>
      <c r="H474" s="98">
        <v>20</v>
      </c>
      <c r="I474" s="99">
        <v>1</v>
      </c>
      <c r="J474" s="101">
        <f>ROUND(D471/G474+1,0)</f>
        <v>14</v>
      </c>
      <c r="K474" s="109">
        <f>D474</f>
        <v>2.2999999999999998</v>
      </c>
      <c r="L474" s="110" t="str">
        <f>IF(O474&lt;12,"0",0.049*H474)</f>
        <v>0</v>
      </c>
      <c r="M474" s="111">
        <v>0</v>
      </c>
      <c r="N474" s="99">
        <f>M474*2*H474/1000</f>
        <v>0</v>
      </c>
      <c r="O474" s="112">
        <f>(D474)-N474</f>
        <v>2.2999999999999998</v>
      </c>
      <c r="P474" s="112">
        <f>(I474*J474*O474)+L474</f>
        <v>32.199999999999996</v>
      </c>
      <c r="Q474" s="104" t="str">
        <f t="shared" si="36"/>
        <v/>
      </c>
      <c r="R474" s="104" t="str">
        <f t="shared" si="37"/>
        <v/>
      </c>
      <c r="S474" s="104" t="str">
        <f t="shared" si="38"/>
        <v/>
      </c>
      <c r="T474" s="104" t="str">
        <f t="shared" si="39"/>
        <v/>
      </c>
      <c r="U474" s="104">
        <f t="shared" si="40"/>
        <v>32.199999999999996</v>
      </c>
      <c r="V474" s="104" t="str">
        <f t="shared" si="41"/>
        <v/>
      </c>
      <c r="W474" s="105"/>
    </row>
    <row r="475" spans="1:23">
      <c r="A475" s="92"/>
      <c r="B475" s="121" t="s">
        <v>317</v>
      </c>
      <c r="C475" s="107"/>
      <c r="D475" s="117"/>
      <c r="E475" s="117"/>
      <c r="F475" s="118"/>
      <c r="G475" s="108"/>
      <c r="H475" s="98"/>
      <c r="I475" s="99"/>
      <c r="J475" s="101"/>
      <c r="K475" s="109"/>
      <c r="L475" s="110"/>
      <c r="M475" s="111"/>
      <c r="N475" s="99"/>
      <c r="O475" s="112"/>
      <c r="P475" s="112"/>
      <c r="Q475" s="104" t="str">
        <f t="shared" si="36"/>
        <v/>
      </c>
      <c r="R475" s="104" t="str">
        <f t="shared" si="37"/>
        <v/>
      </c>
      <c r="S475" s="104" t="str">
        <f t="shared" si="38"/>
        <v/>
      </c>
      <c r="T475" s="104" t="str">
        <f t="shared" si="39"/>
        <v/>
      </c>
      <c r="U475" s="104" t="str">
        <f t="shared" si="40"/>
        <v/>
      </c>
      <c r="V475" s="104" t="str">
        <f t="shared" si="41"/>
        <v/>
      </c>
      <c r="W475" s="105"/>
    </row>
    <row r="476" spans="1:23">
      <c r="A476" s="92"/>
      <c r="B476" s="121"/>
      <c r="C476" s="107"/>
      <c r="D476" s="117"/>
      <c r="E476" s="117"/>
      <c r="F476" s="118"/>
      <c r="G476" s="108"/>
      <c r="H476" s="98"/>
      <c r="I476" s="99"/>
      <c r="J476" s="101"/>
      <c r="K476" s="109"/>
      <c r="L476" s="110"/>
      <c r="M476" s="111"/>
      <c r="N476" s="99"/>
      <c r="O476" s="112"/>
      <c r="P476" s="112"/>
      <c r="Q476" s="104" t="str">
        <f t="shared" si="36"/>
        <v/>
      </c>
      <c r="R476" s="104" t="str">
        <f t="shared" si="37"/>
        <v/>
      </c>
      <c r="S476" s="104" t="str">
        <f t="shared" si="38"/>
        <v/>
      </c>
      <c r="T476" s="104" t="str">
        <f t="shared" si="39"/>
        <v/>
      </c>
      <c r="U476" s="104" t="str">
        <f t="shared" si="40"/>
        <v/>
      </c>
      <c r="V476" s="104" t="str">
        <f t="shared" si="41"/>
        <v/>
      </c>
      <c r="W476" s="105"/>
    </row>
    <row r="477" spans="1:23" ht="15" customHeight="1">
      <c r="A477" s="92">
        <v>101</v>
      </c>
      <c r="B477" s="121" t="s">
        <v>426</v>
      </c>
      <c r="C477" s="122"/>
      <c r="D477" s="798">
        <f>1+0.75+1</f>
        <v>2.75</v>
      </c>
      <c r="E477" s="798"/>
      <c r="F477" s="118"/>
      <c r="G477" s="108">
        <v>0.25</v>
      </c>
      <c r="H477" s="98">
        <v>20</v>
      </c>
      <c r="I477" s="99">
        <v>1</v>
      </c>
      <c r="J477" s="101">
        <f>ROUND(D480/G477+1,0)</f>
        <v>10</v>
      </c>
      <c r="K477" s="109">
        <f>D477</f>
        <v>2.75</v>
      </c>
      <c r="L477" s="110" t="str">
        <f>IF(O477&lt;12,"0",0.049*H477)</f>
        <v>0</v>
      </c>
      <c r="M477" s="111">
        <v>0</v>
      </c>
      <c r="N477" s="99">
        <f>M477*2*H477/1000</f>
        <v>0</v>
      </c>
      <c r="O477" s="112">
        <f>(D477)-N477</f>
        <v>2.75</v>
      </c>
      <c r="P477" s="112">
        <f>(I477*J477*O477)+L477</f>
        <v>27.5</v>
      </c>
      <c r="Q477" s="104" t="str">
        <f t="shared" si="36"/>
        <v/>
      </c>
      <c r="R477" s="104" t="str">
        <f t="shared" si="37"/>
        <v/>
      </c>
      <c r="S477" s="104" t="str">
        <f t="shared" si="38"/>
        <v/>
      </c>
      <c r="T477" s="104" t="str">
        <f t="shared" si="39"/>
        <v/>
      </c>
      <c r="U477" s="104">
        <f t="shared" si="40"/>
        <v>27.5</v>
      </c>
      <c r="V477" s="104" t="str">
        <f t="shared" si="41"/>
        <v/>
      </c>
      <c r="W477" s="105"/>
    </row>
    <row r="478" spans="1:23">
      <c r="A478" s="92"/>
      <c r="B478" s="121" t="s">
        <v>318</v>
      </c>
      <c r="C478" s="107"/>
      <c r="D478" s="117"/>
      <c r="E478" s="117"/>
      <c r="F478" s="118"/>
      <c r="G478" s="108"/>
      <c r="H478" s="98"/>
      <c r="I478" s="99"/>
      <c r="J478" s="101"/>
      <c r="K478" s="109"/>
      <c r="L478" s="110"/>
      <c r="M478" s="111"/>
      <c r="N478" s="99"/>
      <c r="O478" s="112"/>
      <c r="P478" s="112"/>
      <c r="Q478" s="104" t="str">
        <f t="shared" si="36"/>
        <v/>
      </c>
      <c r="R478" s="104" t="str">
        <f t="shared" si="37"/>
        <v/>
      </c>
      <c r="S478" s="104" t="str">
        <f t="shared" si="38"/>
        <v/>
      </c>
      <c r="T478" s="104" t="str">
        <f t="shared" si="39"/>
        <v/>
      </c>
      <c r="U478" s="104" t="str">
        <f t="shared" si="40"/>
        <v/>
      </c>
      <c r="V478" s="104" t="str">
        <f t="shared" si="41"/>
        <v/>
      </c>
      <c r="W478" s="105"/>
    </row>
    <row r="479" spans="1:23">
      <c r="A479" s="92"/>
      <c r="B479" s="121"/>
      <c r="C479" s="107"/>
      <c r="D479" s="117"/>
      <c r="E479" s="117"/>
      <c r="F479" s="118"/>
      <c r="G479" s="108"/>
      <c r="H479" s="98"/>
      <c r="I479" s="99"/>
      <c r="J479" s="101"/>
      <c r="K479" s="109"/>
      <c r="L479" s="110"/>
      <c r="M479" s="111"/>
      <c r="N479" s="99"/>
      <c r="O479" s="112"/>
      <c r="P479" s="112"/>
      <c r="Q479" s="104" t="str">
        <f t="shared" si="36"/>
        <v/>
      </c>
      <c r="R479" s="104" t="str">
        <f t="shared" si="37"/>
        <v/>
      </c>
      <c r="S479" s="104" t="str">
        <f t="shared" si="38"/>
        <v/>
      </c>
      <c r="T479" s="104" t="str">
        <f t="shared" si="39"/>
        <v/>
      </c>
      <c r="U479" s="104" t="str">
        <f t="shared" si="40"/>
        <v/>
      </c>
      <c r="V479" s="104" t="str">
        <f t="shared" si="41"/>
        <v/>
      </c>
      <c r="W479" s="105"/>
    </row>
    <row r="480" spans="1:23" ht="15" customHeight="1">
      <c r="A480" s="92">
        <v>102</v>
      </c>
      <c r="B480" s="121" t="s">
        <v>427</v>
      </c>
      <c r="C480" s="122"/>
      <c r="D480" s="798">
        <f>1+0.3+1</f>
        <v>2.2999999999999998</v>
      </c>
      <c r="E480" s="798"/>
      <c r="F480" s="118"/>
      <c r="G480" s="108">
        <v>0.25</v>
      </c>
      <c r="H480" s="98">
        <v>20</v>
      </c>
      <c r="I480" s="99">
        <v>1</v>
      </c>
      <c r="J480" s="101">
        <f>ROUND(D477/G480+1,0)</f>
        <v>12</v>
      </c>
      <c r="K480" s="109">
        <f>D480</f>
        <v>2.2999999999999998</v>
      </c>
      <c r="L480" s="110" t="str">
        <f>IF(O480&lt;12,"0",0.049*H480)</f>
        <v>0</v>
      </c>
      <c r="M480" s="111">
        <v>0</v>
      </c>
      <c r="N480" s="99">
        <f>M480*2*H480/1000</f>
        <v>0</v>
      </c>
      <c r="O480" s="112">
        <f>(D480)-N480</f>
        <v>2.2999999999999998</v>
      </c>
      <c r="P480" s="112">
        <f>(I480*J480*O480)+L480</f>
        <v>27.599999999999998</v>
      </c>
      <c r="Q480" s="104" t="str">
        <f t="shared" si="36"/>
        <v/>
      </c>
      <c r="R480" s="104" t="str">
        <f t="shared" si="37"/>
        <v/>
      </c>
      <c r="S480" s="104" t="str">
        <f t="shared" si="38"/>
        <v/>
      </c>
      <c r="T480" s="104" t="str">
        <f t="shared" si="39"/>
        <v/>
      </c>
      <c r="U480" s="104">
        <f t="shared" si="40"/>
        <v>27.599999999999998</v>
      </c>
      <c r="V480" s="104" t="str">
        <f t="shared" si="41"/>
        <v/>
      </c>
      <c r="W480" s="105"/>
    </row>
    <row r="481" spans="1:23">
      <c r="A481" s="92"/>
      <c r="B481" s="121" t="s">
        <v>318</v>
      </c>
      <c r="C481" s="107"/>
      <c r="D481" s="117"/>
      <c r="E481" s="117"/>
      <c r="F481" s="118"/>
      <c r="G481" s="108"/>
      <c r="H481" s="98"/>
      <c r="I481" s="99"/>
      <c r="J481" s="101"/>
      <c r="K481" s="109"/>
      <c r="L481" s="110"/>
      <c r="M481" s="111"/>
      <c r="N481" s="99"/>
      <c r="O481" s="112"/>
      <c r="P481" s="112"/>
      <c r="Q481" s="104" t="str">
        <f t="shared" si="36"/>
        <v/>
      </c>
      <c r="R481" s="104" t="str">
        <f t="shared" si="37"/>
        <v/>
      </c>
      <c r="S481" s="104" t="str">
        <f t="shared" si="38"/>
        <v/>
      </c>
      <c r="T481" s="104" t="str">
        <f t="shared" si="39"/>
        <v/>
      </c>
      <c r="U481" s="104" t="str">
        <f t="shared" si="40"/>
        <v/>
      </c>
      <c r="V481" s="104" t="str">
        <f t="shared" si="41"/>
        <v/>
      </c>
      <c r="W481" s="105"/>
    </row>
    <row r="482" spans="1:23">
      <c r="A482" s="92"/>
      <c r="B482" s="121"/>
      <c r="C482" s="107"/>
      <c r="D482" s="117"/>
      <c r="E482" s="117"/>
      <c r="F482" s="118"/>
      <c r="G482" s="108"/>
      <c r="H482" s="98"/>
      <c r="I482" s="99"/>
      <c r="J482" s="101"/>
      <c r="K482" s="109"/>
      <c r="L482" s="110"/>
      <c r="M482" s="111"/>
      <c r="N482" s="99"/>
      <c r="O482" s="112"/>
      <c r="P482" s="112"/>
      <c r="Q482" s="104" t="str">
        <f t="shared" si="36"/>
        <v/>
      </c>
      <c r="R482" s="104" t="str">
        <f t="shared" si="37"/>
        <v/>
      </c>
      <c r="S482" s="104" t="str">
        <f t="shared" si="38"/>
        <v/>
      </c>
      <c r="T482" s="104" t="str">
        <f t="shared" si="39"/>
        <v/>
      </c>
      <c r="U482" s="104" t="str">
        <f t="shared" si="40"/>
        <v/>
      </c>
      <c r="V482" s="104" t="str">
        <f t="shared" si="41"/>
        <v/>
      </c>
      <c r="W482" s="105"/>
    </row>
    <row r="483" spans="1:23" ht="15" customHeight="1">
      <c r="A483" s="92">
        <v>103</v>
      </c>
      <c r="B483" s="121" t="s">
        <v>427</v>
      </c>
      <c r="C483" s="122"/>
      <c r="D483" s="798">
        <f>1+0.3+1</f>
        <v>2.2999999999999998</v>
      </c>
      <c r="E483" s="798"/>
      <c r="F483" s="118"/>
      <c r="G483" s="108">
        <v>0.25</v>
      </c>
      <c r="H483" s="98">
        <v>20</v>
      </c>
      <c r="I483" s="99">
        <v>1</v>
      </c>
      <c r="J483" s="101">
        <f>ROUND(D477/G483+1,0)</f>
        <v>12</v>
      </c>
      <c r="K483" s="109">
        <f>D483</f>
        <v>2.2999999999999998</v>
      </c>
      <c r="L483" s="110" t="str">
        <f>IF(O483&lt;12,"0",0.049*H483)</f>
        <v>0</v>
      </c>
      <c r="M483" s="111">
        <v>0</v>
      </c>
      <c r="N483" s="99">
        <f>M483*2*H483/1000</f>
        <v>0</v>
      </c>
      <c r="O483" s="112">
        <f>(D483)-N483</f>
        <v>2.2999999999999998</v>
      </c>
      <c r="P483" s="112">
        <f>(I483*J483*O483)+L483</f>
        <v>27.599999999999998</v>
      </c>
      <c r="Q483" s="104" t="str">
        <f t="shared" si="36"/>
        <v/>
      </c>
      <c r="R483" s="104" t="str">
        <f t="shared" si="37"/>
        <v/>
      </c>
      <c r="S483" s="104" t="str">
        <f t="shared" si="38"/>
        <v/>
      </c>
      <c r="T483" s="104" t="str">
        <f t="shared" si="39"/>
        <v/>
      </c>
      <c r="U483" s="104">
        <f t="shared" si="40"/>
        <v>27.599999999999998</v>
      </c>
      <c r="V483" s="104" t="str">
        <f t="shared" si="41"/>
        <v/>
      </c>
      <c r="W483" s="105"/>
    </row>
    <row r="484" spans="1:23">
      <c r="A484" s="92"/>
      <c r="B484" s="121" t="s">
        <v>318</v>
      </c>
      <c r="C484" s="107"/>
      <c r="D484" s="117"/>
      <c r="E484" s="117"/>
      <c r="F484" s="118"/>
      <c r="G484" s="108"/>
      <c r="H484" s="98"/>
      <c r="I484" s="99"/>
      <c r="J484" s="101"/>
      <c r="K484" s="109"/>
      <c r="L484" s="110"/>
      <c r="M484" s="111"/>
      <c r="N484" s="99"/>
      <c r="O484" s="112"/>
      <c r="P484" s="112"/>
      <c r="Q484" s="104" t="str">
        <f t="shared" si="36"/>
        <v/>
      </c>
      <c r="R484" s="104" t="str">
        <f t="shared" si="37"/>
        <v/>
      </c>
      <c r="S484" s="104" t="str">
        <f t="shared" si="38"/>
        <v/>
      </c>
      <c r="T484" s="104" t="str">
        <f t="shared" si="39"/>
        <v/>
      </c>
      <c r="U484" s="104" t="str">
        <f t="shared" si="40"/>
        <v/>
      </c>
      <c r="V484" s="104" t="str">
        <f t="shared" si="41"/>
        <v/>
      </c>
      <c r="W484" s="105"/>
    </row>
    <row r="485" spans="1:23">
      <c r="A485" s="92"/>
      <c r="B485" s="121"/>
      <c r="C485" s="107"/>
      <c r="D485" s="117"/>
      <c r="E485" s="117"/>
      <c r="F485" s="118"/>
      <c r="G485" s="108"/>
      <c r="H485" s="98"/>
      <c r="I485" s="99"/>
      <c r="J485" s="101"/>
      <c r="K485" s="109"/>
      <c r="L485" s="110"/>
      <c r="M485" s="111"/>
      <c r="N485" s="99"/>
      <c r="O485" s="112"/>
      <c r="P485" s="112"/>
      <c r="Q485" s="104" t="str">
        <f t="shared" si="36"/>
        <v/>
      </c>
      <c r="R485" s="104" t="str">
        <f t="shared" si="37"/>
        <v/>
      </c>
      <c r="S485" s="104" t="str">
        <f t="shared" si="38"/>
        <v/>
      </c>
      <c r="T485" s="104" t="str">
        <f t="shared" si="39"/>
        <v/>
      </c>
      <c r="U485" s="104" t="str">
        <f t="shared" si="40"/>
        <v/>
      </c>
      <c r="V485" s="104" t="str">
        <f t="shared" si="41"/>
        <v/>
      </c>
      <c r="W485" s="105"/>
    </row>
    <row r="486" spans="1:23" ht="15" customHeight="1">
      <c r="A486" s="92">
        <v>104</v>
      </c>
      <c r="B486" s="121" t="s">
        <v>426</v>
      </c>
      <c r="C486" s="122"/>
      <c r="D486" s="798">
        <f>1+0.3+1</f>
        <v>2.2999999999999998</v>
      </c>
      <c r="E486" s="798"/>
      <c r="F486" s="118"/>
      <c r="G486" s="108">
        <v>0.25</v>
      </c>
      <c r="H486" s="98">
        <v>20</v>
      </c>
      <c r="I486" s="99">
        <v>1</v>
      </c>
      <c r="J486" s="101">
        <f>ROUND(D489/G486+1,0)</f>
        <v>13</v>
      </c>
      <c r="K486" s="109">
        <f>D486</f>
        <v>2.2999999999999998</v>
      </c>
      <c r="L486" s="110" t="str">
        <f>IF(O486&lt;12,"0",0.049*H486)</f>
        <v>0</v>
      </c>
      <c r="M486" s="111">
        <v>0</v>
      </c>
      <c r="N486" s="99">
        <f>M486*2*H486/1000</f>
        <v>0</v>
      </c>
      <c r="O486" s="112">
        <f>(D486)-N486</f>
        <v>2.2999999999999998</v>
      </c>
      <c r="P486" s="112">
        <f>(I486*J486*O486)+L486</f>
        <v>29.9</v>
      </c>
      <c r="Q486" s="104" t="str">
        <f t="shared" si="36"/>
        <v/>
      </c>
      <c r="R486" s="104" t="str">
        <f t="shared" si="37"/>
        <v/>
      </c>
      <c r="S486" s="104" t="str">
        <f t="shared" si="38"/>
        <v/>
      </c>
      <c r="T486" s="104" t="str">
        <f t="shared" si="39"/>
        <v/>
      </c>
      <c r="U486" s="104">
        <f t="shared" si="40"/>
        <v>29.9</v>
      </c>
      <c r="V486" s="104" t="str">
        <f t="shared" si="41"/>
        <v/>
      </c>
      <c r="W486" s="105"/>
    </row>
    <row r="487" spans="1:23">
      <c r="A487" s="92"/>
      <c r="B487" s="121" t="s">
        <v>319</v>
      </c>
      <c r="C487" s="107"/>
      <c r="D487" s="117"/>
      <c r="E487" s="117"/>
      <c r="F487" s="118"/>
      <c r="G487" s="108"/>
      <c r="H487" s="98"/>
      <c r="I487" s="99"/>
      <c r="J487" s="101"/>
      <c r="K487" s="109"/>
      <c r="L487" s="110"/>
      <c r="M487" s="111"/>
      <c r="N487" s="99"/>
      <c r="O487" s="112"/>
      <c r="P487" s="112"/>
      <c r="Q487" s="104" t="str">
        <f t="shared" si="36"/>
        <v/>
      </c>
      <c r="R487" s="104" t="str">
        <f t="shared" si="37"/>
        <v/>
      </c>
      <c r="S487" s="104" t="str">
        <f t="shared" si="38"/>
        <v/>
      </c>
      <c r="T487" s="104" t="str">
        <f t="shared" si="39"/>
        <v/>
      </c>
      <c r="U487" s="104" t="str">
        <f t="shared" si="40"/>
        <v/>
      </c>
      <c r="V487" s="104" t="str">
        <f t="shared" si="41"/>
        <v/>
      </c>
      <c r="W487" s="105"/>
    </row>
    <row r="488" spans="1:23">
      <c r="A488" s="92"/>
      <c r="B488" s="121"/>
      <c r="C488" s="107"/>
      <c r="D488" s="117"/>
      <c r="E488" s="117"/>
      <c r="F488" s="118"/>
      <c r="G488" s="108"/>
      <c r="H488" s="98"/>
      <c r="I488" s="99"/>
      <c r="J488" s="101"/>
      <c r="K488" s="109"/>
      <c r="L488" s="110"/>
      <c r="M488" s="111"/>
      <c r="N488" s="99"/>
      <c r="O488" s="112"/>
      <c r="P488" s="112"/>
      <c r="Q488" s="104" t="str">
        <f t="shared" si="36"/>
        <v/>
      </c>
      <c r="R488" s="104" t="str">
        <f t="shared" si="37"/>
        <v/>
      </c>
      <c r="S488" s="104" t="str">
        <f t="shared" si="38"/>
        <v/>
      </c>
      <c r="T488" s="104" t="str">
        <f t="shared" si="39"/>
        <v/>
      </c>
      <c r="U488" s="104" t="str">
        <f t="shared" si="40"/>
        <v/>
      </c>
      <c r="V488" s="104" t="str">
        <f t="shared" si="41"/>
        <v/>
      </c>
      <c r="W488" s="105"/>
    </row>
    <row r="489" spans="1:23" ht="15" customHeight="1">
      <c r="A489" s="92">
        <v>105</v>
      </c>
      <c r="B489" s="121" t="s">
        <v>427</v>
      </c>
      <c r="C489" s="122"/>
      <c r="D489" s="798">
        <f>1.25+0.6+1.25</f>
        <v>3.1</v>
      </c>
      <c r="E489" s="798"/>
      <c r="F489" s="118"/>
      <c r="G489" s="108">
        <v>0.25</v>
      </c>
      <c r="H489" s="98">
        <v>20</v>
      </c>
      <c r="I489" s="99">
        <v>1</v>
      </c>
      <c r="J489" s="101">
        <f>ROUND(D486/G489+1,0)</f>
        <v>10</v>
      </c>
      <c r="K489" s="109">
        <f>D489</f>
        <v>3.1</v>
      </c>
      <c r="L489" s="110" t="str">
        <f>IF(O489&lt;12,"0",0.049*H489)</f>
        <v>0</v>
      </c>
      <c r="M489" s="111">
        <v>0</v>
      </c>
      <c r="N489" s="99">
        <f>M489*2*H489/1000</f>
        <v>0</v>
      </c>
      <c r="O489" s="112">
        <f>(D489)-N489</f>
        <v>3.1</v>
      </c>
      <c r="P489" s="112">
        <f>(I489*J489*O489)+L489</f>
        <v>31</v>
      </c>
      <c r="Q489" s="104" t="str">
        <f t="shared" si="36"/>
        <v/>
      </c>
      <c r="R489" s="104" t="str">
        <f t="shared" si="37"/>
        <v/>
      </c>
      <c r="S489" s="104" t="str">
        <f t="shared" si="38"/>
        <v/>
      </c>
      <c r="T489" s="104" t="str">
        <f t="shared" si="39"/>
        <v/>
      </c>
      <c r="U489" s="104">
        <f t="shared" si="40"/>
        <v>31</v>
      </c>
      <c r="V489" s="104" t="str">
        <f t="shared" si="41"/>
        <v/>
      </c>
      <c r="W489" s="105"/>
    </row>
    <row r="490" spans="1:23">
      <c r="A490" s="92"/>
      <c r="B490" s="121" t="s">
        <v>319</v>
      </c>
      <c r="C490" s="107"/>
      <c r="D490" s="117"/>
      <c r="E490" s="117"/>
      <c r="F490" s="118"/>
      <c r="G490" s="108"/>
      <c r="H490" s="98"/>
      <c r="I490" s="99"/>
      <c r="J490" s="101"/>
      <c r="K490" s="109"/>
      <c r="L490" s="110"/>
      <c r="M490" s="111"/>
      <c r="N490" s="99"/>
      <c r="O490" s="112"/>
      <c r="P490" s="112"/>
      <c r="Q490" s="104" t="str">
        <f t="shared" si="36"/>
        <v/>
      </c>
      <c r="R490" s="104" t="str">
        <f t="shared" si="37"/>
        <v/>
      </c>
      <c r="S490" s="104" t="str">
        <f t="shared" si="38"/>
        <v/>
      </c>
      <c r="T490" s="104" t="str">
        <f t="shared" si="39"/>
        <v/>
      </c>
      <c r="U490" s="104" t="str">
        <f t="shared" si="40"/>
        <v/>
      </c>
      <c r="V490" s="104" t="str">
        <f t="shared" si="41"/>
        <v/>
      </c>
      <c r="W490" s="105"/>
    </row>
    <row r="491" spans="1:23">
      <c r="A491" s="92"/>
      <c r="B491" s="121"/>
      <c r="C491" s="107"/>
      <c r="D491" s="117"/>
      <c r="E491" s="117"/>
      <c r="F491" s="118"/>
      <c r="G491" s="108"/>
      <c r="H491" s="98"/>
      <c r="I491" s="99"/>
      <c r="J491" s="101"/>
      <c r="K491" s="109"/>
      <c r="L491" s="110"/>
      <c r="M491" s="111"/>
      <c r="N491" s="99"/>
      <c r="O491" s="112"/>
      <c r="P491" s="112"/>
      <c r="Q491" s="104" t="str">
        <f t="shared" si="36"/>
        <v/>
      </c>
      <c r="R491" s="104" t="str">
        <f t="shared" si="37"/>
        <v/>
      </c>
      <c r="S491" s="104" t="str">
        <f t="shared" si="38"/>
        <v/>
      </c>
      <c r="T491" s="104" t="str">
        <f t="shared" si="39"/>
        <v/>
      </c>
      <c r="U491" s="104" t="str">
        <f t="shared" si="40"/>
        <v/>
      </c>
      <c r="V491" s="104" t="str">
        <f t="shared" si="41"/>
        <v/>
      </c>
      <c r="W491" s="105"/>
    </row>
    <row r="492" spans="1:23" ht="15" customHeight="1">
      <c r="A492" s="92">
        <v>106</v>
      </c>
      <c r="B492" s="121" t="s">
        <v>426</v>
      </c>
      <c r="C492" s="122"/>
      <c r="D492" s="798">
        <f>0.6+0.715+0.6</f>
        <v>1.915</v>
      </c>
      <c r="E492" s="798"/>
      <c r="F492" s="118"/>
      <c r="G492" s="108">
        <v>0.25</v>
      </c>
      <c r="H492" s="98">
        <v>12</v>
      </c>
      <c r="I492" s="99">
        <v>1</v>
      </c>
      <c r="J492" s="101">
        <f>ROUND(D495/G492+1,0)</f>
        <v>9</v>
      </c>
      <c r="K492" s="109">
        <f>D492</f>
        <v>1.915</v>
      </c>
      <c r="L492" s="110" t="str">
        <f>IF(O492&lt;12,"0",0.049*H492)</f>
        <v>0</v>
      </c>
      <c r="M492" s="111">
        <v>0</v>
      </c>
      <c r="N492" s="99">
        <f>M492*2*H492/1000</f>
        <v>0</v>
      </c>
      <c r="O492" s="112">
        <f>(D492)-N492</f>
        <v>1.915</v>
      </c>
      <c r="P492" s="112">
        <f>(I492*J492*O492)+L492</f>
        <v>17.234999999999999</v>
      </c>
      <c r="Q492" s="104" t="str">
        <f t="shared" si="36"/>
        <v/>
      </c>
      <c r="R492" s="104" t="str">
        <f t="shared" si="37"/>
        <v/>
      </c>
      <c r="S492" s="104">
        <f t="shared" si="38"/>
        <v>17.234999999999999</v>
      </c>
      <c r="T492" s="104" t="str">
        <f t="shared" si="39"/>
        <v/>
      </c>
      <c r="U492" s="104" t="str">
        <f t="shared" si="40"/>
        <v/>
      </c>
      <c r="V492" s="104" t="str">
        <f t="shared" si="41"/>
        <v/>
      </c>
      <c r="W492" s="105"/>
    </row>
    <row r="493" spans="1:23">
      <c r="A493" s="92"/>
      <c r="B493" s="121" t="s">
        <v>320</v>
      </c>
      <c r="C493" s="107"/>
      <c r="D493" s="117"/>
      <c r="E493" s="117"/>
      <c r="F493" s="118"/>
      <c r="G493" s="108"/>
      <c r="H493" s="98"/>
      <c r="I493" s="99"/>
      <c r="J493" s="101"/>
      <c r="K493" s="109"/>
      <c r="L493" s="110"/>
      <c r="M493" s="111"/>
      <c r="N493" s="99"/>
      <c r="O493" s="112"/>
      <c r="P493" s="112"/>
      <c r="Q493" s="104" t="str">
        <f t="shared" ref="Q493:Q556" si="42">IF($H493=8,$P493,"")</f>
        <v/>
      </c>
      <c r="R493" s="104" t="str">
        <f t="shared" ref="R493:R556" si="43">IF($H493=10,$P493,"")</f>
        <v/>
      </c>
      <c r="S493" s="104" t="str">
        <f t="shared" ref="S493:S556" si="44">IF($H493=12,$P493,"")</f>
        <v/>
      </c>
      <c r="T493" s="104" t="str">
        <f t="shared" ref="T493:T556" si="45">IF($H493=16,$P493,"")</f>
        <v/>
      </c>
      <c r="U493" s="104" t="str">
        <f t="shared" ref="U493:U556" si="46">IF($H493=20,$P493,"")</f>
        <v/>
      </c>
      <c r="V493" s="104" t="str">
        <f t="shared" ref="V493:V556" si="47">IF($H493=25,$P493,"")</f>
        <v/>
      </c>
      <c r="W493" s="105"/>
    </row>
    <row r="494" spans="1:23">
      <c r="A494" s="92"/>
      <c r="B494" s="121"/>
      <c r="C494" s="107"/>
      <c r="D494" s="117"/>
      <c r="E494" s="117"/>
      <c r="F494" s="118"/>
      <c r="G494" s="108"/>
      <c r="H494" s="98"/>
      <c r="I494" s="99"/>
      <c r="J494" s="101"/>
      <c r="K494" s="109"/>
      <c r="L494" s="110"/>
      <c r="M494" s="111"/>
      <c r="N494" s="99"/>
      <c r="O494" s="112"/>
      <c r="P494" s="112"/>
      <c r="Q494" s="104" t="str">
        <f t="shared" si="42"/>
        <v/>
      </c>
      <c r="R494" s="104" t="str">
        <f t="shared" si="43"/>
        <v/>
      </c>
      <c r="S494" s="104" t="str">
        <f t="shared" si="44"/>
        <v/>
      </c>
      <c r="T494" s="104" t="str">
        <f t="shared" si="45"/>
        <v/>
      </c>
      <c r="U494" s="104" t="str">
        <f t="shared" si="46"/>
        <v/>
      </c>
      <c r="V494" s="104" t="str">
        <f t="shared" si="47"/>
        <v/>
      </c>
      <c r="W494" s="105"/>
    </row>
    <row r="495" spans="1:23" ht="15" customHeight="1">
      <c r="A495" s="92">
        <v>107</v>
      </c>
      <c r="B495" s="121" t="s">
        <v>427</v>
      </c>
      <c r="C495" s="122"/>
      <c r="D495" s="798">
        <f>1+0.3+0.75-0.05</f>
        <v>1.9999999999999998</v>
      </c>
      <c r="E495" s="798"/>
      <c r="F495" s="118"/>
      <c r="G495" s="108">
        <v>0.25</v>
      </c>
      <c r="H495" s="98">
        <v>20</v>
      </c>
      <c r="I495" s="99">
        <v>1</v>
      </c>
      <c r="J495" s="101">
        <f>ROUND(D492/G495+1,0)</f>
        <v>9</v>
      </c>
      <c r="K495" s="109">
        <f>D495</f>
        <v>1.9999999999999998</v>
      </c>
      <c r="L495" s="110" t="str">
        <f>IF(O495&lt;12,"0",0.049*H495)</f>
        <v>0</v>
      </c>
      <c r="M495" s="111">
        <v>0</v>
      </c>
      <c r="N495" s="99">
        <f>M495*2*H495/1000</f>
        <v>0</v>
      </c>
      <c r="O495" s="112">
        <f>(D495)-N495</f>
        <v>1.9999999999999998</v>
      </c>
      <c r="P495" s="112">
        <f>(I495*J495*O495)+L495</f>
        <v>17.999999999999996</v>
      </c>
      <c r="Q495" s="104" t="str">
        <f t="shared" si="42"/>
        <v/>
      </c>
      <c r="R495" s="104" t="str">
        <f t="shared" si="43"/>
        <v/>
      </c>
      <c r="S495" s="104" t="str">
        <f t="shared" si="44"/>
        <v/>
      </c>
      <c r="T495" s="104" t="str">
        <f t="shared" si="45"/>
        <v/>
      </c>
      <c r="U495" s="104">
        <f t="shared" si="46"/>
        <v>17.999999999999996</v>
      </c>
      <c r="V495" s="104" t="str">
        <f t="shared" si="47"/>
        <v/>
      </c>
      <c r="W495" s="105"/>
    </row>
    <row r="496" spans="1:23">
      <c r="A496" s="92"/>
      <c r="B496" s="121" t="s">
        <v>320</v>
      </c>
      <c r="C496" s="107"/>
      <c r="D496" s="117"/>
      <c r="E496" s="117"/>
      <c r="F496" s="118"/>
      <c r="G496" s="108"/>
      <c r="H496" s="98"/>
      <c r="I496" s="99"/>
      <c r="J496" s="101"/>
      <c r="K496" s="109"/>
      <c r="L496" s="110"/>
      <c r="M496" s="111"/>
      <c r="N496" s="99"/>
      <c r="O496" s="112"/>
      <c r="P496" s="112"/>
      <c r="Q496" s="104" t="str">
        <f t="shared" si="42"/>
        <v/>
      </c>
      <c r="R496" s="104" t="str">
        <f t="shared" si="43"/>
        <v/>
      </c>
      <c r="S496" s="104" t="str">
        <f t="shared" si="44"/>
        <v/>
      </c>
      <c r="T496" s="104" t="str">
        <f t="shared" si="45"/>
        <v/>
      </c>
      <c r="U496" s="104" t="str">
        <f t="shared" si="46"/>
        <v/>
      </c>
      <c r="V496" s="104" t="str">
        <f t="shared" si="47"/>
        <v/>
      </c>
      <c r="W496" s="105"/>
    </row>
    <row r="497" spans="1:23">
      <c r="A497" s="92"/>
      <c r="B497" s="121"/>
      <c r="C497" s="107"/>
      <c r="D497" s="117"/>
      <c r="E497" s="117"/>
      <c r="F497" s="118"/>
      <c r="G497" s="108"/>
      <c r="H497" s="98"/>
      <c r="I497" s="99"/>
      <c r="J497" s="101"/>
      <c r="K497" s="109"/>
      <c r="L497" s="110"/>
      <c r="M497" s="111"/>
      <c r="N497" s="99"/>
      <c r="O497" s="112"/>
      <c r="P497" s="112"/>
      <c r="Q497" s="104" t="str">
        <f t="shared" si="42"/>
        <v/>
      </c>
      <c r="R497" s="104" t="str">
        <f t="shared" si="43"/>
        <v/>
      </c>
      <c r="S497" s="104" t="str">
        <f t="shared" si="44"/>
        <v/>
      </c>
      <c r="T497" s="104" t="str">
        <f t="shared" si="45"/>
        <v/>
      </c>
      <c r="U497" s="104" t="str">
        <f t="shared" si="46"/>
        <v/>
      </c>
      <c r="V497" s="104" t="str">
        <f t="shared" si="47"/>
        <v/>
      </c>
      <c r="W497" s="105"/>
    </row>
    <row r="498" spans="1:23" ht="15" customHeight="1">
      <c r="A498" s="92">
        <v>108</v>
      </c>
      <c r="B498" s="121" t="s">
        <v>426</v>
      </c>
      <c r="C498" s="122"/>
      <c r="D498" s="798">
        <f>0.75-0.05+0.115+0.47+0.515+1.17+1.935+0.055+1</f>
        <v>5.9599999999999991</v>
      </c>
      <c r="E498" s="798"/>
      <c r="F498" s="118"/>
      <c r="G498" s="108">
        <v>0.25</v>
      </c>
      <c r="H498" s="98">
        <v>25</v>
      </c>
      <c r="I498" s="99">
        <v>1</v>
      </c>
      <c r="J498" s="101">
        <f>ROUND(2.6/G498+1,0)</f>
        <v>11</v>
      </c>
      <c r="K498" s="109">
        <f>D498</f>
        <v>5.9599999999999991</v>
      </c>
      <c r="L498" s="110" t="str">
        <f>IF(O498&lt;12,"0",0.049*H498)</f>
        <v>0</v>
      </c>
      <c r="M498" s="111">
        <v>0</v>
      </c>
      <c r="N498" s="99">
        <f>M498*2*H498/1000</f>
        <v>0</v>
      </c>
      <c r="O498" s="112">
        <f>(D498)-N498</f>
        <v>5.9599999999999991</v>
      </c>
      <c r="P498" s="112">
        <f>(I498*J498*O498)+L498</f>
        <v>65.559999999999988</v>
      </c>
      <c r="Q498" s="104" t="str">
        <f t="shared" si="42"/>
        <v/>
      </c>
      <c r="R498" s="104" t="str">
        <f t="shared" si="43"/>
        <v/>
      </c>
      <c r="S498" s="104" t="str">
        <f t="shared" si="44"/>
        <v/>
      </c>
      <c r="T498" s="104" t="str">
        <f t="shared" si="45"/>
        <v/>
      </c>
      <c r="U498" s="104" t="str">
        <f t="shared" si="46"/>
        <v/>
      </c>
      <c r="V498" s="104">
        <f t="shared" si="47"/>
        <v>65.559999999999988</v>
      </c>
      <c r="W498" s="105"/>
    </row>
    <row r="499" spans="1:23">
      <c r="A499" s="92"/>
      <c r="B499" s="121" t="s">
        <v>321</v>
      </c>
      <c r="C499" s="107"/>
      <c r="D499" s="117"/>
      <c r="E499" s="117"/>
      <c r="F499" s="118"/>
      <c r="G499" s="108"/>
      <c r="H499" s="98"/>
      <c r="I499" s="99"/>
      <c r="J499" s="101"/>
      <c r="K499" s="109"/>
      <c r="L499" s="110"/>
      <c r="M499" s="111"/>
      <c r="N499" s="99"/>
      <c r="O499" s="112"/>
      <c r="P499" s="112"/>
      <c r="Q499" s="104" t="str">
        <f t="shared" si="42"/>
        <v/>
      </c>
      <c r="R499" s="104" t="str">
        <f t="shared" si="43"/>
        <v/>
      </c>
      <c r="S499" s="104" t="str">
        <f t="shared" si="44"/>
        <v/>
      </c>
      <c r="T499" s="104" t="str">
        <f t="shared" si="45"/>
        <v/>
      </c>
      <c r="U499" s="104" t="str">
        <f t="shared" si="46"/>
        <v/>
      </c>
      <c r="V499" s="104" t="str">
        <f t="shared" si="47"/>
        <v/>
      </c>
      <c r="W499" s="105"/>
    </row>
    <row r="500" spans="1:23">
      <c r="A500" s="92"/>
      <c r="B500" s="121"/>
      <c r="C500" s="107"/>
      <c r="D500" s="117"/>
      <c r="E500" s="117"/>
      <c r="F500" s="118"/>
      <c r="G500" s="108"/>
      <c r="H500" s="98"/>
      <c r="I500" s="99"/>
      <c r="J500" s="101"/>
      <c r="K500" s="109"/>
      <c r="L500" s="110"/>
      <c r="M500" s="111"/>
      <c r="N500" s="99"/>
      <c r="O500" s="112"/>
      <c r="P500" s="112"/>
      <c r="Q500" s="104" t="str">
        <f t="shared" si="42"/>
        <v/>
      </c>
      <c r="R500" s="104" t="str">
        <f t="shared" si="43"/>
        <v/>
      </c>
      <c r="S500" s="104" t="str">
        <f t="shared" si="44"/>
        <v/>
      </c>
      <c r="T500" s="104" t="str">
        <f t="shared" si="45"/>
        <v/>
      </c>
      <c r="U500" s="104" t="str">
        <f t="shared" si="46"/>
        <v/>
      </c>
      <c r="V500" s="104" t="str">
        <f t="shared" si="47"/>
        <v/>
      </c>
      <c r="W500" s="105"/>
    </row>
    <row r="501" spans="1:23" ht="15" customHeight="1">
      <c r="A501" s="92">
        <v>109</v>
      </c>
      <c r="B501" s="121" t="s">
        <v>426</v>
      </c>
      <c r="C501" s="122"/>
      <c r="D501" s="798">
        <f>0.75-0.05+0.115+0.47+0.515+1.17+1.935+0.055+1</f>
        <v>5.9599999999999991</v>
      </c>
      <c r="E501" s="798"/>
      <c r="F501" s="118"/>
      <c r="G501" s="108">
        <v>0.25</v>
      </c>
      <c r="H501" s="98">
        <v>25</v>
      </c>
      <c r="I501" s="99">
        <v>1</v>
      </c>
      <c r="J501" s="101">
        <f>ROUND(2.6/G501+1,0)</f>
        <v>11</v>
      </c>
      <c r="K501" s="109">
        <f>D501</f>
        <v>5.9599999999999991</v>
      </c>
      <c r="L501" s="110" t="str">
        <f>IF(O501&lt;12,"0",0.049*H501)</f>
        <v>0</v>
      </c>
      <c r="M501" s="111">
        <v>0</v>
      </c>
      <c r="N501" s="99">
        <f>M501*2*H501/1000</f>
        <v>0</v>
      </c>
      <c r="O501" s="112">
        <f>(D501)-N501</f>
        <v>5.9599999999999991</v>
      </c>
      <c r="P501" s="112">
        <f>(I501*J501*O501)+L501</f>
        <v>65.559999999999988</v>
      </c>
      <c r="Q501" s="104" t="str">
        <f t="shared" si="42"/>
        <v/>
      </c>
      <c r="R501" s="104" t="str">
        <f t="shared" si="43"/>
        <v/>
      </c>
      <c r="S501" s="104" t="str">
        <f t="shared" si="44"/>
        <v/>
      </c>
      <c r="T501" s="104" t="str">
        <f t="shared" si="45"/>
        <v/>
      </c>
      <c r="U501" s="104" t="str">
        <f t="shared" si="46"/>
        <v/>
      </c>
      <c r="V501" s="104">
        <f t="shared" si="47"/>
        <v>65.559999999999988</v>
      </c>
      <c r="W501" s="105"/>
    </row>
    <row r="502" spans="1:23">
      <c r="A502" s="92"/>
      <c r="B502" s="121" t="s">
        <v>321</v>
      </c>
      <c r="C502" s="107"/>
      <c r="D502" s="117"/>
      <c r="E502" s="117"/>
      <c r="F502" s="118"/>
      <c r="G502" s="108"/>
      <c r="H502" s="98"/>
      <c r="I502" s="99"/>
      <c r="J502" s="101"/>
      <c r="K502" s="109"/>
      <c r="L502" s="110"/>
      <c r="M502" s="111"/>
      <c r="N502" s="99"/>
      <c r="O502" s="112"/>
      <c r="P502" s="112"/>
      <c r="Q502" s="104" t="str">
        <f t="shared" si="42"/>
        <v/>
      </c>
      <c r="R502" s="104" t="str">
        <f t="shared" si="43"/>
        <v/>
      </c>
      <c r="S502" s="104" t="str">
        <f t="shared" si="44"/>
        <v/>
      </c>
      <c r="T502" s="104" t="str">
        <f t="shared" si="45"/>
        <v/>
      </c>
      <c r="U502" s="104" t="str">
        <f t="shared" si="46"/>
        <v/>
      </c>
      <c r="V502" s="104" t="str">
        <f t="shared" si="47"/>
        <v/>
      </c>
      <c r="W502" s="105"/>
    </row>
    <row r="503" spans="1:23">
      <c r="A503" s="92"/>
      <c r="B503" s="121"/>
      <c r="C503" s="107"/>
      <c r="D503" s="117"/>
      <c r="E503" s="117"/>
      <c r="F503" s="118"/>
      <c r="G503" s="108"/>
      <c r="H503" s="98"/>
      <c r="I503" s="99"/>
      <c r="J503" s="101"/>
      <c r="K503" s="109"/>
      <c r="L503" s="110"/>
      <c r="M503" s="111"/>
      <c r="N503" s="99"/>
      <c r="O503" s="112"/>
      <c r="P503" s="112"/>
      <c r="Q503" s="104" t="str">
        <f t="shared" si="42"/>
        <v/>
      </c>
      <c r="R503" s="104" t="str">
        <f t="shared" si="43"/>
        <v/>
      </c>
      <c r="S503" s="104" t="str">
        <f t="shared" si="44"/>
        <v/>
      </c>
      <c r="T503" s="104" t="str">
        <f t="shared" si="45"/>
        <v/>
      </c>
      <c r="U503" s="104" t="str">
        <f t="shared" si="46"/>
        <v/>
      </c>
      <c r="V503" s="104" t="str">
        <f t="shared" si="47"/>
        <v/>
      </c>
      <c r="W503" s="105"/>
    </row>
    <row r="504" spans="1:23" ht="15" customHeight="1">
      <c r="A504" s="92">
        <v>110</v>
      </c>
      <c r="B504" s="121" t="s">
        <v>427</v>
      </c>
      <c r="C504" s="122"/>
      <c r="D504" s="798">
        <f>0.75-0.05+0.65+1.25</f>
        <v>2.6</v>
      </c>
      <c r="E504" s="798"/>
      <c r="F504" s="118"/>
      <c r="G504" s="108">
        <v>0.25</v>
      </c>
      <c r="H504" s="98">
        <v>20</v>
      </c>
      <c r="I504" s="99">
        <v>1</v>
      </c>
      <c r="J504" s="101">
        <f>ROUND(5.96/G504+1,0)</f>
        <v>25</v>
      </c>
      <c r="K504" s="109">
        <f>D504</f>
        <v>2.6</v>
      </c>
      <c r="L504" s="110" t="str">
        <f>IF(O504&lt;12,"0",0.049*H504)</f>
        <v>0</v>
      </c>
      <c r="M504" s="111">
        <v>0</v>
      </c>
      <c r="N504" s="99">
        <f>M504*2*H504/1000</f>
        <v>0</v>
      </c>
      <c r="O504" s="112">
        <f>(D504)-N504</f>
        <v>2.6</v>
      </c>
      <c r="P504" s="112">
        <f>(I504*J504*O504)+L504</f>
        <v>65</v>
      </c>
      <c r="Q504" s="104" t="str">
        <f t="shared" si="42"/>
        <v/>
      </c>
      <c r="R504" s="104" t="str">
        <f t="shared" si="43"/>
        <v/>
      </c>
      <c r="S504" s="104" t="str">
        <f t="shared" si="44"/>
        <v/>
      </c>
      <c r="T504" s="104" t="str">
        <f t="shared" si="45"/>
        <v/>
      </c>
      <c r="U504" s="104">
        <f t="shared" si="46"/>
        <v>65</v>
      </c>
      <c r="V504" s="104" t="str">
        <f t="shared" si="47"/>
        <v/>
      </c>
      <c r="W504" s="105"/>
    </row>
    <row r="505" spans="1:23">
      <c r="A505" s="92"/>
      <c r="B505" s="121" t="s">
        <v>321</v>
      </c>
      <c r="C505" s="107"/>
      <c r="D505" s="117"/>
      <c r="E505" s="117"/>
      <c r="F505" s="118"/>
      <c r="G505" s="108"/>
      <c r="H505" s="98"/>
      <c r="I505" s="99"/>
      <c r="J505" s="101"/>
      <c r="K505" s="109"/>
      <c r="L505" s="110"/>
      <c r="M505" s="111"/>
      <c r="N505" s="99"/>
      <c r="O505" s="112"/>
      <c r="P505" s="112"/>
      <c r="Q505" s="104" t="str">
        <f t="shared" si="42"/>
        <v/>
      </c>
      <c r="R505" s="104" t="str">
        <f t="shared" si="43"/>
        <v/>
      </c>
      <c r="S505" s="104" t="str">
        <f t="shared" si="44"/>
        <v/>
      </c>
      <c r="T505" s="104" t="str">
        <f t="shared" si="45"/>
        <v/>
      </c>
      <c r="U505" s="104" t="str">
        <f t="shared" si="46"/>
        <v/>
      </c>
      <c r="V505" s="104" t="str">
        <f t="shared" si="47"/>
        <v/>
      </c>
      <c r="W505" s="105"/>
    </row>
    <row r="506" spans="1:23">
      <c r="A506" s="92"/>
      <c r="B506" s="121"/>
      <c r="C506" s="107"/>
      <c r="D506" s="117"/>
      <c r="E506" s="117"/>
      <c r="F506" s="118"/>
      <c r="G506" s="108"/>
      <c r="H506" s="98"/>
      <c r="I506" s="99"/>
      <c r="J506" s="101"/>
      <c r="K506" s="109"/>
      <c r="L506" s="110"/>
      <c r="M506" s="111"/>
      <c r="N506" s="99"/>
      <c r="O506" s="112"/>
      <c r="P506" s="112"/>
      <c r="Q506" s="104" t="str">
        <f t="shared" si="42"/>
        <v/>
      </c>
      <c r="R506" s="104" t="str">
        <f t="shared" si="43"/>
        <v/>
      </c>
      <c r="S506" s="104" t="str">
        <f t="shared" si="44"/>
        <v/>
      </c>
      <c r="T506" s="104" t="str">
        <f t="shared" si="45"/>
        <v/>
      </c>
      <c r="U506" s="104" t="str">
        <f t="shared" si="46"/>
        <v/>
      </c>
      <c r="V506" s="104" t="str">
        <f t="shared" si="47"/>
        <v/>
      </c>
      <c r="W506" s="105"/>
    </row>
    <row r="507" spans="1:23" ht="15" customHeight="1">
      <c r="A507" s="92">
        <v>111</v>
      </c>
      <c r="B507" s="121" t="s">
        <v>426</v>
      </c>
      <c r="C507" s="122"/>
      <c r="D507" s="798">
        <f>0.75-0.05+0.115+0.47+0.515+1.17+1.935+0.055+1</f>
        <v>5.9599999999999991</v>
      </c>
      <c r="E507" s="798"/>
      <c r="F507" s="118"/>
      <c r="G507" s="108">
        <v>0.25</v>
      </c>
      <c r="H507" s="98">
        <v>20</v>
      </c>
      <c r="I507" s="99">
        <v>1</v>
      </c>
      <c r="J507" s="101">
        <f>ROUND(2.35/G507+1,0)</f>
        <v>10</v>
      </c>
      <c r="K507" s="109">
        <f>D507</f>
        <v>5.9599999999999991</v>
      </c>
      <c r="L507" s="110" t="str">
        <f>IF(O507&lt;12,"0",0.049*H507)</f>
        <v>0</v>
      </c>
      <c r="M507" s="111">
        <v>0</v>
      </c>
      <c r="N507" s="99">
        <f>M507*2*H507/1000</f>
        <v>0</v>
      </c>
      <c r="O507" s="112">
        <f>(D507)-N507</f>
        <v>5.9599999999999991</v>
      </c>
      <c r="P507" s="112">
        <f>(I507*J507*O507)+L507</f>
        <v>59.599999999999994</v>
      </c>
      <c r="Q507" s="104" t="str">
        <f t="shared" si="42"/>
        <v/>
      </c>
      <c r="R507" s="104" t="str">
        <f t="shared" si="43"/>
        <v/>
      </c>
      <c r="S507" s="104" t="str">
        <f t="shared" si="44"/>
        <v/>
      </c>
      <c r="T507" s="104" t="str">
        <f t="shared" si="45"/>
        <v/>
      </c>
      <c r="U507" s="104">
        <f t="shared" si="46"/>
        <v>59.599999999999994</v>
      </c>
      <c r="V507" s="104" t="str">
        <f t="shared" si="47"/>
        <v/>
      </c>
      <c r="W507" s="105"/>
    </row>
    <row r="508" spans="1:23">
      <c r="A508" s="92"/>
      <c r="B508" s="121" t="s">
        <v>322</v>
      </c>
      <c r="C508" s="107"/>
      <c r="D508" s="117"/>
      <c r="E508" s="117"/>
      <c r="F508" s="118"/>
      <c r="G508" s="108"/>
      <c r="H508" s="98"/>
      <c r="I508" s="99"/>
      <c r="J508" s="101"/>
      <c r="K508" s="109"/>
      <c r="L508" s="110"/>
      <c r="M508" s="111"/>
      <c r="N508" s="99"/>
      <c r="O508" s="112"/>
      <c r="P508" s="112"/>
      <c r="Q508" s="104" t="str">
        <f t="shared" si="42"/>
        <v/>
      </c>
      <c r="R508" s="104" t="str">
        <f t="shared" si="43"/>
        <v/>
      </c>
      <c r="S508" s="104" t="str">
        <f t="shared" si="44"/>
        <v/>
      </c>
      <c r="T508" s="104" t="str">
        <f t="shared" si="45"/>
        <v/>
      </c>
      <c r="U508" s="104" t="str">
        <f t="shared" si="46"/>
        <v/>
      </c>
      <c r="V508" s="104" t="str">
        <f t="shared" si="47"/>
        <v/>
      </c>
      <c r="W508" s="105"/>
    </row>
    <row r="509" spans="1:23">
      <c r="A509" s="92"/>
      <c r="B509" s="121"/>
      <c r="C509" s="107"/>
      <c r="D509" s="117"/>
      <c r="E509" s="117"/>
      <c r="F509" s="118"/>
      <c r="G509" s="108"/>
      <c r="H509" s="98"/>
      <c r="I509" s="99"/>
      <c r="J509" s="101"/>
      <c r="K509" s="109"/>
      <c r="L509" s="110"/>
      <c r="M509" s="111"/>
      <c r="N509" s="99"/>
      <c r="O509" s="112"/>
      <c r="P509" s="112"/>
      <c r="Q509" s="104" t="str">
        <f t="shared" si="42"/>
        <v/>
      </c>
      <c r="R509" s="104" t="str">
        <f t="shared" si="43"/>
        <v/>
      </c>
      <c r="S509" s="104" t="str">
        <f t="shared" si="44"/>
        <v/>
      </c>
      <c r="T509" s="104" t="str">
        <f t="shared" si="45"/>
        <v/>
      </c>
      <c r="U509" s="104" t="str">
        <f t="shared" si="46"/>
        <v/>
      </c>
      <c r="V509" s="104" t="str">
        <f t="shared" si="47"/>
        <v/>
      </c>
      <c r="W509" s="105"/>
    </row>
    <row r="510" spans="1:23" ht="15" customHeight="1">
      <c r="A510" s="92">
        <v>112</v>
      </c>
      <c r="B510" s="121" t="s">
        <v>427</v>
      </c>
      <c r="C510" s="122"/>
      <c r="D510" s="798">
        <f>0.75-0.05+0.65+1</f>
        <v>2.35</v>
      </c>
      <c r="E510" s="798"/>
      <c r="F510" s="118"/>
      <c r="G510" s="108">
        <v>0.25</v>
      </c>
      <c r="H510" s="98">
        <v>20</v>
      </c>
      <c r="I510" s="99">
        <v>1</v>
      </c>
      <c r="J510" s="101">
        <f>ROUND(5.96/G510+1,0)</f>
        <v>25</v>
      </c>
      <c r="K510" s="109">
        <f>D510</f>
        <v>2.35</v>
      </c>
      <c r="L510" s="110" t="str">
        <f>IF(O510&lt;12,"0",0.049*H510)</f>
        <v>0</v>
      </c>
      <c r="M510" s="111">
        <v>0</v>
      </c>
      <c r="N510" s="99">
        <f>M510*2*H510/1000</f>
        <v>0</v>
      </c>
      <c r="O510" s="112">
        <f>(D510)-N510</f>
        <v>2.35</v>
      </c>
      <c r="P510" s="112">
        <f>(I510*J510*O510)+L510</f>
        <v>58.75</v>
      </c>
      <c r="Q510" s="104" t="str">
        <f t="shared" si="42"/>
        <v/>
      </c>
      <c r="R510" s="104" t="str">
        <f t="shared" si="43"/>
        <v/>
      </c>
      <c r="S510" s="104" t="str">
        <f t="shared" si="44"/>
        <v/>
      </c>
      <c r="T510" s="104" t="str">
        <f t="shared" si="45"/>
        <v/>
      </c>
      <c r="U510" s="104">
        <f t="shared" si="46"/>
        <v>58.75</v>
      </c>
      <c r="V510" s="104" t="str">
        <f t="shared" si="47"/>
        <v/>
      </c>
      <c r="W510" s="105"/>
    </row>
    <row r="511" spans="1:23">
      <c r="A511" s="92"/>
      <c r="B511" s="121" t="s">
        <v>322</v>
      </c>
      <c r="C511" s="107"/>
      <c r="D511" s="117"/>
      <c r="E511" s="117"/>
      <c r="F511" s="118"/>
      <c r="G511" s="108"/>
      <c r="H511" s="98"/>
      <c r="I511" s="99"/>
      <c r="J511" s="101"/>
      <c r="K511" s="109"/>
      <c r="L511" s="110"/>
      <c r="M511" s="111"/>
      <c r="N511" s="99"/>
      <c r="O511" s="112"/>
      <c r="P511" s="112"/>
      <c r="Q511" s="104" t="str">
        <f t="shared" si="42"/>
        <v/>
      </c>
      <c r="R511" s="104" t="str">
        <f t="shared" si="43"/>
        <v/>
      </c>
      <c r="S511" s="104" t="str">
        <f t="shared" si="44"/>
        <v/>
      </c>
      <c r="T511" s="104" t="str">
        <f t="shared" si="45"/>
        <v/>
      </c>
      <c r="U511" s="104" t="str">
        <f t="shared" si="46"/>
        <v/>
      </c>
      <c r="V511" s="104" t="str">
        <f t="shared" si="47"/>
        <v/>
      </c>
      <c r="W511" s="105"/>
    </row>
    <row r="512" spans="1:23">
      <c r="A512" s="92"/>
      <c r="B512" s="121"/>
      <c r="C512" s="107"/>
      <c r="D512" s="117"/>
      <c r="E512" s="117"/>
      <c r="F512" s="118"/>
      <c r="G512" s="108"/>
      <c r="H512" s="98"/>
      <c r="I512" s="99"/>
      <c r="J512" s="101"/>
      <c r="K512" s="109"/>
      <c r="L512" s="110"/>
      <c r="M512" s="111"/>
      <c r="N512" s="99"/>
      <c r="O512" s="112"/>
      <c r="P512" s="112"/>
      <c r="Q512" s="104" t="str">
        <f t="shared" si="42"/>
        <v/>
      </c>
      <c r="R512" s="104" t="str">
        <f t="shared" si="43"/>
        <v/>
      </c>
      <c r="S512" s="104" t="str">
        <f t="shared" si="44"/>
        <v/>
      </c>
      <c r="T512" s="104" t="str">
        <f t="shared" si="45"/>
        <v/>
      </c>
      <c r="U512" s="104" t="str">
        <f t="shared" si="46"/>
        <v/>
      </c>
      <c r="V512" s="104" t="str">
        <f t="shared" si="47"/>
        <v/>
      </c>
      <c r="W512" s="105"/>
    </row>
    <row r="513" spans="1:23" ht="15" customHeight="1">
      <c r="A513" s="92">
        <v>113</v>
      </c>
      <c r="B513" s="121" t="s">
        <v>426</v>
      </c>
      <c r="C513" s="122"/>
      <c r="D513" s="798">
        <f>0.75-0.05+0.6+1</f>
        <v>2.2999999999999998</v>
      </c>
      <c r="E513" s="798"/>
      <c r="F513" s="118"/>
      <c r="G513" s="108">
        <v>0.25</v>
      </c>
      <c r="H513" s="98">
        <v>20</v>
      </c>
      <c r="I513" s="99">
        <v>1</v>
      </c>
      <c r="J513" s="101">
        <f>ROUND(3.1/G513+1,0)</f>
        <v>13</v>
      </c>
      <c r="K513" s="109">
        <f>D513</f>
        <v>2.2999999999999998</v>
      </c>
      <c r="L513" s="110" t="str">
        <f>IF(O513&lt;12,"0",0.049*H513)</f>
        <v>0</v>
      </c>
      <c r="M513" s="111">
        <v>0</v>
      </c>
      <c r="N513" s="99">
        <f>M513*2*H513/1000</f>
        <v>0</v>
      </c>
      <c r="O513" s="112">
        <f>(D513)-N513</f>
        <v>2.2999999999999998</v>
      </c>
      <c r="P513" s="112">
        <f>(I513*J513*O513)+L513</f>
        <v>29.9</v>
      </c>
      <c r="Q513" s="104" t="str">
        <f t="shared" si="42"/>
        <v/>
      </c>
      <c r="R513" s="104" t="str">
        <f t="shared" si="43"/>
        <v/>
      </c>
      <c r="S513" s="104" t="str">
        <f t="shared" si="44"/>
        <v/>
      </c>
      <c r="T513" s="104" t="str">
        <f t="shared" si="45"/>
        <v/>
      </c>
      <c r="U513" s="104">
        <f t="shared" si="46"/>
        <v>29.9</v>
      </c>
      <c r="V513" s="104" t="str">
        <f t="shared" si="47"/>
        <v/>
      </c>
      <c r="W513" s="105"/>
    </row>
    <row r="514" spans="1:23">
      <c r="A514" s="92"/>
      <c r="B514" s="121" t="s">
        <v>323</v>
      </c>
      <c r="C514" s="107"/>
      <c r="D514" s="117"/>
      <c r="E514" s="117"/>
      <c r="F514" s="118"/>
      <c r="G514" s="108"/>
      <c r="H514" s="98"/>
      <c r="I514" s="99"/>
      <c r="J514" s="101"/>
      <c r="K514" s="109"/>
      <c r="L514" s="110"/>
      <c r="M514" s="111"/>
      <c r="N514" s="99"/>
      <c r="O514" s="112"/>
      <c r="P514" s="112"/>
      <c r="Q514" s="104" t="str">
        <f t="shared" si="42"/>
        <v/>
      </c>
      <c r="R514" s="104" t="str">
        <f t="shared" si="43"/>
        <v/>
      </c>
      <c r="S514" s="104" t="str">
        <f t="shared" si="44"/>
        <v/>
      </c>
      <c r="T514" s="104" t="str">
        <f t="shared" si="45"/>
        <v/>
      </c>
      <c r="U514" s="104" t="str">
        <f t="shared" si="46"/>
        <v/>
      </c>
      <c r="V514" s="104" t="str">
        <f t="shared" si="47"/>
        <v/>
      </c>
      <c r="W514" s="105"/>
    </row>
    <row r="515" spans="1:23">
      <c r="A515" s="92"/>
      <c r="B515" s="121"/>
      <c r="C515" s="107"/>
      <c r="D515" s="117"/>
      <c r="E515" s="117"/>
      <c r="F515" s="118"/>
      <c r="G515" s="108"/>
      <c r="H515" s="98"/>
      <c r="I515" s="99"/>
      <c r="J515" s="101"/>
      <c r="K515" s="109"/>
      <c r="L515" s="110"/>
      <c r="M515" s="111"/>
      <c r="N515" s="99"/>
      <c r="O515" s="112"/>
      <c r="P515" s="112"/>
      <c r="Q515" s="104" t="str">
        <f t="shared" si="42"/>
        <v/>
      </c>
      <c r="R515" s="104" t="str">
        <f t="shared" si="43"/>
        <v/>
      </c>
      <c r="S515" s="104" t="str">
        <f t="shared" si="44"/>
        <v/>
      </c>
      <c r="T515" s="104" t="str">
        <f t="shared" si="45"/>
        <v/>
      </c>
      <c r="U515" s="104" t="str">
        <f t="shared" si="46"/>
        <v/>
      </c>
      <c r="V515" s="104" t="str">
        <f t="shared" si="47"/>
        <v/>
      </c>
      <c r="W515" s="105"/>
    </row>
    <row r="516" spans="1:23" ht="15" customHeight="1">
      <c r="A516" s="92">
        <v>114</v>
      </c>
      <c r="B516" s="121" t="s">
        <v>427</v>
      </c>
      <c r="C516" s="122"/>
      <c r="D516" s="798">
        <f>1.25+0.3+1.25</f>
        <v>2.8</v>
      </c>
      <c r="E516" s="798"/>
      <c r="F516" s="118"/>
      <c r="G516" s="108">
        <v>0.25</v>
      </c>
      <c r="H516" s="98">
        <v>25</v>
      </c>
      <c r="I516" s="99">
        <v>1</v>
      </c>
      <c r="J516" s="101">
        <f>ROUND(2.3/G516+1,0)</f>
        <v>10</v>
      </c>
      <c r="K516" s="109">
        <f>D516</f>
        <v>2.8</v>
      </c>
      <c r="L516" s="110" t="str">
        <f>IF(O516&lt;12,"0",0.049*H516)</f>
        <v>0</v>
      </c>
      <c r="M516" s="111">
        <v>0</v>
      </c>
      <c r="N516" s="99">
        <f>M516*2*H516/1000</f>
        <v>0</v>
      </c>
      <c r="O516" s="112">
        <f>(D516)-N516</f>
        <v>2.8</v>
      </c>
      <c r="P516" s="112">
        <f>(I516*J516*O516)+L516</f>
        <v>28</v>
      </c>
      <c r="Q516" s="104" t="str">
        <f t="shared" si="42"/>
        <v/>
      </c>
      <c r="R516" s="104" t="str">
        <f t="shared" si="43"/>
        <v/>
      </c>
      <c r="S516" s="104" t="str">
        <f t="shared" si="44"/>
        <v/>
      </c>
      <c r="T516" s="104" t="str">
        <f t="shared" si="45"/>
        <v/>
      </c>
      <c r="U516" s="104" t="str">
        <f t="shared" si="46"/>
        <v/>
      </c>
      <c r="V516" s="104">
        <f t="shared" si="47"/>
        <v>28</v>
      </c>
      <c r="W516" s="105"/>
    </row>
    <row r="517" spans="1:23">
      <c r="A517" s="92"/>
      <c r="B517" s="121" t="s">
        <v>323</v>
      </c>
      <c r="C517" s="107"/>
      <c r="D517" s="117"/>
      <c r="E517" s="117"/>
      <c r="F517" s="118"/>
      <c r="G517" s="108"/>
      <c r="H517" s="98"/>
      <c r="I517" s="99"/>
      <c r="J517" s="101"/>
      <c r="K517" s="109"/>
      <c r="L517" s="110"/>
      <c r="M517" s="111"/>
      <c r="N517" s="99"/>
      <c r="O517" s="112"/>
      <c r="P517" s="112"/>
      <c r="Q517" s="104" t="str">
        <f t="shared" si="42"/>
        <v/>
      </c>
      <c r="R517" s="104" t="str">
        <f t="shared" si="43"/>
        <v/>
      </c>
      <c r="S517" s="104" t="str">
        <f t="shared" si="44"/>
        <v/>
      </c>
      <c r="T517" s="104" t="str">
        <f t="shared" si="45"/>
        <v/>
      </c>
      <c r="U517" s="104" t="str">
        <f t="shared" si="46"/>
        <v/>
      </c>
      <c r="V517" s="104" t="str">
        <f t="shared" si="47"/>
        <v/>
      </c>
      <c r="W517" s="105"/>
    </row>
    <row r="518" spans="1:23">
      <c r="A518" s="92"/>
      <c r="B518" s="121"/>
      <c r="C518" s="107"/>
      <c r="D518" s="117"/>
      <c r="E518" s="117"/>
      <c r="F518" s="118"/>
      <c r="G518" s="108"/>
      <c r="H518" s="98"/>
      <c r="I518" s="99"/>
      <c r="J518" s="101"/>
      <c r="K518" s="109"/>
      <c r="L518" s="110"/>
      <c r="M518" s="111"/>
      <c r="N518" s="99"/>
      <c r="O518" s="112"/>
      <c r="P518" s="112"/>
      <c r="Q518" s="104" t="str">
        <f t="shared" si="42"/>
        <v/>
      </c>
      <c r="R518" s="104" t="str">
        <f t="shared" si="43"/>
        <v/>
      </c>
      <c r="S518" s="104" t="str">
        <f t="shared" si="44"/>
        <v/>
      </c>
      <c r="T518" s="104" t="str">
        <f t="shared" si="45"/>
        <v/>
      </c>
      <c r="U518" s="104" t="str">
        <f t="shared" si="46"/>
        <v/>
      </c>
      <c r="V518" s="104" t="str">
        <f t="shared" si="47"/>
        <v/>
      </c>
      <c r="W518" s="105"/>
    </row>
    <row r="519" spans="1:23" ht="15" customHeight="1">
      <c r="A519" s="92">
        <v>115</v>
      </c>
      <c r="B519" s="121" t="s">
        <v>426</v>
      </c>
      <c r="C519" s="122"/>
      <c r="D519" s="798">
        <f>0.75-0.05+0.715+1</f>
        <v>2.415</v>
      </c>
      <c r="E519" s="798"/>
      <c r="F519" s="118"/>
      <c r="G519" s="108">
        <v>0.25</v>
      </c>
      <c r="H519" s="98">
        <v>20</v>
      </c>
      <c r="I519" s="99">
        <v>1</v>
      </c>
      <c r="J519" s="101">
        <f>ROUND(2.3/G519+1,0)</f>
        <v>10</v>
      </c>
      <c r="K519" s="109">
        <f>D519</f>
        <v>2.415</v>
      </c>
      <c r="L519" s="110" t="str">
        <f>IF(O519&lt;12,"0",0.049*H519)</f>
        <v>0</v>
      </c>
      <c r="M519" s="111">
        <v>0</v>
      </c>
      <c r="N519" s="99">
        <f>M519*2*H519/1000</f>
        <v>0</v>
      </c>
      <c r="O519" s="112">
        <f>(D519)-N519</f>
        <v>2.415</v>
      </c>
      <c r="P519" s="112">
        <f>(I519*J519*O519)+L519</f>
        <v>24.15</v>
      </c>
      <c r="Q519" s="104" t="str">
        <f t="shared" si="42"/>
        <v/>
      </c>
      <c r="R519" s="104" t="str">
        <f t="shared" si="43"/>
        <v/>
      </c>
      <c r="S519" s="104" t="str">
        <f t="shared" si="44"/>
        <v/>
      </c>
      <c r="T519" s="104" t="str">
        <f t="shared" si="45"/>
        <v/>
      </c>
      <c r="U519" s="104">
        <f t="shared" si="46"/>
        <v>24.15</v>
      </c>
      <c r="V519" s="104" t="str">
        <f t="shared" si="47"/>
        <v/>
      </c>
      <c r="W519" s="105"/>
    </row>
    <row r="520" spans="1:23">
      <c r="A520" s="92"/>
      <c r="B520" s="121" t="s">
        <v>324</v>
      </c>
      <c r="C520" s="107"/>
      <c r="D520" s="117"/>
      <c r="E520" s="117"/>
      <c r="F520" s="118"/>
      <c r="G520" s="108"/>
      <c r="H520" s="98"/>
      <c r="I520" s="99"/>
      <c r="J520" s="101"/>
      <c r="K520" s="109"/>
      <c r="L520" s="110"/>
      <c r="M520" s="111"/>
      <c r="N520" s="99"/>
      <c r="O520" s="112"/>
      <c r="P520" s="112"/>
      <c r="Q520" s="104" t="str">
        <f t="shared" si="42"/>
        <v/>
      </c>
      <c r="R520" s="104" t="str">
        <f t="shared" si="43"/>
        <v/>
      </c>
      <c r="S520" s="104" t="str">
        <f t="shared" si="44"/>
        <v/>
      </c>
      <c r="T520" s="104" t="str">
        <f t="shared" si="45"/>
        <v/>
      </c>
      <c r="U520" s="104" t="str">
        <f t="shared" si="46"/>
        <v/>
      </c>
      <c r="V520" s="104" t="str">
        <f t="shared" si="47"/>
        <v/>
      </c>
      <c r="W520" s="105"/>
    </row>
    <row r="521" spans="1:23">
      <c r="A521" s="92"/>
      <c r="B521" s="121"/>
      <c r="C521" s="107"/>
      <c r="D521" s="117"/>
      <c r="E521" s="117"/>
      <c r="F521" s="118"/>
      <c r="G521" s="108"/>
      <c r="H521" s="98"/>
      <c r="I521" s="99"/>
      <c r="J521" s="101"/>
      <c r="K521" s="109"/>
      <c r="L521" s="110"/>
      <c r="M521" s="111"/>
      <c r="N521" s="99"/>
      <c r="O521" s="112"/>
      <c r="P521" s="112"/>
      <c r="Q521" s="104" t="str">
        <f t="shared" si="42"/>
        <v/>
      </c>
      <c r="R521" s="104" t="str">
        <f t="shared" si="43"/>
        <v/>
      </c>
      <c r="S521" s="104" t="str">
        <f t="shared" si="44"/>
        <v/>
      </c>
      <c r="T521" s="104" t="str">
        <f t="shared" si="45"/>
        <v/>
      </c>
      <c r="U521" s="104" t="str">
        <f t="shared" si="46"/>
        <v/>
      </c>
      <c r="V521" s="104" t="str">
        <f t="shared" si="47"/>
        <v/>
      </c>
      <c r="W521" s="105"/>
    </row>
    <row r="522" spans="1:23" ht="15" customHeight="1">
      <c r="A522" s="92">
        <v>116</v>
      </c>
      <c r="B522" s="121" t="s">
        <v>427</v>
      </c>
      <c r="C522" s="122"/>
      <c r="D522" s="798">
        <f>1+0.3+1</f>
        <v>2.2999999999999998</v>
      </c>
      <c r="E522" s="798"/>
      <c r="F522" s="118"/>
      <c r="G522" s="108">
        <v>0.25</v>
      </c>
      <c r="H522" s="98">
        <v>20</v>
      </c>
      <c r="I522" s="99">
        <v>1</v>
      </c>
      <c r="J522" s="101">
        <f>ROUND(1.835/G522+1,0)</f>
        <v>8</v>
      </c>
      <c r="K522" s="109">
        <f>D522</f>
        <v>2.2999999999999998</v>
      </c>
      <c r="L522" s="110" t="str">
        <f>IF(O522&lt;12,"0",0.049*H522)</f>
        <v>0</v>
      </c>
      <c r="M522" s="111">
        <v>0</v>
      </c>
      <c r="N522" s="99">
        <f>M522*2*H522/1000</f>
        <v>0</v>
      </c>
      <c r="O522" s="112">
        <f>(D522)-N522</f>
        <v>2.2999999999999998</v>
      </c>
      <c r="P522" s="112">
        <f>(I522*J522*O522)+L522</f>
        <v>18.399999999999999</v>
      </c>
      <c r="Q522" s="104" t="str">
        <f t="shared" si="42"/>
        <v/>
      </c>
      <c r="R522" s="104" t="str">
        <f t="shared" si="43"/>
        <v/>
      </c>
      <c r="S522" s="104" t="str">
        <f t="shared" si="44"/>
        <v/>
      </c>
      <c r="T522" s="104" t="str">
        <f t="shared" si="45"/>
        <v/>
      </c>
      <c r="U522" s="104">
        <f t="shared" si="46"/>
        <v>18.399999999999999</v>
      </c>
      <c r="V522" s="104" t="str">
        <f t="shared" si="47"/>
        <v/>
      </c>
      <c r="W522" s="105"/>
    </row>
    <row r="523" spans="1:23">
      <c r="A523" s="92"/>
      <c r="B523" s="121" t="s">
        <v>324</v>
      </c>
      <c r="C523" s="107"/>
      <c r="D523" s="117"/>
      <c r="E523" s="117"/>
      <c r="F523" s="118"/>
      <c r="G523" s="108"/>
      <c r="H523" s="98"/>
      <c r="I523" s="99"/>
      <c r="J523" s="101"/>
      <c r="K523" s="109"/>
      <c r="L523" s="110"/>
      <c r="M523" s="111"/>
      <c r="N523" s="99"/>
      <c r="O523" s="112"/>
      <c r="P523" s="112"/>
      <c r="Q523" s="104" t="str">
        <f t="shared" si="42"/>
        <v/>
      </c>
      <c r="R523" s="104" t="str">
        <f t="shared" si="43"/>
        <v/>
      </c>
      <c r="S523" s="104" t="str">
        <f t="shared" si="44"/>
        <v/>
      </c>
      <c r="T523" s="104" t="str">
        <f t="shared" si="45"/>
        <v/>
      </c>
      <c r="U523" s="104" t="str">
        <f t="shared" si="46"/>
        <v/>
      </c>
      <c r="V523" s="104" t="str">
        <f t="shared" si="47"/>
        <v/>
      </c>
      <c r="W523" s="105"/>
    </row>
    <row r="524" spans="1:23">
      <c r="A524" s="92"/>
      <c r="B524" s="121"/>
      <c r="C524" s="107"/>
      <c r="D524" s="117"/>
      <c r="E524" s="117"/>
      <c r="F524" s="118"/>
      <c r="G524" s="108"/>
      <c r="H524" s="98"/>
      <c r="I524" s="99"/>
      <c r="J524" s="101"/>
      <c r="K524" s="109"/>
      <c r="L524" s="110"/>
      <c r="M524" s="111"/>
      <c r="N524" s="99"/>
      <c r="O524" s="112"/>
      <c r="P524" s="112"/>
      <c r="Q524" s="104" t="str">
        <f t="shared" si="42"/>
        <v/>
      </c>
      <c r="R524" s="104" t="str">
        <f t="shared" si="43"/>
        <v/>
      </c>
      <c r="S524" s="104" t="str">
        <f t="shared" si="44"/>
        <v/>
      </c>
      <c r="T524" s="104" t="str">
        <f t="shared" si="45"/>
        <v/>
      </c>
      <c r="U524" s="104" t="str">
        <f t="shared" si="46"/>
        <v/>
      </c>
      <c r="V524" s="104" t="str">
        <f t="shared" si="47"/>
        <v/>
      </c>
      <c r="W524" s="105"/>
    </row>
    <row r="525" spans="1:23" ht="15" customHeight="1">
      <c r="A525" s="92">
        <v>117</v>
      </c>
      <c r="B525" s="121" t="s">
        <v>426</v>
      </c>
      <c r="C525" s="122"/>
      <c r="D525" s="798">
        <f>0.75-0.05+0.715+1</f>
        <v>2.415</v>
      </c>
      <c r="E525" s="798"/>
      <c r="F525" s="118"/>
      <c r="G525" s="108">
        <v>0.25</v>
      </c>
      <c r="H525" s="98">
        <v>20</v>
      </c>
      <c r="I525" s="99">
        <v>1</v>
      </c>
      <c r="J525" s="101">
        <f>ROUND(2.3/G525+1,0)</f>
        <v>10</v>
      </c>
      <c r="K525" s="109">
        <f>D525</f>
        <v>2.415</v>
      </c>
      <c r="L525" s="110" t="str">
        <f>IF(O525&lt;12,"0",0.049*H525)</f>
        <v>0</v>
      </c>
      <c r="M525" s="111">
        <v>0</v>
      </c>
      <c r="N525" s="99">
        <f>M525*2*H525/1000</f>
        <v>0</v>
      </c>
      <c r="O525" s="112">
        <f>(D525)-N525</f>
        <v>2.415</v>
      </c>
      <c r="P525" s="112">
        <f>(I525*J525*O525)+L525</f>
        <v>24.15</v>
      </c>
      <c r="Q525" s="104" t="str">
        <f t="shared" si="42"/>
        <v/>
      </c>
      <c r="R525" s="104" t="str">
        <f t="shared" si="43"/>
        <v/>
      </c>
      <c r="S525" s="104" t="str">
        <f t="shared" si="44"/>
        <v/>
      </c>
      <c r="T525" s="104" t="str">
        <f t="shared" si="45"/>
        <v/>
      </c>
      <c r="U525" s="104">
        <f t="shared" si="46"/>
        <v>24.15</v>
      </c>
      <c r="V525" s="104" t="str">
        <f t="shared" si="47"/>
        <v/>
      </c>
      <c r="W525" s="105"/>
    </row>
    <row r="526" spans="1:23">
      <c r="A526" s="92"/>
      <c r="B526" s="121" t="s">
        <v>325</v>
      </c>
      <c r="C526" s="107"/>
      <c r="D526" s="117"/>
      <c r="E526" s="117"/>
      <c r="F526" s="118"/>
      <c r="G526" s="108"/>
      <c r="H526" s="98"/>
      <c r="I526" s="99"/>
      <c r="J526" s="101"/>
      <c r="K526" s="109"/>
      <c r="L526" s="110"/>
      <c r="M526" s="111"/>
      <c r="N526" s="99"/>
      <c r="O526" s="112"/>
      <c r="P526" s="112"/>
      <c r="Q526" s="104" t="str">
        <f t="shared" si="42"/>
        <v/>
      </c>
      <c r="R526" s="104" t="str">
        <f t="shared" si="43"/>
        <v/>
      </c>
      <c r="S526" s="104" t="str">
        <f t="shared" si="44"/>
        <v/>
      </c>
      <c r="T526" s="104" t="str">
        <f t="shared" si="45"/>
        <v/>
      </c>
      <c r="U526" s="104" t="str">
        <f t="shared" si="46"/>
        <v/>
      </c>
      <c r="V526" s="104" t="str">
        <f t="shared" si="47"/>
        <v/>
      </c>
      <c r="W526" s="105"/>
    </row>
    <row r="527" spans="1:23">
      <c r="A527" s="92"/>
      <c r="B527" s="121"/>
      <c r="C527" s="107"/>
      <c r="D527" s="117"/>
      <c r="E527" s="117"/>
      <c r="F527" s="118"/>
      <c r="G527" s="108"/>
      <c r="H527" s="98"/>
      <c r="I527" s="99"/>
      <c r="J527" s="101"/>
      <c r="K527" s="109"/>
      <c r="L527" s="110"/>
      <c r="M527" s="111"/>
      <c r="N527" s="99"/>
      <c r="O527" s="112"/>
      <c r="P527" s="112"/>
      <c r="Q527" s="104" t="str">
        <f t="shared" si="42"/>
        <v/>
      </c>
      <c r="R527" s="104" t="str">
        <f t="shared" si="43"/>
        <v/>
      </c>
      <c r="S527" s="104" t="str">
        <f t="shared" si="44"/>
        <v/>
      </c>
      <c r="T527" s="104" t="str">
        <f t="shared" si="45"/>
        <v/>
      </c>
      <c r="U527" s="104" t="str">
        <f t="shared" si="46"/>
        <v/>
      </c>
      <c r="V527" s="104" t="str">
        <f t="shared" si="47"/>
        <v/>
      </c>
      <c r="W527" s="105"/>
    </row>
    <row r="528" spans="1:23" ht="15" customHeight="1">
      <c r="A528" s="92">
        <v>118</v>
      </c>
      <c r="B528" s="121" t="s">
        <v>427</v>
      </c>
      <c r="C528" s="122"/>
      <c r="D528" s="798">
        <f>1+0.3+1</f>
        <v>2.2999999999999998</v>
      </c>
      <c r="E528" s="798"/>
      <c r="F528" s="118"/>
      <c r="G528" s="108">
        <v>0.25</v>
      </c>
      <c r="H528" s="98">
        <v>20</v>
      </c>
      <c r="I528" s="99">
        <v>1</v>
      </c>
      <c r="J528" s="101">
        <f>ROUND(1.835/G528+1,0)</f>
        <v>8</v>
      </c>
      <c r="K528" s="109">
        <f>D528</f>
        <v>2.2999999999999998</v>
      </c>
      <c r="L528" s="110" t="str">
        <f>IF(O528&lt;12,"0",0.049*H528)</f>
        <v>0</v>
      </c>
      <c r="M528" s="111">
        <v>0</v>
      </c>
      <c r="N528" s="99">
        <f>M528*2*H528/1000</f>
        <v>0</v>
      </c>
      <c r="O528" s="112">
        <f>(D528)-N528</f>
        <v>2.2999999999999998</v>
      </c>
      <c r="P528" s="112">
        <f>(I528*J528*O528)+L528</f>
        <v>18.399999999999999</v>
      </c>
      <c r="Q528" s="104" t="str">
        <f t="shared" si="42"/>
        <v/>
      </c>
      <c r="R528" s="104" t="str">
        <f t="shared" si="43"/>
        <v/>
      </c>
      <c r="S528" s="104" t="str">
        <f t="shared" si="44"/>
        <v/>
      </c>
      <c r="T528" s="104" t="str">
        <f t="shared" si="45"/>
        <v/>
      </c>
      <c r="U528" s="104">
        <f t="shared" si="46"/>
        <v>18.399999999999999</v>
      </c>
      <c r="V528" s="104" t="str">
        <f t="shared" si="47"/>
        <v/>
      </c>
      <c r="W528" s="105"/>
    </row>
    <row r="529" spans="1:23">
      <c r="A529" s="92"/>
      <c r="B529" s="121" t="s">
        <v>325</v>
      </c>
      <c r="C529" s="107"/>
      <c r="D529" s="117"/>
      <c r="E529" s="117"/>
      <c r="F529" s="118"/>
      <c r="G529" s="108"/>
      <c r="H529" s="98"/>
      <c r="I529" s="99"/>
      <c r="J529" s="101"/>
      <c r="K529" s="109"/>
      <c r="L529" s="110"/>
      <c r="M529" s="111"/>
      <c r="N529" s="99"/>
      <c r="O529" s="112"/>
      <c r="P529" s="112"/>
      <c r="Q529" s="104" t="str">
        <f t="shared" si="42"/>
        <v/>
      </c>
      <c r="R529" s="104" t="str">
        <f t="shared" si="43"/>
        <v/>
      </c>
      <c r="S529" s="104" t="str">
        <f t="shared" si="44"/>
        <v/>
      </c>
      <c r="T529" s="104" t="str">
        <f t="shared" si="45"/>
        <v/>
      </c>
      <c r="U529" s="104" t="str">
        <f t="shared" si="46"/>
        <v/>
      </c>
      <c r="V529" s="104" t="str">
        <f t="shared" si="47"/>
        <v/>
      </c>
      <c r="W529" s="105"/>
    </row>
    <row r="530" spans="1:23">
      <c r="A530" s="92"/>
      <c r="B530" s="121"/>
      <c r="C530" s="107"/>
      <c r="D530" s="117"/>
      <c r="E530" s="117"/>
      <c r="F530" s="118"/>
      <c r="G530" s="108"/>
      <c r="H530" s="98"/>
      <c r="I530" s="99"/>
      <c r="J530" s="101"/>
      <c r="K530" s="109"/>
      <c r="L530" s="110"/>
      <c r="M530" s="111"/>
      <c r="N530" s="99"/>
      <c r="O530" s="112"/>
      <c r="P530" s="112"/>
      <c r="Q530" s="104" t="str">
        <f t="shared" si="42"/>
        <v/>
      </c>
      <c r="R530" s="104" t="str">
        <f t="shared" si="43"/>
        <v/>
      </c>
      <c r="S530" s="104" t="str">
        <f t="shared" si="44"/>
        <v/>
      </c>
      <c r="T530" s="104" t="str">
        <f t="shared" si="45"/>
        <v/>
      </c>
      <c r="U530" s="104" t="str">
        <f t="shared" si="46"/>
        <v/>
      </c>
      <c r="V530" s="104" t="str">
        <f t="shared" si="47"/>
        <v/>
      </c>
      <c r="W530" s="105"/>
    </row>
    <row r="531" spans="1:23" ht="15" customHeight="1">
      <c r="A531" s="92">
        <v>119</v>
      </c>
      <c r="B531" s="121" t="s">
        <v>426</v>
      </c>
      <c r="C531" s="122"/>
      <c r="D531" s="798">
        <f>0.75-0.05+0.6+1</f>
        <v>2.2999999999999998</v>
      </c>
      <c r="E531" s="798"/>
      <c r="F531" s="118"/>
      <c r="G531" s="108">
        <v>0.25</v>
      </c>
      <c r="H531" s="98">
        <v>20</v>
      </c>
      <c r="I531" s="99">
        <v>1</v>
      </c>
      <c r="J531" s="101">
        <f>ROUND(3.1/G531+1,0)</f>
        <v>13</v>
      </c>
      <c r="K531" s="109">
        <f>D531</f>
        <v>2.2999999999999998</v>
      </c>
      <c r="L531" s="110" t="str">
        <f>IF(O531&lt;12,"0",0.049*H531)</f>
        <v>0</v>
      </c>
      <c r="M531" s="111">
        <v>0</v>
      </c>
      <c r="N531" s="99">
        <f>M531*2*H531/1000</f>
        <v>0</v>
      </c>
      <c r="O531" s="112">
        <f>(D531)-N531</f>
        <v>2.2999999999999998</v>
      </c>
      <c r="P531" s="112">
        <f>(I531*J531*O531)+L531</f>
        <v>29.9</v>
      </c>
      <c r="Q531" s="104" t="str">
        <f t="shared" si="42"/>
        <v/>
      </c>
      <c r="R531" s="104" t="str">
        <f t="shared" si="43"/>
        <v/>
      </c>
      <c r="S531" s="104" t="str">
        <f t="shared" si="44"/>
        <v/>
      </c>
      <c r="T531" s="104" t="str">
        <f t="shared" si="45"/>
        <v/>
      </c>
      <c r="U531" s="104">
        <f t="shared" si="46"/>
        <v>29.9</v>
      </c>
      <c r="V531" s="104" t="str">
        <f t="shared" si="47"/>
        <v/>
      </c>
      <c r="W531" s="105"/>
    </row>
    <row r="532" spans="1:23">
      <c r="A532" s="92"/>
      <c r="B532" s="121" t="s">
        <v>326</v>
      </c>
      <c r="C532" s="107"/>
      <c r="D532" s="117"/>
      <c r="E532" s="117"/>
      <c r="F532" s="118"/>
      <c r="G532" s="108"/>
      <c r="H532" s="98"/>
      <c r="I532" s="99"/>
      <c r="J532" s="101"/>
      <c r="K532" s="109"/>
      <c r="L532" s="110"/>
      <c r="M532" s="111"/>
      <c r="N532" s="99"/>
      <c r="O532" s="112"/>
      <c r="P532" s="112"/>
      <c r="Q532" s="104" t="str">
        <f t="shared" si="42"/>
        <v/>
      </c>
      <c r="R532" s="104" t="str">
        <f t="shared" si="43"/>
        <v/>
      </c>
      <c r="S532" s="104" t="str">
        <f t="shared" si="44"/>
        <v/>
      </c>
      <c r="T532" s="104" t="str">
        <f t="shared" si="45"/>
        <v/>
      </c>
      <c r="U532" s="104" t="str">
        <f t="shared" si="46"/>
        <v/>
      </c>
      <c r="V532" s="104" t="str">
        <f t="shared" si="47"/>
        <v/>
      </c>
      <c r="W532" s="105"/>
    </row>
    <row r="533" spans="1:23">
      <c r="A533" s="92"/>
      <c r="B533" s="121"/>
      <c r="C533" s="107"/>
      <c r="D533" s="117"/>
      <c r="E533" s="117"/>
      <c r="F533" s="118"/>
      <c r="G533" s="108"/>
      <c r="H533" s="98"/>
      <c r="I533" s="99"/>
      <c r="J533" s="101"/>
      <c r="K533" s="109"/>
      <c r="L533" s="110"/>
      <c r="M533" s="111"/>
      <c r="N533" s="99"/>
      <c r="O533" s="112"/>
      <c r="P533" s="112"/>
      <c r="Q533" s="104" t="str">
        <f t="shared" si="42"/>
        <v/>
      </c>
      <c r="R533" s="104" t="str">
        <f t="shared" si="43"/>
        <v/>
      </c>
      <c r="S533" s="104" t="str">
        <f t="shared" si="44"/>
        <v/>
      </c>
      <c r="T533" s="104" t="str">
        <f t="shared" si="45"/>
        <v/>
      </c>
      <c r="U533" s="104" t="str">
        <f t="shared" si="46"/>
        <v/>
      </c>
      <c r="V533" s="104" t="str">
        <f t="shared" si="47"/>
        <v/>
      </c>
      <c r="W533" s="105"/>
    </row>
    <row r="534" spans="1:23" ht="15" customHeight="1">
      <c r="A534" s="92">
        <v>120</v>
      </c>
      <c r="B534" s="121" t="s">
        <v>427</v>
      </c>
      <c r="C534" s="122"/>
      <c r="D534" s="798">
        <f>1.25+0.3+1.25</f>
        <v>2.8</v>
      </c>
      <c r="E534" s="798"/>
      <c r="F534" s="118"/>
      <c r="G534" s="108">
        <v>0.25</v>
      </c>
      <c r="H534" s="98">
        <v>25</v>
      </c>
      <c r="I534" s="99">
        <v>1</v>
      </c>
      <c r="J534" s="101">
        <f>ROUND(2.3/G534+1,0)</f>
        <v>10</v>
      </c>
      <c r="K534" s="109">
        <f>D534</f>
        <v>2.8</v>
      </c>
      <c r="L534" s="110" t="str">
        <f>IF(O534&lt;12,"0",0.049*H534)</f>
        <v>0</v>
      </c>
      <c r="M534" s="111">
        <v>0</v>
      </c>
      <c r="N534" s="99">
        <f>M534*2*H534/1000</f>
        <v>0</v>
      </c>
      <c r="O534" s="112">
        <f>(D534)-N534</f>
        <v>2.8</v>
      </c>
      <c r="P534" s="112">
        <f>(I534*J534*O534)+L534</f>
        <v>28</v>
      </c>
      <c r="Q534" s="104" t="str">
        <f t="shared" si="42"/>
        <v/>
      </c>
      <c r="R534" s="104" t="str">
        <f t="shared" si="43"/>
        <v/>
      </c>
      <c r="S534" s="104" t="str">
        <f t="shared" si="44"/>
        <v/>
      </c>
      <c r="T534" s="104" t="str">
        <f t="shared" si="45"/>
        <v/>
      </c>
      <c r="U534" s="104" t="str">
        <f t="shared" si="46"/>
        <v/>
      </c>
      <c r="V534" s="104">
        <f t="shared" si="47"/>
        <v>28</v>
      </c>
      <c r="W534" s="105"/>
    </row>
    <row r="535" spans="1:23">
      <c r="A535" s="92"/>
      <c r="B535" s="121" t="s">
        <v>326</v>
      </c>
      <c r="C535" s="107"/>
      <c r="D535" s="117"/>
      <c r="E535" s="117"/>
      <c r="F535" s="118"/>
      <c r="G535" s="108"/>
      <c r="H535" s="98"/>
      <c r="I535" s="99"/>
      <c r="J535" s="101"/>
      <c r="K535" s="109"/>
      <c r="L535" s="110"/>
      <c r="M535" s="111"/>
      <c r="N535" s="99"/>
      <c r="O535" s="112"/>
      <c r="P535" s="112"/>
      <c r="Q535" s="104" t="str">
        <f t="shared" si="42"/>
        <v/>
      </c>
      <c r="R535" s="104" t="str">
        <f t="shared" si="43"/>
        <v/>
      </c>
      <c r="S535" s="104" t="str">
        <f t="shared" si="44"/>
        <v/>
      </c>
      <c r="T535" s="104" t="str">
        <f t="shared" si="45"/>
        <v/>
      </c>
      <c r="U535" s="104" t="str">
        <f t="shared" si="46"/>
        <v/>
      </c>
      <c r="V535" s="104" t="str">
        <f t="shared" si="47"/>
        <v/>
      </c>
      <c r="W535" s="105"/>
    </row>
    <row r="536" spans="1:23">
      <c r="A536" s="92"/>
      <c r="B536" s="121"/>
      <c r="C536" s="107"/>
      <c r="D536" s="117"/>
      <c r="E536" s="117"/>
      <c r="F536" s="118"/>
      <c r="G536" s="108"/>
      <c r="H536" s="98"/>
      <c r="I536" s="99"/>
      <c r="J536" s="101"/>
      <c r="K536" s="109"/>
      <c r="L536" s="110"/>
      <c r="M536" s="111"/>
      <c r="N536" s="99"/>
      <c r="O536" s="112"/>
      <c r="P536" s="112"/>
      <c r="Q536" s="104" t="str">
        <f t="shared" si="42"/>
        <v/>
      </c>
      <c r="R536" s="104" t="str">
        <f t="shared" si="43"/>
        <v/>
      </c>
      <c r="S536" s="104" t="str">
        <f t="shared" si="44"/>
        <v/>
      </c>
      <c r="T536" s="104" t="str">
        <f t="shared" si="45"/>
        <v/>
      </c>
      <c r="U536" s="104" t="str">
        <f t="shared" si="46"/>
        <v/>
      </c>
      <c r="V536" s="104" t="str">
        <f t="shared" si="47"/>
        <v/>
      </c>
      <c r="W536" s="105"/>
    </row>
    <row r="537" spans="1:23" ht="15" customHeight="1">
      <c r="A537" s="92">
        <v>121</v>
      </c>
      <c r="B537" s="121" t="s">
        <v>426</v>
      </c>
      <c r="C537" s="122"/>
      <c r="D537" s="798">
        <f>1.25+0.75+1.25</f>
        <v>3.25</v>
      </c>
      <c r="E537" s="798"/>
      <c r="F537" s="118"/>
      <c r="G537" s="108">
        <v>0.25</v>
      </c>
      <c r="H537" s="98">
        <v>25</v>
      </c>
      <c r="I537" s="99">
        <v>1</v>
      </c>
      <c r="J537" s="101">
        <f>ROUND(2.8/G537+1,0)</f>
        <v>12</v>
      </c>
      <c r="K537" s="109">
        <f>D537</f>
        <v>3.25</v>
      </c>
      <c r="L537" s="110" t="str">
        <f>IF(O537&lt;12,"0",0.049*H537)</f>
        <v>0</v>
      </c>
      <c r="M537" s="111">
        <v>0</v>
      </c>
      <c r="N537" s="99">
        <f>M537*2*H537/1000</f>
        <v>0</v>
      </c>
      <c r="O537" s="112">
        <f>(D537)-N537</f>
        <v>3.25</v>
      </c>
      <c r="P537" s="112">
        <f>(I537*J537*O537)+L537</f>
        <v>39</v>
      </c>
      <c r="Q537" s="104" t="str">
        <f t="shared" si="42"/>
        <v/>
      </c>
      <c r="R537" s="104" t="str">
        <f t="shared" si="43"/>
        <v/>
      </c>
      <c r="S537" s="104" t="str">
        <f t="shared" si="44"/>
        <v/>
      </c>
      <c r="T537" s="104" t="str">
        <f t="shared" si="45"/>
        <v/>
      </c>
      <c r="U537" s="104" t="str">
        <f t="shared" si="46"/>
        <v/>
      </c>
      <c r="V537" s="104">
        <f t="shared" si="47"/>
        <v>39</v>
      </c>
      <c r="W537" s="105"/>
    </row>
    <row r="538" spans="1:23">
      <c r="A538" s="92"/>
      <c r="B538" s="121" t="s">
        <v>327</v>
      </c>
      <c r="C538" s="107"/>
      <c r="D538" s="117"/>
      <c r="E538" s="117"/>
      <c r="F538" s="118"/>
      <c r="G538" s="108"/>
      <c r="H538" s="98"/>
      <c r="I538" s="99"/>
      <c r="J538" s="101"/>
      <c r="K538" s="109"/>
      <c r="L538" s="110"/>
      <c r="M538" s="111"/>
      <c r="N538" s="99"/>
      <c r="O538" s="112"/>
      <c r="P538" s="112"/>
      <c r="Q538" s="104" t="str">
        <f t="shared" si="42"/>
        <v/>
      </c>
      <c r="R538" s="104" t="str">
        <f t="shared" si="43"/>
        <v/>
      </c>
      <c r="S538" s="104" t="str">
        <f t="shared" si="44"/>
        <v/>
      </c>
      <c r="T538" s="104" t="str">
        <f t="shared" si="45"/>
        <v/>
      </c>
      <c r="U538" s="104" t="str">
        <f t="shared" si="46"/>
        <v/>
      </c>
      <c r="V538" s="104" t="str">
        <f t="shared" si="47"/>
        <v/>
      </c>
      <c r="W538" s="105"/>
    </row>
    <row r="539" spans="1:23">
      <c r="A539" s="92"/>
      <c r="B539" s="121"/>
      <c r="C539" s="107"/>
      <c r="D539" s="117"/>
      <c r="E539" s="117"/>
      <c r="F539" s="118"/>
      <c r="G539" s="108"/>
      <c r="H539" s="98"/>
      <c r="I539" s="99"/>
      <c r="J539" s="101"/>
      <c r="K539" s="109"/>
      <c r="L539" s="110"/>
      <c r="M539" s="111"/>
      <c r="N539" s="99"/>
      <c r="O539" s="112"/>
      <c r="P539" s="112"/>
      <c r="Q539" s="104" t="str">
        <f t="shared" si="42"/>
        <v/>
      </c>
      <c r="R539" s="104" t="str">
        <f t="shared" si="43"/>
        <v/>
      </c>
      <c r="S539" s="104" t="str">
        <f t="shared" si="44"/>
        <v/>
      </c>
      <c r="T539" s="104" t="str">
        <f t="shared" si="45"/>
        <v/>
      </c>
      <c r="U539" s="104" t="str">
        <f t="shared" si="46"/>
        <v/>
      </c>
      <c r="V539" s="104" t="str">
        <f t="shared" si="47"/>
        <v/>
      </c>
      <c r="W539" s="105"/>
    </row>
    <row r="540" spans="1:23" ht="15" customHeight="1">
      <c r="A540" s="92">
        <v>122</v>
      </c>
      <c r="B540" s="121" t="s">
        <v>427</v>
      </c>
      <c r="C540" s="122"/>
      <c r="D540" s="798">
        <f>1+0.3+1</f>
        <v>2.2999999999999998</v>
      </c>
      <c r="E540" s="798"/>
      <c r="F540" s="118"/>
      <c r="G540" s="108">
        <v>0.25</v>
      </c>
      <c r="H540" s="98">
        <v>20</v>
      </c>
      <c r="I540" s="99">
        <v>1</v>
      </c>
      <c r="J540" s="101">
        <f>ROUND(3.25/G540+1,0)</f>
        <v>14</v>
      </c>
      <c r="K540" s="109">
        <f>D540</f>
        <v>2.2999999999999998</v>
      </c>
      <c r="L540" s="110" t="str">
        <f>IF(O540&lt;12,"0",0.049*H540)</f>
        <v>0</v>
      </c>
      <c r="M540" s="111">
        <v>0</v>
      </c>
      <c r="N540" s="99">
        <f>M540*2*H540/1000</f>
        <v>0</v>
      </c>
      <c r="O540" s="112">
        <f>(D540)-N540</f>
        <v>2.2999999999999998</v>
      </c>
      <c r="P540" s="112">
        <f>(I540*J540*O540)+L540</f>
        <v>32.199999999999996</v>
      </c>
      <c r="Q540" s="104" t="str">
        <f t="shared" si="42"/>
        <v/>
      </c>
      <c r="R540" s="104" t="str">
        <f t="shared" si="43"/>
        <v/>
      </c>
      <c r="S540" s="104" t="str">
        <f t="shared" si="44"/>
        <v/>
      </c>
      <c r="T540" s="104" t="str">
        <f t="shared" si="45"/>
        <v/>
      </c>
      <c r="U540" s="104">
        <f t="shared" si="46"/>
        <v>32.199999999999996</v>
      </c>
      <c r="V540" s="104" t="str">
        <f t="shared" si="47"/>
        <v/>
      </c>
      <c r="W540" s="105"/>
    </row>
    <row r="541" spans="1:23">
      <c r="A541" s="92"/>
      <c r="B541" s="121" t="s">
        <v>327</v>
      </c>
      <c r="C541" s="107"/>
      <c r="D541" s="117"/>
      <c r="E541" s="117"/>
      <c r="F541" s="118"/>
      <c r="G541" s="108"/>
      <c r="H541" s="98"/>
      <c r="I541" s="99"/>
      <c r="J541" s="101"/>
      <c r="K541" s="109"/>
      <c r="L541" s="110"/>
      <c r="M541" s="111"/>
      <c r="N541" s="99"/>
      <c r="O541" s="112"/>
      <c r="P541" s="112"/>
      <c r="Q541" s="104" t="str">
        <f t="shared" si="42"/>
        <v/>
      </c>
      <c r="R541" s="104" t="str">
        <f t="shared" si="43"/>
        <v/>
      </c>
      <c r="S541" s="104" t="str">
        <f t="shared" si="44"/>
        <v/>
      </c>
      <c r="T541" s="104" t="str">
        <f t="shared" si="45"/>
        <v/>
      </c>
      <c r="U541" s="104" t="str">
        <f t="shared" si="46"/>
        <v/>
      </c>
      <c r="V541" s="104" t="str">
        <f t="shared" si="47"/>
        <v/>
      </c>
      <c r="W541" s="105"/>
    </row>
    <row r="542" spans="1:23">
      <c r="A542" s="92"/>
      <c r="B542" s="121"/>
      <c r="C542" s="107"/>
      <c r="D542" s="117"/>
      <c r="E542" s="117"/>
      <c r="F542" s="118"/>
      <c r="G542" s="108"/>
      <c r="H542" s="98"/>
      <c r="I542" s="99"/>
      <c r="J542" s="101"/>
      <c r="K542" s="109"/>
      <c r="L542" s="110"/>
      <c r="M542" s="111"/>
      <c r="N542" s="99"/>
      <c r="O542" s="112"/>
      <c r="P542" s="112"/>
      <c r="Q542" s="104" t="str">
        <f t="shared" si="42"/>
        <v/>
      </c>
      <c r="R542" s="104" t="str">
        <f t="shared" si="43"/>
        <v/>
      </c>
      <c r="S542" s="104" t="str">
        <f t="shared" si="44"/>
        <v/>
      </c>
      <c r="T542" s="104" t="str">
        <f t="shared" si="45"/>
        <v/>
      </c>
      <c r="U542" s="104" t="str">
        <f t="shared" si="46"/>
        <v/>
      </c>
      <c r="V542" s="104" t="str">
        <f t="shared" si="47"/>
        <v/>
      </c>
      <c r="W542" s="105"/>
    </row>
    <row r="543" spans="1:23" ht="15" customHeight="1">
      <c r="A543" s="92">
        <v>123</v>
      </c>
      <c r="B543" s="121" t="s">
        <v>426</v>
      </c>
      <c r="C543" s="122"/>
      <c r="D543" s="798">
        <f>1+0.75+1</f>
        <v>2.75</v>
      </c>
      <c r="E543" s="798"/>
      <c r="F543" s="118"/>
      <c r="G543" s="108">
        <v>0.25</v>
      </c>
      <c r="H543" s="98">
        <v>25</v>
      </c>
      <c r="I543" s="99">
        <v>1</v>
      </c>
      <c r="J543" s="101">
        <f>ROUND(2.8/G543+1,0)</f>
        <v>12</v>
      </c>
      <c r="K543" s="109">
        <f>D543</f>
        <v>2.75</v>
      </c>
      <c r="L543" s="110" t="str">
        <f>IF(O543&lt;12,"0",0.049*H543)</f>
        <v>0</v>
      </c>
      <c r="M543" s="111">
        <v>0</v>
      </c>
      <c r="N543" s="99">
        <f>M543*2*H543/1000</f>
        <v>0</v>
      </c>
      <c r="O543" s="112">
        <f>(D543)-N543</f>
        <v>2.75</v>
      </c>
      <c r="P543" s="112">
        <f>(I543*J543*O543)+L543</f>
        <v>33</v>
      </c>
      <c r="Q543" s="104" t="str">
        <f t="shared" si="42"/>
        <v/>
      </c>
      <c r="R543" s="104" t="str">
        <f t="shared" si="43"/>
        <v/>
      </c>
      <c r="S543" s="104" t="str">
        <f t="shared" si="44"/>
        <v/>
      </c>
      <c r="T543" s="104" t="str">
        <f t="shared" si="45"/>
        <v/>
      </c>
      <c r="U543" s="104" t="str">
        <f t="shared" si="46"/>
        <v/>
      </c>
      <c r="V543" s="104">
        <f t="shared" si="47"/>
        <v>33</v>
      </c>
      <c r="W543" s="105"/>
    </row>
    <row r="544" spans="1:23">
      <c r="A544" s="92"/>
      <c r="B544" s="121" t="s">
        <v>328</v>
      </c>
      <c r="C544" s="107"/>
      <c r="D544" s="117"/>
      <c r="E544" s="117"/>
      <c r="F544" s="118"/>
      <c r="G544" s="108"/>
      <c r="H544" s="98"/>
      <c r="I544" s="99"/>
      <c r="J544" s="101"/>
      <c r="K544" s="109"/>
      <c r="L544" s="110"/>
      <c r="M544" s="111"/>
      <c r="N544" s="99"/>
      <c r="O544" s="112"/>
      <c r="P544" s="112"/>
      <c r="Q544" s="104" t="str">
        <f t="shared" si="42"/>
        <v/>
      </c>
      <c r="R544" s="104" t="str">
        <f t="shared" si="43"/>
        <v/>
      </c>
      <c r="S544" s="104" t="str">
        <f t="shared" si="44"/>
        <v/>
      </c>
      <c r="T544" s="104" t="str">
        <f t="shared" si="45"/>
        <v/>
      </c>
      <c r="U544" s="104" t="str">
        <f t="shared" si="46"/>
        <v/>
      </c>
      <c r="V544" s="104" t="str">
        <f t="shared" si="47"/>
        <v/>
      </c>
      <c r="W544" s="105"/>
    </row>
    <row r="545" spans="1:23">
      <c r="A545" s="92"/>
      <c r="B545" s="121"/>
      <c r="C545" s="107"/>
      <c r="D545" s="117"/>
      <c r="E545" s="117"/>
      <c r="F545" s="118"/>
      <c r="G545" s="108"/>
      <c r="H545" s="98"/>
      <c r="I545" s="99"/>
      <c r="J545" s="101"/>
      <c r="K545" s="109"/>
      <c r="L545" s="110"/>
      <c r="M545" s="111"/>
      <c r="N545" s="99"/>
      <c r="O545" s="112"/>
      <c r="P545" s="112"/>
      <c r="Q545" s="104" t="str">
        <f t="shared" si="42"/>
        <v/>
      </c>
      <c r="R545" s="104" t="str">
        <f t="shared" si="43"/>
        <v/>
      </c>
      <c r="S545" s="104" t="str">
        <f t="shared" si="44"/>
        <v/>
      </c>
      <c r="T545" s="104" t="str">
        <f t="shared" si="45"/>
        <v/>
      </c>
      <c r="U545" s="104" t="str">
        <f t="shared" si="46"/>
        <v/>
      </c>
      <c r="V545" s="104" t="str">
        <f t="shared" si="47"/>
        <v/>
      </c>
      <c r="W545" s="105"/>
    </row>
    <row r="546" spans="1:23" ht="15" customHeight="1">
      <c r="A546" s="92">
        <v>124</v>
      </c>
      <c r="B546" s="121" t="s">
        <v>426</v>
      </c>
      <c r="C546" s="122"/>
      <c r="D546" s="798">
        <f>1+0.75+1</f>
        <v>2.75</v>
      </c>
      <c r="E546" s="798"/>
      <c r="F546" s="118"/>
      <c r="G546" s="108">
        <v>0.25</v>
      </c>
      <c r="H546" s="98">
        <v>20</v>
      </c>
      <c r="I546" s="99">
        <v>1</v>
      </c>
      <c r="J546" s="101">
        <f>ROUND(2.8/G546+1,0)</f>
        <v>12</v>
      </c>
      <c r="K546" s="109">
        <f>D546</f>
        <v>2.75</v>
      </c>
      <c r="L546" s="110" t="str">
        <f>IF(O546&lt;12,"0",0.049*H546)</f>
        <v>0</v>
      </c>
      <c r="M546" s="111">
        <v>0</v>
      </c>
      <c r="N546" s="99">
        <f>M546*2*H546/1000</f>
        <v>0</v>
      </c>
      <c r="O546" s="112">
        <f>(D546)-N546</f>
        <v>2.75</v>
      </c>
      <c r="P546" s="112">
        <f>(I546*J546*O546)+L546</f>
        <v>33</v>
      </c>
      <c r="Q546" s="104" t="str">
        <f t="shared" si="42"/>
        <v/>
      </c>
      <c r="R546" s="104" t="str">
        <f t="shared" si="43"/>
        <v/>
      </c>
      <c r="S546" s="104" t="str">
        <f t="shared" si="44"/>
        <v/>
      </c>
      <c r="T546" s="104" t="str">
        <f t="shared" si="45"/>
        <v/>
      </c>
      <c r="U546" s="104">
        <f t="shared" si="46"/>
        <v>33</v>
      </c>
      <c r="V546" s="104" t="str">
        <f t="shared" si="47"/>
        <v/>
      </c>
      <c r="W546" s="105"/>
    </row>
    <row r="547" spans="1:23">
      <c r="A547" s="92"/>
      <c r="B547" s="121" t="s">
        <v>328</v>
      </c>
      <c r="C547" s="107"/>
      <c r="D547" s="117"/>
      <c r="E547" s="117"/>
      <c r="F547" s="118"/>
      <c r="G547" s="108"/>
      <c r="H547" s="98"/>
      <c r="I547" s="99"/>
      <c r="J547" s="101"/>
      <c r="K547" s="109"/>
      <c r="L547" s="110"/>
      <c r="M547" s="111"/>
      <c r="N547" s="99"/>
      <c r="O547" s="112"/>
      <c r="P547" s="112"/>
      <c r="Q547" s="104" t="str">
        <f t="shared" si="42"/>
        <v/>
      </c>
      <c r="R547" s="104" t="str">
        <f t="shared" si="43"/>
        <v/>
      </c>
      <c r="S547" s="104" t="str">
        <f t="shared" si="44"/>
        <v/>
      </c>
      <c r="T547" s="104" t="str">
        <f t="shared" si="45"/>
        <v/>
      </c>
      <c r="U547" s="104" t="str">
        <f t="shared" si="46"/>
        <v/>
      </c>
      <c r="V547" s="104" t="str">
        <f t="shared" si="47"/>
        <v/>
      </c>
      <c r="W547" s="105"/>
    </row>
    <row r="548" spans="1:23">
      <c r="A548" s="92"/>
      <c r="B548" s="121"/>
      <c r="C548" s="107"/>
      <c r="D548" s="117"/>
      <c r="E548" s="117"/>
      <c r="F548" s="118"/>
      <c r="G548" s="108"/>
      <c r="H548" s="98"/>
      <c r="I548" s="99"/>
      <c r="J548" s="101"/>
      <c r="K548" s="109"/>
      <c r="L548" s="110"/>
      <c r="M548" s="111"/>
      <c r="N548" s="99"/>
      <c r="O548" s="112"/>
      <c r="P548" s="112"/>
      <c r="Q548" s="104" t="str">
        <f t="shared" si="42"/>
        <v/>
      </c>
      <c r="R548" s="104" t="str">
        <f t="shared" si="43"/>
        <v/>
      </c>
      <c r="S548" s="104" t="str">
        <f t="shared" si="44"/>
        <v/>
      </c>
      <c r="T548" s="104" t="str">
        <f t="shared" si="45"/>
        <v/>
      </c>
      <c r="U548" s="104" t="str">
        <f t="shared" si="46"/>
        <v/>
      </c>
      <c r="V548" s="104" t="str">
        <f t="shared" si="47"/>
        <v/>
      </c>
      <c r="W548" s="105"/>
    </row>
    <row r="549" spans="1:23" ht="15" customHeight="1">
      <c r="A549" s="92">
        <v>125</v>
      </c>
      <c r="B549" s="121" t="s">
        <v>427</v>
      </c>
      <c r="C549" s="122"/>
      <c r="D549" s="798">
        <f>1.25+0.3+1.25</f>
        <v>2.8</v>
      </c>
      <c r="E549" s="798"/>
      <c r="F549" s="118"/>
      <c r="G549" s="108">
        <v>0.25</v>
      </c>
      <c r="H549" s="98">
        <v>25</v>
      </c>
      <c r="I549" s="99">
        <v>1</v>
      </c>
      <c r="J549" s="101">
        <f>ROUND(2.75/G549+1,0)</f>
        <v>12</v>
      </c>
      <c r="K549" s="109">
        <f>D549</f>
        <v>2.8</v>
      </c>
      <c r="L549" s="110" t="str">
        <f>IF(O549&lt;12,"0",0.049*H549)</f>
        <v>0</v>
      </c>
      <c r="M549" s="111">
        <v>0</v>
      </c>
      <c r="N549" s="99">
        <f>M549*2*H549/1000</f>
        <v>0</v>
      </c>
      <c r="O549" s="112">
        <f>(D549)-N549</f>
        <v>2.8</v>
      </c>
      <c r="P549" s="112">
        <f>(I549*J549*O549)+L549</f>
        <v>33.599999999999994</v>
      </c>
      <c r="Q549" s="104" t="str">
        <f t="shared" si="42"/>
        <v/>
      </c>
      <c r="R549" s="104" t="str">
        <f t="shared" si="43"/>
        <v/>
      </c>
      <c r="S549" s="104" t="str">
        <f t="shared" si="44"/>
        <v/>
      </c>
      <c r="T549" s="104" t="str">
        <f t="shared" si="45"/>
        <v/>
      </c>
      <c r="U549" s="104" t="str">
        <f t="shared" si="46"/>
        <v/>
      </c>
      <c r="V549" s="104">
        <f t="shared" si="47"/>
        <v>33.599999999999994</v>
      </c>
      <c r="W549" s="105"/>
    </row>
    <row r="550" spans="1:23">
      <c r="A550" s="92"/>
      <c r="B550" s="121" t="s">
        <v>328</v>
      </c>
      <c r="C550" s="107"/>
      <c r="D550" s="117"/>
      <c r="E550" s="117"/>
      <c r="F550" s="118"/>
      <c r="G550" s="108"/>
      <c r="H550" s="98"/>
      <c r="I550" s="99"/>
      <c r="J550" s="101"/>
      <c r="K550" s="109"/>
      <c r="L550" s="110"/>
      <c r="M550" s="111"/>
      <c r="N550" s="99"/>
      <c r="O550" s="112"/>
      <c r="P550" s="112"/>
      <c r="Q550" s="104" t="str">
        <f t="shared" si="42"/>
        <v/>
      </c>
      <c r="R550" s="104" t="str">
        <f t="shared" si="43"/>
        <v/>
      </c>
      <c r="S550" s="104" t="str">
        <f t="shared" si="44"/>
        <v/>
      </c>
      <c r="T550" s="104" t="str">
        <f t="shared" si="45"/>
        <v/>
      </c>
      <c r="U550" s="104" t="str">
        <f t="shared" si="46"/>
        <v/>
      </c>
      <c r="V550" s="104" t="str">
        <f t="shared" si="47"/>
        <v/>
      </c>
      <c r="W550" s="105"/>
    </row>
    <row r="551" spans="1:23">
      <c r="A551" s="92"/>
      <c r="B551" s="121"/>
      <c r="C551" s="107"/>
      <c r="D551" s="117"/>
      <c r="E551" s="117"/>
      <c r="F551" s="118"/>
      <c r="G551" s="108"/>
      <c r="H551" s="98"/>
      <c r="I551" s="99"/>
      <c r="J551" s="101"/>
      <c r="K551" s="109"/>
      <c r="L551" s="110"/>
      <c r="M551" s="111"/>
      <c r="N551" s="99"/>
      <c r="O551" s="112"/>
      <c r="P551" s="112"/>
      <c r="Q551" s="104" t="str">
        <f t="shared" si="42"/>
        <v/>
      </c>
      <c r="R551" s="104" t="str">
        <f t="shared" si="43"/>
        <v/>
      </c>
      <c r="S551" s="104" t="str">
        <f t="shared" si="44"/>
        <v/>
      </c>
      <c r="T551" s="104" t="str">
        <f t="shared" si="45"/>
        <v/>
      </c>
      <c r="U551" s="104" t="str">
        <f t="shared" si="46"/>
        <v/>
      </c>
      <c r="V551" s="104" t="str">
        <f t="shared" si="47"/>
        <v/>
      </c>
      <c r="W551" s="105"/>
    </row>
    <row r="552" spans="1:23" ht="15" customHeight="1">
      <c r="A552" s="92">
        <v>126</v>
      </c>
      <c r="B552" s="121" t="s">
        <v>427</v>
      </c>
      <c r="C552" s="122"/>
      <c r="D552" s="798">
        <f>1.25+0.3+1.25</f>
        <v>2.8</v>
      </c>
      <c r="E552" s="798"/>
      <c r="F552" s="118"/>
      <c r="G552" s="108">
        <v>0.25</v>
      </c>
      <c r="H552" s="98">
        <v>20</v>
      </c>
      <c r="I552" s="99">
        <v>1</v>
      </c>
      <c r="J552" s="101">
        <f>ROUND(2.75/G552+1,0)</f>
        <v>12</v>
      </c>
      <c r="K552" s="109">
        <f>D552</f>
        <v>2.8</v>
      </c>
      <c r="L552" s="110" t="str">
        <f>IF(O552&lt;12,"0",0.049*H552)</f>
        <v>0</v>
      </c>
      <c r="M552" s="111">
        <v>0</v>
      </c>
      <c r="N552" s="99">
        <f>M552*2*H552/1000</f>
        <v>0</v>
      </c>
      <c r="O552" s="112">
        <f>(D552)-N552</f>
        <v>2.8</v>
      </c>
      <c r="P552" s="112">
        <f>(I552*J552*O552)+L552</f>
        <v>33.599999999999994</v>
      </c>
      <c r="Q552" s="104" t="str">
        <f t="shared" si="42"/>
        <v/>
      </c>
      <c r="R552" s="104" t="str">
        <f t="shared" si="43"/>
        <v/>
      </c>
      <c r="S552" s="104" t="str">
        <f t="shared" si="44"/>
        <v/>
      </c>
      <c r="T552" s="104" t="str">
        <f t="shared" si="45"/>
        <v/>
      </c>
      <c r="U552" s="104">
        <f t="shared" si="46"/>
        <v>33.599999999999994</v>
      </c>
      <c r="V552" s="104" t="str">
        <f t="shared" si="47"/>
        <v/>
      </c>
      <c r="W552" s="105"/>
    </row>
    <row r="553" spans="1:23">
      <c r="A553" s="92"/>
      <c r="B553" s="121" t="s">
        <v>328</v>
      </c>
      <c r="C553" s="107"/>
      <c r="D553" s="117"/>
      <c r="E553" s="117"/>
      <c r="F553" s="118"/>
      <c r="G553" s="108"/>
      <c r="H553" s="98"/>
      <c r="I553" s="99"/>
      <c r="J553" s="101"/>
      <c r="K553" s="109"/>
      <c r="L553" s="110"/>
      <c r="M553" s="111"/>
      <c r="N553" s="99"/>
      <c r="O553" s="112"/>
      <c r="P553" s="112"/>
      <c r="Q553" s="104" t="str">
        <f t="shared" si="42"/>
        <v/>
      </c>
      <c r="R553" s="104" t="str">
        <f t="shared" si="43"/>
        <v/>
      </c>
      <c r="S553" s="104" t="str">
        <f t="shared" si="44"/>
        <v/>
      </c>
      <c r="T553" s="104" t="str">
        <f t="shared" si="45"/>
        <v/>
      </c>
      <c r="U553" s="104" t="str">
        <f t="shared" si="46"/>
        <v/>
      </c>
      <c r="V553" s="104" t="str">
        <f t="shared" si="47"/>
        <v/>
      </c>
      <c r="W553" s="105"/>
    </row>
    <row r="554" spans="1:23">
      <c r="A554" s="92"/>
      <c r="B554" s="121"/>
      <c r="C554" s="107"/>
      <c r="D554" s="117"/>
      <c r="E554" s="117"/>
      <c r="F554" s="118"/>
      <c r="G554" s="108"/>
      <c r="H554" s="98"/>
      <c r="I554" s="99"/>
      <c r="J554" s="101"/>
      <c r="K554" s="109"/>
      <c r="L554" s="110"/>
      <c r="M554" s="111"/>
      <c r="N554" s="99"/>
      <c r="O554" s="112"/>
      <c r="P554" s="112"/>
      <c r="Q554" s="104" t="str">
        <f t="shared" si="42"/>
        <v/>
      </c>
      <c r="R554" s="104" t="str">
        <f t="shared" si="43"/>
        <v/>
      </c>
      <c r="S554" s="104" t="str">
        <f t="shared" si="44"/>
        <v/>
      </c>
      <c r="T554" s="104" t="str">
        <f t="shared" si="45"/>
        <v/>
      </c>
      <c r="U554" s="104" t="str">
        <f t="shared" si="46"/>
        <v/>
      </c>
      <c r="V554" s="104" t="str">
        <f t="shared" si="47"/>
        <v/>
      </c>
      <c r="W554" s="105"/>
    </row>
    <row r="555" spans="1:23" ht="15" customHeight="1">
      <c r="A555" s="92">
        <v>127</v>
      </c>
      <c r="B555" s="121" t="s">
        <v>426</v>
      </c>
      <c r="C555" s="122"/>
      <c r="D555" s="798">
        <f>1.25+0.75+1.25</f>
        <v>3.25</v>
      </c>
      <c r="E555" s="798"/>
      <c r="F555" s="118"/>
      <c r="G555" s="108">
        <v>0.25</v>
      </c>
      <c r="H555" s="98">
        <v>25</v>
      </c>
      <c r="I555" s="99">
        <v>1</v>
      </c>
      <c r="J555" s="101">
        <f>ROUND(2.3/G555+1,0)</f>
        <v>10</v>
      </c>
      <c r="K555" s="109">
        <f>D555</f>
        <v>3.25</v>
      </c>
      <c r="L555" s="110" t="str">
        <f>IF(O555&lt;12,"0",0.049*H555)</f>
        <v>0</v>
      </c>
      <c r="M555" s="111">
        <v>0</v>
      </c>
      <c r="N555" s="99">
        <f>M555*2*H555/1000</f>
        <v>0</v>
      </c>
      <c r="O555" s="112">
        <f>(D555)-N555</f>
        <v>3.25</v>
      </c>
      <c r="P555" s="112">
        <f>(I555*J555*O555)+L555</f>
        <v>32.5</v>
      </c>
      <c r="Q555" s="104" t="str">
        <f t="shared" si="42"/>
        <v/>
      </c>
      <c r="R555" s="104" t="str">
        <f t="shared" si="43"/>
        <v/>
      </c>
      <c r="S555" s="104" t="str">
        <f t="shared" si="44"/>
        <v/>
      </c>
      <c r="T555" s="104" t="str">
        <f t="shared" si="45"/>
        <v/>
      </c>
      <c r="U555" s="104" t="str">
        <f t="shared" si="46"/>
        <v/>
      </c>
      <c r="V555" s="104">
        <f t="shared" si="47"/>
        <v>32.5</v>
      </c>
      <c r="W555" s="105"/>
    </row>
    <row r="556" spans="1:23">
      <c r="A556" s="92"/>
      <c r="B556" s="121" t="s">
        <v>329</v>
      </c>
      <c r="C556" s="107"/>
      <c r="D556" s="117"/>
      <c r="E556" s="117"/>
      <c r="F556" s="118"/>
      <c r="G556" s="108"/>
      <c r="H556" s="98"/>
      <c r="I556" s="99"/>
      <c r="J556" s="101"/>
      <c r="K556" s="109"/>
      <c r="L556" s="110"/>
      <c r="M556" s="111"/>
      <c r="N556" s="99"/>
      <c r="O556" s="112"/>
      <c r="P556" s="112"/>
      <c r="Q556" s="104" t="str">
        <f t="shared" si="42"/>
        <v/>
      </c>
      <c r="R556" s="104" t="str">
        <f t="shared" si="43"/>
        <v/>
      </c>
      <c r="S556" s="104" t="str">
        <f t="shared" si="44"/>
        <v/>
      </c>
      <c r="T556" s="104" t="str">
        <f t="shared" si="45"/>
        <v/>
      </c>
      <c r="U556" s="104" t="str">
        <f t="shared" si="46"/>
        <v/>
      </c>
      <c r="V556" s="104" t="str">
        <f t="shared" si="47"/>
        <v/>
      </c>
      <c r="W556" s="105"/>
    </row>
    <row r="557" spans="1:23">
      <c r="A557" s="92"/>
      <c r="B557" s="121"/>
      <c r="C557" s="107"/>
      <c r="D557" s="117"/>
      <c r="E557" s="117"/>
      <c r="F557" s="118"/>
      <c r="G557" s="108"/>
      <c r="H557" s="98"/>
      <c r="I557" s="99"/>
      <c r="J557" s="101"/>
      <c r="K557" s="109"/>
      <c r="L557" s="110"/>
      <c r="M557" s="111"/>
      <c r="N557" s="99"/>
      <c r="O557" s="112"/>
      <c r="P557" s="112"/>
      <c r="Q557" s="104" t="str">
        <f t="shared" ref="Q557:Q620" si="48">IF($H557=8,$P557,"")</f>
        <v/>
      </c>
      <c r="R557" s="104" t="str">
        <f t="shared" ref="R557:R620" si="49">IF($H557=10,$P557,"")</f>
        <v/>
      </c>
      <c r="S557" s="104" t="str">
        <f t="shared" ref="S557:S620" si="50">IF($H557=12,$P557,"")</f>
        <v/>
      </c>
      <c r="T557" s="104" t="str">
        <f t="shared" ref="T557:T620" si="51">IF($H557=16,$P557,"")</f>
        <v/>
      </c>
      <c r="U557" s="104" t="str">
        <f t="shared" ref="U557:U620" si="52">IF($H557=20,$P557,"")</f>
        <v/>
      </c>
      <c r="V557" s="104" t="str">
        <f t="shared" ref="V557:V620" si="53">IF($H557=25,$P557,"")</f>
        <v/>
      </c>
      <c r="W557" s="105"/>
    </row>
    <row r="558" spans="1:23" ht="15" customHeight="1">
      <c r="A558" s="92">
        <v>128</v>
      </c>
      <c r="B558" s="121" t="s">
        <v>427</v>
      </c>
      <c r="C558" s="122"/>
      <c r="D558" s="798">
        <f>1+0.3+1</f>
        <v>2.2999999999999998</v>
      </c>
      <c r="E558" s="798"/>
      <c r="F558" s="118"/>
      <c r="G558" s="108">
        <v>0.25</v>
      </c>
      <c r="H558" s="98">
        <v>20</v>
      </c>
      <c r="I558" s="99">
        <v>1</v>
      </c>
      <c r="J558" s="101">
        <f>ROUND(3.25/G558+1,0)</f>
        <v>14</v>
      </c>
      <c r="K558" s="109">
        <f>D558</f>
        <v>2.2999999999999998</v>
      </c>
      <c r="L558" s="110" t="str">
        <f>IF(O558&lt;12,"0",0.049*H558)</f>
        <v>0</v>
      </c>
      <c r="M558" s="111">
        <v>0</v>
      </c>
      <c r="N558" s="99">
        <f>M558*2*H558/1000</f>
        <v>0</v>
      </c>
      <c r="O558" s="112">
        <f>(D558)-N558</f>
        <v>2.2999999999999998</v>
      </c>
      <c r="P558" s="112">
        <f>(I558*J558*O558)+L558</f>
        <v>32.199999999999996</v>
      </c>
      <c r="Q558" s="104" t="str">
        <f t="shared" si="48"/>
        <v/>
      </c>
      <c r="R558" s="104" t="str">
        <f t="shared" si="49"/>
        <v/>
      </c>
      <c r="S558" s="104" t="str">
        <f t="shared" si="50"/>
        <v/>
      </c>
      <c r="T558" s="104" t="str">
        <f t="shared" si="51"/>
        <v/>
      </c>
      <c r="U558" s="104">
        <f t="shared" si="52"/>
        <v>32.199999999999996</v>
      </c>
      <c r="V558" s="104" t="str">
        <f t="shared" si="53"/>
        <v/>
      </c>
      <c r="W558" s="105"/>
    </row>
    <row r="559" spans="1:23">
      <c r="A559" s="92"/>
      <c r="B559" s="121" t="s">
        <v>329</v>
      </c>
      <c r="C559" s="107"/>
      <c r="D559" s="117"/>
      <c r="E559" s="117"/>
      <c r="F559" s="118"/>
      <c r="G559" s="108"/>
      <c r="H559" s="98"/>
      <c r="I559" s="99"/>
      <c r="J559" s="101"/>
      <c r="K559" s="109"/>
      <c r="L559" s="110"/>
      <c r="M559" s="111"/>
      <c r="N559" s="99"/>
      <c r="O559" s="112"/>
      <c r="P559" s="112"/>
      <c r="Q559" s="104" t="str">
        <f t="shared" si="48"/>
        <v/>
      </c>
      <c r="R559" s="104" t="str">
        <f t="shared" si="49"/>
        <v/>
      </c>
      <c r="S559" s="104" t="str">
        <f t="shared" si="50"/>
        <v/>
      </c>
      <c r="T559" s="104" t="str">
        <f t="shared" si="51"/>
        <v/>
      </c>
      <c r="U559" s="104" t="str">
        <f t="shared" si="52"/>
        <v/>
      </c>
      <c r="V559" s="104" t="str">
        <f t="shared" si="53"/>
        <v/>
      </c>
      <c r="W559" s="105"/>
    </row>
    <row r="560" spans="1:23">
      <c r="A560" s="92"/>
      <c r="B560" s="121"/>
      <c r="C560" s="107"/>
      <c r="D560" s="117"/>
      <c r="E560" s="117"/>
      <c r="F560" s="118"/>
      <c r="G560" s="108"/>
      <c r="H560" s="98"/>
      <c r="I560" s="99"/>
      <c r="J560" s="101"/>
      <c r="K560" s="109"/>
      <c r="L560" s="110"/>
      <c r="M560" s="111"/>
      <c r="N560" s="99"/>
      <c r="O560" s="112"/>
      <c r="P560" s="112"/>
      <c r="Q560" s="104" t="str">
        <f t="shared" si="48"/>
        <v/>
      </c>
      <c r="R560" s="104" t="str">
        <f t="shared" si="49"/>
        <v/>
      </c>
      <c r="S560" s="104" t="str">
        <f t="shared" si="50"/>
        <v/>
      </c>
      <c r="T560" s="104" t="str">
        <f t="shared" si="51"/>
        <v/>
      </c>
      <c r="U560" s="104" t="str">
        <f t="shared" si="52"/>
        <v/>
      </c>
      <c r="V560" s="104" t="str">
        <f t="shared" si="53"/>
        <v/>
      </c>
      <c r="W560" s="105"/>
    </row>
    <row r="561" spans="1:23" ht="15" customHeight="1">
      <c r="A561" s="92">
        <v>129</v>
      </c>
      <c r="B561" s="121" t="s">
        <v>426</v>
      </c>
      <c r="C561" s="122"/>
      <c r="D561" s="798">
        <f>1.25+0.3+1.25</f>
        <v>2.8</v>
      </c>
      <c r="E561" s="798"/>
      <c r="F561" s="118"/>
      <c r="G561" s="108">
        <v>0.25</v>
      </c>
      <c r="H561" s="98">
        <v>25</v>
      </c>
      <c r="I561" s="99">
        <v>1</v>
      </c>
      <c r="J561" s="101">
        <f>ROUND(2.75/G561+1,0)</f>
        <v>12</v>
      </c>
      <c r="K561" s="109">
        <f>D561</f>
        <v>2.8</v>
      </c>
      <c r="L561" s="110" t="str">
        <f>IF(O561&lt;12,"0",0.049*H561)</f>
        <v>0</v>
      </c>
      <c r="M561" s="111">
        <v>0</v>
      </c>
      <c r="N561" s="99">
        <f>M561*2*H561/1000</f>
        <v>0</v>
      </c>
      <c r="O561" s="112">
        <f>(D561)-N561</f>
        <v>2.8</v>
      </c>
      <c r="P561" s="112">
        <f>(I561*J561*O561)+L561</f>
        <v>33.599999999999994</v>
      </c>
      <c r="Q561" s="104" t="str">
        <f t="shared" si="48"/>
        <v/>
      </c>
      <c r="R561" s="104" t="str">
        <f t="shared" si="49"/>
        <v/>
      </c>
      <c r="S561" s="104" t="str">
        <f t="shared" si="50"/>
        <v/>
      </c>
      <c r="T561" s="104" t="str">
        <f t="shared" si="51"/>
        <v/>
      </c>
      <c r="U561" s="104" t="str">
        <f t="shared" si="52"/>
        <v/>
      </c>
      <c r="V561" s="104">
        <f t="shared" si="53"/>
        <v>33.599999999999994</v>
      </c>
      <c r="W561" s="105"/>
    </row>
    <row r="562" spans="1:23">
      <c r="A562" s="92"/>
      <c r="B562" s="121" t="s">
        <v>330</v>
      </c>
      <c r="C562" s="107"/>
      <c r="D562" s="117"/>
      <c r="E562" s="117"/>
      <c r="F562" s="118"/>
      <c r="G562" s="108"/>
      <c r="H562" s="98"/>
      <c r="I562" s="99"/>
      <c r="J562" s="101"/>
      <c r="K562" s="109"/>
      <c r="L562" s="110"/>
      <c r="M562" s="111"/>
      <c r="N562" s="99"/>
      <c r="O562" s="112"/>
      <c r="P562" s="112"/>
      <c r="Q562" s="104" t="str">
        <f t="shared" si="48"/>
        <v/>
      </c>
      <c r="R562" s="104" t="str">
        <f t="shared" si="49"/>
        <v/>
      </c>
      <c r="S562" s="104" t="str">
        <f t="shared" si="50"/>
        <v/>
      </c>
      <c r="T562" s="104" t="str">
        <f t="shared" si="51"/>
        <v/>
      </c>
      <c r="U562" s="104" t="str">
        <f t="shared" si="52"/>
        <v/>
      </c>
      <c r="V562" s="104" t="str">
        <f t="shared" si="53"/>
        <v/>
      </c>
      <c r="W562" s="105"/>
    </row>
    <row r="563" spans="1:23">
      <c r="A563" s="92"/>
      <c r="B563" s="121"/>
      <c r="C563" s="107"/>
      <c r="D563" s="117"/>
      <c r="E563" s="117"/>
      <c r="F563" s="118"/>
      <c r="G563" s="108"/>
      <c r="H563" s="98"/>
      <c r="I563" s="99"/>
      <c r="J563" s="101"/>
      <c r="K563" s="109"/>
      <c r="L563" s="110"/>
      <c r="M563" s="111"/>
      <c r="N563" s="99"/>
      <c r="O563" s="112"/>
      <c r="P563" s="112"/>
      <c r="Q563" s="104" t="str">
        <f t="shared" si="48"/>
        <v/>
      </c>
      <c r="R563" s="104" t="str">
        <f t="shared" si="49"/>
        <v/>
      </c>
      <c r="S563" s="104" t="str">
        <f t="shared" si="50"/>
        <v/>
      </c>
      <c r="T563" s="104" t="str">
        <f t="shared" si="51"/>
        <v/>
      </c>
      <c r="U563" s="104" t="str">
        <f t="shared" si="52"/>
        <v/>
      </c>
      <c r="V563" s="104" t="str">
        <f t="shared" si="53"/>
        <v/>
      </c>
      <c r="W563" s="105"/>
    </row>
    <row r="564" spans="1:23" ht="15" customHeight="1">
      <c r="A564" s="92">
        <v>130</v>
      </c>
      <c r="B564" s="121" t="s">
        <v>427</v>
      </c>
      <c r="C564" s="122"/>
      <c r="D564" s="798">
        <f>1.25+0.3+1.25</f>
        <v>2.8</v>
      </c>
      <c r="E564" s="798"/>
      <c r="F564" s="118"/>
      <c r="G564" s="108">
        <v>0.25</v>
      </c>
      <c r="H564" s="98">
        <v>25</v>
      </c>
      <c r="I564" s="99">
        <v>1</v>
      </c>
      <c r="J564" s="101">
        <f>ROUND(2.75/G564+1,0)</f>
        <v>12</v>
      </c>
      <c r="K564" s="109">
        <f>D564</f>
        <v>2.8</v>
      </c>
      <c r="L564" s="110" t="str">
        <f>IF(O564&lt;12,"0",0.049*H564)</f>
        <v>0</v>
      </c>
      <c r="M564" s="111">
        <v>0</v>
      </c>
      <c r="N564" s="99">
        <f>M564*2*H564/1000</f>
        <v>0</v>
      </c>
      <c r="O564" s="112">
        <f>(D564)-N564</f>
        <v>2.8</v>
      </c>
      <c r="P564" s="112">
        <f>(I564*J564*O564)+L564</f>
        <v>33.599999999999994</v>
      </c>
      <c r="Q564" s="104" t="str">
        <f t="shared" si="48"/>
        <v/>
      </c>
      <c r="R564" s="104" t="str">
        <f t="shared" si="49"/>
        <v/>
      </c>
      <c r="S564" s="104" t="str">
        <f t="shared" si="50"/>
        <v/>
      </c>
      <c r="T564" s="104" t="str">
        <f t="shared" si="51"/>
        <v/>
      </c>
      <c r="U564" s="104" t="str">
        <f t="shared" si="52"/>
        <v/>
      </c>
      <c r="V564" s="104">
        <f t="shared" si="53"/>
        <v>33.599999999999994</v>
      </c>
      <c r="W564" s="105"/>
    </row>
    <row r="565" spans="1:23">
      <c r="A565" s="92"/>
      <c r="B565" s="121" t="s">
        <v>330</v>
      </c>
      <c r="C565" s="107"/>
      <c r="D565" s="117"/>
      <c r="E565" s="117"/>
      <c r="F565" s="118"/>
      <c r="G565" s="108"/>
      <c r="H565" s="98"/>
      <c r="I565" s="99"/>
      <c r="J565" s="101"/>
      <c r="K565" s="109"/>
      <c r="L565" s="110"/>
      <c r="M565" s="111"/>
      <c r="N565" s="99"/>
      <c r="O565" s="112"/>
      <c r="P565" s="112"/>
      <c r="Q565" s="104" t="str">
        <f t="shared" si="48"/>
        <v/>
      </c>
      <c r="R565" s="104" t="str">
        <f t="shared" si="49"/>
        <v/>
      </c>
      <c r="S565" s="104" t="str">
        <f t="shared" si="50"/>
        <v/>
      </c>
      <c r="T565" s="104" t="str">
        <f t="shared" si="51"/>
        <v/>
      </c>
      <c r="U565" s="104" t="str">
        <f t="shared" si="52"/>
        <v/>
      </c>
      <c r="V565" s="104" t="str">
        <f t="shared" si="53"/>
        <v/>
      </c>
      <c r="W565" s="105"/>
    </row>
    <row r="566" spans="1:23">
      <c r="A566" s="92"/>
      <c r="B566" s="121"/>
      <c r="C566" s="107"/>
      <c r="D566" s="117"/>
      <c r="E566" s="117"/>
      <c r="F566" s="118"/>
      <c r="G566" s="108"/>
      <c r="H566" s="98"/>
      <c r="I566" s="99"/>
      <c r="J566" s="101"/>
      <c r="K566" s="109"/>
      <c r="L566" s="110"/>
      <c r="M566" s="111"/>
      <c r="N566" s="99"/>
      <c r="O566" s="112"/>
      <c r="P566" s="112"/>
      <c r="Q566" s="104" t="str">
        <f t="shared" si="48"/>
        <v/>
      </c>
      <c r="R566" s="104" t="str">
        <f t="shared" si="49"/>
        <v/>
      </c>
      <c r="S566" s="104" t="str">
        <f t="shared" si="50"/>
        <v/>
      </c>
      <c r="T566" s="104" t="str">
        <f t="shared" si="51"/>
        <v/>
      </c>
      <c r="U566" s="104" t="str">
        <f t="shared" si="52"/>
        <v/>
      </c>
      <c r="V566" s="104" t="str">
        <f t="shared" si="53"/>
        <v/>
      </c>
      <c r="W566" s="105"/>
    </row>
    <row r="567" spans="1:23" ht="15" customHeight="1">
      <c r="A567" s="92">
        <v>131</v>
      </c>
      <c r="B567" s="121" t="s">
        <v>427</v>
      </c>
      <c r="C567" s="122"/>
      <c r="D567" s="798">
        <f>1+0.75+1</f>
        <v>2.75</v>
      </c>
      <c r="E567" s="798"/>
      <c r="F567" s="118"/>
      <c r="G567" s="108">
        <v>0.25</v>
      </c>
      <c r="H567" s="98">
        <v>20</v>
      </c>
      <c r="I567" s="99">
        <v>1</v>
      </c>
      <c r="J567" s="101">
        <f>ROUND(2.75/G567+1,0)</f>
        <v>12</v>
      </c>
      <c r="K567" s="109">
        <f>D567</f>
        <v>2.75</v>
      </c>
      <c r="L567" s="110" t="str">
        <f>IF(O567&lt;12,"0",0.049*H567)</f>
        <v>0</v>
      </c>
      <c r="M567" s="111">
        <v>0</v>
      </c>
      <c r="N567" s="99">
        <f>M567*2*H567/1000</f>
        <v>0</v>
      </c>
      <c r="O567" s="112">
        <f>(D567)-N567</f>
        <v>2.75</v>
      </c>
      <c r="P567" s="112">
        <f>(I567*J567*O567)+L567</f>
        <v>33</v>
      </c>
      <c r="Q567" s="104" t="str">
        <f t="shared" si="48"/>
        <v/>
      </c>
      <c r="R567" s="104" t="str">
        <f t="shared" si="49"/>
        <v/>
      </c>
      <c r="S567" s="104" t="str">
        <f t="shared" si="50"/>
        <v/>
      </c>
      <c r="T567" s="104" t="str">
        <f t="shared" si="51"/>
        <v/>
      </c>
      <c r="U567" s="104">
        <f t="shared" si="52"/>
        <v>33</v>
      </c>
      <c r="V567" s="104" t="str">
        <f t="shared" si="53"/>
        <v/>
      </c>
      <c r="W567" s="105"/>
    </row>
    <row r="568" spans="1:23">
      <c r="A568" s="92"/>
      <c r="B568" s="121" t="s">
        <v>330</v>
      </c>
      <c r="C568" s="107"/>
      <c r="D568" s="117"/>
      <c r="E568" s="117"/>
      <c r="F568" s="118"/>
      <c r="G568" s="108"/>
      <c r="H568" s="98"/>
      <c r="I568" s="99"/>
      <c r="J568" s="101"/>
      <c r="K568" s="109"/>
      <c r="L568" s="110"/>
      <c r="M568" s="111"/>
      <c r="N568" s="99"/>
      <c r="O568" s="112"/>
      <c r="P568" s="112"/>
      <c r="Q568" s="104" t="str">
        <f t="shared" si="48"/>
        <v/>
      </c>
      <c r="R568" s="104" t="str">
        <f t="shared" si="49"/>
        <v/>
      </c>
      <c r="S568" s="104" t="str">
        <f t="shared" si="50"/>
        <v/>
      </c>
      <c r="T568" s="104" t="str">
        <f t="shared" si="51"/>
        <v/>
      </c>
      <c r="U568" s="104" t="str">
        <f t="shared" si="52"/>
        <v/>
      </c>
      <c r="V568" s="104" t="str">
        <f t="shared" si="53"/>
        <v/>
      </c>
      <c r="W568" s="105"/>
    </row>
    <row r="569" spans="1:23">
      <c r="A569" s="92"/>
      <c r="B569" s="121"/>
      <c r="C569" s="107"/>
      <c r="D569" s="117"/>
      <c r="E569" s="117"/>
      <c r="F569" s="118"/>
      <c r="G569" s="108"/>
      <c r="H569" s="98"/>
      <c r="I569" s="99"/>
      <c r="J569" s="101"/>
      <c r="K569" s="109"/>
      <c r="L569" s="110"/>
      <c r="M569" s="111"/>
      <c r="N569" s="99"/>
      <c r="O569" s="112"/>
      <c r="P569" s="112"/>
      <c r="Q569" s="104" t="str">
        <f t="shared" si="48"/>
        <v/>
      </c>
      <c r="R569" s="104" t="str">
        <f t="shared" si="49"/>
        <v/>
      </c>
      <c r="S569" s="104" t="str">
        <f t="shared" si="50"/>
        <v/>
      </c>
      <c r="T569" s="104" t="str">
        <f t="shared" si="51"/>
        <v/>
      </c>
      <c r="U569" s="104" t="str">
        <f t="shared" si="52"/>
        <v/>
      </c>
      <c r="V569" s="104" t="str">
        <f t="shared" si="53"/>
        <v/>
      </c>
      <c r="W569" s="105"/>
    </row>
    <row r="570" spans="1:23" ht="15" customHeight="1">
      <c r="A570" s="92">
        <v>132</v>
      </c>
      <c r="B570" s="121" t="s">
        <v>426</v>
      </c>
      <c r="C570" s="122"/>
      <c r="D570" s="798">
        <f>1.25+0.75+1.25</f>
        <v>3.25</v>
      </c>
      <c r="E570" s="798"/>
      <c r="F570" s="118"/>
      <c r="G570" s="108">
        <v>0.25</v>
      </c>
      <c r="H570" s="98">
        <v>25</v>
      </c>
      <c r="I570" s="99">
        <v>1</v>
      </c>
      <c r="J570" s="101">
        <f>ROUND(2.3/G570+1,0)</f>
        <v>10</v>
      </c>
      <c r="K570" s="109">
        <f>D570</f>
        <v>3.25</v>
      </c>
      <c r="L570" s="110" t="str">
        <f>IF(O570&lt;12,"0",0.049*H570)</f>
        <v>0</v>
      </c>
      <c r="M570" s="111">
        <v>0</v>
      </c>
      <c r="N570" s="99">
        <f>M570*2*H570/1000</f>
        <v>0</v>
      </c>
      <c r="O570" s="112">
        <f>(D570)-N570</f>
        <v>3.25</v>
      </c>
      <c r="P570" s="112">
        <f>(I570*J570*O570)+L570</f>
        <v>32.5</v>
      </c>
      <c r="Q570" s="104" t="str">
        <f t="shared" si="48"/>
        <v/>
      </c>
      <c r="R570" s="104" t="str">
        <f t="shared" si="49"/>
        <v/>
      </c>
      <c r="S570" s="104" t="str">
        <f t="shared" si="50"/>
        <v/>
      </c>
      <c r="T570" s="104" t="str">
        <f t="shared" si="51"/>
        <v/>
      </c>
      <c r="U570" s="104" t="str">
        <f t="shared" si="52"/>
        <v/>
      </c>
      <c r="V570" s="104">
        <f t="shared" si="53"/>
        <v>32.5</v>
      </c>
      <c r="W570" s="105"/>
    </row>
    <row r="571" spans="1:23">
      <c r="A571" s="92"/>
      <c r="B571" s="121" t="s">
        <v>331</v>
      </c>
      <c r="C571" s="107"/>
      <c r="D571" s="117"/>
      <c r="E571" s="117"/>
      <c r="F571" s="118"/>
      <c r="G571" s="108"/>
      <c r="H571" s="98"/>
      <c r="I571" s="99"/>
      <c r="J571" s="101"/>
      <c r="K571" s="109"/>
      <c r="L571" s="110"/>
      <c r="M571" s="111"/>
      <c r="N571" s="99"/>
      <c r="O571" s="112"/>
      <c r="P571" s="112"/>
      <c r="Q571" s="104" t="str">
        <f t="shared" si="48"/>
        <v/>
      </c>
      <c r="R571" s="104" t="str">
        <f t="shared" si="49"/>
        <v/>
      </c>
      <c r="S571" s="104" t="str">
        <f t="shared" si="50"/>
        <v/>
      </c>
      <c r="T571" s="104" t="str">
        <f t="shared" si="51"/>
        <v/>
      </c>
      <c r="U571" s="104" t="str">
        <f t="shared" si="52"/>
        <v/>
      </c>
      <c r="V571" s="104" t="str">
        <f t="shared" si="53"/>
        <v/>
      </c>
      <c r="W571" s="105"/>
    </row>
    <row r="572" spans="1:23">
      <c r="A572" s="92"/>
      <c r="B572" s="121"/>
      <c r="C572" s="107"/>
      <c r="D572" s="117"/>
      <c r="E572" s="117"/>
      <c r="F572" s="118"/>
      <c r="G572" s="108"/>
      <c r="H572" s="98"/>
      <c r="I572" s="99"/>
      <c r="J572" s="101"/>
      <c r="K572" s="109"/>
      <c r="L572" s="110"/>
      <c r="M572" s="111"/>
      <c r="N572" s="99"/>
      <c r="O572" s="112"/>
      <c r="P572" s="112"/>
      <c r="Q572" s="104" t="str">
        <f t="shared" si="48"/>
        <v/>
      </c>
      <c r="R572" s="104" t="str">
        <f t="shared" si="49"/>
        <v/>
      </c>
      <c r="S572" s="104" t="str">
        <f t="shared" si="50"/>
        <v/>
      </c>
      <c r="T572" s="104" t="str">
        <f t="shared" si="51"/>
        <v/>
      </c>
      <c r="U572" s="104" t="str">
        <f t="shared" si="52"/>
        <v/>
      </c>
      <c r="V572" s="104" t="str">
        <f t="shared" si="53"/>
        <v/>
      </c>
      <c r="W572" s="105"/>
    </row>
    <row r="573" spans="1:23" ht="15" customHeight="1">
      <c r="A573" s="92">
        <v>133</v>
      </c>
      <c r="B573" s="121" t="s">
        <v>427</v>
      </c>
      <c r="C573" s="122"/>
      <c r="D573" s="798">
        <f>1+0.3+1</f>
        <v>2.2999999999999998</v>
      </c>
      <c r="E573" s="798"/>
      <c r="F573" s="118"/>
      <c r="G573" s="108">
        <v>0.25</v>
      </c>
      <c r="H573" s="98">
        <v>20</v>
      </c>
      <c r="I573" s="99">
        <v>1</v>
      </c>
      <c r="J573" s="101">
        <f>ROUND(3.25/G573+1,0)</f>
        <v>14</v>
      </c>
      <c r="K573" s="109">
        <f>D573</f>
        <v>2.2999999999999998</v>
      </c>
      <c r="L573" s="110" t="str">
        <f>IF(O573&lt;12,"0",0.049*H573)</f>
        <v>0</v>
      </c>
      <c r="M573" s="111">
        <v>0</v>
      </c>
      <c r="N573" s="99">
        <f>M573*2*H573/1000</f>
        <v>0</v>
      </c>
      <c r="O573" s="112">
        <f>(D573)-N573</f>
        <v>2.2999999999999998</v>
      </c>
      <c r="P573" s="112">
        <f>(I573*J573*O573)+L573</f>
        <v>32.199999999999996</v>
      </c>
      <c r="Q573" s="104" t="str">
        <f t="shared" si="48"/>
        <v/>
      </c>
      <c r="R573" s="104" t="str">
        <f t="shared" si="49"/>
        <v/>
      </c>
      <c r="S573" s="104" t="str">
        <f t="shared" si="50"/>
        <v/>
      </c>
      <c r="T573" s="104" t="str">
        <f t="shared" si="51"/>
        <v/>
      </c>
      <c r="U573" s="104">
        <f t="shared" si="52"/>
        <v>32.199999999999996</v>
      </c>
      <c r="V573" s="104" t="str">
        <f t="shared" si="53"/>
        <v/>
      </c>
      <c r="W573" s="105"/>
    </row>
    <row r="574" spans="1:23">
      <c r="A574" s="92"/>
      <c r="B574" s="121" t="s">
        <v>331</v>
      </c>
      <c r="C574" s="107"/>
      <c r="D574" s="117"/>
      <c r="E574" s="117"/>
      <c r="F574" s="118"/>
      <c r="G574" s="108"/>
      <c r="H574" s="98"/>
      <c r="I574" s="99"/>
      <c r="J574" s="101"/>
      <c r="K574" s="109"/>
      <c r="L574" s="110"/>
      <c r="M574" s="111"/>
      <c r="N574" s="99"/>
      <c r="O574" s="112"/>
      <c r="P574" s="112"/>
      <c r="Q574" s="104" t="str">
        <f t="shared" si="48"/>
        <v/>
      </c>
      <c r="R574" s="104" t="str">
        <f t="shared" si="49"/>
        <v/>
      </c>
      <c r="S574" s="104" t="str">
        <f t="shared" si="50"/>
        <v/>
      </c>
      <c r="T574" s="104" t="str">
        <f t="shared" si="51"/>
        <v/>
      </c>
      <c r="U574" s="104" t="str">
        <f t="shared" si="52"/>
        <v/>
      </c>
      <c r="V574" s="104" t="str">
        <f t="shared" si="53"/>
        <v/>
      </c>
      <c r="W574" s="105"/>
    </row>
    <row r="575" spans="1:23">
      <c r="A575" s="92"/>
      <c r="B575" s="121"/>
      <c r="C575" s="107"/>
      <c r="D575" s="117"/>
      <c r="E575" s="117"/>
      <c r="F575" s="118"/>
      <c r="G575" s="108"/>
      <c r="H575" s="98"/>
      <c r="I575" s="99"/>
      <c r="J575" s="101"/>
      <c r="K575" s="109"/>
      <c r="L575" s="110"/>
      <c r="M575" s="111"/>
      <c r="N575" s="99"/>
      <c r="O575" s="112"/>
      <c r="P575" s="112"/>
      <c r="Q575" s="104" t="str">
        <f t="shared" si="48"/>
        <v/>
      </c>
      <c r="R575" s="104" t="str">
        <f t="shared" si="49"/>
        <v/>
      </c>
      <c r="S575" s="104" t="str">
        <f t="shared" si="50"/>
        <v/>
      </c>
      <c r="T575" s="104" t="str">
        <f t="shared" si="51"/>
        <v/>
      </c>
      <c r="U575" s="104" t="str">
        <f t="shared" si="52"/>
        <v/>
      </c>
      <c r="V575" s="104" t="str">
        <f t="shared" si="53"/>
        <v/>
      </c>
      <c r="W575" s="105"/>
    </row>
    <row r="576" spans="1:23">
      <c r="A576" s="92">
        <v>134</v>
      </c>
      <c r="B576" s="121" t="s">
        <v>426</v>
      </c>
      <c r="C576" s="122"/>
      <c r="D576" s="797">
        <f>5.145</f>
        <v>5.1449999999999996</v>
      </c>
      <c r="E576" s="797"/>
      <c r="F576" s="118"/>
      <c r="G576" s="108">
        <v>0.25</v>
      </c>
      <c r="H576" s="98">
        <v>20</v>
      </c>
      <c r="I576" s="99">
        <v>1</v>
      </c>
      <c r="J576" s="101">
        <f>ROUND(6.165/G576+1,0)</f>
        <v>26</v>
      </c>
      <c r="K576" s="109">
        <f>D576</f>
        <v>5.1449999999999996</v>
      </c>
      <c r="L576" s="110" t="str">
        <f>IF(O576&lt;12,"0",0.049*H576)</f>
        <v>0</v>
      </c>
      <c r="M576" s="111">
        <v>0</v>
      </c>
      <c r="N576" s="99">
        <f>M576*2*H576/1000</f>
        <v>0</v>
      </c>
      <c r="O576" s="112">
        <f>(D576)-N576</f>
        <v>5.1449999999999996</v>
      </c>
      <c r="P576" s="112">
        <f>(I576*J576*O576)+L576</f>
        <v>133.76999999999998</v>
      </c>
      <c r="Q576" s="104" t="str">
        <f t="shared" si="48"/>
        <v/>
      </c>
      <c r="R576" s="104" t="str">
        <f t="shared" si="49"/>
        <v/>
      </c>
      <c r="S576" s="104" t="str">
        <f t="shared" si="50"/>
        <v/>
      </c>
      <c r="T576" s="104" t="str">
        <f t="shared" si="51"/>
        <v/>
      </c>
      <c r="U576" s="104">
        <f t="shared" si="52"/>
        <v>133.76999999999998</v>
      </c>
      <c r="V576" s="104" t="str">
        <f t="shared" si="53"/>
        <v/>
      </c>
      <c r="W576" s="105"/>
    </row>
    <row r="577" spans="1:23">
      <c r="A577" s="92"/>
      <c r="B577" s="124" t="s">
        <v>332</v>
      </c>
      <c r="C577" s="107"/>
      <c r="D577" s="117"/>
      <c r="E577" s="117"/>
      <c r="F577" s="118"/>
      <c r="G577" s="108"/>
      <c r="H577" s="98"/>
      <c r="I577" s="99"/>
      <c r="J577" s="101"/>
      <c r="K577" s="109"/>
      <c r="L577" s="110"/>
      <c r="M577" s="111"/>
      <c r="N577" s="99"/>
      <c r="O577" s="112"/>
      <c r="P577" s="112"/>
      <c r="Q577" s="104" t="str">
        <f t="shared" si="48"/>
        <v/>
      </c>
      <c r="R577" s="104" t="str">
        <f t="shared" si="49"/>
        <v/>
      </c>
      <c r="S577" s="104" t="str">
        <f t="shared" si="50"/>
        <v/>
      </c>
      <c r="T577" s="104" t="str">
        <f t="shared" si="51"/>
        <v/>
      </c>
      <c r="U577" s="104" t="str">
        <f t="shared" si="52"/>
        <v/>
      </c>
      <c r="V577" s="104" t="str">
        <f t="shared" si="53"/>
        <v/>
      </c>
      <c r="W577" s="105"/>
    </row>
    <row r="578" spans="1:23">
      <c r="A578" s="92"/>
      <c r="B578" s="121"/>
      <c r="C578" s="107"/>
      <c r="D578" s="117"/>
      <c r="E578" s="117"/>
      <c r="F578" s="118"/>
      <c r="G578" s="108"/>
      <c r="H578" s="98"/>
      <c r="I578" s="99"/>
      <c r="J578" s="101"/>
      <c r="K578" s="109"/>
      <c r="L578" s="110"/>
      <c r="M578" s="111"/>
      <c r="N578" s="99"/>
      <c r="O578" s="112"/>
      <c r="P578" s="112"/>
      <c r="Q578" s="104" t="str">
        <f t="shared" si="48"/>
        <v/>
      </c>
      <c r="R578" s="104" t="str">
        <f t="shared" si="49"/>
        <v/>
      </c>
      <c r="S578" s="104" t="str">
        <f t="shared" si="50"/>
        <v/>
      </c>
      <c r="T578" s="104" t="str">
        <f t="shared" si="51"/>
        <v/>
      </c>
      <c r="U578" s="104" t="str">
        <f t="shared" si="52"/>
        <v/>
      </c>
      <c r="V578" s="104" t="str">
        <f t="shared" si="53"/>
        <v/>
      </c>
      <c r="W578" s="105"/>
    </row>
    <row r="579" spans="1:23">
      <c r="A579" s="92">
        <v>135</v>
      </c>
      <c r="B579" s="121" t="s">
        <v>427</v>
      </c>
      <c r="C579" s="122"/>
      <c r="D579" s="797">
        <v>6.165</v>
      </c>
      <c r="E579" s="797"/>
      <c r="F579" s="118"/>
      <c r="G579" s="108">
        <v>0.25</v>
      </c>
      <c r="H579" s="98">
        <v>20</v>
      </c>
      <c r="I579" s="99">
        <v>1</v>
      </c>
      <c r="J579" s="101">
        <f>ROUND(5.145/G579+1,0)</f>
        <v>22</v>
      </c>
      <c r="K579" s="109">
        <f>D579</f>
        <v>6.165</v>
      </c>
      <c r="L579" s="110" t="str">
        <f>IF(O579&lt;12,"0",0.049*H579)</f>
        <v>0</v>
      </c>
      <c r="M579" s="111">
        <v>0</v>
      </c>
      <c r="N579" s="99">
        <f>M579*2*H579/1000</f>
        <v>0</v>
      </c>
      <c r="O579" s="112">
        <f>(D579)-N579</f>
        <v>6.165</v>
      </c>
      <c r="P579" s="112">
        <f>(I579*J579*O579)+L579</f>
        <v>135.63</v>
      </c>
      <c r="Q579" s="104" t="str">
        <f t="shared" si="48"/>
        <v/>
      </c>
      <c r="R579" s="104" t="str">
        <f t="shared" si="49"/>
        <v/>
      </c>
      <c r="S579" s="104" t="str">
        <f t="shared" si="50"/>
        <v/>
      </c>
      <c r="T579" s="104" t="str">
        <f t="shared" si="51"/>
        <v/>
      </c>
      <c r="U579" s="104">
        <f t="shared" si="52"/>
        <v>135.63</v>
      </c>
      <c r="V579" s="104" t="str">
        <f t="shared" si="53"/>
        <v/>
      </c>
      <c r="W579" s="105"/>
    </row>
    <row r="580" spans="1:23">
      <c r="A580" s="92"/>
      <c r="B580" s="124" t="s">
        <v>332</v>
      </c>
      <c r="C580" s="107"/>
      <c r="D580" s="117"/>
      <c r="E580" s="117"/>
      <c r="F580" s="118"/>
      <c r="G580" s="108"/>
      <c r="H580" s="98"/>
      <c r="I580" s="99"/>
      <c r="J580" s="101"/>
      <c r="K580" s="109"/>
      <c r="L580" s="110"/>
      <c r="M580" s="111"/>
      <c r="N580" s="99"/>
      <c r="O580" s="112"/>
      <c r="P580" s="112"/>
      <c r="Q580" s="104" t="str">
        <f t="shared" si="48"/>
        <v/>
      </c>
      <c r="R580" s="104" t="str">
        <f t="shared" si="49"/>
        <v/>
      </c>
      <c r="S580" s="104" t="str">
        <f t="shared" si="50"/>
        <v/>
      </c>
      <c r="T580" s="104" t="str">
        <f t="shared" si="51"/>
        <v/>
      </c>
      <c r="U580" s="104" t="str">
        <f t="shared" si="52"/>
        <v/>
      </c>
      <c r="V580" s="104" t="str">
        <f t="shared" si="53"/>
        <v/>
      </c>
      <c r="W580" s="105"/>
    </row>
    <row r="581" spans="1:23">
      <c r="A581" s="92"/>
      <c r="B581" s="121"/>
      <c r="C581" s="107"/>
      <c r="D581" s="117"/>
      <c r="E581" s="117"/>
      <c r="F581" s="118"/>
      <c r="G581" s="108"/>
      <c r="H581" s="98"/>
      <c r="I581" s="99"/>
      <c r="J581" s="101"/>
      <c r="K581" s="109"/>
      <c r="L581" s="110"/>
      <c r="M581" s="111"/>
      <c r="N581" s="99"/>
      <c r="O581" s="112"/>
      <c r="P581" s="112"/>
      <c r="Q581" s="104" t="str">
        <f t="shared" si="48"/>
        <v/>
      </c>
      <c r="R581" s="104" t="str">
        <f t="shared" si="49"/>
        <v/>
      </c>
      <c r="S581" s="104" t="str">
        <f t="shared" si="50"/>
        <v/>
      </c>
      <c r="T581" s="104" t="str">
        <f t="shared" si="51"/>
        <v/>
      </c>
      <c r="U581" s="104" t="str">
        <f t="shared" si="52"/>
        <v/>
      </c>
      <c r="V581" s="104" t="str">
        <f t="shared" si="53"/>
        <v/>
      </c>
      <c r="W581" s="105"/>
    </row>
    <row r="582" spans="1:23" ht="15" customHeight="1">
      <c r="A582" s="92">
        <v>136</v>
      </c>
      <c r="B582" s="121" t="s">
        <v>333</v>
      </c>
      <c r="C582" s="122"/>
      <c r="D582" s="797">
        <v>2.75</v>
      </c>
      <c r="E582" s="797"/>
      <c r="F582" s="118"/>
      <c r="G582" s="108"/>
      <c r="H582" s="98">
        <v>20</v>
      </c>
      <c r="I582" s="99">
        <v>1</v>
      </c>
      <c r="J582" s="101">
        <v>3</v>
      </c>
      <c r="K582" s="109">
        <f>D582</f>
        <v>2.75</v>
      </c>
      <c r="L582" s="110" t="str">
        <f>IF(O582&lt;12,"0",0.049*H582)</f>
        <v>0</v>
      </c>
      <c r="M582" s="111">
        <v>0</v>
      </c>
      <c r="N582" s="99">
        <f>M582*2*H582/1000</f>
        <v>0</v>
      </c>
      <c r="O582" s="112">
        <f>(D582)-N582</f>
        <v>2.75</v>
      </c>
      <c r="P582" s="112">
        <f>(I582*J582*O582)+L582</f>
        <v>8.25</v>
      </c>
      <c r="Q582" s="104" t="str">
        <f t="shared" si="48"/>
        <v/>
      </c>
      <c r="R582" s="104" t="str">
        <f t="shared" si="49"/>
        <v/>
      </c>
      <c r="S582" s="104" t="str">
        <f t="shared" si="50"/>
        <v/>
      </c>
      <c r="T582" s="104" t="str">
        <f t="shared" si="51"/>
        <v/>
      </c>
      <c r="U582" s="104">
        <f t="shared" si="52"/>
        <v>8.25</v>
      </c>
      <c r="V582" s="104" t="str">
        <f t="shared" si="53"/>
        <v/>
      </c>
      <c r="W582" s="105"/>
    </row>
    <row r="583" spans="1:23">
      <c r="A583" s="92"/>
      <c r="B583" s="121" t="s">
        <v>299</v>
      </c>
      <c r="C583" s="107"/>
      <c r="D583" s="117"/>
      <c r="E583" s="117"/>
      <c r="F583" s="118"/>
      <c r="G583" s="108"/>
      <c r="H583" s="98"/>
      <c r="I583" s="99"/>
      <c r="J583" s="101"/>
      <c r="K583" s="109"/>
      <c r="L583" s="110"/>
      <c r="M583" s="111"/>
      <c r="N583" s="99"/>
      <c r="O583" s="112"/>
      <c r="P583" s="112"/>
      <c r="Q583" s="104" t="str">
        <f t="shared" si="48"/>
        <v/>
      </c>
      <c r="R583" s="104" t="str">
        <f t="shared" si="49"/>
        <v/>
      </c>
      <c r="S583" s="104" t="str">
        <f t="shared" si="50"/>
        <v/>
      </c>
      <c r="T583" s="104" t="str">
        <f t="shared" si="51"/>
        <v/>
      </c>
      <c r="U583" s="104" t="str">
        <f t="shared" si="52"/>
        <v/>
      </c>
      <c r="V583" s="104" t="str">
        <f t="shared" si="53"/>
        <v/>
      </c>
      <c r="W583" s="105"/>
    </row>
    <row r="584" spans="1:23">
      <c r="A584" s="92"/>
      <c r="B584" s="121"/>
      <c r="C584" s="107"/>
      <c r="D584" s="117"/>
      <c r="E584" s="117"/>
      <c r="F584" s="118"/>
      <c r="G584" s="108"/>
      <c r="H584" s="98"/>
      <c r="I584" s="99"/>
      <c r="J584" s="101"/>
      <c r="K584" s="109"/>
      <c r="L584" s="110"/>
      <c r="M584" s="111"/>
      <c r="N584" s="99"/>
      <c r="O584" s="112"/>
      <c r="P584" s="112"/>
      <c r="Q584" s="104" t="str">
        <f t="shared" si="48"/>
        <v/>
      </c>
      <c r="R584" s="104" t="str">
        <f t="shared" si="49"/>
        <v/>
      </c>
      <c r="S584" s="104" t="str">
        <f t="shared" si="50"/>
        <v/>
      </c>
      <c r="T584" s="104" t="str">
        <f t="shared" si="51"/>
        <v/>
      </c>
      <c r="U584" s="104" t="str">
        <f t="shared" si="52"/>
        <v/>
      </c>
      <c r="V584" s="104" t="str">
        <f t="shared" si="53"/>
        <v/>
      </c>
      <c r="W584" s="105"/>
    </row>
    <row r="585" spans="1:23" ht="15" customHeight="1">
      <c r="A585" s="92">
        <v>137</v>
      </c>
      <c r="B585" s="121" t="s">
        <v>333</v>
      </c>
      <c r="C585" s="122"/>
      <c r="D585" s="797">
        <v>2.75</v>
      </c>
      <c r="E585" s="797"/>
      <c r="F585" s="118"/>
      <c r="G585" s="108"/>
      <c r="H585" s="98">
        <v>20</v>
      </c>
      <c r="I585" s="99">
        <v>1</v>
      </c>
      <c r="J585" s="101">
        <v>3</v>
      </c>
      <c r="K585" s="109">
        <f>D585</f>
        <v>2.75</v>
      </c>
      <c r="L585" s="110" t="str">
        <f>IF(O585&lt;12,"0",0.049*H585)</f>
        <v>0</v>
      </c>
      <c r="M585" s="111">
        <v>0</v>
      </c>
      <c r="N585" s="99">
        <f>M585*2*H585/1000</f>
        <v>0</v>
      </c>
      <c r="O585" s="112">
        <f>(D585)-N585</f>
        <v>2.75</v>
      </c>
      <c r="P585" s="112">
        <f>(I585*J585*O585)+L585</f>
        <v>8.25</v>
      </c>
      <c r="Q585" s="104" t="str">
        <f t="shared" si="48"/>
        <v/>
      </c>
      <c r="R585" s="104" t="str">
        <f t="shared" si="49"/>
        <v/>
      </c>
      <c r="S585" s="104" t="str">
        <f t="shared" si="50"/>
        <v/>
      </c>
      <c r="T585" s="104" t="str">
        <f t="shared" si="51"/>
        <v/>
      </c>
      <c r="U585" s="104">
        <f t="shared" si="52"/>
        <v>8.25</v>
      </c>
      <c r="V585" s="104" t="str">
        <f t="shared" si="53"/>
        <v/>
      </c>
      <c r="W585" s="105"/>
    </row>
    <row r="586" spans="1:23">
      <c r="A586" s="92"/>
      <c r="B586" s="121" t="s">
        <v>334</v>
      </c>
      <c r="C586" s="107"/>
      <c r="D586" s="117"/>
      <c r="E586" s="117"/>
      <c r="F586" s="118"/>
      <c r="G586" s="108"/>
      <c r="H586" s="98"/>
      <c r="I586" s="99"/>
      <c r="J586" s="101"/>
      <c r="K586" s="109"/>
      <c r="L586" s="110"/>
      <c r="M586" s="111"/>
      <c r="N586" s="99"/>
      <c r="O586" s="112"/>
      <c r="P586" s="112"/>
      <c r="Q586" s="104" t="str">
        <f t="shared" si="48"/>
        <v/>
      </c>
      <c r="R586" s="104" t="str">
        <f t="shared" si="49"/>
        <v/>
      </c>
      <c r="S586" s="104" t="str">
        <f t="shared" si="50"/>
        <v/>
      </c>
      <c r="T586" s="104" t="str">
        <f t="shared" si="51"/>
        <v/>
      </c>
      <c r="U586" s="104" t="str">
        <f t="shared" si="52"/>
        <v/>
      </c>
      <c r="V586" s="104" t="str">
        <f t="shared" si="53"/>
        <v/>
      </c>
      <c r="W586" s="105"/>
    </row>
    <row r="587" spans="1:23">
      <c r="A587" s="92"/>
      <c r="B587" s="121"/>
      <c r="C587" s="107"/>
      <c r="D587" s="117"/>
      <c r="E587" s="117"/>
      <c r="F587" s="118"/>
      <c r="G587" s="108"/>
      <c r="H587" s="98"/>
      <c r="I587" s="99"/>
      <c r="J587" s="101"/>
      <c r="K587" s="109"/>
      <c r="L587" s="110"/>
      <c r="M587" s="111"/>
      <c r="N587" s="99"/>
      <c r="O587" s="112"/>
      <c r="P587" s="112"/>
      <c r="Q587" s="104" t="str">
        <f t="shared" si="48"/>
        <v/>
      </c>
      <c r="R587" s="104" t="str">
        <f t="shared" si="49"/>
        <v/>
      </c>
      <c r="S587" s="104" t="str">
        <f t="shared" si="50"/>
        <v/>
      </c>
      <c r="T587" s="104" t="str">
        <f t="shared" si="51"/>
        <v/>
      </c>
      <c r="U587" s="104" t="str">
        <f t="shared" si="52"/>
        <v/>
      </c>
      <c r="V587" s="104" t="str">
        <f t="shared" si="53"/>
        <v/>
      </c>
      <c r="W587" s="105"/>
    </row>
    <row r="588" spans="1:23" ht="15" customHeight="1">
      <c r="A588" s="92">
        <v>138</v>
      </c>
      <c r="B588" s="121" t="s">
        <v>333</v>
      </c>
      <c r="C588" s="122"/>
      <c r="D588" s="797">
        <v>2.75</v>
      </c>
      <c r="E588" s="797"/>
      <c r="F588" s="118"/>
      <c r="G588" s="108"/>
      <c r="H588" s="98">
        <v>20</v>
      </c>
      <c r="I588" s="99">
        <v>1</v>
      </c>
      <c r="J588" s="101">
        <v>3</v>
      </c>
      <c r="K588" s="109">
        <f>D588</f>
        <v>2.75</v>
      </c>
      <c r="L588" s="110" t="str">
        <f>IF(O588&lt;12,"0",0.049*H588)</f>
        <v>0</v>
      </c>
      <c r="M588" s="111">
        <v>0</v>
      </c>
      <c r="N588" s="99">
        <f>M588*2*H588/1000</f>
        <v>0</v>
      </c>
      <c r="O588" s="112">
        <f>(D588)-N588</f>
        <v>2.75</v>
      </c>
      <c r="P588" s="112">
        <f>(I588*J588*O588)+L588</f>
        <v>8.25</v>
      </c>
      <c r="Q588" s="104" t="str">
        <f t="shared" si="48"/>
        <v/>
      </c>
      <c r="R588" s="104" t="str">
        <f t="shared" si="49"/>
        <v/>
      </c>
      <c r="S588" s="104" t="str">
        <f t="shared" si="50"/>
        <v/>
      </c>
      <c r="T588" s="104" t="str">
        <f t="shared" si="51"/>
        <v/>
      </c>
      <c r="U588" s="104">
        <f t="shared" si="52"/>
        <v>8.25</v>
      </c>
      <c r="V588" s="104" t="str">
        <f t="shared" si="53"/>
        <v/>
      </c>
      <c r="W588" s="105"/>
    </row>
    <row r="589" spans="1:23">
      <c r="A589" s="92"/>
      <c r="B589" s="121" t="s">
        <v>296</v>
      </c>
      <c r="C589" s="107"/>
      <c r="D589" s="117"/>
      <c r="E589" s="117"/>
      <c r="F589" s="118"/>
      <c r="G589" s="108"/>
      <c r="H589" s="98"/>
      <c r="I589" s="99"/>
      <c r="J589" s="101"/>
      <c r="K589" s="109"/>
      <c r="L589" s="110"/>
      <c r="M589" s="111"/>
      <c r="N589" s="99"/>
      <c r="O589" s="112"/>
      <c r="P589" s="112"/>
      <c r="Q589" s="104" t="str">
        <f t="shared" si="48"/>
        <v/>
      </c>
      <c r="R589" s="104" t="str">
        <f t="shared" si="49"/>
        <v/>
      </c>
      <c r="S589" s="104" t="str">
        <f t="shared" si="50"/>
        <v/>
      </c>
      <c r="T589" s="104" t="str">
        <f t="shared" si="51"/>
        <v/>
      </c>
      <c r="U589" s="104" t="str">
        <f t="shared" si="52"/>
        <v/>
      </c>
      <c r="V589" s="104" t="str">
        <f t="shared" si="53"/>
        <v/>
      </c>
      <c r="W589" s="105"/>
    </row>
    <row r="590" spans="1:23">
      <c r="A590" s="92"/>
      <c r="B590" s="121"/>
      <c r="C590" s="107"/>
      <c r="D590" s="117"/>
      <c r="E590" s="117"/>
      <c r="F590" s="118"/>
      <c r="G590" s="108"/>
      <c r="H590" s="98"/>
      <c r="I590" s="99"/>
      <c r="J590" s="101"/>
      <c r="K590" s="109"/>
      <c r="L590" s="110"/>
      <c r="M590" s="111"/>
      <c r="N590" s="99"/>
      <c r="O590" s="112"/>
      <c r="P590" s="112"/>
      <c r="Q590" s="104" t="str">
        <f t="shared" si="48"/>
        <v/>
      </c>
      <c r="R590" s="104" t="str">
        <f t="shared" si="49"/>
        <v/>
      </c>
      <c r="S590" s="104" t="str">
        <f t="shared" si="50"/>
        <v/>
      </c>
      <c r="T590" s="104" t="str">
        <f t="shared" si="51"/>
        <v/>
      </c>
      <c r="U590" s="104" t="str">
        <f t="shared" si="52"/>
        <v/>
      </c>
      <c r="V590" s="104" t="str">
        <f t="shared" si="53"/>
        <v/>
      </c>
      <c r="W590" s="105"/>
    </row>
    <row r="591" spans="1:23" ht="15" customHeight="1">
      <c r="A591" s="92">
        <v>139</v>
      </c>
      <c r="B591" s="121" t="s">
        <v>333</v>
      </c>
      <c r="C591" s="122"/>
      <c r="D591" s="797">
        <v>2.8</v>
      </c>
      <c r="E591" s="797"/>
      <c r="F591" s="118"/>
      <c r="G591" s="108"/>
      <c r="H591" s="98">
        <v>20</v>
      </c>
      <c r="I591" s="99">
        <v>1</v>
      </c>
      <c r="J591" s="101">
        <v>3</v>
      </c>
      <c r="K591" s="109">
        <f>D591</f>
        <v>2.8</v>
      </c>
      <c r="L591" s="110" t="str">
        <f>IF(O591&lt;12,"0",0.049*H591)</f>
        <v>0</v>
      </c>
      <c r="M591" s="111">
        <v>0</v>
      </c>
      <c r="N591" s="99">
        <f>M591*2*H591/1000</f>
        <v>0</v>
      </c>
      <c r="O591" s="112">
        <f>(D591)-N591</f>
        <v>2.8</v>
      </c>
      <c r="P591" s="112">
        <f>(I591*J591*O591)+L591</f>
        <v>8.3999999999999986</v>
      </c>
      <c r="Q591" s="104" t="str">
        <f t="shared" si="48"/>
        <v/>
      </c>
      <c r="R591" s="104" t="str">
        <f t="shared" si="49"/>
        <v/>
      </c>
      <c r="S591" s="104" t="str">
        <f t="shared" si="50"/>
        <v/>
      </c>
      <c r="T591" s="104" t="str">
        <f t="shared" si="51"/>
        <v/>
      </c>
      <c r="U591" s="104">
        <f t="shared" si="52"/>
        <v>8.3999999999999986</v>
      </c>
      <c r="V591" s="104" t="str">
        <f t="shared" si="53"/>
        <v/>
      </c>
      <c r="W591" s="105"/>
    </row>
    <row r="592" spans="1:23">
      <c r="A592" s="92"/>
      <c r="B592" s="121" t="s">
        <v>296</v>
      </c>
      <c r="C592" s="107"/>
      <c r="D592" s="117"/>
      <c r="E592" s="117"/>
      <c r="F592" s="118"/>
      <c r="G592" s="108"/>
      <c r="H592" s="98"/>
      <c r="I592" s="99"/>
      <c r="J592" s="101"/>
      <c r="K592" s="109"/>
      <c r="L592" s="110"/>
      <c r="M592" s="111"/>
      <c r="N592" s="99"/>
      <c r="O592" s="112"/>
      <c r="P592" s="112"/>
      <c r="Q592" s="104" t="str">
        <f t="shared" si="48"/>
        <v/>
      </c>
      <c r="R592" s="104" t="str">
        <f t="shared" si="49"/>
        <v/>
      </c>
      <c r="S592" s="104" t="str">
        <f t="shared" si="50"/>
        <v/>
      </c>
      <c r="T592" s="104" t="str">
        <f t="shared" si="51"/>
        <v/>
      </c>
      <c r="U592" s="104" t="str">
        <f t="shared" si="52"/>
        <v/>
      </c>
      <c r="V592" s="104" t="str">
        <f t="shared" si="53"/>
        <v/>
      </c>
      <c r="W592" s="105"/>
    </row>
    <row r="593" spans="1:23">
      <c r="A593" s="92"/>
      <c r="B593" s="121"/>
      <c r="C593" s="107"/>
      <c r="D593" s="117"/>
      <c r="E593" s="117"/>
      <c r="F593" s="118"/>
      <c r="G593" s="108"/>
      <c r="H593" s="98"/>
      <c r="I593" s="99"/>
      <c r="J593" s="101"/>
      <c r="K593" s="109"/>
      <c r="L593" s="110"/>
      <c r="M593" s="111"/>
      <c r="N593" s="99"/>
      <c r="O593" s="112"/>
      <c r="P593" s="112"/>
      <c r="Q593" s="104" t="str">
        <f t="shared" si="48"/>
        <v/>
      </c>
      <c r="R593" s="104" t="str">
        <f t="shared" si="49"/>
        <v/>
      </c>
      <c r="S593" s="104" t="str">
        <f t="shared" si="50"/>
        <v/>
      </c>
      <c r="T593" s="104" t="str">
        <f t="shared" si="51"/>
        <v/>
      </c>
      <c r="U593" s="104" t="str">
        <f t="shared" si="52"/>
        <v/>
      </c>
      <c r="V593" s="104" t="str">
        <f t="shared" si="53"/>
        <v/>
      </c>
      <c r="W593" s="105"/>
    </row>
    <row r="594" spans="1:23" ht="15" customHeight="1">
      <c r="A594" s="92">
        <v>140</v>
      </c>
      <c r="B594" s="121" t="s">
        <v>333</v>
      </c>
      <c r="C594" s="122"/>
      <c r="D594" s="797">
        <v>2.75</v>
      </c>
      <c r="E594" s="797"/>
      <c r="F594" s="118"/>
      <c r="G594" s="108"/>
      <c r="H594" s="98">
        <v>20</v>
      </c>
      <c r="I594" s="99">
        <v>1</v>
      </c>
      <c r="J594" s="101">
        <v>3</v>
      </c>
      <c r="K594" s="109">
        <f>D594</f>
        <v>2.75</v>
      </c>
      <c r="L594" s="110" t="str">
        <f>IF(O594&lt;12,"0",0.049*H594)</f>
        <v>0</v>
      </c>
      <c r="M594" s="111">
        <v>0</v>
      </c>
      <c r="N594" s="99">
        <f>M594*2*H594/1000</f>
        <v>0</v>
      </c>
      <c r="O594" s="112">
        <f>(D594)-N594</f>
        <v>2.75</v>
      </c>
      <c r="P594" s="112">
        <f>(I594*J594*O594)+L594</f>
        <v>8.25</v>
      </c>
      <c r="Q594" s="104" t="str">
        <f t="shared" si="48"/>
        <v/>
      </c>
      <c r="R594" s="104" t="str">
        <f t="shared" si="49"/>
        <v/>
      </c>
      <c r="S594" s="104" t="str">
        <f t="shared" si="50"/>
        <v/>
      </c>
      <c r="T594" s="104" t="str">
        <f t="shared" si="51"/>
        <v/>
      </c>
      <c r="U594" s="104">
        <f t="shared" si="52"/>
        <v>8.25</v>
      </c>
      <c r="V594" s="104" t="str">
        <f t="shared" si="53"/>
        <v/>
      </c>
      <c r="W594" s="105"/>
    </row>
    <row r="595" spans="1:23">
      <c r="A595" s="92"/>
      <c r="B595" s="121" t="s">
        <v>316</v>
      </c>
      <c r="C595" s="107"/>
      <c r="D595" s="117"/>
      <c r="E595" s="117"/>
      <c r="F595" s="118"/>
      <c r="G595" s="108"/>
      <c r="H595" s="98"/>
      <c r="I595" s="99"/>
      <c r="J595" s="101"/>
      <c r="K595" s="109"/>
      <c r="L595" s="110"/>
      <c r="M595" s="111"/>
      <c r="N595" s="99"/>
      <c r="O595" s="112"/>
      <c r="P595" s="112"/>
      <c r="Q595" s="104" t="str">
        <f t="shared" si="48"/>
        <v/>
      </c>
      <c r="R595" s="104" t="str">
        <f t="shared" si="49"/>
        <v/>
      </c>
      <c r="S595" s="104" t="str">
        <f t="shared" si="50"/>
        <v/>
      </c>
      <c r="T595" s="104" t="str">
        <f t="shared" si="51"/>
        <v/>
      </c>
      <c r="U595" s="104" t="str">
        <f t="shared" si="52"/>
        <v/>
      </c>
      <c r="V595" s="104" t="str">
        <f t="shared" si="53"/>
        <v/>
      </c>
      <c r="W595" s="105"/>
    </row>
    <row r="596" spans="1:23">
      <c r="A596" s="92"/>
      <c r="B596" s="121"/>
      <c r="C596" s="107"/>
      <c r="D596" s="117"/>
      <c r="E596" s="117"/>
      <c r="F596" s="118"/>
      <c r="G596" s="108"/>
      <c r="H596" s="98"/>
      <c r="I596" s="99"/>
      <c r="J596" s="101"/>
      <c r="K596" s="109"/>
      <c r="L596" s="110"/>
      <c r="M596" s="111"/>
      <c r="N596" s="99"/>
      <c r="O596" s="112"/>
      <c r="P596" s="112"/>
      <c r="Q596" s="104" t="str">
        <f t="shared" si="48"/>
        <v/>
      </c>
      <c r="R596" s="104" t="str">
        <f t="shared" si="49"/>
        <v/>
      </c>
      <c r="S596" s="104" t="str">
        <f t="shared" si="50"/>
        <v/>
      </c>
      <c r="T596" s="104" t="str">
        <f t="shared" si="51"/>
        <v/>
      </c>
      <c r="U596" s="104" t="str">
        <f t="shared" si="52"/>
        <v/>
      </c>
      <c r="V596" s="104" t="str">
        <f t="shared" si="53"/>
        <v/>
      </c>
      <c r="W596" s="105"/>
    </row>
    <row r="597" spans="1:23" ht="15" customHeight="1">
      <c r="A597" s="92">
        <v>141</v>
      </c>
      <c r="B597" s="121" t="s">
        <v>333</v>
      </c>
      <c r="C597" s="122"/>
      <c r="D597" s="797">
        <v>2.75</v>
      </c>
      <c r="E597" s="797"/>
      <c r="F597" s="118"/>
      <c r="G597" s="108"/>
      <c r="H597" s="98">
        <v>20</v>
      </c>
      <c r="I597" s="99">
        <v>1</v>
      </c>
      <c r="J597" s="101">
        <v>3</v>
      </c>
      <c r="K597" s="109">
        <f>D597</f>
        <v>2.75</v>
      </c>
      <c r="L597" s="110" t="str">
        <f>IF(O597&lt;12,"0",0.049*H597)</f>
        <v>0</v>
      </c>
      <c r="M597" s="111">
        <v>0</v>
      </c>
      <c r="N597" s="99">
        <f>M597*2*H597/1000</f>
        <v>0</v>
      </c>
      <c r="O597" s="112">
        <f>(D597)-N597</f>
        <v>2.75</v>
      </c>
      <c r="P597" s="112">
        <f>(I597*J597*O597)+L597</f>
        <v>8.25</v>
      </c>
      <c r="Q597" s="104" t="str">
        <f t="shared" si="48"/>
        <v/>
      </c>
      <c r="R597" s="104" t="str">
        <f t="shared" si="49"/>
        <v/>
      </c>
      <c r="S597" s="104" t="str">
        <f t="shared" si="50"/>
        <v/>
      </c>
      <c r="T597" s="104" t="str">
        <f t="shared" si="51"/>
        <v/>
      </c>
      <c r="U597" s="104">
        <f t="shared" si="52"/>
        <v>8.25</v>
      </c>
      <c r="V597" s="104" t="str">
        <f t="shared" si="53"/>
        <v/>
      </c>
      <c r="W597" s="105"/>
    </row>
    <row r="598" spans="1:23">
      <c r="A598" s="92"/>
      <c r="B598" s="121" t="s">
        <v>318</v>
      </c>
      <c r="C598" s="107"/>
      <c r="D598" s="117"/>
      <c r="E598" s="117"/>
      <c r="F598" s="118"/>
      <c r="G598" s="108"/>
      <c r="H598" s="98"/>
      <c r="I598" s="99"/>
      <c r="J598" s="101"/>
      <c r="K598" s="109"/>
      <c r="L598" s="110"/>
      <c r="M598" s="111"/>
      <c r="N598" s="99"/>
      <c r="O598" s="112"/>
      <c r="P598" s="112"/>
      <c r="Q598" s="104" t="str">
        <f t="shared" si="48"/>
        <v/>
      </c>
      <c r="R598" s="104" t="str">
        <f t="shared" si="49"/>
        <v/>
      </c>
      <c r="S598" s="104" t="str">
        <f t="shared" si="50"/>
        <v/>
      </c>
      <c r="T598" s="104" t="str">
        <f t="shared" si="51"/>
        <v/>
      </c>
      <c r="U598" s="104" t="str">
        <f t="shared" si="52"/>
        <v/>
      </c>
      <c r="V598" s="104" t="str">
        <f t="shared" si="53"/>
        <v/>
      </c>
      <c r="W598" s="105"/>
    </row>
    <row r="599" spans="1:23">
      <c r="A599" s="92"/>
      <c r="B599" s="121"/>
      <c r="C599" s="107"/>
      <c r="D599" s="117"/>
      <c r="E599" s="117"/>
      <c r="F599" s="118"/>
      <c r="G599" s="108"/>
      <c r="H599" s="98"/>
      <c r="I599" s="99"/>
      <c r="J599" s="101"/>
      <c r="K599" s="109"/>
      <c r="L599" s="110"/>
      <c r="M599" s="111"/>
      <c r="N599" s="99"/>
      <c r="O599" s="112"/>
      <c r="P599" s="112"/>
      <c r="Q599" s="104" t="str">
        <f t="shared" si="48"/>
        <v/>
      </c>
      <c r="R599" s="104" t="str">
        <f t="shared" si="49"/>
        <v/>
      </c>
      <c r="S599" s="104" t="str">
        <f t="shared" si="50"/>
        <v/>
      </c>
      <c r="T599" s="104" t="str">
        <f t="shared" si="51"/>
        <v/>
      </c>
      <c r="U599" s="104" t="str">
        <f t="shared" si="52"/>
        <v/>
      </c>
      <c r="V599" s="104" t="str">
        <f t="shared" si="53"/>
        <v/>
      </c>
      <c r="W599" s="105"/>
    </row>
    <row r="600" spans="1:23" ht="15" customHeight="1">
      <c r="A600" s="92">
        <v>142</v>
      </c>
      <c r="B600" s="121" t="s">
        <v>333</v>
      </c>
      <c r="C600" s="122"/>
      <c r="D600" s="797">
        <v>3.25</v>
      </c>
      <c r="E600" s="797"/>
      <c r="F600" s="118"/>
      <c r="G600" s="108"/>
      <c r="H600" s="98">
        <v>20</v>
      </c>
      <c r="I600" s="99">
        <v>1</v>
      </c>
      <c r="J600" s="101">
        <v>3</v>
      </c>
      <c r="K600" s="109">
        <f>D600</f>
        <v>3.25</v>
      </c>
      <c r="L600" s="110" t="str">
        <f>IF(O600&lt;12,"0",0.049*H600)</f>
        <v>0</v>
      </c>
      <c r="M600" s="111">
        <v>0</v>
      </c>
      <c r="N600" s="99">
        <f>M600*2*H600/1000</f>
        <v>0</v>
      </c>
      <c r="O600" s="112">
        <f>(D600)-N600</f>
        <v>3.25</v>
      </c>
      <c r="P600" s="112">
        <f>(I600*J600*O600)+L600</f>
        <v>9.75</v>
      </c>
      <c r="Q600" s="104" t="str">
        <f t="shared" si="48"/>
        <v/>
      </c>
      <c r="R600" s="104" t="str">
        <f t="shared" si="49"/>
        <v/>
      </c>
      <c r="S600" s="104" t="str">
        <f t="shared" si="50"/>
        <v/>
      </c>
      <c r="T600" s="104" t="str">
        <f t="shared" si="51"/>
        <v/>
      </c>
      <c r="U600" s="104">
        <f t="shared" si="52"/>
        <v>9.75</v>
      </c>
      <c r="V600" s="104" t="str">
        <f t="shared" si="53"/>
        <v/>
      </c>
      <c r="W600" s="105"/>
    </row>
    <row r="601" spans="1:23">
      <c r="A601" s="92"/>
      <c r="B601" s="121" t="s">
        <v>335</v>
      </c>
      <c r="C601" s="107"/>
      <c r="D601" s="117"/>
      <c r="E601" s="117"/>
      <c r="F601" s="118"/>
      <c r="G601" s="108"/>
      <c r="H601" s="98"/>
      <c r="I601" s="99"/>
      <c r="J601" s="101"/>
      <c r="K601" s="109"/>
      <c r="L601" s="110"/>
      <c r="M601" s="111"/>
      <c r="N601" s="99"/>
      <c r="O601" s="112"/>
      <c r="P601" s="112"/>
      <c r="Q601" s="104" t="str">
        <f t="shared" si="48"/>
        <v/>
      </c>
      <c r="R601" s="104" t="str">
        <f t="shared" si="49"/>
        <v/>
      </c>
      <c r="S601" s="104" t="str">
        <f t="shared" si="50"/>
        <v/>
      </c>
      <c r="T601" s="104" t="str">
        <f t="shared" si="51"/>
        <v/>
      </c>
      <c r="U601" s="104" t="str">
        <f t="shared" si="52"/>
        <v/>
      </c>
      <c r="V601" s="104" t="str">
        <f t="shared" si="53"/>
        <v/>
      </c>
      <c r="W601" s="105"/>
    </row>
    <row r="602" spans="1:23">
      <c r="A602" s="92"/>
      <c r="B602" s="121"/>
      <c r="C602" s="107"/>
      <c r="D602" s="117"/>
      <c r="E602" s="117"/>
      <c r="F602" s="118"/>
      <c r="G602" s="108"/>
      <c r="H602" s="98"/>
      <c r="I602" s="99"/>
      <c r="J602" s="101"/>
      <c r="K602" s="109"/>
      <c r="L602" s="110"/>
      <c r="M602" s="111"/>
      <c r="N602" s="99"/>
      <c r="O602" s="112"/>
      <c r="P602" s="112"/>
      <c r="Q602" s="104" t="str">
        <f t="shared" si="48"/>
        <v/>
      </c>
      <c r="R602" s="104" t="str">
        <f t="shared" si="49"/>
        <v/>
      </c>
      <c r="S602" s="104" t="str">
        <f t="shared" si="50"/>
        <v/>
      </c>
      <c r="T602" s="104" t="str">
        <f t="shared" si="51"/>
        <v/>
      </c>
      <c r="U602" s="104" t="str">
        <f t="shared" si="52"/>
        <v/>
      </c>
      <c r="V602" s="104" t="str">
        <f t="shared" si="53"/>
        <v/>
      </c>
      <c r="W602" s="105"/>
    </row>
    <row r="603" spans="1:23" ht="15" customHeight="1">
      <c r="A603" s="92">
        <v>143</v>
      </c>
      <c r="B603" s="121" t="s">
        <v>333</v>
      </c>
      <c r="C603" s="122"/>
      <c r="D603" s="797">
        <v>2.75</v>
      </c>
      <c r="E603" s="797"/>
      <c r="F603" s="118"/>
      <c r="G603" s="108"/>
      <c r="H603" s="98">
        <v>20</v>
      </c>
      <c r="I603" s="99">
        <v>1</v>
      </c>
      <c r="J603" s="101">
        <v>3</v>
      </c>
      <c r="K603" s="109">
        <f>D603</f>
        <v>2.75</v>
      </c>
      <c r="L603" s="110" t="str">
        <f>IF(O603&lt;12,"0",0.049*H603)</f>
        <v>0</v>
      </c>
      <c r="M603" s="111">
        <v>0</v>
      </c>
      <c r="N603" s="99">
        <f>M603*2*H603/1000</f>
        <v>0</v>
      </c>
      <c r="O603" s="112">
        <f>(D603)-N603</f>
        <v>2.75</v>
      </c>
      <c r="P603" s="112">
        <f>(I603*J603*O603)+L603</f>
        <v>8.25</v>
      </c>
      <c r="Q603" s="104" t="str">
        <f t="shared" si="48"/>
        <v/>
      </c>
      <c r="R603" s="104" t="str">
        <f t="shared" si="49"/>
        <v/>
      </c>
      <c r="S603" s="104" t="str">
        <f t="shared" si="50"/>
        <v/>
      </c>
      <c r="T603" s="104" t="str">
        <f t="shared" si="51"/>
        <v/>
      </c>
      <c r="U603" s="104">
        <f t="shared" si="52"/>
        <v>8.25</v>
      </c>
      <c r="V603" s="104" t="str">
        <f t="shared" si="53"/>
        <v/>
      </c>
      <c r="W603" s="105"/>
    </row>
    <row r="604" spans="1:23">
      <c r="A604" s="92"/>
      <c r="B604" s="121" t="s">
        <v>336</v>
      </c>
      <c r="C604" s="107"/>
      <c r="D604" s="117"/>
      <c r="E604" s="117"/>
      <c r="F604" s="118"/>
      <c r="G604" s="108"/>
      <c r="H604" s="98"/>
      <c r="I604" s="99"/>
      <c r="J604" s="101"/>
      <c r="K604" s="109"/>
      <c r="L604" s="110"/>
      <c r="M604" s="111"/>
      <c r="N604" s="99"/>
      <c r="O604" s="112"/>
      <c r="P604" s="112"/>
      <c r="Q604" s="104" t="str">
        <f t="shared" si="48"/>
        <v/>
      </c>
      <c r="R604" s="104" t="str">
        <f t="shared" si="49"/>
        <v/>
      </c>
      <c r="S604" s="104" t="str">
        <f t="shared" si="50"/>
        <v/>
      </c>
      <c r="T604" s="104" t="str">
        <f t="shared" si="51"/>
        <v/>
      </c>
      <c r="U604" s="104" t="str">
        <f t="shared" si="52"/>
        <v/>
      </c>
      <c r="V604" s="104" t="str">
        <f t="shared" si="53"/>
        <v/>
      </c>
      <c r="W604" s="105"/>
    </row>
    <row r="605" spans="1:23">
      <c r="A605" s="92"/>
      <c r="B605" s="121"/>
      <c r="C605" s="107"/>
      <c r="D605" s="117"/>
      <c r="E605" s="117"/>
      <c r="F605" s="118"/>
      <c r="G605" s="108"/>
      <c r="H605" s="98"/>
      <c r="I605" s="99"/>
      <c r="J605" s="101"/>
      <c r="K605" s="109"/>
      <c r="L605" s="110"/>
      <c r="M605" s="111"/>
      <c r="N605" s="99"/>
      <c r="O605" s="112"/>
      <c r="P605" s="112"/>
      <c r="Q605" s="104" t="str">
        <f t="shared" si="48"/>
        <v/>
      </c>
      <c r="R605" s="104" t="str">
        <f t="shared" si="49"/>
        <v/>
      </c>
      <c r="S605" s="104" t="str">
        <f t="shared" si="50"/>
        <v/>
      </c>
      <c r="T605" s="104" t="str">
        <f t="shared" si="51"/>
        <v/>
      </c>
      <c r="U605" s="104" t="str">
        <f t="shared" si="52"/>
        <v/>
      </c>
      <c r="V605" s="104" t="str">
        <f t="shared" si="53"/>
        <v/>
      </c>
      <c r="W605" s="105"/>
    </row>
    <row r="606" spans="1:23" ht="15" customHeight="1">
      <c r="A606" s="92">
        <v>144</v>
      </c>
      <c r="B606" s="121" t="s">
        <v>333</v>
      </c>
      <c r="C606" s="122"/>
      <c r="D606" s="797">
        <v>2.75</v>
      </c>
      <c r="E606" s="797"/>
      <c r="F606" s="118"/>
      <c r="G606" s="108"/>
      <c r="H606" s="98">
        <v>20</v>
      </c>
      <c r="I606" s="99">
        <v>1</v>
      </c>
      <c r="J606" s="101">
        <v>3</v>
      </c>
      <c r="K606" s="109">
        <f>D606</f>
        <v>2.75</v>
      </c>
      <c r="L606" s="110" t="str">
        <f>IF(O606&lt;12,"0",0.049*H606)</f>
        <v>0</v>
      </c>
      <c r="M606" s="111">
        <v>0</v>
      </c>
      <c r="N606" s="99">
        <f>M606*2*H606/1000</f>
        <v>0</v>
      </c>
      <c r="O606" s="112">
        <f>(D606)-N606</f>
        <v>2.75</v>
      </c>
      <c r="P606" s="112">
        <f>(I606*J606*O606)+L606</f>
        <v>8.25</v>
      </c>
      <c r="Q606" s="104" t="str">
        <f t="shared" si="48"/>
        <v/>
      </c>
      <c r="R606" s="104" t="str">
        <f t="shared" si="49"/>
        <v/>
      </c>
      <c r="S606" s="104" t="str">
        <f t="shared" si="50"/>
        <v/>
      </c>
      <c r="T606" s="104" t="str">
        <f t="shared" si="51"/>
        <v/>
      </c>
      <c r="U606" s="104">
        <f t="shared" si="52"/>
        <v>8.25</v>
      </c>
      <c r="V606" s="104" t="str">
        <f t="shared" si="53"/>
        <v/>
      </c>
      <c r="W606" s="105"/>
    </row>
    <row r="607" spans="1:23">
      <c r="A607" s="92"/>
      <c r="B607" s="121" t="s">
        <v>328</v>
      </c>
      <c r="C607" s="107"/>
      <c r="D607" s="117"/>
      <c r="E607" s="117"/>
      <c r="F607" s="118"/>
      <c r="G607" s="108"/>
      <c r="H607" s="98"/>
      <c r="I607" s="99"/>
      <c r="J607" s="101"/>
      <c r="K607" s="109"/>
      <c r="L607" s="110"/>
      <c r="M607" s="111"/>
      <c r="N607" s="99"/>
      <c r="O607" s="112"/>
      <c r="P607" s="112"/>
      <c r="Q607" s="104" t="str">
        <f t="shared" si="48"/>
        <v/>
      </c>
      <c r="R607" s="104" t="str">
        <f t="shared" si="49"/>
        <v/>
      </c>
      <c r="S607" s="104" t="str">
        <f t="shared" si="50"/>
        <v/>
      </c>
      <c r="T607" s="104" t="str">
        <f t="shared" si="51"/>
        <v/>
      </c>
      <c r="U607" s="104" t="str">
        <f t="shared" si="52"/>
        <v/>
      </c>
      <c r="V607" s="104" t="str">
        <f t="shared" si="53"/>
        <v/>
      </c>
      <c r="W607" s="105"/>
    </row>
    <row r="608" spans="1:23">
      <c r="A608" s="92"/>
      <c r="B608" s="121"/>
      <c r="C608" s="107"/>
      <c r="D608" s="117"/>
      <c r="E608" s="117"/>
      <c r="F608" s="118"/>
      <c r="G608" s="108"/>
      <c r="H608" s="98"/>
      <c r="I608" s="99"/>
      <c r="J608" s="101"/>
      <c r="K608" s="109"/>
      <c r="L608" s="110"/>
      <c r="M608" s="111"/>
      <c r="N608" s="99"/>
      <c r="O608" s="112"/>
      <c r="P608" s="112"/>
      <c r="Q608" s="104" t="str">
        <f t="shared" si="48"/>
        <v/>
      </c>
      <c r="R608" s="104" t="str">
        <f t="shared" si="49"/>
        <v/>
      </c>
      <c r="S608" s="104" t="str">
        <f t="shared" si="50"/>
        <v/>
      </c>
      <c r="T608" s="104" t="str">
        <f t="shared" si="51"/>
        <v/>
      </c>
      <c r="U608" s="104" t="str">
        <f t="shared" si="52"/>
        <v/>
      </c>
      <c r="V608" s="104" t="str">
        <f t="shared" si="53"/>
        <v/>
      </c>
      <c r="W608" s="105"/>
    </row>
    <row r="609" spans="1:23" ht="15" customHeight="1">
      <c r="A609" s="92">
        <v>145</v>
      </c>
      <c r="B609" s="121" t="s">
        <v>333</v>
      </c>
      <c r="C609" s="122"/>
      <c r="D609" s="797">
        <v>2.8</v>
      </c>
      <c r="E609" s="797"/>
      <c r="F609" s="118"/>
      <c r="G609" s="108"/>
      <c r="H609" s="98">
        <v>20</v>
      </c>
      <c r="I609" s="99">
        <v>1</v>
      </c>
      <c r="J609" s="101">
        <v>3</v>
      </c>
      <c r="K609" s="109">
        <f>D609</f>
        <v>2.8</v>
      </c>
      <c r="L609" s="110" t="str">
        <f>IF(O609&lt;12,"0",0.049*H609)</f>
        <v>0</v>
      </c>
      <c r="M609" s="111">
        <v>0</v>
      </c>
      <c r="N609" s="99">
        <f>M609*2*H609/1000</f>
        <v>0</v>
      </c>
      <c r="O609" s="112">
        <f>(D609)-N609</f>
        <v>2.8</v>
      </c>
      <c r="P609" s="112">
        <f>(I609*J609*O609)+L609</f>
        <v>8.3999999999999986</v>
      </c>
      <c r="Q609" s="104" t="str">
        <f t="shared" si="48"/>
        <v/>
      </c>
      <c r="R609" s="104" t="str">
        <f t="shared" si="49"/>
        <v/>
      </c>
      <c r="S609" s="104" t="str">
        <f t="shared" si="50"/>
        <v/>
      </c>
      <c r="T609" s="104" t="str">
        <f t="shared" si="51"/>
        <v/>
      </c>
      <c r="U609" s="104">
        <f t="shared" si="52"/>
        <v>8.3999999999999986</v>
      </c>
      <c r="V609" s="104" t="str">
        <f t="shared" si="53"/>
        <v/>
      </c>
      <c r="W609" s="105"/>
    </row>
    <row r="610" spans="1:23">
      <c r="A610" s="92"/>
      <c r="B610" s="121" t="s">
        <v>328</v>
      </c>
      <c r="C610" s="107"/>
      <c r="D610" s="117"/>
      <c r="E610" s="117"/>
      <c r="F610" s="118"/>
      <c r="G610" s="108"/>
      <c r="H610" s="98"/>
      <c r="I610" s="99"/>
      <c r="J610" s="101"/>
      <c r="K610" s="109"/>
      <c r="L610" s="110"/>
      <c r="M610" s="111"/>
      <c r="N610" s="99"/>
      <c r="O610" s="112"/>
      <c r="P610" s="112"/>
      <c r="Q610" s="104" t="str">
        <f t="shared" si="48"/>
        <v/>
      </c>
      <c r="R610" s="104" t="str">
        <f t="shared" si="49"/>
        <v/>
      </c>
      <c r="S610" s="104" t="str">
        <f t="shared" si="50"/>
        <v/>
      </c>
      <c r="T610" s="104" t="str">
        <f t="shared" si="51"/>
        <v/>
      </c>
      <c r="U610" s="104" t="str">
        <f t="shared" si="52"/>
        <v/>
      </c>
      <c r="V610" s="104" t="str">
        <f t="shared" si="53"/>
        <v/>
      </c>
      <c r="W610" s="105"/>
    </row>
    <row r="611" spans="1:23">
      <c r="A611" s="92"/>
      <c r="B611" s="121"/>
      <c r="C611" s="107"/>
      <c r="D611" s="117"/>
      <c r="E611" s="117"/>
      <c r="F611" s="118"/>
      <c r="G611" s="108"/>
      <c r="H611" s="98"/>
      <c r="I611" s="99"/>
      <c r="J611" s="101"/>
      <c r="K611" s="109"/>
      <c r="L611" s="110"/>
      <c r="M611" s="111"/>
      <c r="N611" s="99"/>
      <c r="O611" s="112"/>
      <c r="P611" s="112"/>
      <c r="Q611" s="104" t="str">
        <f t="shared" si="48"/>
        <v/>
      </c>
      <c r="R611" s="104" t="str">
        <f t="shared" si="49"/>
        <v/>
      </c>
      <c r="S611" s="104" t="str">
        <f t="shared" si="50"/>
        <v/>
      </c>
      <c r="T611" s="104" t="str">
        <f t="shared" si="51"/>
        <v/>
      </c>
      <c r="U611" s="104" t="str">
        <f t="shared" si="52"/>
        <v/>
      </c>
      <c r="V611" s="104" t="str">
        <f t="shared" si="53"/>
        <v/>
      </c>
      <c r="W611" s="105"/>
    </row>
    <row r="612" spans="1:23" ht="15" customHeight="1">
      <c r="A612" s="92">
        <v>146</v>
      </c>
      <c r="B612" s="121" t="s">
        <v>333</v>
      </c>
      <c r="C612" s="122"/>
      <c r="D612" s="797">
        <v>6.165</v>
      </c>
      <c r="E612" s="797"/>
      <c r="F612" s="118"/>
      <c r="G612" s="108"/>
      <c r="H612" s="98">
        <v>20</v>
      </c>
      <c r="I612" s="99">
        <v>1</v>
      </c>
      <c r="J612" s="101">
        <v>4</v>
      </c>
      <c r="K612" s="109">
        <f>D612</f>
        <v>6.165</v>
      </c>
      <c r="L612" s="110" t="str">
        <f>IF(O612&lt;12,"0",0.049*H612)</f>
        <v>0</v>
      </c>
      <c r="M612" s="111">
        <v>0</v>
      </c>
      <c r="N612" s="99">
        <f>M612*2*H612/1000</f>
        <v>0</v>
      </c>
      <c r="O612" s="112">
        <f>(D612)-N612</f>
        <v>6.165</v>
      </c>
      <c r="P612" s="112">
        <f>(I612*J612*O612)+L612</f>
        <v>24.66</v>
      </c>
      <c r="Q612" s="104" t="str">
        <f t="shared" si="48"/>
        <v/>
      </c>
      <c r="R612" s="104" t="str">
        <f t="shared" si="49"/>
        <v/>
      </c>
      <c r="S612" s="104" t="str">
        <f t="shared" si="50"/>
        <v/>
      </c>
      <c r="T612" s="104" t="str">
        <f t="shared" si="51"/>
        <v/>
      </c>
      <c r="U612" s="104">
        <f t="shared" si="52"/>
        <v>24.66</v>
      </c>
      <c r="V612" s="104" t="str">
        <f t="shared" si="53"/>
        <v/>
      </c>
      <c r="W612" s="105"/>
    </row>
    <row r="613" spans="1:23">
      <c r="A613" s="92"/>
      <c r="B613" s="124" t="s">
        <v>332</v>
      </c>
      <c r="C613" s="107"/>
      <c r="D613" s="117"/>
      <c r="E613" s="117"/>
      <c r="F613" s="118"/>
      <c r="G613" s="108"/>
      <c r="H613" s="98"/>
      <c r="I613" s="99"/>
      <c r="J613" s="101"/>
      <c r="K613" s="109"/>
      <c r="L613" s="110"/>
      <c r="M613" s="111"/>
      <c r="N613" s="99"/>
      <c r="O613" s="112"/>
      <c r="P613" s="112"/>
      <c r="Q613" s="104" t="str">
        <f t="shared" si="48"/>
        <v/>
      </c>
      <c r="R613" s="104" t="str">
        <f t="shared" si="49"/>
        <v/>
      </c>
      <c r="S613" s="104" t="str">
        <f t="shared" si="50"/>
        <v/>
      </c>
      <c r="T613" s="104" t="str">
        <f t="shared" si="51"/>
        <v/>
      </c>
      <c r="U613" s="104" t="str">
        <f t="shared" si="52"/>
        <v/>
      </c>
      <c r="V613" s="104" t="str">
        <f t="shared" si="53"/>
        <v/>
      </c>
      <c r="W613" s="105"/>
    </row>
    <row r="614" spans="1:23">
      <c r="A614" s="92"/>
      <c r="B614" s="121"/>
      <c r="C614" s="107"/>
      <c r="D614" s="117"/>
      <c r="E614" s="117"/>
      <c r="F614" s="118"/>
      <c r="G614" s="108"/>
      <c r="H614" s="98"/>
      <c r="I614" s="99"/>
      <c r="J614" s="101"/>
      <c r="K614" s="109"/>
      <c r="L614" s="110"/>
      <c r="M614" s="111"/>
      <c r="N614" s="99"/>
      <c r="O614" s="112"/>
      <c r="P614" s="112"/>
      <c r="Q614" s="104" t="str">
        <f t="shared" si="48"/>
        <v/>
      </c>
      <c r="R614" s="104" t="str">
        <f t="shared" si="49"/>
        <v/>
      </c>
      <c r="S614" s="104" t="str">
        <f t="shared" si="50"/>
        <v/>
      </c>
      <c r="T614" s="104" t="str">
        <f t="shared" si="51"/>
        <v/>
      </c>
      <c r="U614" s="104" t="str">
        <f t="shared" si="52"/>
        <v/>
      </c>
      <c r="V614" s="104" t="str">
        <f t="shared" si="53"/>
        <v/>
      </c>
      <c r="W614" s="105"/>
    </row>
    <row r="615" spans="1:23">
      <c r="A615" s="92"/>
      <c r="B615" s="103" t="s">
        <v>337</v>
      </c>
      <c r="C615" s="107"/>
      <c r="D615" s="117"/>
      <c r="E615" s="117"/>
      <c r="F615" s="118"/>
      <c r="G615" s="108"/>
      <c r="H615" s="98"/>
      <c r="I615" s="99"/>
      <c r="J615" s="101"/>
      <c r="K615" s="109"/>
      <c r="L615" s="110"/>
      <c r="M615" s="111"/>
      <c r="N615" s="99"/>
      <c r="O615" s="112"/>
      <c r="P615" s="112"/>
      <c r="Q615" s="104" t="str">
        <f t="shared" si="48"/>
        <v/>
      </c>
      <c r="R615" s="104" t="str">
        <f t="shared" si="49"/>
        <v/>
      </c>
      <c r="S615" s="104" t="str">
        <f t="shared" si="50"/>
        <v/>
      </c>
      <c r="T615" s="104" t="str">
        <f t="shared" si="51"/>
        <v/>
      </c>
      <c r="U615" s="104" t="str">
        <f t="shared" si="52"/>
        <v/>
      </c>
      <c r="V615" s="104" t="str">
        <f t="shared" si="53"/>
        <v/>
      </c>
      <c r="W615" s="105"/>
    </row>
    <row r="616" spans="1:23" ht="15" customHeight="1">
      <c r="A616" s="92">
        <v>1</v>
      </c>
      <c r="B616" s="121" t="s">
        <v>428</v>
      </c>
      <c r="C616" s="122"/>
      <c r="D616" s="797">
        <v>2.4249999999999998</v>
      </c>
      <c r="E616" s="797"/>
      <c r="F616" s="118"/>
      <c r="G616" s="108">
        <v>0.25</v>
      </c>
      <c r="H616" s="98">
        <v>20</v>
      </c>
      <c r="I616" s="99">
        <v>1</v>
      </c>
      <c r="J616" s="101">
        <f>ROUND(5.6/G616+1,0)</f>
        <v>23</v>
      </c>
      <c r="K616" s="109">
        <f>D616</f>
        <v>2.4249999999999998</v>
      </c>
      <c r="L616" s="110" t="str">
        <f>IF(O616&lt;12,"0",0.049*H616)</f>
        <v>0</v>
      </c>
      <c r="M616" s="111">
        <v>0</v>
      </c>
      <c r="N616" s="99">
        <f>M616*2*H616/1000</f>
        <v>0</v>
      </c>
      <c r="O616" s="112">
        <f>(D616)-N616</f>
        <v>2.4249999999999998</v>
      </c>
      <c r="P616" s="112">
        <f>(I616*J616*O616)+L616</f>
        <v>55.774999999999999</v>
      </c>
      <c r="Q616" s="104" t="str">
        <f t="shared" si="48"/>
        <v/>
      </c>
      <c r="R616" s="104" t="str">
        <f t="shared" si="49"/>
        <v/>
      </c>
      <c r="S616" s="104" t="str">
        <f t="shared" si="50"/>
        <v/>
      </c>
      <c r="T616" s="104" t="str">
        <f t="shared" si="51"/>
        <v/>
      </c>
      <c r="U616" s="104">
        <f t="shared" si="52"/>
        <v>55.774999999999999</v>
      </c>
      <c r="V616" s="104" t="str">
        <f t="shared" si="53"/>
        <v/>
      </c>
      <c r="W616" s="105"/>
    </row>
    <row r="617" spans="1:23">
      <c r="A617" s="92"/>
      <c r="B617" s="121" t="s">
        <v>338</v>
      </c>
      <c r="C617" s="107"/>
      <c r="D617" s="117"/>
      <c r="E617" s="117"/>
      <c r="F617" s="118"/>
      <c r="G617" s="108"/>
      <c r="H617" s="98"/>
      <c r="I617" s="99"/>
      <c r="J617" s="101"/>
      <c r="K617" s="109"/>
      <c r="L617" s="110"/>
      <c r="M617" s="111"/>
      <c r="N617" s="99"/>
      <c r="O617" s="112"/>
      <c r="P617" s="112"/>
      <c r="Q617" s="104" t="str">
        <f t="shared" si="48"/>
        <v/>
      </c>
      <c r="R617" s="104" t="str">
        <f t="shared" si="49"/>
        <v/>
      </c>
      <c r="S617" s="104" t="str">
        <f t="shared" si="50"/>
        <v/>
      </c>
      <c r="T617" s="104" t="str">
        <f t="shared" si="51"/>
        <v/>
      </c>
      <c r="U617" s="104" t="str">
        <f t="shared" si="52"/>
        <v/>
      </c>
      <c r="V617" s="104" t="str">
        <f t="shared" si="53"/>
        <v/>
      </c>
      <c r="W617" s="105"/>
    </row>
    <row r="618" spans="1:23">
      <c r="A618" s="92"/>
      <c r="B618" s="123"/>
      <c r="C618" s="107"/>
      <c r="D618" s="117"/>
      <c r="E618" s="117"/>
      <c r="F618" s="118"/>
      <c r="G618" s="108"/>
      <c r="H618" s="98"/>
      <c r="I618" s="99"/>
      <c r="J618" s="101"/>
      <c r="K618" s="109"/>
      <c r="L618" s="110"/>
      <c r="M618" s="111"/>
      <c r="N618" s="99"/>
      <c r="O618" s="112"/>
      <c r="P618" s="112"/>
      <c r="Q618" s="104" t="str">
        <f t="shared" si="48"/>
        <v/>
      </c>
      <c r="R618" s="104" t="str">
        <f t="shared" si="49"/>
        <v/>
      </c>
      <c r="S618" s="104" t="str">
        <f t="shared" si="50"/>
        <v/>
      </c>
      <c r="T618" s="104" t="str">
        <f t="shared" si="51"/>
        <v/>
      </c>
      <c r="U618" s="104" t="str">
        <f t="shared" si="52"/>
        <v/>
      </c>
      <c r="V618" s="104" t="str">
        <f t="shared" si="53"/>
        <v/>
      </c>
      <c r="W618" s="105"/>
    </row>
    <row r="619" spans="1:23" ht="15" customHeight="1">
      <c r="A619" s="92">
        <v>2</v>
      </c>
      <c r="B619" s="121" t="s">
        <v>429</v>
      </c>
      <c r="C619" s="122"/>
      <c r="D619" s="797">
        <v>3.95</v>
      </c>
      <c r="E619" s="797"/>
      <c r="F619" s="118"/>
      <c r="G619" s="108">
        <v>0.25</v>
      </c>
      <c r="H619" s="98">
        <v>16</v>
      </c>
      <c r="I619" s="99">
        <v>1</v>
      </c>
      <c r="J619" s="101">
        <f>ROUND(2.425/G619+1,0)</f>
        <v>11</v>
      </c>
      <c r="K619" s="109">
        <f>D619</f>
        <v>3.95</v>
      </c>
      <c r="L619" s="110" t="str">
        <f>IF(O619&lt;12,"0",0.049*H619)</f>
        <v>0</v>
      </c>
      <c r="M619" s="111">
        <v>0</v>
      </c>
      <c r="N619" s="99">
        <f>M619*2*H619/1000</f>
        <v>0</v>
      </c>
      <c r="O619" s="112">
        <f>(D619)-N619</f>
        <v>3.95</v>
      </c>
      <c r="P619" s="112">
        <f>(I619*J619*O619)+L619</f>
        <v>43.45</v>
      </c>
      <c r="Q619" s="104" t="str">
        <f t="shared" si="48"/>
        <v/>
      </c>
      <c r="R619" s="104" t="str">
        <f t="shared" si="49"/>
        <v/>
      </c>
      <c r="S619" s="104" t="str">
        <f t="shared" si="50"/>
        <v/>
      </c>
      <c r="T619" s="104">
        <f t="shared" si="51"/>
        <v>43.45</v>
      </c>
      <c r="U619" s="104" t="str">
        <f t="shared" si="52"/>
        <v/>
      </c>
      <c r="V619" s="104" t="str">
        <f t="shared" si="53"/>
        <v/>
      </c>
      <c r="W619" s="105"/>
    </row>
    <row r="620" spans="1:23">
      <c r="A620" s="92"/>
      <c r="B620" s="121" t="s">
        <v>338</v>
      </c>
      <c r="C620" s="107"/>
      <c r="D620" s="117"/>
      <c r="E620" s="117"/>
      <c r="F620" s="118"/>
      <c r="G620" s="108"/>
      <c r="H620" s="98"/>
      <c r="I620" s="99"/>
      <c r="J620" s="101"/>
      <c r="K620" s="109"/>
      <c r="L620" s="110"/>
      <c r="M620" s="111"/>
      <c r="N620" s="99"/>
      <c r="O620" s="112"/>
      <c r="P620" s="112"/>
      <c r="Q620" s="104" t="str">
        <f t="shared" si="48"/>
        <v/>
      </c>
      <c r="R620" s="104" t="str">
        <f t="shared" si="49"/>
        <v/>
      </c>
      <c r="S620" s="104" t="str">
        <f t="shared" si="50"/>
        <v/>
      </c>
      <c r="T620" s="104" t="str">
        <f t="shared" si="51"/>
        <v/>
      </c>
      <c r="U620" s="104" t="str">
        <f t="shared" si="52"/>
        <v/>
      </c>
      <c r="V620" s="104" t="str">
        <f t="shared" si="53"/>
        <v/>
      </c>
      <c r="W620" s="105"/>
    </row>
    <row r="621" spans="1:23">
      <c r="A621" s="92"/>
      <c r="B621" s="123"/>
      <c r="C621" s="107"/>
      <c r="D621" s="117"/>
      <c r="E621" s="117"/>
      <c r="F621" s="118"/>
      <c r="G621" s="108"/>
      <c r="H621" s="98"/>
      <c r="I621" s="99"/>
      <c r="J621" s="101"/>
      <c r="K621" s="109"/>
      <c r="L621" s="110"/>
      <c r="M621" s="111"/>
      <c r="N621" s="99"/>
      <c r="O621" s="112"/>
      <c r="P621" s="112"/>
      <c r="Q621" s="104" t="str">
        <f t="shared" ref="Q621:Q684" si="54">IF($H621=8,$P621,"")</f>
        <v/>
      </c>
      <c r="R621" s="104" t="str">
        <f t="shared" ref="R621:R684" si="55">IF($H621=10,$P621,"")</f>
        <v/>
      </c>
      <c r="S621" s="104" t="str">
        <f t="shared" ref="S621:S684" si="56">IF($H621=12,$P621,"")</f>
        <v/>
      </c>
      <c r="T621" s="104" t="str">
        <f t="shared" ref="T621:T684" si="57">IF($H621=16,$P621,"")</f>
        <v/>
      </c>
      <c r="U621" s="104" t="str">
        <f t="shared" ref="U621:U684" si="58">IF($H621=20,$P621,"")</f>
        <v/>
      </c>
      <c r="V621" s="104" t="str">
        <f t="shared" ref="V621:V684" si="59">IF($H621=25,$P621,"")</f>
        <v/>
      </c>
      <c r="W621" s="105"/>
    </row>
    <row r="622" spans="1:23" ht="15" customHeight="1">
      <c r="A622" s="92">
        <v>3</v>
      </c>
      <c r="B622" s="121" t="s">
        <v>428</v>
      </c>
      <c r="C622" s="122"/>
      <c r="D622" s="797">
        <v>2.2000000000000002</v>
      </c>
      <c r="E622" s="797"/>
      <c r="F622" s="118"/>
      <c r="G622" s="108">
        <v>0.25</v>
      </c>
      <c r="H622" s="98">
        <v>10</v>
      </c>
      <c r="I622" s="99">
        <v>1</v>
      </c>
      <c r="J622" s="101">
        <f>ROUND(7.515/G622+1,0)</f>
        <v>31</v>
      </c>
      <c r="K622" s="109">
        <f>D622</f>
        <v>2.2000000000000002</v>
      </c>
      <c r="L622" s="110" t="str">
        <f>IF(O622&lt;12,"0",0.049*H622)</f>
        <v>0</v>
      </c>
      <c r="M622" s="111">
        <v>0</v>
      </c>
      <c r="N622" s="99">
        <f>M622*2*H622/1000</f>
        <v>0</v>
      </c>
      <c r="O622" s="112">
        <f>(D622)-N622</f>
        <v>2.2000000000000002</v>
      </c>
      <c r="P622" s="112">
        <f>(I622*J622*O622)+L622</f>
        <v>68.2</v>
      </c>
      <c r="Q622" s="104" t="str">
        <f t="shared" si="54"/>
        <v/>
      </c>
      <c r="R622" s="104">
        <f t="shared" si="55"/>
        <v>68.2</v>
      </c>
      <c r="S622" s="104" t="str">
        <f t="shared" si="56"/>
        <v/>
      </c>
      <c r="T622" s="104" t="str">
        <f t="shared" si="57"/>
        <v/>
      </c>
      <c r="U622" s="104" t="str">
        <f t="shared" si="58"/>
        <v/>
      </c>
      <c r="V622" s="104" t="str">
        <f t="shared" si="59"/>
        <v/>
      </c>
      <c r="W622" s="105"/>
    </row>
    <row r="623" spans="1:23">
      <c r="A623" s="92"/>
      <c r="B623" s="121" t="s">
        <v>339</v>
      </c>
      <c r="C623" s="107"/>
      <c r="D623" s="117"/>
      <c r="E623" s="117"/>
      <c r="F623" s="118"/>
      <c r="G623" s="108"/>
      <c r="H623" s="98"/>
      <c r="I623" s="99"/>
      <c r="J623" s="101"/>
      <c r="K623" s="109"/>
      <c r="L623" s="110"/>
      <c r="M623" s="111"/>
      <c r="N623" s="99"/>
      <c r="O623" s="112"/>
      <c r="P623" s="112"/>
      <c r="Q623" s="104" t="str">
        <f t="shared" si="54"/>
        <v/>
      </c>
      <c r="R623" s="104" t="str">
        <f t="shared" si="55"/>
        <v/>
      </c>
      <c r="S623" s="104" t="str">
        <f t="shared" si="56"/>
        <v/>
      </c>
      <c r="T623" s="104" t="str">
        <f t="shared" si="57"/>
        <v/>
      </c>
      <c r="U623" s="104" t="str">
        <f t="shared" si="58"/>
        <v/>
      </c>
      <c r="V623" s="104" t="str">
        <f t="shared" si="59"/>
        <v/>
      </c>
      <c r="W623" s="105"/>
    </row>
    <row r="624" spans="1:23">
      <c r="A624" s="92"/>
      <c r="B624" s="123"/>
      <c r="C624" s="107"/>
      <c r="D624" s="117"/>
      <c r="E624" s="117"/>
      <c r="F624" s="118"/>
      <c r="G624" s="108"/>
      <c r="H624" s="98"/>
      <c r="I624" s="99"/>
      <c r="J624" s="101"/>
      <c r="K624" s="109"/>
      <c r="L624" s="110"/>
      <c r="M624" s="111"/>
      <c r="N624" s="99"/>
      <c r="O624" s="112"/>
      <c r="P624" s="112"/>
      <c r="Q624" s="104" t="str">
        <f t="shared" si="54"/>
        <v/>
      </c>
      <c r="R624" s="104" t="str">
        <f t="shared" si="55"/>
        <v/>
      </c>
      <c r="S624" s="104" t="str">
        <f t="shared" si="56"/>
        <v/>
      </c>
      <c r="T624" s="104" t="str">
        <f t="shared" si="57"/>
        <v/>
      </c>
      <c r="U624" s="104" t="str">
        <f t="shared" si="58"/>
        <v/>
      </c>
      <c r="V624" s="104" t="str">
        <f t="shared" si="59"/>
        <v/>
      </c>
      <c r="W624" s="105"/>
    </row>
    <row r="625" spans="1:23" ht="15" customHeight="1">
      <c r="A625" s="92">
        <v>4</v>
      </c>
      <c r="B625" s="121" t="s">
        <v>429</v>
      </c>
      <c r="C625" s="122"/>
      <c r="D625" s="797">
        <v>6.165</v>
      </c>
      <c r="E625" s="797"/>
      <c r="F625" s="118"/>
      <c r="G625" s="108">
        <v>0.25</v>
      </c>
      <c r="H625" s="98">
        <v>16</v>
      </c>
      <c r="I625" s="99">
        <v>1</v>
      </c>
      <c r="J625" s="101">
        <f>ROUND(2.2/G625+1,0)</f>
        <v>10</v>
      </c>
      <c r="K625" s="109">
        <f>D625</f>
        <v>6.165</v>
      </c>
      <c r="L625" s="110" t="str">
        <f>IF(O625&lt;12,"0",0.049*H625)</f>
        <v>0</v>
      </c>
      <c r="M625" s="111">
        <v>0</v>
      </c>
      <c r="N625" s="99">
        <f>M625*2*H625/1000</f>
        <v>0</v>
      </c>
      <c r="O625" s="112">
        <f>(D625)-N625</f>
        <v>6.165</v>
      </c>
      <c r="P625" s="112">
        <f>(I625*J625*O625)+L625</f>
        <v>61.65</v>
      </c>
      <c r="Q625" s="104" t="str">
        <f t="shared" si="54"/>
        <v/>
      </c>
      <c r="R625" s="104" t="str">
        <f t="shared" si="55"/>
        <v/>
      </c>
      <c r="S625" s="104" t="str">
        <f t="shared" si="56"/>
        <v/>
      </c>
      <c r="T625" s="104">
        <f t="shared" si="57"/>
        <v>61.65</v>
      </c>
      <c r="U625" s="104" t="str">
        <f t="shared" si="58"/>
        <v/>
      </c>
      <c r="V625" s="104" t="str">
        <f t="shared" si="59"/>
        <v/>
      </c>
      <c r="W625" s="105"/>
    </row>
    <row r="626" spans="1:23">
      <c r="A626" s="92"/>
      <c r="B626" s="121" t="s">
        <v>339</v>
      </c>
      <c r="C626" s="107"/>
      <c r="D626" s="117"/>
      <c r="E626" s="117"/>
      <c r="F626" s="118"/>
      <c r="G626" s="108"/>
      <c r="H626" s="98"/>
      <c r="I626" s="99"/>
      <c r="J626" s="101"/>
      <c r="K626" s="109"/>
      <c r="L626" s="110"/>
      <c r="M626" s="111"/>
      <c r="N626" s="99"/>
      <c r="O626" s="112"/>
      <c r="P626" s="112"/>
      <c r="Q626" s="104" t="str">
        <f t="shared" si="54"/>
        <v/>
      </c>
      <c r="R626" s="104" t="str">
        <f t="shared" si="55"/>
        <v/>
      </c>
      <c r="S626" s="104" t="str">
        <f t="shared" si="56"/>
        <v/>
      </c>
      <c r="T626" s="104" t="str">
        <f t="shared" si="57"/>
        <v/>
      </c>
      <c r="U626" s="104" t="str">
        <f t="shared" si="58"/>
        <v/>
      </c>
      <c r="V626" s="104" t="str">
        <f t="shared" si="59"/>
        <v/>
      </c>
      <c r="W626" s="105"/>
    </row>
    <row r="627" spans="1:23">
      <c r="A627" s="92"/>
      <c r="B627" s="123"/>
      <c r="C627" s="107"/>
      <c r="D627" s="117"/>
      <c r="E627" s="117"/>
      <c r="F627" s="118"/>
      <c r="G627" s="108"/>
      <c r="H627" s="98"/>
      <c r="I627" s="99"/>
      <c r="J627" s="101"/>
      <c r="K627" s="109"/>
      <c r="L627" s="110"/>
      <c r="M627" s="111"/>
      <c r="N627" s="99"/>
      <c r="O627" s="112"/>
      <c r="P627" s="112"/>
      <c r="Q627" s="104" t="str">
        <f t="shared" si="54"/>
        <v/>
      </c>
      <c r="R627" s="104" t="str">
        <f t="shared" si="55"/>
        <v/>
      </c>
      <c r="S627" s="104" t="str">
        <f t="shared" si="56"/>
        <v/>
      </c>
      <c r="T627" s="104" t="str">
        <f t="shared" si="57"/>
        <v/>
      </c>
      <c r="U627" s="104" t="str">
        <f t="shared" si="58"/>
        <v/>
      </c>
      <c r="V627" s="104" t="str">
        <f t="shared" si="59"/>
        <v/>
      </c>
      <c r="W627" s="105"/>
    </row>
    <row r="628" spans="1:23" ht="15" customHeight="1">
      <c r="A628" s="92">
        <v>5</v>
      </c>
      <c r="B628" s="121" t="s">
        <v>428</v>
      </c>
      <c r="C628" s="122"/>
      <c r="D628" s="797">
        <v>4.5199999999999996</v>
      </c>
      <c r="E628" s="797"/>
      <c r="F628" s="118"/>
      <c r="G628" s="108">
        <v>0.25</v>
      </c>
      <c r="H628" s="98">
        <v>12</v>
      </c>
      <c r="I628" s="99">
        <v>1</v>
      </c>
      <c r="J628" s="101">
        <f>ROUND(3.12/G628+1,0)</f>
        <v>13</v>
      </c>
      <c r="K628" s="109">
        <f>D628</f>
        <v>4.5199999999999996</v>
      </c>
      <c r="L628" s="110" t="str">
        <f>IF(O628&lt;12,"0",0.049*H628)</f>
        <v>0</v>
      </c>
      <c r="M628" s="111">
        <v>0</v>
      </c>
      <c r="N628" s="99">
        <f>M628*2*H628/1000</f>
        <v>0</v>
      </c>
      <c r="O628" s="112">
        <f>(D628)-N628</f>
        <v>4.5199999999999996</v>
      </c>
      <c r="P628" s="112">
        <f>(I628*J628*O628)+L628</f>
        <v>58.759999999999991</v>
      </c>
      <c r="Q628" s="104" t="str">
        <f t="shared" si="54"/>
        <v/>
      </c>
      <c r="R628" s="104" t="str">
        <f t="shared" si="55"/>
        <v/>
      </c>
      <c r="S628" s="104">
        <f t="shared" si="56"/>
        <v>58.759999999999991</v>
      </c>
      <c r="T628" s="104" t="str">
        <f t="shared" si="57"/>
        <v/>
      </c>
      <c r="U628" s="104" t="str">
        <f t="shared" si="58"/>
        <v/>
      </c>
      <c r="V628" s="104" t="str">
        <f t="shared" si="59"/>
        <v/>
      </c>
      <c r="W628" s="105"/>
    </row>
    <row r="629" spans="1:23">
      <c r="A629" s="92"/>
      <c r="B629" s="121" t="s">
        <v>340</v>
      </c>
      <c r="C629" s="107"/>
      <c r="D629" s="117"/>
      <c r="E629" s="117"/>
      <c r="F629" s="118"/>
      <c r="G629" s="108"/>
      <c r="H629" s="98"/>
      <c r="I629" s="99"/>
      <c r="J629" s="101"/>
      <c r="K629" s="109"/>
      <c r="L629" s="110"/>
      <c r="M629" s="111"/>
      <c r="N629" s="99"/>
      <c r="O629" s="112"/>
      <c r="P629" s="112"/>
      <c r="Q629" s="104" t="str">
        <f t="shared" si="54"/>
        <v/>
      </c>
      <c r="R629" s="104" t="str">
        <f t="shared" si="55"/>
        <v/>
      </c>
      <c r="S629" s="104" t="str">
        <f t="shared" si="56"/>
        <v/>
      </c>
      <c r="T629" s="104" t="str">
        <f t="shared" si="57"/>
        <v/>
      </c>
      <c r="U629" s="104" t="str">
        <f t="shared" si="58"/>
        <v/>
      </c>
      <c r="V629" s="104" t="str">
        <f t="shared" si="59"/>
        <v/>
      </c>
      <c r="W629" s="105"/>
    </row>
    <row r="630" spans="1:23">
      <c r="A630" s="92"/>
      <c r="B630" s="123"/>
      <c r="C630" s="107"/>
      <c r="D630" s="117"/>
      <c r="E630" s="117"/>
      <c r="F630" s="118"/>
      <c r="G630" s="108"/>
      <c r="H630" s="98"/>
      <c r="I630" s="99"/>
      <c r="J630" s="101"/>
      <c r="K630" s="109"/>
      <c r="L630" s="110"/>
      <c r="M630" s="111"/>
      <c r="N630" s="99"/>
      <c r="O630" s="112"/>
      <c r="P630" s="112"/>
      <c r="Q630" s="104" t="str">
        <f t="shared" si="54"/>
        <v/>
      </c>
      <c r="R630" s="104" t="str">
        <f t="shared" si="55"/>
        <v/>
      </c>
      <c r="S630" s="104" t="str">
        <f t="shared" si="56"/>
        <v/>
      </c>
      <c r="T630" s="104" t="str">
        <f t="shared" si="57"/>
        <v/>
      </c>
      <c r="U630" s="104" t="str">
        <f t="shared" si="58"/>
        <v/>
      </c>
      <c r="V630" s="104" t="str">
        <f t="shared" si="59"/>
        <v/>
      </c>
      <c r="W630" s="105"/>
    </row>
    <row r="631" spans="1:23" ht="15" customHeight="1">
      <c r="A631" s="92">
        <v>6</v>
      </c>
      <c r="B631" s="121" t="s">
        <v>428</v>
      </c>
      <c r="C631" s="122"/>
      <c r="D631" s="797">
        <v>2.2749999999999999</v>
      </c>
      <c r="E631" s="797"/>
      <c r="F631" s="118"/>
      <c r="G631" s="108">
        <v>0.25</v>
      </c>
      <c r="H631" s="98">
        <v>10</v>
      </c>
      <c r="I631" s="99">
        <v>1</v>
      </c>
      <c r="J631" s="101">
        <f>ROUND(5.355/G631+1,0)</f>
        <v>22</v>
      </c>
      <c r="K631" s="109">
        <f>D631</f>
        <v>2.2749999999999999</v>
      </c>
      <c r="L631" s="110" t="str">
        <f>IF(O631&lt;12,"0",0.049*H631)</f>
        <v>0</v>
      </c>
      <c r="M631" s="111">
        <v>0</v>
      </c>
      <c r="N631" s="99">
        <f>M631*2*H631/1000</f>
        <v>0</v>
      </c>
      <c r="O631" s="112">
        <f>(D631)-N631</f>
        <v>2.2749999999999999</v>
      </c>
      <c r="P631" s="112">
        <f>(I631*J631*O631)+L631</f>
        <v>50.05</v>
      </c>
      <c r="Q631" s="104" t="str">
        <f t="shared" si="54"/>
        <v/>
      </c>
      <c r="R631" s="104">
        <f t="shared" si="55"/>
        <v>50.05</v>
      </c>
      <c r="S631" s="104" t="str">
        <f t="shared" si="56"/>
        <v/>
      </c>
      <c r="T631" s="104" t="str">
        <f t="shared" si="57"/>
        <v/>
      </c>
      <c r="U631" s="104" t="str">
        <f t="shared" si="58"/>
        <v/>
      </c>
      <c r="V631" s="104" t="str">
        <f t="shared" si="59"/>
        <v/>
      </c>
      <c r="W631" s="105"/>
    </row>
    <row r="632" spans="1:23">
      <c r="A632" s="92"/>
      <c r="B632" s="121" t="s">
        <v>341</v>
      </c>
      <c r="C632" s="107"/>
      <c r="D632" s="117"/>
      <c r="E632" s="117"/>
      <c r="F632" s="118"/>
      <c r="G632" s="108"/>
      <c r="H632" s="98"/>
      <c r="I632" s="99"/>
      <c r="J632" s="101"/>
      <c r="K632" s="109"/>
      <c r="L632" s="110"/>
      <c r="M632" s="111"/>
      <c r="N632" s="99"/>
      <c r="O632" s="112"/>
      <c r="P632" s="112"/>
      <c r="Q632" s="104" t="str">
        <f t="shared" si="54"/>
        <v/>
      </c>
      <c r="R632" s="104" t="str">
        <f t="shared" si="55"/>
        <v/>
      </c>
      <c r="S632" s="104" t="str">
        <f t="shared" si="56"/>
        <v/>
      </c>
      <c r="T632" s="104" t="str">
        <f t="shared" si="57"/>
        <v/>
      </c>
      <c r="U632" s="104" t="str">
        <f t="shared" si="58"/>
        <v/>
      </c>
      <c r="V632" s="104" t="str">
        <f t="shared" si="59"/>
        <v/>
      </c>
      <c r="W632" s="105"/>
    </row>
    <row r="633" spans="1:23">
      <c r="A633" s="92"/>
      <c r="B633" s="123"/>
      <c r="C633" s="107"/>
      <c r="D633" s="117"/>
      <c r="E633" s="117"/>
      <c r="F633" s="118"/>
      <c r="G633" s="108"/>
      <c r="H633" s="98"/>
      <c r="I633" s="99"/>
      <c r="J633" s="101"/>
      <c r="K633" s="109"/>
      <c r="L633" s="110"/>
      <c r="M633" s="111"/>
      <c r="N633" s="99"/>
      <c r="O633" s="112"/>
      <c r="P633" s="112"/>
      <c r="Q633" s="104" t="str">
        <f t="shared" si="54"/>
        <v/>
      </c>
      <c r="R633" s="104" t="str">
        <f t="shared" si="55"/>
        <v/>
      </c>
      <c r="S633" s="104" t="str">
        <f t="shared" si="56"/>
        <v/>
      </c>
      <c r="T633" s="104" t="str">
        <f t="shared" si="57"/>
        <v/>
      </c>
      <c r="U633" s="104" t="str">
        <f t="shared" si="58"/>
        <v/>
      </c>
      <c r="V633" s="104" t="str">
        <f t="shared" si="59"/>
        <v/>
      </c>
      <c r="W633" s="105"/>
    </row>
    <row r="634" spans="1:23" ht="15" customHeight="1">
      <c r="A634" s="92">
        <v>7</v>
      </c>
      <c r="B634" s="121" t="s">
        <v>429</v>
      </c>
      <c r="C634" s="122"/>
      <c r="D634" s="797">
        <v>5.3550000000000004</v>
      </c>
      <c r="E634" s="797"/>
      <c r="F634" s="118"/>
      <c r="G634" s="108">
        <v>0.25</v>
      </c>
      <c r="H634" s="98">
        <v>12</v>
      </c>
      <c r="I634" s="99">
        <v>1</v>
      </c>
      <c r="J634" s="101">
        <f>ROUND(2.275/G634+1,0)</f>
        <v>10</v>
      </c>
      <c r="K634" s="109">
        <f>D634</f>
        <v>5.3550000000000004</v>
      </c>
      <c r="L634" s="110" t="str">
        <f>IF(O634&lt;12,"0",0.049*H634)</f>
        <v>0</v>
      </c>
      <c r="M634" s="111">
        <v>0</v>
      </c>
      <c r="N634" s="99">
        <f>M634*2*H634/1000</f>
        <v>0</v>
      </c>
      <c r="O634" s="112">
        <f>(D634)-N634</f>
        <v>5.3550000000000004</v>
      </c>
      <c r="P634" s="112">
        <f>(I634*J634*O634)+L634</f>
        <v>53.550000000000004</v>
      </c>
      <c r="Q634" s="104" t="str">
        <f t="shared" si="54"/>
        <v/>
      </c>
      <c r="R634" s="104" t="str">
        <f t="shared" si="55"/>
        <v/>
      </c>
      <c r="S634" s="104">
        <f t="shared" si="56"/>
        <v>53.550000000000004</v>
      </c>
      <c r="T634" s="104" t="str">
        <f t="shared" si="57"/>
        <v/>
      </c>
      <c r="U634" s="104" t="str">
        <f t="shared" si="58"/>
        <v/>
      </c>
      <c r="V634" s="104" t="str">
        <f t="shared" si="59"/>
        <v/>
      </c>
      <c r="W634" s="105"/>
    </row>
    <row r="635" spans="1:23">
      <c r="A635" s="92"/>
      <c r="B635" s="121" t="s">
        <v>341</v>
      </c>
      <c r="C635" s="107"/>
      <c r="D635" s="117"/>
      <c r="E635" s="117"/>
      <c r="F635" s="118"/>
      <c r="G635" s="108"/>
      <c r="H635" s="98"/>
      <c r="I635" s="99"/>
      <c r="J635" s="101"/>
      <c r="K635" s="109"/>
      <c r="L635" s="110"/>
      <c r="M635" s="111"/>
      <c r="N635" s="99"/>
      <c r="O635" s="112"/>
      <c r="P635" s="112"/>
      <c r="Q635" s="104" t="str">
        <f t="shared" si="54"/>
        <v/>
      </c>
      <c r="R635" s="104" t="str">
        <f t="shared" si="55"/>
        <v/>
      </c>
      <c r="S635" s="104" t="str">
        <f t="shared" si="56"/>
        <v/>
      </c>
      <c r="T635" s="104" t="str">
        <f t="shared" si="57"/>
        <v/>
      </c>
      <c r="U635" s="104" t="str">
        <f t="shared" si="58"/>
        <v/>
      </c>
      <c r="V635" s="104" t="str">
        <f t="shared" si="59"/>
        <v/>
      </c>
      <c r="W635" s="105"/>
    </row>
    <row r="636" spans="1:23">
      <c r="A636" s="92"/>
      <c r="B636" s="123"/>
      <c r="C636" s="107"/>
      <c r="D636" s="117"/>
      <c r="E636" s="117"/>
      <c r="F636" s="118"/>
      <c r="G636" s="108"/>
      <c r="H636" s="98"/>
      <c r="I636" s="99"/>
      <c r="J636" s="101"/>
      <c r="K636" s="109"/>
      <c r="L636" s="110"/>
      <c r="M636" s="111"/>
      <c r="N636" s="99"/>
      <c r="O636" s="112"/>
      <c r="P636" s="112"/>
      <c r="Q636" s="104" t="str">
        <f t="shared" si="54"/>
        <v/>
      </c>
      <c r="R636" s="104" t="str">
        <f t="shared" si="55"/>
        <v/>
      </c>
      <c r="S636" s="104" t="str">
        <f t="shared" si="56"/>
        <v/>
      </c>
      <c r="T636" s="104" t="str">
        <f t="shared" si="57"/>
        <v/>
      </c>
      <c r="U636" s="104" t="str">
        <f t="shared" si="58"/>
        <v/>
      </c>
      <c r="V636" s="104" t="str">
        <f t="shared" si="59"/>
        <v/>
      </c>
      <c r="W636" s="105"/>
    </row>
    <row r="637" spans="1:23" ht="15" customHeight="1">
      <c r="A637" s="92">
        <v>8</v>
      </c>
      <c r="B637" s="121" t="s">
        <v>428</v>
      </c>
      <c r="C637" s="122"/>
      <c r="D637" s="797">
        <v>2.4500000000000002</v>
      </c>
      <c r="E637" s="797"/>
      <c r="F637" s="118"/>
      <c r="G637" s="108">
        <v>0.25</v>
      </c>
      <c r="H637" s="98">
        <v>12</v>
      </c>
      <c r="I637" s="99">
        <v>1</v>
      </c>
      <c r="J637" s="101">
        <f>ROUND(2.33/G637+1,0)</f>
        <v>10</v>
      </c>
      <c r="K637" s="109">
        <f>D637</f>
        <v>2.4500000000000002</v>
      </c>
      <c r="L637" s="110" t="str">
        <f>IF(O637&lt;12,"0",0.049*H637)</f>
        <v>0</v>
      </c>
      <c r="M637" s="111">
        <v>0</v>
      </c>
      <c r="N637" s="99">
        <f>M637*2*H637/1000</f>
        <v>0</v>
      </c>
      <c r="O637" s="112">
        <f>(D637)-N637</f>
        <v>2.4500000000000002</v>
      </c>
      <c r="P637" s="112">
        <f>(I637*J637*O637)+L637</f>
        <v>24.5</v>
      </c>
      <c r="Q637" s="104" t="str">
        <f t="shared" si="54"/>
        <v/>
      </c>
      <c r="R637" s="104" t="str">
        <f t="shared" si="55"/>
        <v/>
      </c>
      <c r="S637" s="104">
        <f t="shared" si="56"/>
        <v>24.5</v>
      </c>
      <c r="T637" s="104" t="str">
        <f t="shared" si="57"/>
        <v/>
      </c>
      <c r="U637" s="104" t="str">
        <f t="shared" si="58"/>
        <v/>
      </c>
      <c r="V637" s="104" t="str">
        <f t="shared" si="59"/>
        <v/>
      </c>
      <c r="W637" s="105"/>
    </row>
    <row r="638" spans="1:23">
      <c r="A638" s="92"/>
      <c r="B638" s="121" t="s">
        <v>342</v>
      </c>
      <c r="C638" s="107"/>
      <c r="D638" s="117"/>
      <c r="E638" s="117"/>
      <c r="F638" s="118"/>
      <c r="G638" s="108"/>
      <c r="H638" s="98"/>
      <c r="I638" s="99"/>
      <c r="J638" s="101"/>
      <c r="K638" s="109"/>
      <c r="L638" s="110"/>
      <c r="M638" s="111"/>
      <c r="N638" s="99"/>
      <c r="O638" s="112"/>
      <c r="P638" s="112"/>
      <c r="Q638" s="104" t="str">
        <f t="shared" si="54"/>
        <v/>
      </c>
      <c r="R638" s="104" t="str">
        <f t="shared" si="55"/>
        <v/>
      </c>
      <c r="S638" s="104" t="str">
        <f t="shared" si="56"/>
        <v/>
      </c>
      <c r="T638" s="104" t="str">
        <f t="shared" si="57"/>
        <v/>
      </c>
      <c r="U638" s="104" t="str">
        <f t="shared" si="58"/>
        <v/>
      </c>
      <c r="V638" s="104" t="str">
        <f t="shared" si="59"/>
        <v/>
      </c>
      <c r="W638" s="105"/>
    </row>
    <row r="639" spans="1:23">
      <c r="A639" s="92"/>
      <c r="B639" s="123"/>
      <c r="C639" s="107"/>
      <c r="D639" s="117"/>
      <c r="E639" s="117"/>
      <c r="F639" s="118"/>
      <c r="G639" s="108"/>
      <c r="H639" s="98"/>
      <c r="I639" s="99"/>
      <c r="J639" s="101"/>
      <c r="K639" s="109"/>
      <c r="L639" s="110"/>
      <c r="M639" s="111"/>
      <c r="N639" s="99"/>
      <c r="O639" s="112"/>
      <c r="P639" s="112"/>
      <c r="Q639" s="104" t="str">
        <f t="shared" si="54"/>
        <v/>
      </c>
      <c r="R639" s="104" t="str">
        <f t="shared" si="55"/>
        <v/>
      </c>
      <c r="S639" s="104" t="str">
        <f t="shared" si="56"/>
        <v/>
      </c>
      <c r="T639" s="104" t="str">
        <f t="shared" si="57"/>
        <v/>
      </c>
      <c r="U639" s="104" t="str">
        <f t="shared" si="58"/>
        <v/>
      </c>
      <c r="V639" s="104" t="str">
        <f t="shared" si="59"/>
        <v/>
      </c>
      <c r="W639" s="105"/>
    </row>
    <row r="640" spans="1:23" ht="15" customHeight="1">
      <c r="A640" s="92">
        <v>9</v>
      </c>
      <c r="B640" s="121" t="s">
        <v>428</v>
      </c>
      <c r="C640" s="122"/>
      <c r="D640" s="797">
        <v>4.09</v>
      </c>
      <c r="E640" s="797"/>
      <c r="F640" s="118"/>
      <c r="G640" s="108">
        <v>0.25</v>
      </c>
      <c r="H640" s="98">
        <v>12</v>
      </c>
      <c r="I640" s="99">
        <v>1</v>
      </c>
      <c r="J640" s="101">
        <f>ROUND(5.8/G640+1,0)</f>
        <v>24</v>
      </c>
      <c r="K640" s="109">
        <f>D640</f>
        <v>4.09</v>
      </c>
      <c r="L640" s="110" t="str">
        <f>IF(O640&lt;12,"0",0.049*H640)</f>
        <v>0</v>
      </c>
      <c r="M640" s="111">
        <v>0</v>
      </c>
      <c r="N640" s="99">
        <f>M640*2*H640/1000</f>
        <v>0</v>
      </c>
      <c r="O640" s="112">
        <f>(D640)-N640</f>
        <v>4.09</v>
      </c>
      <c r="P640" s="112">
        <f>(I640*J640*O640)+L640</f>
        <v>98.16</v>
      </c>
      <c r="Q640" s="104" t="str">
        <f t="shared" si="54"/>
        <v/>
      </c>
      <c r="R640" s="104" t="str">
        <f t="shared" si="55"/>
        <v/>
      </c>
      <c r="S640" s="104">
        <f t="shared" si="56"/>
        <v>98.16</v>
      </c>
      <c r="T640" s="104" t="str">
        <f t="shared" si="57"/>
        <v/>
      </c>
      <c r="U640" s="104" t="str">
        <f t="shared" si="58"/>
        <v/>
      </c>
      <c r="V640" s="104" t="str">
        <f t="shared" si="59"/>
        <v/>
      </c>
      <c r="W640" s="105"/>
    </row>
    <row r="641" spans="1:23">
      <c r="A641" s="92"/>
      <c r="B641" s="121" t="s">
        <v>343</v>
      </c>
      <c r="C641" s="107"/>
      <c r="D641" s="117"/>
      <c r="E641" s="117"/>
      <c r="F641" s="118"/>
      <c r="G641" s="108"/>
      <c r="H641" s="98"/>
      <c r="I641" s="99"/>
      <c r="J641" s="101"/>
      <c r="K641" s="109"/>
      <c r="L641" s="110"/>
      <c r="M641" s="111"/>
      <c r="N641" s="99"/>
      <c r="O641" s="112"/>
      <c r="P641" s="112"/>
      <c r="Q641" s="104" t="str">
        <f t="shared" si="54"/>
        <v/>
      </c>
      <c r="R641" s="104" t="str">
        <f t="shared" si="55"/>
        <v/>
      </c>
      <c r="S641" s="104" t="str">
        <f t="shared" si="56"/>
        <v/>
      </c>
      <c r="T641" s="104" t="str">
        <f t="shared" si="57"/>
        <v/>
      </c>
      <c r="U641" s="104" t="str">
        <f t="shared" si="58"/>
        <v/>
      </c>
      <c r="V641" s="104" t="str">
        <f t="shared" si="59"/>
        <v/>
      </c>
      <c r="W641" s="105"/>
    </row>
    <row r="642" spans="1:23">
      <c r="A642" s="92"/>
      <c r="B642" s="123"/>
      <c r="C642" s="107"/>
      <c r="D642" s="117"/>
      <c r="E642" s="117"/>
      <c r="F642" s="118"/>
      <c r="G642" s="108"/>
      <c r="H642" s="98"/>
      <c r="I642" s="99"/>
      <c r="J642" s="101"/>
      <c r="K642" s="109"/>
      <c r="L642" s="110"/>
      <c r="M642" s="111"/>
      <c r="N642" s="99"/>
      <c r="O642" s="112"/>
      <c r="P642" s="112"/>
      <c r="Q642" s="104" t="str">
        <f t="shared" si="54"/>
        <v/>
      </c>
      <c r="R642" s="104" t="str">
        <f t="shared" si="55"/>
        <v/>
      </c>
      <c r="S642" s="104" t="str">
        <f t="shared" si="56"/>
        <v/>
      </c>
      <c r="T642" s="104" t="str">
        <f t="shared" si="57"/>
        <v/>
      </c>
      <c r="U642" s="104" t="str">
        <f t="shared" si="58"/>
        <v/>
      </c>
      <c r="V642" s="104" t="str">
        <f t="shared" si="59"/>
        <v/>
      </c>
      <c r="W642" s="105"/>
    </row>
    <row r="643" spans="1:23" ht="15" customHeight="1">
      <c r="A643" s="92">
        <v>10</v>
      </c>
      <c r="B643" s="121" t="s">
        <v>429</v>
      </c>
      <c r="C643" s="122"/>
      <c r="D643" s="797">
        <v>3.8</v>
      </c>
      <c r="E643" s="797"/>
      <c r="F643" s="118"/>
      <c r="G643" s="108">
        <v>0.25</v>
      </c>
      <c r="H643" s="98">
        <v>10</v>
      </c>
      <c r="I643" s="99">
        <v>1</v>
      </c>
      <c r="J643" s="101">
        <f>ROUND(4.09/G643+1,0)</f>
        <v>17</v>
      </c>
      <c r="K643" s="109">
        <f>D643</f>
        <v>3.8</v>
      </c>
      <c r="L643" s="110" t="str">
        <f>IF(O643&lt;12,"0",0.049*H643)</f>
        <v>0</v>
      </c>
      <c r="M643" s="111">
        <v>0</v>
      </c>
      <c r="N643" s="99">
        <f>M643*2*H643/1000</f>
        <v>0</v>
      </c>
      <c r="O643" s="112">
        <f>(D643)-N643</f>
        <v>3.8</v>
      </c>
      <c r="P643" s="112">
        <f>(I643*J643*O643)+L643</f>
        <v>64.599999999999994</v>
      </c>
      <c r="Q643" s="104" t="str">
        <f t="shared" si="54"/>
        <v/>
      </c>
      <c r="R643" s="104">
        <f t="shared" si="55"/>
        <v>64.599999999999994</v>
      </c>
      <c r="S643" s="104" t="str">
        <f t="shared" si="56"/>
        <v/>
      </c>
      <c r="T643" s="104" t="str">
        <f t="shared" si="57"/>
        <v/>
      </c>
      <c r="U643" s="104" t="str">
        <f t="shared" si="58"/>
        <v/>
      </c>
      <c r="V643" s="104" t="str">
        <f t="shared" si="59"/>
        <v/>
      </c>
      <c r="W643" s="105"/>
    </row>
    <row r="644" spans="1:23">
      <c r="A644" s="92"/>
      <c r="B644" s="121" t="s">
        <v>343</v>
      </c>
      <c r="C644" s="107"/>
      <c r="D644" s="117"/>
      <c r="E644" s="117"/>
      <c r="F644" s="118"/>
      <c r="G644" s="108"/>
      <c r="H644" s="98"/>
      <c r="I644" s="99"/>
      <c r="J644" s="101"/>
      <c r="K644" s="109"/>
      <c r="L644" s="110"/>
      <c r="M644" s="111"/>
      <c r="N644" s="99"/>
      <c r="O644" s="112"/>
      <c r="P644" s="112"/>
      <c r="Q644" s="104" t="str">
        <f t="shared" si="54"/>
        <v/>
      </c>
      <c r="R644" s="104" t="str">
        <f t="shared" si="55"/>
        <v/>
      </c>
      <c r="S644" s="104" t="str">
        <f t="shared" si="56"/>
        <v/>
      </c>
      <c r="T644" s="104" t="str">
        <f t="shared" si="57"/>
        <v/>
      </c>
      <c r="U644" s="104" t="str">
        <f t="shared" si="58"/>
        <v/>
      </c>
      <c r="V644" s="104" t="str">
        <f t="shared" si="59"/>
        <v/>
      </c>
      <c r="W644" s="105"/>
    </row>
    <row r="645" spans="1:23">
      <c r="A645" s="92"/>
      <c r="B645" s="123"/>
      <c r="C645" s="107"/>
      <c r="D645" s="117"/>
      <c r="E645" s="117"/>
      <c r="F645" s="118"/>
      <c r="G645" s="108"/>
      <c r="H645" s="98"/>
      <c r="I645" s="99"/>
      <c r="J645" s="101"/>
      <c r="K645" s="109"/>
      <c r="L645" s="110"/>
      <c r="M645" s="111"/>
      <c r="N645" s="99"/>
      <c r="O645" s="112"/>
      <c r="P645" s="112"/>
      <c r="Q645" s="104" t="str">
        <f t="shared" si="54"/>
        <v/>
      </c>
      <c r="R645" s="104" t="str">
        <f t="shared" si="55"/>
        <v/>
      </c>
      <c r="S645" s="104" t="str">
        <f t="shared" si="56"/>
        <v/>
      </c>
      <c r="T645" s="104" t="str">
        <f t="shared" si="57"/>
        <v/>
      </c>
      <c r="U645" s="104" t="str">
        <f t="shared" si="58"/>
        <v/>
      </c>
      <c r="V645" s="104" t="str">
        <f t="shared" si="59"/>
        <v/>
      </c>
      <c r="W645" s="105"/>
    </row>
    <row r="646" spans="1:23" ht="15" customHeight="1">
      <c r="A646" s="92">
        <v>11</v>
      </c>
      <c r="B646" s="121" t="s">
        <v>428</v>
      </c>
      <c r="C646" s="122"/>
      <c r="D646" s="797">
        <v>3.8</v>
      </c>
      <c r="E646" s="797"/>
      <c r="F646" s="118"/>
      <c r="G646" s="108">
        <v>0.25</v>
      </c>
      <c r="H646" s="98">
        <v>10</v>
      </c>
      <c r="I646" s="99">
        <v>1</v>
      </c>
      <c r="J646" s="101">
        <f>ROUND(5.7/G646+1,0)</f>
        <v>24</v>
      </c>
      <c r="K646" s="109">
        <f>D646</f>
        <v>3.8</v>
      </c>
      <c r="L646" s="110" t="str">
        <f>IF(O646&lt;12,"0",0.049*H646)</f>
        <v>0</v>
      </c>
      <c r="M646" s="111">
        <v>0</v>
      </c>
      <c r="N646" s="99">
        <f>M646*2*H646/1000</f>
        <v>0</v>
      </c>
      <c r="O646" s="112">
        <f>(D646)-N646</f>
        <v>3.8</v>
      </c>
      <c r="P646" s="112">
        <f>(I646*J646*O646)+L646</f>
        <v>91.199999999999989</v>
      </c>
      <c r="Q646" s="104" t="str">
        <f t="shared" si="54"/>
        <v/>
      </c>
      <c r="R646" s="104">
        <f t="shared" si="55"/>
        <v>91.199999999999989</v>
      </c>
      <c r="S646" s="104" t="str">
        <f t="shared" si="56"/>
        <v/>
      </c>
      <c r="T646" s="104" t="str">
        <f t="shared" si="57"/>
        <v/>
      </c>
      <c r="U646" s="104" t="str">
        <f t="shared" si="58"/>
        <v/>
      </c>
      <c r="V646" s="104" t="str">
        <f t="shared" si="59"/>
        <v/>
      </c>
      <c r="W646" s="105"/>
    </row>
    <row r="647" spans="1:23">
      <c r="A647" s="92"/>
      <c r="B647" s="121" t="s">
        <v>344</v>
      </c>
      <c r="C647" s="107"/>
      <c r="D647" s="117"/>
      <c r="E647" s="117"/>
      <c r="F647" s="118"/>
      <c r="G647" s="108"/>
      <c r="H647" s="98"/>
      <c r="I647" s="99"/>
      <c r="J647" s="101"/>
      <c r="K647" s="109"/>
      <c r="L647" s="110"/>
      <c r="M647" s="111"/>
      <c r="N647" s="99"/>
      <c r="O647" s="112"/>
      <c r="P647" s="112"/>
      <c r="Q647" s="104" t="str">
        <f t="shared" si="54"/>
        <v/>
      </c>
      <c r="R647" s="104" t="str">
        <f t="shared" si="55"/>
        <v/>
      </c>
      <c r="S647" s="104" t="str">
        <f t="shared" si="56"/>
        <v/>
      </c>
      <c r="T647" s="104" t="str">
        <f t="shared" si="57"/>
        <v/>
      </c>
      <c r="U647" s="104" t="str">
        <f t="shared" si="58"/>
        <v/>
      </c>
      <c r="V647" s="104" t="str">
        <f t="shared" si="59"/>
        <v/>
      </c>
      <c r="W647" s="105"/>
    </row>
    <row r="648" spans="1:23">
      <c r="A648" s="92"/>
      <c r="B648" s="123"/>
      <c r="C648" s="107"/>
      <c r="D648" s="117"/>
      <c r="E648" s="117"/>
      <c r="F648" s="118"/>
      <c r="G648" s="108"/>
      <c r="H648" s="98"/>
      <c r="I648" s="99"/>
      <c r="J648" s="101"/>
      <c r="K648" s="109"/>
      <c r="L648" s="110"/>
      <c r="M648" s="111"/>
      <c r="N648" s="99"/>
      <c r="O648" s="112"/>
      <c r="P648" s="112"/>
      <c r="Q648" s="104" t="str">
        <f t="shared" si="54"/>
        <v/>
      </c>
      <c r="R648" s="104" t="str">
        <f t="shared" si="55"/>
        <v/>
      </c>
      <c r="S648" s="104" t="str">
        <f t="shared" si="56"/>
        <v/>
      </c>
      <c r="T648" s="104" t="str">
        <f t="shared" si="57"/>
        <v/>
      </c>
      <c r="U648" s="104" t="str">
        <f t="shared" si="58"/>
        <v/>
      </c>
      <c r="V648" s="104" t="str">
        <f t="shared" si="59"/>
        <v/>
      </c>
      <c r="W648" s="105"/>
    </row>
    <row r="649" spans="1:23" ht="15" customHeight="1">
      <c r="A649" s="92">
        <v>12</v>
      </c>
      <c r="B649" s="121" t="s">
        <v>429</v>
      </c>
      <c r="C649" s="122"/>
      <c r="D649" s="797">
        <v>5.7</v>
      </c>
      <c r="E649" s="797"/>
      <c r="F649" s="118"/>
      <c r="G649" s="108">
        <v>0.25</v>
      </c>
      <c r="H649" s="98">
        <v>20</v>
      </c>
      <c r="I649" s="99">
        <v>1</v>
      </c>
      <c r="J649" s="101">
        <f>ROUND(5.8/G649+1,0)</f>
        <v>24</v>
      </c>
      <c r="K649" s="109">
        <f>D649</f>
        <v>5.7</v>
      </c>
      <c r="L649" s="110" t="str">
        <f>IF(O649&lt;12,"0",0.049*H649)</f>
        <v>0</v>
      </c>
      <c r="M649" s="111">
        <v>0</v>
      </c>
      <c r="N649" s="99">
        <f>M649*2*H649/1000</f>
        <v>0</v>
      </c>
      <c r="O649" s="112">
        <f>(D649)-N649</f>
        <v>5.7</v>
      </c>
      <c r="P649" s="112">
        <f>(I649*J649*O649)+L649</f>
        <v>136.80000000000001</v>
      </c>
      <c r="Q649" s="104" t="str">
        <f t="shared" si="54"/>
        <v/>
      </c>
      <c r="R649" s="104" t="str">
        <f t="shared" si="55"/>
        <v/>
      </c>
      <c r="S649" s="104" t="str">
        <f t="shared" si="56"/>
        <v/>
      </c>
      <c r="T649" s="104" t="str">
        <f t="shared" si="57"/>
        <v/>
      </c>
      <c r="U649" s="104">
        <f t="shared" si="58"/>
        <v>136.80000000000001</v>
      </c>
      <c r="V649" s="104" t="str">
        <f t="shared" si="59"/>
        <v/>
      </c>
      <c r="W649" s="105"/>
    </row>
    <row r="650" spans="1:23">
      <c r="A650" s="92"/>
      <c r="B650" s="121" t="s">
        <v>344</v>
      </c>
      <c r="C650" s="107"/>
      <c r="D650" s="117"/>
      <c r="E650" s="117"/>
      <c r="F650" s="118"/>
      <c r="G650" s="108"/>
      <c r="H650" s="98"/>
      <c r="I650" s="99"/>
      <c r="J650" s="101"/>
      <c r="K650" s="109"/>
      <c r="L650" s="110"/>
      <c r="M650" s="111"/>
      <c r="N650" s="99"/>
      <c r="O650" s="112"/>
      <c r="P650" s="112"/>
      <c r="Q650" s="104" t="str">
        <f t="shared" si="54"/>
        <v/>
      </c>
      <c r="R650" s="104" t="str">
        <f t="shared" si="55"/>
        <v/>
      </c>
      <c r="S650" s="104" t="str">
        <f t="shared" si="56"/>
        <v/>
      </c>
      <c r="T650" s="104" t="str">
        <f t="shared" si="57"/>
        <v/>
      </c>
      <c r="U650" s="104" t="str">
        <f t="shared" si="58"/>
        <v/>
      </c>
      <c r="V650" s="104" t="str">
        <f t="shared" si="59"/>
        <v/>
      </c>
      <c r="W650" s="105"/>
    </row>
    <row r="651" spans="1:23">
      <c r="A651" s="92"/>
      <c r="B651" s="123"/>
      <c r="C651" s="107"/>
      <c r="D651" s="117"/>
      <c r="E651" s="117"/>
      <c r="F651" s="118"/>
      <c r="G651" s="108"/>
      <c r="H651" s="98"/>
      <c r="I651" s="99"/>
      <c r="J651" s="101"/>
      <c r="K651" s="109"/>
      <c r="L651" s="110"/>
      <c r="M651" s="111"/>
      <c r="N651" s="99"/>
      <c r="O651" s="112"/>
      <c r="P651" s="112"/>
      <c r="Q651" s="104" t="str">
        <f t="shared" si="54"/>
        <v/>
      </c>
      <c r="R651" s="104" t="str">
        <f t="shared" si="55"/>
        <v/>
      </c>
      <c r="S651" s="104" t="str">
        <f t="shared" si="56"/>
        <v/>
      </c>
      <c r="T651" s="104" t="str">
        <f t="shared" si="57"/>
        <v/>
      </c>
      <c r="U651" s="104" t="str">
        <f t="shared" si="58"/>
        <v/>
      </c>
      <c r="V651" s="104" t="str">
        <f t="shared" si="59"/>
        <v/>
      </c>
      <c r="W651" s="105"/>
    </row>
    <row r="652" spans="1:23" ht="15" customHeight="1">
      <c r="A652" s="92">
        <v>13</v>
      </c>
      <c r="B652" s="121" t="s">
        <v>429</v>
      </c>
      <c r="C652" s="122"/>
      <c r="D652" s="797">
        <v>5.7</v>
      </c>
      <c r="E652" s="797"/>
      <c r="F652" s="118"/>
      <c r="G652" s="108">
        <v>0.25</v>
      </c>
      <c r="H652" s="98">
        <v>16</v>
      </c>
      <c r="I652" s="99">
        <v>1</v>
      </c>
      <c r="J652" s="101">
        <f>ROUND(2.25/G652+1,0)</f>
        <v>10</v>
      </c>
      <c r="K652" s="109">
        <f>D652</f>
        <v>5.7</v>
      </c>
      <c r="L652" s="110" t="str">
        <f>IF(O652&lt;12,"0",0.049*H652)</f>
        <v>0</v>
      </c>
      <c r="M652" s="111">
        <v>0</v>
      </c>
      <c r="N652" s="99">
        <f>M652*2*H652/1000</f>
        <v>0</v>
      </c>
      <c r="O652" s="112">
        <f>(D652)-N652</f>
        <v>5.7</v>
      </c>
      <c r="P652" s="112">
        <f>(I652*J652*O652)+L652</f>
        <v>57</v>
      </c>
      <c r="Q652" s="104" t="str">
        <f t="shared" si="54"/>
        <v/>
      </c>
      <c r="R652" s="104" t="str">
        <f t="shared" si="55"/>
        <v/>
      </c>
      <c r="S652" s="104" t="str">
        <f t="shared" si="56"/>
        <v/>
      </c>
      <c r="T652" s="104">
        <f t="shared" si="57"/>
        <v>57</v>
      </c>
      <c r="U652" s="104" t="str">
        <f t="shared" si="58"/>
        <v/>
      </c>
      <c r="V652" s="104" t="str">
        <f t="shared" si="59"/>
        <v/>
      </c>
      <c r="W652" s="105"/>
    </row>
    <row r="653" spans="1:23">
      <c r="A653" s="92"/>
      <c r="B653" s="121" t="s">
        <v>344</v>
      </c>
      <c r="C653" s="107"/>
      <c r="D653" s="117"/>
      <c r="E653" s="117"/>
      <c r="F653" s="118"/>
      <c r="G653" s="108"/>
      <c r="H653" s="98"/>
      <c r="I653" s="99"/>
      <c r="J653" s="101"/>
      <c r="K653" s="109"/>
      <c r="L653" s="110"/>
      <c r="M653" s="111"/>
      <c r="N653" s="99"/>
      <c r="O653" s="112"/>
      <c r="P653" s="112"/>
      <c r="Q653" s="104" t="str">
        <f t="shared" si="54"/>
        <v/>
      </c>
      <c r="R653" s="104" t="str">
        <f t="shared" si="55"/>
        <v/>
      </c>
      <c r="S653" s="104" t="str">
        <f t="shared" si="56"/>
        <v/>
      </c>
      <c r="T653" s="104" t="str">
        <f t="shared" si="57"/>
        <v/>
      </c>
      <c r="U653" s="104" t="str">
        <f t="shared" si="58"/>
        <v/>
      </c>
      <c r="V653" s="104" t="str">
        <f t="shared" si="59"/>
        <v/>
      </c>
      <c r="W653" s="105"/>
    </row>
    <row r="654" spans="1:23">
      <c r="A654" s="92"/>
      <c r="B654" s="123"/>
      <c r="C654" s="107"/>
      <c r="D654" s="117"/>
      <c r="E654" s="117"/>
      <c r="F654" s="118"/>
      <c r="G654" s="108"/>
      <c r="H654" s="98"/>
      <c r="I654" s="99"/>
      <c r="J654" s="101"/>
      <c r="K654" s="109"/>
      <c r="L654" s="110"/>
      <c r="M654" s="111"/>
      <c r="N654" s="99"/>
      <c r="O654" s="112"/>
      <c r="P654" s="112"/>
      <c r="Q654" s="104" t="str">
        <f t="shared" si="54"/>
        <v/>
      </c>
      <c r="R654" s="104" t="str">
        <f t="shared" si="55"/>
        <v/>
      </c>
      <c r="S654" s="104" t="str">
        <f t="shared" si="56"/>
        <v/>
      </c>
      <c r="T654" s="104" t="str">
        <f t="shared" si="57"/>
        <v/>
      </c>
      <c r="U654" s="104" t="str">
        <f t="shared" si="58"/>
        <v/>
      </c>
      <c r="V654" s="104" t="str">
        <f t="shared" si="59"/>
        <v/>
      </c>
      <c r="W654" s="105"/>
    </row>
    <row r="655" spans="1:23" ht="15" customHeight="1">
      <c r="A655" s="92">
        <v>14</v>
      </c>
      <c r="B655" s="121" t="s">
        <v>428</v>
      </c>
      <c r="C655" s="122"/>
      <c r="D655" s="797">
        <v>2.5150000000000001</v>
      </c>
      <c r="E655" s="797"/>
      <c r="F655" s="118"/>
      <c r="G655" s="108">
        <v>0.25</v>
      </c>
      <c r="H655" s="98">
        <v>12</v>
      </c>
      <c r="I655" s="99">
        <v>1</v>
      </c>
      <c r="J655" s="101">
        <f>ROUND(4.06/G655+1,0)</f>
        <v>17</v>
      </c>
      <c r="K655" s="109">
        <f>D655</f>
        <v>2.5150000000000001</v>
      </c>
      <c r="L655" s="110" t="str">
        <f>IF(O655&lt;12,"0",0.049*H655)</f>
        <v>0</v>
      </c>
      <c r="M655" s="111">
        <v>0</v>
      </c>
      <c r="N655" s="99">
        <f>M655*2*H655/1000</f>
        <v>0</v>
      </c>
      <c r="O655" s="112">
        <f>(D655)-N655</f>
        <v>2.5150000000000001</v>
      </c>
      <c r="P655" s="112">
        <f>(I655*J655*O655)+L655</f>
        <v>42.755000000000003</v>
      </c>
      <c r="Q655" s="104" t="str">
        <f t="shared" si="54"/>
        <v/>
      </c>
      <c r="R655" s="104" t="str">
        <f t="shared" si="55"/>
        <v/>
      </c>
      <c r="S655" s="104">
        <f t="shared" si="56"/>
        <v>42.755000000000003</v>
      </c>
      <c r="T655" s="104" t="str">
        <f t="shared" si="57"/>
        <v/>
      </c>
      <c r="U655" s="104" t="str">
        <f t="shared" si="58"/>
        <v/>
      </c>
      <c r="V655" s="104" t="str">
        <f t="shared" si="59"/>
        <v/>
      </c>
      <c r="W655" s="105"/>
    </row>
    <row r="656" spans="1:23">
      <c r="A656" s="92"/>
      <c r="B656" s="121" t="s">
        <v>345</v>
      </c>
      <c r="C656" s="107"/>
      <c r="D656" s="117"/>
      <c r="E656" s="117"/>
      <c r="F656" s="118"/>
      <c r="G656" s="108"/>
      <c r="H656" s="98"/>
      <c r="I656" s="99"/>
      <c r="J656" s="101"/>
      <c r="K656" s="109"/>
      <c r="L656" s="110"/>
      <c r="M656" s="111"/>
      <c r="N656" s="99"/>
      <c r="O656" s="112"/>
      <c r="P656" s="112"/>
      <c r="Q656" s="104" t="str">
        <f t="shared" si="54"/>
        <v/>
      </c>
      <c r="R656" s="104" t="str">
        <f t="shared" si="55"/>
        <v/>
      </c>
      <c r="S656" s="104" t="str">
        <f t="shared" si="56"/>
        <v/>
      </c>
      <c r="T656" s="104" t="str">
        <f t="shared" si="57"/>
        <v/>
      </c>
      <c r="U656" s="104" t="str">
        <f t="shared" si="58"/>
        <v/>
      </c>
      <c r="V656" s="104" t="str">
        <f t="shared" si="59"/>
        <v/>
      </c>
      <c r="W656" s="105"/>
    </row>
    <row r="657" spans="1:23">
      <c r="A657" s="92"/>
      <c r="B657" s="123"/>
      <c r="C657" s="107"/>
      <c r="D657" s="117"/>
      <c r="E657" s="117"/>
      <c r="F657" s="118"/>
      <c r="G657" s="108"/>
      <c r="H657" s="98"/>
      <c r="I657" s="99"/>
      <c r="J657" s="101"/>
      <c r="K657" s="109"/>
      <c r="L657" s="110"/>
      <c r="M657" s="111"/>
      <c r="N657" s="99"/>
      <c r="O657" s="112"/>
      <c r="P657" s="112"/>
      <c r="Q657" s="104" t="str">
        <f t="shared" si="54"/>
        <v/>
      </c>
      <c r="R657" s="104" t="str">
        <f t="shared" si="55"/>
        <v/>
      </c>
      <c r="S657" s="104" t="str">
        <f t="shared" si="56"/>
        <v/>
      </c>
      <c r="T657" s="104" t="str">
        <f t="shared" si="57"/>
        <v/>
      </c>
      <c r="U657" s="104" t="str">
        <f t="shared" si="58"/>
        <v/>
      </c>
      <c r="V657" s="104" t="str">
        <f t="shared" si="59"/>
        <v/>
      </c>
      <c r="W657" s="105"/>
    </row>
    <row r="658" spans="1:23" ht="15" customHeight="1">
      <c r="A658" s="92">
        <v>15</v>
      </c>
      <c r="B658" s="121" t="s">
        <v>428</v>
      </c>
      <c r="C658" s="122"/>
      <c r="D658" s="797">
        <v>4.1900000000000004</v>
      </c>
      <c r="E658" s="797"/>
      <c r="F658" s="118"/>
      <c r="G658" s="108">
        <v>0.25</v>
      </c>
      <c r="H658" s="98">
        <v>12</v>
      </c>
      <c r="I658" s="99">
        <v>1</v>
      </c>
      <c r="J658" s="101">
        <f>ROUND(2.56/G658+1,0)</f>
        <v>11</v>
      </c>
      <c r="K658" s="109">
        <f>D658</f>
        <v>4.1900000000000004</v>
      </c>
      <c r="L658" s="110" t="str">
        <f>IF(O658&lt;12,"0",0.049*H658)</f>
        <v>0</v>
      </c>
      <c r="M658" s="111">
        <v>0</v>
      </c>
      <c r="N658" s="99">
        <f>M658*2*H658/1000</f>
        <v>0</v>
      </c>
      <c r="O658" s="112">
        <f>(D658)-N658</f>
        <v>4.1900000000000004</v>
      </c>
      <c r="P658" s="112">
        <f>(I658*J658*O658)+L658</f>
        <v>46.09</v>
      </c>
      <c r="Q658" s="104" t="str">
        <f t="shared" si="54"/>
        <v/>
      </c>
      <c r="R658" s="104" t="str">
        <f t="shared" si="55"/>
        <v/>
      </c>
      <c r="S658" s="104">
        <f t="shared" si="56"/>
        <v>46.09</v>
      </c>
      <c r="T658" s="104" t="str">
        <f t="shared" si="57"/>
        <v/>
      </c>
      <c r="U658" s="104" t="str">
        <f t="shared" si="58"/>
        <v/>
      </c>
      <c r="V658" s="104" t="str">
        <f t="shared" si="59"/>
        <v/>
      </c>
      <c r="W658" s="105"/>
    </row>
    <row r="659" spans="1:23">
      <c r="A659" s="92"/>
      <c r="B659" s="121" t="s">
        <v>346</v>
      </c>
      <c r="C659" s="107"/>
      <c r="D659" s="117"/>
      <c r="E659" s="117"/>
      <c r="F659" s="118"/>
      <c r="G659" s="108"/>
      <c r="H659" s="98"/>
      <c r="I659" s="99"/>
      <c r="J659" s="101"/>
      <c r="K659" s="109"/>
      <c r="L659" s="110"/>
      <c r="M659" s="111"/>
      <c r="N659" s="99"/>
      <c r="O659" s="112"/>
      <c r="P659" s="112"/>
      <c r="Q659" s="104" t="str">
        <f t="shared" si="54"/>
        <v/>
      </c>
      <c r="R659" s="104" t="str">
        <f t="shared" si="55"/>
        <v/>
      </c>
      <c r="S659" s="104" t="str">
        <f t="shared" si="56"/>
        <v/>
      </c>
      <c r="T659" s="104" t="str">
        <f t="shared" si="57"/>
        <v/>
      </c>
      <c r="U659" s="104" t="str">
        <f t="shared" si="58"/>
        <v/>
      </c>
      <c r="V659" s="104" t="str">
        <f t="shared" si="59"/>
        <v/>
      </c>
      <c r="W659" s="105"/>
    </row>
    <row r="660" spans="1:23">
      <c r="A660" s="92"/>
      <c r="B660" s="123"/>
      <c r="C660" s="107"/>
      <c r="D660" s="117"/>
      <c r="E660" s="117"/>
      <c r="F660" s="118"/>
      <c r="G660" s="108"/>
      <c r="H660" s="98"/>
      <c r="I660" s="99"/>
      <c r="J660" s="101"/>
      <c r="K660" s="109"/>
      <c r="L660" s="110"/>
      <c r="M660" s="111"/>
      <c r="N660" s="99"/>
      <c r="O660" s="112"/>
      <c r="P660" s="112"/>
      <c r="Q660" s="104" t="str">
        <f t="shared" si="54"/>
        <v/>
      </c>
      <c r="R660" s="104" t="str">
        <f t="shared" si="55"/>
        <v/>
      </c>
      <c r="S660" s="104" t="str">
        <f t="shared" si="56"/>
        <v/>
      </c>
      <c r="T660" s="104" t="str">
        <f t="shared" si="57"/>
        <v/>
      </c>
      <c r="U660" s="104" t="str">
        <f t="shared" si="58"/>
        <v/>
      </c>
      <c r="V660" s="104" t="str">
        <f t="shared" si="59"/>
        <v/>
      </c>
      <c r="W660" s="105"/>
    </row>
    <row r="661" spans="1:23" ht="15" customHeight="1">
      <c r="A661" s="92">
        <v>16</v>
      </c>
      <c r="B661" s="121" t="s">
        <v>428</v>
      </c>
      <c r="C661" s="122"/>
      <c r="D661" s="797">
        <v>7.71</v>
      </c>
      <c r="E661" s="797"/>
      <c r="F661" s="118"/>
      <c r="G661" s="108">
        <v>0.25</v>
      </c>
      <c r="H661" s="98">
        <v>12</v>
      </c>
      <c r="I661" s="99">
        <v>1</v>
      </c>
      <c r="J661" s="101">
        <f>ROUND(2.635/G661+1,0)</f>
        <v>12</v>
      </c>
      <c r="K661" s="109">
        <f>D661</f>
        <v>7.71</v>
      </c>
      <c r="L661" s="110" t="str">
        <f>IF(O661&lt;12,"0",0.049*H661)</f>
        <v>0</v>
      </c>
      <c r="M661" s="111">
        <v>0</v>
      </c>
      <c r="N661" s="99">
        <f>M661*2*H661/1000</f>
        <v>0</v>
      </c>
      <c r="O661" s="112">
        <f>(D661)-N661</f>
        <v>7.71</v>
      </c>
      <c r="P661" s="112">
        <f>(I661*J661*O661)+L661</f>
        <v>92.52</v>
      </c>
      <c r="Q661" s="104" t="str">
        <f t="shared" si="54"/>
        <v/>
      </c>
      <c r="R661" s="104" t="str">
        <f t="shared" si="55"/>
        <v/>
      </c>
      <c r="S661" s="104">
        <f t="shared" si="56"/>
        <v>92.52</v>
      </c>
      <c r="T661" s="104" t="str">
        <f t="shared" si="57"/>
        <v/>
      </c>
      <c r="U661" s="104" t="str">
        <f t="shared" si="58"/>
        <v/>
      </c>
      <c r="V661" s="104" t="str">
        <f t="shared" si="59"/>
        <v/>
      </c>
      <c r="W661" s="105"/>
    </row>
    <row r="662" spans="1:23">
      <c r="A662" s="92"/>
      <c r="B662" s="121" t="s">
        <v>347</v>
      </c>
      <c r="C662" s="107"/>
      <c r="D662" s="117"/>
      <c r="E662" s="117"/>
      <c r="F662" s="118"/>
      <c r="G662" s="108"/>
      <c r="H662" s="98"/>
      <c r="I662" s="99"/>
      <c r="J662" s="101"/>
      <c r="K662" s="109"/>
      <c r="L662" s="110"/>
      <c r="M662" s="111"/>
      <c r="N662" s="99"/>
      <c r="O662" s="112"/>
      <c r="P662" s="112"/>
      <c r="Q662" s="104" t="str">
        <f t="shared" si="54"/>
        <v/>
      </c>
      <c r="R662" s="104" t="str">
        <f t="shared" si="55"/>
        <v/>
      </c>
      <c r="S662" s="104" t="str">
        <f t="shared" si="56"/>
        <v/>
      </c>
      <c r="T662" s="104" t="str">
        <f t="shared" si="57"/>
        <v/>
      </c>
      <c r="U662" s="104" t="str">
        <f t="shared" si="58"/>
        <v/>
      </c>
      <c r="V662" s="104" t="str">
        <f t="shared" si="59"/>
        <v/>
      </c>
      <c r="W662" s="105"/>
    </row>
    <row r="663" spans="1:23">
      <c r="A663" s="92"/>
      <c r="B663" s="123"/>
      <c r="C663" s="107"/>
      <c r="D663" s="117"/>
      <c r="E663" s="117"/>
      <c r="F663" s="118"/>
      <c r="G663" s="108"/>
      <c r="H663" s="98"/>
      <c r="I663" s="99"/>
      <c r="J663" s="101"/>
      <c r="K663" s="109"/>
      <c r="L663" s="110"/>
      <c r="M663" s="111"/>
      <c r="N663" s="99"/>
      <c r="O663" s="112"/>
      <c r="P663" s="112"/>
      <c r="Q663" s="104" t="str">
        <f t="shared" si="54"/>
        <v/>
      </c>
      <c r="R663" s="104" t="str">
        <f t="shared" si="55"/>
        <v/>
      </c>
      <c r="S663" s="104" t="str">
        <f t="shared" si="56"/>
        <v/>
      </c>
      <c r="T663" s="104" t="str">
        <f t="shared" si="57"/>
        <v/>
      </c>
      <c r="U663" s="104" t="str">
        <f t="shared" si="58"/>
        <v/>
      </c>
      <c r="V663" s="104" t="str">
        <f t="shared" si="59"/>
        <v/>
      </c>
      <c r="W663" s="105"/>
    </row>
    <row r="664" spans="1:23" ht="15" customHeight="1">
      <c r="A664" s="92">
        <v>17</v>
      </c>
      <c r="B664" s="121" t="s">
        <v>428</v>
      </c>
      <c r="C664" s="122"/>
      <c r="D664" s="797">
        <v>2.7850000000000001</v>
      </c>
      <c r="E664" s="797"/>
      <c r="F664" s="118"/>
      <c r="G664" s="108">
        <v>0.25</v>
      </c>
      <c r="H664" s="98">
        <v>12</v>
      </c>
      <c r="I664" s="99">
        <v>1</v>
      </c>
      <c r="J664" s="101">
        <f>ROUND(2.615/G664+1,0)</f>
        <v>11</v>
      </c>
      <c r="K664" s="109">
        <f>D664</f>
        <v>2.7850000000000001</v>
      </c>
      <c r="L664" s="110" t="str">
        <f>IF(O664&lt;12,"0",0.049*H664)</f>
        <v>0</v>
      </c>
      <c r="M664" s="111">
        <v>0</v>
      </c>
      <c r="N664" s="99">
        <f>M664*2*H664/1000</f>
        <v>0</v>
      </c>
      <c r="O664" s="112">
        <f>(D664)-N664</f>
        <v>2.7850000000000001</v>
      </c>
      <c r="P664" s="112">
        <f>(I664*J664*O664)+L664</f>
        <v>30.635000000000002</v>
      </c>
      <c r="Q664" s="104" t="str">
        <f t="shared" si="54"/>
        <v/>
      </c>
      <c r="R664" s="104" t="str">
        <f t="shared" si="55"/>
        <v/>
      </c>
      <c r="S664" s="104">
        <f t="shared" si="56"/>
        <v>30.635000000000002</v>
      </c>
      <c r="T664" s="104" t="str">
        <f t="shared" si="57"/>
        <v/>
      </c>
      <c r="U664" s="104" t="str">
        <f t="shared" si="58"/>
        <v/>
      </c>
      <c r="V664" s="104" t="str">
        <f t="shared" si="59"/>
        <v/>
      </c>
      <c r="W664" s="105"/>
    </row>
    <row r="665" spans="1:23">
      <c r="A665" s="92"/>
      <c r="B665" s="121" t="s">
        <v>348</v>
      </c>
      <c r="C665" s="107"/>
      <c r="D665" s="117"/>
      <c r="E665" s="117"/>
      <c r="F665" s="118"/>
      <c r="G665" s="108"/>
      <c r="H665" s="98"/>
      <c r="I665" s="99"/>
      <c r="J665" s="101"/>
      <c r="K665" s="109"/>
      <c r="L665" s="110"/>
      <c r="M665" s="111"/>
      <c r="N665" s="99"/>
      <c r="O665" s="112"/>
      <c r="P665" s="112"/>
      <c r="Q665" s="104" t="str">
        <f t="shared" si="54"/>
        <v/>
      </c>
      <c r="R665" s="104" t="str">
        <f t="shared" si="55"/>
        <v/>
      </c>
      <c r="S665" s="104" t="str">
        <f t="shared" si="56"/>
        <v/>
      </c>
      <c r="T665" s="104" t="str">
        <f t="shared" si="57"/>
        <v/>
      </c>
      <c r="U665" s="104" t="str">
        <f t="shared" si="58"/>
        <v/>
      </c>
      <c r="V665" s="104" t="str">
        <f t="shared" si="59"/>
        <v/>
      </c>
      <c r="W665" s="105"/>
    </row>
    <row r="666" spans="1:23">
      <c r="A666" s="92"/>
      <c r="B666" s="123"/>
      <c r="C666" s="107"/>
      <c r="D666" s="117"/>
      <c r="E666" s="117"/>
      <c r="F666" s="118"/>
      <c r="G666" s="108"/>
      <c r="H666" s="98"/>
      <c r="I666" s="99"/>
      <c r="J666" s="101"/>
      <c r="K666" s="109"/>
      <c r="L666" s="110"/>
      <c r="M666" s="111"/>
      <c r="N666" s="99"/>
      <c r="O666" s="112"/>
      <c r="P666" s="112"/>
      <c r="Q666" s="104" t="str">
        <f t="shared" si="54"/>
        <v/>
      </c>
      <c r="R666" s="104" t="str">
        <f t="shared" si="55"/>
        <v/>
      </c>
      <c r="S666" s="104" t="str">
        <f t="shared" si="56"/>
        <v/>
      </c>
      <c r="T666" s="104" t="str">
        <f t="shared" si="57"/>
        <v/>
      </c>
      <c r="U666" s="104" t="str">
        <f t="shared" si="58"/>
        <v/>
      </c>
      <c r="V666" s="104" t="str">
        <f t="shared" si="59"/>
        <v/>
      </c>
      <c r="W666" s="105"/>
    </row>
    <row r="667" spans="1:23" ht="15" customHeight="1">
      <c r="A667" s="92">
        <v>18</v>
      </c>
      <c r="B667" s="121" t="s">
        <v>429</v>
      </c>
      <c r="C667" s="122"/>
      <c r="D667" s="797">
        <v>2.6150000000000002</v>
      </c>
      <c r="E667" s="797"/>
      <c r="F667" s="118"/>
      <c r="G667" s="108">
        <v>0.25</v>
      </c>
      <c r="H667" s="98">
        <v>20</v>
      </c>
      <c r="I667" s="99">
        <v>1</v>
      </c>
      <c r="J667" s="101">
        <f>ROUND(2.785/G667+1,0)</f>
        <v>12</v>
      </c>
      <c r="K667" s="109">
        <f>D667</f>
        <v>2.6150000000000002</v>
      </c>
      <c r="L667" s="110" t="str">
        <f>IF(O667&lt;12,"0",0.049*H667)</f>
        <v>0</v>
      </c>
      <c r="M667" s="111">
        <v>0</v>
      </c>
      <c r="N667" s="99">
        <f>M667*2*H667/1000</f>
        <v>0</v>
      </c>
      <c r="O667" s="112">
        <f>(D667)-N667</f>
        <v>2.6150000000000002</v>
      </c>
      <c r="P667" s="112">
        <f>(I667*J667*O667)+L667</f>
        <v>31.380000000000003</v>
      </c>
      <c r="Q667" s="104" t="str">
        <f t="shared" si="54"/>
        <v/>
      </c>
      <c r="R667" s="104" t="str">
        <f t="shared" si="55"/>
        <v/>
      </c>
      <c r="S667" s="104" t="str">
        <f t="shared" si="56"/>
        <v/>
      </c>
      <c r="T667" s="104" t="str">
        <f t="shared" si="57"/>
        <v/>
      </c>
      <c r="U667" s="104">
        <f t="shared" si="58"/>
        <v>31.380000000000003</v>
      </c>
      <c r="V667" s="104" t="str">
        <f t="shared" si="59"/>
        <v/>
      </c>
      <c r="W667" s="105"/>
    </row>
    <row r="668" spans="1:23">
      <c r="A668" s="92"/>
      <c r="B668" s="121" t="s">
        <v>348</v>
      </c>
      <c r="C668" s="107"/>
      <c r="D668" s="117"/>
      <c r="E668" s="117"/>
      <c r="F668" s="118"/>
      <c r="G668" s="108"/>
      <c r="H668" s="98"/>
      <c r="I668" s="99"/>
      <c r="J668" s="101"/>
      <c r="K668" s="109"/>
      <c r="L668" s="110"/>
      <c r="M668" s="111"/>
      <c r="N668" s="99"/>
      <c r="O668" s="112"/>
      <c r="P668" s="112"/>
      <c r="Q668" s="104" t="str">
        <f t="shared" si="54"/>
        <v/>
      </c>
      <c r="R668" s="104" t="str">
        <f t="shared" si="55"/>
        <v/>
      </c>
      <c r="S668" s="104" t="str">
        <f t="shared" si="56"/>
        <v/>
      </c>
      <c r="T668" s="104" t="str">
        <f t="shared" si="57"/>
        <v/>
      </c>
      <c r="U668" s="104" t="str">
        <f t="shared" si="58"/>
        <v/>
      </c>
      <c r="V668" s="104" t="str">
        <f t="shared" si="59"/>
        <v/>
      </c>
      <c r="W668" s="105"/>
    </row>
    <row r="669" spans="1:23">
      <c r="A669" s="92"/>
      <c r="B669" s="123"/>
      <c r="C669" s="107"/>
      <c r="D669" s="117"/>
      <c r="E669" s="117"/>
      <c r="F669" s="118"/>
      <c r="G669" s="108"/>
      <c r="H669" s="98"/>
      <c r="I669" s="99"/>
      <c r="J669" s="101"/>
      <c r="K669" s="109"/>
      <c r="L669" s="110"/>
      <c r="M669" s="111"/>
      <c r="N669" s="99"/>
      <c r="O669" s="112"/>
      <c r="P669" s="112"/>
      <c r="Q669" s="104" t="str">
        <f t="shared" si="54"/>
        <v/>
      </c>
      <c r="R669" s="104" t="str">
        <f t="shared" si="55"/>
        <v/>
      </c>
      <c r="S669" s="104" t="str">
        <f t="shared" si="56"/>
        <v/>
      </c>
      <c r="T669" s="104" t="str">
        <f t="shared" si="57"/>
        <v/>
      </c>
      <c r="U669" s="104" t="str">
        <f t="shared" si="58"/>
        <v/>
      </c>
      <c r="V669" s="104" t="str">
        <f t="shared" si="59"/>
        <v/>
      </c>
      <c r="W669" s="105"/>
    </row>
    <row r="670" spans="1:23" ht="15" customHeight="1">
      <c r="A670" s="92">
        <v>19</v>
      </c>
      <c r="B670" s="121" t="s">
        <v>428</v>
      </c>
      <c r="C670" s="122"/>
      <c r="D670" s="797">
        <v>4.12</v>
      </c>
      <c r="E670" s="797"/>
      <c r="F670" s="118"/>
      <c r="G670" s="108">
        <v>0.25</v>
      </c>
      <c r="H670" s="98">
        <v>20</v>
      </c>
      <c r="I670" s="99">
        <v>1</v>
      </c>
      <c r="J670" s="101">
        <f>ROUND(8.23/G670+1,0)</f>
        <v>34</v>
      </c>
      <c r="K670" s="109">
        <f>D670</f>
        <v>4.12</v>
      </c>
      <c r="L670" s="110" t="str">
        <f>IF(O670&lt;12,"0",0.049*H670)</f>
        <v>0</v>
      </c>
      <c r="M670" s="111">
        <v>0</v>
      </c>
      <c r="N670" s="99">
        <f>M670*2*H670/1000</f>
        <v>0</v>
      </c>
      <c r="O670" s="112">
        <f>(D670)-N670</f>
        <v>4.12</v>
      </c>
      <c r="P670" s="112">
        <f>(I670*J670*O670)+L670</f>
        <v>140.08000000000001</v>
      </c>
      <c r="Q670" s="104" t="str">
        <f t="shared" si="54"/>
        <v/>
      </c>
      <c r="R670" s="104" t="str">
        <f t="shared" si="55"/>
        <v/>
      </c>
      <c r="S670" s="104" t="str">
        <f t="shared" si="56"/>
        <v/>
      </c>
      <c r="T670" s="104" t="str">
        <f t="shared" si="57"/>
        <v/>
      </c>
      <c r="U670" s="104">
        <f t="shared" si="58"/>
        <v>140.08000000000001</v>
      </c>
      <c r="V670" s="104" t="str">
        <f t="shared" si="59"/>
        <v/>
      </c>
      <c r="W670" s="105"/>
    </row>
    <row r="671" spans="1:23">
      <c r="A671" s="92"/>
      <c r="B671" s="121" t="s">
        <v>349</v>
      </c>
      <c r="C671" s="107"/>
      <c r="D671" s="117"/>
      <c r="E671" s="117"/>
      <c r="F671" s="118"/>
      <c r="G671" s="108"/>
      <c r="H671" s="98"/>
      <c r="I671" s="99"/>
      <c r="J671" s="101"/>
      <c r="K671" s="109"/>
      <c r="L671" s="110"/>
      <c r="M671" s="111"/>
      <c r="N671" s="99"/>
      <c r="O671" s="112"/>
      <c r="P671" s="112"/>
      <c r="Q671" s="104" t="str">
        <f t="shared" si="54"/>
        <v/>
      </c>
      <c r="R671" s="104" t="str">
        <f t="shared" si="55"/>
        <v/>
      </c>
      <c r="S671" s="104" t="str">
        <f t="shared" si="56"/>
        <v/>
      </c>
      <c r="T671" s="104" t="str">
        <f t="shared" si="57"/>
        <v/>
      </c>
      <c r="U671" s="104" t="str">
        <f t="shared" si="58"/>
        <v/>
      </c>
      <c r="V671" s="104" t="str">
        <f t="shared" si="59"/>
        <v/>
      </c>
      <c r="W671" s="105"/>
    </row>
    <row r="672" spans="1:23">
      <c r="A672" s="92"/>
      <c r="B672" s="123"/>
      <c r="C672" s="107"/>
      <c r="D672" s="117"/>
      <c r="E672" s="117"/>
      <c r="F672" s="118"/>
      <c r="G672" s="108"/>
      <c r="H672" s="98"/>
      <c r="I672" s="99"/>
      <c r="J672" s="101"/>
      <c r="K672" s="109"/>
      <c r="L672" s="110"/>
      <c r="M672" s="111"/>
      <c r="N672" s="99"/>
      <c r="O672" s="112"/>
      <c r="P672" s="112"/>
      <c r="Q672" s="104" t="str">
        <f t="shared" si="54"/>
        <v/>
      </c>
      <c r="R672" s="104" t="str">
        <f t="shared" si="55"/>
        <v/>
      </c>
      <c r="S672" s="104" t="str">
        <f t="shared" si="56"/>
        <v/>
      </c>
      <c r="T672" s="104" t="str">
        <f t="shared" si="57"/>
        <v/>
      </c>
      <c r="U672" s="104" t="str">
        <f t="shared" si="58"/>
        <v/>
      </c>
      <c r="V672" s="104" t="str">
        <f t="shared" si="59"/>
        <v/>
      </c>
      <c r="W672" s="105"/>
    </row>
    <row r="673" spans="1:23" ht="15" customHeight="1">
      <c r="A673" s="92">
        <v>20</v>
      </c>
      <c r="B673" s="121" t="s">
        <v>429</v>
      </c>
      <c r="C673" s="122"/>
      <c r="D673" s="797">
        <v>3.12</v>
      </c>
      <c r="E673" s="797"/>
      <c r="F673" s="118"/>
      <c r="G673" s="108">
        <v>0.25</v>
      </c>
      <c r="H673" s="98">
        <v>20</v>
      </c>
      <c r="I673" s="99">
        <v>1</v>
      </c>
      <c r="J673" s="101">
        <f>ROUND(3.165/G673+1,0)</f>
        <v>14</v>
      </c>
      <c r="K673" s="109">
        <f>D673</f>
        <v>3.12</v>
      </c>
      <c r="L673" s="110" t="str">
        <f>IF(O673&lt;12,"0",0.049*H673)</f>
        <v>0</v>
      </c>
      <c r="M673" s="111">
        <v>0</v>
      </c>
      <c r="N673" s="99">
        <f>M673*2*H673/1000</f>
        <v>0</v>
      </c>
      <c r="O673" s="112">
        <f>(D673)-N673</f>
        <v>3.12</v>
      </c>
      <c r="P673" s="112">
        <f>(I673*J673*O673)+L673</f>
        <v>43.68</v>
      </c>
      <c r="Q673" s="104" t="str">
        <f t="shared" si="54"/>
        <v/>
      </c>
      <c r="R673" s="104" t="str">
        <f t="shared" si="55"/>
        <v/>
      </c>
      <c r="S673" s="104" t="str">
        <f t="shared" si="56"/>
        <v/>
      </c>
      <c r="T673" s="104" t="str">
        <f t="shared" si="57"/>
        <v/>
      </c>
      <c r="U673" s="104">
        <f t="shared" si="58"/>
        <v>43.68</v>
      </c>
      <c r="V673" s="104" t="str">
        <f t="shared" si="59"/>
        <v/>
      </c>
      <c r="W673" s="105"/>
    </row>
    <row r="674" spans="1:23">
      <c r="A674" s="92"/>
      <c r="B674" s="121" t="s">
        <v>350</v>
      </c>
      <c r="C674" s="107"/>
      <c r="D674" s="117"/>
      <c r="E674" s="117"/>
      <c r="F674" s="118"/>
      <c r="G674" s="108"/>
      <c r="H674" s="98"/>
      <c r="I674" s="99"/>
      <c r="J674" s="101"/>
      <c r="K674" s="109"/>
      <c r="L674" s="110"/>
      <c r="M674" s="111"/>
      <c r="N674" s="99"/>
      <c r="O674" s="112"/>
      <c r="P674" s="112"/>
      <c r="Q674" s="104" t="str">
        <f t="shared" si="54"/>
        <v/>
      </c>
      <c r="R674" s="104" t="str">
        <f t="shared" si="55"/>
        <v/>
      </c>
      <c r="S674" s="104" t="str">
        <f t="shared" si="56"/>
        <v/>
      </c>
      <c r="T674" s="104" t="str">
        <f t="shared" si="57"/>
        <v/>
      </c>
      <c r="U674" s="104" t="str">
        <f t="shared" si="58"/>
        <v/>
      </c>
      <c r="V674" s="104" t="str">
        <f t="shared" si="59"/>
        <v/>
      </c>
      <c r="W674" s="105"/>
    </row>
    <row r="675" spans="1:23">
      <c r="A675" s="92"/>
      <c r="B675" s="123"/>
      <c r="C675" s="107"/>
      <c r="D675" s="117"/>
      <c r="E675" s="117"/>
      <c r="F675" s="118"/>
      <c r="G675" s="108"/>
      <c r="H675" s="98"/>
      <c r="I675" s="99"/>
      <c r="J675" s="101"/>
      <c r="K675" s="109"/>
      <c r="L675" s="110"/>
      <c r="M675" s="111"/>
      <c r="N675" s="99"/>
      <c r="O675" s="112"/>
      <c r="P675" s="112"/>
      <c r="Q675" s="104" t="str">
        <f t="shared" si="54"/>
        <v/>
      </c>
      <c r="R675" s="104" t="str">
        <f t="shared" si="55"/>
        <v/>
      </c>
      <c r="S675" s="104" t="str">
        <f t="shared" si="56"/>
        <v/>
      </c>
      <c r="T675" s="104" t="str">
        <f t="shared" si="57"/>
        <v/>
      </c>
      <c r="U675" s="104" t="str">
        <f t="shared" si="58"/>
        <v/>
      </c>
      <c r="V675" s="104" t="str">
        <f t="shared" si="59"/>
        <v/>
      </c>
      <c r="W675" s="105"/>
    </row>
    <row r="676" spans="1:23" ht="15" customHeight="1">
      <c r="A676" s="92">
        <v>21</v>
      </c>
      <c r="B676" s="121" t="s">
        <v>429</v>
      </c>
      <c r="C676" s="122"/>
      <c r="D676" s="797">
        <v>2.92</v>
      </c>
      <c r="E676" s="797"/>
      <c r="F676" s="118"/>
      <c r="G676" s="108">
        <v>0.25</v>
      </c>
      <c r="H676" s="98">
        <v>16</v>
      </c>
      <c r="I676" s="99">
        <v>1</v>
      </c>
      <c r="J676" s="101">
        <f>ROUND(5.47/G676+1,0)</f>
        <v>23</v>
      </c>
      <c r="K676" s="109">
        <f>D676</f>
        <v>2.92</v>
      </c>
      <c r="L676" s="110" t="str">
        <f>IF(O676&lt;12,"0",0.049*H676)</f>
        <v>0</v>
      </c>
      <c r="M676" s="111">
        <v>0</v>
      </c>
      <c r="N676" s="99">
        <f>M676*2*H676/1000</f>
        <v>0</v>
      </c>
      <c r="O676" s="112">
        <f>(D676)-N676</f>
        <v>2.92</v>
      </c>
      <c r="P676" s="112">
        <f>(I676*J676*O676)+L676</f>
        <v>67.16</v>
      </c>
      <c r="Q676" s="104" t="str">
        <f t="shared" si="54"/>
        <v/>
      </c>
      <c r="R676" s="104" t="str">
        <f t="shared" si="55"/>
        <v/>
      </c>
      <c r="S676" s="104" t="str">
        <f t="shared" si="56"/>
        <v/>
      </c>
      <c r="T676" s="104">
        <f t="shared" si="57"/>
        <v>67.16</v>
      </c>
      <c r="U676" s="104" t="str">
        <f t="shared" si="58"/>
        <v/>
      </c>
      <c r="V676" s="104" t="str">
        <f t="shared" si="59"/>
        <v/>
      </c>
      <c r="W676" s="105"/>
    </row>
    <row r="677" spans="1:23">
      <c r="A677" s="92"/>
      <c r="B677" s="121" t="s">
        <v>350</v>
      </c>
      <c r="C677" s="107"/>
      <c r="D677" s="117"/>
      <c r="E677" s="117"/>
      <c r="F677" s="118"/>
      <c r="G677" s="108"/>
      <c r="H677" s="98"/>
      <c r="I677" s="99"/>
      <c r="J677" s="101"/>
      <c r="K677" s="109"/>
      <c r="L677" s="110"/>
      <c r="M677" s="111"/>
      <c r="N677" s="99"/>
      <c r="O677" s="112"/>
      <c r="P677" s="112"/>
      <c r="Q677" s="104" t="str">
        <f t="shared" si="54"/>
        <v/>
      </c>
      <c r="R677" s="104" t="str">
        <f t="shared" si="55"/>
        <v/>
      </c>
      <c r="S677" s="104" t="str">
        <f t="shared" si="56"/>
        <v/>
      </c>
      <c r="T677" s="104" t="str">
        <f t="shared" si="57"/>
        <v/>
      </c>
      <c r="U677" s="104" t="str">
        <f t="shared" si="58"/>
        <v/>
      </c>
      <c r="V677" s="104" t="str">
        <f t="shared" si="59"/>
        <v/>
      </c>
      <c r="W677" s="105"/>
    </row>
    <row r="678" spans="1:23">
      <c r="A678" s="92"/>
      <c r="B678" s="123"/>
      <c r="C678" s="107"/>
      <c r="D678" s="117"/>
      <c r="E678" s="117"/>
      <c r="F678" s="118"/>
      <c r="G678" s="108"/>
      <c r="H678" s="98"/>
      <c r="I678" s="99"/>
      <c r="J678" s="101"/>
      <c r="K678" s="109"/>
      <c r="L678" s="110"/>
      <c r="M678" s="111"/>
      <c r="N678" s="99"/>
      <c r="O678" s="112"/>
      <c r="P678" s="112"/>
      <c r="Q678" s="104" t="str">
        <f t="shared" si="54"/>
        <v/>
      </c>
      <c r="R678" s="104" t="str">
        <f t="shared" si="55"/>
        <v/>
      </c>
      <c r="S678" s="104" t="str">
        <f t="shared" si="56"/>
        <v/>
      </c>
      <c r="T678" s="104" t="str">
        <f t="shared" si="57"/>
        <v/>
      </c>
      <c r="U678" s="104" t="str">
        <f t="shared" si="58"/>
        <v/>
      </c>
      <c r="V678" s="104" t="str">
        <f t="shared" si="59"/>
        <v/>
      </c>
      <c r="W678" s="105"/>
    </row>
    <row r="679" spans="1:23" ht="15" customHeight="1">
      <c r="A679" s="92">
        <v>22</v>
      </c>
      <c r="B679" s="121" t="s">
        <v>428</v>
      </c>
      <c r="C679" s="122"/>
      <c r="D679" s="797">
        <v>4.5449999999999999</v>
      </c>
      <c r="E679" s="797"/>
      <c r="F679" s="118"/>
      <c r="G679" s="108">
        <v>0.25</v>
      </c>
      <c r="H679" s="98">
        <v>16</v>
      </c>
      <c r="I679" s="99">
        <v>1</v>
      </c>
      <c r="J679" s="101">
        <f>ROUND(5/G679+1,0)</f>
        <v>21</v>
      </c>
      <c r="K679" s="109">
        <f>D679</f>
        <v>4.5449999999999999</v>
      </c>
      <c r="L679" s="110" t="str">
        <f>IF(O679&lt;12,"0",0.049*H679)</f>
        <v>0</v>
      </c>
      <c r="M679" s="111">
        <v>0</v>
      </c>
      <c r="N679" s="99">
        <f>M679*2*H679/1000</f>
        <v>0</v>
      </c>
      <c r="O679" s="112">
        <f>(D679)-N679</f>
        <v>4.5449999999999999</v>
      </c>
      <c r="P679" s="112">
        <f>(I679*J679*O679)+L679</f>
        <v>95.444999999999993</v>
      </c>
      <c r="Q679" s="104" t="str">
        <f t="shared" si="54"/>
        <v/>
      </c>
      <c r="R679" s="104" t="str">
        <f t="shared" si="55"/>
        <v/>
      </c>
      <c r="S679" s="104" t="str">
        <f t="shared" si="56"/>
        <v/>
      </c>
      <c r="T679" s="104">
        <f t="shared" si="57"/>
        <v>95.444999999999993</v>
      </c>
      <c r="U679" s="104" t="str">
        <f t="shared" si="58"/>
        <v/>
      </c>
      <c r="V679" s="104" t="str">
        <f t="shared" si="59"/>
        <v/>
      </c>
      <c r="W679" s="105"/>
    </row>
    <row r="680" spans="1:23">
      <c r="A680" s="92"/>
      <c r="B680" s="121" t="s">
        <v>351</v>
      </c>
      <c r="C680" s="107"/>
      <c r="D680" s="117"/>
      <c r="E680" s="117"/>
      <c r="F680" s="118"/>
      <c r="G680" s="108"/>
      <c r="H680" s="98"/>
      <c r="I680" s="99"/>
      <c r="J680" s="101"/>
      <c r="K680" s="109"/>
      <c r="L680" s="110"/>
      <c r="M680" s="111"/>
      <c r="N680" s="99"/>
      <c r="O680" s="112"/>
      <c r="P680" s="112"/>
      <c r="Q680" s="104" t="str">
        <f t="shared" si="54"/>
        <v/>
      </c>
      <c r="R680" s="104" t="str">
        <f t="shared" si="55"/>
        <v/>
      </c>
      <c r="S680" s="104" t="str">
        <f t="shared" si="56"/>
        <v/>
      </c>
      <c r="T680" s="104" t="str">
        <f t="shared" si="57"/>
        <v/>
      </c>
      <c r="U680" s="104" t="str">
        <f t="shared" si="58"/>
        <v/>
      </c>
      <c r="V680" s="104" t="str">
        <f t="shared" si="59"/>
        <v/>
      </c>
      <c r="W680" s="105"/>
    </row>
    <row r="681" spans="1:23">
      <c r="A681" s="92"/>
      <c r="B681" s="123"/>
      <c r="C681" s="107"/>
      <c r="D681" s="117"/>
      <c r="E681" s="117"/>
      <c r="F681" s="118"/>
      <c r="G681" s="108"/>
      <c r="H681" s="98"/>
      <c r="I681" s="99"/>
      <c r="J681" s="101"/>
      <c r="K681" s="109"/>
      <c r="L681" s="110"/>
      <c r="M681" s="111"/>
      <c r="N681" s="99"/>
      <c r="O681" s="112"/>
      <c r="P681" s="112"/>
      <c r="Q681" s="104" t="str">
        <f t="shared" si="54"/>
        <v/>
      </c>
      <c r="R681" s="104" t="str">
        <f t="shared" si="55"/>
        <v/>
      </c>
      <c r="S681" s="104" t="str">
        <f t="shared" si="56"/>
        <v/>
      </c>
      <c r="T681" s="104" t="str">
        <f t="shared" si="57"/>
        <v/>
      </c>
      <c r="U681" s="104" t="str">
        <f t="shared" si="58"/>
        <v/>
      </c>
      <c r="V681" s="104" t="str">
        <f t="shared" si="59"/>
        <v/>
      </c>
      <c r="W681" s="105"/>
    </row>
    <row r="682" spans="1:23" ht="15" customHeight="1">
      <c r="A682" s="92">
        <v>23</v>
      </c>
      <c r="B682" s="121" t="s">
        <v>429</v>
      </c>
      <c r="C682" s="122"/>
      <c r="D682" s="797">
        <v>5</v>
      </c>
      <c r="E682" s="797"/>
      <c r="F682" s="118"/>
      <c r="G682" s="108">
        <v>0.25</v>
      </c>
      <c r="H682" s="98">
        <v>16</v>
      </c>
      <c r="I682" s="99">
        <v>1</v>
      </c>
      <c r="J682" s="101">
        <f>ROUND(4.545/G682+1,0)</f>
        <v>19</v>
      </c>
      <c r="K682" s="109">
        <f>D682</f>
        <v>5</v>
      </c>
      <c r="L682" s="110" t="str">
        <f>IF(O682&lt;12,"0",0.049*H682)</f>
        <v>0</v>
      </c>
      <c r="M682" s="111">
        <v>0</v>
      </c>
      <c r="N682" s="99">
        <f>M682*2*H682/1000</f>
        <v>0</v>
      </c>
      <c r="O682" s="112">
        <f>(D682)-N682</f>
        <v>5</v>
      </c>
      <c r="P682" s="112">
        <f>(I682*J682*O682)+L682</f>
        <v>95</v>
      </c>
      <c r="Q682" s="104" t="str">
        <f t="shared" si="54"/>
        <v/>
      </c>
      <c r="R682" s="104" t="str">
        <f t="shared" si="55"/>
        <v/>
      </c>
      <c r="S682" s="104" t="str">
        <f t="shared" si="56"/>
        <v/>
      </c>
      <c r="T682" s="104">
        <f t="shared" si="57"/>
        <v>95</v>
      </c>
      <c r="U682" s="104" t="str">
        <f t="shared" si="58"/>
        <v/>
      </c>
      <c r="V682" s="104" t="str">
        <f t="shared" si="59"/>
        <v/>
      </c>
      <c r="W682" s="105"/>
    </row>
    <row r="683" spans="1:23">
      <c r="A683" s="92"/>
      <c r="B683" s="121" t="s">
        <v>351</v>
      </c>
      <c r="C683" s="107"/>
      <c r="D683" s="117"/>
      <c r="E683" s="117"/>
      <c r="F683" s="118"/>
      <c r="G683" s="108"/>
      <c r="H683" s="98"/>
      <c r="I683" s="99"/>
      <c r="J683" s="101"/>
      <c r="K683" s="109"/>
      <c r="L683" s="110"/>
      <c r="M683" s="111"/>
      <c r="N683" s="99"/>
      <c r="O683" s="112"/>
      <c r="P683" s="112"/>
      <c r="Q683" s="104" t="str">
        <f t="shared" si="54"/>
        <v/>
      </c>
      <c r="R683" s="104" t="str">
        <f t="shared" si="55"/>
        <v/>
      </c>
      <c r="S683" s="104" t="str">
        <f t="shared" si="56"/>
        <v/>
      </c>
      <c r="T683" s="104" t="str">
        <f t="shared" si="57"/>
        <v/>
      </c>
      <c r="U683" s="104" t="str">
        <f t="shared" si="58"/>
        <v/>
      </c>
      <c r="V683" s="104" t="str">
        <f t="shared" si="59"/>
        <v/>
      </c>
      <c r="W683" s="105"/>
    </row>
    <row r="684" spans="1:23">
      <c r="A684" s="92"/>
      <c r="B684" s="123"/>
      <c r="C684" s="107"/>
      <c r="D684" s="117"/>
      <c r="E684" s="117"/>
      <c r="F684" s="118"/>
      <c r="G684" s="108"/>
      <c r="H684" s="98"/>
      <c r="I684" s="99"/>
      <c r="J684" s="101"/>
      <c r="K684" s="109"/>
      <c r="L684" s="110"/>
      <c r="M684" s="111"/>
      <c r="N684" s="99"/>
      <c r="O684" s="112"/>
      <c r="P684" s="112"/>
      <c r="Q684" s="104" t="str">
        <f t="shared" si="54"/>
        <v/>
      </c>
      <c r="R684" s="104" t="str">
        <f t="shared" si="55"/>
        <v/>
      </c>
      <c r="S684" s="104" t="str">
        <f t="shared" si="56"/>
        <v/>
      </c>
      <c r="T684" s="104" t="str">
        <f t="shared" si="57"/>
        <v/>
      </c>
      <c r="U684" s="104" t="str">
        <f t="shared" si="58"/>
        <v/>
      </c>
      <c r="V684" s="104" t="str">
        <f t="shared" si="59"/>
        <v/>
      </c>
      <c r="W684" s="105"/>
    </row>
    <row r="685" spans="1:23" ht="15" customHeight="1">
      <c r="A685" s="92">
        <v>24</v>
      </c>
      <c r="B685" s="121" t="s">
        <v>428</v>
      </c>
      <c r="C685" s="122"/>
      <c r="D685" s="797">
        <v>5.24</v>
      </c>
      <c r="E685" s="797"/>
      <c r="F685" s="118"/>
      <c r="G685" s="108">
        <v>0.25</v>
      </c>
      <c r="H685" s="98">
        <v>16</v>
      </c>
      <c r="I685" s="99">
        <v>1</v>
      </c>
      <c r="J685" s="101">
        <f>ROUND(5.03/G685+1,0)</f>
        <v>21</v>
      </c>
      <c r="K685" s="109">
        <f>D685</f>
        <v>5.24</v>
      </c>
      <c r="L685" s="110" t="str">
        <f>IF(O685&lt;12,"0",0.049*H685)</f>
        <v>0</v>
      </c>
      <c r="M685" s="111">
        <v>0</v>
      </c>
      <c r="N685" s="99">
        <f>M685*2*H685/1000</f>
        <v>0</v>
      </c>
      <c r="O685" s="112">
        <f>(D685)-N685</f>
        <v>5.24</v>
      </c>
      <c r="P685" s="112">
        <f>(I685*J685*O685)+L685</f>
        <v>110.04</v>
      </c>
      <c r="Q685" s="104" t="str">
        <f t="shared" ref="Q685:Q748" si="60">IF($H685=8,$P685,"")</f>
        <v/>
      </c>
      <c r="R685" s="104" t="str">
        <f t="shared" ref="R685:R748" si="61">IF($H685=10,$P685,"")</f>
        <v/>
      </c>
      <c r="S685" s="104" t="str">
        <f t="shared" ref="S685:S748" si="62">IF($H685=12,$P685,"")</f>
        <v/>
      </c>
      <c r="T685" s="104">
        <f t="shared" ref="T685:T748" si="63">IF($H685=16,$P685,"")</f>
        <v>110.04</v>
      </c>
      <c r="U685" s="104" t="str">
        <f t="shared" ref="U685:U748" si="64">IF($H685=20,$P685,"")</f>
        <v/>
      </c>
      <c r="V685" s="104" t="str">
        <f t="shared" ref="V685:V748" si="65">IF($H685=25,$P685,"")</f>
        <v/>
      </c>
      <c r="W685" s="105"/>
    </row>
    <row r="686" spans="1:23">
      <c r="A686" s="92"/>
      <c r="B686" s="121" t="s">
        <v>352</v>
      </c>
      <c r="C686" s="107"/>
      <c r="D686" s="117"/>
      <c r="E686" s="117"/>
      <c r="F686" s="118"/>
      <c r="G686" s="108"/>
      <c r="H686" s="98"/>
      <c r="I686" s="99"/>
      <c r="J686" s="101"/>
      <c r="K686" s="109"/>
      <c r="L686" s="110"/>
      <c r="M686" s="111"/>
      <c r="N686" s="99"/>
      <c r="O686" s="112"/>
      <c r="P686" s="112"/>
      <c r="Q686" s="104" t="str">
        <f t="shared" si="60"/>
        <v/>
      </c>
      <c r="R686" s="104" t="str">
        <f t="shared" si="61"/>
        <v/>
      </c>
      <c r="S686" s="104" t="str">
        <f t="shared" si="62"/>
        <v/>
      </c>
      <c r="T686" s="104" t="str">
        <f t="shared" si="63"/>
        <v/>
      </c>
      <c r="U686" s="104" t="str">
        <f t="shared" si="64"/>
        <v/>
      </c>
      <c r="V686" s="104" t="str">
        <f t="shared" si="65"/>
        <v/>
      </c>
      <c r="W686" s="105"/>
    </row>
    <row r="687" spans="1:23">
      <c r="A687" s="92"/>
      <c r="B687" s="123"/>
      <c r="C687" s="107"/>
      <c r="D687" s="117"/>
      <c r="E687" s="117"/>
      <c r="F687" s="118"/>
      <c r="G687" s="108"/>
      <c r="H687" s="98"/>
      <c r="I687" s="99"/>
      <c r="J687" s="101"/>
      <c r="K687" s="109"/>
      <c r="L687" s="110"/>
      <c r="M687" s="111"/>
      <c r="N687" s="99"/>
      <c r="O687" s="112"/>
      <c r="P687" s="112"/>
      <c r="Q687" s="104" t="str">
        <f t="shared" si="60"/>
        <v/>
      </c>
      <c r="R687" s="104" t="str">
        <f t="shared" si="61"/>
        <v/>
      </c>
      <c r="S687" s="104" t="str">
        <f t="shared" si="62"/>
        <v/>
      </c>
      <c r="T687" s="104" t="str">
        <f t="shared" si="63"/>
        <v/>
      </c>
      <c r="U687" s="104" t="str">
        <f t="shared" si="64"/>
        <v/>
      </c>
      <c r="V687" s="104" t="str">
        <f t="shared" si="65"/>
        <v/>
      </c>
      <c r="W687" s="105"/>
    </row>
    <row r="688" spans="1:23" ht="15" customHeight="1">
      <c r="A688" s="92">
        <v>25</v>
      </c>
      <c r="B688" s="121" t="s">
        <v>429</v>
      </c>
      <c r="C688" s="122"/>
      <c r="D688" s="797">
        <v>2.54</v>
      </c>
      <c r="E688" s="797"/>
      <c r="F688" s="118"/>
      <c r="G688" s="108">
        <v>0.25</v>
      </c>
      <c r="H688" s="98">
        <v>12</v>
      </c>
      <c r="I688" s="99">
        <v>1</v>
      </c>
      <c r="J688" s="101">
        <f>ROUND(4.305/G688+1,0)</f>
        <v>18</v>
      </c>
      <c r="K688" s="109">
        <f>D688</f>
        <v>2.54</v>
      </c>
      <c r="L688" s="110" t="str">
        <f>IF(O688&lt;12,"0",0.049*H688)</f>
        <v>0</v>
      </c>
      <c r="M688" s="111">
        <v>0</v>
      </c>
      <c r="N688" s="99">
        <f>M688*2*H688/1000</f>
        <v>0</v>
      </c>
      <c r="O688" s="112">
        <f>(D688)-N688</f>
        <v>2.54</v>
      </c>
      <c r="P688" s="112">
        <f>(I688*J688*O688)+L688</f>
        <v>45.72</v>
      </c>
      <c r="Q688" s="104" t="str">
        <f t="shared" si="60"/>
        <v/>
      </c>
      <c r="R688" s="104" t="str">
        <f t="shared" si="61"/>
        <v/>
      </c>
      <c r="S688" s="104">
        <f t="shared" si="62"/>
        <v>45.72</v>
      </c>
      <c r="T688" s="104" t="str">
        <f t="shared" si="63"/>
        <v/>
      </c>
      <c r="U688" s="104" t="str">
        <f t="shared" si="64"/>
        <v/>
      </c>
      <c r="V688" s="104" t="str">
        <f t="shared" si="65"/>
        <v/>
      </c>
      <c r="W688" s="105"/>
    </row>
    <row r="689" spans="1:23">
      <c r="A689" s="92"/>
      <c r="B689" s="121" t="s">
        <v>353</v>
      </c>
      <c r="C689" s="107"/>
      <c r="D689" s="117"/>
      <c r="E689" s="117"/>
      <c r="F689" s="118"/>
      <c r="G689" s="108"/>
      <c r="H689" s="98"/>
      <c r="I689" s="99"/>
      <c r="J689" s="101"/>
      <c r="K689" s="109"/>
      <c r="L689" s="110"/>
      <c r="M689" s="111"/>
      <c r="N689" s="99"/>
      <c r="O689" s="112"/>
      <c r="P689" s="112"/>
      <c r="Q689" s="104" t="str">
        <f t="shared" si="60"/>
        <v/>
      </c>
      <c r="R689" s="104" t="str">
        <f t="shared" si="61"/>
        <v/>
      </c>
      <c r="S689" s="104" t="str">
        <f t="shared" si="62"/>
        <v/>
      </c>
      <c r="T689" s="104" t="str">
        <f t="shared" si="63"/>
        <v/>
      </c>
      <c r="U689" s="104" t="str">
        <f t="shared" si="64"/>
        <v/>
      </c>
      <c r="V689" s="104" t="str">
        <f t="shared" si="65"/>
        <v/>
      </c>
      <c r="W689" s="105"/>
    </row>
    <row r="690" spans="1:23">
      <c r="A690" s="92"/>
      <c r="B690" s="123"/>
      <c r="C690" s="107"/>
      <c r="D690" s="117"/>
      <c r="E690" s="117"/>
      <c r="F690" s="118"/>
      <c r="G690" s="108"/>
      <c r="H690" s="98"/>
      <c r="I690" s="99"/>
      <c r="J690" s="101"/>
      <c r="K690" s="109"/>
      <c r="L690" s="110"/>
      <c r="M690" s="111"/>
      <c r="N690" s="99"/>
      <c r="O690" s="112"/>
      <c r="P690" s="112"/>
      <c r="Q690" s="104" t="str">
        <f t="shared" si="60"/>
        <v/>
      </c>
      <c r="R690" s="104" t="str">
        <f t="shared" si="61"/>
        <v/>
      </c>
      <c r="S690" s="104" t="str">
        <f t="shared" si="62"/>
        <v/>
      </c>
      <c r="T690" s="104" t="str">
        <f t="shared" si="63"/>
        <v/>
      </c>
      <c r="U690" s="104" t="str">
        <f t="shared" si="64"/>
        <v/>
      </c>
      <c r="V690" s="104" t="str">
        <f t="shared" si="65"/>
        <v/>
      </c>
      <c r="W690" s="105"/>
    </row>
    <row r="691" spans="1:23" ht="15" customHeight="1">
      <c r="A691" s="92">
        <v>26</v>
      </c>
      <c r="B691" s="121" t="s">
        <v>429</v>
      </c>
      <c r="C691" s="122"/>
      <c r="D691" s="797">
        <v>4.375</v>
      </c>
      <c r="E691" s="797"/>
      <c r="F691" s="118"/>
      <c r="G691" s="108">
        <v>0.25</v>
      </c>
      <c r="H691" s="98">
        <v>10</v>
      </c>
      <c r="I691" s="99">
        <v>1</v>
      </c>
      <c r="J691" s="101">
        <f>ROUND(2.83/G691+1,0)</f>
        <v>12</v>
      </c>
      <c r="K691" s="109">
        <f>D691</f>
        <v>4.375</v>
      </c>
      <c r="L691" s="110" t="str">
        <f>IF(O691&lt;12,"0",0.049*H691)</f>
        <v>0</v>
      </c>
      <c r="M691" s="111">
        <v>0</v>
      </c>
      <c r="N691" s="99">
        <f>M691*2*H691/1000</f>
        <v>0</v>
      </c>
      <c r="O691" s="112">
        <f>(D691)-N691</f>
        <v>4.375</v>
      </c>
      <c r="P691" s="112">
        <f>(I691*J691*O691)+L691</f>
        <v>52.5</v>
      </c>
      <c r="Q691" s="104" t="str">
        <f t="shared" si="60"/>
        <v/>
      </c>
      <c r="R691" s="104">
        <f t="shared" si="61"/>
        <v>52.5</v>
      </c>
      <c r="S691" s="104" t="str">
        <f t="shared" si="62"/>
        <v/>
      </c>
      <c r="T691" s="104" t="str">
        <f t="shared" si="63"/>
        <v/>
      </c>
      <c r="U691" s="104" t="str">
        <f t="shared" si="64"/>
        <v/>
      </c>
      <c r="V691" s="104" t="str">
        <f t="shared" si="65"/>
        <v/>
      </c>
      <c r="W691" s="105"/>
    </row>
    <row r="692" spans="1:23">
      <c r="A692" s="92"/>
      <c r="B692" s="121" t="s">
        <v>354</v>
      </c>
      <c r="C692" s="107"/>
      <c r="D692" s="117"/>
      <c r="E692" s="117"/>
      <c r="F692" s="118"/>
      <c r="G692" s="108"/>
      <c r="H692" s="98"/>
      <c r="I692" s="99"/>
      <c r="J692" s="101"/>
      <c r="K692" s="109"/>
      <c r="L692" s="110"/>
      <c r="M692" s="111"/>
      <c r="N692" s="99"/>
      <c r="O692" s="112"/>
      <c r="P692" s="112"/>
      <c r="Q692" s="104" t="str">
        <f t="shared" si="60"/>
        <v/>
      </c>
      <c r="R692" s="104" t="str">
        <f t="shared" si="61"/>
        <v/>
      </c>
      <c r="S692" s="104" t="str">
        <f t="shared" si="62"/>
        <v/>
      </c>
      <c r="T692" s="104" t="str">
        <f t="shared" si="63"/>
        <v/>
      </c>
      <c r="U692" s="104" t="str">
        <f t="shared" si="64"/>
        <v/>
      </c>
      <c r="V692" s="104" t="str">
        <f t="shared" si="65"/>
        <v/>
      </c>
      <c r="W692" s="105"/>
    </row>
    <row r="693" spans="1:23">
      <c r="A693" s="92"/>
      <c r="B693" s="123"/>
      <c r="C693" s="107"/>
      <c r="D693" s="117"/>
      <c r="E693" s="117"/>
      <c r="F693" s="118"/>
      <c r="G693" s="108"/>
      <c r="H693" s="98"/>
      <c r="I693" s="99"/>
      <c r="J693" s="101"/>
      <c r="K693" s="109"/>
      <c r="L693" s="110"/>
      <c r="M693" s="111"/>
      <c r="N693" s="99"/>
      <c r="O693" s="112"/>
      <c r="P693" s="112"/>
      <c r="Q693" s="104" t="str">
        <f t="shared" si="60"/>
        <v/>
      </c>
      <c r="R693" s="104" t="str">
        <f t="shared" si="61"/>
        <v/>
      </c>
      <c r="S693" s="104" t="str">
        <f t="shared" si="62"/>
        <v/>
      </c>
      <c r="T693" s="104" t="str">
        <f t="shared" si="63"/>
        <v/>
      </c>
      <c r="U693" s="104" t="str">
        <f t="shared" si="64"/>
        <v/>
      </c>
      <c r="V693" s="104" t="str">
        <f t="shared" si="65"/>
        <v/>
      </c>
      <c r="W693" s="105"/>
    </row>
    <row r="694" spans="1:23" ht="15" customHeight="1">
      <c r="A694" s="92">
        <v>27</v>
      </c>
      <c r="B694" s="121" t="s">
        <v>429</v>
      </c>
      <c r="C694" s="122"/>
      <c r="D694" s="797">
        <v>3.64</v>
      </c>
      <c r="E694" s="797"/>
      <c r="F694" s="118"/>
      <c r="G694" s="108">
        <v>0.25</v>
      </c>
      <c r="H694" s="98">
        <v>10</v>
      </c>
      <c r="I694" s="99">
        <v>1</v>
      </c>
      <c r="J694" s="101">
        <f>ROUND(15.8/G694+1,0)</f>
        <v>64</v>
      </c>
      <c r="K694" s="109">
        <f>D694</f>
        <v>3.64</v>
      </c>
      <c r="L694" s="110" t="str">
        <f>IF(O694&lt;12,"0",0.049*H694)</f>
        <v>0</v>
      </c>
      <c r="M694" s="111">
        <v>0</v>
      </c>
      <c r="N694" s="99">
        <f>M694*2*H694/1000</f>
        <v>0</v>
      </c>
      <c r="O694" s="112">
        <f>(D694)-N694</f>
        <v>3.64</v>
      </c>
      <c r="P694" s="112">
        <f>(I694*J694*O694)+L694</f>
        <v>232.96</v>
      </c>
      <c r="Q694" s="104" t="str">
        <f t="shared" si="60"/>
        <v/>
      </c>
      <c r="R694" s="104">
        <f t="shared" si="61"/>
        <v>232.96</v>
      </c>
      <c r="S694" s="104" t="str">
        <f t="shared" si="62"/>
        <v/>
      </c>
      <c r="T694" s="104" t="str">
        <f t="shared" si="63"/>
        <v/>
      </c>
      <c r="U694" s="104" t="str">
        <f t="shared" si="64"/>
        <v/>
      </c>
      <c r="V694" s="104" t="str">
        <f t="shared" si="65"/>
        <v/>
      </c>
      <c r="W694" s="105"/>
    </row>
    <row r="695" spans="1:23">
      <c r="A695" s="92"/>
      <c r="B695" s="121" t="s">
        <v>355</v>
      </c>
      <c r="C695" s="107"/>
      <c r="D695" s="117"/>
      <c r="E695" s="117"/>
      <c r="F695" s="118"/>
      <c r="G695" s="108"/>
      <c r="H695" s="98"/>
      <c r="I695" s="99"/>
      <c r="J695" s="101"/>
      <c r="K695" s="109"/>
      <c r="L695" s="110"/>
      <c r="M695" s="111"/>
      <c r="N695" s="99"/>
      <c r="O695" s="112"/>
      <c r="P695" s="112"/>
      <c r="Q695" s="104" t="str">
        <f t="shared" si="60"/>
        <v/>
      </c>
      <c r="R695" s="104" t="str">
        <f t="shared" si="61"/>
        <v/>
      </c>
      <c r="S695" s="104" t="str">
        <f t="shared" si="62"/>
        <v/>
      </c>
      <c r="T695" s="104" t="str">
        <f t="shared" si="63"/>
        <v/>
      </c>
      <c r="U695" s="104" t="str">
        <f t="shared" si="64"/>
        <v/>
      </c>
      <c r="V695" s="104" t="str">
        <f t="shared" si="65"/>
        <v/>
      </c>
      <c r="W695" s="105"/>
    </row>
    <row r="696" spans="1:23">
      <c r="A696" s="92"/>
      <c r="B696" s="123"/>
      <c r="C696" s="107"/>
      <c r="D696" s="117"/>
      <c r="E696" s="117"/>
      <c r="F696" s="118"/>
      <c r="G696" s="108"/>
      <c r="H696" s="98"/>
      <c r="I696" s="99"/>
      <c r="J696" s="101"/>
      <c r="K696" s="109"/>
      <c r="L696" s="110"/>
      <c r="M696" s="111"/>
      <c r="N696" s="99"/>
      <c r="O696" s="112"/>
      <c r="P696" s="112"/>
      <c r="Q696" s="104" t="str">
        <f t="shared" si="60"/>
        <v/>
      </c>
      <c r="R696" s="104" t="str">
        <f t="shared" si="61"/>
        <v/>
      </c>
      <c r="S696" s="104" t="str">
        <f t="shared" si="62"/>
        <v/>
      </c>
      <c r="T696" s="104" t="str">
        <f t="shared" si="63"/>
        <v/>
      </c>
      <c r="U696" s="104" t="str">
        <f t="shared" si="64"/>
        <v/>
      </c>
      <c r="V696" s="104" t="str">
        <f t="shared" si="65"/>
        <v/>
      </c>
      <c r="W696" s="105"/>
    </row>
    <row r="697" spans="1:23" ht="15" customHeight="1">
      <c r="A697" s="92">
        <v>28</v>
      </c>
      <c r="B697" s="121" t="s">
        <v>429</v>
      </c>
      <c r="C697" s="122"/>
      <c r="D697" s="797">
        <v>2.4500000000000002</v>
      </c>
      <c r="E697" s="797"/>
      <c r="F697" s="118"/>
      <c r="G697" s="108">
        <v>0.25</v>
      </c>
      <c r="H697" s="98">
        <v>10</v>
      </c>
      <c r="I697" s="99">
        <v>1</v>
      </c>
      <c r="J697" s="101">
        <f>ROUND(2.33/G697+1,0)</f>
        <v>10</v>
      </c>
      <c r="K697" s="109">
        <f>D697</f>
        <v>2.4500000000000002</v>
      </c>
      <c r="L697" s="110" t="str">
        <f>IF(O697&lt;12,"0",0.049*H697)</f>
        <v>0</v>
      </c>
      <c r="M697" s="111">
        <v>0</v>
      </c>
      <c r="N697" s="99">
        <f>M697*2*H697/1000</f>
        <v>0</v>
      </c>
      <c r="O697" s="112">
        <f>(D697)-N697</f>
        <v>2.4500000000000002</v>
      </c>
      <c r="P697" s="112">
        <f>(I697*J697*O697)+L697</f>
        <v>24.5</v>
      </c>
      <c r="Q697" s="104" t="str">
        <f t="shared" si="60"/>
        <v/>
      </c>
      <c r="R697" s="104">
        <f t="shared" si="61"/>
        <v>24.5</v>
      </c>
      <c r="S697" s="104" t="str">
        <f t="shared" si="62"/>
        <v/>
      </c>
      <c r="T697" s="104" t="str">
        <f t="shared" si="63"/>
        <v/>
      </c>
      <c r="U697" s="104" t="str">
        <f t="shared" si="64"/>
        <v/>
      </c>
      <c r="V697" s="104" t="str">
        <f t="shared" si="65"/>
        <v/>
      </c>
      <c r="W697" s="105"/>
    </row>
    <row r="698" spans="1:23">
      <c r="A698" s="92"/>
      <c r="B698" s="121" t="s">
        <v>356</v>
      </c>
      <c r="C698" s="107"/>
      <c r="D698" s="117"/>
      <c r="E698" s="117"/>
      <c r="F698" s="118"/>
      <c r="G698" s="108"/>
      <c r="H698" s="98"/>
      <c r="I698" s="99"/>
      <c r="J698" s="101"/>
      <c r="K698" s="109"/>
      <c r="L698" s="110"/>
      <c r="M698" s="111"/>
      <c r="N698" s="99"/>
      <c r="O698" s="112"/>
      <c r="P698" s="112"/>
      <c r="Q698" s="104" t="str">
        <f t="shared" si="60"/>
        <v/>
      </c>
      <c r="R698" s="104" t="str">
        <f t="shared" si="61"/>
        <v/>
      </c>
      <c r="S698" s="104" t="str">
        <f t="shared" si="62"/>
        <v/>
      </c>
      <c r="T698" s="104" t="str">
        <f t="shared" si="63"/>
        <v/>
      </c>
      <c r="U698" s="104" t="str">
        <f t="shared" si="64"/>
        <v/>
      </c>
      <c r="V698" s="104" t="str">
        <f t="shared" si="65"/>
        <v/>
      </c>
      <c r="W698" s="105"/>
    </row>
    <row r="699" spans="1:23">
      <c r="A699" s="92"/>
      <c r="B699" s="123"/>
      <c r="C699" s="107"/>
      <c r="D699" s="117"/>
      <c r="E699" s="117"/>
      <c r="F699" s="118"/>
      <c r="G699" s="108"/>
      <c r="H699" s="98"/>
      <c r="I699" s="99"/>
      <c r="J699" s="101"/>
      <c r="K699" s="109"/>
      <c r="L699" s="110"/>
      <c r="M699" s="111"/>
      <c r="N699" s="99"/>
      <c r="O699" s="112"/>
      <c r="P699" s="112"/>
      <c r="Q699" s="104" t="str">
        <f t="shared" si="60"/>
        <v/>
      </c>
      <c r="R699" s="104" t="str">
        <f t="shared" si="61"/>
        <v/>
      </c>
      <c r="S699" s="104" t="str">
        <f t="shared" si="62"/>
        <v/>
      </c>
      <c r="T699" s="104" t="str">
        <f t="shared" si="63"/>
        <v/>
      </c>
      <c r="U699" s="104" t="str">
        <f t="shared" si="64"/>
        <v/>
      </c>
      <c r="V699" s="104" t="str">
        <f t="shared" si="65"/>
        <v/>
      </c>
      <c r="W699" s="105"/>
    </row>
    <row r="700" spans="1:23" ht="15" customHeight="1">
      <c r="A700" s="92">
        <v>29</v>
      </c>
      <c r="B700" s="121" t="s">
        <v>429</v>
      </c>
      <c r="C700" s="122"/>
      <c r="D700" s="797">
        <v>3.8</v>
      </c>
      <c r="E700" s="797"/>
      <c r="F700" s="118"/>
      <c r="G700" s="108">
        <v>0.25</v>
      </c>
      <c r="H700" s="98">
        <v>10</v>
      </c>
      <c r="I700" s="99">
        <v>1</v>
      </c>
      <c r="J700" s="101">
        <f>ROUND(4.09/G700+1,0)</f>
        <v>17</v>
      </c>
      <c r="K700" s="109">
        <f>D700</f>
        <v>3.8</v>
      </c>
      <c r="L700" s="110" t="str">
        <f>IF(O700&lt;12,"0",0.049*H700)</f>
        <v>0</v>
      </c>
      <c r="M700" s="111">
        <v>0</v>
      </c>
      <c r="N700" s="99">
        <f>M700*2*H700/1000</f>
        <v>0</v>
      </c>
      <c r="O700" s="112">
        <f>(D700)-N700</f>
        <v>3.8</v>
      </c>
      <c r="P700" s="112">
        <f>(I700*J700*O700)+L700</f>
        <v>64.599999999999994</v>
      </c>
      <c r="Q700" s="104" t="str">
        <f t="shared" si="60"/>
        <v/>
      </c>
      <c r="R700" s="104">
        <f t="shared" si="61"/>
        <v>64.599999999999994</v>
      </c>
      <c r="S700" s="104" t="str">
        <f t="shared" si="62"/>
        <v/>
      </c>
      <c r="T700" s="104" t="str">
        <f t="shared" si="63"/>
        <v/>
      </c>
      <c r="U700" s="104" t="str">
        <f t="shared" si="64"/>
        <v/>
      </c>
      <c r="V700" s="104" t="str">
        <f t="shared" si="65"/>
        <v/>
      </c>
      <c r="W700" s="105"/>
    </row>
    <row r="701" spans="1:23">
      <c r="A701" s="92"/>
      <c r="B701" s="121" t="s">
        <v>357</v>
      </c>
      <c r="C701" s="107"/>
      <c r="D701" s="117"/>
      <c r="E701" s="117"/>
      <c r="F701" s="118"/>
      <c r="G701" s="108"/>
      <c r="H701" s="98"/>
      <c r="I701" s="99"/>
      <c r="J701" s="101"/>
      <c r="K701" s="109"/>
      <c r="L701" s="110"/>
      <c r="M701" s="111"/>
      <c r="N701" s="99"/>
      <c r="O701" s="112"/>
      <c r="P701" s="112"/>
      <c r="Q701" s="104" t="str">
        <f t="shared" si="60"/>
        <v/>
      </c>
      <c r="R701" s="104" t="str">
        <f t="shared" si="61"/>
        <v/>
      </c>
      <c r="S701" s="104" t="str">
        <f t="shared" si="62"/>
        <v/>
      </c>
      <c r="T701" s="104" t="str">
        <f t="shared" si="63"/>
        <v/>
      </c>
      <c r="U701" s="104" t="str">
        <f t="shared" si="64"/>
        <v/>
      </c>
      <c r="V701" s="104" t="str">
        <f t="shared" si="65"/>
        <v/>
      </c>
      <c r="W701" s="105"/>
    </row>
    <row r="702" spans="1:23">
      <c r="A702" s="92"/>
      <c r="B702" s="123"/>
      <c r="C702" s="107"/>
      <c r="D702" s="117"/>
      <c r="E702" s="117"/>
      <c r="F702" s="118"/>
      <c r="G702" s="108"/>
      <c r="H702" s="98"/>
      <c r="I702" s="99"/>
      <c r="J702" s="101"/>
      <c r="K702" s="109"/>
      <c r="L702" s="110"/>
      <c r="M702" s="111"/>
      <c r="N702" s="99"/>
      <c r="O702" s="112"/>
      <c r="P702" s="112"/>
      <c r="Q702" s="104" t="str">
        <f t="shared" si="60"/>
        <v/>
      </c>
      <c r="R702" s="104" t="str">
        <f t="shared" si="61"/>
        <v/>
      </c>
      <c r="S702" s="104" t="str">
        <f t="shared" si="62"/>
        <v/>
      </c>
      <c r="T702" s="104" t="str">
        <f t="shared" si="63"/>
        <v/>
      </c>
      <c r="U702" s="104" t="str">
        <f t="shared" si="64"/>
        <v/>
      </c>
      <c r="V702" s="104" t="str">
        <f t="shared" si="65"/>
        <v/>
      </c>
      <c r="W702" s="105"/>
    </row>
    <row r="703" spans="1:23" ht="15" customHeight="1">
      <c r="A703" s="92">
        <v>30</v>
      </c>
      <c r="B703" s="121" t="s">
        <v>428</v>
      </c>
      <c r="C703" s="122"/>
      <c r="D703" s="797">
        <v>6.4</v>
      </c>
      <c r="E703" s="797"/>
      <c r="F703" s="118"/>
      <c r="G703" s="108">
        <v>0.25</v>
      </c>
      <c r="H703" s="98">
        <v>10</v>
      </c>
      <c r="I703" s="99">
        <v>1</v>
      </c>
      <c r="J703" s="101">
        <f>ROUND(5.53/G703+1,0)</f>
        <v>23</v>
      </c>
      <c r="K703" s="109">
        <f>D703</f>
        <v>6.4</v>
      </c>
      <c r="L703" s="110" t="str">
        <f>IF(O703&lt;12,"0",0.049*H703)</f>
        <v>0</v>
      </c>
      <c r="M703" s="111">
        <v>0</v>
      </c>
      <c r="N703" s="99">
        <f>M703*2*H703/1000</f>
        <v>0</v>
      </c>
      <c r="O703" s="112">
        <f>(D703)-N703</f>
        <v>6.4</v>
      </c>
      <c r="P703" s="112">
        <f>(I703*J703*O703)+L703</f>
        <v>147.20000000000002</v>
      </c>
      <c r="Q703" s="104" t="str">
        <f t="shared" si="60"/>
        <v/>
      </c>
      <c r="R703" s="104">
        <f t="shared" si="61"/>
        <v>147.20000000000002</v>
      </c>
      <c r="S703" s="104" t="str">
        <f t="shared" si="62"/>
        <v/>
      </c>
      <c r="T703" s="104" t="str">
        <f t="shared" si="63"/>
        <v/>
      </c>
      <c r="U703" s="104" t="str">
        <f t="shared" si="64"/>
        <v/>
      </c>
      <c r="V703" s="104" t="str">
        <f t="shared" si="65"/>
        <v/>
      </c>
      <c r="W703" s="105"/>
    </row>
    <row r="704" spans="1:23">
      <c r="A704" s="92"/>
      <c r="B704" s="121" t="s">
        <v>358</v>
      </c>
      <c r="C704" s="107"/>
      <c r="D704" s="117"/>
      <c r="E704" s="117"/>
      <c r="F704" s="118"/>
      <c r="G704" s="108"/>
      <c r="H704" s="98"/>
      <c r="I704" s="99"/>
      <c r="J704" s="101"/>
      <c r="K704" s="109"/>
      <c r="L704" s="110"/>
      <c r="M704" s="111"/>
      <c r="N704" s="99"/>
      <c r="O704" s="112"/>
      <c r="P704" s="112"/>
      <c r="Q704" s="104" t="str">
        <f t="shared" si="60"/>
        <v/>
      </c>
      <c r="R704" s="104" t="str">
        <f t="shared" si="61"/>
        <v/>
      </c>
      <c r="S704" s="104" t="str">
        <f t="shared" si="62"/>
        <v/>
      </c>
      <c r="T704" s="104" t="str">
        <f t="shared" si="63"/>
        <v/>
      </c>
      <c r="U704" s="104" t="str">
        <f t="shared" si="64"/>
        <v/>
      </c>
      <c r="V704" s="104" t="str">
        <f t="shared" si="65"/>
        <v/>
      </c>
      <c r="W704" s="105"/>
    </row>
    <row r="705" spans="1:23">
      <c r="A705" s="92"/>
      <c r="B705" s="123"/>
      <c r="C705" s="107"/>
      <c r="D705" s="117"/>
      <c r="E705" s="117"/>
      <c r="F705" s="118"/>
      <c r="G705" s="108"/>
      <c r="H705" s="98"/>
      <c r="I705" s="99"/>
      <c r="J705" s="101"/>
      <c r="K705" s="109"/>
      <c r="L705" s="110"/>
      <c r="M705" s="111"/>
      <c r="N705" s="99"/>
      <c r="O705" s="112"/>
      <c r="P705" s="112"/>
      <c r="Q705" s="104" t="str">
        <f t="shared" si="60"/>
        <v/>
      </c>
      <c r="R705" s="104" t="str">
        <f t="shared" si="61"/>
        <v/>
      </c>
      <c r="S705" s="104" t="str">
        <f t="shared" si="62"/>
        <v/>
      </c>
      <c r="T705" s="104" t="str">
        <f t="shared" si="63"/>
        <v/>
      </c>
      <c r="U705" s="104" t="str">
        <f t="shared" si="64"/>
        <v/>
      </c>
      <c r="V705" s="104" t="str">
        <f t="shared" si="65"/>
        <v/>
      </c>
      <c r="W705" s="105"/>
    </row>
    <row r="706" spans="1:23" ht="15" customHeight="1">
      <c r="A706" s="92">
        <v>31</v>
      </c>
      <c r="B706" s="121" t="s">
        <v>429</v>
      </c>
      <c r="C706" s="122"/>
      <c r="D706" s="797">
        <v>5.53</v>
      </c>
      <c r="E706" s="797"/>
      <c r="F706" s="118"/>
      <c r="G706" s="108">
        <v>0.25</v>
      </c>
      <c r="H706" s="98">
        <v>16</v>
      </c>
      <c r="I706" s="99">
        <v>1</v>
      </c>
      <c r="J706" s="101">
        <f>ROUND(6.4/G706+1,0)</f>
        <v>27</v>
      </c>
      <c r="K706" s="109">
        <f>D706</f>
        <v>5.53</v>
      </c>
      <c r="L706" s="110" t="str">
        <f>IF(O706&lt;12,"0",0.049*H706)</f>
        <v>0</v>
      </c>
      <c r="M706" s="111">
        <v>0</v>
      </c>
      <c r="N706" s="99">
        <f>M706*2*H706/1000</f>
        <v>0</v>
      </c>
      <c r="O706" s="112">
        <f>(D706)-N706</f>
        <v>5.53</v>
      </c>
      <c r="P706" s="112">
        <f>(I706*J706*O706)+L706</f>
        <v>149.31</v>
      </c>
      <c r="Q706" s="104" t="str">
        <f t="shared" si="60"/>
        <v/>
      </c>
      <c r="R706" s="104" t="str">
        <f t="shared" si="61"/>
        <v/>
      </c>
      <c r="S706" s="104" t="str">
        <f t="shared" si="62"/>
        <v/>
      </c>
      <c r="T706" s="104">
        <f t="shared" si="63"/>
        <v>149.31</v>
      </c>
      <c r="U706" s="104" t="str">
        <f t="shared" si="64"/>
        <v/>
      </c>
      <c r="V706" s="104" t="str">
        <f t="shared" si="65"/>
        <v/>
      </c>
      <c r="W706" s="105"/>
    </row>
    <row r="707" spans="1:23">
      <c r="A707" s="92"/>
      <c r="B707" s="121" t="s">
        <v>358</v>
      </c>
      <c r="C707" s="107"/>
      <c r="D707" s="117"/>
      <c r="E707" s="117"/>
      <c r="F707" s="118"/>
      <c r="G707" s="108"/>
      <c r="H707" s="98"/>
      <c r="I707" s="99"/>
      <c r="J707" s="101"/>
      <c r="K707" s="109"/>
      <c r="L707" s="110"/>
      <c r="M707" s="111"/>
      <c r="N707" s="99"/>
      <c r="O707" s="112"/>
      <c r="P707" s="112"/>
      <c r="Q707" s="104" t="str">
        <f t="shared" si="60"/>
        <v/>
      </c>
      <c r="R707" s="104" t="str">
        <f t="shared" si="61"/>
        <v/>
      </c>
      <c r="S707" s="104" t="str">
        <f t="shared" si="62"/>
        <v/>
      </c>
      <c r="T707" s="104" t="str">
        <f t="shared" si="63"/>
        <v/>
      </c>
      <c r="U707" s="104" t="str">
        <f t="shared" si="64"/>
        <v/>
      </c>
      <c r="V707" s="104" t="str">
        <f t="shared" si="65"/>
        <v/>
      </c>
      <c r="W707" s="105"/>
    </row>
    <row r="708" spans="1:23">
      <c r="A708" s="92"/>
      <c r="B708" s="123"/>
      <c r="C708" s="107"/>
      <c r="D708" s="117"/>
      <c r="E708" s="117"/>
      <c r="F708" s="118"/>
      <c r="G708" s="108"/>
      <c r="H708" s="98"/>
      <c r="I708" s="99"/>
      <c r="J708" s="101"/>
      <c r="K708" s="109"/>
      <c r="L708" s="110"/>
      <c r="M708" s="111"/>
      <c r="N708" s="99"/>
      <c r="O708" s="112"/>
      <c r="P708" s="112"/>
      <c r="Q708" s="104" t="str">
        <f t="shared" si="60"/>
        <v/>
      </c>
      <c r="R708" s="104" t="str">
        <f t="shared" si="61"/>
        <v/>
      </c>
      <c r="S708" s="104" t="str">
        <f t="shared" si="62"/>
        <v/>
      </c>
      <c r="T708" s="104" t="str">
        <f t="shared" si="63"/>
        <v/>
      </c>
      <c r="U708" s="104" t="str">
        <f t="shared" si="64"/>
        <v/>
      </c>
      <c r="V708" s="104" t="str">
        <f t="shared" si="65"/>
        <v/>
      </c>
      <c r="W708" s="105"/>
    </row>
    <row r="709" spans="1:23" ht="15" customHeight="1">
      <c r="A709" s="92">
        <v>32</v>
      </c>
      <c r="B709" s="121" t="s">
        <v>428</v>
      </c>
      <c r="C709" s="122"/>
      <c r="D709" s="797">
        <v>3.8</v>
      </c>
      <c r="E709" s="797"/>
      <c r="F709" s="118"/>
      <c r="G709" s="108">
        <v>0.25</v>
      </c>
      <c r="H709" s="98">
        <v>12</v>
      </c>
      <c r="I709" s="99">
        <v>1</v>
      </c>
      <c r="J709" s="101">
        <f>ROUND(5.7/G709+1,0)</f>
        <v>24</v>
      </c>
      <c r="K709" s="109">
        <f>D709</f>
        <v>3.8</v>
      </c>
      <c r="L709" s="110" t="str">
        <f>IF(O709&lt;12,"0",0.049*H709)</f>
        <v>0</v>
      </c>
      <c r="M709" s="111">
        <v>0</v>
      </c>
      <c r="N709" s="99">
        <f>M709*2*H709/1000</f>
        <v>0</v>
      </c>
      <c r="O709" s="112">
        <f>(D709)-N709</f>
        <v>3.8</v>
      </c>
      <c r="P709" s="112">
        <f>(I709*J709*O709)+L709</f>
        <v>91.199999999999989</v>
      </c>
      <c r="Q709" s="104" t="str">
        <f t="shared" si="60"/>
        <v/>
      </c>
      <c r="R709" s="104" t="str">
        <f t="shared" si="61"/>
        <v/>
      </c>
      <c r="S709" s="104">
        <f t="shared" si="62"/>
        <v>91.199999999999989</v>
      </c>
      <c r="T709" s="104" t="str">
        <f t="shared" si="63"/>
        <v/>
      </c>
      <c r="U709" s="104" t="str">
        <f t="shared" si="64"/>
        <v/>
      </c>
      <c r="V709" s="104" t="str">
        <f t="shared" si="65"/>
        <v/>
      </c>
      <c r="W709" s="105"/>
    </row>
    <row r="710" spans="1:23">
      <c r="A710" s="92"/>
      <c r="B710" s="121" t="s">
        <v>359</v>
      </c>
      <c r="C710" s="107"/>
      <c r="D710" s="117"/>
      <c r="E710" s="117"/>
      <c r="F710" s="118"/>
      <c r="G710" s="108"/>
      <c r="H710" s="98"/>
      <c r="I710" s="99"/>
      <c r="J710" s="101"/>
      <c r="K710" s="109"/>
      <c r="L710" s="110"/>
      <c r="M710" s="111"/>
      <c r="N710" s="99"/>
      <c r="O710" s="112"/>
      <c r="P710" s="112"/>
      <c r="Q710" s="104" t="str">
        <f t="shared" si="60"/>
        <v/>
      </c>
      <c r="R710" s="104" t="str">
        <f t="shared" si="61"/>
        <v/>
      </c>
      <c r="S710" s="104" t="str">
        <f t="shared" si="62"/>
        <v/>
      </c>
      <c r="T710" s="104" t="str">
        <f t="shared" si="63"/>
        <v/>
      </c>
      <c r="U710" s="104" t="str">
        <f t="shared" si="64"/>
        <v/>
      </c>
      <c r="V710" s="104" t="str">
        <f t="shared" si="65"/>
        <v/>
      </c>
      <c r="W710" s="105"/>
    </row>
    <row r="711" spans="1:23">
      <c r="A711" s="92"/>
      <c r="B711" s="123"/>
      <c r="C711" s="107"/>
      <c r="D711" s="117"/>
      <c r="E711" s="117"/>
      <c r="F711" s="118"/>
      <c r="G711" s="108"/>
      <c r="H711" s="98"/>
      <c r="I711" s="99"/>
      <c r="J711" s="101"/>
      <c r="K711" s="109"/>
      <c r="L711" s="110"/>
      <c r="M711" s="111"/>
      <c r="N711" s="99"/>
      <c r="O711" s="112"/>
      <c r="P711" s="112"/>
      <c r="Q711" s="104" t="str">
        <f t="shared" si="60"/>
        <v/>
      </c>
      <c r="R711" s="104" t="str">
        <f t="shared" si="61"/>
        <v/>
      </c>
      <c r="S711" s="104" t="str">
        <f t="shared" si="62"/>
        <v/>
      </c>
      <c r="T711" s="104" t="str">
        <f t="shared" si="63"/>
        <v/>
      </c>
      <c r="U711" s="104" t="str">
        <f t="shared" si="64"/>
        <v/>
      </c>
      <c r="V711" s="104" t="str">
        <f t="shared" si="65"/>
        <v/>
      </c>
      <c r="W711" s="105"/>
    </row>
    <row r="712" spans="1:23" ht="15" customHeight="1">
      <c r="A712" s="92">
        <v>33</v>
      </c>
      <c r="B712" s="121" t="s">
        <v>429</v>
      </c>
      <c r="C712" s="122"/>
      <c r="D712" s="797">
        <v>5.7</v>
      </c>
      <c r="E712" s="797"/>
      <c r="F712" s="118"/>
      <c r="G712" s="108">
        <v>0.25</v>
      </c>
      <c r="H712" s="98">
        <v>20</v>
      </c>
      <c r="I712" s="99">
        <v>1</v>
      </c>
      <c r="J712" s="101">
        <f>ROUND(5.8/G712+1,0)</f>
        <v>24</v>
      </c>
      <c r="K712" s="109">
        <f>D712</f>
        <v>5.7</v>
      </c>
      <c r="L712" s="110" t="str">
        <f>IF(O712&lt;12,"0",0.049*H712)</f>
        <v>0</v>
      </c>
      <c r="M712" s="111">
        <v>0</v>
      </c>
      <c r="N712" s="99">
        <f>M712*2*H712/1000</f>
        <v>0</v>
      </c>
      <c r="O712" s="112">
        <f>(D712)-N712</f>
        <v>5.7</v>
      </c>
      <c r="P712" s="112">
        <f>(I712*J712*O712)+L712</f>
        <v>136.80000000000001</v>
      </c>
      <c r="Q712" s="104" t="str">
        <f t="shared" si="60"/>
        <v/>
      </c>
      <c r="R712" s="104" t="str">
        <f t="shared" si="61"/>
        <v/>
      </c>
      <c r="S712" s="104" t="str">
        <f t="shared" si="62"/>
        <v/>
      </c>
      <c r="T712" s="104" t="str">
        <f t="shared" si="63"/>
        <v/>
      </c>
      <c r="U712" s="104">
        <f t="shared" si="64"/>
        <v>136.80000000000001</v>
      </c>
      <c r="V712" s="104" t="str">
        <f t="shared" si="65"/>
        <v/>
      </c>
      <c r="W712" s="105"/>
    </row>
    <row r="713" spans="1:23">
      <c r="A713" s="92"/>
      <c r="B713" s="121" t="s">
        <v>359</v>
      </c>
      <c r="C713" s="107"/>
      <c r="D713" s="117"/>
      <c r="E713" s="117"/>
      <c r="F713" s="118"/>
      <c r="G713" s="108"/>
      <c r="H713" s="98"/>
      <c r="I713" s="99"/>
      <c r="J713" s="101"/>
      <c r="K713" s="109"/>
      <c r="L713" s="110"/>
      <c r="M713" s="111"/>
      <c r="N713" s="99"/>
      <c r="O713" s="112"/>
      <c r="P713" s="112"/>
      <c r="Q713" s="104" t="str">
        <f t="shared" si="60"/>
        <v/>
      </c>
      <c r="R713" s="104" t="str">
        <f t="shared" si="61"/>
        <v/>
      </c>
      <c r="S713" s="104" t="str">
        <f t="shared" si="62"/>
        <v/>
      </c>
      <c r="T713" s="104" t="str">
        <f t="shared" si="63"/>
        <v/>
      </c>
      <c r="U713" s="104" t="str">
        <f t="shared" si="64"/>
        <v/>
      </c>
      <c r="V713" s="104" t="str">
        <f t="shared" si="65"/>
        <v/>
      </c>
      <c r="W713" s="105"/>
    </row>
    <row r="714" spans="1:23">
      <c r="A714" s="92"/>
      <c r="B714" s="123"/>
      <c r="C714" s="107"/>
      <c r="D714" s="117"/>
      <c r="E714" s="117"/>
      <c r="F714" s="118"/>
      <c r="G714" s="108"/>
      <c r="H714" s="98"/>
      <c r="I714" s="99"/>
      <c r="J714" s="101"/>
      <c r="K714" s="109"/>
      <c r="L714" s="110"/>
      <c r="M714" s="111"/>
      <c r="N714" s="99"/>
      <c r="O714" s="112"/>
      <c r="P714" s="112"/>
      <c r="Q714" s="104" t="str">
        <f t="shared" si="60"/>
        <v/>
      </c>
      <c r="R714" s="104" t="str">
        <f t="shared" si="61"/>
        <v/>
      </c>
      <c r="S714" s="104" t="str">
        <f t="shared" si="62"/>
        <v/>
      </c>
      <c r="T714" s="104" t="str">
        <f t="shared" si="63"/>
        <v/>
      </c>
      <c r="U714" s="104" t="str">
        <f t="shared" si="64"/>
        <v/>
      </c>
      <c r="V714" s="104" t="str">
        <f t="shared" si="65"/>
        <v/>
      </c>
      <c r="W714" s="105"/>
    </row>
    <row r="715" spans="1:23" ht="15" customHeight="1">
      <c r="A715" s="92">
        <v>34</v>
      </c>
      <c r="B715" s="121" t="s">
        <v>429</v>
      </c>
      <c r="C715" s="122"/>
      <c r="D715" s="797">
        <v>5.7</v>
      </c>
      <c r="E715" s="797"/>
      <c r="F715" s="118"/>
      <c r="G715" s="108">
        <v>0.25</v>
      </c>
      <c r="H715" s="98">
        <v>16</v>
      </c>
      <c r="I715" s="99">
        <v>1</v>
      </c>
      <c r="J715" s="101">
        <f>ROUND(2.25/G715+1,0)</f>
        <v>10</v>
      </c>
      <c r="K715" s="109">
        <f>D715</f>
        <v>5.7</v>
      </c>
      <c r="L715" s="110" t="str">
        <f>IF(O715&lt;12,"0",0.049*H715)</f>
        <v>0</v>
      </c>
      <c r="M715" s="111">
        <v>0</v>
      </c>
      <c r="N715" s="99">
        <f>M715*2*H715/1000</f>
        <v>0</v>
      </c>
      <c r="O715" s="112">
        <f>(D715)-N715</f>
        <v>5.7</v>
      </c>
      <c r="P715" s="112">
        <f>(I715*J715*O715)+L715</f>
        <v>57</v>
      </c>
      <c r="Q715" s="104" t="str">
        <f t="shared" si="60"/>
        <v/>
      </c>
      <c r="R715" s="104" t="str">
        <f t="shared" si="61"/>
        <v/>
      </c>
      <c r="S715" s="104" t="str">
        <f t="shared" si="62"/>
        <v/>
      </c>
      <c r="T715" s="104">
        <f t="shared" si="63"/>
        <v>57</v>
      </c>
      <c r="U715" s="104" t="str">
        <f t="shared" si="64"/>
        <v/>
      </c>
      <c r="V715" s="104" t="str">
        <f t="shared" si="65"/>
        <v/>
      </c>
      <c r="W715" s="105"/>
    </row>
    <row r="716" spans="1:23">
      <c r="A716" s="92"/>
      <c r="B716" s="121" t="s">
        <v>359</v>
      </c>
      <c r="C716" s="107"/>
      <c r="D716" s="117"/>
      <c r="E716" s="117"/>
      <c r="F716" s="118"/>
      <c r="G716" s="108"/>
      <c r="H716" s="98"/>
      <c r="I716" s="99"/>
      <c r="J716" s="101"/>
      <c r="K716" s="109"/>
      <c r="L716" s="110"/>
      <c r="M716" s="111"/>
      <c r="N716" s="99"/>
      <c r="O716" s="112"/>
      <c r="P716" s="112"/>
      <c r="Q716" s="104" t="str">
        <f t="shared" si="60"/>
        <v/>
      </c>
      <c r="R716" s="104" t="str">
        <f t="shared" si="61"/>
        <v/>
      </c>
      <c r="S716" s="104" t="str">
        <f t="shared" si="62"/>
        <v/>
      </c>
      <c r="T716" s="104" t="str">
        <f t="shared" si="63"/>
        <v/>
      </c>
      <c r="U716" s="104" t="str">
        <f t="shared" si="64"/>
        <v/>
      </c>
      <c r="V716" s="104" t="str">
        <f t="shared" si="65"/>
        <v/>
      </c>
      <c r="W716" s="105"/>
    </row>
    <row r="717" spans="1:23">
      <c r="A717" s="92"/>
      <c r="B717" s="123"/>
      <c r="C717" s="107"/>
      <c r="D717" s="117"/>
      <c r="E717" s="117"/>
      <c r="F717" s="118"/>
      <c r="G717" s="108"/>
      <c r="H717" s="98"/>
      <c r="I717" s="99"/>
      <c r="J717" s="101"/>
      <c r="K717" s="109"/>
      <c r="L717" s="110"/>
      <c r="M717" s="111"/>
      <c r="N717" s="99"/>
      <c r="O717" s="112"/>
      <c r="P717" s="112"/>
      <c r="Q717" s="104" t="str">
        <f t="shared" si="60"/>
        <v/>
      </c>
      <c r="R717" s="104" t="str">
        <f t="shared" si="61"/>
        <v/>
      </c>
      <c r="S717" s="104" t="str">
        <f t="shared" si="62"/>
        <v/>
      </c>
      <c r="T717" s="104" t="str">
        <f t="shared" si="63"/>
        <v/>
      </c>
      <c r="U717" s="104" t="str">
        <f t="shared" si="64"/>
        <v/>
      </c>
      <c r="V717" s="104" t="str">
        <f t="shared" si="65"/>
        <v/>
      </c>
      <c r="W717" s="105"/>
    </row>
    <row r="718" spans="1:23" ht="15" customHeight="1">
      <c r="A718" s="92">
        <v>35</v>
      </c>
      <c r="B718" s="121" t="s">
        <v>428</v>
      </c>
      <c r="C718" s="122"/>
      <c r="D718" s="797">
        <v>5.7450000000000001</v>
      </c>
      <c r="E718" s="797"/>
      <c r="F718" s="118"/>
      <c r="G718" s="108">
        <v>0.25</v>
      </c>
      <c r="H718" s="98">
        <v>16</v>
      </c>
      <c r="I718" s="99">
        <v>1</v>
      </c>
      <c r="J718" s="101">
        <f>ROUND(3.46/G718+1,0)</f>
        <v>15</v>
      </c>
      <c r="K718" s="109">
        <f>D718</f>
        <v>5.7450000000000001</v>
      </c>
      <c r="L718" s="110" t="str">
        <f>IF(O718&lt;12,"0",0.049*H718)</f>
        <v>0</v>
      </c>
      <c r="M718" s="111">
        <v>0</v>
      </c>
      <c r="N718" s="99">
        <f>M718*2*H718/1000</f>
        <v>0</v>
      </c>
      <c r="O718" s="112">
        <f>(D718)-N718</f>
        <v>5.7450000000000001</v>
      </c>
      <c r="P718" s="112">
        <f>(I718*J718*O718)+L718</f>
        <v>86.174999999999997</v>
      </c>
      <c r="Q718" s="104" t="str">
        <f t="shared" si="60"/>
        <v/>
      </c>
      <c r="R718" s="104" t="str">
        <f t="shared" si="61"/>
        <v/>
      </c>
      <c r="S718" s="104" t="str">
        <f t="shared" si="62"/>
        <v/>
      </c>
      <c r="T718" s="104">
        <f t="shared" si="63"/>
        <v>86.174999999999997</v>
      </c>
      <c r="U718" s="104" t="str">
        <f t="shared" si="64"/>
        <v/>
      </c>
      <c r="V718" s="104" t="str">
        <f t="shared" si="65"/>
        <v/>
      </c>
      <c r="W718" s="105"/>
    </row>
    <row r="719" spans="1:23">
      <c r="A719" s="92"/>
      <c r="B719" s="121" t="s">
        <v>360</v>
      </c>
      <c r="C719" s="107"/>
      <c r="D719" s="117"/>
      <c r="E719" s="117"/>
      <c r="F719" s="118"/>
      <c r="G719" s="108"/>
      <c r="H719" s="98"/>
      <c r="I719" s="99"/>
      <c r="J719" s="101"/>
      <c r="K719" s="109"/>
      <c r="L719" s="110"/>
      <c r="M719" s="111"/>
      <c r="N719" s="99"/>
      <c r="O719" s="112"/>
      <c r="P719" s="112"/>
      <c r="Q719" s="104" t="str">
        <f t="shared" si="60"/>
        <v/>
      </c>
      <c r="R719" s="104" t="str">
        <f t="shared" si="61"/>
        <v/>
      </c>
      <c r="S719" s="104" t="str">
        <f t="shared" si="62"/>
        <v/>
      </c>
      <c r="T719" s="104" t="str">
        <f t="shared" si="63"/>
        <v/>
      </c>
      <c r="U719" s="104" t="str">
        <f t="shared" si="64"/>
        <v/>
      </c>
      <c r="V719" s="104" t="str">
        <f t="shared" si="65"/>
        <v/>
      </c>
      <c r="W719" s="105"/>
    </row>
    <row r="720" spans="1:23">
      <c r="A720" s="92"/>
      <c r="B720" s="123"/>
      <c r="C720" s="107"/>
      <c r="D720" s="117"/>
      <c r="E720" s="117"/>
      <c r="F720" s="118"/>
      <c r="G720" s="108"/>
      <c r="H720" s="98"/>
      <c r="I720" s="99"/>
      <c r="J720" s="101"/>
      <c r="K720" s="109"/>
      <c r="L720" s="110"/>
      <c r="M720" s="111"/>
      <c r="N720" s="99"/>
      <c r="O720" s="112"/>
      <c r="P720" s="112"/>
      <c r="Q720" s="104" t="str">
        <f t="shared" si="60"/>
        <v/>
      </c>
      <c r="R720" s="104" t="str">
        <f t="shared" si="61"/>
        <v/>
      </c>
      <c r="S720" s="104" t="str">
        <f t="shared" si="62"/>
        <v/>
      </c>
      <c r="T720" s="104" t="str">
        <f t="shared" si="63"/>
        <v/>
      </c>
      <c r="U720" s="104" t="str">
        <f t="shared" si="64"/>
        <v/>
      </c>
      <c r="V720" s="104" t="str">
        <f t="shared" si="65"/>
        <v/>
      </c>
      <c r="W720" s="105"/>
    </row>
    <row r="721" spans="1:23" ht="15" customHeight="1">
      <c r="A721" s="92">
        <v>36</v>
      </c>
      <c r="B721" s="121" t="s">
        <v>429</v>
      </c>
      <c r="C721" s="122"/>
      <c r="D721" s="797">
        <v>2.5</v>
      </c>
      <c r="E721" s="797"/>
      <c r="F721" s="118"/>
      <c r="G721" s="108">
        <v>0.25</v>
      </c>
      <c r="H721" s="98">
        <v>20</v>
      </c>
      <c r="I721" s="99">
        <v>1</v>
      </c>
      <c r="J721" s="101">
        <f>ROUND(3.165/G721+1,0)</f>
        <v>14</v>
      </c>
      <c r="K721" s="109">
        <f>D721</f>
        <v>2.5</v>
      </c>
      <c r="L721" s="110" t="str">
        <f>IF(O721&lt;12,"0",0.049*H721)</f>
        <v>0</v>
      </c>
      <c r="M721" s="111">
        <v>0</v>
      </c>
      <c r="N721" s="99">
        <f>M721*2*H721/1000</f>
        <v>0</v>
      </c>
      <c r="O721" s="112">
        <f>(D721)-N721</f>
        <v>2.5</v>
      </c>
      <c r="P721" s="112">
        <f>(I721*J721*O721)+L721</f>
        <v>35</v>
      </c>
      <c r="Q721" s="104" t="str">
        <f t="shared" si="60"/>
        <v/>
      </c>
      <c r="R721" s="104" t="str">
        <f t="shared" si="61"/>
        <v/>
      </c>
      <c r="S721" s="104" t="str">
        <f t="shared" si="62"/>
        <v/>
      </c>
      <c r="T721" s="104" t="str">
        <f t="shared" si="63"/>
        <v/>
      </c>
      <c r="U721" s="104">
        <f t="shared" si="64"/>
        <v>35</v>
      </c>
      <c r="V721" s="104" t="str">
        <f t="shared" si="65"/>
        <v/>
      </c>
      <c r="W721" s="105"/>
    </row>
    <row r="722" spans="1:23">
      <c r="A722" s="92"/>
      <c r="B722" s="121" t="s">
        <v>361</v>
      </c>
      <c r="C722" s="107"/>
      <c r="D722" s="117"/>
      <c r="E722" s="117"/>
      <c r="F722" s="118"/>
      <c r="G722" s="108"/>
      <c r="H722" s="98"/>
      <c r="I722" s="99"/>
      <c r="J722" s="101"/>
      <c r="K722" s="109"/>
      <c r="L722" s="110"/>
      <c r="M722" s="111"/>
      <c r="N722" s="99"/>
      <c r="O722" s="112"/>
      <c r="P722" s="112"/>
      <c r="Q722" s="104" t="str">
        <f t="shared" si="60"/>
        <v/>
      </c>
      <c r="R722" s="104" t="str">
        <f t="shared" si="61"/>
        <v/>
      </c>
      <c r="S722" s="104" t="str">
        <f t="shared" si="62"/>
        <v/>
      </c>
      <c r="T722" s="104" t="str">
        <f t="shared" si="63"/>
        <v/>
      </c>
      <c r="U722" s="104" t="str">
        <f t="shared" si="64"/>
        <v/>
      </c>
      <c r="V722" s="104" t="str">
        <f t="shared" si="65"/>
        <v/>
      </c>
      <c r="W722" s="105"/>
    </row>
    <row r="723" spans="1:23">
      <c r="A723" s="92"/>
      <c r="B723" s="123"/>
      <c r="C723" s="107"/>
      <c r="D723" s="117"/>
      <c r="E723" s="117"/>
      <c r="F723" s="118"/>
      <c r="G723" s="108"/>
      <c r="H723" s="98"/>
      <c r="I723" s="99"/>
      <c r="J723" s="101"/>
      <c r="K723" s="109"/>
      <c r="L723" s="110"/>
      <c r="M723" s="111"/>
      <c r="N723" s="99"/>
      <c r="O723" s="112"/>
      <c r="P723" s="112"/>
      <c r="Q723" s="104" t="str">
        <f t="shared" si="60"/>
        <v/>
      </c>
      <c r="R723" s="104" t="str">
        <f t="shared" si="61"/>
        <v/>
      </c>
      <c r="S723" s="104" t="str">
        <f t="shared" si="62"/>
        <v/>
      </c>
      <c r="T723" s="104" t="str">
        <f t="shared" si="63"/>
        <v/>
      </c>
      <c r="U723" s="104" t="str">
        <f t="shared" si="64"/>
        <v/>
      </c>
      <c r="V723" s="104" t="str">
        <f t="shared" si="65"/>
        <v/>
      </c>
      <c r="W723" s="105"/>
    </row>
    <row r="724" spans="1:23" ht="15" customHeight="1">
      <c r="A724" s="92">
        <v>37</v>
      </c>
      <c r="B724" s="121" t="s">
        <v>429</v>
      </c>
      <c r="C724" s="122"/>
      <c r="D724" s="797">
        <v>3.46</v>
      </c>
      <c r="E724" s="797"/>
      <c r="F724" s="118"/>
      <c r="G724" s="108">
        <v>0.25</v>
      </c>
      <c r="H724" s="98">
        <v>20</v>
      </c>
      <c r="I724" s="99">
        <v>1</v>
      </c>
      <c r="J724" s="101">
        <f>ROUND(5.745/G724+1,0)</f>
        <v>24</v>
      </c>
      <c r="K724" s="109">
        <f>D724</f>
        <v>3.46</v>
      </c>
      <c r="L724" s="110" t="str">
        <f>IF(O724&lt;12,"0",0.049*H724)</f>
        <v>0</v>
      </c>
      <c r="M724" s="111">
        <v>0</v>
      </c>
      <c r="N724" s="99">
        <f>M724*2*H724/1000</f>
        <v>0</v>
      </c>
      <c r="O724" s="112">
        <f>(D724)-N724</f>
        <v>3.46</v>
      </c>
      <c r="P724" s="112">
        <f>(I724*J724*O724)+L724</f>
        <v>83.039999999999992</v>
      </c>
      <c r="Q724" s="104" t="str">
        <f t="shared" si="60"/>
        <v/>
      </c>
      <c r="R724" s="104" t="str">
        <f t="shared" si="61"/>
        <v/>
      </c>
      <c r="S724" s="104" t="str">
        <f t="shared" si="62"/>
        <v/>
      </c>
      <c r="T724" s="104" t="str">
        <f t="shared" si="63"/>
        <v/>
      </c>
      <c r="U724" s="104">
        <f t="shared" si="64"/>
        <v>83.039999999999992</v>
      </c>
      <c r="V724" s="104" t="str">
        <f t="shared" si="65"/>
        <v/>
      </c>
      <c r="W724" s="105"/>
    </row>
    <row r="725" spans="1:23">
      <c r="A725" s="92"/>
      <c r="B725" s="121" t="s">
        <v>361</v>
      </c>
      <c r="C725" s="107"/>
      <c r="D725" s="117"/>
      <c r="E725" s="117"/>
      <c r="F725" s="118"/>
      <c r="G725" s="108"/>
      <c r="H725" s="98"/>
      <c r="I725" s="99"/>
      <c r="J725" s="101"/>
      <c r="K725" s="109"/>
      <c r="L725" s="110"/>
      <c r="M725" s="111"/>
      <c r="N725" s="99"/>
      <c r="O725" s="112"/>
      <c r="P725" s="112"/>
      <c r="Q725" s="104" t="str">
        <f t="shared" si="60"/>
        <v/>
      </c>
      <c r="R725" s="104" t="str">
        <f t="shared" si="61"/>
        <v/>
      </c>
      <c r="S725" s="104" t="str">
        <f t="shared" si="62"/>
        <v/>
      </c>
      <c r="T725" s="104" t="str">
        <f t="shared" si="63"/>
        <v/>
      </c>
      <c r="U725" s="104" t="str">
        <f t="shared" si="64"/>
        <v/>
      </c>
      <c r="V725" s="104" t="str">
        <f t="shared" si="65"/>
        <v/>
      </c>
      <c r="W725" s="105"/>
    </row>
    <row r="726" spans="1:23">
      <c r="A726" s="92"/>
      <c r="B726" s="123"/>
      <c r="C726" s="107"/>
      <c r="D726" s="117"/>
      <c r="E726" s="117"/>
      <c r="F726" s="118"/>
      <c r="G726" s="108"/>
      <c r="H726" s="98"/>
      <c r="I726" s="99"/>
      <c r="J726" s="101"/>
      <c r="K726" s="109"/>
      <c r="L726" s="110"/>
      <c r="M726" s="111"/>
      <c r="N726" s="99"/>
      <c r="O726" s="112"/>
      <c r="P726" s="112"/>
      <c r="Q726" s="104" t="str">
        <f t="shared" si="60"/>
        <v/>
      </c>
      <c r="R726" s="104" t="str">
        <f t="shared" si="61"/>
        <v/>
      </c>
      <c r="S726" s="104" t="str">
        <f t="shared" si="62"/>
        <v/>
      </c>
      <c r="T726" s="104" t="str">
        <f t="shared" si="63"/>
        <v/>
      </c>
      <c r="U726" s="104" t="str">
        <f t="shared" si="64"/>
        <v/>
      </c>
      <c r="V726" s="104" t="str">
        <f t="shared" si="65"/>
        <v/>
      </c>
      <c r="W726" s="105"/>
    </row>
    <row r="727" spans="1:23" ht="15" customHeight="1">
      <c r="A727" s="92">
        <v>38</v>
      </c>
      <c r="B727" s="121" t="s">
        <v>428</v>
      </c>
      <c r="C727" s="122"/>
      <c r="D727" s="797">
        <v>3.0449999999999999</v>
      </c>
      <c r="E727" s="797"/>
      <c r="F727" s="118"/>
      <c r="G727" s="108">
        <v>0.25</v>
      </c>
      <c r="H727" s="98">
        <v>20</v>
      </c>
      <c r="I727" s="99">
        <v>1</v>
      </c>
      <c r="J727" s="101">
        <f>ROUND(4.525/G727+1,0)</f>
        <v>19</v>
      </c>
      <c r="K727" s="109">
        <f>D727</f>
        <v>3.0449999999999999</v>
      </c>
      <c r="L727" s="110" t="str">
        <f>IF(O727&lt;12,"0",0.049*H727)</f>
        <v>0</v>
      </c>
      <c r="M727" s="111">
        <v>0</v>
      </c>
      <c r="N727" s="99">
        <f>M727*2*H727/1000</f>
        <v>0</v>
      </c>
      <c r="O727" s="112">
        <f>(D727)-N727</f>
        <v>3.0449999999999999</v>
      </c>
      <c r="P727" s="112">
        <f>(I727*J727*O727)+L727</f>
        <v>57.854999999999997</v>
      </c>
      <c r="Q727" s="104" t="str">
        <f t="shared" si="60"/>
        <v/>
      </c>
      <c r="R727" s="104" t="str">
        <f t="shared" si="61"/>
        <v/>
      </c>
      <c r="S727" s="104" t="str">
        <f t="shared" si="62"/>
        <v/>
      </c>
      <c r="T727" s="104" t="str">
        <f t="shared" si="63"/>
        <v/>
      </c>
      <c r="U727" s="104">
        <f t="shared" si="64"/>
        <v>57.854999999999997</v>
      </c>
      <c r="V727" s="104" t="str">
        <f t="shared" si="65"/>
        <v/>
      </c>
      <c r="W727" s="105"/>
    </row>
    <row r="728" spans="1:23">
      <c r="A728" s="92"/>
      <c r="B728" s="121" t="s">
        <v>362</v>
      </c>
      <c r="C728" s="107"/>
      <c r="D728" s="117"/>
      <c r="E728" s="117"/>
      <c r="F728" s="118"/>
      <c r="G728" s="108"/>
      <c r="H728" s="98"/>
      <c r="I728" s="99"/>
      <c r="J728" s="101"/>
      <c r="K728" s="109"/>
      <c r="L728" s="110"/>
      <c r="M728" s="111"/>
      <c r="N728" s="99"/>
      <c r="O728" s="112"/>
      <c r="P728" s="112"/>
      <c r="Q728" s="104" t="str">
        <f t="shared" si="60"/>
        <v/>
      </c>
      <c r="R728" s="104" t="str">
        <f t="shared" si="61"/>
        <v/>
      </c>
      <c r="S728" s="104" t="str">
        <f t="shared" si="62"/>
        <v/>
      </c>
      <c r="T728" s="104" t="str">
        <f t="shared" si="63"/>
        <v/>
      </c>
      <c r="U728" s="104" t="str">
        <f t="shared" si="64"/>
        <v/>
      </c>
      <c r="V728" s="104" t="str">
        <f t="shared" si="65"/>
        <v/>
      </c>
      <c r="W728" s="105"/>
    </row>
    <row r="729" spans="1:23">
      <c r="A729" s="92"/>
      <c r="B729" s="123"/>
      <c r="C729" s="107"/>
      <c r="D729" s="117"/>
      <c r="E729" s="117"/>
      <c r="F729" s="118"/>
      <c r="G729" s="108"/>
      <c r="H729" s="98"/>
      <c r="I729" s="99"/>
      <c r="J729" s="101"/>
      <c r="K729" s="109"/>
      <c r="L729" s="110"/>
      <c r="M729" s="111"/>
      <c r="N729" s="99"/>
      <c r="O729" s="112"/>
      <c r="P729" s="112"/>
      <c r="Q729" s="104" t="str">
        <f t="shared" si="60"/>
        <v/>
      </c>
      <c r="R729" s="104" t="str">
        <f t="shared" si="61"/>
        <v/>
      </c>
      <c r="S729" s="104" t="str">
        <f t="shared" si="62"/>
        <v/>
      </c>
      <c r="T729" s="104" t="str">
        <f t="shared" si="63"/>
        <v/>
      </c>
      <c r="U729" s="104" t="str">
        <f t="shared" si="64"/>
        <v/>
      </c>
      <c r="V729" s="104" t="str">
        <f t="shared" si="65"/>
        <v/>
      </c>
      <c r="W729" s="105"/>
    </row>
    <row r="730" spans="1:23" ht="15" customHeight="1">
      <c r="A730" s="92">
        <v>39</v>
      </c>
      <c r="B730" s="121" t="s">
        <v>429</v>
      </c>
      <c r="C730" s="122"/>
      <c r="D730" s="797">
        <v>4.5250000000000004</v>
      </c>
      <c r="E730" s="797"/>
      <c r="F730" s="118"/>
      <c r="G730" s="108">
        <v>0.25</v>
      </c>
      <c r="H730" s="98">
        <v>16</v>
      </c>
      <c r="I730" s="99">
        <v>1</v>
      </c>
      <c r="J730" s="101">
        <f>ROUND(3.045/G730+1,0)</f>
        <v>13</v>
      </c>
      <c r="K730" s="109">
        <f>D730</f>
        <v>4.5250000000000004</v>
      </c>
      <c r="L730" s="110" t="str">
        <f>IF(O730&lt;12,"0",0.049*H730)</f>
        <v>0</v>
      </c>
      <c r="M730" s="111">
        <v>0</v>
      </c>
      <c r="N730" s="99">
        <f>M730*2*H730/1000</f>
        <v>0</v>
      </c>
      <c r="O730" s="112">
        <f>(D730)-N730</f>
        <v>4.5250000000000004</v>
      </c>
      <c r="P730" s="112">
        <f>(I730*J730*O730)+L730</f>
        <v>58.825000000000003</v>
      </c>
      <c r="Q730" s="104" t="str">
        <f t="shared" si="60"/>
        <v/>
      </c>
      <c r="R730" s="104" t="str">
        <f t="shared" si="61"/>
        <v/>
      </c>
      <c r="S730" s="104" t="str">
        <f t="shared" si="62"/>
        <v/>
      </c>
      <c r="T730" s="104">
        <f t="shared" si="63"/>
        <v>58.825000000000003</v>
      </c>
      <c r="U730" s="104" t="str">
        <f t="shared" si="64"/>
        <v/>
      </c>
      <c r="V730" s="104" t="str">
        <f t="shared" si="65"/>
        <v/>
      </c>
      <c r="W730" s="105"/>
    </row>
    <row r="731" spans="1:23">
      <c r="A731" s="92"/>
      <c r="B731" s="121" t="s">
        <v>362</v>
      </c>
      <c r="C731" s="107"/>
      <c r="D731" s="117"/>
      <c r="E731" s="117"/>
      <c r="F731" s="118"/>
      <c r="G731" s="108"/>
      <c r="H731" s="98"/>
      <c r="I731" s="99"/>
      <c r="J731" s="101"/>
      <c r="K731" s="109"/>
      <c r="L731" s="110"/>
      <c r="M731" s="111"/>
      <c r="N731" s="99"/>
      <c r="O731" s="112"/>
      <c r="P731" s="112"/>
      <c r="Q731" s="104" t="str">
        <f t="shared" si="60"/>
        <v/>
      </c>
      <c r="R731" s="104" t="str">
        <f t="shared" si="61"/>
        <v/>
      </c>
      <c r="S731" s="104" t="str">
        <f t="shared" si="62"/>
        <v/>
      </c>
      <c r="T731" s="104" t="str">
        <f t="shared" si="63"/>
        <v/>
      </c>
      <c r="U731" s="104" t="str">
        <f t="shared" si="64"/>
        <v/>
      </c>
      <c r="V731" s="104" t="str">
        <f t="shared" si="65"/>
        <v/>
      </c>
      <c r="W731" s="105"/>
    </row>
    <row r="732" spans="1:23">
      <c r="A732" s="92"/>
      <c r="B732" s="123"/>
      <c r="C732" s="107"/>
      <c r="D732" s="117"/>
      <c r="E732" s="117"/>
      <c r="F732" s="118"/>
      <c r="G732" s="108"/>
      <c r="H732" s="98"/>
      <c r="I732" s="99"/>
      <c r="J732" s="101"/>
      <c r="K732" s="109"/>
      <c r="L732" s="110"/>
      <c r="M732" s="111"/>
      <c r="N732" s="99"/>
      <c r="O732" s="112"/>
      <c r="P732" s="112"/>
      <c r="Q732" s="104" t="str">
        <f t="shared" si="60"/>
        <v/>
      </c>
      <c r="R732" s="104" t="str">
        <f t="shared" si="61"/>
        <v/>
      </c>
      <c r="S732" s="104" t="str">
        <f t="shared" si="62"/>
        <v/>
      </c>
      <c r="T732" s="104" t="str">
        <f t="shared" si="63"/>
        <v/>
      </c>
      <c r="U732" s="104" t="str">
        <f t="shared" si="64"/>
        <v/>
      </c>
      <c r="V732" s="104" t="str">
        <f t="shared" si="65"/>
        <v/>
      </c>
      <c r="W732" s="105"/>
    </row>
    <row r="733" spans="1:23" ht="15" customHeight="1">
      <c r="A733" s="92">
        <v>40</v>
      </c>
      <c r="B733" s="121" t="s">
        <v>428</v>
      </c>
      <c r="C733" s="122"/>
      <c r="D733" s="797">
        <v>3.12</v>
      </c>
      <c r="E733" s="797"/>
      <c r="F733" s="118"/>
      <c r="G733" s="108">
        <v>0.25</v>
      </c>
      <c r="H733" s="98">
        <v>20</v>
      </c>
      <c r="I733" s="99">
        <v>1</v>
      </c>
      <c r="J733" s="101">
        <f>ROUND(3.165/G733+1,0)</f>
        <v>14</v>
      </c>
      <c r="K733" s="109">
        <f>D733</f>
        <v>3.12</v>
      </c>
      <c r="L733" s="110" t="str">
        <f>IF(O733&lt;12,"0",0.049*H733)</f>
        <v>0</v>
      </c>
      <c r="M733" s="111">
        <v>0</v>
      </c>
      <c r="N733" s="99">
        <f>M733*2*H733/1000</f>
        <v>0</v>
      </c>
      <c r="O733" s="112">
        <f>(D733)-N733</f>
        <v>3.12</v>
      </c>
      <c r="P733" s="112">
        <f>(I733*J733*O733)+L733</f>
        <v>43.68</v>
      </c>
      <c r="Q733" s="104" t="str">
        <f t="shared" si="60"/>
        <v/>
      </c>
      <c r="R733" s="104" t="str">
        <f t="shared" si="61"/>
        <v/>
      </c>
      <c r="S733" s="104" t="str">
        <f t="shared" si="62"/>
        <v/>
      </c>
      <c r="T733" s="104" t="str">
        <f t="shared" si="63"/>
        <v/>
      </c>
      <c r="U733" s="104">
        <f t="shared" si="64"/>
        <v>43.68</v>
      </c>
      <c r="V733" s="104" t="str">
        <f t="shared" si="65"/>
        <v/>
      </c>
      <c r="W733" s="105"/>
    </row>
    <row r="734" spans="1:23">
      <c r="A734" s="92"/>
      <c r="B734" s="121" t="s">
        <v>363</v>
      </c>
      <c r="C734" s="107"/>
      <c r="D734" s="117"/>
      <c r="E734" s="117"/>
      <c r="F734" s="118"/>
      <c r="G734" s="108"/>
      <c r="H734" s="98"/>
      <c r="I734" s="99"/>
      <c r="J734" s="101"/>
      <c r="K734" s="109"/>
      <c r="L734" s="110"/>
      <c r="M734" s="111"/>
      <c r="N734" s="99"/>
      <c r="O734" s="112"/>
      <c r="P734" s="112"/>
      <c r="Q734" s="104" t="str">
        <f t="shared" si="60"/>
        <v/>
      </c>
      <c r="R734" s="104" t="str">
        <f t="shared" si="61"/>
        <v/>
      </c>
      <c r="S734" s="104" t="str">
        <f t="shared" si="62"/>
        <v/>
      </c>
      <c r="T734" s="104" t="str">
        <f t="shared" si="63"/>
        <v/>
      </c>
      <c r="U734" s="104" t="str">
        <f t="shared" si="64"/>
        <v/>
      </c>
      <c r="V734" s="104" t="str">
        <f t="shared" si="65"/>
        <v/>
      </c>
      <c r="W734" s="105"/>
    </row>
    <row r="735" spans="1:23">
      <c r="A735" s="92"/>
      <c r="B735" s="123"/>
      <c r="C735" s="107"/>
      <c r="D735" s="117"/>
      <c r="E735" s="117"/>
      <c r="F735" s="118"/>
      <c r="G735" s="108"/>
      <c r="H735" s="98"/>
      <c r="I735" s="99"/>
      <c r="J735" s="101"/>
      <c r="K735" s="109"/>
      <c r="L735" s="110"/>
      <c r="M735" s="111"/>
      <c r="N735" s="99"/>
      <c r="O735" s="112"/>
      <c r="P735" s="112"/>
      <c r="Q735" s="104" t="str">
        <f t="shared" si="60"/>
        <v/>
      </c>
      <c r="R735" s="104" t="str">
        <f t="shared" si="61"/>
        <v/>
      </c>
      <c r="S735" s="104" t="str">
        <f t="shared" si="62"/>
        <v/>
      </c>
      <c r="T735" s="104" t="str">
        <f t="shared" si="63"/>
        <v/>
      </c>
      <c r="U735" s="104" t="str">
        <f t="shared" si="64"/>
        <v/>
      </c>
      <c r="V735" s="104" t="str">
        <f t="shared" si="65"/>
        <v/>
      </c>
      <c r="W735" s="105"/>
    </row>
    <row r="736" spans="1:23" ht="15" customHeight="1">
      <c r="A736" s="92">
        <v>41</v>
      </c>
      <c r="B736" s="121" t="s">
        <v>428</v>
      </c>
      <c r="C736" s="122"/>
      <c r="D736" s="797">
        <v>2.85</v>
      </c>
      <c r="E736" s="797"/>
      <c r="F736" s="118"/>
      <c r="G736" s="108">
        <v>0.25</v>
      </c>
      <c r="H736" s="98">
        <v>16</v>
      </c>
      <c r="I736" s="99">
        <v>1</v>
      </c>
      <c r="J736" s="101">
        <f>ROUND(5.47/G736+1,0)</f>
        <v>23</v>
      </c>
      <c r="K736" s="109">
        <f>D736</f>
        <v>2.85</v>
      </c>
      <c r="L736" s="110" t="str">
        <f>IF(O736&lt;12,"0",0.049*H736)</f>
        <v>0</v>
      </c>
      <c r="M736" s="111">
        <v>0</v>
      </c>
      <c r="N736" s="99">
        <f>M736*2*H736/1000</f>
        <v>0</v>
      </c>
      <c r="O736" s="112">
        <f>(D736)-N736</f>
        <v>2.85</v>
      </c>
      <c r="P736" s="112">
        <f>(I736*J736*O736)+L736</f>
        <v>65.55</v>
      </c>
      <c r="Q736" s="104" t="str">
        <f t="shared" si="60"/>
        <v/>
      </c>
      <c r="R736" s="104" t="str">
        <f t="shared" si="61"/>
        <v/>
      </c>
      <c r="S736" s="104" t="str">
        <f t="shared" si="62"/>
        <v/>
      </c>
      <c r="T736" s="104">
        <f t="shared" si="63"/>
        <v>65.55</v>
      </c>
      <c r="U736" s="104" t="str">
        <f t="shared" si="64"/>
        <v/>
      </c>
      <c r="V736" s="104" t="str">
        <f t="shared" si="65"/>
        <v/>
      </c>
      <c r="W736" s="105"/>
    </row>
    <row r="737" spans="1:23">
      <c r="A737" s="92"/>
      <c r="B737" s="121" t="s">
        <v>363</v>
      </c>
      <c r="C737" s="107"/>
      <c r="D737" s="117"/>
      <c r="E737" s="117"/>
      <c r="F737" s="118"/>
      <c r="G737" s="108"/>
      <c r="H737" s="98"/>
      <c r="I737" s="99"/>
      <c r="J737" s="101"/>
      <c r="K737" s="109"/>
      <c r="L737" s="110"/>
      <c r="M737" s="111"/>
      <c r="N737" s="99"/>
      <c r="O737" s="112"/>
      <c r="P737" s="112"/>
      <c r="Q737" s="104" t="str">
        <f t="shared" si="60"/>
        <v/>
      </c>
      <c r="R737" s="104" t="str">
        <f t="shared" si="61"/>
        <v/>
      </c>
      <c r="S737" s="104" t="str">
        <f t="shared" si="62"/>
        <v/>
      </c>
      <c r="T737" s="104" t="str">
        <f t="shared" si="63"/>
        <v/>
      </c>
      <c r="U737" s="104" t="str">
        <f t="shared" si="64"/>
        <v/>
      </c>
      <c r="V737" s="104" t="str">
        <f t="shared" si="65"/>
        <v/>
      </c>
      <c r="W737" s="105"/>
    </row>
    <row r="738" spans="1:23">
      <c r="A738" s="92"/>
      <c r="B738" s="123"/>
      <c r="C738" s="107"/>
      <c r="D738" s="117"/>
      <c r="E738" s="117"/>
      <c r="F738" s="118"/>
      <c r="G738" s="108"/>
      <c r="H738" s="98"/>
      <c r="I738" s="99"/>
      <c r="J738" s="101"/>
      <c r="K738" s="109"/>
      <c r="L738" s="110"/>
      <c r="M738" s="111"/>
      <c r="N738" s="99"/>
      <c r="O738" s="112"/>
      <c r="P738" s="112"/>
      <c r="Q738" s="104" t="str">
        <f t="shared" si="60"/>
        <v/>
      </c>
      <c r="R738" s="104" t="str">
        <f t="shared" si="61"/>
        <v/>
      </c>
      <c r="S738" s="104" t="str">
        <f t="shared" si="62"/>
        <v/>
      </c>
      <c r="T738" s="104" t="str">
        <f t="shared" si="63"/>
        <v/>
      </c>
      <c r="U738" s="104" t="str">
        <f t="shared" si="64"/>
        <v/>
      </c>
      <c r="V738" s="104" t="str">
        <f t="shared" si="65"/>
        <v/>
      </c>
      <c r="W738" s="105"/>
    </row>
    <row r="739" spans="1:23" ht="15" customHeight="1">
      <c r="A739" s="92">
        <v>42</v>
      </c>
      <c r="B739" s="121" t="s">
        <v>429</v>
      </c>
      <c r="C739" s="122"/>
      <c r="D739" s="797">
        <v>4.12</v>
      </c>
      <c r="E739" s="797"/>
      <c r="F739" s="118"/>
      <c r="G739" s="108">
        <v>0.25</v>
      </c>
      <c r="H739" s="98">
        <v>20</v>
      </c>
      <c r="I739" s="99">
        <v>1</v>
      </c>
      <c r="J739" s="101">
        <f>ROUND(8.16/G739+1,0)</f>
        <v>34</v>
      </c>
      <c r="K739" s="109">
        <f>D739</f>
        <v>4.12</v>
      </c>
      <c r="L739" s="110" t="str">
        <f>IF(O739&lt;12,"0",0.049*H739)</f>
        <v>0</v>
      </c>
      <c r="M739" s="111">
        <v>0</v>
      </c>
      <c r="N739" s="99">
        <f>M739*2*H739/1000</f>
        <v>0</v>
      </c>
      <c r="O739" s="112">
        <f>(D739)-N739</f>
        <v>4.12</v>
      </c>
      <c r="P739" s="112">
        <f>(I739*J739*O739)+L739</f>
        <v>140.08000000000001</v>
      </c>
      <c r="Q739" s="104" t="str">
        <f t="shared" si="60"/>
        <v/>
      </c>
      <c r="R739" s="104" t="str">
        <f t="shared" si="61"/>
        <v/>
      </c>
      <c r="S739" s="104" t="str">
        <f t="shared" si="62"/>
        <v/>
      </c>
      <c r="T739" s="104" t="str">
        <f t="shared" si="63"/>
        <v/>
      </c>
      <c r="U739" s="104">
        <f t="shared" si="64"/>
        <v>140.08000000000001</v>
      </c>
      <c r="V739" s="104" t="str">
        <f t="shared" si="65"/>
        <v/>
      </c>
      <c r="W739" s="105"/>
    </row>
    <row r="740" spans="1:23">
      <c r="A740" s="92"/>
      <c r="B740" s="121" t="s">
        <v>363</v>
      </c>
      <c r="C740" s="107"/>
      <c r="D740" s="117"/>
      <c r="E740" s="117"/>
      <c r="F740" s="118"/>
      <c r="G740" s="108"/>
      <c r="H740" s="98"/>
      <c r="I740" s="99"/>
      <c r="J740" s="101"/>
      <c r="K740" s="109"/>
      <c r="L740" s="110"/>
      <c r="M740" s="111"/>
      <c r="N740" s="99"/>
      <c r="O740" s="112"/>
      <c r="P740" s="112"/>
      <c r="Q740" s="104" t="str">
        <f t="shared" si="60"/>
        <v/>
      </c>
      <c r="R740" s="104" t="str">
        <f t="shared" si="61"/>
        <v/>
      </c>
      <c r="S740" s="104" t="str">
        <f t="shared" si="62"/>
        <v/>
      </c>
      <c r="T740" s="104" t="str">
        <f t="shared" si="63"/>
        <v/>
      </c>
      <c r="U740" s="104" t="str">
        <f t="shared" si="64"/>
        <v/>
      </c>
      <c r="V740" s="104" t="str">
        <f t="shared" si="65"/>
        <v/>
      </c>
      <c r="W740" s="105"/>
    </row>
    <row r="741" spans="1:23">
      <c r="A741" s="92"/>
      <c r="B741" s="123"/>
      <c r="C741" s="107"/>
      <c r="D741" s="117"/>
      <c r="E741" s="117"/>
      <c r="F741" s="118"/>
      <c r="G741" s="108"/>
      <c r="H741" s="98"/>
      <c r="I741" s="99"/>
      <c r="J741" s="101"/>
      <c r="K741" s="109"/>
      <c r="L741" s="110"/>
      <c r="M741" s="111"/>
      <c r="N741" s="99"/>
      <c r="O741" s="112"/>
      <c r="P741" s="112"/>
      <c r="Q741" s="104" t="str">
        <f t="shared" si="60"/>
        <v/>
      </c>
      <c r="R741" s="104" t="str">
        <f t="shared" si="61"/>
        <v/>
      </c>
      <c r="S741" s="104" t="str">
        <f t="shared" si="62"/>
        <v/>
      </c>
      <c r="T741" s="104" t="str">
        <f t="shared" si="63"/>
        <v/>
      </c>
      <c r="U741" s="104" t="str">
        <f t="shared" si="64"/>
        <v/>
      </c>
      <c r="V741" s="104" t="str">
        <f t="shared" si="65"/>
        <v/>
      </c>
      <c r="W741" s="105"/>
    </row>
    <row r="742" spans="1:23" ht="15" customHeight="1">
      <c r="A742" s="92">
        <v>43</v>
      </c>
      <c r="B742" s="121" t="s">
        <v>429</v>
      </c>
      <c r="C742" s="122"/>
      <c r="D742" s="797">
        <v>4.1900000000000004</v>
      </c>
      <c r="E742" s="797"/>
      <c r="F742" s="118"/>
      <c r="G742" s="108">
        <v>0.25</v>
      </c>
      <c r="H742" s="98">
        <v>12</v>
      </c>
      <c r="I742" s="99">
        <v>1</v>
      </c>
      <c r="J742" s="101">
        <f>ROUND(2.56/G742+1,0)</f>
        <v>11</v>
      </c>
      <c r="K742" s="109">
        <f>D742</f>
        <v>4.1900000000000004</v>
      </c>
      <c r="L742" s="110" t="str">
        <f>IF(O742&lt;12,"0",0.049*H742)</f>
        <v>0</v>
      </c>
      <c r="M742" s="111">
        <v>0</v>
      </c>
      <c r="N742" s="99">
        <f>M742*2*H742/1000</f>
        <v>0</v>
      </c>
      <c r="O742" s="112">
        <f>(D742)-N742</f>
        <v>4.1900000000000004</v>
      </c>
      <c r="P742" s="112">
        <f>(I742*J742*O742)+L742</f>
        <v>46.09</v>
      </c>
      <c r="Q742" s="104" t="str">
        <f t="shared" si="60"/>
        <v/>
      </c>
      <c r="R742" s="104" t="str">
        <f t="shared" si="61"/>
        <v/>
      </c>
      <c r="S742" s="104">
        <f t="shared" si="62"/>
        <v>46.09</v>
      </c>
      <c r="T742" s="104" t="str">
        <f t="shared" si="63"/>
        <v/>
      </c>
      <c r="U742" s="104" t="str">
        <f t="shared" si="64"/>
        <v/>
      </c>
      <c r="V742" s="104" t="str">
        <f t="shared" si="65"/>
        <v/>
      </c>
      <c r="W742" s="105"/>
    </row>
    <row r="743" spans="1:23">
      <c r="A743" s="92"/>
      <c r="B743" s="121" t="s">
        <v>363</v>
      </c>
      <c r="C743" s="107"/>
      <c r="D743" s="117"/>
      <c r="E743" s="117"/>
      <c r="F743" s="118"/>
      <c r="G743" s="108"/>
      <c r="H743" s="98"/>
      <c r="I743" s="99"/>
      <c r="J743" s="101"/>
      <c r="K743" s="109"/>
      <c r="L743" s="110"/>
      <c r="M743" s="111"/>
      <c r="N743" s="99"/>
      <c r="O743" s="112"/>
      <c r="P743" s="112"/>
      <c r="Q743" s="104" t="str">
        <f t="shared" si="60"/>
        <v/>
      </c>
      <c r="R743" s="104" t="str">
        <f t="shared" si="61"/>
        <v/>
      </c>
      <c r="S743" s="104" t="str">
        <f t="shared" si="62"/>
        <v/>
      </c>
      <c r="T743" s="104" t="str">
        <f t="shared" si="63"/>
        <v/>
      </c>
      <c r="U743" s="104" t="str">
        <f t="shared" si="64"/>
        <v/>
      </c>
      <c r="V743" s="104" t="str">
        <f t="shared" si="65"/>
        <v/>
      </c>
      <c r="W743" s="105"/>
    </row>
    <row r="744" spans="1:23">
      <c r="A744" s="92"/>
      <c r="B744" s="123"/>
      <c r="C744" s="107"/>
      <c r="D744" s="117"/>
      <c r="E744" s="117"/>
      <c r="F744" s="118"/>
      <c r="G744" s="108"/>
      <c r="H744" s="98"/>
      <c r="I744" s="99"/>
      <c r="J744" s="101"/>
      <c r="K744" s="109"/>
      <c r="L744" s="110"/>
      <c r="M744" s="111"/>
      <c r="N744" s="99"/>
      <c r="O744" s="112"/>
      <c r="P744" s="112"/>
      <c r="Q744" s="104" t="str">
        <f t="shared" si="60"/>
        <v/>
      </c>
      <c r="R744" s="104" t="str">
        <f t="shared" si="61"/>
        <v/>
      </c>
      <c r="S744" s="104" t="str">
        <f t="shared" si="62"/>
        <v/>
      </c>
      <c r="T744" s="104" t="str">
        <f t="shared" si="63"/>
        <v/>
      </c>
      <c r="U744" s="104" t="str">
        <f t="shared" si="64"/>
        <v/>
      </c>
      <c r="V744" s="104" t="str">
        <f t="shared" si="65"/>
        <v/>
      </c>
      <c r="W744" s="105"/>
    </row>
    <row r="745" spans="1:23" ht="15" customHeight="1">
      <c r="A745" s="92">
        <v>44</v>
      </c>
      <c r="B745" s="121" t="s">
        <v>429</v>
      </c>
      <c r="C745" s="122"/>
      <c r="D745" s="797">
        <v>7.68</v>
      </c>
      <c r="E745" s="797"/>
      <c r="F745" s="118"/>
      <c r="G745" s="108">
        <v>0.25</v>
      </c>
      <c r="H745" s="98">
        <v>12</v>
      </c>
      <c r="I745" s="99">
        <v>1</v>
      </c>
      <c r="J745" s="101">
        <f>ROUND(2.635/G745+1,0)</f>
        <v>12</v>
      </c>
      <c r="K745" s="109">
        <f>D745</f>
        <v>7.68</v>
      </c>
      <c r="L745" s="110" t="str">
        <f>IF(O745&lt;12,"0",0.049*H745)</f>
        <v>0</v>
      </c>
      <c r="M745" s="111">
        <v>0</v>
      </c>
      <c r="N745" s="99">
        <f>M745*2*H745/1000</f>
        <v>0</v>
      </c>
      <c r="O745" s="112">
        <f>(D745)-N745</f>
        <v>7.68</v>
      </c>
      <c r="P745" s="112">
        <f>(I745*J745*O745)+L745</f>
        <v>92.16</v>
      </c>
      <c r="Q745" s="104" t="str">
        <f t="shared" si="60"/>
        <v/>
      </c>
      <c r="R745" s="104" t="str">
        <f t="shared" si="61"/>
        <v/>
      </c>
      <c r="S745" s="104">
        <f t="shared" si="62"/>
        <v>92.16</v>
      </c>
      <c r="T745" s="104" t="str">
        <f t="shared" si="63"/>
        <v/>
      </c>
      <c r="U745" s="104" t="str">
        <f t="shared" si="64"/>
        <v/>
      </c>
      <c r="V745" s="104" t="str">
        <f t="shared" si="65"/>
        <v/>
      </c>
      <c r="W745" s="105"/>
    </row>
    <row r="746" spans="1:23">
      <c r="A746" s="92"/>
      <c r="B746" s="121" t="s">
        <v>363</v>
      </c>
      <c r="C746" s="107"/>
      <c r="D746" s="117"/>
      <c r="E746" s="117"/>
      <c r="F746" s="118"/>
      <c r="G746" s="108"/>
      <c r="H746" s="98"/>
      <c r="I746" s="99"/>
      <c r="J746" s="101"/>
      <c r="K746" s="109"/>
      <c r="L746" s="110"/>
      <c r="M746" s="111"/>
      <c r="N746" s="99"/>
      <c r="O746" s="112"/>
      <c r="P746" s="112"/>
      <c r="Q746" s="104" t="str">
        <f t="shared" si="60"/>
        <v/>
      </c>
      <c r="R746" s="104" t="str">
        <f t="shared" si="61"/>
        <v/>
      </c>
      <c r="S746" s="104" t="str">
        <f t="shared" si="62"/>
        <v/>
      </c>
      <c r="T746" s="104" t="str">
        <f t="shared" si="63"/>
        <v/>
      </c>
      <c r="U746" s="104" t="str">
        <f t="shared" si="64"/>
        <v/>
      </c>
      <c r="V746" s="104" t="str">
        <f t="shared" si="65"/>
        <v/>
      </c>
      <c r="W746" s="105"/>
    </row>
    <row r="747" spans="1:23">
      <c r="A747" s="92"/>
      <c r="B747" s="123"/>
      <c r="C747" s="107"/>
      <c r="D747" s="117"/>
      <c r="E747" s="117"/>
      <c r="F747" s="118"/>
      <c r="G747" s="108"/>
      <c r="H747" s="98"/>
      <c r="I747" s="99"/>
      <c r="J747" s="101"/>
      <c r="K747" s="109"/>
      <c r="L747" s="110"/>
      <c r="M747" s="111"/>
      <c r="N747" s="99"/>
      <c r="O747" s="112"/>
      <c r="P747" s="112"/>
      <c r="Q747" s="104" t="str">
        <f t="shared" si="60"/>
        <v/>
      </c>
      <c r="R747" s="104" t="str">
        <f t="shared" si="61"/>
        <v/>
      </c>
      <c r="S747" s="104" t="str">
        <f t="shared" si="62"/>
        <v/>
      </c>
      <c r="T747" s="104" t="str">
        <f t="shared" si="63"/>
        <v/>
      </c>
      <c r="U747" s="104" t="str">
        <f t="shared" si="64"/>
        <v/>
      </c>
      <c r="V747" s="104" t="str">
        <f t="shared" si="65"/>
        <v/>
      </c>
      <c r="W747" s="105"/>
    </row>
    <row r="748" spans="1:23" ht="15" customHeight="1">
      <c r="A748" s="92">
        <v>45</v>
      </c>
      <c r="B748" s="121" t="s">
        <v>429</v>
      </c>
      <c r="C748" s="122"/>
      <c r="D748" s="797">
        <v>3.915</v>
      </c>
      <c r="E748" s="797"/>
      <c r="F748" s="118"/>
      <c r="G748" s="108">
        <v>0.25</v>
      </c>
      <c r="H748" s="98">
        <v>20</v>
      </c>
      <c r="I748" s="99">
        <v>1</v>
      </c>
      <c r="J748" s="101">
        <f>ROUND(4.5/G748+1,0)</f>
        <v>19</v>
      </c>
      <c r="K748" s="109">
        <f>D748</f>
        <v>3.915</v>
      </c>
      <c r="L748" s="110" t="str">
        <f>IF(O748&lt;12,"0",0.049*H748)</f>
        <v>0</v>
      </c>
      <c r="M748" s="111">
        <v>0</v>
      </c>
      <c r="N748" s="99">
        <f>M748*2*H748/1000</f>
        <v>0</v>
      </c>
      <c r="O748" s="112">
        <f>(D748)-N748</f>
        <v>3.915</v>
      </c>
      <c r="P748" s="112">
        <f>(I748*J748*O748)+L748</f>
        <v>74.385000000000005</v>
      </c>
      <c r="Q748" s="104" t="str">
        <f t="shared" si="60"/>
        <v/>
      </c>
      <c r="R748" s="104" t="str">
        <f t="shared" si="61"/>
        <v/>
      </c>
      <c r="S748" s="104" t="str">
        <f t="shared" si="62"/>
        <v/>
      </c>
      <c r="T748" s="104" t="str">
        <f t="shared" si="63"/>
        <v/>
      </c>
      <c r="U748" s="104">
        <f t="shared" si="64"/>
        <v>74.385000000000005</v>
      </c>
      <c r="V748" s="104" t="str">
        <f t="shared" si="65"/>
        <v/>
      </c>
      <c r="W748" s="105"/>
    </row>
    <row r="749" spans="1:23">
      <c r="A749" s="92"/>
      <c r="B749" s="121" t="s">
        <v>364</v>
      </c>
      <c r="C749" s="107"/>
      <c r="D749" s="117"/>
      <c r="E749" s="117"/>
      <c r="F749" s="118"/>
      <c r="G749" s="108"/>
      <c r="H749" s="98"/>
      <c r="I749" s="99"/>
      <c r="J749" s="101"/>
      <c r="K749" s="109"/>
      <c r="L749" s="110"/>
      <c r="M749" s="111"/>
      <c r="N749" s="99"/>
      <c r="O749" s="112"/>
      <c r="P749" s="112"/>
      <c r="Q749" s="104" t="str">
        <f t="shared" ref="Q749:Q782" si="66">IF($H749=8,$P749,"")</f>
        <v/>
      </c>
      <c r="R749" s="104" t="str">
        <f t="shared" ref="R749:R782" si="67">IF($H749=10,$P749,"")</f>
        <v/>
      </c>
      <c r="S749" s="104" t="str">
        <f t="shared" ref="S749:S782" si="68">IF($H749=12,$P749,"")</f>
        <v/>
      </c>
      <c r="T749" s="104" t="str">
        <f t="shared" ref="T749:T782" si="69">IF($H749=16,$P749,"")</f>
        <v/>
      </c>
      <c r="U749" s="104" t="str">
        <f t="shared" ref="U749:U782" si="70">IF($H749=20,$P749,"")</f>
        <v/>
      </c>
      <c r="V749" s="104" t="str">
        <f t="shared" ref="V749:V782" si="71">IF($H749=25,$P749,"")</f>
        <v/>
      </c>
      <c r="W749" s="105"/>
    </row>
    <row r="750" spans="1:23">
      <c r="A750" s="92"/>
      <c r="B750" s="123"/>
      <c r="C750" s="107"/>
      <c r="D750" s="117"/>
      <c r="E750" s="117"/>
      <c r="F750" s="118"/>
      <c r="G750" s="108"/>
      <c r="H750" s="98"/>
      <c r="I750" s="99"/>
      <c r="J750" s="101"/>
      <c r="K750" s="109"/>
      <c r="L750" s="110"/>
      <c r="M750" s="111"/>
      <c r="N750" s="99"/>
      <c r="O750" s="112"/>
      <c r="P750" s="112"/>
      <c r="Q750" s="104" t="str">
        <f t="shared" si="66"/>
        <v/>
      </c>
      <c r="R750" s="104" t="str">
        <f t="shared" si="67"/>
        <v/>
      </c>
      <c r="S750" s="104" t="str">
        <f t="shared" si="68"/>
        <v/>
      </c>
      <c r="T750" s="104" t="str">
        <f t="shared" si="69"/>
        <v/>
      </c>
      <c r="U750" s="104" t="str">
        <f t="shared" si="70"/>
        <v/>
      </c>
      <c r="V750" s="104" t="str">
        <f t="shared" si="71"/>
        <v/>
      </c>
      <c r="W750" s="105"/>
    </row>
    <row r="751" spans="1:23" ht="15" customHeight="1">
      <c r="A751" s="92">
        <v>46</v>
      </c>
      <c r="B751" s="121" t="s">
        <v>429</v>
      </c>
      <c r="C751" s="122"/>
      <c r="D751" s="797">
        <v>4.5</v>
      </c>
      <c r="E751" s="797"/>
      <c r="F751" s="118"/>
      <c r="G751" s="108">
        <v>0.25</v>
      </c>
      <c r="H751" s="98">
        <v>16</v>
      </c>
      <c r="I751" s="99">
        <v>1</v>
      </c>
      <c r="J751" s="101">
        <f>ROUND(3.915/G751+1,0)</f>
        <v>17</v>
      </c>
      <c r="K751" s="109">
        <f>D751</f>
        <v>4.5</v>
      </c>
      <c r="L751" s="110" t="str">
        <f>IF(O751&lt;12,"0",0.049*H751)</f>
        <v>0</v>
      </c>
      <c r="M751" s="111">
        <v>0</v>
      </c>
      <c r="N751" s="99">
        <f>M751*2*H751/1000</f>
        <v>0</v>
      </c>
      <c r="O751" s="112">
        <f>(D751)-N751</f>
        <v>4.5</v>
      </c>
      <c r="P751" s="112">
        <f>(I751*J751*O751)+L751</f>
        <v>76.5</v>
      </c>
      <c r="Q751" s="104" t="str">
        <f t="shared" si="66"/>
        <v/>
      </c>
      <c r="R751" s="104" t="str">
        <f t="shared" si="67"/>
        <v/>
      </c>
      <c r="S751" s="104" t="str">
        <f t="shared" si="68"/>
        <v/>
      </c>
      <c r="T751" s="104">
        <f t="shared" si="69"/>
        <v>76.5</v>
      </c>
      <c r="U751" s="104" t="str">
        <f t="shared" si="70"/>
        <v/>
      </c>
      <c r="V751" s="104" t="str">
        <f t="shared" si="71"/>
        <v/>
      </c>
      <c r="W751" s="105"/>
    </row>
    <row r="752" spans="1:23">
      <c r="A752" s="92"/>
      <c r="B752" s="121" t="s">
        <v>364</v>
      </c>
      <c r="C752" s="107"/>
      <c r="D752" s="117"/>
      <c r="E752" s="117"/>
      <c r="F752" s="118"/>
      <c r="G752" s="108"/>
      <c r="H752" s="98"/>
      <c r="I752" s="99"/>
      <c r="J752" s="101"/>
      <c r="K752" s="109"/>
      <c r="L752" s="110"/>
      <c r="M752" s="111"/>
      <c r="N752" s="99"/>
      <c r="O752" s="112"/>
      <c r="P752" s="112"/>
      <c r="Q752" s="104" t="str">
        <f t="shared" si="66"/>
        <v/>
      </c>
      <c r="R752" s="104" t="str">
        <f t="shared" si="67"/>
        <v/>
      </c>
      <c r="S752" s="104" t="str">
        <f t="shared" si="68"/>
        <v/>
      </c>
      <c r="T752" s="104" t="str">
        <f t="shared" si="69"/>
        <v/>
      </c>
      <c r="U752" s="104" t="str">
        <f t="shared" si="70"/>
        <v/>
      </c>
      <c r="V752" s="104" t="str">
        <f t="shared" si="71"/>
        <v/>
      </c>
      <c r="W752" s="105"/>
    </row>
    <row r="753" spans="1:23">
      <c r="A753" s="92"/>
      <c r="B753" s="123"/>
      <c r="C753" s="107"/>
      <c r="D753" s="117"/>
      <c r="E753" s="117"/>
      <c r="F753" s="118"/>
      <c r="G753" s="108"/>
      <c r="H753" s="98"/>
      <c r="I753" s="99"/>
      <c r="J753" s="101"/>
      <c r="K753" s="109"/>
      <c r="L753" s="110"/>
      <c r="M753" s="111"/>
      <c r="N753" s="99"/>
      <c r="O753" s="112"/>
      <c r="P753" s="112"/>
      <c r="Q753" s="104" t="str">
        <f t="shared" si="66"/>
        <v/>
      </c>
      <c r="R753" s="104" t="str">
        <f t="shared" si="67"/>
        <v/>
      </c>
      <c r="S753" s="104" t="str">
        <f t="shared" si="68"/>
        <v/>
      </c>
      <c r="T753" s="104" t="str">
        <f t="shared" si="69"/>
        <v/>
      </c>
      <c r="U753" s="104" t="str">
        <f t="shared" si="70"/>
        <v/>
      </c>
      <c r="V753" s="104" t="str">
        <f t="shared" si="71"/>
        <v/>
      </c>
      <c r="W753" s="105"/>
    </row>
    <row r="754" spans="1:23" ht="15" customHeight="1">
      <c r="A754" s="92">
        <v>47</v>
      </c>
      <c r="B754" s="121" t="s">
        <v>429</v>
      </c>
      <c r="C754" s="122"/>
      <c r="D754" s="797">
        <v>4.55</v>
      </c>
      <c r="E754" s="797"/>
      <c r="F754" s="118"/>
      <c r="G754" s="108">
        <v>0.25</v>
      </c>
      <c r="H754" s="98">
        <v>10</v>
      </c>
      <c r="I754" s="99">
        <v>1</v>
      </c>
      <c r="J754" s="101">
        <f>ROUND(4.5/G754+1,0)</f>
        <v>19</v>
      </c>
      <c r="K754" s="109">
        <f>D754</f>
        <v>4.55</v>
      </c>
      <c r="L754" s="110" t="str">
        <f>IF(O754&lt;12,"0",0.049*H754)</f>
        <v>0</v>
      </c>
      <c r="M754" s="111">
        <v>0</v>
      </c>
      <c r="N754" s="99">
        <f>M754*2*H754/1000</f>
        <v>0</v>
      </c>
      <c r="O754" s="112">
        <f>(D754)-N754</f>
        <v>4.55</v>
      </c>
      <c r="P754" s="112">
        <f>(I754*J754*O754)+L754</f>
        <v>86.45</v>
      </c>
      <c r="Q754" s="104" t="str">
        <f t="shared" si="66"/>
        <v/>
      </c>
      <c r="R754" s="104">
        <f t="shared" si="67"/>
        <v>86.45</v>
      </c>
      <c r="S754" s="104" t="str">
        <f t="shared" si="68"/>
        <v/>
      </c>
      <c r="T754" s="104" t="str">
        <f t="shared" si="69"/>
        <v/>
      </c>
      <c r="U754" s="104" t="str">
        <f t="shared" si="70"/>
        <v/>
      </c>
      <c r="V754" s="104" t="str">
        <f t="shared" si="71"/>
        <v/>
      </c>
      <c r="W754" s="105"/>
    </row>
    <row r="755" spans="1:23">
      <c r="A755" s="92"/>
      <c r="B755" s="121" t="s">
        <v>365</v>
      </c>
      <c r="C755" s="107"/>
      <c r="D755" s="117"/>
      <c r="E755" s="117"/>
      <c r="F755" s="118"/>
      <c r="G755" s="108"/>
      <c r="H755" s="98"/>
      <c r="I755" s="99"/>
      <c r="J755" s="101"/>
      <c r="K755" s="109"/>
      <c r="L755" s="110"/>
      <c r="M755" s="111"/>
      <c r="N755" s="99"/>
      <c r="O755" s="112"/>
      <c r="P755" s="112"/>
      <c r="Q755" s="104" t="str">
        <f t="shared" si="66"/>
        <v/>
      </c>
      <c r="R755" s="104" t="str">
        <f t="shared" si="67"/>
        <v/>
      </c>
      <c r="S755" s="104" t="str">
        <f t="shared" si="68"/>
        <v/>
      </c>
      <c r="T755" s="104" t="str">
        <f t="shared" si="69"/>
        <v/>
      </c>
      <c r="U755" s="104" t="str">
        <f t="shared" si="70"/>
        <v/>
      </c>
      <c r="V755" s="104" t="str">
        <f t="shared" si="71"/>
        <v/>
      </c>
      <c r="W755" s="105"/>
    </row>
    <row r="756" spans="1:23">
      <c r="A756" s="92"/>
      <c r="B756" s="123"/>
      <c r="C756" s="107"/>
      <c r="D756" s="117"/>
      <c r="E756" s="117"/>
      <c r="F756" s="118"/>
      <c r="G756" s="108"/>
      <c r="H756" s="98"/>
      <c r="I756" s="99"/>
      <c r="J756" s="101"/>
      <c r="K756" s="109"/>
      <c r="L756" s="110"/>
      <c r="M756" s="111"/>
      <c r="N756" s="99"/>
      <c r="O756" s="112"/>
      <c r="P756" s="112"/>
      <c r="Q756" s="104" t="str">
        <f t="shared" si="66"/>
        <v/>
      </c>
      <c r="R756" s="104" t="str">
        <f t="shared" si="67"/>
        <v/>
      </c>
      <c r="S756" s="104" t="str">
        <f t="shared" si="68"/>
        <v/>
      </c>
      <c r="T756" s="104" t="str">
        <f t="shared" si="69"/>
        <v/>
      </c>
      <c r="U756" s="104" t="str">
        <f t="shared" si="70"/>
        <v/>
      </c>
      <c r="V756" s="104" t="str">
        <f t="shared" si="71"/>
        <v/>
      </c>
      <c r="W756" s="105"/>
    </row>
    <row r="757" spans="1:23" ht="15" customHeight="1">
      <c r="A757" s="92">
        <v>48</v>
      </c>
      <c r="B757" s="121" t="s">
        <v>428</v>
      </c>
      <c r="C757" s="122"/>
      <c r="D757" s="797">
        <v>3.9750000000000001</v>
      </c>
      <c r="E757" s="797"/>
      <c r="F757" s="118"/>
      <c r="G757" s="108">
        <v>0.25</v>
      </c>
      <c r="H757" s="98">
        <v>25</v>
      </c>
      <c r="I757" s="99">
        <v>1</v>
      </c>
      <c r="J757" s="101">
        <f>ROUND(6.08/G757+1,0)</f>
        <v>25</v>
      </c>
      <c r="K757" s="109">
        <f>D757</f>
        <v>3.9750000000000001</v>
      </c>
      <c r="L757" s="110" t="str">
        <f>IF(O757&lt;12,"0",0.049*H757)</f>
        <v>0</v>
      </c>
      <c r="M757" s="111">
        <v>0</v>
      </c>
      <c r="N757" s="99">
        <f>M757*2*H757/1000</f>
        <v>0</v>
      </c>
      <c r="O757" s="112">
        <f>(D757)-N757</f>
        <v>3.9750000000000001</v>
      </c>
      <c r="P757" s="112">
        <f>(I757*J757*O757)+L757</f>
        <v>99.375</v>
      </c>
      <c r="Q757" s="104" t="str">
        <f t="shared" si="66"/>
        <v/>
      </c>
      <c r="R757" s="104" t="str">
        <f t="shared" si="67"/>
        <v/>
      </c>
      <c r="S757" s="104" t="str">
        <f t="shared" si="68"/>
        <v/>
      </c>
      <c r="T757" s="104" t="str">
        <f t="shared" si="69"/>
        <v/>
      </c>
      <c r="U757" s="104" t="str">
        <f t="shared" si="70"/>
        <v/>
      </c>
      <c r="V757" s="104">
        <f t="shared" si="71"/>
        <v>99.375</v>
      </c>
      <c r="W757" s="105"/>
    </row>
    <row r="758" spans="1:23">
      <c r="A758" s="92"/>
      <c r="B758" s="121" t="s">
        <v>366</v>
      </c>
      <c r="C758" s="107"/>
      <c r="D758" s="117"/>
      <c r="E758" s="117"/>
      <c r="F758" s="118"/>
      <c r="G758" s="108"/>
      <c r="H758" s="98"/>
      <c r="I758" s="99"/>
      <c r="J758" s="101"/>
      <c r="K758" s="109"/>
      <c r="L758" s="110"/>
      <c r="M758" s="111"/>
      <c r="N758" s="99"/>
      <c r="O758" s="112"/>
      <c r="P758" s="112"/>
      <c r="Q758" s="104" t="str">
        <f t="shared" si="66"/>
        <v/>
      </c>
      <c r="R758" s="104" t="str">
        <f t="shared" si="67"/>
        <v/>
      </c>
      <c r="S758" s="104" t="str">
        <f t="shared" si="68"/>
        <v/>
      </c>
      <c r="T758" s="104" t="str">
        <f t="shared" si="69"/>
        <v/>
      </c>
      <c r="U758" s="104" t="str">
        <f t="shared" si="70"/>
        <v/>
      </c>
      <c r="V758" s="104" t="str">
        <f t="shared" si="71"/>
        <v/>
      </c>
      <c r="W758" s="105"/>
    </row>
    <row r="759" spans="1:23">
      <c r="A759" s="92"/>
      <c r="B759" s="123"/>
      <c r="C759" s="107"/>
      <c r="D759" s="117"/>
      <c r="E759" s="117"/>
      <c r="F759" s="118"/>
      <c r="G759" s="108"/>
      <c r="H759" s="98"/>
      <c r="I759" s="99"/>
      <c r="J759" s="101"/>
      <c r="K759" s="109"/>
      <c r="L759" s="110"/>
      <c r="M759" s="111"/>
      <c r="N759" s="99"/>
      <c r="O759" s="112"/>
      <c r="P759" s="112"/>
      <c r="Q759" s="104" t="str">
        <f t="shared" si="66"/>
        <v/>
      </c>
      <c r="R759" s="104" t="str">
        <f t="shared" si="67"/>
        <v/>
      </c>
      <c r="S759" s="104" t="str">
        <f t="shared" si="68"/>
        <v/>
      </c>
      <c r="T759" s="104" t="str">
        <f t="shared" si="69"/>
        <v/>
      </c>
      <c r="U759" s="104" t="str">
        <f t="shared" si="70"/>
        <v/>
      </c>
      <c r="V759" s="104" t="str">
        <f t="shared" si="71"/>
        <v/>
      </c>
      <c r="W759" s="105"/>
    </row>
    <row r="760" spans="1:23" ht="15" customHeight="1">
      <c r="A760" s="92">
        <v>49</v>
      </c>
      <c r="B760" s="121" t="s">
        <v>429</v>
      </c>
      <c r="C760" s="122"/>
      <c r="D760" s="797">
        <v>6.08</v>
      </c>
      <c r="E760" s="797"/>
      <c r="F760" s="118"/>
      <c r="G760" s="108">
        <v>0.25</v>
      </c>
      <c r="H760" s="98">
        <v>16</v>
      </c>
      <c r="I760" s="99">
        <v>1</v>
      </c>
      <c r="J760" s="101">
        <f>ROUND(3.975/G760+1,0)</f>
        <v>17</v>
      </c>
      <c r="K760" s="109">
        <f>D760</f>
        <v>6.08</v>
      </c>
      <c r="L760" s="110" t="str">
        <f>IF(O760&lt;12,"0",0.049*H760)</f>
        <v>0</v>
      </c>
      <c r="M760" s="111">
        <v>0</v>
      </c>
      <c r="N760" s="99">
        <f>M760*2*H760/1000</f>
        <v>0</v>
      </c>
      <c r="O760" s="112">
        <f>(D760)-N760</f>
        <v>6.08</v>
      </c>
      <c r="P760" s="112">
        <f>(I760*J760*O760)+L760</f>
        <v>103.36</v>
      </c>
      <c r="Q760" s="104" t="str">
        <f t="shared" si="66"/>
        <v/>
      </c>
      <c r="R760" s="104" t="str">
        <f t="shared" si="67"/>
        <v/>
      </c>
      <c r="S760" s="104" t="str">
        <f t="shared" si="68"/>
        <v/>
      </c>
      <c r="T760" s="104">
        <f t="shared" si="69"/>
        <v>103.36</v>
      </c>
      <c r="U760" s="104" t="str">
        <f t="shared" si="70"/>
        <v/>
      </c>
      <c r="V760" s="104" t="str">
        <f t="shared" si="71"/>
        <v/>
      </c>
      <c r="W760" s="105"/>
    </row>
    <row r="761" spans="1:23">
      <c r="A761" s="92"/>
      <c r="B761" s="121" t="s">
        <v>366</v>
      </c>
      <c r="C761" s="107"/>
      <c r="D761" s="117"/>
      <c r="E761" s="117"/>
      <c r="F761" s="118"/>
      <c r="G761" s="108"/>
      <c r="H761" s="98"/>
      <c r="I761" s="99"/>
      <c r="J761" s="101"/>
      <c r="K761" s="109"/>
      <c r="L761" s="110"/>
      <c r="M761" s="111"/>
      <c r="N761" s="99"/>
      <c r="O761" s="112"/>
      <c r="P761" s="112"/>
      <c r="Q761" s="104" t="str">
        <f t="shared" si="66"/>
        <v/>
      </c>
      <c r="R761" s="104" t="str">
        <f t="shared" si="67"/>
        <v/>
      </c>
      <c r="S761" s="104" t="str">
        <f t="shared" si="68"/>
        <v/>
      </c>
      <c r="T761" s="104" t="str">
        <f t="shared" si="69"/>
        <v/>
      </c>
      <c r="U761" s="104" t="str">
        <f t="shared" si="70"/>
        <v/>
      </c>
      <c r="V761" s="104" t="str">
        <f t="shared" si="71"/>
        <v/>
      </c>
      <c r="W761" s="105"/>
    </row>
    <row r="762" spans="1:23">
      <c r="A762" s="92"/>
      <c r="B762" s="123"/>
      <c r="C762" s="107"/>
      <c r="D762" s="117"/>
      <c r="E762" s="117"/>
      <c r="F762" s="118"/>
      <c r="G762" s="108"/>
      <c r="H762" s="98"/>
      <c r="I762" s="99"/>
      <c r="J762" s="101"/>
      <c r="K762" s="109"/>
      <c r="L762" s="110"/>
      <c r="M762" s="111"/>
      <c r="N762" s="99"/>
      <c r="O762" s="112"/>
      <c r="P762" s="112"/>
      <c r="Q762" s="104" t="str">
        <f t="shared" si="66"/>
        <v/>
      </c>
      <c r="R762" s="104" t="str">
        <f t="shared" si="67"/>
        <v/>
      </c>
      <c r="S762" s="104" t="str">
        <f t="shared" si="68"/>
        <v/>
      </c>
      <c r="T762" s="104" t="str">
        <f t="shared" si="69"/>
        <v/>
      </c>
      <c r="U762" s="104" t="str">
        <f t="shared" si="70"/>
        <v/>
      </c>
      <c r="V762" s="104" t="str">
        <f t="shared" si="71"/>
        <v/>
      </c>
      <c r="W762" s="105"/>
    </row>
    <row r="763" spans="1:23" ht="15" customHeight="1">
      <c r="A763" s="92">
        <v>50</v>
      </c>
      <c r="B763" s="121" t="s">
        <v>428</v>
      </c>
      <c r="C763" s="122"/>
      <c r="D763" s="797">
        <v>1.95</v>
      </c>
      <c r="E763" s="797"/>
      <c r="F763" s="118"/>
      <c r="G763" s="108">
        <v>0.25</v>
      </c>
      <c r="H763" s="98">
        <v>12</v>
      </c>
      <c r="I763" s="99">
        <v>1</v>
      </c>
      <c r="J763" s="101">
        <f>ROUND(6.08/G763+1,0)</f>
        <v>25</v>
      </c>
      <c r="K763" s="109">
        <f>D763</f>
        <v>1.95</v>
      </c>
      <c r="L763" s="110" t="str">
        <f>IF(O763&lt;12,"0",0.049*H763)</f>
        <v>0</v>
      </c>
      <c r="M763" s="111">
        <v>0</v>
      </c>
      <c r="N763" s="99">
        <f>M763*2*H763/1000</f>
        <v>0</v>
      </c>
      <c r="O763" s="112">
        <f>(D763)-N763</f>
        <v>1.95</v>
      </c>
      <c r="P763" s="112">
        <f>(I763*J763*O763)+L763</f>
        <v>48.75</v>
      </c>
      <c r="Q763" s="104" t="str">
        <f t="shared" si="66"/>
        <v/>
      </c>
      <c r="R763" s="104" t="str">
        <f t="shared" si="67"/>
        <v/>
      </c>
      <c r="S763" s="104">
        <f t="shared" si="68"/>
        <v>48.75</v>
      </c>
      <c r="T763" s="104" t="str">
        <f t="shared" si="69"/>
        <v/>
      </c>
      <c r="U763" s="104" t="str">
        <f t="shared" si="70"/>
        <v/>
      </c>
      <c r="V763" s="104" t="str">
        <f t="shared" si="71"/>
        <v/>
      </c>
      <c r="W763" s="105"/>
    </row>
    <row r="764" spans="1:23">
      <c r="A764" s="92"/>
      <c r="B764" s="121" t="s">
        <v>367</v>
      </c>
      <c r="C764" s="107"/>
      <c r="D764" s="117"/>
      <c r="E764" s="117"/>
      <c r="F764" s="118"/>
      <c r="G764" s="108"/>
      <c r="H764" s="98"/>
      <c r="I764" s="99"/>
      <c r="J764" s="101"/>
      <c r="K764" s="109"/>
      <c r="L764" s="110"/>
      <c r="M764" s="111"/>
      <c r="N764" s="99"/>
      <c r="O764" s="112"/>
      <c r="P764" s="112"/>
      <c r="Q764" s="104" t="str">
        <f t="shared" si="66"/>
        <v/>
      </c>
      <c r="R764" s="104" t="str">
        <f t="shared" si="67"/>
        <v/>
      </c>
      <c r="S764" s="104" t="str">
        <f t="shared" si="68"/>
        <v/>
      </c>
      <c r="T764" s="104" t="str">
        <f t="shared" si="69"/>
        <v/>
      </c>
      <c r="U764" s="104" t="str">
        <f t="shared" si="70"/>
        <v/>
      </c>
      <c r="V764" s="104" t="str">
        <f t="shared" si="71"/>
        <v/>
      </c>
      <c r="W764" s="105"/>
    </row>
    <row r="765" spans="1:23">
      <c r="A765" s="92"/>
      <c r="B765" s="123"/>
      <c r="C765" s="107"/>
      <c r="D765" s="117"/>
      <c r="E765" s="117"/>
      <c r="F765" s="118"/>
      <c r="G765" s="108"/>
      <c r="H765" s="98"/>
      <c r="I765" s="99"/>
      <c r="J765" s="101"/>
      <c r="K765" s="109"/>
      <c r="L765" s="110"/>
      <c r="M765" s="111"/>
      <c r="N765" s="99"/>
      <c r="O765" s="112"/>
      <c r="P765" s="112"/>
      <c r="Q765" s="104" t="str">
        <f t="shared" si="66"/>
        <v/>
      </c>
      <c r="R765" s="104" t="str">
        <f t="shared" si="67"/>
        <v/>
      </c>
      <c r="S765" s="104" t="str">
        <f t="shared" si="68"/>
        <v/>
      </c>
      <c r="T765" s="104" t="str">
        <f t="shared" si="69"/>
        <v/>
      </c>
      <c r="U765" s="104" t="str">
        <f t="shared" si="70"/>
        <v/>
      </c>
      <c r="V765" s="104" t="str">
        <f t="shared" si="71"/>
        <v/>
      </c>
      <c r="W765" s="105"/>
    </row>
    <row r="766" spans="1:23" ht="15" customHeight="1">
      <c r="A766" s="92">
        <v>51</v>
      </c>
      <c r="B766" s="121" t="s">
        <v>429</v>
      </c>
      <c r="C766" s="122"/>
      <c r="D766" s="797">
        <v>6.08</v>
      </c>
      <c r="E766" s="797"/>
      <c r="F766" s="118"/>
      <c r="G766" s="108">
        <v>0.25</v>
      </c>
      <c r="H766" s="98">
        <v>12</v>
      </c>
      <c r="I766" s="99">
        <v>1</v>
      </c>
      <c r="J766" s="101">
        <f>ROUND(1.95/G766+1,0)</f>
        <v>9</v>
      </c>
      <c r="K766" s="109">
        <f>D766</f>
        <v>6.08</v>
      </c>
      <c r="L766" s="110" t="str">
        <f>IF(O766&lt;12,"0",0.049*H766)</f>
        <v>0</v>
      </c>
      <c r="M766" s="111">
        <v>0</v>
      </c>
      <c r="N766" s="99">
        <f>M766*2*H766/1000</f>
        <v>0</v>
      </c>
      <c r="O766" s="112">
        <f>(D766)-N766</f>
        <v>6.08</v>
      </c>
      <c r="P766" s="112">
        <f>(I766*J766*O766)+L766</f>
        <v>54.72</v>
      </c>
      <c r="Q766" s="104" t="str">
        <f t="shared" si="66"/>
        <v/>
      </c>
      <c r="R766" s="104" t="str">
        <f t="shared" si="67"/>
        <v/>
      </c>
      <c r="S766" s="104">
        <f t="shared" si="68"/>
        <v>54.72</v>
      </c>
      <c r="T766" s="104" t="str">
        <f t="shared" si="69"/>
        <v/>
      </c>
      <c r="U766" s="104" t="str">
        <f t="shared" si="70"/>
        <v/>
      </c>
      <c r="V766" s="104" t="str">
        <f t="shared" si="71"/>
        <v/>
      </c>
      <c r="W766" s="105"/>
    </row>
    <row r="767" spans="1:23">
      <c r="A767" s="92"/>
      <c r="B767" s="121" t="s">
        <v>367</v>
      </c>
      <c r="C767" s="107"/>
      <c r="D767" s="117"/>
      <c r="E767" s="117"/>
      <c r="F767" s="118"/>
      <c r="G767" s="108"/>
      <c r="H767" s="98"/>
      <c r="I767" s="99"/>
      <c r="J767" s="101"/>
      <c r="K767" s="109"/>
      <c r="L767" s="110"/>
      <c r="M767" s="111"/>
      <c r="N767" s="99"/>
      <c r="O767" s="112"/>
      <c r="P767" s="112"/>
      <c r="Q767" s="104" t="str">
        <f t="shared" si="66"/>
        <v/>
      </c>
      <c r="R767" s="104" t="str">
        <f t="shared" si="67"/>
        <v/>
      </c>
      <c r="S767" s="104" t="str">
        <f t="shared" si="68"/>
        <v/>
      </c>
      <c r="T767" s="104" t="str">
        <f t="shared" si="69"/>
        <v/>
      </c>
      <c r="U767" s="104" t="str">
        <f t="shared" si="70"/>
        <v/>
      </c>
      <c r="V767" s="104" t="str">
        <f t="shared" si="71"/>
        <v/>
      </c>
      <c r="W767" s="105"/>
    </row>
    <row r="768" spans="1:23">
      <c r="A768" s="92"/>
      <c r="B768" s="123"/>
      <c r="C768" s="107"/>
      <c r="D768" s="117"/>
      <c r="E768" s="117"/>
      <c r="F768" s="118"/>
      <c r="G768" s="108"/>
      <c r="H768" s="98"/>
      <c r="I768" s="99"/>
      <c r="J768" s="101"/>
      <c r="K768" s="109"/>
      <c r="L768" s="110"/>
      <c r="M768" s="111"/>
      <c r="N768" s="99"/>
      <c r="O768" s="112"/>
      <c r="P768" s="112"/>
      <c r="Q768" s="104" t="str">
        <f t="shared" si="66"/>
        <v/>
      </c>
      <c r="R768" s="104" t="str">
        <f t="shared" si="67"/>
        <v/>
      </c>
      <c r="S768" s="104" t="str">
        <f t="shared" si="68"/>
        <v/>
      </c>
      <c r="T768" s="104" t="str">
        <f t="shared" si="69"/>
        <v/>
      </c>
      <c r="U768" s="104" t="str">
        <f t="shared" si="70"/>
        <v/>
      </c>
      <c r="V768" s="104" t="str">
        <f t="shared" si="71"/>
        <v/>
      </c>
      <c r="W768" s="105"/>
    </row>
    <row r="769" spans="1:23" ht="15" customHeight="1">
      <c r="A769" s="92">
        <v>52</v>
      </c>
      <c r="B769" s="121" t="s">
        <v>429</v>
      </c>
      <c r="C769" s="122"/>
      <c r="D769" s="797">
        <v>7.71</v>
      </c>
      <c r="E769" s="797"/>
      <c r="F769" s="118"/>
      <c r="G769" s="108">
        <v>0.25</v>
      </c>
      <c r="H769" s="98">
        <v>12</v>
      </c>
      <c r="I769" s="99">
        <v>1</v>
      </c>
      <c r="J769" s="101">
        <f>ROUND(2.635/G769+1,0)</f>
        <v>12</v>
      </c>
      <c r="K769" s="109">
        <f>D769</f>
        <v>7.71</v>
      </c>
      <c r="L769" s="110" t="str">
        <f>IF(O769&lt;12,"0",0.049*H769)</f>
        <v>0</v>
      </c>
      <c r="M769" s="111">
        <v>0</v>
      </c>
      <c r="N769" s="99">
        <f>M769*2*H769/1000</f>
        <v>0</v>
      </c>
      <c r="O769" s="112">
        <f>(D769)-N769</f>
        <v>7.71</v>
      </c>
      <c r="P769" s="112">
        <f>(I769*J769*O769)+L769</f>
        <v>92.52</v>
      </c>
      <c r="Q769" s="104" t="str">
        <f t="shared" si="66"/>
        <v/>
      </c>
      <c r="R769" s="104" t="str">
        <f t="shared" si="67"/>
        <v/>
      </c>
      <c r="S769" s="104">
        <f t="shared" si="68"/>
        <v>92.52</v>
      </c>
      <c r="T769" s="104" t="str">
        <f t="shared" si="69"/>
        <v/>
      </c>
      <c r="U769" s="104" t="str">
        <f t="shared" si="70"/>
        <v/>
      </c>
      <c r="V769" s="104" t="str">
        <f t="shared" si="71"/>
        <v/>
      </c>
      <c r="W769" s="105"/>
    </row>
    <row r="770" spans="1:23">
      <c r="A770" s="92"/>
      <c r="B770" s="121" t="s">
        <v>368</v>
      </c>
      <c r="C770" s="107"/>
      <c r="D770" s="117"/>
      <c r="E770" s="117"/>
      <c r="F770" s="118"/>
      <c r="G770" s="108"/>
      <c r="H770" s="98"/>
      <c r="I770" s="99"/>
      <c r="J770" s="101"/>
      <c r="K770" s="109"/>
      <c r="L770" s="110"/>
      <c r="M770" s="111"/>
      <c r="N770" s="99"/>
      <c r="O770" s="112"/>
      <c r="P770" s="112"/>
      <c r="Q770" s="104" t="str">
        <f t="shared" si="66"/>
        <v/>
      </c>
      <c r="R770" s="104" t="str">
        <f t="shared" si="67"/>
        <v/>
      </c>
      <c r="S770" s="104" t="str">
        <f t="shared" si="68"/>
        <v/>
      </c>
      <c r="T770" s="104" t="str">
        <f t="shared" si="69"/>
        <v/>
      </c>
      <c r="U770" s="104" t="str">
        <f t="shared" si="70"/>
        <v/>
      </c>
      <c r="V770" s="104" t="str">
        <f t="shared" si="71"/>
        <v/>
      </c>
      <c r="W770" s="105"/>
    </row>
    <row r="771" spans="1:23">
      <c r="A771" s="92"/>
      <c r="B771" s="123"/>
      <c r="C771" s="107"/>
      <c r="D771" s="117"/>
      <c r="E771" s="117"/>
      <c r="F771" s="118"/>
      <c r="G771" s="108"/>
      <c r="H771" s="98"/>
      <c r="I771" s="99"/>
      <c r="J771" s="101"/>
      <c r="K771" s="109"/>
      <c r="L771" s="110"/>
      <c r="M771" s="111"/>
      <c r="N771" s="99"/>
      <c r="O771" s="112"/>
      <c r="P771" s="112"/>
      <c r="Q771" s="104" t="str">
        <f t="shared" si="66"/>
        <v/>
      </c>
      <c r="R771" s="104" t="str">
        <f t="shared" si="67"/>
        <v/>
      </c>
      <c r="S771" s="104" t="str">
        <f t="shared" si="68"/>
        <v/>
      </c>
      <c r="T771" s="104" t="str">
        <f t="shared" si="69"/>
        <v/>
      </c>
      <c r="U771" s="104" t="str">
        <f t="shared" si="70"/>
        <v/>
      </c>
      <c r="V771" s="104" t="str">
        <f t="shared" si="71"/>
        <v/>
      </c>
      <c r="W771" s="105"/>
    </row>
    <row r="772" spans="1:23" ht="15" customHeight="1">
      <c r="A772" s="92">
        <v>53</v>
      </c>
      <c r="B772" s="121" t="s">
        <v>428</v>
      </c>
      <c r="C772" s="122"/>
      <c r="D772" s="797">
        <v>2.85</v>
      </c>
      <c r="E772" s="797"/>
      <c r="F772" s="118"/>
      <c r="G772" s="108">
        <v>0.25</v>
      </c>
      <c r="H772" s="98">
        <v>10</v>
      </c>
      <c r="I772" s="99">
        <v>1</v>
      </c>
      <c r="J772" s="101">
        <f>ROUND(4.12/G772+1,0)</f>
        <v>17</v>
      </c>
      <c r="K772" s="109">
        <f>D772</f>
        <v>2.85</v>
      </c>
      <c r="L772" s="110" t="str">
        <f>IF(O772&lt;12,"0",0.049*H772)</f>
        <v>0</v>
      </c>
      <c r="M772" s="111">
        <v>0</v>
      </c>
      <c r="N772" s="99">
        <f>M772*2*H772/1000</f>
        <v>0</v>
      </c>
      <c r="O772" s="112">
        <f>(D772)-N772</f>
        <v>2.85</v>
      </c>
      <c r="P772" s="112">
        <f>(I772*J772*O772)+L772</f>
        <v>48.45</v>
      </c>
      <c r="Q772" s="104" t="str">
        <f t="shared" si="66"/>
        <v/>
      </c>
      <c r="R772" s="104">
        <f t="shared" si="67"/>
        <v>48.45</v>
      </c>
      <c r="S772" s="104" t="str">
        <f t="shared" si="68"/>
        <v/>
      </c>
      <c r="T772" s="104" t="str">
        <f t="shared" si="69"/>
        <v/>
      </c>
      <c r="U772" s="104" t="str">
        <f t="shared" si="70"/>
        <v/>
      </c>
      <c r="V772" s="104" t="str">
        <f t="shared" si="71"/>
        <v/>
      </c>
      <c r="W772" s="105"/>
    </row>
    <row r="773" spans="1:23">
      <c r="A773" s="92"/>
      <c r="B773" s="121" t="s">
        <v>369</v>
      </c>
      <c r="C773" s="107"/>
      <c r="D773" s="117"/>
      <c r="E773" s="117"/>
      <c r="F773" s="118"/>
      <c r="G773" s="108"/>
      <c r="H773" s="98"/>
      <c r="I773" s="99"/>
      <c r="J773" s="101"/>
      <c r="K773" s="109"/>
      <c r="L773" s="110"/>
      <c r="M773" s="111"/>
      <c r="N773" s="99"/>
      <c r="O773" s="112"/>
      <c r="P773" s="112"/>
      <c r="Q773" s="104" t="str">
        <f t="shared" si="66"/>
        <v/>
      </c>
      <c r="R773" s="104" t="str">
        <f t="shared" si="67"/>
        <v/>
      </c>
      <c r="S773" s="104" t="str">
        <f t="shared" si="68"/>
        <v/>
      </c>
      <c r="T773" s="104" t="str">
        <f t="shared" si="69"/>
        <v/>
      </c>
      <c r="U773" s="104" t="str">
        <f t="shared" si="70"/>
        <v/>
      </c>
      <c r="V773" s="104" t="str">
        <f t="shared" si="71"/>
        <v/>
      </c>
      <c r="W773" s="105"/>
    </row>
    <row r="774" spans="1:23">
      <c r="A774" s="92"/>
      <c r="B774" s="123"/>
      <c r="C774" s="107"/>
      <c r="D774" s="117"/>
      <c r="E774" s="117"/>
      <c r="F774" s="118"/>
      <c r="G774" s="108"/>
      <c r="H774" s="98"/>
      <c r="I774" s="99"/>
      <c r="J774" s="101"/>
      <c r="K774" s="109"/>
      <c r="L774" s="110"/>
      <c r="M774" s="111"/>
      <c r="N774" s="99"/>
      <c r="O774" s="112"/>
      <c r="P774" s="112"/>
      <c r="Q774" s="104" t="str">
        <f t="shared" si="66"/>
        <v/>
      </c>
      <c r="R774" s="104" t="str">
        <f t="shared" si="67"/>
        <v/>
      </c>
      <c r="S774" s="104" t="str">
        <f t="shared" si="68"/>
        <v/>
      </c>
      <c r="T774" s="104" t="str">
        <f t="shared" si="69"/>
        <v/>
      </c>
      <c r="U774" s="104" t="str">
        <f t="shared" si="70"/>
        <v/>
      </c>
      <c r="V774" s="104" t="str">
        <f t="shared" si="71"/>
        <v/>
      </c>
      <c r="W774" s="105"/>
    </row>
    <row r="775" spans="1:23" ht="15" customHeight="1">
      <c r="A775" s="92">
        <v>54</v>
      </c>
      <c r="B775" s="121" t="s">
        <v>429</v>
      </c>
      <c r="C775" s="122"/>
      <c r="D775" s="797">
        <v>5.47</v>
      </c>
      <c r="E775" s="797"/>
      <c r="F775" s="118"/>
      <c r="G775" s="108">
        <v>0.25</v>
      </c>
      <c r="H775" s="98">
        <v>20</v>
      </c>
      <c r="I775" s="99">
        <v>1</v>
      </c>
      <c r="J775" s="101">
        <f>ROUND(8.16/G775+1,0)</f>
        <v>34</v>
      </c>
      <c r="K775" s="109">
        <f>D775</f>
        <v>5.47</v>
      </c>
      <c r="L775" s="110" t="str">
        <f>IF(O775&lt;12,"0",0.049*H775)</f>
        <v>0</v>
      </c>
      <c r="M775" s="111">
        <v>0</v>
      </c>
      <c r="N775" s="99">
        <f>M775*2*H775/1000</f>
        <v>0</v>
      </c>
      <c r="O775" s="112">
        <f>(D775)-N775</f>
        <v>5.47</v>
      </c>
      <c r="P775" s="112">
        <f>(I775*J775*O775)+L775</f>
        <v>185.98</v>
      </c>
      <c r="Q775" s="104" t="str">
        <f t="shared" si="66"/>
        <v/>
      </c>
      <c r="R775" s="104" t="str">
        <f t="shared" si="67"/>
        <v/>
      </c>
      <c r="S775" s="104" t="str">
        <f t="shared" si="68"/>
        <v/>
      </c>
      <c r="T775" s="104" t="str">
        <f t="shared" si="69"/>
        <v/>
      </c>
      <c r="U775" s="104">
        <f t="shared" si="70"/>
        <v>185.98</v>
      </c>
      <c r="V775" s="104" t="str">
        <f t="shared" si="71"/>
        <v/>
      </c>
      <c r="W775" s="105"/>
    </row>
    <row r="776" spans="1:23">
      <c r="A776" s="92"/>
      <c r="B776" s="121" t="s">
        <v>369</v>
      </c>
      <c r="C776" s="107"/>
      <c r="D776" s="117"/>
      <c r="E776" s="117"/>
      <c r="F776" s="118"/>
      <c r="G776" s="108"/>
      <c r="H776" s="98"/>
      <c r="I776" s="99"/>
      <c r="J776" s="101"/>
      <c r="K776" s="109"/>
      <c r="L776" s="110"/>
      <c r="M776" s="111"/>
      <c r="N776" s="99"/>
      <c r="O776" s="112"/>
      <c r="P776" s="112"/>
      <c r="Q776" s="104" t="str">
        <f t="shared" si="66"/>
        <v/>
      </c>
      <c r="R776" s="104" t="str">
        <f t="shared" si="67"/>
        <v/>
      </c>
      <c r="S776" s="104" t="str">
        <f t="shared" si="68"/>
        <v/>
      </c>
      <c r="T776" s="104" t="str">
        <f t="shared" si="69"/>
        <v/>
      </c>
      <c r="U776" s="104" t="str">
        <f t="shared" si="70"/>
        <v/>
      </c>
      <c r="V776" s="104" t="str">
        <f t="shared" si="71"/>
        <v/>
      </c>
      <c r="W776" s="105"/>
    </row>
    <row r="777" spans="1:23">
      <c r="A777" s="92"/>
      <c r="B777" s="123"/>
      <c r="C777" s="107"/>
      <c r="D777" s="117"/>
      <c r="E777" s="117"/>
      <c r="F777" s="118"/>
      <c r="G777" s="108"/>
      <c r="H777" s="98"/>
      <c r="I777" s="99"/>
      <c r="J777" s="101"/>
      <c r="K777" s="109"/>
      <c r="L777" s="110"/>
      <c r="M777" s="111"/>
      <c r="N777" s="99"/>
      <c r="O777" s="112"/>
      <c r="P777" s="112"/>
      <c r="Q777" s="104" t="str">
        <f t="shared" si="66"/>
        <v/>
      </c>
      <c r="R777" s="104" t="str">
        <f t="shared" si="67"/>
        <v/>
      </c>
      <c r="S777" s="104" t="str">
        <f t="shared" si="68"/>
        <v/>
      </c>
      <c r="T777" s="104" t="str">
        <f t="shared" si="69"/>
        <v/>
      </c>
      <c r="U777" s="104" t="str">
        <f t="shared" si="70"/>
        <v/>
      </c>
      <c r="V777" s="104" t="str">
        <f t="shared" si="71"/>
        <v/>
      </c>
      <c r="W777" s="105"/>
    </row>
    <row r="778" spans="1:23" ht="15" customHeight="1">
      <c r="A778" s="92">
        <v>55</v>
      </c>
      <c r="B778" s="121" t="s">
        <v>429</v>
      </c>
      <c r="C778" s="122"/>
      <c r="D778" s="797">
        <v>4.1900000000000004</v>
      </c>
      <c r="E778" s="797"/>
      <c r="F778" s="118"/>
      <c r="G778" s="108">
        <v>0.25</v>
      </c>
      <c r="H778" s="98">
        <v>16</v>
      </c>
      <c r="I778" s="99">
        <v>1</v>
      </c>
      <c r="J778" s="101">
        <f>ROUND(2.56/G778+1,0)</f>
        <v>11</v>
      </c>
      <c r="K778" s="109">
        <f>D778</f>
        <v>4.1900000000000004</v>
      </c>
      <c r="L778" s="110" t="str">
        <f>IF(O778&lt;12,"0",0.049*H778)</f>
        <v>0</v>
      </c>
      <c r="M778" s="111">
        <v>0</v>
      </c>
      <c r="N778" s="99">
        <f>M778*2*H778/1000</f>
        <v>0</v>
      </c>
      <c r="O778" s="112">
        <f>(D778)-N778</f>
        <v>4.1900000000000004</v>
      </c>
      <c r="P778" s="112">
        <f>(I778*J778*O778)+L778</f>
        <v>46.09</v>
      </c>
      <c r="Q778" s="104" t="str">
        <f t="shared" si="66"/>
        <v/>
      </c>
      <c r="R778" s="104" t="str">
        <f t="shared" si="67"/>
        <v/>
      </c>
      <c r="S778" s="104" t="str">
        <f t="shared" si="68"/>
        <v/>
      </c>
      <c r="T778" s="104">
        <f t="shared" si="69"/>
        <v>46.09</v>
      </c>
      <c r="U778" s="104" t="str">
        <f t="shared" si="70"/>
        <v/>
      </c>
      <c r="V778" s="104" t="str">
        <f t="shared" si="71"/>
        <v/>
      </c>
      <c r="W778" s="105"/>
    </row>
    <row r="779" spans="1:23">
      <c r="A779" s="92"/>
      <c r="B779" s="121" t="s">
        <v>369</v>
      </c>
      <c r="C779" s="107"/>
      <c r="D779" s="117"/>
      <c r="E779" s="117"/>
      <c r="F779" s="118"/>
      <c r="G779" s="108"/>
      <c r="H779" s="98"/>
      <c r="I779" s="99"/>
      <c r="J779" s="101"/>
      <c r="K779" s="109"/>
      <c r="L779" s="110"/>
      <c r="M779" s="111"/>
      <c r="N779" s="99"/>
      <c r="O779" s="112"/>
      <c r="P779" s="112"/>
      <c r="Q779" s="104" t="str">
        <f t="shared" si="66"/>
        <v/>
      </c>
      <c r="R779" s="104" t="str">
        <f t="shared" si="67"/>
        <v/>
      </c>
      <c r="S779" s="104" t="str">
        <f t="shared" si="68"/>
        <v/>
      </c>
      <c r="T779" s="104" t="str">
        <f t="shared" si="69"/>
        <v/>
      </c>
      <c r="U779" s="104" t="str">
        <f t="shared" si="70"/>
        <v/>
      </c>
      <c r="V779" s="104" t="str">
        <f t="shared" si="71"/>
        <v/>
      </c>
      <c r="W779" s="105"/>
    </row>
    <row r="780" spans="1:23">
      <c r="A780" s="92"/>
      <c r="B780" s="123"/>
      <c r="C780" s="107"/>
      <c r="D780" s="117"/>
      <c r="E780" s="117"/>
      <c r="F780" s="118"/>
      <c r="G780" s="108"/>
      <c r="H780" s="98"/>
      <c r="I780" s="99"/>
      <c r="J780" s="101"/>
      <c r="K780" s="109"/>
      <c r="L780" s="110"/>
      <c r="M780" s="111"/>
      <c r="N780" s="99"/>
      <c r="O780" s="112"/>
      <c r="P780" s="112"/>
      <c r="Q780" s="104" t="str">
        <f t="shared" si="66"/>
        <v/>
      </c>
      <c r="R780" s="104" t="str">
        <f t="shared" si="67"/>
        <v/>
      </c>
      <c r="S780" s="104" t="str">
        <f t="shared" si="68"/>
        <v/>
      </c>
      <c r="T780" s="104" t="str">
        <f t="shared" si="69"/>
        <v/>
      </c>
      <c r="U780" s="104" t="str">
        <f t="shared" si="70"/>
        <v/>
      </c>
      <c r="V780" s="104" t="str">
        <f t="shared" si="71"/>
        <v/>
      </c>
      <c r="W780" s="105"/>
    </row>
    <row r="781" spans="1:23">
      <c r="A781" s="92"/>
      <c r="B781" s="121"/>
      <c r="C781" s="107"/>
      <c r="D781" s="117"/>
      <c r="E781" s="117"/>
      <c r="F781" s="118"/>
      <c r="G781" s="108"/>
      <c r="H781" s="98"/>
      <c r="I781" s="99"/>
      <c r="J781" s="101"/>
      <c r="K781" s="109"/>
      <c r="L781" s="110"/>
      <c r="M781" s="111"/>
      <c r="N781" s="99"/>
      <c r="O781" s="112"/>
      <c r="P781" s="112"/>
      <c r="Q781" s="104" t="str">
        <f t="shared" si="66"/>
        <v/>
      </c>
      <c r="R781" s="104" t="str">
        <f t="shared" si="67"/>
        <v/>
      </c>
      <c r="S781" s="104" t="str">
        <f t="shared" si="68"/>
        <v/>
      </c>
      <c r="T781" s="104" t="str">
        <f t="shared" si="69"/>
        <v/>
      </c>
      <c r="U781" s="104" t="str">
        <f t="shared" si="70"/>
        <v/>
      </c>
      <c r="V781" s="104" t="str">
        <f t="shared" si="71"/>
        <v/>
      </c>
      <c r="W781" s="105"/>
    </row>
    <row r="782" spans="1:23">
      <c r="A782" s="92"/>
      <c r="B782" s="106"/>
      <c r="C782" s="107"/>
      <c r="D782" s="117"/>
      <c r="E782" s="117"/>
      <c r="F782" s="118"/>
      <c r="G782" s="108"/>
      <c r="H782" s="98"/>
      <c r="I782" s="99"/>
      <c r="J782" s="101"/>
      <c r="K782" s="109"/>
      <c r="L782" s="110"/>
      <c r="M782" s="111"/>
      <c r="N782" s="99"/>
      <c r="O782" s="112"/>
      <c r="P782" s="112"/>
      <c r="Q782" s="104" t="str">
        <f t="shared" si="66"/>
        <v/>
      </c>
      <c r="R782" s="104" t="str">
        <f t="shared" si="67"/>
        <v/>
      </c>
      <c r="S782" s="104" t="str">
        <f t="shared" si="68"/>
        <v/>
      </c>
      <c r="T782" s="104" t="str">
        <f t="shared" si="69"/>
        <v/>
      </c>
      <c r="U782" s="104" t="str">
        <f t="shared" si="70"/>
        <v/>
      </c>
      <c r="V782" s="104" t="str">
        <f t="shared" si="71"/>
        <v/>
      </c>
      <c r="W782" s="105"/>
    </row>
    <row r="783" spans="1:23">
      <c r="A783" s="92"/>
      <c r="B783" s="113"/>
      <c r="C783" s="94"/>
      <c r="D783" s="95"/>
      <c r="E783" s="95"/>
      <c r="F783" s="96"/>
      <c r="G783" s="97"/>
      <c r="H783" s="98"/>
      <c r="I783" s="99"/>
      <c r="J783" s="99"/>
      <c r="K783" s="100"/>
      <c r="L783" s="99"/>
      <c r="M783" s="99"/>
      <c r="N783" s="99"/>
      <c r="O783" s="99"/>
      <c r="P783" s="101"/>
      <c r="Q783" s="104" t="str">
        <f t="shared" ref="Q783" si="72">IF($H783=8,$P783,"")</f>
        <v/>
      </c>
      <c r="R783" s="104" t="str">
        <f t="shared" ref="R783" si="73">IF($H783=10,$P783,"")</f>
        <v/>
      </c>
      <c r="S783" s="104" t="str">
        <f t="shared" ref="S783" si="74">IF($H783=12,$P783,"")</f>
        <v/>
      </c>
      <c r="T783" s="104" t="str">
        <f t="shared" ref="T783" si="75">IF($H783=16,$P783,"")</f>
        <v/>
      </c>
      <c r="U783" s="104" t="str">
        <f t="shared" ref="U783" si="76">IF($H783=20,$P783,"")</f>
        <v/>
      </c>
      <c r="V783" s="104" t="str">
        <f t="shared" ref="V783" si="77">IF($H783=25,$P783,"")</f>
        <v/>
      </c>
      <c r="W783" s="105"/>
    </row>
    <row r="784" spans="1:23">
      <c r="A784" s="125"/>
      <c r="B784" s="126" t="s">
        <v>370</v>
      </c>
      <c r="C784" s="787"/>
      <c r="D784" s="788"/>
      <c r="E784" s="788"/>
      <c r="F784" s="789"/>
      <c r="G784" s="127"/>
      <c r="H784" s="127"/>
      <c r="I784" s="128"/>
      <c r="J784" s="128"/>
      <c r="K784" s="129"/>
      <c r="L784" s="128"/>
      <c r="M784" s="128"/>
      <c r="N784" s="128"/>
      <c r="O784" s="128"/>
      <c r="P784" s="128"/>
      <c r="Q784" s="130">
        <f t="shared" ref="Q784:V784" si="78">SUM(Q4:Q783)</f>
        <v>0</v>
      </c>
      <c r="R784" s="130">
        <f t="shared" si="78"/>
        <v>930.71000000000015</v>
      </c>
      <c r="S784" s="130">
        <f t="shared" si="78"/>
        <v>1282.7470000000001</v>
      </c>
      <c r="T784" s="130">
        <f t="shared" si="78"/>
        <v>15755.669000000002</v>
      </c>
      <c r="U784" s="130">
        <f t="shared" si="78"/>
        <v>6227.6249999999973</v>
      </c>
      <c r="V784" s="130">
        <f t="shared" si="78"/>
        <v>2199.06</v>
      </c>
      <c r="W784" s="131"/>
    </row>
    <row r="785" spans="1:24">
      <c r="A785" s="125"/>
      <c r="B785" s="126" t="s">
        <v>371</v>
      </c>
      <c r="C785" s="790"/>
      <c r="D785" s="790"/>
      <c r="E785" s="790"/>
      <c r="F785" s="790"/>
      <c r="G785" s="127"/>
      <c r="H785" s="127"/>
      <c r="I785" s="128"/>
      <c r="J785" s="128"/>
      <c r="K785" s="129"/>
      <c r="L785" s="128"/>
      <c r="M785" s="128"/>
      <c r="N785" s="128"/>
      <c r="O785" s="128"/>
      <c r="P785" s="128"/>
      <c r="Q785" s="128">
        <v>0.39500000000000002</v>
      </c>
      <c r="R785" s="128">
        <v>0.61699999999999999</v>
      </c>
      <c r="S785" s="128">
        <v>0.88800000000000001</v>
      </c>
      <c r="T785" s="128">
        <v>1.58</v>
      </c>
      <c r="U785" s="128">
        <v>2.4689999999999999</v>
      </c>
      <c r="V785" s="128">
        <v>3.8580000000000001</v>
      </c>
      <c r="W785" s="131"/>
    </row>
    <row r="786" spans="1:24">
      <c r="A786" s="125"/>
      <c r="B786" s="126" t="s">
        <v>372</v>
      </c>
      <c r="C786" s="790"/>
      <c r="D786" s="790"/>
      <c r="E786" s="790"/>
      <c r="F786" s="790"/>
      <c r="G786" s="127"/>
      <c r="H786" s="127"/>
      <c r="I786" s="128"/>
      <c r="J786" s="128"/>
      <c r="K786" s="129"/>
      <c r="L786" s="128"/>
      <c r="M786" s="128"/>
      <c r="N786" s="128"/>
      <c r="O786" s="128"/>
      <c r="P786" s="128"/>
      <c r="Q786" s="132">
        <f t="shared" ref="Q786:V786" si="79">Q784*Q785</f>
        <v>0</v>
      </c>
      <c r="R786" s="132">
        <f t="shared" si="79"/>
        <v>574.2480700000001</v>
      </c>
      <c r="S786" s="132">
        <f t="shared" si="79"/>
        <v>1139.079336</v>
      </c>
      <c r="T786" s="132">
        <f t="shared" si="79"/>
        <v>24893.957020000005</v>
      </c>
      <c r="U786" s="132">
        <f t="shared" si="79"/>
        <v>15376.006124999993</v>
      </c>
      <c r="V786" s="132">
        <f t="shared" si="79"/>
        <v>8483.9734800000006</v>
      </c>
      <c r="W786" s="131">
        <f>SUM(Q786:V786)</f>
        <v>50467.264030999999</v>
      </c>
      <c r="X786" s="121" t="s">
        <v>59</v>
      </c>
    </row>
    <row r="788" spans="1:24" ht="29.25" customHeight="1">
      <c r="A788" s="794" t="s">
        <v>579</v>
      </c>
      <c r="B788" s="795"/>
      <c r="C788" s="795"/>
      <c r="D788" s="795"/>
      <c r="E788" s="795"/>
      <c r="F788" s="795"/>
      <c r="G788" s="795"/>
      <c r="H788" s="795"/>
      <c r="I788" s="795"/>
      <c r="J788" s="795"/>
      <c r="K788" s="795"/>
      <c r="L788" s="795"/>
      <c r="M788" s="795"/>
      <c r="N788" s="795"/>
      <c r="O788" s="795"/>
      <c r="P788" s="795"/>
      <c r="Q788" s="795"/>
      <c r="R788" s="795"/>
      <c r="S788" s="795"/>
      <c r="T788" s="795"/>
      <c r="U788" s="795"/>
      <c r="V788" s="795"/>
      <c r="W788" s="796"/>
    </row>
    <row r="789" spans="1:24" ht="54.75" customHeight="1">
      <c r="A789" s="392" t="s">
        <v>50</v>
      </c>
      <c r="B789" s="392" t="s">
        <v>51</v>
      </c>
      <c r="C789" s="801" t="s">
        <v>216</v>
      </c>
      <c r="D789" s="801"/>
      <c r="E789" s="801"/>
      <c r="F789" s="802"/>
      <c r="G789" s="393" t="s">
        <v>217</v>
      </c>
      <c r="H789" s="393" t="s">
        <v>218</v>
      </c>
      <c r="I789" s="393" t="s">
        <v>219</v>
      </c>
      <c r="J789" s="393" t="s">
        <v>220</v>
      </c>
      <c r="K789" s="393" t="s">
        <v>221</v>
      </c>
      <c r="L789" s="392" t="s">
        <v>222</v>
      </c>
      <c r="M789" s="393" t="s">
        <v>223</v>
      </c>
      <c r="N789" s="393" t="s">
        <v>224</v>
      </c>
      <c r="O789" s="393" t="s">
        <v>225</v>
      </c>
      <c r="P789" s="392" t="s">
        <v>226</v>
      </c>
      <c r="Q789" s="802" t="s">
        <v>227</v>
      </c>
      <c r="R789" s="803"/>
      <c r="S789" s="803"/>
      <c r="T789" s="803"/>
      <c r="U789" s="803"/>
      <c r="V789" s="804"/>
      <c r="W789" s="392" t="s">
        <v>228</v>
      </c>
    </row>
    <row r="790" spans="1:24">
      <c r="A790" s="92" t="s">
        <v>229</v>
      </c>
      <c r="B790" s="93" t="s">
        <v>230</v>
      </c>
      <c r="C790" s="94"/>
      <c r="D790" s="95"/>
      <c r="E790" s="95"/>
      <c r="F790" s="96"/>
      <c r="G790" s="97"/>
      <c r="H790" s="98"/>
      <c r="I790" s="99"/>
      <c r="J790" s="99"/>
      <c r="K790" s="100"/>
      <c r="L790" s="99"/>
      <c r="M790" s="99"/>
      <c r="N790" s="99"/>
      <c r="O790" s="99"/>
      <c r="P790" s="101"/>
      <c r="Q790" s="102" t="s">
        <v>231</v>
      </c>
      <c r="R790" s="102" t="s">
        <v>232</v>
      </c>
      <c r="S790" s="102" t="s">
        <v>233</v>
      </c>
      <c r="T790" s="102" t="s">
        <v>234</v>
      </c>
      <c r="U790" s="102" t="s">
        <v>235</v>
      </c>
      <c r="V790" s="102" t="s">
        <v>236</v>
      </c>
      <c r="W790" s="102"/>
    </row>
    <row r="791" spans="1:24">
      <c r="A791" s="92"/>
      <c r="B791" s="103" t="s">
        <v>237</v>
      </c>
      <c r="C791" s="94"/>
      <c r="D791" s="95"/>
      <c r="E791" s="95"/>
      <c r="F791" s="96"/>
      <c r="G791" s="97"/>
      <c r="H791" s="98"/>
      <c r="I791" s="99"/>
      <c r="J791" s="99"/>
      <c r="K791" s="100"/>
      <c r="L791" s="99"/>
      <c r="M791" s="99"/>
      <c r="N791" s="99"/>
      <c r="O791" s="99"/>
      <c r="P791" s="101"/>
      <c r="Q791" s="104" t="str">
        <f>IF($H791=8,$P791,"")</f>
        <v/>
      </c>
      <c r="R791" s="104" t="str">
        <f>IF($H791=10,$P791,"")</f>
        <v/>
      </c>
      <c r="S791" s="104" t="str">
        <f>IF($H791=12,$P791,"")</f>
        <v/>
      </c>
      <c r="T791" s="104" t="str">
        <f>IF($H791=16,$P791,"")</f>
        <v/>
      </c>
      <c r="U791" s="104" t="str">
        <f>IF($H791=20,$P791,"")</f>
        <v/>
      </c>
      <c r="V791" s="104" t="str">
        <f>IF($H791=25,$P791,"")</f>
        <v/>
      </c>
      <c r="W791" s="105"/>
    </row>
    <row r="792" spans="1:24">
      <c r="A792" s="92">
        <v>1</v>
      </c>
      <c r="B792" s="106" t="s">
        <v>581</v>
      </c>
      <c r="C792" s="94"/>
      <c r="D792" s="95"/>
      <c r="E792" s="95"/>
      <c r="F792" s="96"/>
      <c r="G792" s="97"/>
      <c r="H792" s="98"/>
      <c r="I792" s="99"/>
      <c r="J792" s="99"/>
      <c r="K792" s="100"/>
      <c r="L792" s="99"/>
      <c r="M792" s="99"/>
      <c r="N792" s="99"/>
      <c r="O792" s="99"/>
      <c r="P792" s="101"/>
      <c r="Q792" s="104" t="str">
        <f t="shared" ref="Q792:Q894" si="80">IF($H792=8,$P792,"")</f>
        <v/>
      </c>
      <c r="R792" s="104" t="str">
        <f t="shared" ref="R792:R894" si="81">IF($H792=10,$P792,"")</f>
        <v/>
      </c>
      <c r="S792" s="104" t="str">
        <f t="shared" ref="S792:S894" si="82">IF($H792=12,$P792,"")</f>
        <v/>
      </c>
      <c r="T792" s="104" t="str">
        <f t="shared" ref="T792:T894" si="83">IF($H792=16,$P792,"")</f>
        <v/>
      </c>
      <c r="U792" s="104" t="str">
        <f t="shared" ref="U792:U894" si="84">IF($H792=20,$P792,"")</f>
        <v/>
      </c>
      <c r="V792" s="104" t="str">
        <f t="shared" ref="V792:V894" si="85">IF($H792=25,$P792,"")</f>
        <v/>
      </c>
      <c r="W792" s="105"/>
    </row>
    <row r="793" spans="1:24">
      <c r="A793" s="92"/>
      <c r="B793" t="s">
        <v>239</v>
      </c>
      <c r="C793" s="107">
        <v>0.5</v>
      </c>
      <c r="D793" s="786">
        <f>21.65-2*0.05</f>
        <v>21.549999999999997</v>
      </c>
      <c r="E793" s="799"/>
      <c r="F793" s="107">
        <v>0.5</v>
      </c>
      <c r="G793" s="108">
        <v>0.25</v>
      </c>
      <c r="H793" s="98">
        <v>16</v>
      </c>
      <c r="I793" s="99">
        <v>1</v>
      </c>
      <c r="J793" s="101">
        <f>ROUNDDOWN(8.855/G793/2+1,0)</f>
        <v>18</v>
      </c>
      <c r="K793" s="109">
        <f>D793</f>
        <v>21.549999999999997</v>
      </c>
      <c r="L793" s="110">
        <f>IF(O793&lt;12,"0",0.049*H793)*2</f>
        <v>1.5680000000000001</v>
      </c>
      <c r="M793" s="111">
        <v>2</v>
      </c>
      <c r="N793" s="99">
        <f>M793*2*H793/1000</f>
        <v>6.4000000000000001E-2</v>
      </c>
      <c r="O793" s="112">
        <f>(D793+C793+F793)-N793</f>
        <v>22.485999999999997</v>
      </c>
      <c r="P793" s="112">
        <f>(I793*J793*O793)+L793</f>
        <v>406.31599999999992</v>
      </c>
      <c r="Q793" s="104" t="str">
        <f t="shared" si="80"/>
        <v/>
      </c>
      <c r="R793" s="104" t="str">
        <f t="shared" si="81"/>
        <v/>
      </c>
      <c r="S793" s="104" t="str">
        <f t="shared" si="82"/>
        <v/>
      </c>
      <c r="T793" s="104">
        <f t="shared" si="83"/>
        <v>406.31599999999992</v>
      </c>
      <c r="U793" s="104" t="str">
        <f t="shared" si="84"/>
        <v/>
      </c>
      <c r="V793" s="104" t="str">
        <f t="shared" si="85"/>
        <v/>
      </c>
      <c r="W793" s="105"/>
    </row>
    <row r="794" spans="1:24">
      <c r="A794" s="92"/>
      <c r="B794" s="105"/>
      <c r="C794" s="94"/>
      <c r="D794" s="95"/>
      <c r="E794" s="95"/>
      <c r="F794" s="96"/>
      <c r="G794" s="97"/>
      <c r="H794" s="98"/>
      <c r="I794" s="99"/>
      <c r="J794" s="99"/>
      <c r="K794" s="109"/>
      <c r="L794" s="112"/>
      <c r="M794" s="112"/>
      <c r="N794" s="99"/>
      <c r="O794" s="112"/>
      <c r="P794" s="112"/>
      <c r="Q794" s="104" t="str">
        <f t="shared" si="80"/>
        <v/>
      </c>
      <c r="R794" s="104" t="str">
        <f t="shared" si="81"/>
        <v/>
      </c>
      <c r="S794" s="104" t="str">
        <f t="shared" si="82"/>
        <v/>
      </c>
      <c r="T794" s="104" t="str">
        <f t="shared" si="83"/>
        <v/>
      </c>
      <c r="U794" s="104" t="str">
        <f t="shared" si="84"/>
        <v/>
      </c>
      <c r="V794" s="104" t="str">
        <f t="shared" si="85"/>
        <v/>
      </c>
      <c r="W794" s="105"/>
    </row>
    <row r="795" spans="1:24">
      <c r="A795" s="92">
        <v>1</v>
      </c>
      <c r="B795" s="106" t="s">
        <v>581</v>
      </c>
      <c r="C795" s="94"/>
      <c r="D795" s="95"/>
      <c r="E795" s="95"/>
      <c r="F795" s="96"/>
      <c r="G795" s="97"/>
      <c r="H795" s="98"/>
      <c r="I795" s="99"/>
      <c r="J795" s="99"/>
      <c r="K795" s="100"/>
      <c r="L795" s="99"/>
      <c r="M795" s="99"/>
      <c r="N795" s="99"/>
      <c r="O795" s="99"/>
      <c r="P795" s="101"/>
      <c r="Q795" s="104" t="str">
        <f t="shared" si="80"/>
        <v/>
      </c>
      <c r="R795" s="104" t="str">
        <f t="shared" si="81"/>
        <v/>
      </c>
      <c r="S795" s="104" t="str">
        <f t="shared" si="82"/>
        <v/>
      </c>
      <c r="T795" s="104" t="str">
        <f t="shared" si="83"/>
        <v/>
      </c>
      <c r="U795" s="104" t="str">
        <f t="shared" si="84"/>
        <v/>
      </c>
      <c r="V795" s="104" t="str">
        <f t="shared" si="85"/>
        <v/>
      </c>
      <c r="W795" s="105"/>
    </row>
    <row r="796" spans="1:24">
      <c r="A796" s="92"/>
      <c r="B796" t="s">
        <v>239</v>
      </c>
      <c r="C796" s="107">
        <v>0.5</v>
      </c>
      <c r="D796" s="786">
        <f>21.65-2*0.05</f>
        <v>21.549999999999997</v>
      </c>
      <c r="E796" s="799"/>
      <c r="F796" s="107">
        <v>0.5</v>
      </c>
      <c r="G796" s="108">
        <v>0.25</v>
      </c>
      <c r="H796" s="98">
        <v>16</v>
      </c>
      <c r="I796" s="99">
        <v>1</v>
      </c>
      <c r="J796" s="101">
        <f>ROUNDDOWN(8.855/G796/2,0)</f>
        <v>17</v>
      </c>
      <c r="K796" s="109">
        <f>D796</f>
        <v>21.549999999999997</v>
      </c>
      <c r="L796" s="110">
        <f>IF(O796&lt;12,"0",0.049*H796)</f>
        <v>0.78400000000000003</v>
      </c>
      <c r="M796" s="111">
        <v>2</v>
      </c>
      <c r="N796" s="99">
        <f>M796*2*H796/1000</f>
        <v>6.4000000000000001E-2</v>
      </c>
      <c r="O796" s="112">
        <f>(D796+C796+F796)-N796</f>
        <v>22.485999999999997</v>
      </c>
      <c r="P796" s="112">
        <f>(I796*J796*O796)+L796</f>
        <v>383.04599999999994</v>
      </c>
      <c r="Q796" s="104" t="str">
        <f t="shared" si="80"/>
        <v/>
      </c>
      <c r="R796" s="104" t="str">
        <f t="shared" si="81"/>
        <v/>
      </c>
      <c r="S796" s="104" t="str">
        <f t="shared" si="82"/>
        <v/>
      </c>
      <c r="T796" s="104">
        <f t="shared" si="83"/>
        <v>383.04599999999994</v>
      </c>
      <c r="U796" s="104" t="str">
        <f t="shared" si="84"/>
        <v/>
      </c>
      <c r="V796" s="104" t="str">
        <f t="shared" si="85"/>
        <v/>
      </c>
      <c r="W796" s="105"/>
    </row>
    <row r="797" spans="1:24">
      <c r="A797" s="92"/>
      <c r="B797" s="105"/>
      <c r="C797" s="94"/>
      <c r="D797" s="95"/>
      <c r="E797" s="95"/>
      <c r="F797" s="96"/>
      <c r="G797" s="97"/>
      <c r="H797" s="98"/>
      <c r="I797" s="99"/>
      <c r="J797" s="99"/>
      <c r="K797" s="109"/>
      <c r="L797" s="112"/>
      <c r="M797" s="112"/>
      <c r="N797" s="99"/>
      <c r="O797" s="112"/>
      <c r="P797" s="112"/>
      <c r="Q797" s="104" t="str">
        <f t="shared" si="80"/>
        <v/>
      </c>
      <c r="R797" s="104" t="str">
        <f t="shared" si="81"/>
        <v/>
      </c>
      <c r="S797" s="104" t="str">
        <f t="shared" si="82"/>
        <v/>
      </c>
      <c r="T797" s="104" t="str">
        <f t="shared" si="83"/>
        <v/>
      </c>
      <c r="U797" s="104" t="str">
        <f t="shared" si="84"/>
        <v/>
      </c>
      <c r="V797" s="104" t="str">
        <f t="shared" si="85"/>
        <v/>
      </c>
      <c r="W797" s="105"/>
    </row>
    <row r="798" spans="1:24">
      <c r="A798" s="92">
        <v>2</v>
      </c>
      <c r="B798" s="106" t="s">
        <v>582</v>
      </c>
      <c r="C798" s="94"/>
      <c r="D798" s="95"/>
      <c r="E798" s="95"/>
      <c r="F798" s="96"/>
      <c r="G798" s="97"/>
      <c r="H798" s="98"/>
      <c r="I798" s="99"/>
      <c r="J798" s="99"/>
      <c r="K798" s="100"/>
      <c r="L798" s="99"/>
      <c r="M798" s="99"/>
      <c r="N798" s="99"/>
      <c r="O798" s="99"/>
      <c r="P798" s="101"/>
      <c r="Q798" s="104" t="str">
        <f t="shared" si="80"/>
        <v/>
      </c>
      <c r="R798" s="104" t="str">
        <f t="shared" si="81"/>
        <v/>
      </c>
      <c r="S798" s="104" t="str">
        <f t="shared" si="82"/>
        <v/>
      </c>
      <c r="T798" s="104" t="str">
        <f t="shared" si="83"/>
        <v/>
      </c>
      <c r="U798" s="104" t="str">
        <f t="shared" si="84"/>
        <v/>
      </c>
      <c r="V798" s="104" t="str">
        <f t="shared" si="85"/>
        <v/>
      </c>
      <c r="W798" s="105"/>
    </row>
    <row r="799" spans="1:24">
      <c r="A799" s="92"/>
      <c r="B799" t="s">
        <v>239</v>
      </c>
      <c r="C799" s="107">
        <v>0.5</v>
      </c>
      <c r="D799" s="786">
        <f>21.65+0.515-2*0.05</f>
        <v>22.064999999999998</v>
      </c>
      <c r="E799" s="799"/>
      <c r="F799" s="107">
        <v>0.5</v>
      </c>
      <c r="G799" s="108">
        <v>0.25</v>
      </c>
      <c r="H799" s="98">
        <v>16</v>
      </c>
      <c r="I799" s="99">
        <v>1</v>
      </c>
      <c r="J799" s="101">
        <f>ROUNDDOWN(2.535/G799/2+1,0)</f>
        <v>6</v>
      </c>
      <c r="K799" s="109">
        <f>D799</f>
        <v>22.064999999999998</v>
      </c>
      <c r="L799" s="112">
        <f>IF(O799&lt;12,"0",0.049*H799)*2</f>
        <v>1.5680000000000001</v>
      </c>
      <c r="M799" s="111">
        <v>2</v>
      </c>
      <c r="N799" s="99">
        <f>M799*2*H799/1000</f>
        <v>6.4000000000000001E-2</v>
      </c>
      <c r="O799" s="112">
        <f>(D799+C799+F799)-N799</f>
        <v>23.000999999999998</v>
      </c>
      <c r="P799" s="112">
        <f>(I799*J799*O799)+L799</f>
        <v>139.57399999999998</v>
      </c>
      <c r="Q799" s="104" t="str">
        <f t="shared" si="80"/>
        <v/>
      </c>
      <c r="R799" s="104" t="str">
        <f t="shared" si="81"/>
        <v/>
      </c>
      <c r="S799" s="104" t="str">
        <f t="shared" si="82"/>
        <v/>
      </c>
      <c r="T799" s="104">
        <f t="shared" si="83"/>
        <v>139.57399999999998</v>
      </c>
      <c r="U799" s="104" t="str">
        <f t="shared" si="84"/>
        <v/>
      </c>
      <c r="V799" s="104" t="str">
        <f t="shared" si="85"/>
        <v/>
      </c>
      <c r="W799" s="105"/>
    </row>
    <row r="800" spans="1:24">
      <c r="A800" s="92"/>
      <c r="B800" s="105"/>
      <c r="C800" s="94"/>
      <c r="D800" s="95"/>
      <c r="E800" s="95"/>
      <c r="F800" s="96"/>
      <c r="G800" s="97"/>
      <c r="H800" s="98"/>
      <c r="I800" s="99"/>
      <c r="J800" s="99"/>
      <c r="K800" s="100"/>
      <c r="L800" s="99"/>
      <c r="M800" s="99"/>
      <c r="N800" s="99"/>
      <c r="O800" s="99"/>
      <c r="P800" s="101"/>
      <c r="Q800" s="104" t="str">
        <f t="shared" si="80"/>
        <v/>
      </c>
      <c r="R800" s="104" t="str">
        <f t="shared" si="81"/>
        <v/>
      </c>
      <c r="S800" s="104" t="str">
        <f t="shared" si="82"/>
        <v/>
      </c>
      <c r="T800" s="104" t="str">
        <f t="shared" si="83"/>
        <v/>
      </c>
      <c r="U800" s="104" t="str">
        <f t="shared" si="84"/>
        <v/>
      </c>
      <c r="V800" s="104" t="str">
        <f t="shared" si="85"/>
        <v/>
      </c>
      <c r="W800" s="105"/>
    </row>
    <row r="801" spans="1:23">
      <c r="A801" s="92">
        <v>2</v>
      </c>
      <c r="B801" s="106" t="s">
        <v>582</v>
      </c>
      <c r="C801" s="94"/>
      <c r="D801" s="95"/>
      <c r="E801" s="95"/>
      <c r="F801" s="96"/>
      <c r="G801" s="97"/>
      <c r="H801" s="98"/>
      <c r="I801" s="99"/>
      <c r="J801" s="99"/>
      <c r="K801" s="100"/>
      <c r="L801" s="99"/>
      <c r="M801" s="99"/>
      <c r="N801" s="99"/>
      <c r="O801" s="99"/>
      <c r="P801" s="101"/>
      <c r="Q801" s="104" t="str">
        <f t="shared" si="80"/>
        <v/>
      </c>
      <c r="R801" s="104" t="str">
        <f t="shared" si="81"/>
        <v/>
      </c>
      <c r="S801" s="104" t="str">
        <f t="shared" si="82"/>
        <v/>
      </c>
      <c r="T801" s="104" t="str">
        <f t="shared" si="83"/>
        <v/>
      </c>
      <c r="U801" s="104" t="str">
        <f t="shared" si="84"/>
        <v/>
      </c>
      <c r="V801" s="104" t="str">
        <f t="shared" si="85"/>
        <v/>
      </c>
      <c r="W801" s="105"/>
    </row>
    <row r="802" spans="1:23">
      <c r="A802" s="92"/>
      <c r="B802" t="s">
        <v>239</v>
      </c>
      <c r="C802" s="107">
        <v>0.5</v>
      </c>
      <c r="D802" s="786">
        <f>21.65+0.515-2*0.05</f>
        <v>22.064999999999998</v>
      </c>
      <c r="E802" s="799"/>
      <c r="F802" s="107">
        <v>0.5</v>
      </c>
      <c r="G802" s="108">
        <v>0.25</v>
      </c>
      <c r="H802" s="98">
        <v>16</v>
      </c>
      <c r="I802" s="99">
        <v>1</v>
      </c>
      <c r="J802" s="101">
        <f>ROUNDDOWN(2.535/G802/2,0)</f>
        <v>5</v>
      </c>
      <c r="K802" s="109">
        <f>D802</f>
        <v>22.064999999999998</v>
      </c>
      <c r="L802" s="112">
        <f>IF(O802&lt;12,"0",0.049*H802)</f>
        <v>0.78400000000000003</v>
      </c>
      <c r="M802" s="111">
        <v>2</v>
      </c>
      <c r="N802" s="99">
        <f>M802*2*H802/1000</f>
        <v>6.4000000000000001E-2</v>
      </c>
      <c r="O802" s="112">
        <f>(D802+C802+F802)-N802</f>
        <v>23.000999999999998</v>
      </c>
      <c r="P802" s="112">
        <f>(I802*J802*O802)+L802</f>
        <v>115.789</v>
      </c>
      <c r="Q802" s="104" t="str">
        <f t="shared" si="80"/>
        <v/>
      </c>
      <c r="R802" s="104" t="str">
        <f t="shared" si="81"/>
        <v/>
      </c>
      <c r="S802" s="104" t="str">
        <f t="shared" si="82"/>
        <v/>
      </c>
      <c r="T802" s="104">
        <f t="shared" si="83"/>
        <v>115.789</v>
      </c>
      <c r="U802" s="104" t="str">
        <f t="shared" si="84"/>
        <v/>
      </c>
      <c r="V802" s="104" t="str">
        <f t="shared" si="85"/>
        <v/>
      </c>
      <c r="W802" s="105"/>
    </row>
    <row r="803" spans="1:23">
      <c r="A803" s="92"/>
      <c r="B803" s="105"/>
      <c r="C803" s="94"/>
      <c r="D803" s="95"/>
      <c r="E803" s="95"/>
      <c r="F803" s="96"/>
      <c r="G803" s="97"/>
      <c r="H803" s="98"/>
      <c r="I803" s="99"/>
      <c r="J803" s="99"/>
      <c r="K803" s="100"/>
      <c r="L803" s="99"/>
      <c r="M803" s="99"/>
      <c r="N803" s="99"/>
      <c r="O803" s="99"/>
      <c r="P803" s="101"/>
      <c r="Q803" s="104" t="str">
        <f t="shared" si="80"/>
        <v/>
      </c>
      <c r="R803" s="104" t="str">
        <f t="shared" si="81"/>
        <v/>
      </c>
      <c r="S803" s="104" t="str">
        <f t="shared" si="82"/>
        <v/>
      </c>
      <c r="T803" s="104" t="str">
        <f t="shared" si="83"/>
        <v/>
      </c>
      <c r="U803" s="104" t="str">
        <f t="shared" si="84"/>
        <v/>
      </c>
      <c r="V803" s="104" t="str">
        <f t="shared" si="85"/>
        <v/>
      </c>
      <c r="W803" s="105"/>
    </row>
    <row r="804" spans="1:23">
      <c r="A804" s="92">
        <v>3</v>
      </c>
      <c r="B804" s="106" t="s">
        <v>583</v>
      </c>
      <c r="C804" s="94"/>
      <c r="D804" s="95"/>
      <c r="E804" s="95"/>
      <c r="F804" s="96"/>
      <c r="G804" s="97"/>
      <c r="H804" s="98"/>
      <c r="I804" s="99"/>
      <c r="J804" s="99"/>
      <c r="K804" s="100"/>
      <c r="L804" s="99"/>
      <c r="M804" s="99"/>
      <c r="N804" s="99"/>
      <c r="O804" s="99"/>
      <c r="P804" s="101"/>
      <c r="Q804" s="104" t="str">
        <f t="shared" si="80"/>
        <v/>
      </c>
      <c r="R804" s="104" t="str">
        <f t="shared" si="81"/>
        <v/>
      </c>
      <c r="S804" s="104" t="str">
        <f t="shared" si="82"/>
        <v/>
      </c>
      <c r="T804" s="104" t="str">
        <f t="shared" si="83"/>
        <v/>
      </c>
      <c r="U804" s="104" t="str">
        <f t="shared" si="84"/>
        <v/>
      </c>
      <c r="V804" s="104" t="str">
        <f t="shared" si="85"/>
        <v/>
      </c>
      <c r="W804" s="105"/>
    </row>
    <row r="805" spans="1:23">
      <c r="A805" s="92"/>
      <c r="B805" t="s">
        <v>239</v>
      </c>
      <c r="C805" s="107">
        <v>0.5</v>
      </c>
      <c r="D805" s="786">
        <f>32.45-2*0.05</f>
        <v>32.35</v>
      </c>
      <c r="E805" s="799"/>
      <c r="F805" s="107">
        <v>0.5</v>
      </c>
      <c r="G805" s="108">
        <v>0.25</v>
      </c>
      <c r="H805" s="98">
        <v>16</v>
      </c>
      <c r="I805" s="99">
        <v>1</v>
      </c>
      <c r="J805" s="101">
        <f>ROUND(6.245/G805/2+1,0)</f>
        <v>13</v>
      </c>
      <c r="K805" s="109">
        <f>D805</f>
        <v>32.35</v>
      </c>
      <c r="L805" s="112">
        <f>IF(O805&lt;12,"0",0.049*H805)*3</f>
        <v>2.3520000000000003</v>
      </c>
      <c r="M805" s="111">
        <v>2</v>
      </c>
      <c r="N805" s="99">
        <f>M805*2*H805/1000</f>
        <v>6.4000000000000001E-2</v>
      </c>
      <c r="O805" s="112">
        <f>(D805+C805+F805)-N805</f>
        <v>33.286000000000001</v>
      </c>
      <c r="P805" s="112">
        <f>(I805*J805*O805)+L805</f>
        <v>435.07</v>
      </c>
      <c r="Q805" s="104" t="str">
        <f t="shared" si="80"/>
        <v/>
      </c>
      <c r="R805" s="104" t="str">
        <f t="shared" si="81"/>
        <v/>
      </c>
      <c r="S805" s="104" t="str">
        <f t="shared" si="82"/>
        <v/>
      </c>
      <c r="T805" s="104">
        <f t="shared" si="83"/>
        <v>435.07</v>
      </c>
      <c r="U805" s="104" t="str">
        <f t="shared" si="84"/>
        <v/>
      </c>
      <c r="V805" s="104" t="str">
        <f t="shared" si="85"/>
        <v/>
      </c>
      <c r="W805" s="105"/>
    </row>
    <row r="806" spans="1:23">
      <c r="A806" s="92"/>
      <c r="B806" s="113"/>
      <c r="C806" s="94"/>
      <c r="D806" s="95"/>
      <c r="E806" s="114"/>
      <c r="F806" s="96"/>
      <c r="G806" s="97"/>
      <c r="H806" s="98"/>
      <c r="I806" s="99"/>
      <c r="J806" s="99"/>
      <c r="K806" s="100"/>
      <c r="L806" s="99"/>
      <c r="M806" s="99"/>
      <c r="N806" s="99"/>
      <c r="O806" s="99"/>
      <c r="P806" s="101"/>
      <c r="Q806" s="104" t="str">
        <f t="shared" si="80"/>
        <v/>
      </c>
      <c r="R806" s="104" t="str">
        <f t="shared" si="81"/>
        <v/>
      </c>
      <c r="S806" s="104" t="str">
        <f t="shared" si="82"/>
        <v/>
      </c>
      <c r="T806" s="104" t="str">
        <f t="shared" si="83"/>
        <v/>
      </c>
      <c r="U806" s="104" t="str">
        <f t="shared" si="84"/>
        <v/>
      </c>
      <c r="V806" s="104" t="str">
        <f t="shared" si="85"/>
        <v/>
      </c>
      <c r="W806" s="105"/>
    </row>
    <row r="807" spans="1:23">
      <c r="A807" s="92">
        <v>3</v>
      </c>
      <c r="B807" s="106" t="s">
        <v>583</v>
      </c>
      <c r="C807" s="94"/>
      <c r="D807" s="95"/>
      <c r="E807" s="95"/>
      <c r="F807" s="96"/>
      <c r="G807" s="97"/>
      <c r="H807" s="98"/>
      <c r="I807" s="99"/>
      <c r="J807" s="99"/>
      <c r="K807" s="100"/>
      <c r="L807" s="99"/>
      <c r="M807" s="99"/>
      <c r="N807" s="99"/>
      <c r="O807" s="99"/>
      <c r="P807" s="101"/>
      <c r="Q807" s="104" t="str">
        <f t="shared" si="80"/>
        <v/>
      </c>
      <c r="R807" s="104" t="str">
        <f t="shared" si="81"/>
        <v/>
      </c>
      <c r="S807" s="104" t="str">
        <f t="shared" si="82"/>
        <v/>
      </c>
      <c r="T807" s="104" t="str">
        <f t="shared" si="83"/>
        <v/>
      </c>
      <c r="U807" s="104" t="str">
        <f t="shared" si="84"/>
        <v/>
      </c>
      <c r="V807" s="104" t="str">
        <f t="shared" si="85"/>
        <v/>
      </c>
      <c r="W807" s="105"/>
    </row>
    <row r="808" spans="1:23">
      <c r="A808" s="92"/>
      <c r="B808" t="s">
        <v>239</v>
      </c>
      <c r="C808" s="107">
        <v>0.5</v>
      </c>
      <c r="D808" s="786">
        <f>32.45-2*0.05</f>
        <v>32.35</v>
      </c>
      <c r="E808" s="799"/>
      <c r="F808" s="107">
        <v>0.5</v>
      </c>
      <c r="G808" s="108">
        <v>0.25</v>
      </c>
      <c r="H808" s="98">
        <v>16</v>
      </c>
      <c r="I808" s="99">
        <v>1</v>
      </c>
      <c r="J808" s="101">
        <f>ROUND(6.245/G808/2+0,0)</f>
        <v>12</v>
      </c>
      <c r="K808" s="109">
        <f>D808</f>
        <v>32.35</v>
      </c>
      <c r="L808" s="402">
        <f>IF(O808&lt;12,"0",0.049*H808)*2</f>
        <v>1.5680000000000001</v>
      </c>
      <c r="M808" s="111">
        <v>2</v>
      </c>
      <c r="N808" s="99">
        <f>M808*2*H808/1000</f>
        <v>6.4000000000000001E-2</v>
      </c>
      <c r="O808" s="112">
        <f>(D808+C808+F808)-N808</f>
        <v>33.286000000000001</v>
      </c>
      <c r="P808" s="112">
        <f>(I808*J808*O808)+L808</f>
        <v>401</v>
      </c>
      <c r="Q808" s="104" t="str">
        <f t="shared" si="80"/>
        <v/>
      </c>
      <c r="R808" s="104" t="str">
        <f t="shared" si="81"/>
        <v/>
      </c>
      <c r="S808" s="104" t="str">
        <f t="shared" si="82"/>
        <v/>
      </c>
      <c r="T808" s="104">
        <f t="shared" si="83"/>
        <v>401</v>
      </c>
      <c r="U808" s="104" t="str">
        <f t="shared" si="84"/>
        <v/>
      </c>
      <c r="V808" s="104" t="str">
        <f t="shared" si="85"/>
        <v/>
      </c>
      <c r="W808" s="105"/>
    </row>
    <row r="809" spans="1:23">
      <c r="A809" s="92"/>
      <c r="B809" s="113"/>
      <c r="C809" s="94"/>
      <c r="D809" s="95"/>
      <c r="E809" s="114"/>
      <c r="F809" s="96"/>
      <c r="G809" s="97"/>
      <c r="H809" s="98"/>
      <c r="I809" s="99"/>
      <c r="J809" s="99"/>
      <c r="K809" s="100"/>
      <c r="L809" s="99"/>
      <c r="M809" s="99"/>
      <c r="N809" s="99"/>
      <c r="O809" s="99"/>
      <c r="P809" s="101"/>
      <c r="Q809" s="104" t="str">
        <f t="shared" si="80"/>
        <v/>
      </c>
      <c r="R809" s="104" t="str">
        <f t="shared" si="81"/>
        <v/>
      </c>
      <c r="S809" s="104" t="str">
        <f t="shared" si="82"/>
        <v/>
      </c>
      <c r="T809" s="104" t="str">
        <f t="shared" si="83"/>
        <v/>
      </c>
      <c r="U809" s="104" t="str">
        <f t="shared" si="84"/>
        <v/>
      </c>
      <c r="V809" s="104" t="str">
        <f t="shared" si="85"/>
        <v/>
      </c>
      <c r="W809" s="105"/>
    </row>
    <row r="810" spans="1:23">
      <c r="A810" s="92">
        <v>4</v>
      </c>
      <c r="B810" s="106" t="s">
        <v>584</v>
      </c>
      <c r="C810" s="94"/>
      <c r="D810" s="95"/>
      <c r="E810" s="95"/>
      <c r="F810" s="96"/>
      <c r="G810" s="97"/>
      <c r="H810" s="98"/>
      <c r="I810" s="99"/>
      <c r="J810" s="99"/>
      <c r="K810" s="100"/>
      <c r="L810" s="99"/>
      <c r="M810" s="99"/>
      <c r="N810" s="99"/>
      <c r="O810" s="99"/>
      <c r="P810" s="101"/>
      <c r="Q810" s="104" t="str">
        <f t="shared" si="80"/>
        <v/>
      </c>
      <c r="R810" s="104" t="str">
        <f t="shared" si="81"/>
        <v/>
      </c>
      <c r="S810" s="104" t="str">
        <f t="shared" si="82"/>
        <v/>
      </c>
      <c r="T810" s="104" t="str">
        <f t="shared" si="83"/>
        <v/>
      </c>
      <c r="U810" s="104" t="str">
        <f t="shared" si="84"/>
        <v/>
      </c>
      <c r="V810" s="104" t="str">
        <f t="shared" si="85"/>
        <v/>
      </c>
      <c r="W810" s="105"/>
    </row>
    <row r="811" spans="1:23">
      <c r="A811" s="92"/>
      <c r="B811" t="s">
        <v>239</v>
      </c>
      <c r="C811" s="107">
        <v>0.5</v>
      </c>
      <c r="D811" s="786">
        <f>31.935-2*0.05</f>
        <v>31.834999999999997</v>
      </c>
      <c r="E811" s="799"/>
      <c r="F811" s="107">
        <v>0.5</v>
      </c>
      <c r="G811" s="108">
        <v>0.25</v>
      </c>
      <c r="H811" s="98">
        <v>16</v>
      </c>
      <c r="I811" s="99">
        <v>1</v>
      </c>
      <c r="J811" s="101">
        <f>ROUND(2.63/G811/2+1,0)</f>
        <v>6</v>
      </c>
      <c r="K811" s="109">
        <f>D811</f>
        <v>31.834999999999997</v>
      </c>
      <c r="L811" s="112">
        <f>IF(O811&lt;12,"0",0.049*H811)*3</f>
        <v>2.3520000000000003</v>
      </c>
      <c r="M811" s="111">
        <v>2</v>
      </c>
      <c r="N811" s="99">
        <f>M811*2*H811/1000</f>
        <v>6.4000000000000001E-2</v>
      </c>
      <c r="O811" s="112">
        <f>(D811+C811+F811)-N811</f>
        <v>32.770999999999994</v>
      </c>
      <c r="P811" s="112">
        <f>(I811*J811*O811)+L811</f>
        <v>198.97799999999998</v>
      </c>
      <c r="Q811" s="104" t="str">
        <f t="shared" si="80"/>
        <v/>
      </c>
      <c r="R811" s="104" t="str">
        <f t="shared" si="81"/>
        <v/>
      </c>
      <c r="S811" s="104" t="str">
        <f t="shared" si="82"/>
        <v/>
      </c>
      <c r="T811" s="104">
        <f t="shared" si="83"/>
        <v>198.97799999999998</v>
      </c>
      <c r="U811" s="104" t="str">
        <f t="shared" si="84"/>
        <v/>
      </c>
      <c r="V811" s="104" t="str">
        <f t="shared" si="85"/>
        <v/>
      </c>
      <c r="W811" s="105"/>
    </row>
    <row r="812" spans="1:23">
      <c r="A812" s="92"/>
      <c r="B812" s="113"/>
      <c r="C812" s="94"/>
      <c r="D812" s="95"/>
      <c r="E812" s="114"/>
      <c r="F812" s="96"/>
      <c r="G812" s="97"/>
      <c r="H812" s="98"/>
      <c r="I812" s="99"/>
      <c r="J812" s="99"/>
      <c r="K812" s="100"/>
      <c r="L812" s="99"/>
      <c r="M812" s="99"/>
      <c r="N812" s="99"/>
      <c r="O812" s="99"/>
      <c r="P812" s="101"/>
      <c r="Q812" s="104" t="str">
        <f t="shared" si="80"/>
        <v/>
      </c>
      <c r="R812" s="104" t="str">
        <f t="shared" si="81"/>
        <v/>
      </c>
      <c r="S812" s="104" t="str">
        <f t="shared" si="82"/>
        <v/>
      </c>
      <c r="T812" s="104" t="str">
        <f t="shared" si="83"/>
        <v/>
      </c>
      <c r="U812" s="104" t="str">
        <f t="shared" si="84"/>
        <v/>
      </c>
      <c r="V812" s="104" t="str">
        <f t="shared" si="85"/>
        <v/>
      </c>
      <c r="W812" s="105"/>
    </row>
    <row r="813" spans="1:23">
      <c r="A813" s="92">
        <v>4</v>
      </c>
      <c r="B813" s="106" t="s">
        <v>584</v>
      </c>
      <c r="C813" s="94"/>
      <c r="D813" s="95"/>
      <c r="E813" s="95"/>
      <c r="F813" s="96"/>
      <c r="G813" s="97"/>
      <c r="H813" s="98"/>
      <c r="I813" s="99"/>
      <c r="J813" s="99"/>
      <c r="K813" s="100"/>
      <c r="L813" s="99"/>
      <c r="M813" s="99"/>
      <c r="N813" s="99"/>
      <c r="O813" s="99"/>
      <c r="P813" s="101"/>
      <c r="Q813" s="104" t="str">
        <f t="shared" si="80"/>
        <v/>
      </c>
      <c r="R813" s="104" t="str">
        <f t="shared" si="81"/>
        <v/>
      </c>
      <c r="S813" s="104" t="str">
        <f t="shared" si="82"/>
        <v/>
      </c>
      <c r="T813" s="104" t="str">
        <f t="shared" si="83"/>
        <v/>
      </c>
      <c r="U813" s="104" t="str">
        <f t="shared" si="84"/>
        <v/>
      </c>
      <c r="V813" s="104" t="str">
        <f t="shared" si="85"/>
        <v/>
      </c>
      <c r="W813" s="105"/>
    </row>
    <row r="814" spans="1:23">
      <c r="A814" s="92"/>
      <c r="B814" t="s">
        <v>239</v>
      </c>
      <c r="C814" s="107">
        <v>0.5</v>
      </c>
      <c r="D814" s="786">
        <f>31.935-2*0.05</f>
        <v>31.834999999999997</v>
      </c>
      <c r="E814" s="799"/>
      <c r="F814" s="107">
        <v>0.5</v>
      </c>
      <c r="G814" s="108">
        <v>0.25</v>
      </c>
      <c r="H814" s="98">
        <v>16</v>
      </c>
      <c r="I814" s="99">
        <v>1</v>
      </c>
      <c r="J814" s="101">
        <f>ROUND(2.63/G814/2,0)</f>
        <v>5</v>
      </c>
      <c r="K814" s="109">
        <f>D814</f>
        <v>31.834999999999997</v>
      </c>
      <c r="L814" s="112">
        <f>IF(O814&lt;12,"0",0.049*H814)*2</f>
        <v>1.5680000000000001</v>
      </c>
      <c r="M814" s="111">
        <v>2</v>
      </c>
      <c r="N814" s="99">
        <f>M814*2*H814/1000</f>
        <v>6.4000000000000001E-2</v>
      </c>
      <c r="O814" s="112">
        <f>(D814+C814+F814)-N814</f>
        <v>32.770999999999994</v>
      </c>
      <c r="P814" s="112">
        <f>(I814*J814*O814)+L814</f>
        <v>165.42299999999997</v>
      </c>
      <c r="Q814" s="104" t="str">
        <f t="shared" si="80"/>
        <v/>
      </c>
      <c r="R814" s="104" t="str">
        <f t="shared" si="81"/>
        <v/>
      </c>
      <c r="S814" s="104" t="str">
        <f t="shared" si="82"/>
        <v/>
      </c>
      <c r="T814" s="104">
        <f t="shared" si="83"/>
        <v>165.42299999999997</v>
      </c>
      <c r="U814" s="104" t="str">
        <f t="shared" si="84"/>
        <v/>
      </c>
      <c r="V814" s="104" t="str">
        <f t="shared" si="85"/>
        <v/>
      </c>
      <c r="W814" s="105"/>
    </row>
    <row r="815" spans="1:23">
      <c r="A815" s="92"/>
      <c r="B815" s="113"/>
      <c r="C815" s="94"/>
      <c r="D815" s="95"/>
      <c r="E815" s="114"/>
      <c r="F815" s="96"/>
      <c r="G815" s="97"/>
      <c r="H815" s="98"/>
      <c r="I815" s="99"/>
      <c r="J815" s="99"/>
      <c r="K815" s="100"/>
      <c r="L815" s="99"/>
      <c r="M815" s="99"/>
      <c r="N815" s="99"/>
      <c r="O815" s="99"/>
      <c r="P815" s="101"/>
      <c r="Q815" s="104" t="str">
        <f t="shared" si="80"/>
        <v/>
      </c>
      <c r="R815" s="104" t="str">
        <f t="shared" si="81"/>
        <v/>
      </c>
      <c r="S815" s="104" t="str">
        <f t="shared" si="82"/>
        <v/>
      </c>
      <c r="T815" s="104" t="str">
        <f t="shared" si="83"/>
        <v/>
      </c>
      <c r="U815" s="104" t="str">
        <f t="shared" si="84"/>
        <v/>
      </c>
      <c r="V815" s="104" t="str">
        <f t="shared" si="85"/>
        <v/>
      </c>
      <c r="W815" s="105"/>
    </row>
    <row r="816" spans="1:23">
      <c r="A816" s="92">
        <v>5</v>
      </c>
      <c r="B816" s="106" t="s">
        <v>585</v>
      </c>
      <c r="C816" s="94"/>
      <c r="D816" s="95"/>
      <c r="E816" s="95"/>
      <c r="F816" s="96"/>
      <c r="G816" s="97"/>
      <c r="H816" s="98"/>
      <c r="I816" s="99"/>
      <c r="J816" s="99"/>
      <c r="K816" s="100"/>
      <c r="L816" s="99"/>
      <c r="M816" s="99"/>
      <c r="N816" s="99"/>
      <c r="O816" s="99"/>
      <c r="P816" s="101"/>
      <c r="Q816" s="104" t="str">
        <f t="shared" si="80"/>
        <v/>
      </c>
      <c r="R816" s="104" t="str">
        <f t="shared" si="81"/>
        <v/>
      </c>
      <c r="S816" s="104" t="str">
        <f t="shared" si="82"/>
        <v/>
      </c>
      <c r="T816" s="104" t="str">
        <f t="shared" si="83"/>
        <v/>
      </c>
      <c r="U816" s="104" t="str">
        <f t="shared" si="84"/>
        <v/>
      </c>
      <c r="V816" s="104" t="str">
        <f t="shared" si="85"/>
        <v/>
      </c>
      <c r="W816" s="105"/>
    </row>
    <row r="817" spans="1:23">
      <c r="A817" s="92"/>
      <c r="B817" t="s">
        <v>239</v>
      </c>
      <c r="C817" s="107">
        <v>0.5</v>
      </c>
      <c r="D817" s="786">
        <f>31.95-2*0.05-1.5</f>
        <v>30.349999999999998</v>
      </c>
      <c r="E817" s="799"/>
      <c r="F817" s="107">
        <v>0.5</v>
      </c>
      <c r="G817" s="108">
        <v>0.25</v>
      </c>
      <c r="H817" s="98">
        <v>16</v>
      </c>
      <c r="I817" s="99">
        <v>1</v>
      </c>
      <c r="J817" s="101">
        <f>ROUND(3.95/G817/2+1,0)</f>
        <v>9</v>
      </c>
      <c r="K817" s="109">
        <f>D817</f>
        <v>30.349999999999998</v>
      </c>
      <c r="L817" s="112">
        <f>IF(O817&lt;12,"0",0.049*H817)*3</f>
        <v>2.3520000000000003</v>
      </c>
      <c r="M817" s="111">
        <v>2</v>
      </c>
      <c r="N817" s="99">
        <f>M817*2*H817/1000</f>
        <v>6.4000000000000001E-2</v>
      </c>
      <c r="O817" s="112">
        <f>(D817+C817+F817)-N817</f>
        <v>31.285999999999998</v>
      </c>
      <c r="P817" s="112">
        <f>(I817*J817*O817)+L817</f>
        <v>283.92599999999993</v>
      </c>
      <c r="Q817" s="104" t="str">
        <f t="shared" si="80"/>
        <v/>
      </c>
      <c r="R817" s="104" t="str">
        <f t="shared" si="81"/>
        <v/>
      </c>
      <c r="S817" s="104" t="str">
        <f t="shared" si="82"/>
        <v/>
      </c>
      <c r="T817" s="104">
        <f t="shared" si="83"/>
        <v>283.92599999999993</v>
      </c>
      <c r="U817" s="104" t="str">
        <f t="shared" si="84"/>
        <v/>
      </c>
      <c r="V817" s="104" t="str">
        <f t="shared" si="85"/>
        <v/>
      </c>
      <c r="W817" s="105"/>
    </row>
    <row r="818" spans="1:23">
      <c r="A818" s="92"/>
      <c r="B818" s="113"/>
      <c r="C818" s="94"/>
      <c r="D818" s="95"/>
      <c r="E818" s="114"/>
      <c r="F818" s="96"/>
      <c r="G818" s="97"/>
      <c r="H818" s="98"/>
      <c r="I818" s="99"/>
      <c r="J818" s="99"/>
      <c r="K818" s="100"/>
      <c r="L818" s="99"/>
      <c r="M818" s="99"/>
      <c r="N818" s="99"/>
      <c r="O818" s="99"/>
      <c r="P818" s="101"/>
      <c r="Q818" s="104" t="str">
        <f t="shared" si="80"/>
        <v/>
      </c>
      <c r="R818" s="104" t="str">
        <f t="shared" si="81"/>
        <v/>
      </c>
      <c r="S818" s="104" t="str">
        <f t="shared" si="82"/>
        <v/>
      </c>
      <c r="T818" s="104" t="str">
        <f t="shared" si="83"/>
        <v/>
      </c>
      <c r="U818" s="104" t="str">
        <f t="shared" si="84"/>
        <v/>
      </c>
      <c r="V818" s="104" t="str">
        <f t="shared" si="85"/>
        <v/>
      </c>
      <c r="W818" s="105"/>
    </row>
    <row r="819" spans="1:23">
      <c r="A819" s="92">
        <v>5</v>
      </c>
      <c r="B819" s="106" t="s">
        <v>585</v>
      </c>
      <c r="C819" s="94"/>
      <c r="D819" s="95"/>
      <c r="E819" s="95"/>
      <c r="F819" s="96"/>
      <c r="G819" s="97"/>
      <c r="H819" s="98"/>
      <c r="I819" s="99"/>
      <c r="J819" s="99"/>
      <c r="K819" s="100"/>
      <c r="L819" s="99"/>
      <c r="M819" s="99"/>
      <c r="N819" s="99"/>
      <c r="O819" s="99"/>
      <c r="P819" s="101"/>
      <c r="Q819" s="104" t="str">
        <f t="shared" si="80"/>
        <v/>
      </c>
      <c r="R819" s="104" t="str">
        <f t="shared" si="81"/>
        <v/>
      </c>
      <c r="S819" s="104" t="str">
        <f t="shared" si="82"/>
        <v/>
      </c>
      <c r="T819" s="104" t="str">
        <f t="shared" si="83"/>
        <v/>
      </c>
      <c r="U819" s="104" t="str">
        <f t="shared" si="84"/>
        <v/>
      </c>
      <c r="V819" s="104" t="str">
        <f t="shared" si="85"/>
        <v/>
      </c>
      <c r="W819" s="105"/>
    </row>
    <row r="820" spans="1:23">
      <c r="A820" s="92"/>
      <c r="B820" t="s">
        <v>239</v>
      </c>
      <c r="C820" s="107">
        <v>0.5</v>
      </c>
      <c r="D820" s="786">
        <f>31.95-2*0.05-1.5</f>
        <v>30.349999999999998</v>
      </c>
      <c r="E820" s="799"/>
      <c r="F820" s="107">
        <v>0.5</v>
      </c>
      <c r="G820" s="108">
        <v>0.25</v>
      </c>
      <c r="H820" s="98">
        <v>16</v>
      </c>
      <c r="I820" s="99">
        <v>1</v>
      </c>
      <c r="J820" s="101">
        <f>ROUND(3.95/G820/2,0)</f>
        <v>8</v>
      </c>
      <c r="K820" s="109">
        <f>D820</f>
        <v>30.349999999999998</v>
      </c>
      <c r="L820" s="112">
        <f>IF(O820&lt;12,"0",0.049*H820)*2</f>
        <v>1.5680000000000001</v>
      </c>
      <c r="M820" s="111">
        <v>2</v>
      </c>
      <c r="N820" s="99">
        <f>M820*2*H820/1000</f>
        <v>6.4000000000000001E-2</v>
      </c>
      <c r="O820" s="112">
        <f>(D820+C820+F820)-N820</f>
        <v>31.285999999999998</v>
      </c>
      <c r="P820" s="112">
        <f>(I820*J820*O820)+L820</f>
        <v>251.85599999999999</v>
      </c>
      <c r="Q820" s="104" t="str">
        <f t="shared" si="80"/>
        <v/>
      </c>
      <c r="R820" s="104" t="str">
        <f t="shared" si="81"/>
        <v/>
      </c>
      <c r="S820" s="104" t="str">
        <f t="shared" si="82"/>
        <v/>
      </c>
      <c r="T820" s="104">
        <f t="shared" si="83"/>
        <v>251.85599999999999</v>
      </c>
      <c r="U820" s="104" t="str">
        <f t="shared" si="84"/>
        <v/>
      </c>
      <c r="V820" s="104" t="str">
        <f t="shared" si="85"/>
        <v/>
      </c>
      <c r="W820" s="105"/>
    </row>
    <row r="821" spans="1:23">
      <c r="A821" s="92"/>
      <c r="B821" s="113"/>
      <c r="C821" s="94"/>
      <c r="D821" s="95"/>
      <c r="E821" s="114"/>
      <c r="F821" s="96"/>
      <c r="G821" s="97"/>
      <c r="H821" s="98"/>
      <c r="I821" s="99"/>
      <c r="J821" s="99"/>
      <c r="K821" s="100"/>
      <c r="L821" s="99"/>
      <c r="M821" s="99"/>
      <c r="N821" s="99"/>
      <c r="O821" s="99"/>
      <c r="P821" s="101"/>
      <c r="Q821" s="104" t="str">
        <f t="shared" si="80"/>
        <v/>
      </c>
      <c r="R821" s="104" t="str">
        <f t="shared" si="81"/>
        <v/>
      </c>
      <c r="S821" s="104" t="str">
        <f t="shared" si="82"/>
        <v/>
      </c>
      <c r="T821" s="104" t="str">
        <f t="shared" si="83"/>
        <v/>
      </c>
      <c r="U821" s="104" t="str">
        <f t="shared" si="84"/>
        <v/>
      </c>
      <c r="V821" s="104" t="str">
        <f t="shared" si="85"/>
        <v/>
      </c>
      <c r="W821" s="105"/>
    </row>
    <row r="822" spans="1:23">
      <c r="A822" s="92">
        <v>6</v>
      </c>
      <c r="B822" s="106" t="s">
        <v>600</v>
      </c>
      <c r="C822" s="94"/>
      <c r="D822" s="95"/>
      <c r="E822" s="95"/>
      <c r="F822" s="96"/>
      <c r="G822" s="97"/>
      <c r="H822" s="98"/>
      <c r="I822" s="99"/>
      <c r="J822" s="99"/>
      <c r="K822" s="100"/>
      <c r="L822" s="99"/>
      <c r="M822" s="99"/>
      <c r="N822" s="99"/>
      <c r="O822" s="99"/>
      <c r="P822" s="101"/>
      <c r="Q822" s="104" t="str">
        <f t="shared" si="80"/>
        <v/>
      </c>
      <c r="R822" s="104" t="str">
        <f t="shared" si="81"/>
        <v/>
      </c>
      <c r="S822" s="104" t="str">
        <f t="shared" si="82"/>
        <v/>
      </c>
      <c r="T822" s="104" t="str">
        <f t="shared" si="83"/>
        <v/>
      </c>
      <c r="U822" s="104" t="str">
        <f t="shared" si="84"/>
        <v/>
      </c>
      <c r="V822" s="104" t="str">
        <f t="shared" si="85"/>
        <v/>
      </c>
      <c r="W822" s="105"/>
    </row>
    <row r="823" spans="1:23">
      <c r="A823" s="92"/>
      <c r="B823" t="s">
        <v>239</v>
      </c>
      <c r="C823" s="107">
        <v>0.5</v>
      </c>
      <c r="D823" s="786">
        <f>31.95-2*0.05-1.5-0.815</f>
        <v>29.534999999999997</v>
      </c>
      <c r="E823" s="799"/>
      <c r="F823" s="107">
        <v>0.5</v>
      </c>
      <c r="G823" s="108">
        <v>0.25</v>
      </c>
      <c r="H823" s="98">
        <v>16</v>
      </c>
      <c r="I823" s="99">
        <v>1</v>
      </c>
      <c r="J823" s="101">
        <f>ROUND(1.695/G823/2+1,0)</f>
        <v>4</v>
      </c>
      <c r="K823" s="109">
        <f>D823</f>
        <v>29.534999999999997</v>
      </c>
      <c r="L823" s="112">
        <f>IF(O823&lt;12,"0",0.049*H823)*3</f>
        <v>2.3520000000000003</v>
      </c>
      <c r="M823" s="111">
        <v>2</v>
      </c>
      <c r="N823" s="99">
        <f>M823*2*H823/1000</f>
        <v>6.4000000000000001E-2</v>
      </c>
      <c r="O823" s="112">
        <f>(D823+C823+F823)-N823</f>
        <v>30.470999999999997</v>
      </c>
      <c r="P823" s="112">
        <f>(I823*J823*O823)+L823</f>
        <v>124.23599999999999</v>
      </c>
      <c r="Q823" s="104" t="str">
        <f t="shared" si="80"/>
        <v/>
      </c>
      <c r="R823" s="104" t="str">
        <f t="shared" si="81"/>
        <v/>
      </c>
      <c r="S823" s="104" t="str">
        <f t="shared" si="82"/>
        <v/>
      </c>
      <c r="T823" s="104">
        <f t="shared" si="83"/>
        <v>124.23599999999999</v>
      </c>
      <c r="U823" s="104" t="str">
        <f t="shared" si="84"/>
        <v/>
      </c>
      <c r="V823" s="104" t="str">
        <f t="shared" si="85"/>
        <v/>
      </c>
      <c r="W823" s="105"/>
    </row>
    <row r="824" spans="1:23">
      <c r="A824" s="92"/>
      <c r="B824" s="113"/>
      <c r="C824" s="94"/>
      <c r="D824" s="95"/>
      <c r="E824" s="114"/>
      <c r="F824" s="96"/>
      <c r="G824" s="97"/>
      <c r="H824" s="98"/>
      <c r="I824" s="99"/>
      <c r="J824" s="99"/>
      <c r="K824" s="100"/>
      <c r="L824" s="99"/>
      <c r="M824" s="99"/>
      <c r="N824" s="99"/>
      <c r="O824" s="99"/>
      <c r="P824" s="101"/>
      <c r="Q824" s="104" t="str">
        <f t="shared" si="80"/>
        <v/>
      </c>
      <c r="R824" s="104" t="str">
        <f t="shared" si="81"/>
        <v/>
      </c>
      <c r="S824" s="104" t="str">
        <f t="shared" si="82"/>
        <v/>
      </c>
      <c r="T824" s="104" t="str">
        <f t="shared" si="83"/>
        <v/>
      </c>
      <c r="U824" s="104" t="str">
        <f t="shared" si="84"/>
        <v/>
      </c>
      <c r="V824" s="104" t="str">
        <f t="shared" si="85"/>
        <v/>
      </c>
      <c r="W824" s="105"/>
    </row>
    <row r="825" spans="1:23">
      <c r="A825" s="92">
        <v>6</v>
      </c>
      <c r="B825" s="106" t="s">
        <v>600</v>
      </c>
      <c r="C825" s="94"/>
      <c r="D825" s="95"/>
      <c r="E825" s="95"/>
      <c r="F825" s="96"/>
      <c r="G825" s="97"/>
      <c r="H825" s="98"/>
      <c r="I825" s="99"/>
      <c r="J825" s="99"/>
      <c r="K825" s="100"/>
      <c r="L825" s="99"/>
      <c r="M825" s="99"/>
      <c r="N825" s="99"/>
      <c r="O825" s="99"/>
      <c r="P825" s="101"/>
      <c r="Q825" s="104" t="str">
        <f t="shared" si="80"/>
        <v/>
      </c>
      <c r="R825" s="104" t="str">
        <f t="shared" si="81"/>
        <v/>
      </c>
      <c r="S825" s="104" t="str">
        <f t="shared" si="82"/>
        <v/>
      </c>
      <c r="T825" s="104" t="str">
        <f t="shared" si="83"/>
        <v/>
      </c>
      <c r="U825" s="104" t="str">
        <f t="shared" si="84"/>
        <v/>
      </c>
      <c r="V825" s="104" t="str">
        <f t="shared" si="85"/>
        <v/>
      </c>
      <c r="W825" s="105"/>
    </row>
    <row r="826" spans="1:23">
      <c r="A826" s="92"/>
      <c r="B826" t="s">
        <v>239</v>
      </c>
      <c r="C826" s="107">
        <v>0.5</v>
      </c>
      <c r="D826" s="786">
        <f>31.95-2*0.05-1.5-0.815</f>
        <v>29.534999999999997</v>
      </c>
      <c r="E826" s="799"/>
      <c r="F826" s="107">
        <v>0.5</v>
      </c>
      <c r="G826" s="108">
        <v>0.25</v>
      </c>
      <c r="H826" s="98">
        <v>16</v>
      </c>
      <c r="I826" s="99">
        <v>1</v>
      </c>
      <c r="J826" s="101">
        <f>ROUND(1.695/G826/2,0)</f>
        <v>3</v>
      </c>
      <c r="K826" s="109">
        <f>D826</f>
        <v>29.534999999999997</v>
      </c>
      <c r="L826" s="112">
        <f>IF(O826&lt;12,"0",0.049*H826)*2</f>
        <v>1.5680000000000001</v>
      </c>
      <c r="M826" s="111">
        <v>2</v>
      </c>
      <c r="N826" s="99">
        <f>M826*2*H826/1000</f>
        <v>6.4000000000000001E-2</v>
      </c>
      <c r="O826" s="112">
        <f>(D826+C826+F826)-N826</f>
        <v>30.470999999999997</v>
      </c>
      <c r="P826" s="112">
        <f>(I826*J826*O826)+L826</f>
        <v>92.98099999999998</v>
      </c>
      <c r="Q826" s="104" t="str">
        <f t="shared" si="80"/>
        <v/>
      </c>
      <c r="R826" s="104" t="str">
        <f t="shared" si="81"/>
        <v/>
      </c>
      <c r="S826" s="104" t="str">
        <f t="shared" si="82"/>
        <v/>
      </c>
      <c r="T826" s="104">
        <f t="shared" si="83"/>
        <v>92.98099999999998</v>
      </c>
      <c r="U826" s="104" t="str">
        <f t="shared" si="84"/>
        <v/>
      </c>
      <c r="V826" s="104" t="str">
        <f t="shared" si="85"/>
        <v/>
      </c>
      <c r="W826" s="105"/>
    </row>
    <row r="827" spans="1:23">
      <c r="A827" s="92"/>
      <c r="B827" s="113"/>
      <c r="C827" s="94"/>
      <c r="D827" s="95"/>
      <c r="E827" s="114"/>
      <c r="F827" s="96"/>
      <c r="G827" s="97"/>
      <c r="H827" s="98"/>
      <c r="I827" s="99"/>
      <c r="J827" s="99"/>
      <c r="K827" s="100"/>
      <c r="L827" s="99"/>
      <c r="M827" s="99"/>
      <c r="N827" s="99"/>
      <c r="O827" s="99"/>
      <c r="P827" s="101"/>
      <c r="Q827" s="104" t="str">
        <f t="shared" si="80"/>
        <v/>
      </c>
      <c r="R827" s="104" t="str">
        <f t="shared" si="81"/>
        <v/>
      </c>
      <c r="S827" s="104" t="str">
        <f t="shared" si="82"/>
        <v/>
      </c>
      <c r="T827" s="104" t="str">
        <f t="shared" si="83"/>
        <v/>
      </c>
      <c r="U827" s="104" t="str">
        <f t="shared" si="84"/>
        <v/>
      </c>
      <c r="V827" s="104" t="str">
        <f t="shared" si="85"/>
        <v/>
      </c>
      <c r="W827" s="105"/>
    </row>
    <row r="828" spans="1:23">
      <c r="A828" s="92">
        <v>7</v>
      </c>
      <c r="B828" s="106" t="s">
        <v>601</v>
      </c>
      <c r="C828" s="94"/>
      <c r="D828" s="95"/>
      <c r="E828" s="95"/>
      <c r="F828" s="96"/>
      <c r="G828" s="97"/>
      <c r="H828" s="98"/>
      <c r="I828" s="99"/>
      <c r="J828" s="99"/>
      <c r="K828" s="100"/>
      <c r="L828" s="99"/>
      <c r="M828" s="99"/>
      <c r="N828" s="99"/>
      <c r="O828" s="99"/>
      <c r="P828" s="101"/>
      <c r="Q828" s="104" t="str">
        <f t="shared" si="80"/>
        <v/>
      </c>
      <c r="R828" s="104" t="str">
        <f t="shared" si="81"/>
        <v/>
      </c>
      <c r="S828" s="104" t="str">
        <f t="shared" si="82"/>
        <v/>
      </c>
      <c r="T828" s="104" t="str">
        <f t="shared" si="83"/>
        <v/>
      </c>
      <c r="U828" s="104" t="str">
        <f t="shared" si="84"/>
        <v/>
      </c>
      <c r="V828" s="104" t="str">
        <f t="shared" si="85"/>
        <v/>
      </c>
      <c r="W828" s="105"/>
    </row>
    <row r="829" spans="1:23">
      <c r="A829" s="92"/>
      <c r="B829" t="s">
        <v>239</v>
      </c>
      <c r="C829" s="107">
        <v>0.5</v>
      </c>
      <c r="D829" s="786">
        <f>15.8-2*0.05</f>
        <v>15.700000000000001</v>
      </c>
      <c r="E829" s="799"/>
      <c r="F829" s="107">
        <v>0.5</v>
      </c>
      <c r="G829" s="108">
        <v>0.25</v>
      </c>
      <c r="H829" s="98">
        <v>16</v>
      </c>
      <c r="I829" s="99">
        <v>1</v>
      </c>
      <c r="J829" s="101">
        <f>ROUND(11.285/G829+1,0)</f>
        <v>46</v>
      </c>
      <c r="K829" s="109">
        <f>D829</f>
        <v>15.700000000000001</v>
      </c>
      <c r="L829" s="112">
        <f>IF(O829&lt;12,"0",0.049*H829)</f>
        <v>0.78400000000000003</v>
      </c>
      <c r="M829" s="111">
        <v>2</v>
      </c>
      <c r="N829" s="99">
        <f>M829*2*H829/1000</f>
        <v>6.4000000000000001E-2</v>
      </c>
      <c r="O829" s="112">
        <f>(D829+C829+F829)-N829</f>
        <v>16.636000000000003</v>
      </c>
      <c r="P829" s="112">
        <f>(I829*J829*O829)+L829</f>
        <v>766.04000000000008</v>
      </c>
      <c r="Q829" s="104" t="str">
        <f t="shared" si="80"/>
        <v/>
      </c>
      <c r="R829" s="104" t="str">
        <f t="shared" si="81"/>
        <v/>
      </c>
      <c r="S829" s="104" t="str">
        <f t="shared" si="82"/>
        <v/>
      </c>
      <c r="T829" s="104">
        <f t="shared" si="83"/>
        <v>766.04000000000008</v>
      </c>
      <c r="U829" s="104" t="str">
        <f t="shared" si="84"/>
        <v/>
      </c>
      <c r="V829" s="104" t="str">
        <f t="shared" si="85"/>
        <v/>
      </c>
      <c r="W829" s="105"/>
    </row>
    <row r="830" spans="1:23">
      <c r="A830" s="92"/>
      <c r="B830" s="113"/>
      <c r="C830" s="94"/>
      <c r="D830" s="95"/>
      <c r="E830" s="114"/>
      <c r="F830" s="96"/>
      <c r="G830" s="97"/>
      <c r="H830" s="98"/>
      <c r="I830" s="99"/>
      <c r="J830" s="99"/>
      <c r="K830" s="100"/>
      <c r="L830" s="99"/>
      <c r="M830" s="99"/>
      <c r="N830" s="99"/>
      <c r="O830" s="99"/>
      <c r="P830" s="101"/>
      <c r="Q830" s="104" t="str">
        <f t="shared" si="80"/>
        <v/>
      </c>
      <c r="R830" s="104" t="str">
        <f t="shared" si="81"/>
        <v/>
      </c>
      <c r="S830" s="104" t="str">
        <f t="shared" si="82"/>
        <v/>
      </c>
      <c r="T830" s="104" t="str">
        <f t="shared" si="83"/>
        <v/>
      </c>
      <c r="U830" s="104" t="str">
        <f t="shared" si="84"/>
        <v/>
      </c>
      <c r="V830" s="104" t="str">
        <f t="shared" si="85"/>
        <v/>
      </c>
      <c r="W830" s="105"/>
    </row>
    <row r="831" spans="1:23">
      <c r="A831" s="92"/>
      <c r="B831" s="113"/>
      <c r="C831" s="94"/>
      <c r="D831" s="95"/>
      <c r="E831" s="114"/>
      <c r="F831" s="96"/>
      <c r="G831" s="97"/>
      <c r="H831" s="98"/>
      <c r="I831" s="99"/>
      <c r="J831" s="99"/>
      <c r="K831" s="100"/>
      <c r="L831" s="99"/>
      <c r="M831" s="99"/>
      <c r="N831" s="99"/>
      <c r="O831" s="99"/>
      <c r="P831" s="101"/>
      <c r="Q831" s="104" t="str">
        <f t="shared" si="80"/>
        <v/>
      </c>
      <c r="R831" s="104" t="str">
        <f t="shared" si="81"/>
        <v/>
      </c>
      <c r="S831" s="104" t="str">
        <f t="shared" si="82"/>
        <v/>
      </c>
      <c r="T831" s="104" t="str">
        <f t="shared" si="83"/>
        <v/>
      </c>
      <c r="U831" s="104" t="str">
        <f t="shared" si="84"/>
        <v/>
      </c>
      <c r="V831" s="104" t="str">
        <f t="shared" si="85"/>
        <v/>
      </c>
      <c r="W831" s="105"/>
    </row>
    <row r="832" spans="1:23">
      <c r="A832" s="92"/>
      <c r="B832" s="103" t="s">
        <v>246</v>
      </c>
      <c r="C832" s="94"/>
      <c r="D832" s="95"/>
      <c r="E832" s="95"/>
      <c r="F832" s="96"/>
      <c r="G832" s="97"/>
      <c r="H832" s="98"/>
      <c r="I832" s="99"/>
      <c r="J832" s="99"/>
      <c r="K832" s="100"/>
      <c r="L832" s="99"/>
      <c r="M832" s="99"/>
      <c r="N832" s="99"/>
      <c r="O832" s="99"/>
      <c r="P832" s="101"/>
      <c r="Q832" s="104" t="str">
        <f t="shared" si="80"/>
        <v/>
      </c>
      <c r="R832" s="104" t="str">
        <f t="shared" si="81"/>
        <v/>
      </c>
      <c r="S832" s="104" t="str">
        <f t="shared" si="82"/>
        <v/>
      </c>
      <c r="T832" s="104" t="str">
        <f t="shared" si="83"/>
        <v/>
      </c>
      <c r="U832" s="104" t="str">
        <f t="shared" si="84"/>
        <v/>
      </c>
      <c r="V832" s="104" t="str">
        <f t="shared" si="85"/>
        <v/>
      </c>
      <c r="W832" s="105"/>
    </row>
    <row r="833" spans="1:23">
      <c r="A833" s="92">
        <v>1</v>
      </c>
      <c r="B833" s="115" t="s">
        <v>602</v>
      </c>
      <c r="C833" s="94"/>
      <c r="D833" s="95"/>
      <c r="E833" s="95"/>
      <c r="F833" s="96"/>
      <c r="G833" s="97"/>
      <c r="H833" s="98"/>
      <c r="I833" s="99"/>
      <c r="J833" s="99"/>
      <c r="K833" s="100"/>
      <c r="L833" s="99"/>
      <c r="M833" s="99"/>
      <c r="N833" s="99"/>
      <c r="O833" s="99"/>
      <c r="P833" s="101"/>
      <c r="Q833" s="104" t="str">
        <f t="shared" si="80"/>
        <v/>
      </c>
      <c r="R833" s="104" t="str">
        <f t="shared" si="81"/>
        <v/>
      </c>
      <c r="S833" s="104" t="str">
        <f t="shared" si="82"/>
        <v/>
      </c>
      <c r="T833" s="104" t="str">
        <f t="shared" si="83"/>
        <v/>
      </c>
      <c r="U833" s="104" t="str">
        <f t="shared" si="84"/>
        <v/>
      </c>
      <c r="V833" s="104" t="str">
        <f t="shared" si="85"/>
        <v/>
      </c>
      <c r="W833" s="105"/>
    </row>
    <row r="834" spans="1:23">
      <c r="A834" s="92"/>
      <c r="B834" s="116" t="s">
        <v>247</v>
      </c>
      <c r="C834" s="107">
        <v>0.5</v>
      </c>
      <c r="D834" s="786">
        <f>8.875-2*0.05</f>
        <v>8.7750000000000004</v>
      </c>
      <c r="E834" s="799"/>
      <c r="F834" s="107">
        <v>0.5</v>
      </c>
      <c r="G834" s="108">
        <v>0.25</v>
      </c>
      <c r="H834" s="98">
        <v>16</v>
      </c>
      <c r="I834" s="99">
        <v>1</v>
      </c>
      <c r="J834" s="101">
        <f>ROUND(1.5/G834+1,0)</f>
        <v>7</v>
      </c>
      <c r="K834" s="109">
        <f>D834</f>
        <v>8.7750000000000004</v>
      </c>
      <c r="L834" s="110" t="str">
        <f>IF(O834&lt;12,"0",0.049*H834)</f>
        <v>0</v>
      </c>
      <c r="M834" s="111">
        <v>2</v>
      </c>
      <c r="N834" s="99">
        <f>M834*2*H834/1000</f>
        <v>6.4000000000000001E-2</v>
      </c>
      <c r="O834" s="112">
        <f>(D834+C834+F834)-N834</f>
        <v>9.7110000000000003</v>
      </c>
      <c r="P834" s="112">
        <f>(I834*J834*O834)+L834</f>
        <v>67.977000000000004</v>
      </c>
      <c r="Q834" s="104" t="str">
        <f t="shared" si="80"/>
        <v/>
      </c>
      <c r="R834" s="104" t="str">
        <f t="shared" si="81"/>
        <v/>
      </c>
      <c r="S834" s="104" t="str">
        <f t="shared" si="82"/>
        <v/>
      </c>
      <c r="T834" s="104">
        <f t="shared" si="83"/>
        <v>67.977000000000004</v>
      </c>
      <c r="U834" s="104" t="str">
        <f t="shared" si="84"/>
        <v/>
      </c>
      <c r="V834" s="104" t="str">
        <f t="shared" si="85"/>
        <v/>
      </c>
      <c r="W834" s="105"/>
    </row>
    <row r="835" spans="1:23">
      <c r="A835" s="92"/>
      <c r="B835" s="115"/>
      <c r="C835" s="94"/>
      <c r="D835" s="95"/>
      <c r="E835" s="95"/>
      <c r="F835" s="96"/>
      <c r="G835" s="97"/>
      <c r="H835" s="98"/>
      <c r="I835" s="99"/>
      <c r="J835" s="99"/>
      <c r="K835" s="100"/>
      <c r="L835" s="99"/>
      <c r="M835" s="99"/>
      <c r="N835" s="99"/>
      <c r="O835" s="99"/>
      <c r="P835" s="101"/>
      <c r="Q835" s="104" t="str">
        <f t="shared" si="80"/>
        <v/>
      </c>
      <c r="R835" s="104" t="str">
        <f t="shared" si="81"/>
        <v/>
      </c>
      <c r="S835" s="104" t="str">
        <f t="shared" si="82"/>
        <v/>
      </c>
      <c r="T835" s="104" t="str">
        <f t="shared" si="83"/>
        <v/>
      </c>
      <c r="U835" s="104" t="str">
        <f t="shared" si="84"/>
        <v/>
      </c>
      <c r="V835" s="104" t="str">
        <f t="shared" si="85"/>
        <v/>
      </c>
      <c r="W835" s="105"/>
    </row>
    <row r="836" spans="1:23">
      <c r="A836" s="92">
        <v>2</v>
      </c>
      <c r="B836" s="115" t="s">
        <v>603</v>
      </c>
      <c r="C836" s="94"/>
      <c r="D836" s="95"/>
      <c r="E836" s="95"/>
      <c r="F836" s="96"/>
      <c r="G836" s="97"/>
      <c r="H836" s="98"/>
      <c r="I836" s="99"/>
      <c r="J836" s="99"/>
      <c r="K836" s="100"/>
      <c r="L836" s="99"/>
      <c r="M836" s="99"/>
      <c r="N836" s="99"/>
      <c r="O836" s="99"/>
      <c r="P836" s="101"/>
      <c r="Q836" s="104" t="str">
        <f t="shared" si="80"/>
        <v/>
      </c>
      <c r="R836" s="104" t="str">
        <f t="shared" si="81"/>
        <v/>
      </c>
      <c r="S836" s="104" t="str">
        <f t="shared" si="82"/>
        <v/>
      </c>
      <c r="T836" s="104" t="str">
        <f t="shared" si="83"/>
        <v/>
      </c>
      <c r="U836" s="104" t="str">
        <f t="shared" si="84"/>
        <v/>
      </c>
      <c r="V836" s="104" t="str">
        <f t="shared" si="85"/>
        <v/>
      </c>
      <c r="W836" s="105"/>
    </row>
    <row r="837" spans="1:23">
      <c r="A837" s="92"/>
      <c r="B837" s="116" t="s">
        <v>247</v>
      </c>
      <c r="C837" s="107">
        <v>0.5</v>
      </c>
      <c r="D837" s="786">
        <f>12.825-2*0.05</f>
        <v>12.725</v>
      </c>
      <c r="E837" s="799"/>
      <c r="F837" s="107">
        <v>0.5</v>
      </c>
      <c r="G837" s="108">
        <v>0.25</v>
      </c>
      <c r="H837" s="98">
        <v>16</v>
      </c>
      <c r="I837" s="99">
        <v>1</v>
      </c>
      <c r="J837" s="101">
        <f>ROUND(0.815/G837+1,0)</f>
        <v>4</v>
      </c>
      <c r="K837" s="109">
        <f>D837</f>
        <v>12.725</v>
      </c>
      <c r="L837" s="110">
        <f>IF(O837&lt;12,"0",0.049*H837)</f>
        <v>0.78400000000000003</v>
      </c>
      <c r="M837" s="111">
        <v>2</v>
      </c>
      <c r="N837" s="99">
        <f>M837*2*H837/1000</f>
        <v>6.4000000000000001E-2</v>
      </c>
      <c r="O837" s="112">
        <f>(D837+C837+F837)-N837</f>
        <v>13.661</v>
      </c>
      <c r="P837" s="112">
        <f>(I837*J837*O837)+L837</f>
        <v>55.427999999999997</v>
      </c>
      <c r="Q837" s="104" t="str">
        <f t="shared" si="80"/>
        <v/>
      </c>
      <c r="R837" s="104" t="str">
        <f t="shared" si="81"/>
        <v/>
      </c>
      <c r="S837" s="104" t="str">
        <f t="shared" si="82"/>
        <v/>
      </c>
      <c r="T837" s="104">
        <f t="shared" si="83"/>
        <v>55.427999999999997</v>
      </c>
      <c r="U837" s="104" t="str">
        <f t="shared" si="84"/>
        <v/>
      </c>
      <c r="V837" s="104" t="str">
        <f t="shared" si="85"/>
        <v/>
      </c>
      <c r="W837" s="105"/>
    </row>
    <row r="838" spans="1:23">
      <c r="A838" s="92"/>
      <c r="B838" s="116"/>
      <c r="C838" s="107"/>
      <c r="D838" s="389"/>
      <c r="E838" s="389"/>
      <c r="F838" s="118"/>
      <c r="G838" s="108"/>
      <c r="H838" s="98"/>
      <c r="I838" s="99"/>
      <c r="J838" s="101"/>
      <c r="K838" s="109"/>
      <c r="L838" s="110"/>
      <c r="M838" s="111"/>
      <c r="N838" s="99"/>
      <c r="O838" s="112"/>
      <c r="P838" s="112"/>
      <c r="Q838" s="104" t="str">
        <f t="shared" si="80"/>
        <v/>
      </c>
      <c r="R838" s="104" t="str">
        <f t="shared" si="81"/>
        <v/>
      </c>
      <c r="S838" s="104" t="str">
        <f t="shared" si="82"/>
        <v/>
      </c>
      <c r="T838" s="104" t="str">
        <f t="shared" si="83"/>
        <v/>
      </c>
      <c r="U838" s="104" t="str">
        <f t="shared" si="84"/>
        <v/>
      </c>
      <c r="V838" s="104" t="str">
        <f t="shared" si="85"/>
        <v/>
      </c>
      <c r="W838" s="105"/>
    </row>
    <row r="839" spans="1:23">
      <c r="A839" s="92">
        <v>3</v>
      </c>
      <c r="B839" s="115" t="s">
        <v>604</v>
      </c>
      <c r="C839" s="94"/>
      <c r="D839" s="95"/>
      <c r="E839" s="95"/>
      <c r="F839" s="96"/>
      <c r="G839" s="97"/>
      <c r="H839" s="98"/>
      <c r="I839" s="99"/>
      <c r="J839" s="99"/>
      <c r="K839" s="100"/>
      <c r="L839" s="99"/>
      <c r="M839" s="99"/>
      <c r="N839" s="99"/>
      <c r="O839" s="99"/>
      <c r="P839" s="101"/>
      <c r="Q839" s="104" t="str">
        <f t="shared" si="80"/>
        <v/>
      </c>
      <c r="R839" s="104" t="str">
        <f t="shared" si="81"/>
        <v/>
      </c>
      <c r="S839" s="104" t="str">
        <f t="shared" si="82"/>
        <v/>
      </c>
      <c r="T839" s="104" t="str">
        <f t="shared" si="83"/>
        <v/>
      </c>
      <c r="U839" s="104" t="str">
        <f t="shared" si="84"/>
        <v/>
      </c>
      <c r="V839" s="104" t="str">
        <f t="shared" si="85"/>
        <v/>
      </c>
      <c r="W839" s="105"/>
    </row>
    <row r="840" spans="1:23">
      <c r="A840" s="92"/>
      <c r="B840" s="116" t="s">
        <v>247</v>
      </c>
      <c r="C840" s="107">
        <v>0.5</v>
      </c>
      <c r="D840" s="786">
        <f>14.52-2*0.05</f>
        <v>14.42</v>
      </c>
      <c r="E840" s="799"/>
      <c r="F840" s="107">
        <v>0.5</v>
      </c>
      <c r="G840" s="108">
        <v>0.25</v>
      </c>
      <c r="H840" s="98">
        <v>16</v>
      </c>
      <c r="I840" s="99">
        <v>1</v>
      </c>
      <c r="J840" s="101">
        <f>ROUND(1.405/G840+1,0)</f>
        <v>7</v>
      </c>
      <c r="K840" s="109">
        <f>D840</f>
        <v>14.42</v>
      </c>
      <c r="L840" s="110">
        <f>IF(O840&lt;12,"0",0.049*H840)</f>
        <v>0.78400000000000003</v>
      </c>
      <c r="M840" s="111">
        <v>2</v>
      </c>
      <c r="N840" s="99">
        <f>M840*2*H840/1000</f>
        <v>6.4000000000000001E-2</v>
      </c>
      <c r="O840" s="112">
        <f>(D840+C840+F840)-N840</f>
        <v>15.356</v>
      </c>
      <c r="P840" s="112">
        <f>(I840*J840*O840)+L840</f>
        <v>108.27600000000001</v>
      </c>
      <c r="Q840" s="104" t="str">
        <f t="shared" si="80"/>
        <v/>
      </c>
      <c r="R840" s="104" t="str">
        <f t="shared" si="81"/>
        <v/>
      </c>
      <c r="S840" s="104" t="str">
        <f t="shared" si="82"/>
        <v/>
      </c>
      <c r="T840" s="104">
        <f t="shared" si="83"/>
        <v>108.27600000000001</v>
      </c>
      <c r="U840" s="104" t="str">
        <f t="shared" si="84"/>
        <v/>
      </c>
      <c r="V840" s="104" t="str">
        <f t="shared" si="85"/>
        <v/>
      </c>
      <c r="W840" s="105"/>
    </row>
    <row r="841" spans="1:23">
      <c r="A841" s="92"/>
      <c r="B841" s="115"/>
      <c r="C841" s="94"/>
      <c r="D841" s="95"/>
      <c r="E841" s="95"/>
      <c r="F841" s="96"/>
      <c r="G841" s="97"/>
      <c r="H841" s="98"/>
      <c r="I841" s="99"/>
      <c r="J841" s="99"/>
      <c r="K841" s="100"/>
      <c r="L841" s="99"/>
      <c r="M841" s="99"/>
      <c r="N841" s="99"/>
      <c r="O841" s="99"/>
      <c r="P841" s="101"/>
      <c r="Q841" s="104" t="str">
        <f t="shared" si="80"/>
        <v/>
      </c>
      <c r="R841" s="104" t="str">
        <f t="shared" si="81"/>
        <v/>
      </c>
      <c r="S841" s="104" t="str">
        <f t="shared" si="82"/>
        <v/>
      </c>
      <c r="T841" s="104" t="str">
        <f t="shared" si="83"/>
        <v/>
      </c>
      <c r="U841" s="104" t="str">
        <f t="shared" si="84"/>
        <v/>
      </c>
      <c r="V841" s="104" t="str">
        <f t="shared" si="85"/>
        <v/>
      </c>
      <c r="W841" s="105"/>
    </row>
    <row r="842" spans="1:23">
      <c r="A842" s="92">
        <v>4</v>
      </c>
      <c r="B842" s="115" t="s">
        <v>605</v>
      </c>
      <c r="C842" s="94"/>
      <c r="D842" s="95"/>
      <c r="E842" s="95"/>
      <c r="F842" s="96"/>
      <c r="G842" s="97"/>
      <c r="H842" s="98"/>
      <c r="I842" s="99"/>
      <c r="J842" s="99"/>
      <c r="K842" s="100"/>
      <c r="L842" s="99"/>
      <c r="M842" s="99"/>
      <c r="N842" s="99"/>
      <c r="O842" s="99"/>
      <c r="P842" s="101"/>
      <c r="Q842" s="104" t="str">
        <f t="shared" si="80"/>
        <v/>
      </c>
      <c r="R842" s="104" t="str">
        <f t="shared" si="81"/>
        <v/>
      </c>
      <c r="S842" s="104" t="str">
        <f t="shared" si="82"/>
        <v/>
      </c>
      <c r="T842" s="104" t="str">
        <f t="shared" si="83"/>
        <v/>
      </c>
      <c r="U842" s="104" t="str">
        <f t="shared" si="84"/>
        <v/>
      </c>
      <c r="V842" s="104" t="str">
        <f t="shared" si="85"/>
        <v/>
      </c>
      <c r="W842" s="105"/>
    </row>
    <row r="843" spans="1:23">
      <c r="A843" s="92"/>
      <c r="B843" s="116" t="s">
        <v>247</v>
      </c>
      <c r="C843" s="107"/>
      <c r="D843" s="786">
        <f>25.805-1*0.05+3.27</f>
        <v>29.024999999999999</v>
      </c>
      <c r="E843" s="786"/>
      <c r="F843" s="118">
        <v>0.5</v>
      </c>
      <c r="G843" s="108">
        <v>0.25</v>
      </c>
      <c r="H843" s="98">
        <v>16</v>
      </c>
      <c r="I843" s="99">
        <v>1</v>
      </c>
      <c r="J843" s="101">
        <f>ROUND(6.565/G843+1,0)</f>
        <v>27</v>
      </c>
      <c r="K843" s="109">
        <f>D843</f>
        <v>29.024999999999999</v>
      </c>
      <c r="L843" s="110">
        <f>IF(O843&lt;12,"0",0.049*H843)*2</f>
        <v>1.5680000000000001</v>
      </c>
      <c r="M843" s="111">
        <v>1</v>
      </c>
      <c r="N843" s="99">
        <f>M843*1*H843/1000</f>
        <v>1.6E-2</v>
      </c>
      <c r="O843" s="112">
        <f>(D843+C843+F843)-N843</f>
        <v>29.509</v>
      </c>
      <c r="P843" s="112">
        <f>(I843*J843*O843)+L843</f>
        <v>798.31100000000004</v>
      </c>
      <c r="Q843" s="104" t="str">
        <f t="shared" si="80"/>
        <v/>
      </c>
      <c r="R843" s="104" t="str">
        <f t="shared" si="81"/>
        <v/>
      </c>
      <c r="S843" s="104" t="str">
        <f t="shared" si="82"/>
        <v/>
      </c>
      <c r="T843" s="104">
        <f t="shared" si="83"/>
        <v>798.31100000000004</v>
      </c>
      <c r="U843" s="104" t="str">
        <f t="shared" si="84"/>
        <v/>
      </c>
      <c r="V843" s="104" t="str">
        <f t="shared" si="85"/>
        <v/>
      </c>
      <c r="W843" s="105"/>
    </row>
    <row r="844" spans="1:23">
      <c r="A844" s="92"/>
      <c r="B844" s="115"/>
      <c r="C844" s="94"/>
      <c r="D844" s="95"/>
      <c r="E844" s="95"/>
      <c r="F844" s="96"/>
      <c r="G844" s="97"/>
      <c r="H844" s="98"/>
      <c r="I844" s="99"/>
      <c r="J844" s="99"/>
      <c r="K844" s="100"/>
      <c r="L844" s="99"/>
      <c r="M844" s="99"/>
      <c r="N844" s="99"/>
      <c r="O844" s="99"/>
      <c r="P844" s="101"/>
      <c r="Q844" s="104" t="str">
        <f t="shared" si="80"/>
        <v/>
      </c>
      <c r="R844" s="104" t="str">
        <f t="shared" si="81"/>
        <v/>
      </c>
      <c r="S844" s="104" t="str">
        <f t="shared" si="82"/>
        <v/>
      </c>
      <c r="T844" s="104" t="str">
        <f t="shared" si="83"/>
        <v/>
      </c>
      <c r="U844" s="104" t="str">
        <f t="shared" si="84"/>
        <v/>
      </c>
      <c r="V844" s="104" t="str">
        <f t="shared" si="85"/>
        <v/>
      </c>
      <c r="W844" s="105"/>
    </row>
    <row r="845" spans="1:23">
      <c r="A845" s="92">
        <v>5</v>
      </c>
      <c r="B845" s="115" t="s">
        <v>606</v>
      </c>
      <c r="C845" s="94"/>
      <c r="D845" s="95"/>
      <c r="E845" s="95"/>
      <c r="F845" s="96"/>
      <c r="G845" s="97"/>
      <c r="H845" s="98"/>
      <c r="I845" s="99"/>
      <c r="J845" s="99"/>
      <c r="K845" s="100"/>
      <c r="L845" s="99"/>
      <c r="M845" s="99"/>
      <c r="N845" s="99"/>
      <c r="O845" s="99"/>
      <c r="P845" s="101"/>
      <c r="Q845" s="104" t="str">
        <f t="shared" si="80"/>
        <v/>
      </c>
      <c r="R845" s="104" t="str">
        <f t="shared" si="81"/>
        <v/>
      </c>
      <c r="S845" s="104" t="str">
        <f t="shared" si="82"/>
        <v/>
      </c>
      <c r="T845" s="104" t="str">
        <f t="shared" si="83"/>
        <v/>
      </c>
      <c r="U845" s="104" t="str">
        <f t="shared" si="84"/>
        <v/>
      </c>
      <c r="V845" s="104" t="str">
        <f t="shared" si="85"/>
        <v/>
      </c>
      <c r="W845" s="105"/>
    </row>
    <row r="846" spans="1:23">
      <c r="A846" s="92"/>
      <c r="B846" s="116" t="s">
        <v>247</v>
      </c>
      <c r="C846" s="107"/>
      <c r="D846" s="786">
        <f>36.89-1*0.05+3.27</f>
        <v>40.110000000000007</v>
      </c>
      <c r="E846" s="786"/>
      <c r="F846" s="118">
        <v>0.5</v>
      </c>
      <c r="G846" s="108">
        <v>0.25</v>
      </c>
      <c r="H846" s="98">
        <v>16</v>
      </c>
      <c r="I846" s="99">
        <v>1</v>
      </c>
      <c r="J846" s="101">
        <f>ROUND(9.235/G846+1,0)-8</f>
        <v>30</v>
      </c>
      <c r="K846" s="109">
        <f>D846</f>
        <v>40.110000000000007</v>
      </c>
      <c r="L846" s="110">
        <f>IF(O846&lt;12,"0",0.049*H846)*3</f>
        <v>2.3520000000000003</v>
      </c>
      <c r="M846" s="111">
        <v>1</v>
      </c>
      <c r="N846" s="99">
        <f>M846*1*H846/1000</f>
        <v>1.6E-2</v>
      </c>
      <c r="O846" s="112">
        <f>(D846+C846+F846)-N846</f>
        <v>40.594000000000008</v>
      </c>
      <c r="P846" s="112">
        <f>(I846*J846*O846)+L846</f>
        <v>1220.1720000000003</v>
      </c>
      <c r="Q846" s="104" t="str">
        <f t="shared" si="80"/>
        <v/>
      </c>
      <c r="R846" s="104" t="str">
        <f t="shared" si="81"/>
        <v/>
      </c>
      <c r="S846" s="104" t="str">
        <f t="shared" si="82"/>
        <v/>
      </c>
      <c r="T846" s="104">
        <f t="shared" si="83"/>
        <v>1220.1720000000003</v>
      </c>
      <c r="U846" s="104" t="str">
        <f t="shared" si="84"/>
        <v/>
      </c>
      <c r="V846" s="104" t="str">
        <f t="shared" si="85"/>
        <v/>
      </c>
      <c r="W846" s="105"/>
    </row>
    <row r="847" spans="1:23">
      <c r="A847" s="92"/>
      <c r="B847" s="115"/>
      <c r="C847" s="94"/>
      <c r="D847" s="95"/>
      <c r="E847" s="95"/>
      <c r="F847" s="96"/>
      <c r="G847" s="97"/>
      <c r="H847" s="98"/>
      <c r="I847" s="99"/>
      <c r="J847" s="99"/>
      <c r="K847" s="100"/>
      <c r="L847" s="99"/>
      <c r="M847" s="99"/>
      <c r="N847" s="99"/>
      <c r="O847" s="99"/>
      <c r="P847" s="101"/>
      <c r="Q847" s="104" t="str">
        <f t="shared" si="80"/>
        <v/>
      </c>
      <c r="R847" s="104" t="str">
        <f t="shared" si="81"/>
        <v/>
      </c>
      <c r="S847" s="104" t="str">
        <f t="shared" si="82"/>
        <v/>
      </c>
      <c r="T847" s="104" t="str">
        <f t="shared" si="83"/>
        <v/>
      </c>
      <c r="U847" s="104" t="str">
        <f t="shared" si="84"/>
        <v/>
      </c>
      <c r="V847" s="104" t="str">
        <f t="shared" si="85"/>
        <v/>
      </c>
      <c r="W847" s="105"/>
    </row>
    <row r="848" spans="1:23">
      <c r="A848" s="92">
        <v>6</v>
      </c>
      <c r="B848" s="115" t="s">
        <v>607</v>
      </c>
      <c r="C848" s="94"/>
      <c r="D848" s="95"/>
      <c r="E848" s="95"/>
      <c r="F848" s="96"/>
      <c r="G848" s="97"/>
      <c r="H848" s="98"/>
      <c r="I848" s="99"/>
      <c r="J848" s="99"/>
      <c r="K848" s="100"/>
      <c r="L848" s="99"/>
      <c r="M848" s="99"/>
      <c r="N848" s="99"/>
      <c r="O848" s="99"/>
      <c r="P848" s="101"/>
      <c r="Q848" s="104" t="str">
        <f t="shared" si="80"/>
        <v/>
      </c>
      <c r="R848" s="104" t="str">
        <f t="shared" si="81"/>
        <v/>
      </c>
      <c r="S848" s="104" t="str">
        <f t="shared" si="82"/>
        <v/>
      </c>
      <c r="T848" s="104" t="str">
        <f t="shared" si="83"/>
        <v/>
      </c>
      <c r="U848" s="104" t="str">
        <f t="shared" si="84"/>
        <v/>
      </c>
      <c r="V848" s="104" t="str">
        <f t="shared" si="85"/>
        <v/>
      </c>
      <c r="W848" s="105"/>
    </row>
    <row r="849" spans="1:23">
      <c r="A849" s="92"/>
      <c r="B849" s="116" t="s">
        <v>247</v>
      </c>
      <c r="C849" s="107">
        <v>0.5</v>
      </c>
      <c r="D849" s="786">
        <f>25.89-2*0.05</f>
        <v>25.79</v>
      </c>
      <c r="E849" s="799"/>
      <c r="F849" s="107">
        <v>0.5</v>
      </c>
      <c r="G849" s="108">
        <v>0.25</v>
      </c>
      <c r="H849" s="98">
        <v>16</v>
      </c>
      <c r="I849" s="99">
        <v>1</v>
      </c>
      <c r="J849" s="101">
        <f>ROUND(12.415/G849+1,0)</f>
        <v>51</v>
      </c>
      <c r="K849" s="109">
        <f>D849</f>
        <v>25.79</v>
      </c>
      <c r="L849" s="110">
        <f>IF(O849&lt;12,"0",0.049*H849)*2</f>
        <v>1.5680000000000001</v>
      </c>
      <c r="M849" s="111">
        <v>2</v>
      </c>
      <c r="N849" s="99">
        <f>M849*2*H849/1000</f>
        <v>6.4000000000000001E-2</v>
      </c>
      <c r="O849" s="112">
        <f>(D849+C849+F849)-N849</f>
        <v>26.725999999999999</v>
      </c>
      <c r="P849" s="112">
        <f>(I849*J849*O849)+L849</f>
        <v>1364.5939999999998</v>
      </c>
      <c r="Q849" s="104" t="str">
        <f t="shared" si="80"/>
        <v/>
      </c>
      <c r="R849" s="104" t="str">
        <f t="shared" si="81"/>
        <v/>
      </c>
      <c r="S849" s="104" t="str">
        <f t="shared" si="82"/>
        <v/>
      </c>
      <c r="T849" s="104">
        <f t="shared" si="83"/>
        <v>1364.5939999999998</v>
      </c>
      <c r="U849" s="104" t="str">
        <f t="shared" si="84"/>
        <v/>
      </c>
      <c r="V849" s="104" t="str">
        <f t="shared" si="85"/>
        <v/>
      </c>
      <c r="W849" s="105"/>
    </row>
    <row r="850" spans="1:23">
      <c r="A850" s="92"/>
      <c r="B850" s="115"/>
      <c r="C850" s="94"/>
      <c r="D850" s="95"/>
      <c r="E850" s="95"/>
      <c r="F850" s="96"/>
      <c r="G850" s="97"/>
      <c r="H850" s="98"/>
      <c r="I850" s="99"/>
      <c r="J850" s="99"/>
      <c r="K850" s="100"/>
      <c r="L850" s="99"/>
      <c r="M850" s="99"/>
      <c r="N850" s="99"/>
      <c r="O850" s="99"/>
      <c r="P850" s="101"/>
      <c r="Q850" s="104" t="str">
        <f t="shared" si="80"/>
        <v/>
      </c>
      <c r="R850" s="104" t="str">
        <f t="shared" si="81"/>
        <v/>
      </c>
      <c r="S850" s="104" t="str">
        <f t="shared" si="82"/>
        <v/>
      </c>
      <c r="T850" s="104" t="str">
        <f t="shared" si="83"/>
        <v/>
      </c>
      <c r="U850" s="104" t="str">
        <f t="shared" si="84"/>
        <v/>
      </c>
      <c r="V850" s="104" t="str">
        <f t="shared" si="85"/>
        <v/>
      </c>
      <c r="W850" s="105"/>
    </row>
    <row r="851" spans="1:23">
      <c r="A851" s="92">
        <v>7</v>
      </c>
      <c r="B851" s="115" t="s">
        <v>608</v>
      </c>
      <c r="C851" s="94"/>
      <c r="D851" s="95"/>
      <c r="E851" s="95"/>
      <c r="F851" s="96"/>
      <c r="G851" s="97"/>
      <c r="H851" s="98"/>
      <c r="I851" s="99"/>
      <c r="J851" s="99"/>
      <c r="K851" s="100"/>
      <c r="L851" s="99"/>
      <c r="M851" s="99"/>
      <c r="N851" s="99"/>
      <c r="O851" s="99"/>
      <c r="P851" s="101"/>
      <c r="Q851" s="104" t="str">
        <f t="shared" si="80"/>
        <v/>
      </c>
      <c r="R851" s="104" t="str">
        <f t="shared" si="81"/>
        <v/>
      </c>
      <c r="S851" s="104" t="str">
        <f t="shared" si="82"/>
        <v/>
      </c>
      <c r="T851" s="104" t="str">
        <f t="shared" si="83"/>
        <v/>
      </c>
      <c r="U851" s="104" t="str">
        <f t="shared" si="84"/>
        <v/>
      </c>
      <c r="V851" s="104" t="str">
        <f t="shared" si="85"/>
        <v/>
      </c>
      <c r="W851" s="105"/>
    </row>
    <row r="852" spans="1:23">
      <c r="A852" s="92"/>
      <c r="B852" t="s">
        <v>247</v>
      </c>
      <c r="C852" s="107">
        <v>0.5</v>
      </c>
      <c r="D852" s="786">
        <f>8.78-2*0.05</f>
        <v>8.68</v>
      </c>
      <c r="E852" s="799"/>
      <c r="F852" s="107">
        <v>0.5</v>
      </c>
      <c r="G852" s="108">
        <v>0.25</v>
      </c>
      <c r="H852" s="98">
        <v>16</v>
      </c>
      <c r="I852" s="99">
        <v>1</v>
      </c>
      <c r="J852" s="101">
        <f>ROUND(0.515/G852+1,0)</f>
        <v>3</v>
      </c>
      <c r="K852" s="109">
        <f>D852</f>
        <v>8.68</v>
      </c>
      <c r="L852" s="110" t="str">
        <f>IF(O852&lt;12,"0",0.049*H852)</f>
        <v>0</v>
      </c>
      <c r="M852" s="111">
        <v>2</v>
      </c>
      <c r="N852" s="99">
        <f>M852*2*H852/1000</f>
        <v>6.4000000000000001E-2</v>
      </c>
      <c r="O852" s="112">
        <f>(D852+C852+F852)-N852</f>
        <v>9.6159999999999997</v>
      </c>
      <c r="P852" s="112">
        <f>(I852*J852*O852)+L852</f>
        <v>28.847999999999999</v>
      </c>
      <c r="Q852" s="104" t="str">
        <f t="shared" si="80"/>
        <v/>
      </c>
      <c r="R852" s="104" t="str">
        <f t="shared" si="81"/>
        <v/>
      </c>
      <c r="S852" s="104" t="str">
        <f t="shared" si="82"/>
        <v/>
      </c>
      <c r="T852" s="104">
        <f t="shared" si="83"/>
        <v>28.847999999999999</v>
      </c>
      <c r="U852" s="104" t="str">
        <f t="shared" si="84"/>
        <v/>
      </c>
      <c r="V852" s="104" t="str">
        <f t="shared" si="85"/>
        <v/>
      </c>
      <c r="W852" s="105"/>
    </row>
    <row r="853" spans="1:23">
      <c r="A853" s="92"/>
      <c r="B853" s="115"/>
      <c r="C853" s="94"/>
      <c r="D853" s="95"/>
      <c r="E853" s="95"/>
      <c r="F853" s="96"/>
      <c r="G853" s="97"/>
      <c r="H853" s="98"/>
      <c r="I853" s="99"/>
      <c r="J853" s="99"/>
      <c r="K853" s="100"/>
      <c r="L853" s="99"/>
      <c r="M853" s="99"/>
      <c r="N853" s="99"/>
      <c r="O853" s="99"/>
      <c r="P853" s="101"/>
      <c r="Q853" s="104" t="str">
        <f t="shared" si="80"/>
        <v/>
      </c>
      <c r="R853" s="104" t="str">
        <f t="shared" si="81"/>
        <v/>
      </c>
      <c r="S853" s="104" t="str">
        <f t="shared" si="82"/>
        <v/>
      </c>
      <c r="T853" s="104" t="str">
        <f t="shared" si="83"/>
        <v/>
      </c>
      <c r="U853" s="104" t="str">
        <f t="shared" si="84"/>
        <v/>
      </c>
      <c r="V853" s="104" t="str">
        <f t="shared" si="85"/>
        <v/>
      </c>
      <c r="W853" s="105"/>
    </row>
    <row r="854" spans="1:23">
      <c r="A854" s="92"/>
      <c r="B854" s="115"/>
      <c r="C854" s="94"/>
      <c r="D854" s="95"/>
      <c r="E854" s="95"/>
      <c r="F854" s="96"/>
      <c r="G854" s="97"/>
      <c r="H854" s="98"/>
      <c r="I854" s="99"/>
      <c r="J854" s="99"/>
      <c r="K854" s="100"/>
      <c r="L854" s="99"/>
      <c r="M854" s="99"/>
      <c r="N854" s="99"/>
      <c r="O854" s="99"/>
      <c r="P854" s="101"/>
      <c r="Q854" s="104" t="str">
        <f t="shared" si="80"/>
        <v/>
      </c>
      <c r="R854" s="104" t="str">
        <f t="shared" si="81"/>
        <v/>
      </c>
      <c r="S854" s="104" t="str">
        <f t="shared" si="82"/>
        <v/>
      </c>
      <c r="T854" s="104" t="str">
        <f t="shared" si="83"/>
        <v/>
      </c>
      <c r="U854" s="104" t="str">
        <f t="shared" si="84"/>
        <v/>
      </c>
      <c r="V854" s="104" t="str">
        <f t="shared" si="85"/>
        <v/>
      </c>
      <c r="W854" s="105"/>
    </row>
    <row r="855" spans="1:23">
      <c r="A855" s="92"/>
      <c r="B855" s="103" t="s">
        <v>254</v>
      </c>
      <c r="C855" s="94"/>
      <c r="D855" s="95"/>
      <c r="E855" s="95"/>
      <c r="F855" s="96"/>
      <c r="G855" s="97"/>
      <c r="H855" s="98"/>
      <c r="I855" s="99"/>
      <c r="J855" s="99"/>
      <c r="K855" s="100"/>
      <c r="L855" s="99"/>
      <c r="M855" s="99"/>
      <c r="N855" s="99"/>
      <c r="O855" s="99"/>
      <c r="P855" s="101"/>
      <c r="Q855" s="104" t="str">
        <f t="shared" si="80"/>
        <v/>
      </c>
      <c r="R855" s="104" t="str">
        <f t="shared" si="81"/>
        <v/>
      </c>
      <c r="S855" s="104" t="str">
        <f t="shared" si="82"/>
        <v/>
      </c>
      <c r="T855" s="104" t="str">
        <f t="shared" si="83"/>
        <v/>
      </c>
      <c r="U855" s="104" t="str">
        <f t="shared" si="84"/>
        <v/>
      </c>
      <c r="V855" s="104" t="str">
        <f t="shared" si="85"/>
        <v/>
      </c>
      <c r="W855" s="105"/>
    </row>
    <row r="856" spans="1:23">
      <c r="A856" s="92">
        <v>1</v>
      </c>
      <c r="B856" s="106" t="s">
        <v>581</v>
      </c>
      <c r="C856" s="94"/>
      <c r="D856" s="95"/>
      <c r="E856" s="95"/>
      <c r="F856" s="96"/>
      <c r="G856" s="97"/>
      <c r="H856" s="98"/>
      <c r="I856" s="99"/>
      <c r="J856" s="99"/>
      <c r="K856" s="100"/>
      <c r="L856" s="99"/>
      <c r="M856" s="99"/>
      <c r="N856" s="99"/>
      <c r="O856" s="99"/>
      <c r="P856" s="101"/>
      <c r="Q856" s="104" t="str">
        <f t="shared" si="80"/>
        <v/>
      </c>
      <c r="R856" s="104" t="str">
        <f t="shared" si="81"/>
        <v/>
      </c>
      <c r="S856" s="104" t="str">
        <f t="shared" si="82"/>
        <v/>
      </c>
      <c r="T856" s="104" t="str">
        <f t="shared" si="83"/>
        <v/>
      </c>
      <c r="U856" s="104" t="str">
        <f t="shared" si="84"/>
        <v/>
      </c>
      <c r="V856" s="104" t="str">
        <f t="shared" si="85"/>
        <v/>
      </c>
      <c r="W856" s="105"/>
    </row>
    <row r="857" spans="1:23">
      <c r="A857" s="92"/>
      <c r="B857" t="s">
        <v>239</v>
      </c>
      <c r="C857" s="107">
        <v>0.5</v>
      </c>
      <c r="D857" s="786">
        <f>21.65-2*0.05</f>
        <v>21.549999999999997</v>
      </c>
      <c r="E857" s="799"/>
      <c r="F857" s="107">
        <v>0.5</v>
      </c>
      <c r="G857" s="108">
        <v>0.25</v>
      </c>
      <c r="H857" s="98">
        <v>16</v>
      </c>
      <c r="I857" s="99">
        <v>1</v>
      </c>
      <c r="J857" s="101">
        <f>ROUND(8.855/G857/2+1,0)</f>
        <v>19</v>
      </c>
      <c r="K857" s="109">
        <f>D857</f>
        <v>21.549999999999997</v>
      </c>
      <c r="L857" s="110">
        <f>IF(O857&lt;12,"0",0.049*H857)*2</f>
        <v>1.5680000000000001</v>
      </c>
      <c r="M857" s="111">
        <v>2</v>
      </c>
      <c r="N857" s="99">
        <f>M857*2*H857/1000</f>
        <v>6.4000000000000001E-2</v>
      </c>
      <c r="O857" s="112">
        <f>(D857+C857+F857)-N857</f>
        <v>22.485999999999997</v>
      </c>
      <c r="P857" s="112">
        <f>(I857*J857*O857)+L857</f>
        <v>428.80199999999991</v>
      </c>
      <c r="Q857" s="104" t="str">
        <f t="shared" si="80"/>
        <v/>
      </c>
      <c r="R857" s="104" t="str">
        <f t="shared" si="81"/>
        <v/>
      </c>
      <c r="S857" s="104" t="str">
        <f t="shared" si="82"/>
        <v/>
      </c>
      <c r="T857" s="104">
        <f t="shared" si="83"/>
        <v>428.80199999999991</v>
      </c>
      <c r="U857" s="104" t="str">
        <f t="shared" si="84"/>
        <v/>
      </c>
      <c r="V857" s="104" t="str">
        <f t="shared" si="85"/>
        <v/>
      </c>
      <c r="W857" s="105"/>
    </row>
    <row r="858" spans="1:23">
      <c r="A858" s="92"/>
      <c r="B858" s="105"/>
      <c r="C858" s="94"/>
      <c r="D858" s="95"/>
      <c r="E858" s="95"/>
      <c r="F858" s="96"/>
      <c r="G858" s="97"/>
      <c r="H858" s="98"/>
      <c r="I858" s="99"/>
      <c r="J858" s="99"/>
      <c r="K858" s="109"/>
      <c r="L858" s="112"/>
      <c r="M858" s="112"/>
      <c r="N858" s="99"/>
      <c r="O858" s="112"/>
      <c r="P858" s="112"/>
      <c r="Q858" s="104" t="str">
        <f t="shared" si="80"/>
        <v/>
      </c>
      <c r="R858" s="104" t="str">
        <f t="shared" si="81"/>
        <v/>
      </c>
      <c r="S858" s="104" t="str">
        <f t="shared" si="82"/>
        <v/>
      </c>
      <c r="T858" s="104" t="str">
        <f t="shared" si="83"/>
        <v/>
      </c>
      <c r="U858" s="104" t="str">
        <f t="shared" si="84"/>
        <v/>
      </c>
      <c r="V858" s="104" t="str">
        <f t="shared" si="85"/>
        <v/>
      </c>
      <c r="W858" s="105"/>
    </row>
    <row r="859" spans="1:23">
      <c r="A859" s="92">
        <v>1</v>
      </c>
      <c r="B859" s="106" t="s">
        <v>581</v>
      </c>
      <c r="C859" s="94"/>
      <c r="D859" s="95"/>
      <c r="E859" s="95"/>
      <c r="F859" s="96"/>
      <c r="G859" s="97"/>
      <c r="H859" s="98"/>
      <c r="I859" s="99"/>
      <c r="J859" s="99"/>
      <c r="K859" s="100"/>
      <c r="L859" s="99"/>
      <c r="M859" s="99"/>
      <c r="N859" s="99"/>
      <c r="O859" s="99"/>
      <c r="P859" s="101"/>
      <c r="Q859" s="104" t="str">
        <f t="shared" si="80"/>
        <v/>
      </c>
      <c r="R859" s="104" t="str">
        <f t="shared" si="81"/>
        <v/>
      </c>
      <c r="S859" s="104" t="str">
        <f t="shared" si="82"/>
        <v/>
      </c>
      <c r="T859" s="104" t="str">
        <f t="shared" si="83"/>
        <v/>
      </c>
      <c r="U859" s="104" t="str">
        <f t="shared" si="84"/>
        <v/>
      </c>
      <c r="V859" s="104" t="str">
        <f t="shared" si="85"/>
        <v/>
      </c>
      <c r="W859" s="105"/>
    </row>
    <row r="860" spans="1:23">
      <c r="A860" s="92"/>
      <c r="B860" t="s">
        <v>239</v>
      </c>
      <c r="C860" s="107">
        <v>0.5</v>
      </c>
      <c r="D860" s="786">
        <f>21.65-2*0.05</f>
        <v>21.549999999999997</v>
      </c>
      <c r="E860" s="799"/>
      <c r="F860" s="107">
        <v>0.5</v>
      </c>
      <c r="G860" s="108">
        <v>0.25</v>
      </c>
      <c r="H860" s="98">
        <v>16</v>
      </c>
      <c r="I860" s="99">
        <v>1</v>
      </c>
      <c r="J860" s="101">
        <f>ROUND(8.855/G860/2,0)</f>
        <v>18</v>
      </c>
      <c r="K860" s="109">
        <f>D860</f>
        <v>21.549999999999997</v>
      </c>
      <c r="L860" s="110">
        <f>IF(O860&lt;12,"0",0.049*H860)</f>
        <v>0.78400000000000003</v>
      </c>
      <c r="M860" s="111">
        <v>2</v>
      </c>
      <c r="N860" s="99">
        <f>M860*2*H860/1000</f>
        <v>6.4000000000000001E-2</v>
      </c>
      <c r="O860" s="112">
        <f>(D860+C860+F860)-N860</f>
        <v>22.485999999999997</v>
      </c>
      <c r="P860" s="112">
        <f>(I860*J860*O860)+L860</f>
        <v>405.53199999999993</v>
      </c>
      <c r="Q860" s="104" t="str">
        <f t="shared" si="80"/>
        <v/>
      </c>
      <c r="R860" s="104" t="str">
        <f t="shared" si="81"/>
        <v/>
      </c>
      <c r="S860" s="104" t="str">
        <f t="shared" si="82"/>
        <v/>
      </c>
      <c r="T860" s="104">
        <f t="shared" si="83"/>
        <v>405.53199999999993</v>
      </c>
      <c r="U860" s="104" t="str">
        <f t="shared" si="84"/>
        <v/>
      </c>
      <c r="V860" s="104" t="str">
        <f t="shared" si="85"/>
        <v/>
      </c>
      <c r="W860" s="105"/>
    </row>
    <row r="861" spans="1:23">
      <c r="A861" s="92"/>
      <c r="B861" s="105"/>
      <c r="C861" s="94"/>
      <c r="D861" s="95"/>
      <c r="E861" s="95"/>
      <c r="F861" s="96"/>
      <c r="G861" s="97"/>
      <c r="H861" s="98"/>
      <c r="I861" s="99"/>
      <c r="J861" s="99"/>
      <c r="K861" s="109"/>
      <c r="L861" s="112"/>
      <c r="M861" s="112"/>
      <c r="N861" s="99"/>
      <c r="O861" s="112"/>
      <c r="P861" s="112"/>
      <c r="Q861" s="104" t="str">
        <f t="shared" si="80"/>
        <v/>
      </c>
      <c r="R861" s="104" t="str">
        <f t="shared" si="81"/>
        <v/>
      </c>
      <c r="S861" s="104" t="str">
        <f t="shared" si="82"/>
        <v/>
      </c>
      <c r="T861" s="104" t="str">
        <f t="shared" si="83"/>
        <v/>
      </c>
      <c r="U861" s="104" t="str">
        <f t="shared" si="84"/>
        <v/>
      </c>
      <c r="V861" s="104" t="str">
        <f t="shared" si="85"/>
        <v/>
      </c>
      <c r="W861" s="105"/>
    </row>
    <row r="862" spans="1:23">
      <c r="A862" s="92">
        <v>2</v>
      </c>
      <c r="B862" s="106" t="s">
        <v>582</v>
      </c>
      <c r="C862" s="94"/>
      <c r="D862" s="95"/>
      <c r="E862" s="95"/>
      <c r="F862" s="96"/>
      <c r="G862" s="97"/>
      <c r="H862" s="98"/>
      <c r="I862" s="99"/>
      <c r="J862" s="99"/>
      <c r="K862" s="100"/>
      <c r="L862" s="99"/>
      <c r="M862" s="99"/>
      <c r="N862" s="99"/>
      <c r="O862" s="99"/>
      <c r="P862" s="101"/>
      <c r="Q862" s="104" t="str">
        <f t="shared" si="80"/>
        <v/>
      </c>
      <c r="R862" s="104" t="str">
        <f t="shared" si="81"/>
        <v/>
      </c>
      <c r="S862" s="104" t="str">
        <f t="shared" si="82"/>
        <v/>
      </c>
      <c r="T862" s="104" t="str">
        <f t="shared" si="83"/>
        <v/>
      </c>
      <c r="U862" s="104" t="str">
        <f t="shared" si="84"/>
        <v/>
      </c>
      <c r="V862" s="104" t="str">
        <f t="shared" si="85"/>
        <v/>
      </c>
      <c r="W862" s="105"/>
    </row>
    <row r="863" spans="1:23">
      <c r="A863" s="92"/>
      <c r="B863" t="s">
        <v>239</v>
      </c>
      <c r="C863" s="107">
        <v>0.5</v>
      </c>
      <c r="D863" s="786">
        <f>21.65+0.515-2*0.05</f>
        <v>22.064999999999998</v>
      </c>
      <c r="E863" s="799"/>
      <c r="F863" s="107">
        <v>0.5</v>
      </c>
      <c r="G863" s="108">
        <v>0.25</v>
      </c>
      <c r="H863" s="98">
        <v>16</v>
      </c>
      <c r="I863" s="99">
        <v>1</v>
      </c>
      <c r="J863" s="101">
        <f>ROUND(2.535/G863/2+1,0)</f>
        <v>6</v>
      </c>
      <c r="K863" s="109">
        <f>D863</f>
        <v>22.064999999999998</v>
      </c>
      <c r="L863" s="112">
        <f>IF(O863&lt;12,"0",0.049*H863)*2</f>
        <v>1.5680000000000001</v>
      </c>
      <c r="M863" s="111">
        <v>2</v>
      </c>
      <c r="N863" s="99">
        <f>M863*2*H863/1000</f>
        <v>6.4000000000000001E-2</v>
      </c>
      <c r="O863" s="112">
        <f>(D863+C863+F863)-N863</f>
        <v>23.000999999999998</v>
      </c>
      <c r="P863" s="112">
        <f>(I863*J863*O863)+L863</f>
        <v>139.57399999999998</v>
      </c>
      <c r="Q863" s="104" t="str">
        <f t="shared" si="80"/>
        <v/>
      </c>
      <c r="R863" s="104" t="str">
        <f t="shared" si="81"/>
        <v/>
      </c>
      <c r="S863" s="104" t="str">
        <f t="shared" si="82"/>
        <v/>
      </c>
      <c r="T863" s="104">
        <f t="shared" si="83"/>
        <v>139.57399999999998</v>
      </c>
      <c r="U863" s="104" t="str">
        <f t="shared" si="84"/>
        <v/>
      </c>
      <c r="V863" s="104" t="str">
        <f t="shared" si="85"/>
        <v/>
      </c>
      <c r="W863" s="105"/>
    </row>
    <row r="864" spans="1:23">
      <c r="A864" s="92"/>
      <c r="B864" s="105"/>
      <c r="C864" s="94"/>
      <c r="D864" s="95"/>
      <c r="E864" s="95"/>
      <c r="F864" s="96"/>
      <c r="G864" s="97"/>
      <c r="H864" s="98"/>
      <c r="I864" s="99"/>
      <c r="J864" s="99"/>
      <c r="K864" s="100"/>
      <c r="L864" s="99"/>
      <c r="M864" s="99"/>
      <c r="N864" s="99"/>
      <c r="O864" s="99"/>
      <c r="P864" s="101"/>
      <c r="Q864" s="104" t="str">
        <f t="shared" si="80"/>
        <v/>
      </c>
      <c r="R864" s="104" t="str">
        <f t="shared" si="81"/>
        <v/>
      </c>
      <c r="S864" s="104" t="str">
        <f t="shared" si="82"/>
        <v/>
      </c>
      <c r="T864" s="104" t="str">
        <f t="shared" si="83"/>
        <v/>
      </c>
      <c r="U864" s="104" t="str">
        <f t="shared" si="84"/>
        <v/>
      </c>
      <c r="V864" s="104" t="str">
        <f t="shared" si="85"/>
        <v/>
      </c>
      <c r="W864" s="105"/>
    </row>
    <row r="865" spans="1:23">
      <c r="A865" s="92">
        <v>2</v>
      </c>
      <c r="B865" s="106" t="s">
        <v>582</v>
      </c>
      <c r="C865" s="94"/>
      <c r="D865" s="95"/>
      <c r="E865" s="95"/>
      <c r="F865" s="96"/>
      <c r="G865" s="97"/>
      <c r="H865" s="98"/>
      <c r="I865" s="99"/>
      <c r="J865" s="99"/>
      <c r="K865" s="100"/>
      <c r="L865" s="99"/>
      <c r="M865" s="99"/>
      <c r="N865" s="99"/>
      <c r="O865" s="99"/>
      <c r="P865" s="101"/>
      <c r="Q865" s="104" t="str">
        <f t="shared" si="80"/>
        <v/>
      </c>
      <c r="R865" s="104" t="str">
        <f t="shared" si="81"/>
        <v/>
      </c>
      <c r="S865" s="104" t="str">
        <f t="shared" si="82"/>
        <v/>
      </c>
      <c r="T865" s="104" t="str">
        <f t="shared" si="83"/>
        <v/>
      </c>
      <c r="U865" s="104" t="str">
        <f t="shared" si="84"/>
        <v/>
      </c>
      <c r="V865" s="104" t="str">
        <f t="shared" si="85"/>
        <v/>
      </c>
      <c r="W865" s="105"/>
    </row>
    <row r="866" spans="1:23">
      <c r="A866" s="92"/>
      <c r="B866" t="s">
        <v>239</v>
      </c>
      <c r="C866" s="107">
        <v>0.5</v>
      </c>
      <c r="D866" s="786">
        <f>21.65+0.515-2*0.05</f>
        <v>22.064999999999998</v>
      </c>
      <c r="E866" s="799"/>
      <c r="F866" s="107">
        <v>0.5</v>
      </c>
      <c r="G866" s="108">
        <v>0.25</v>
      </c>
      <c r="H866" s="98">
        <v>16</v>
      </c>
      <c r="I866" s="99">
        <v>1</v>
      </c>
      <c r="J866" s="101">
        <f>ROUND(2.535/G866/2,0)</f>
        <v>5</v>
      </c>
      <c r="K866" s="109">
        <f>D866</f>
        <v>22.064999999999998</v>
      </c>
      <c r="L866" s="112">
        <f>IF(O866&lt;12,"0",0.049*H866)</f>
        <v>0.78400000000000003</v>
      </c>
      <c r="M866" s="111">
        <v>2</v>
      </c>
      <c r="N866" s="99">
        <f>M866*2*H866/1000</f>
        <v>6.4000000000000001E-2</v>
      </c>
      <c r="O866" s="112">
        <f>(D866+C866+F866)-N866</f>
        <v>23.000999999999998</v>
      </c>
      <c r="P866" s="112">
        <f>(I866*J866*O866)+L866</f>
        <v>115.789</v>
      </c>
      <c r="Q866" s="104" t="str">
        <f t="shared" si="80"/>
        <v/>
      </c>
      <c r="R866" s="104" t="str">
        <f t="shared" si="81"/>
        <v/>
      </c>
      <c r="S866" s="104" t="str">
        <f t="shared" si="82"/>
        <v/>
      </c>
      <c r="T866" s="104">
        <f t="shared" si="83"/>
        <v>115.789</v>
      </c>
      <c r="U866" s="104" t="str">
        <f t="shared" si="84"/>
        <v/>
      </c>
      <c r="V866" s="104" t="str">
        <f t="shared" si="85"/>
        <v/>
      </c>
      <c r="W866" s="105"/>
    </row>
    <row r="867" spans="1:23">
      <c r="A867" s="92"/>
      <c r="B867" s="105"/>
      <c r="C867" s="94"/>
      <c r="D867" s="95"/>
      <c r="E867" s="95"/>
      <c r="F867" s="96"/>
      <c r="G867" s="97"/>
      <c r="H867" s="98"/>
      <c r="I867" s="99"/>
      <c r="J867" s="99"/>
      <c r="K867" s="100"/>
      <c r="L867" s="99"/>
      <c r="M867" s="99"/>
      <c r="N867" s="99"/>
      <c r="O867" s="99"/>
      <c r="P867" s="101"/>
      <c r="Q867" s="104" t="str">
        <f t="shared" si="80"/>
        <v/>
      </c>
      <c r="R867" s="104" t="str">
        <f t="shared" si="81"/>
        <v/>
      </c>
      <c r="S867" s="104" t="str">
        <f t="shared" si="82"/>
        <v/>
      </c>
      <c r="T867" s="104" t="str">
        <f t="shared" si="83"/>
        <v/>
      </c>
      <c r="U867" s="104" t="str">
        <f t="shared" si="84"/>
        <v/>
      </c>
      <c r="V867" s="104" t="str">
        <f t="shared" si="85"/>
        <v/>
      </c>
      <c r="W867" s="105"/>
    </row>
    <row r="868" spans="1:23">
      <c r="A868" s="92">
        <v>3</v>
      </c>
      <c r="B868" s="106" t="s">
        <v>583</v>
      </c>
      <c r="C868" s="94"/>
      <c r="D868" s="95"/>
      <c r="E868" s="95"/>
      <c r="F868" s="96"/>
      <c r="G868" s="97"/>
      <c r="H868" s="98"/>
      <c r="I868" s="99"/>
      <c r="J868" s="99"/>
      <c r="K868" s="100"/>
      <c r="L868" s="99"/>
      <c r="M868" s="99"/>
      <c r="N868" s="99"/>
      <c r="O868" s="99"/>
      <c r="P868" s="101"/>
      <c r="Q868" s="104" t="str">
        <f t="shared" si="80"/>
        <v/>
      </c>
      <c r="R868" s="104" t="str">
        <f t="shared" si="81"/>
        <v/>
      </c>
      <c r="S868" s="104" t="str">
        <f t="shared" si="82"/>
        <v/>
      </c>
      <c r="T868" s="104" t="str">
        <f t="shared" si="83"/>
        <v/>
      </c>
      <c r="U868" s="104" t="str">
        <f t="shared" si="84"/>
        <v/>
      </c>
      <c r="V868" s="104" t="str">
        <f t="shared" si="85"/>
        <v/>
      </c>
      <c r="W868" s="105"/>
    </row>
    <row r="869" spans="1:23">
      <c r="A869" s="92"/>
      <c r="B869" t="s">
        <v>239</v>
      </c>
      <c r="C869" s="107">
        <v>0.5</v>
      </c>
      <c r="D869" s="786">
        <f>32.45-2*0.05</f>
        <v>32.35</v>
      </c>
      <c r="E869" s="799"/>
      <c r="F869" s="107">
        <v>0.5</v>
      </c>
      <c r="G869" s="108">
        <v>0.25</v>
      </c>
      <c r="H869" s="98">
        <v>16</v>
      </c>
      <c r="I869" s="99">
        <v>1</v>
      </c>
      <c r="J869" s="101">
        <f>ROUND(6.245/G869/2+1,0)</f>
        <v>13</v>
      </c>
      <c r="K869" s="109">
        <f>D869</f>
        <v>32.35</v>
      </c>
      <c r="L869" s="112">
        <f>IF(O869&lt;12,"0",0.049*H869)*3</f>
        <v>2.3520000000000003</v>
      </c>
      <c r="M869" s="111">
        <v>2</v>
      </c>
      <c r="N869" s="99">
        <f>M869*2*H869/1000</f>
        <v>6.4000000000000001E-2</v>
      </c>
      <c r="O869" s="112">
        <f>(D869+C869+F869)-N869</f>
        <v>33.286000000000001</v>
      </c>
      <c r="P869" s="112">
        <f>(I869*J869*O869)+L869</f>
        <v>435.07</v>
      </c>
      <c r="Q869" s="104" t="str">
        <f t="shared" si="80"/>
        <v/>
      </c>
      <c r="R869" s="104" t="str">
        <f t="shared" si="81"/>
        <v/>
      </c>
      <c r="S869" s="104" t="str">
        <f t="shared" si="82"/>
        <v/>
      </c>
      <c r="T869" s="104">
        <f t="shared" si="83"/>
        <v>435.07</v>
      </c>
      <c r="U869" s="104" t="str">
        <f t="shared" si="84"/>
        <v/>
      </c>
      <c r="V869" s="104" t="str">
        <f t="shared" si="85"/>
        <v/>
      </c>
      <c r="W869" s="105"/>
    </row>
    <row r="870" spans="1:23">
      <c r="A870" s="92"/>
      <c r="B870" s="113"/>
      <c r="C870" s="94"/>
      <c r="D870" s="95"/>
      <c r="E870" s="114"/>
      <c r="F870" s="96"/>
      <c r="G870" s="97"/>
      <c r="H870" s="98"/>
      <c r="I870" s="99"/>
      <c r="J870" s="99"/>
      <c r="K870" s="100"/>
      <c r="L870" s="99"/>
      <c r="M870" s="99"/>
      <c r="N870" s="99"/>
      <c r="O870" s="99"/>
      <c r="P870" s="101"/>
      <c r="Q870" s="104" t="str">
        <f t="shared" si="80"/>
        <v/>
      </c>
      <c r="R870" s="104" t="str">
        <f t="shared" si="81"/>
        <v/>
      </c>
      <c r="S870" s="104" t="str">
        <f t="shared" si="82"/>
        <v/>
      </c>
      <c r="T870" s="104" t="str">
        <f t="shared" si="83"/>
        <v/>
      </c>
      <c r="U870" s="104" t="str">
        <f t="shared" si="84"/>
        <v/>
      </c>
      <c r="V870" s="104" t="str">
        <f t="shared" si="85"/>
        <v/>
      </c>
      <c r="W870" s="105"/>
    </row>
    <row r="871" spans="1:23">
      <c r="A871" s="92">
        <v>3</v>
      </c>
      <c r="B871" s="106" t="s">
        <v>583</v>
      </c>
      <c r="C871" s="94"/>
      <c r="D871" s="95"/>
      <c r="E871" s="95"/>
      <c r="F871" s="96"/>
      <c r="G871" s="97"/>
      <c r="H871" s="98"/>
      <c r="I871" s="99"/>
      <c r="J871" s="99"/>
      <c r="K871" s="100"/>
      <c r="L871" s="99"/>
      <c r="M871" s="99"/>
      <c r="N871" s="99"/>
      <c r="O871" s="99"/>
      <c r="P871" s="101"/>
      <c r="Q871" s="104" t="str">
        <f t="shared" si="80"/>
        <v/>
      </c>
      <c r="R871" s="104" t="str">
        <f t="shared" si="81"/>
        <v/>
      </c>
      <c r="S871" s="104" t="str">
        <f t="shared" si="82"/>
        <v/>
      </c>
      <c r="T871" s="104" t="str">
        <f t="shared" si="83"/>
        <v/>
      </c>
      <c r="U871" s="104" t="str">
        <f t="shared" si="84"/>
        <v/>
      </c>
      <c r="V871" s="104" t="str">
        <f t="shared" si="85"/>
        <v/>
      </c>
      <c r="W871" s="105"/>
    </row>
    <row r="872" spans="1:23">
      <c r="A872" s="92"/>
      <c r="B872" t="s">
        <v>239</v>
      </c>
      <c r="C872" s="107">
        <v>0.5</v>
      </c>
      <c r="D872" s="786">
        <f>32.45-2*0.05</f>
        <v>32.35</v>
      </c>
      <c r="E872" s="799"/>
      <c r="F872" s="107">
        <v>0.5</v>
      </c>
      <c r="G872" s="108">
        <v>0.25</v>
      </c>
      <c r="H872" s="98">
        <v>16</v>
      </c>
      <c r="I872" s="99">
        <v>1</v>
      </c>
      <c r="J872" s="101">
        <f>ROUND(6.245/G872/2,0)</f>
        <v>12</v>
      </c>
      <c r="K872" s="109">
        <f>D872</f>
        <v>32.35</v>
      </c>
      <c r="L872" s="112">
        <f>IF(O872&lt;12,"0",0.049*H872)*2</f>
        <v>1.5680000000000001</v>
      </c>
      <c r="M872" s="111">
        <v>2</v>
      </c>
      <c r="N872" s="99">
        <f>M872*2*H872/1000</f>
        <v>6.4000000000000001E-2</v>
      </c>
      <c r="O872" s="112">
        <f>(D872+C872+F872)-N872</f>
        <v>33.286000000000001</v>
      </c>
      <c r="P872" s="112">
        <f>(I872*J872*O872)+L872</f>
        <v>401</v>
      </c>
      <c r="Q872" s="104" t="str">
        <f t="shared" si="80"/>
        <v/>
      </c>
      <c r="R872" s="104" t="str">
        <f t="shared" si="81"/>
        <v/>
      </c>
      <c r="S872" s="104" t="str">
        <f t="shared" si="82"/>
        <v/>
      </c>
      <c r="T872" s="104">
        <f t="shared" si="83"/>
        <v>401</v>
      </c>
      <c r="U872" s="104" t="str">
        <f t="shared" si="84"/>
        <v/>
      </c>
      <c r="V872" s="104" t="str">
        <f t="shared" si="85"/>
        <v/>
      </c>
      <c r="W872" s="105"/>
    </row>
    <row r="873" spans="1:23">
      <c r="A873" s="92"/>
      <c r="B873" s="113"/>
      <c r="C873" s="94"/>
      <c r="D873" s="95"/>
      <c r="E873" s="114"/>
      <c r="F873" s="96"/>
      <c r="G873" s="97"/>
      <c r="H873" s="98"/>
      <c r="I873" s="99"/>
      <c r="J873" s="99"/>
      <c r="K873" s="100"/>
      <c r="L873" s="99"/>
      <c r="M873" s="99"/>
      <c r="N873" s="99"/>
      <c r="O873" s="99"/>
      <c r="P873" s="101"/>
      <c r="Q873" s="104" t="str">
        <f t="shared" si="80"/>
        <v/>
      </c>
      <c r="R873" s="104" t="str">
        <f t="shared" si="81"/>
        <v/>
      </c>
      <c r="S873" s="104" t="str">
        <f t="shared" si="82"/>
        <v/>
      </c>
      <c r="T873" s="104" t="str">
        <f t="shared" si="83"/>
        <v/>
      </c>
      <c r="U873" s="104" t="str">
        <f t="shared" si="84"/>
        <v/>
      </c>
      <c r="V873" s="104" t="str">
        <f t="shared" si="85"/>
        <v/>
      </c>
      <c r="W873" s="105"/>
    </row>
    <row r="874" spans="1:23">
      <c r="A874" s="92">
        <v>4</v>
      </c>
      <c r="B874" s="106" t="s">
        <v>584</v>
      </c>
      <c r="C874" s="94"/>
      <c r="D874" s="95"/>
      <c r="E874" s="95"/>
      <c r="F874" s="96"/>
      <c r="G874" s="97"/>
      <c r="H874" s="98"/>
      <c r="I874" s="99"/>
      <c r="J874" s="99"/>
      <c r="K874" s="100"/>
      <c r="L874" s="99"/>
      <c r="M874" s="99"/>
      <c r="N874" s="99"/>
      <c r="O874" s="99"/>
      <c r="P874" s="101"/>
      <c r="Q874" s="104" t="str">
        <f t="shared" si="80"/>
        <v/>
      </c>
      <c r="R874" s="104" t="str">
        <f t="shared" si="81"/>
        <v/>
      </c>
      <c r="S874" s="104" t="str">
        <f t="shared" si="82"/>
        <v/>
      </c>
      <c r="T874" s="104" t="str">
        <f t="shared" si="83"/>
        <v/>
      </c>
      <c r="U874" s="104" t="str">
        <f t="shared" si="84"/>
        <v/>
      </c>
      <c r="V874" s="104" t="str">
        <f t="shared" si="85"/>
        <v/>
      </c>
      <c r="W874" s="105"/>
    </row>
    <row r="875" spans="1:23">
      <c r="A875" s="92"/>
      <c r="B875" t="s">
        <v>239</v>
      </c>
      <c r="C875" s="107">
        <v>0.5</v>
      </c>
      <c r="D875" s="786">
        <f>31.935-2*0.05</f>
        <v>31.834999999999997</v>
      </c>
      <c r="E875" s="799"/>
      <c r="F875" s="107">
        <v>0.5</v>
      </c>
      <c r="G875" s="108">
        <v>0.25</v>
      </c>
      <c r="H875" s="98">
        <v>16</v>
      </c>
      <c r="I875" s="99">
        <v>1</v>
      </c>
      <c r="J875" s="101">
        <f>ROUND(2.63/G875/2+1,0)</f>
        <v>6</v>
      </c>
      <c r="K875" s="109">
        <f>D875</f>
        <v>31.834999999999997</v>
      </c>
      <c r="L875" s="112">
        <f>IF(O875&lt;12,"0",0.049*H875)*3</f>
        <v>2.3520000000000003</v>
      </c>
      <c r="M875" s="111">
        <v>2</v>
      </c>
      <c r="N875" s="99">
        <f>M875*2*H875/1000</f>
        <v>6.4000000000000001E-2</v>
      </c>
      <c r="O875" s="112">
        <f>(D875+C875+F875)-N875</f>
        <v>32.770999999999994</v>
      </c>
      <c r="P875" s="112">
        <f>(I875*J875*O875)+L875</f>
        <v>198.97799999999998</v>
      </c>
      <c r="Q875" s="104" t="str">
        <f t="shared" si="80"/>
        <v/>
      </c>
      <c r="R875" s="104" t="str">
        <f t="shared" si="81"/>
        <v/>
      </c>
      <c r="S875" s="104" t="str">
        <f t="shared" si="82"/>
        <v/>
      </c>
      <c r="T875" s="104">
        <f t="shared" si="83"/>
        <v>198.97799999999998</v>
      </c>
      <c r="U875" s="104" t="str">
        <f t="shared" si="84"/>
        <v/>
      </c>
      <c r="V875" s="104" t="str">
        <f t="shared" si="85"/>
        <v/>
      </c>
      <c r="W875" s="105"/>
    </row>
    <row r="876" spans="1:23">
      <c r="A876" s="92"/>
      <c r="B876" s="113"/>
      <c r="C876" s="94"/>
      <c r="D876" s="95"/>
      <c r="E876" s="114"/>
      <c r="F876" s="96"/>
      <c r="G876" s="97"/>
      <c r="H876" s="98"/>
      <c r="I876" s="99"/>
      <c r="J876" s="99"/>
      <c r="K876" s="100"/>
      <c r="L876" s="99"/>
      <c r="M876" s="99"/>
      <c r="N876" s="99"/>
      <c r="O876" s="99"/>
      <c r="P876" s="101"/>
      <c r="Q876" s="104" t="str">
        <f t="shared" si="80"/>
        <v/>
      </c>
      <c r="R876" s="104" t="str">
        <f t="shared" si="81"/>
        <v/>
      </c>
      <c r="S876" s="104" t="str">
        <f t="shared" si="82"/>
        <v/>
      </c>
      <c r="T876" s="104" t="str">
        <f t="shared" si="83"/>
        <v/>
      </c>
      <c r="U876" s="104" t="str">
        <f t="shared" si="84"/>
        <v/>
      </c>
      <c r="V876" s="104" t="str">
        <f t="shared" si="85"/>
        <v/>
      </c>
      <c r="W876" s="105"/>
    </row>
    <row r="877" spans="1:23">
      <c r="A877" s="92">
        <v>4</v>
      </c>
      <c r="B877" s="106" t="s">
        <v>584</v>
      </c>
      <c r="C877" s="94"/>
      <c r="D877" s="95"/>
      <c r="E877" s="95"/>
      <c r="F877" s="96"/>
      <c r="G877" s="97"/>
      <c r="H877" s="98"/>
      <c r="I877" s="99"/>
      <c r="J877" s="99"/>
      <c r="K877" s="100"/>
      <c r="L877" s="99"/>
      <c r="M877" s="99"/>
      <c r="N877" s="99"/>
      <c r="O877" s="99"/>
      <c r="P877" s="101"/>
      <c r="Q877" s="104" t="str">
        <f t="shared" si="80"/>
        <v/>
      </c>
      <c r="R877" s="104" t="str">
        <f t="shared" si="81"/>
        <v/>
      </c>
      <c r="S877" s="104" t="str">
        <f t="shared" si="82"/>
        <v/>
      </c>
      <c r="T877" s="104" t="str">
        <f t="shared" si="83"/>
        <v/>
      </c>
      <c r="U877" s="104" t="str">
        <f t="shared" si="84"/>
        <v/>
      </c>
      <c r="V877" s="104" t="str">
        <f t="shared" si="85"/>
        <v/>
      </c>
      <c r="W877" s="105"/>
    </row>
    <row r="878" spans="1:23">
      <c r="A878" s="92"/>
      <c r="B878" t="s">
        <v>239</v>
      </c>
      <c r="C878" s="107">
        <v>0.5</v>
      </c>
      <c r="D878" s="786">
        <f>31.935-2*0.05</f>
        <v>31.834999999999997</v>
      </c>
      <c r="E878" s="799"/>
      <c r="F878" s="107">
        <v>0.5</v>
      </c>
      <c r="G878" s="108">
        <v>0.25</v>
      </c>
      <c r="H878" s="98">
        <v>16</v>
      </c>
      <c r="I878" s="99">
        <v>1</v>
      </c>
      <c r="J878" s="101">
        <f>ROUND(2.63/G878/2,0)</f>
        <v>5</v>
      </c>
      <c r="K878" s="109">
        <f>D878</f>
        <v>31.834999999999997</v>
      </c>
      <c r="L878" s="112">
        <f>IF(O878&lt;12,"0",0.049*H878)*2</f>
        <v>1.5680000000000001</v>
      </c>
      <c r="M878" s="111">
        <v>2</v>
      </c>
      <c r="N878" s="99">
        <f>M878*2*H878/1000</f>
        <v>6.4000000000000001E-2</v>
      </c>
      <c r="O878" s="112">
        <f>(D878+C878+F878)-N878</f>
        <v>32.770999999999994</v>
      </c>
      <c r="P878" s="112">
        <f>(I878*J878*O878)+L878</f>
        <v>165.42299999999997</v>
      </c>
      <c r="Q878" s="104" t="str">
        <f t="shared" si="80"/>
        <v/>
      </c>
      <c r="R878" s="104" t="str">
        <f t="shared" si="81"/>
        <v/>
      </c>
      <c r="S878" s="104" t="str">
        <f t="shared" si="82"/>
        <v/>
      </c>
      <c r="T878" s="104">
        <f t="shared" si="83"/>
        <v>165.42299999999997</v>
      </c>
      <c r="U878" s="104" t="str">
        <f t="shared" si="84"/>
        <v/>
      </c>
      <c r="V878" s="104" t="str">
        <f t="shared" si="85"/>
        <v/>
      </c>
      <c r="W878" s="105"/>
    </row>
    <row r="879" spans="1:23">
      <c r="A879" s="92"/>
      <c r="B879" s="113"/>
      <c r="C879" s="94"/>
      <c r="D879" s="95"/>
      <c r="E879" s="114"/>
      <c r="F879" s="96"/>
      <c r="G879" s="97"/>
      <c r="H879" s="98"/>
      <c r="I879" s="99"/>
      <c r="J879" s="99"/>
      <c r="K879" s="100"/>
      <c r="L879" s="99"/>
      <c r="M879" s="99"/>
      <c r="N879" s="99"/>
      <c r="O879" s="99"/>
      <c r="P879" s="101"/>
      <c r="Q879" s="104" t="str">
        <f t="shared" si="80"/>
        <v/>
      </c>
      <c r="R879" s="104" t="str">
        <f t="shared" si="81"/>
        <v/>
      </c>
      <c r="S879" s="104" t="str">
        <f t="shared" si="82"/>
        <v/>
      </c>
      <c r="T879" s="104" t="str">
        <f t="shared" si="83"/>
        <v/>
      </c>
      <c r="U879" s="104" t="str">
        <f t="shared" si="84"/>
        <v/>
      </c>
      <c r="V879" s="104" t="str">
        <f t="shared" si="85"/>
        <v/>
      </c>
      <c r="W879" s="105"/>
    </row>
    <row r="880" spans="1:23">
      <c r="A880" s="92">
        <v>5</v>
      </c>
      <c r="B880" s="106" t="s">
        <v>585</v>
      </c>
      <c r="C880" s="94"/>
      <c r="D880" s="95"/>
      <c r="E880" s="95"/>
      <c r="F880" s="96"/>
      <c r="G880" s="97"/>
      <c r="H880" s="98"/>
      <c r="I880" s="99"/>
      <c r="J880" s="99"/>
      <c r="K880" s="100"/>
      <c r="L880" s="99"/>
      <c r="M880" s="99"/>
      <c r="N880" s="99"/>
      <c r="O880" s="99"/>
      <c r="P880" s="101"/>
      <c r="Q880" s="104" t="str">
        <f t="shared" si="80"/>
        <v/>
      </c>
      <c r="R880" s="104" t="str">
        <f t="shared" si="81"/>
        <v/>
      </c>
      <c r="S880" s="104" t="str">
        <f t="shared" si="82"/>
        <v/>
      </c>
      <c r="T880" s="104" t="str">
        <f t="shared" si="83"/>
        <v/>
      </c>
      <c r="U880" s="104" t="str">
        <f t="shared" si="84"/>
        <v/>
      </c>
      <c r="V880" s="104" t="str">
        <f t="shared" si="85"/>
        <v/>
      </c>
      <c r="W880" s="105"/>
    </row>
    <row r="881" spans="1:23">
      <c r="A881" s="92"/>
      <c r="B881" t="s">
        <v>239</v>
      </c>
      <c r="C881" s="107">
        <v>0.5</v>
      </c>
      <c r="D881" s="786">
        <f>31.95-2*0.05-1.5</f>
        <v>30.349999999999998</v>
      </c>
      <c r="E881" s="799"/>
      <c r="F881" s="107">
        <v>0.5</v>
      </c>
      <c r="G881" s="108">
        <v>0.25</v>
      </c>
      <c r="H881" s="98">
        <v>16</v>
      </c>
      <c r="I881" s="99">
        <v>1</v>
      </c>
      <c r="J881" s="101">
        <f>ROUND(3.95/G881/2+1,0)</f>
        <v>9</v>
      </c>
      <c r="K881" s="109">
        <f>D881</f>
        <v>30.349999999999998</v>
      </c>
      <c r="L881" s="112">
        <f>IF(O881&lt;12,"0",0.049*H881)*3</f>
        <v>2.3520000000000003</v>
      </c>
      <c r="M881" s="111">
        <v>2</v>
      </c>
      <c r="N881" s="99">
        <f>M881*2*H881/1000</f>
        <v>6.4000000000000001E-2</v>
      </c>
      <c r="O881" s="112">
        <f>(D881+C881+F881)-N881</f>
        <v>31.285999999999998</v>
      </c>
      <c r="P881" s="112">
        <f>(I881*J881*O881)+L881</f>
        <v>283.92599999999993</v>
      </c>
      <c r="Q881" s="104" t="str">
        <f t="shared" si="80"/>
        <v/>
      </c>
      <c r="R881" s="104" t="str">
        <f t="shared" si="81"/>
        <v/>
      </c>
      <c r="S881" s="104" t="str">
        <f t="shared" si="82"/>
        <v/>
      </c>
      <c r="T881" s="104">
        <f t="shared" si="83"/>
        <v>283.92599999999993</v>
      </c>
      <c r="U881" s="104" t="str">
        <f t="shared" si="84"/>
        <v/>
      </c>
      <c r="V881" s="104" t="str">
        <f t="shared" si="85"/>
        <v/>
      </c>
      <c r="W881" s="105"/>
    </row>
    <row r="882" spans="1:23">
      <c r="A882" s="92"/>
      <c r="B882" s="113"/>
      <c r="C882" s="94"/>
      <c r="D882" s="95"/>
      <c r="E882" s="114"/>
      <c r="F882" s="96"/>
      <c r="G882" s="97"/>
      <c r="H882" s="98"/>
      <c r="I882" s="99"/>
      <c r="J882" s="99"/>
      <c r="K882" s="100"/>
      <c r="L882" s="99"/>
      <c r="M882" s="99"/>
      <c r="N882" s="99"/>
      <c r="O882" s="99"/>
      <c r="P882" s="101"/>
      <c r="Q882" s="104" t="str">
        <f t="shared" si="80"/>
        <v/>
      </c>
      <c r="R882" s="104" t="str">
        <f t="shared" si="81"/>
        <v/>
      </c>
      <c r="S882" s="104" t="str">
        <f t="shared" si="82"/>
        <v/>
      </c>
      <c r="T882" s="104" t="str">
        <f t="shared" si="83"/>
        <v/>
      </c>
      <c r="U882" s="104" t="str">
        <f t="shared" si="84"/>
        <v/>
      </c>
      <c r="V882" s="104" t="str">
        <f t="shared" si="85"/>
        <v/>
      </c>
      <c r="W882" s="105"/>
    </row>
    <row r="883" spans="1:23">
      <c r="A883" s="92">
        <v>5</v>
      </c>
      <c r="B883" s="106" t="s">
        <v>585</v>
      </c>
      <c r="C883" s="94"/>
      <c r="D883" s="95"/>
      <c r="E883" s="95"/>
      <c r="F883" s="96"/>
      <c r="G883" s="97"/>
      <c r="H883" s="98"/>
      <c r="I883" s="99"/>
      <c r="J883" s="99"/>
      <c r="K883" s="100"/>
      <c r="L883" s="99"/>
      <c r="M883" s="99"/>
      <c r="N883" s="99"/>
      <c r="O883" s="99"/>
      <c r="P883" s="101"/>
      <c r="Q883" s="104" t="str">
        <f t="shared" si="80"/>
        <v/>
      </c>
      <c r="R883" s="104" t="str">
        <f t="shared" si="81"/>
        <v/>
      </c>
      <c r="S883" s="104" t="str">
        <f t="shared" si="82"/>
        <v/>
      </c>
      <c r="T883" s="104" t="str">
        <f t="shared" si="83"/>
        <v/>
      </c>
      <c r="U883" s="104" t="str">
        <f t="shared" si="84"/>
        <v/>
      </c>
      <c r="V883" s="104" t="str">
        <f t="shared" si="85"/>
        <v/>
      </c>
      <c r="W883" s="105"/>
    </row>
    <row r="884" spans="1:23">
      <c r="A884" s="92"/>
      <c r="B884" t="s">
        <v>239</v>
      </c>
      <c r="C884" s="107">
        <v>0.5</v>
      </c>
      <c r="D884" s="786">
        <f>31.95-2*0.05-1.5</f>
        <v>30.349999999999998</v>
      </c>
      <c r="E884" s="799"/>
      <c r="F884" s="107">
        <v>0.5</v>
      </c>
      <c r="G884" s="108">
        <v>0.25</v>
      </c>
      <c r="H884" s="98">
        <v>16</v>
      </c>
      <c r="I884" s="99">
        <v>1</v>
      </c>
      <c r="J884" s="101">
        <f>ROUND(3.95/G884/2,0)</f>
        <v>8</v>
      </c>
      <c r="K884" s="109">
        <f>D884</f>
        <v>30.349999999999998</v>
      </c>
      <c r="L884" s="112">
        <f>IF(O884&lt;12,"0",0.049*H884)*2</f>
        <v>1.5680000000000001</v>
      </c>
      <c r="M884" s="111">
        <v>2</v>
      </c>
      <c r="N884" s="99">
        <f>M884*2*H884/1000</f>
        <v>6.4000000000000001E-2</v>
      </c>
      <c r="O884" s="112">
        <f>(D884+C884+F884)-N884</f>
        <v>31.285999999999998</v>
      </c>
      <c r="P884" s="112">
        <f>(I884*J884*O884)+L884</f>
        <v>251.85599999999999</v>
      </c>
      <c r="Q884" s="104" t="str">
        <f t="shared" si="80"/>
        <v/>
      </c>
      <c r="R884" s="104" t="str">
        <f t="shared" si="81"/>
        <v/>
      </c>
      <c r="S884" s="104" t="str">
        <f t="shared" si="82"/>
        <v/>
      </c>
      <c r="T884" s="104">
        <f t="shared" si="83"/>
        <v>251.85599999999999</v>
      </c>
      <c r="U884" s="104" t="str">
        <f t="shared" si="84"/>
        <v/>
      </c>
      <c r="V884" s="104" t="str">
        <f t="shared" si="85"/>
        <v/>
      </c>
      <c r="W884" s="105"/>
    </row>
    <row r="885" spans="1:23">
      <c r="A885" s="92"/>
      <c r="B885" s="113"/>
      <c r="C885" s="94"/>
      <c r="D885" s="95"/>
      <c r="E885" s="114"/>
      <c r="F885" s="96"/>
      <c r="G885" s="97"/>
      <c r="H885" s="98"/>
      <c r="I885" s="99"/>
      <c r="J885" s="99"/>
      <c r="K885" s="100"/>
      <c r="L885" s="99"/>
      <c r="M885" s="99"/>
      <c r="N885" s="99"/>
      <c r="O885" s="99"/>
      <c r="P885" s="101"/>
      <c r="Q885" s="104" t="str">
        <f t="shared" si="80"/>
        <v/>
      </c>
      <c r="R885" s="104" t="str">
        <f t="shared" si="81"/>
        <v/>
      </c>
      <c r="S885" s="104" t="str">
        <f t="shared" si="82"/>
        <v/>
      </c>
      <c r="T885" s="104" t="str">
        <f t="shared" si="83"/>
        <v/>
      </c>
      <c r="U885" s="104" t="str">
        <f t="shared" si="84"/>
        <v/>
      </c>
      <c r="V885" s="104" t="str">
        <f t="shared" si="85"/>
        <v/>
      </c>
      <c r="W885" s="105"/>
    </row>
    <row r="886" spans="1:23">
      <c r="A886" s="92">
        <v>6</v>
      </c>
      <c r="B886" s="106" t="s">
        <v>600</v>
      </c>
      <c r="C886" s="94"/>
      <c r="D886" s="95"/>
      <c r="E886" s="95"/>
      <c r="F886" s="96"/>
      <c r="G886" s="97"/>
      <c r="H886" s="98"/>
      <c r="I886" s="99"/>
      <c r="J886" s="99"/>
      <c r="K886" s="100"/>
      <c r="L886" s="99"/>
      <c r="M886" s="99"/>
      <c r="N886" s="99"/>
      <c r="O886" s="99"/>
      <c r="P886" s="101"/>
      <c r="Q886" s="104" t="str">
        <f t="shared" si="80"/>
        <v/>
      </c>
      <c r="R886" s="104" t="str">
        <f t="shared" si="81"/>
        <v/>
      </c>
      <c r="S886" s="104" t="str">
        <f t="shared" si="82"/>
        <v/>
      </c>
      <c r="T886" s="104" t="str">
        <f t="shared" si="83"/>
        <v/>
      </c>
      <c r="U886" s="104" t="str">
        <f t="shared" si="84"/>
        <v/>
      </c>
      <c r="V886" s="104" t="str">
        <f t="shared" si="85"/>
        <v/>
      </c>
      <c r="W886" s="105"/>
    </row>
    <row r="887" spans="1:23">
      <c r="A887" s="92"/>
      <c r="B887" t="s">
        <v>239</v>
      </c>
      <c r="C887" s="107">
        <v>0.5</v>
      </c>
      <c r="D887" s="786">
        <f>31.95-2*0.05-1.5-0.815</f>
        <v>29.534999999999997</v>
      </c>
      <c r="E887" s="799"/>
      <c r="F887" s="107">
        <v>0.5</v>
      </c>
      <c r="G887" s="108">
        <v>0.25</v>
      </c>
      <c r="H887" s="98">
        <v>16</v>
      </c>
      <c r="I887" s="99">
        <v>1</v>
      </c>
      <c r="J887" s="101">
        <f>ROUND(1.695/G887/2+1,0)</f>
        <v>4</v>
      </c>
      <c r="K887" s="109">
        <f>D887</f>
        <v>29.534999999999997</v>
      </c>
      <c r="L887" s="112">
        <f>IF(O887&lt;12,"0",0.049*H887)*3</f>
        <v>2.3520000000000003</v>
      </c>
      <c r="M887" s="111">
        <v>2</v>
      </c>
      <c r="N887" s="99">
        <f>M887*2*H887/1000</f>
        <v>6.4000000000000001E-2</v>
      </c>
      <c r="O887" s="112">
        <f>(D887+C887+F887)-N887</f>
        <v>30.470999999999997</v>
      </c>
      <c r="P887" s="112">
        <f>(I887*J887*O887)+L887</f>
        <v>124.23599999999999</v>
      </c>
      <c r="Q887" s="104" t="str">
        <f t="shared" si="80"/>
        <v/>
      </c>
      <c r="R887" s="104" t="str">
        <f t="shared" si="81"/>
        <v/>
      </c>
      <c r="S887" s="104" t="str">
        <f t="shared" si="82"/>
        <v/>
      </c>
      <c r="T887" s="104">
        <f t="shared" si="83"/>
        <v>124.23599999999999</v>
      </c>
      <c r="U887" s="104" t="str">
        <f t="shared" si="84"/>
        <v/>
      </c>
      <c r="V887" s="104" t="str">
        <f t="shared" si="85"/>
        <v/>
      </c>
      <c r="W887" s="105"/>
    </row>
    <row r="888" spans="1:23">
      <c r="A888" s="92"/>
      <c r="B888" s="113"/>
      <c r="C888" s="94"/>
      <c r="D888" s="95"/>
      <c r="E888" s="114"/>
      <c r="F888" s="96"/>
      <c r="G888" s="97"/>
      <c r="H888" s="98"/>
      <c r="I888" s="99"/>
      <c r="J888" s="99"/>
      <c r="K888" s="100"/>
      <c r="L888" s="99"/>
      <c r="M888" s="99"/>
      <c r="N888" s="99"/>
      <c r="O888" s="99"/>
      <c r="P888" s="101"/>
      <c r="Q888" s="104" t="str">
        <f t="shared" si="80"/>
        <v/>
      </c>
      <c r="R888" s="104" t="str">
        <f t="shared" si="81"/>
        <v/>
      </c>
      <c r="S888" s="104" t="str">
        <f t="shared" si="82"/>
        <v/>
      </c>
      <c r="T888" s="104" t="str">
        <f t="shared" si="83"/>
        <v/>
      </c>
      <c r="U888" s="104" t="str">
        <f t="shared" si="84"/>
        <v/>
      </c>
      <c r="V888" s="104" t="str">
        <f t="shared" si="85"/>
        <v/>
      </c>
      <c r="W888" s="105"/>
    </row>
    <row r="889" spans="1:23">
      <c r="A889" s="92">
        <v>6</v>
      </c>
      <c r="B889" s="106" t="s">
        <v>600</v>
      </c>
      <c r="C889" s="94"/>
      <c r="D889" s="95"/>
      <c r="E889" s="95"/>
      <c r="F889" s="96"/>
      <c r="G889" s="97"/>
      <c r="H889" s="98"/>
      <c r="I889" s="99"/>
      <c r="J889" s="99"/>
      <c r="K889" s="100"/>
      <c r="L889" s="99"/>
      <c r="M889" s="99"/>
      <c r="N889" s="99"/>
      <c r="O889" s="99"/>
      <c r="P889" s="101"/>
      <c r="Q889" s="104" t="str">
        <f t="shared" si="80"/>
        <v/>
      </c>
      <c r="R889" s="104" t="str">
        <f t="shared" si="81"/>
        <v/>
      </c>
      <c r="S889" s="104" t="str">
        <f t="shared" si="82"/>
        <v/>
      </c>
      <c r="T889" s="104" t="str">
        <f t="shared" si="83"/>
        <v/>
      </c>
      <c r="U889" s="104" t="str">
        <f t="shared" si="84"/>
        <v/>
      </c>
      <c r="V889" s="104" t="str">
        <f t="shared" si="85"/>
        <v/>
      </c>
      <c r="W889" s="105"/>
    </row>
    <row r="890" spans="1:23">
      <c r="A890" s="92"/>
      <c r="B890" t="s">
        <v>239</v>
      </c>
      <c r="C890" s="107">
        <v>0.5</v>
      </c>
      <c r="D890" s="786">
        <f>31.95-2*0.05-1.5-0.815</f>
        <v>29.534999999999997</v>
      </c>
      <c r="E890" s="799"/>
      <c r="F890" s="107">
        <v>0.5</v>
      </c>
      <c r="G890" s="108">
        <v>0.25</v>
      </c>
      <c r="H890" s="98">
        <v>16</v>
      </c>
      <c r="I890" s="99">
        <v>1</v>
      </c>
      <c r="J890" s="101">
        <f>ROUND(1.695/G890/2,0)</f>
        <v>3</v>
      </c>
      <c r="K890" s="109">
        <f>D890</f>
        <v>29.534999999999997</v>
      </c>
      <c r="L890" s="112">
        <f>IF(O890&lt;12,"0",0.049*H890)*2</f>
        <v>1.5680000000000001</v>
      </c>
      <c r="M890" s="111">
        <v>2</v>
      </c>
      <c r="N890" s="99">
        <f>M890*2*H890/1000</f>
        <v>6.4000000000000001E-2</v>
      </c>
      <c r="O890" s="112">
        <f>(D890+C890+F890)-N890</f>
        <v>30.470999999999997</v>
      </c>
      <c r="P890" s="112">
        <f>(I890*J890*O890)+L890</f>
        <v>92.98099999999998</v>
      </c>
      <c r="Q890" s="104" t="str">
        <f t="shared" si="80"/>
        <v/>
      </c>
      <c r="R890" s="104" t="str">
        <f t="shared" si="81"/>
        <v/>
      </c>
      <c r="S890" s="104" t="str">
        <f t="shared" si="82"/>
        <v/>
      </c>
      <c r="T890" s="104">
        <f t="shared" si="83"/>
        <v>92.98099999999998</v>
      </c>
      <c r="U890" s="104" t="str">
        <f t="shared" si="84"/>
        <v/>
      </c>
      <c r="V890" s="104" t="str">
        <f t="shared" si="85"/>
        <v/>
      </c>
      <c r="W890" s="105"/>
    </row>
    <row r="891" spans="1:23">
      <c r="A891" s="92"/>
      <c r="B891" s="113"/>
      <c r="C891" s="94"/>
      <c r="D891" s="95"/>
      <c r="E891" s="114"/>
      <c r="F891" s="96"/>
      <c r="G891" s="97"/>
      <c r="H891" s="98"/>
      <c r="I891" s="99"/>
      <c r="J891" s="99"/>
      <c r="K891" s="100"/>
      <c r="L891" s="99"/>
      <c r="M891" s="99"/>
      <c r="N891" s="99"/>
      <c r="O891" s="99"/>
      <c r="P891" s="101"/>
      <c r="Q891" s="104" t="str">
        <f t="shared" si="80"/>
        <v/>
      </c>
      <c r="R891" s="104" t="str">
        <f t="shared" si="81"/>
        <v/>
      </c>
      <c r="S891" s="104" t="str">
        <f t="shared" si="82"/>
        <v/>
      </c>
      <c r="T891" s="104" t="str">
        <f t="shared" si="83"/>
        <v/>
      </c>
      <c r="U891" s="104" t="str">
        <f t="shared" si="84"/>
        <v/>
      </c>
      <c r="V891" s="104" t="str">
        <f t="shared" si="85"/>
        <v/>
      </c>
      <c r="W891" s="105"/>
    </row>
    <row r="892" spans="1:23">
      <c r="A892" s="92">
        <v>7</v>
      </c>
      <c r="B892" s="106" t="s">
        <v>601</v>
      </c>
      <c r="C892" s="94"/>
      <c r="D892" s="95"/>
      <c r="E892" s="95"/>
      <c r="F892" s="96"/>
      <c r="G892" s="97"/>
      <c r="H892" s="98"/>
      <c r="I892" s="99"/>
      <c r="J892" s="99"/>
      <c r="K892" s="100"/>
      <c r="L892" s="99"/>
      <c r="M892" s="99"/>
      <c r="N892" s="99"/>
      <c r="O892" s="99"/>
      <c r="P892" s="101"/>
      <c r="Q892" s="104" t="str">
        <f t="shared" si="80"/>
        <v/>
      </c>
      <c r="R892" s="104" t="str">
        <f t="shared" si="81"/>
        <v/>
      </c>
      <c r="S892" s="104" t="str">
        <f t="shared" si="82"/>
        <v/>
      </c>
      <c r="T892" s="104" t="str">
        <f t="shared" si="83"/>
        <v/>
      </c>
      <c r="U892" s="104" t="str">
        <f t="shared" si="84"/>
        <v/>
      </c>
      <c r="V892" s="104" t="str">
        <f t="shared" si="85"/>
        <v/>
      </c>
      <c r="W892" s="105"/>
    </row>
    <row r="893" spans="1:23">
      <c r="A893" s="92"/>
      <c r="B893" t="s">
        <v>239</v>
      </c>
      <c r="C893" s="107">
        <v>0.5</v>
      </c>
      <c r="D893" s="786">
        <f>15.8-2*0.05</f>
        <v>15.700000000000001</v>
      </c>
      <c r="E893" s="799"/>
      <c r="F893" s="107">
        <v>0.5</v>
      </c>
      <c r="G893" s="108">
        <v>0.25</v>
      </c>
      <c r="H893" s="98">
        <v>16</v>
      </c>
      <c r="I893" s="99">
        <v>1</v>
      </c>
      <c r="J893" s="101">
        <f>ROUND(11.285/G893+1,0)</f>
        <v>46</v>
      </c>
      <c r="K893" s="109">
        <f>D893</f>
        <v>15.700000000000001</v>
      </c>
      <c r="L893" s="112">
        <f>IF(O893&lt;12,"0",0.049*H893)</f>
        <v>0.78400000000000003</v>
      </c>
      <c r="M893" s="111">
        <v>2</v>
      </c>
      <c r="N893" s="99">
        <f>M893*2*H893/1000</f>
        <v>6.4000000000000001E-2</v>
      </c>
      <c r="O893" s="112">
        <f>(D893+C893+F893)-N893</f>
        <v>16.636000000000003</v>
      </c>
      <c r="P893" s="112">
        <f>(I893*J893*O893)+L893</f>
        <v>766.04000000000008</v>
      </c>
      <c r="Q893" s="104" t="str">
        <f t="shared" si="80"/>
        <v/>
      </c>
      <c r="R893" s="104" t="str">
        <f t="shared" si="81"/>
        <v/>
      </c>
      <c r="S893" s="104" t="str">
        <f t="shared" si="82"/>
        <v/>
      </c>
      <c r="T893" s="104">
        <f t="shared" si="83"/>
        <v>766.04000000000008</v>
      </c>
      <c r="U893" s="104" t="str">
        <f t="shared" si="84"/>
        <v/>
      </c>
      <c r="V893" s="104" t="str">
        <f t="shared" si="85"/>
        <v/>
      </c>
      <c r="W893" s="105"/>
    </row>
    <row r="894" spans="1:23">
      <c r="A894" s="92"/>
      <c r="B894" s="113"/>
      <c r="C894" s="94"/>
      <c r="D894" s="95"/>
      <c r="E894" s="114"/>
      <c r="F894" s="96"/>
      <c r="G894" s="97"/>
      <c r="H894" s="98"/>
      <c r="I894" s="99"/>
      <c r="J894" s="99"/>
      <c r="K894" s="100"/>
      <c r="L894" s="99"/>
      <c r="M894" s="99"/>
      <c r="N894" s="99"/>
      <c r="O894" s="99"/>
      <c r="P894" s="101"/>
      <c r="Q894" s="104" t="str">
        <f t="shared" si="80"/>
        <v/>
      </c>
      <c r="R894" s="104" t="str">
        <f t="shared" si="81"/>
        <v/>
      </c>
      <c r="S894" s="104" t="str">
        <f t="shared" si="82"/>
        <v/>
      </c>
      <c r="T894" s="104" t="str">
        <f t="shared" si="83"/>
        <v/>
      </c>
      <c r="U894" s="104" t="str">
        <f t="shared" si="84"/>
        <v/>
      </c>
      <c r="V894" s="104" t="str">
        <f t="shared" si="85"/>
        <v/>
      </c>
      <c r="W894" s="105"/>
    </row>
    <row r="895" spans="1:23">
      <c r="A895" s="92"/>
      <c r="B895" s="113"/>
      <c r="C895" s="94"/>
      <c r="D895" s="95"/>
      <c r="E895" s="114"/>
      <c r="F895" s="96"/>
      <c r="G895" s="97"/>
      <c r="H895" s="98"/>
      <c r="I895" s="99"/>
      <c r="J895" s="99"/>
      <c r="K895" s="100"/>
      <c r="L895" s="99"/>
      <c r="M895" s="99"/>
      <c r="N895" s="99"/>
      <c r="O895" s="99"/>
      <c r="P895" s="101"/>
      <c r="Q895" s="104" t="str">
        <f t="shared" ref="Q895:Q958" si="86">IF($H895=8,$P895,"")</f>
        <v/>
      </c>
      <c r="R895" s="104" t="str">
        <f t="shared" ref="R895:R958" si="87">IF($H895=10,$P895,"")</f>
        <v/>
      </c>
      <c r="S895" s="104" t="str">
        <f t="shared" ref="S895:S958" si="88">IF($H895=12,$P895,"")</f>
        <v/>
      </c>
      <c r="T895" s="104" t="str">
        <f t="shared" ref="T895:T958" si="89">IF($H895=16,$P895,"")</f>
        <v/>
      </c>
      <c r="U895" s="104" t="str">
        <f t="shared" ref="U895:U958" si="90">IF($H895=20,$P895,"")</f>
        <v/>
      </c>
      <c r="V895" s="104" t="str">
        <f t="shared" ref="V895:V958" si="91">IF($H895=25,$P895,"")</f>
        <v/>
      </c>
      <c r="W895" s="105"/>
    </row>
    <row r="896" spans="1:23">
      <c r="A896" s="92"/>
      <c r="B896" s="103" t="s">
        <v>255</v>
      </c>
      <c r="C896" s="94"/>
      <c r="D896" s="95"/>
      <c r="E896" s="95"/>
      <c r="F896" s="96"/>
      <c r="G896" s="97"/>
      <c r="H896" s="98"/>
      <c r="I896" s="99"/>
      <c r="J896" s="99"/>
      <c r="K896" s="100"/>
      <c r="L896" s="99"/>
      <c r="M896" s="99"/>
      <c r="N896" s="99"/>
      <c r="O896" s="99"/>
      <c r="P896" s="101"/>
      <c r="Q896" s="104" t="str">
        <f t="shared" si="86"/>
        <v/>
      </c>
      <c r="R896" s="104" t="str">
        <f t="shared" si="87"/>
        <v/>
      </c>
      <c r="S896" s="104" t="str">
        <f t="shared" si="88"/>
        <v/>
      </c>
      <c r="T896" s="104" t="str">
        <f t="shared" si="89"/>
        <v/>
      </c>
      <c r="U896" s="104" t="str">
        <f t="shared" si="90"/>
        <v/>
      </c>
      <c r="V896" s="104" t="str">
        <f t="shared" si="91"/>
        <v/>
      </c>
      <c r="W896" s="105"/>
    </row>
    <row r="897" spans="1:23">
      <c r="A897" s="92">
        <v>1</v>
      </c>
      <c r="B897" s="115" t="s">
        <v>602</v>
      </c>
      <c r="C897" s="94"/>
      <c r="D897" s="95"/>
      <c r="E897" s="95"/>
      <c r="F897" s="96"/>
      <c r="G897" s="97"/>
      <c r="H897" s="98"/>
      <c r="I897" s="99"/>
      <c r="J897" s="99"/>
      <c r="K897" s="100"/>
      <c r="L897" s="99"/>
      <c r="M897" s="99"/>
      <c r="N897" s="99"/>
      <c r="O897" s="99"/>
      <c r="P897" s="101"/>
      <c r="Q897" s="104" t="str">
        <f t="shared" si="86"/>
        <v/>
      </c>
      <c r="R897" s="104" t="str">
        <f t="shared" si="87"/>
        <v/>
      </c>
      <c r="S897" s="104" t="str">
        <f t="shared" si="88"/>
        <v/>
      </c>
      <c r="T897" s="104" t="str">
        <f t="shared" si="89"/>
        <v/>
      </c>
      <c r="U897" s="104" t="str">
        <f t="shared" si="90"/>
        <v/>
      </c>
      <c r="V897" s="104" t="str">
        <f t="shared" si="91"/>
        <v/>
      </c>
      <c r="W897" s="105"/>
    </row>
    <row r="898" spans="1:23">
      <c r="A898" s="92"/>
      <c r="B898" s="116" t="s">
        <v>247</v>
      </c>
      <c r="C898" s="107">
        <v>0.5</v>
      </c>
      <c r="D898" s="786">
        <f>8.875-2*0.05</f>
        <v>8.7750000000000004</v>
      </c>
      <c r="E898" s="799"/>
      <c r="F898" s="107">
        <v>0.5</v>
      </c>
      <c r="G898" s="108">
        <v>0.25</v>
      </c>
      <c r="H898" s="98">
        <v>16</v>
      </c>
      <c r="I898" s="99">
        <v>1</v>
      </c>
      <c r="J898" s="101">
        <f>ROUND(1.5/G898+1,0)</f>
        <v>7</v>
      </c>
      <c r="K898" s="109">
        <f>D898</f>
        <v>8.7750000000000004</v>
      </c>
      <c r="L898" s="110" t="str">
        <f>IF(O898&lt;12,"0",0.049*H898)</f>
        <v>0</v>
      </c>
      <c r="M898" s="111">
        <v>2</v>
      </c>
      <c r="N898" s="99">
        <f>M898*2*H898/1000</f>
        <v>6.4000000000000001E-2</v>
      </c>
      <c r="O898" s="112">
        <f>(D898+C898+F898)-N898</f>
        <v>9.7110000000000003</v>
      </c>
      <c r="P898" s="112">
        <f>(I898*J898*O898)+L898</f>
        <v>67.977000000000004</v>
      </c>
      <c r="Q898" s="104" t="str">
        <f t="shared" si="86"/>
        <v/>
      </c>
      <c r="R898" s="104" t="str">
        <f t="shared" si="87"/>
        <v/>
      </c>
      <c r="S898" s="104" t="str">
        <f t="shared" si="88"/>
        <v/>
      </c>
      <c r="T898" s="104">
        <f t="shared" si="89"/>
        <v>67.977000000000004</v>
      </c>
      <c r="U898" s="104" t="str">
        <f t="shared" si="90"/>
        <v/>
      </c>
      <c r="V898" s="104" t="str">
        <f t="shared" si="91"/>
        <v/>
      </c>
      <c r="W898" s="105"/>
    </row>
    <row r="899" spans="1:23">
      <c r="A899" s="92"/>
      <c r="B899" s="115"/>
      <c r="C899" s="94"/>
      <c r="D899" s="95"/>
      <c r="E899" s="95"/>
      <c r="F899" s="96"/>
      <c r="G899" s="97"/>
      <c r="H899" s="98"/>
      <c r="I899" s="99"/>
      <c r="J899" s="99"/>
      <c r="K899" s="100"/>
      <c r="L899" s="99"/>
      <c r="M899" s="99"/>
      <c r="N899" s="99"/>
      <c r="O899" s="99"/>
      <c r="P899" s="101"/>
      <c r="Q899" s="104" t="str">
        <f t="shared" si="86"/>
        <v/>
      </c>
      <c r="R899" s="104" t="str">
        <f t="shared" si="87"/>
        <v/>
      </c>
      <c r="S899" s="104" t="str">
        <f t="shared" si="88"/>
        <v/>
      </c>
      <c r="T899" s="104" t="str">
        <f t="shared" si="89"/>
        <v/>
      </c>
      <c r="U899" s="104" t="str">
        <f t="shared" si="90"/>
        <v/>
      </c>
      <c r="V899" s="104" t="str">
        <f t="shared" si="91"/>
        <v/>
      </c>
      <c r="W899" s="105"/>
    </row>
    <row r="900" spans="1:23">
      <c r="A900" s="92">
        <v>2</v>
      </c>
      <c r="B900" s="115" t="s">
        <v>603</v>
      </c>
      <c r="C900" s="94"/>
      <c r="D900" s="95"/>
      <c r="E900" s="95"/>
      <c r="F900" s="96"/>
      <c r="G900" s="97"/>
      <c r="H900" s="98"/>
      <c r="I900" s="99"/>
      <c r="J900" s="99"/>
      <c r="K900" s="100"/>
      <c r="L900" s="99"/>
      <c r="M900" s="99"/>
      <c r="N900" s="99"/>
      <c r="O900" s="99"/>
      <c r="P900" s="101"/>
      <c r="Q900" s="104" t="str">
        <f t="shared" si="86"/>
        <v/>
      </c>
      <c r="R900" s="104" t="str">
        <f t="shared" si="87"/>
        <v/>
      </c>
      <c r="S900" s="104" t="str">
        <f t="shared" si="88"/>
        <v/>
      </c>
      <c r="T900" s="104" t="str">
        <f t="shared" si="89"/>
        <v/>
      </c>
      <c r="U900" s="104" t="str">
        <f t="shared" si="90"/>
        <v/>
      </c>
      <c r="V900" s="104" t="str">
        <f t="shared" si="91"/>
        <v/>
      </c>
      <c r="W900" s="105"/>
    </row>
    <row r="901" spans="1:23">
      <c r="A901" s="92"/>
      <c r="B901" s="116" t="s">
        <v>247</v>
      </c>
      <c r="C901" s="107">
        <v>0.5</v>
      </c>
      <c r="D901" s="786">
        <f>12.825-2*0.05</f>
        <v>12.725</v>
      </c>
      <c r="E901" s="799"/>
      <c r="F901" s="107">
        <v>0.5</v>
      </c>
      <c r="G901" s="108">
        <v>0.25</v>
      </c>
      <c r="H901" s="98">
        <v>16</v>
      </c>
      <c r="I901" s="99">
        <v>1</v>
      </c>
      <c r="J901" s="101">
        <f>ROUND(0.815/G901+1,0)</f>
        <v>4</v>
      </c>
      <c r="K901" s="109">
        <f>D901</f>
        <v>12.725</v>
      </c>
      <c r="L901" s="110">
        <f>IF(O901&lt;12,"0",0.049*H901)</f>
        <v>0.78400000000000003</v>
      </c>
      <c r="M901" s="111">
        <v>2</v>
      </c>
      <c r="N901" s="99">
        <f>M901*2*H901/1000</f>
        <v>6.4000000000000001E-2</v>
      </c>
      <c r="O901" s="112">
        <f>(D901+C901+F901)-N901</f>
        <v>13.661</v>
      </c>
      <c r="P901" s="112">
        <f>(I901*J901*O901)+L901</f>
        <v>55.427999999999997</v>
      </c>
      <c r="Q901" s="104" t="str">
        <f t="shared" si="86"/>
        <v/>
      </c>
      <c r="R901" s="104" t="str">
        <f t="shared" si="87"/>
        <v/>
      </c>
      <c r="S901" s="104" t="str">
        <f t="shared" si="88"/>
        <v/>
      </c>
      <c r="T901" s="104">
        <f t="shared" si="89"/>
        <v>55.427999999999997</v>
      </c>
      <c r="U901" s="104" t="str">
        <f t="shared" si="90"/>
        <v/>
      </c>
      <c r="V901" s="104" t="str">
        <f t="shared" si="91"/>
        <v/>
      </c>
      <c r="W901" s="105"/>
    </row>
    <row r="902" spans="1:23">
      <c r="A902" s="92"/>
      <c r="B902" s="116"/>
      <c r="C902" s="107"/>
      <c r="D902" s="389"/>
      <c r="E902" s="389"/>
      <c r="F902" s="118"/>
      <c r="G902" s="108"/>
      <c r="H902" s="98"/>
      <c r="I902" s="99"/>
      <c r="J902" s="101"/>
      <c r="K902" s="109"/>
      <c r="L902" s="110"/>
      <c r="M902" s="111"/>
      <c r="N902" s="99"/>
      <c r="O902" s="112"/>
      <c r="P902" s="112"/>
      <c r="Q902" s="104" t="str">
        <f t="shared" si="86"/>
        <v/>
      </c>
      <c r="R902" s="104" t="str">
        <f t="shared" si="87"/>
        <v/>
      </c>
      <c r="S902" s="104" t="str">
        <f t="shared" si="88"/>
        <v/>
      </c>
      <c r="T902" s="104" t="str">
        <f t="shared" si="89"/>
        <v/>
      </c>
      <c r="U902" s="104" t="str">
        <f t="shared" si="90"/>
        <v/>
      </c>
      <c r="V902" s="104" t="str">
        <f t="shared" si="91"/>
        <v/>
      </c>
      <c r="W902" s="105"/>
    </row>
    <row r="903" spans="1:23">
      <c r="A903" s="92">
        <v>3</v>
      </c>
      <c r="B903" s="115" t="s">
        <v>604</v>
      </c>
      <c r="C903" s="94"/>
      <c r="D903" s="95"/>
      <c r="E903" s="95"/>
      <c r="F903" s="96"/>
      <c r="G903" s="97"/>
      <c r="H903" s="98"/>
      <c r="I903" s="99"/>
      <c r="J903" s="99"/>
      <c r="K903" s="100"/>
      <c r="L903" s="99"/>
      <c r="M903" s="99"/>
      <c r="N903" s="99"/>
      <c r="O903" s="99"/>
      <c r="P903" s="101"/>
      <c r="Q903" s="104" t="str">
        <f t="shared" si="86"/>
        <v/>
      </c>
      <c r="R903" s="104" t="str">
        <f t="shared" si="87"/>
        <v/>
      </c>
      <c r="S903" s="104" t="str">
        <f t="shared" si="88"/>
        <v/>
      </c>
      <c r="T903" s="104" t="str">
        <f t="shared" si="89"/>
        <v/>
      </c>
      <c r="U903" s="104" t="str">
        <f t="shared" si="90"/>
        <v/>
      </c>
      <c r="V903" s="104" t="str">
        <f t="shared" si="91"/>
        <v/>
      </c>
      <c r="W903" s="105"/>
    </row>
    <row r="904" spans="1:23">
      <c r="A904" s="92"/>
      <c r="B904" s="116" t="s">
        <v>247</v>
      </c>
      <c r="C904" s="107">
        <v>0.5</v>
      </c>
      <c r="D904" s="786">
        <f>14.52-2*0.05</f>
        <v>14.42</v>
      </c>
      <c r="E904" s="799"/>
      <c r="F904" s="107">
        <v>0.5</v>
      </c>
      <c r="G904" s="108">
        <v>0.25</v>
      </c>
      <c r="H904" s="98">
        <v>16</v>
      </c>
      <c r="I904" s="99">
        <v>1</v>
      </c>
      <c r="J904" s="101">
        <f>ROUND(1.405/G904+1,0)</f>
        <v>7</v>
      </c>
      <c r="K904" s="109">
        <f>D904</f>
        <v>14.42</v>
      </c>
      <c r="L904" s="110">
        <f>IF(O904&lt;12,"0",0.049*H904)</f>
        <v>0.78400000000000003</v>
      </c>
      <c r="M904" s="111">
        <v>2</v>
      </c>
      <c r="N904" s="99">
        <f>M904*2*H904/1000</f>
        <v>6.4000000000000001E-2</v>
      </c>
      <c r="O904" s="112">
        <f>(D904+C904+F904)-N904</f>
        <v>15.356</v>
      </c>
      <c r="P904" s="112">
        <f>(I904*J904*O904)+L904</f>
        <v>108.27600000000001</v>
      </c>
      <c r="Q904" s="104" t="str">
        <f t="shared" si="86"/>
        <v/>
      </c>
      <c r="R904" s="104" t="str">
        <f t="shared" si="87"/>
        <v/>
      </c>
      <c r="S904" s="104" t="str">
        <f t="shared" si="88"/>
        <v/>
      </c>
      <c r="T904" s="104">
        <f t="shared" si="89"/>
        <v>108.27600000000001</v>
      </c>
      <c r="U904" s="104" t="str">
        <f t="shared" si="90"/>
        <v/>
      </c>
      <c r="V904" s="104" t="str">
        <f t="shared" si="91"/>
        <v/>
      </c>
      <c r="W904" s="105"/>
    </row>
    <row r="905" spans="1:23">
      <c r="A905" s="92"/>
      <c r="B905" s="115"/>
      <c r="C905" s="94"/>
      <c r="D905" s="95"/>
      <c r="E905" s="95"/>
      <c r="F905" s="96"/>
      <c r="G905" s="97"/>
      <c r="H905" s="98"/>
      <c r="I905" s="99"/>
      <c r="J905" s="99"/>
      <c r="K905" s="100"/>
      <c r="L905" s="99"/>
      <c r="M905" s="99"/>
      <c r="N905" s="99"/>
      <c r="O905" s="99"/>
      <c r="P905" s="101"/>
      <c r="Q905" s="104" t="str">
        <f t="shared" si="86"/>
        <v/>
      </c>
      <c r="R905" s="104" t="str">
        <f t="shared" si="87"/>
        <v/>
      </c>
      <c r="S905" s="104" t="str">
        <f t="shared" si="88"/>
        <v/>
      </c>
      <c r="T905" s="104" t="str">
        <f t="shared" si="89"/>
        <v/>
      </c>
      <c r="U905" s="104" t="str">
        <f t="shared" si="90"/>
        <v/>
      </c>
      <c r="V905" s="104" t="str">
        <f t="shared" si="91"/>
        <v/>
      </c>
      <c r="W905" s="105"/>
    </row>
    <row r="906" spans="1:23">
      <c r="A906" s="92">
        <v>4</v>
      </c>
      <c r="B906" s="115" t="s">
        <v>605</v>
      </c>
      <c r="C906" s="94"/>
      <c r="D906" s="95"/>
      <c r="E906" s="95"/>
      <c r="F906" s="96"/>
      <c r="G906" s="97"/>
      <c r="H906" s="98"/>
      <c r="I906" s="99"/>
      <c r="J906" s="99"/>
      <c r="K906" s="100"/>
      <c r="L906" s="99"/>
      <c r="M906" s="99"/>
      <c r="N906" s="99"/>
      <c r="O906" s="99"/>
      <c r="P906" s="101"/>
      <c r="Q906" s="104" t="str">
        <f t="shared" si="86"/>
        <v/>
      </c>
      <c r="R906" s="104" t="str">
        <f t="shared" si="87"/>
        <v/>
      </c>
      <c r="S906" s="104" t="str">
        <f t="shared" si="88"/>
        <v/>
      </c>
      <c r="T906" s="104" t="str">
        <f t="shared" si="89"/>
        <v/>
      </c>
      <c r="U906" s="104" t="str">
        <f t="shared" si="90"/>
        <v/>
      </c>
      <c r="V906" s="104" t="str">
        <f t="shared" si="91"/>
        <v/>
      </c>
      <c r="W906" s="105"/>
    </row>
    <row r="907" spans="1:23">
      <c r="A907" s="92"/>
      <c r="B907" s="116" t="s">
        <v>247</v>
      </c>
      <c r="C907" s="107"/>
      <c r="D907" s="786">
        <f>25.805-1*0.05+3.27</f>
        <v>29.024999999999999</v>
      </c>
      <c r="E907" s="786"/>
      <c r="F907" s="118">
        <v>0.5</v>
      </c>
      <c r="G907" s="108">
        <v>0.25</v>
      </c>
      <c r="H907" s="98">
        <v>16</v>
      </c>
      <c r="I907" s="99">
        <v>1</v>
      </c>
      <c r="J907" s="101">
        <f>ROUND(6.565/G907+1,0)</f>
        <v>27</v>
      </c>
      <c r="K907" s="109">
        <f>D907</f>
        <v>29.024999999999999</v>
      </c>
      <c r="L907" s="110">
        <f>IF(O907&lt;12,"0",0.049*H907)*2</f>
        <v>1.5680000000000001</v>
      </c>
      <c r="M907" s="111">
        <v>1</v>
      </c>
      <c r="N907" s="99">
        <f>M907*1*H907/1000</f>
        <v>1.6E-2</v>
      </c>
      <c r="O907" s="112">
        <f>(D907+C907+F907)-N907</f>
        <v>29.509</v>
      </c>
      <c r="P907" s="112">
        <f>(I907*J907*O907)+L907</f>
        <v>798.31100000000004</v>
      </c>
      <c r="Q907" s="104" t="str">
        <f t="shared" si="86"/>
        <v/>
      </c>
      <c r="R907" s="104" t="str">
        <f t="shared" si="87"/>
        <v/>
      </c>
      <c r="S907" s="104" t="str">
        <f t="shared" si="88"/>
        <v/>
      </c>
      <c r="T907" s="104">
        <f t="shared" si="89"/>
        <v>798.31100000000004</v>
      </c>
      <c r="U907" s="104" t="str">
        <f t="shared" si="90"/>
        <v/>
      </c>
      <c r="V907" s="104" t="str">
        <f t="shared" si="91"/>
        <v/>
      </c>
      <c r="W907" s="105"/>
    </row>
    <row r="908" spans="1:23">
      <c r="A908" s="92"/>
      <c r="B908" s="115"/>
      <c r="C908" s="94"/>
      <c r="D908" s="95"/>
      <c r="E908" s="95"/>
      <c r="F908" s="96"/>
      <c r="G908" s="97"/>
      <c r="H908" s="98"/>
      <c r="I908" s="99"/>
      <c r="J908" s="99"/>
      <c r="K908" s="100"/>
      <c r="L908" s="99"/>
      <c r="M908" s="99"/>
      <c r="N908" s="99"/>
      <c r="O908" s="99"/>
      <c r="P908" s="101"/>
      <c r="Q908" s="104" t="str">
        <f t="shared" si="86"/>
        <v/>
      </c>
      <c r="R908" s="104" t="str">
        <f t="shared" si="87"/>
        <v/>
      </c>
      <c r="S908" s="104" t="str">
        <f t="shared" si="88"/>
        <v/>
      </c>
      <c r="T908" s="104" t="str">
        <f t="shared" si="89"/>
        <v/>
      </c>
      <c r="U908" s="104" t="str">
        <f t="shared" si="90"/>
        <v/>
      </c>
      <c r="V908" s="104" t="str">
        <f t="shared" si="91"/>
        <v/>
      </c>
      <c r="W908" s="105"/>
    </row>
    <row r="909" spans="1:23">
      <c r="A909" s="92">
        <v>5</v>
      </c>
      <c r="B909" s="115" t="s">
        <v>606</v>
      </c>
      <c r="C909" s="94"/>
      <c r="D909" s="95"/>
      <c r="E909" s="95"/>
      <c r="F909" s="96"/>
      <c r="G909" s="97"/>
      <c r="H909" s="98"/>
      <c r="I909" s="99"/>
      <c r="J909" s="99"/>
      <c r="K909" s="100"/>
      <c r="L909" s="99"/>
      <c r="M909" s="99"/>
      <c r="N909" s="99"/>
      <c r="O909" s="99"/>
      <c r="P909" s="101"/>
      <c r="Q909" s="104" t="str">
        <f t="shared" si="86"/>
        <v/>
      </c>
      <c r="R909" s="104" t="str">
        <f t="shared" si="87"/>
        <v/>
      </c>
      <c r="S909" s="104" t="str">
        <f t="shared" si="88"/>
        <v/>
      </c>
      <c r="T909" s="104" t="str">
        <f t="shared" si="89"/>
        <v/>
      </c>
      <c r="U909" s="104" t="str">
        <f t="shared" si="90"/>
        <v/>
      </c>
      <c r="V909" s="104" t="str">
        <f t="shared" si="91"/>
        <v/>
      </c>
      <c r="W909" s="105"/>
    </row>
    <row r="910" spans="1:23">
      <c r="A910" s="92"/>
      <c r="B910" s="116" t="s">
        <v>247</v>
      </c>
      <c r="C910" s="107"/>
      <c r="D910" s="786">
        <f>36.89-1*0.05+3.27</f>
        <v>40.110000000000007</v>
      </c>
      <c r="E910" s="786"/>
      <c r="F910" s="118">
        <v>0.5</v>
      </c>
      <c r="G910" s="108">
        <v>0.25</v>
      </c>
      <c r="H910" s="98">
        <v>16</v>
      </c>
      <c r="I910" s="99">
        <v>1</v>
      </c>
      <c r="J910" s="101">
        <f>ROUND(9.235/G910+1,0)-8</f>
        <v>30</v>
      </c>
      <c r="K910" s="109">
        <f>D910</f>
        <v>40.110000000000007</v>
      </c>
      <c r="L910" s="110">
        <f>IF(O910&lt;12,"0",0.049*H910)*3</f>
        <v>2.3520000000000003</v>
      </c>
      <c r="M910" s="111">
        <v>1</v>
      </c>
      <c r="N910" s="99">
        <f>M910*1*H910/1000</f>
        <v>1.6E-2</v>
      </c>
      <c r="O910" s="112">
        <f>(D910+C910+F910)-N910</f>
        <v>40.594000000000008</v>
      </c>
      <c r="P910" s="112">
        <f>(I910*J910*O910)+L910</f>
        <v>1220.1720000000003</v>
      </c>
      <c r="Q910" s="104" t="str">
        <f t="shared" si="86"/>
        <v/>
      </c>
      <c r="R910" s="104" t="str">
        <f t="shared" si="87"/>
        <v/>
      </c>
      <c r="S910" s="104" t="str">
        <f t="shared" si="88"/>
        <v/>
      </c>
      <c r="T910" s="104">
        <f t="shared" si="89"/>
        <v>1220.1720000000003</v>
      </c>
      <c r="U910" s="104" t="str">
        <f t="shared" si="90"/>
        <v/>
      </c>
      <c r="V910" s="104" t="str">
        <f t="shared" si="91"/>
        <v/>
      </c>
      <c r="W910" s="105"/>
    </row>
    <row r="911" spans="1:23">
      <c r="A911" s="92"/>
      <c r="B911" s="115"/>
      <c r="C911" s="94"/>
      <c r="D911" s="95"/>
      <c r="E911" s="95"/>
      <c r="F911" s="96"/>
      <c r="G911" s="97"/>
      <c r="H911" s="98"/>
      <c r="I911" s="99"/>
      <c r="J911" s="99"/>
      <c r="K911" s="100"/>
      <c r="L911" s="99"/>
      <c r="M911" s="99"/>
      <c r="N911" s="99"/>
      <c r="O911" s="99"/>
      <c r="P911" s="101"/>
      <c r="Q911" s="104" t="str">
        <f t="shared" si="86"/>
        <v/>
      </c>
      <c r="R911" s="104" t="str">
        <f t="shared" si="87"/>
        <v/>
      </c>
      <c r="S911" s="104" t="str">
        <f t="shared" si="88"/>
        <v/>
      </c>
      <c r="T911" s="104" t="str">
        <f t="shared" si="89"/>
        <v/>
      </c>
      <c r="U911" s="104" t="str">
        <f t="shared" si="90"/>
        <v/>
      </c>
      <c r="V911" s="104" t="str">
        <f t="shared" si="91"/>
        <v/>
      </c>
      <c r="W911" s="105"/>
    </row>
    <row r="912" spans="1:23">
      <c r="A912" s="92">
        <v>6</v>
      </c>
      <c r="B912" s="115" t="s">
        <v>607</v>
      </c>
      <c r="C912" s="94"/>
      <c r="D912" s="95"/>
      <c r="E912" s="95"/>
      <c r="F912" s="96"/>
      <c r="G912" s="97"/>
      <c r="H912" s="98"/>
      <c r="I912" s="99"/>
      <c r="J912" s="99"/>
      <c r="K912" s="100"/>
      <c r="L912" s="99"/>
      <c r="M912" s="99"/>
      <c r="N912" s="99"/>
      <c r="O912" s="99"/>
      <c r="P912" s="101"/>
      <c r="Q912" s="104" t="str">
        <f t="shared" si="86"/>
        <v/>
      </c>
      <c r="R912" s="104" t="str">
        <f t="shared" si="87"/>
        <v/>
      </c>
      <c r="S912" s="104" t="str">
        <f t="shared" si="88"/>
        <v/>
      </c>
      <c r="T912" s="104" t="str">
        <f t="shared" si="89"/>
        <v/>
      </c>
      <c r="U912" s="104" t="str">
        <f t="shared" si="90"/>
        <v/>
      </c>
      <c r="V912" s="104" t="str">
        <f t="shared" si="91"/>
        <v/>
      </c>
      <c r="W912" s="105"/>
    </row>
    <row r="913" spans="1:23">
      <c r="A913" s="92"/>
      <c r="B913" s="116" t="s">
        <v>247</v>
      </c>
      <c r="C913" s="107">
        <v>0.5</v>
      </c>
      <c r="D913" s="786">
        <f>25.89-2*0.05</f>
        <v>25.79</v>
      </c>
      <c r="E913" s="799"/>
      <c r="F913" s="107">
        <v>0.5</v>
      </c>
      <c r="G913" s="108">
        <v>0.25</v>
      </c>
      <c r="H913" s="98">
        <v>16</v>
      </c>
      <c r="I913" s="99">
        <v>1</v>
      </c>
      <c r="J913" s="101">
        <f>ROUND(12.415/G913+1,0)</f>
        <v>51</v>
      </c>
      <c r="K913" s="109">
        <f>D913</f>
        <v>25.79</v>
      </c>
      <c r="L913" s="110">
        <f>IF(O913&lt;12,"0",0.049*H913)*2</f>
        <v>1.5680000000000001</v>
      </c>
      <c r="M913" s="111">
        <v>2</v>
      </c>
      <c r="N913" s="99">
        <f>M913*2*H913/1000</f>
        <v>6.4000000000000001E-2</v>
      </c>
      <c r="O913" s="112">
        <f>(D913+C913+F913)-N913</f>
        <v>26.725999999999999</v>
      </c>
      <c r="P913" s="112">
        <f>(I913*J913*O913)+L913</f>
        <v>1364.5939999999998</v>
      </c>
      <c r="Q913" s="104" t="str">
        <f t="shared" si="86"/>
        <v/>
      </c>
      <c r="R913" s="104" t="str">
        <f t="shared" si="87"/>
        <v/>
      </c>
      <c r="S913" s="104" t="str">
        <f t="shared" si="88"/>
        <v/>
      </c>
      <c r="T913" s="104">
        <f t="shared" si="89"/>
        <v>1364.5939999999998</v>
      </c>
      <c r="U913" s="104" t="str">
        <f t="shared" si="90"/>
        <v/>
      </c>
      <c r="V913" s="104" t="str">
        <f t="shared" si="91"/>
        <v/>
      </c>
      <c r="W913" s="105"/>
    </row>
    <row r="914" spans="1:23">
      <c r="A914" s="92"/>
      <c r="B914" s="115"/>
      <c r="C914" s="94"/>
      <c r="D914" s="95"/>
      <c r="E914" s="95"/>
      <c r="F914" s="96"/>
      <c r="G914" s="97"/>
      <c r="H914" s="98"/>
      <c r="I914" s="99"/>
      <c r="J914" s="99"/>
      <c r="K914" s="100"/>
      <c r="L914" s="99"/>
      <c r="M914" s="99"/>
      <c r="N914" s="99"/>
      <c r="O914" s="99"/>
      <c r="P914" s="101"/>
      <c r="Q914" s="104" t="str">
        <f t="shared" si="86"/>
        <v/>
      </c>
      <c r="R914" s="104" t="str">
        <f t="shared" si="87"/>
        <v/>
      </c>
      <c r="S914" s="104" t="str">
        <f t="shared" si="88"/>
        <v/>
      </c>
      <c r="T914" s="104" t="str">
        <f t="shared" si="89"/>
        <v/>
      </c>
      <c r="U914" s="104" t="str">
        <f t="shared" si="90"/>
        <v/>
      </c>
      <c r="V914" s="104" t="str">
        <f t="shared" si="91"/>
        <v/>
      </c>
      <c r="W914" s="105"/>
    </row>
    <row r="915" spans="1:23">
      <c r="A915" s="92">
        <v>7</v>
      </c>
      <c r="B915" s="115" t="s">
        <v>608</v>
      </c>
      <c r="C915" s="94"/>
      <c r="D915" s="95"/>
      <c r="E915" s="95"/>
      <c r="F915" s="96"/>
      <c r="G915" s="97"/>
      <c r="H915" s="98"/>
      <c r="I915" s="99"/>
      <c r="J915" s="99"/>
      <c r="K915" s="100"/>
      <c r="L915" s="99"/>
      <c r="M915" s="99"/>
      <c r="N915" s="99"/>
      <c r="O915" s="99"/>
      <c r="P915" s="101"/>
      <c r="Q915" s="104" t="str">
        <f t="shared" si="86"/>
        <v/>
      </c>
      <c r="R915" s="104" t="str">
        <f t="shared" si="87"/>
        <v/>
      </c>
      <c r="S915" s="104" t="str">
        <f t="shared" si="88"/>
        <v/>
      </c>
      <c r="T915" s="104" t="str">
        <f t="shared" si="89"/>
        <v/>
      </c>
      <c r="U915" s="104" t="str">
        <f t="shared" si="90"/>
        <v/>
      </c>
      <c r="V915" s="104" t="str">
        <f t="shared" si="91"/>
        <v/>
      </c>
      <c r="W915" s="105"/>
    </row>
    <row r="916" spans="1:23">
      <c r="A916" s="92"/>
      <c r="B916" t="s">
        <v>247</v>
      </c>
      <c r="C916" s="107">
        <v>0.5</v>
      </c>
      <c r="D916" s="786">
        <f>8.78-2*0.05</f>
        <v>8.68</v>
      </c>
      <c r="E916" s="799"/>
      <c r="F916" s="107">
        <v>0.5</v>
      </c>
      <c r="G916" s="108">
        <v>0.25</v>
      </c>
      <c r="H916" s="98">
        <v>16</v>
      </c>
      <c r="I916" s="99">
        <v>1</v>
      </c>
      <c r="J916" s="101">
        <f>ROUND(0.515/G916+1,0)</f>
        <v>3</v>
      </c>
      <c r="K916" s="109">
        <f>D916</f>
        <v>8.68</v>
      </c>
      <c r="L916" s="110" t="str">
        <f>IF(O916&lt;12,"0",0.049*H916)</f>
        <v>0</v>
      </c>
      <c r="M916" s="111">
        <v>2</v>
      </c>
      <c r="N916" s="99">
        <f>M916*2*H916/1000</f>
        <v>6.4000000000000001E-2</v>
      </c>
      <c r="O916" s="112">
        <f>(D916+C916+F916)-N916</f>
        <v>9.6159999999999997</v>
      </c>
      <c r="P916" s="112">
        <f>(I916*J916*O916)+L916</f>
        <v>28.847999999999999</v>
      </c>
      <c r="Q916" s="104" t="str">
        <f t="shared" si="86"/>
        <v/>
      </c>
      <c r="R916" s="104" t="str">
        <f t="shared" si="87"/>
        <v/>
      </c>
      <c r="S916" s="104" t="str">
        <f t="shared" si="88"/>
        <v/>
      </c>
      <c r="T916" s="104">
        <f t="shared" si="89"/>
        <v>28.847999999999999</v>
      </c>
      <c r="U916" s="104" t="str">
        <f t="shared" si="90"/>
        <v/>
      </c>
      <c r="V916" s="104" t="str">
        <f t="shared" si="91"/>
        <v/>
      </c>
      <c r="W916" s="105"/>
    </row>
    <row r="917" spans="1:23">
      <c r="A917" s="92"/>
      <c r="B917" s="115"/>
      <c r="C917" s="94"/>
      <c r="D917" s="95"/>
      <c r="E917" s="95"/>
      <c r="F917" s="96"/>
      <c r="G917" s="97"/>
      <c r="H917" s="98"/>
      <c r="I917" s="99"/>
      <c r="J917" s="99"/>
      <c r="K917" s="100"/>
      <c r="L917" s="99"/>
      <c r="M917" s="99"/>
      <c r="N917" s="99"/>
      <c r="O917" s="99"/>
      <c r="P917" s="101"/>
      <c r="Q917" s="104" t="str">
        <f t="shared" si="86"/>
        <v/>
      </c>
      <c r="R917" s="104" t="str">
        <f t="shared" si="87"/>
        <v/>
      </c>
      <c r="S917" s="104" t="str">
        <f t="shared" si="88"/>
        <v/>
      </c>
      <c r="T917" s="104" t="str">
        <f t="shared" si="89"/>
        <v/>
      </c>
      <c r="U917" s="104" t="str">
        <f t="shared" si="90"/>
        <v/>
      </c>
      <c r="V917" s="104" t="str">
        <f t="shared" si="91"/>
        <v/>
      </c>
      <c r="W917" s="105"/>
    </row>
    <row r="918" spans="1:23">
      <c r="A918" s="92"/>
      <c r="B918" s="115"/>
      <c r="C918" s="94"/>
      <c r="D918" s="95"/>
      <c r="E918" s="95"/>
      <c r="F918" s="96"/>
      <c r="G918" s="97"/>
      <c r="H918" s="98"/>
      <c r="I918" s="99"/>
      <c r="J918" s="99"/>
      <c r="K918" s="100"/>
      <c r="L918" s="99"/>
      <c r="M918" s="99"/>
      <c r="N918" s="99"/>
      <c r="O918" s="99"/>
      <c r="P918" s="101"/>
      <c r="Q918" s="104" t="str">
        <f t="shared" si="86"/>
        <v/>
      </c>
      <c r="R918" s="104" t="str">
        <f t="shared" si="87"/>
        <v/>
      </c>
      <c r="S918" s="104" t="str">
        <f t="shared" si="88"/>
        <v/>
      </c>
      <c r="T918" s="104" t="str">
        <f t="shared" si="89"/>
        <v/>
      </c>
      <c r="U918" s="104" t="str">
        <f t="shared" si="90"/>
        <v/>
      </c>
      <c r="V918" s="104" t="str">
        <f t="shared" si="91"/>
        <v/>
      </c>
      <c r="W918" s="105"/>
    </row>
    <row r="919" spans="1:23">
      <c r="A919" s="92"/>
      <c r="B919" s="103" t="s">
        <v>256</v>
      </c>
      <c r="C919" s="94"/>
      <c r="D919" s="95"/>
      <c r="E919" s="95"/>
      <c r="F919" s="96"/>
      <c r="G919" s="97"/>
      <c r="H919" s="98"/>
      <c r="I919" s="99"/>
      <c r="J919" s="99"/>
      <c r="K919" s="100"/>
      <c r="L919" s="99"/>
      <c r="M919" s="99"/>
      <c r="N919" s="99"/>
      <c r="O919" s="99"/>
      <c r="P919" s="101"/>
      <c r="Q919" s="104" t="str">
        <f t="shared" si="86"/>
        <v/>
      </c>
      <c r="R919" s="104" t="str">
        <f t="shared" si="87"/>
        <v/>
      </c>
      <c r="S919" s="104" t="str">
        <f t="shared" si="88"/>
        <v/>
      </c>
      <c r="T919" s="104" t="str">
        <f t="shared" si="89"/>
        <v/>
      </c>
      <c r="U919" s="104" t="str">
        <f t="shared" si="90"/>
        <v/>
      </c>
      <c r="V919" s="104" t="str">
        <f t="shared" si="91"/>
        <v/>
      </c>
      <c r="W919" s="105"/>
    </row>
    <row r="920" spans="1:23">
      <c r="A920" s="92">
        <v>1</v>
      </c>
      <c r="B920" s="106" t="s">
        <v>567</v>
      </c>
      <c r="C920" s="107"/>
      <c r="D920" s="786">
        <f>10.285</f>
        <v>10.285</v>
      </c>
      <c r="E920" s="799"/>
      <c r="F920" s="107"/>
      <c r="G920" s="108">
        <v>0.25</v>
      </c>
      <c r="H920" s="98">
        <v>12</v>
      </c>
      <c r="I920" s="99">
        <v>1</v>
      </c>
      <c r="J920" s="101">
        <v>2</v>
      </c>
      <c r="K920" s="109">
        <f>D920</f>
        <v>10.285</v>
      </c>
      <c r="L920" s="110" t="str">
        <f>IF(O920&lt;12,"0",0.049*H920)</f>
        <v>0</v>
      </c>
      <c r="M920" s="111"/>
      <c r="N920" s="99">
        <f>M920*2*H920/1000</f>
        <v>0</v>
      </c>
      <c r="O920" s="112">
        <f>(D920+C920+F920)-N920</f>
        <v>10.285</v>
      </c>
      <c r="P920" s="112">
        <f>(I920*J920*O920)+1*L920</f>
        <v>20.57</v>
      </c>
      <c r="Q920" s="104" t="str">
        <f t="shared" si="86"/>
        <v/>
      </c>
      <c r="R920" s="104" t="str">
        <f t="shared" si="87"/>
        <v/>
      </c>
      <c r="S920" s="104">
        <f t="shared" si="88"/>
        <v>20.57</v>
      </c>
      <c r="T920" s="104" t="str">
        <f t="shared" si="89"/>
        <v/>
      </c>
      <c r="U920" s="104" t="str">
        <f t="shared" si="90"/>
        <v/>
      </c>
      <c r="V920" s="104" t="str">
        <f t="shared" si="91"/>
        <v/>
      </c>
      <c r="W920" s="105"/>
    </row>
    <row r="921" spans="1:23">
      <c r="A921" s="92"/>
      <c r="B921" s="115"/>
      <c r="C921" s="94"/>
      <c r="D921" s="95"/>
      <c r="E921" s="95"/>
      <c r="F921" s="96"/>
      <c r="G921" s="97"/>
      <c r="H921" s="98"/>
      <c r="I921" s="99"/>
      <c r="J921" s="99"/>
      <c r="K921" s="100"/>
      <c r="L921" s="99"/>
      <c r="M921" s="99"/>
      <c r="N921" s="99"/>
      <c r="O921" s="99"/>
      <c r="P921" s="101"/>
      <c r="Q921" s="104" t="str">
        <f t="shared" si="86"/>
        <v/>
      </c>
      <c r="R921" s="104" t="str">
        <f t="shared" si="87"/>
        <v/>
      </c>
      <c r="S921" s="104" t="str">
        <f t="shared" si="88"/>
        <v/>
      </c>
      <c r="T921" s="104" t="str">
        <f t="shared" si="89"/>
        <v/>
      </c>
      <c r="U921" s="104" t="str">
        <f t="shared" si="90"/>
        <v/>
      </c>
      <c r="V921" s="104" t="str">
        <f t="shared" si="91"/>
        <v/>
      </c>
      <c r="W921" s="105"/>
    </row>
    <row r="922" spans="1:23">
      <c r="A922" s="92">
        <v>2</v>
      </c>
      <c r="B922" s="106" t="s">
        <v>609</v>
      </c>
      <c r="C922" s="107"/>
      <c r="D922" s="786">
        <f>11.09</f>
        <v>11.09</v>
      </c>
      <c r="E922" s="799"/>
      <c r="F922" s="107"/>
      <c r="G922" s="108">
        <v>0.25</v>
      </c>
      <c r="H922" s="98">
        <v>12</v>
      </c>
      <c r="I922" s="99">
        <v>1</v>
      </c>
      <c r="J922" s="101">
        <v>2</v>
      </c>
      <c r="K922" s="109">
        <f>D922</f>
        <v>11.09</v>
      </c>
      <c r="L922" s="110" t="str">
        <f>IF(O922&lt;12,"0",0.049*H922)</f>
        <v>0</v>
      </c>
      <c r="M922" s="111"/>
      <c r="N922" s="99">
        <f>M922*2*H922/1000</f>
        <v>0</v>
      </c>
      <c r="O922" s="112">
        <f>(D922+C922+F922)-N922</f>
        <v>11.09</v>
      </c>
      <c r="P922" s="112">
        <f>(I922*J922*O922)+1*L922</f>
        <v>22.18</v>
      </c>
      <c r="Q922" s="104" t="str">
        <f t="shared" si="86"/>
        <v/>
      </c>
      <c r="R922" s="104" t="str">
        <f t="shared" si="87"/>
        <v/>
      </c>
      <c r="S922" s="104">
        <f t="shared" si="88"/>
        <v>22.18</v>
      </c>
      <c r="T922" s="104" t="str">
        <f t="shared" si="89"/>
        <v/>
      </c>
      <c r="U922" s="104" t="str">
        <f t="shared" si="90"/>
        <v/>
      </c>
      <c r="V922" s="104" t="str">
        <f t="shared" si="91"/>
        <v/>
      </c>
      <c r="W922" s="105"/>
    </row>
    <row r="923" spans="1:23">
      <c r="A923" s="92"/>
      <c r="B923" s="106"/>
      <c r="C923" s="107"/>
      <c r="D923" s="389"/>
      <c r="E923" s="389"/>
      <c r="F923" s="118"/>
      <c r="G923" s="108"/>
      <c r="H923" s="98"/>
      <c r="I923" s="99"/>
      <c r="J923" s="101"/>
      <c r="K923" s="109"/>
      <c r="L923" s="110"/>
      <c r="M923" s="111"/>
      <c r="N923" s="99"/>
      <c r="O923" s="112"/>
      <c r="P923" s="112"/>
      <c r="Q923" s="104" t="str">
        <f t="shared" si="86"/>
        <v/>
      </c>
      <c r="R923" s="104" t="str">
        <f t="shared" si="87"/>
        <v/>
      </c>
      <c r="S923" s="104" t="str">
        <f t="shared" si="88"/>
        <v/>
      </c>
      <c r="T923" s="104" t="str">
        <f t="shared" si="89"/>
        <v/>
      </c>
      <c r="U923" s="104" t="str">
        <f t="shared" si="90"/>
        <v/>
      </c>
      <c r="V923" s="104" t="str">
        <f t="shared" si="91"/>
        <v/>
      </c>
      <c r="W923" s="105"/>
    </row>
    <row r="924" spans="1:23">
      <c r="A924" s="92">
        <v>3</v>
      </c>
      <c r="B924" s="106" t="s">
        <v>565</v>
      </c>
      <c r="C924" s="107"/>
      <c r="D924" s="786">
        <f>21.65-2*0.05</f>
        <v>21.549999999999997</v>
      </c>
      <c r="E924" s="799"/>
      <c r="F924" s="107"/>
      <c r="G924" s="108">
        <v>0.25</v>
      </c>
      <c r="H924" s="98">
        <v>12</v>
      </c>
      <c r="I924" s="99">
        <v>1</v>
      </c>
      <c r="J924" s="101">
        <v>2</v>
      </c>
      <c r="K924" s="109">
        <f>D924</f>
        <v>21.549999999999997</v>
      </c>
      <c r="L924" s="110">
        <f>IF(O924&lt;12,"0",0.049*H924)</f>
        <v>0.58800000000000008</v>
      </c>
      <c r="M924" s="111"/>
      <c r="N924" s="99">
        <f>M924*2*H924/1000</f>
        <v>0</v>
      </c>
      <c r="O924" s="112">
        <f>(D924+C924+F924)-N924</f>
        <v>21.549999999999997</v>
      </c>
      <c r="P924" s="112">
        <f>(I924*J924*O924)+2*L924</f>
        <v>44.275999999999996</v>
      </c>
      <c r="Q924" s="104" t="str">
        <f t="shared" si="86"/>
        <v/>
      </c>
      <c r="R924" s="104" t="str">
        <f t="shared" si="87"/>
        <v/>
      </c>
      <c r="S924" s="104">
        <f t="shared" si="88"/>
        <v>44.275999999999996</v>
      </c>
      <c r="T924" s="104" t="str">
        <f t="shared" si="89"/>
        <v/>
      </c>
      <c r="U924" s="104" t="str">
        <f t="shared" si="90"/>
        <v/>
      </c>
      <c r="V924" s="104" t="str">
        <f t="shared" si="91"/>
        <v/>
      </c>
      <c r="W924" s="105"/>
    </row>
    <row r="925" spans="1:23">
      <c r="A925" s="92"/>
      <c r="B925" s="106"/>
      <c r="C925" s="107"/>
      <c r="D925" s="389"/>
      <c r="E925" s="389"/>
      <c r="F925" s="118"/>
      <c r="G925" s="108"/>
      <c r="H925" s="98"/>
      <c r="I925" s="99"/>
      <c r="J925" s="101"/>
      <c r="K925" s="109"/>
      <c r="L925" s="110"/>
      <c r="M925" s="111"/>
      <c r="N925" s="99"/>
      <c r="O925" s="112"/>
      <c r="P925" s="112"/>
      <c r="Q925" s="104" t="str">
        <f t="shared" si="86"/>
        <v/>
      </c>
      <c r="R925" s="104" t="str">
        <f t="shared" si="87"/>
        <v/>
      </c>
      <c r="S925" s="104" t="str">
        <f t="shared" si="88"/>
        <v/>
      </c>
      <c r="T925" s="104" t="str">
        <f t="shared" si="89"/>
        <v/>
      </c>
      <c r="U925" s="104" t="str">
        <f t="shared" si="90"/>
        <v/>
      </c>
      <c r="V925" s="104" t="str">
        <f t="shared" si="91"/>
        <v/>
      </c>
      <c r="W925" s="105"/>
    </row>
    <row r="926" spans="1:23">
      <c r="A926" s="92">
        <v>5</v>
      </c>
      <c r="B926" s="106" t="s">
        <v>602</v>
      </c>
      <c r="C926" s="107"/>
      <c r="D926" s="786">
        <f>8.875-2*0.05</f>
        <v>8.7750000000000004</v>
      </c>
      <c r="E926" s="799"/>
      <c r="F926" s="107"/>
      <c r="G926" s="108">
        <v>0.25</v>
      </c>
      <c r="H926" s="98">
        <v>12</v>
      </c>
      <c r="I926" s="99">
        <v>1</v>
      </c>
      <c r="J926" s="101">
        <v>2</v>
      </c>
      <c r="K926" s="109">
        <f>D926</f>
        <v>8.7750000000000004</v>
      </c>
      <c r="L926" s="110" t="str">
        <f>IF(O926&lt;12,"0",0.049*H926)</f>
        <v>0</v>
      </c>
      <c r="M926" s="111"/>
      <c r="N926" s="99">
        <f>M926*2*H926/1000</f>
        <v>0</v>
      </c>
      <c r="O926" s="112">
        <f>(D926+C926+F926)-N926</f>
        <v>8.7750000000000004</v>
      </c>
      <c r="P926" s="112">
        <f>(I926*J926*O926)+1*L926</f>
        <v>17.55</v>
      </c>
      <c r="Q926" s="104" t="str">
        <f t="shared" si="86"/>
        <v/>
      </c>
      <c r="R926" s="104" t="str">
        <f t="shared" si="87"/>
        <v/>
      </c>
      <c r="S926" s="104">
        <f t="shared" si="88"/>
        <v>17.55</v>
      </c>
      <c r="T926" s="104" t="str">
        <f t="shared" si="89"/>
        <v/>
      </c>
      <c r="U926" s="104" t="str">
        <f t="shared" si="90"/>
        <v/>
      </c>
      <c r="V926" s="104" t="str">
        <f t="shared" si="91"/>
        <v/>
      </c>
      <c r="W926" s="105"/>
    </row>
    <row r="927" spans="1:23">
      <c r="A927" s="92"/>
      <c r="B927" s="106"/>
      <c r="C927" s="107"/>
      <c r="D927" s="389"/>
      <c r="E927" s="389"/>
      <c r="F927" s="118"/>
      <c r="G927" s="108"/>
      <c r="H927" s="98"/>
      <c r="I927" s="99"/>
      <c r="J927" s="101"/>
      <c r="K927" s="109"/>
      <c r="L927" s="110"/>
      <c r="M927" s="111"/>
      <c r="N927" s="99"/>
      <c r="O927" s="112"/>
      <c r="P927" s="112"/>
      <c r="Q927" s="104" t="str">
        <f t="shared" si="86"/>
        <v/>
      </c>
      <c r="R927" s="104" t="str">
        <f t="shared" si="87"/>
        <v/>
      </c>
      <c r="S927" s="104" t="str">
        <f t="shared" si="88"/>
        <v/>
      </c>
      <c r="T927" s="104" t="str">
        <f t="shared" si="89"/>
        <v/>
      </c>
      <c r="U927" s="104" t="str">
        <f t="shared" si="90"/>
        <v/>
      </c>
      <c r="V927" s="104" t="str">
        <f t="shared" si="91"/>
        <v/>
      </c>
      <c r="W927" s="105"/>
    </row>
    <row r="928" spans="1:23">
      <c r="A928" s="92">
        <v>6</v>
      </c>
      <c r="B928" s="106" t="s">
        <v>610</v>
      </c>
      <c r="C928" s="107"/>
      <c r="D928" s="786">
        <v>1.5</v>
      </c>
      <c r="E928" s="799"/>
      <c r="F928" s="107"/>
      <c r="G928" s="108">
        <v>0.25</v>
      </c>
      <c r="H928" s="98">
        <v>12</v>
      </c>
      <c r="I928" s="99">
        <v>1</v>
      </c>
      <c r="J928" s="101">
        <v>2</v>
      </c>
      <c r="K928" s="109">
        <f>D928</f>
        <v>1.5</v>
      </c>
      <c r="L928" s="110" t="str">
        <f>IF(O928&lt;12,"0",0.049*H928)</f>
        <v>0</v>
      </c>
      <c r="M928" s="111"/>
      <c r="N928" s="99">
        <f>M928*2*H928/1000</f>
        <v>0</v>
      </c>
      <c r="O928" s="112">
        <f>(D928+C928+F928)-N928</f>
        <v>1.5</v>
      </c>
      <c r="P928" s="112">
        <f>(I928*J928*O928)+1*L928</f>
        <v>3</v>
      </c>
      <c r="Q928" s="104" t="str">
        <f t="shared" si="86"/>
        <v/>
      </c>
      <c r="R928" s="104" t="str">
        <f t="shared" si="87"/>
        <v/>
      </c>
      <c r="S928" s="104">
        <f t="shared" si="88"/>
        <v>3</v>
      </c>
      <c r="T928" s="104" t="str">
        <f t="shared" si="89"/>
        <v/>
      </c>
      <c r="U928" s="104" t="str">
        <f t="shared" si="90"/>
        <v/>
      </c>
      <c r="V928" s="104" t="str">
        <f t="shared" si="91"/>
        <v/>
      </c>
      <c r="W928" s="105"/>
    </row>
    <row r="929" spans="1:23">
      <c r="A929" s="92"/>
      <c r="B929" s="106"/>
      <c r="C929" s="107"/>
      <c r="D929" s="389"/>
      <c r="E929" s="389"/>
      <c r="F929" s="118"/>
      <c r="G929" s="108"/>
      <c r="H929" s="98"/>
      <c r="I929" s="99"/>
      <c r="J929" s="101"/>
      <c r="K929" s="109"/>
      <c r="L929" s="110"/>
      <c r="M929" s="111"/>
      <c r="N929" s="99"/>
      <c r="O929" s="112"/>
      <c r="P929" s="112"/>
      <c r="Q929" s="104" t="str">
        <f t="shared" si="86"/>
        <v/>
      </c>
      <c r="R929" s="104" t="str">
        <f t="shared" si="87"/>
        <v/>
      </c>
      <c r="S929" s="104" t="str">
        <f t="shared" si="88"/>
        <v/>
      </c>
      <c r="T929" s="104" t="str">
        <f t="shared" si="89"/>
        <v/>
      </c>
      <c r="U929" s="104" t="str">
        <f t="shared" si="90"/>
        <v/>
      </c>
      <c r="V929" s="104" t="str">
        <f t="shared" si="91"/>
        <v/>
      </c>
      <c r="W929" s="105"/>
    </row>
    <row r="930" spans="1:23">
      <c r="A930" s="92">
        <v>7</v>
      </c>
      <c r="B930" s="106" t="s">
        <v>611</v>
      </c>
      <c r="C930" s="107"/>
      <c r="D930" s="786">
        <v>3.95</v>
      </c>
      <c r="E930" s="799"/>
      <c r="F930" s="107"/>
      <c r="G930" s="108">
        <v>0.25</v>
      </c>
      <c r="H930" s="98">
        <v>12</v>
      </c>
      <c r="I930" s="99">
        <v>1</v>
      </c>
      <c r="J930" s="101">
        <v>2</v>
      </c>
      <c r="K930" s="109">
        <f>D930</f>
        <v>3.95</v>
      </c>
      <c r="L930" s="110" t="str">
        <f>IF(O930&lt;12,"0",0.049*H930)</f>
        <v>0</v>
      </c>
      <c r="M930" s="111"/>
      <c r="N930" s="99">
        <f>M930*2*H930/1000</f>
        <v>0</v>
      </c>
      <c r="O930" s="112">
        <f>(D930+C930+F930)-N930</f>
        <v>3.95</v>
      </c>
      <c r="P930" s="112">
        <f>(I930*J930*O930)+1*L930</f>
        <v>7.9</v>
      </c>
      <c r="Q930" s="104" t="str">
        <f t="shared" si="86"/>
        <v/>
      </c>
      <c r="R930" s="104" t="str">
        <f t="shared" si="87"/>
        <v/>
      </c>
      <c r="S930" s="104">
        <f t="shared" si="88"/>
        <v>7.9</v>
      </c>
      <c r="T930" s="104" t="str">
        <f t="shared" si="89"/>
        <v/>
      </c>
      <c r="U930" s="104" t="str">
        <f t="shared" si="90"/>
        <v/>
      </c>
      <c r="V930" s="104" t="str">
        <f t="shared" si="91"/>
        <v/>
      </c>
      <c r="W930" s="105"/>
    </row>
    <row r="931" spans="1:23">
      <c r="A931" s="92"/>
      <c r="B931" s="106"/>
      <c r="C931" s="107"/>
      <c r="D931" s="389"/>
      <c r="E931" s="389"/>
      <c r="F931" s="118"/>
      <c r="G931" s="108"/>
      <c r="H931" s="98"/>
      <c r="I931" s="99"/>
      <c r="J931" s="101"/>
      <c r="K931" s="109"/>
      <c r="L931" s="110"/>
      <c r="M931" s="111"/>
      <c r="N931" s="99"/>
      <c r="O931" s="112"/>
      <c r="P931" s="112"/>
      <c r="Q931" s="104" t="str">
        <f t="shared" si="86"/>
        <v/>
      </c>
      <c r="R931" s="104" t="str">
        <f t="shared" si="87"/>
        <v/>
      </c>
      <c r="S931" s="104" t="str">
        <f t="shared" si="88"/>
        <v/>
      </c>
      <c r="T931" s="104" t="str">
        <f t="shared" si="89"/>
        <v/>
      </c>
      <c r="U931" s="104" t="str">
        <f t="shared" si="90"/>
        <v/>
      </c>
      <c r="V931" s="104" t="str">
        <f t="shared" si="91"/>
        <v/>
      </c>
      <c r="W931" s="105"/>
    </row>
    <row r="932" spans="1:23">
      <c r="A932" s="92">
        <v>8</v>
      </c>
      <c r="B932" s="106" t="s">
        <v>612</v>
      </c>
      <c r="C932" s="107"/>
      <c r="D932" s="786">
        <v>0.81499999999999995</v>
      </c>
      <c r="E932" s="799"/>
      <c r="F932" s="107"/>
      <c r="G932" s="108">
        <v>0.25</v>
      </c>
      <c r="H932" s="98">
        <v>12</v>
      </c>
      <c r="I932" s="99">
        <v>1</v>
      </c>
      <c r="J932" s="101">
        <v>2</v>
      </c>
      <c r="K932" s="109">
        <f>D932</f>
        <v>0.81499999999999995</v>
      </c>
      <c r="L932" s="110" t="str">
        <f>IF(O932&lt;12,"0",0.049*H932)</f>
        <v>0</v>
      </c>
      <c r="M932" s="111"/>
      <c r="N932" s="99">
        <f>M932*2*H932/1000</f>
        <v>0</v>
      </c>
      <c r="O932" s="112">
        <f>(D932+C932+F932)-N932</f>
        <v>0.81499999999999995</v>
      </c>
      <c r="P932" s="112">
        <f>(I932*J932*O932)+1*L932</f>
        <v>1.63</v>
      </c>
      <c r="Q932" s="104" t="str">
        <f t="shared" si="86"/>
        <v/>
      </c>
      <c r="R932" s="104" t="str">
        <f t="shared" si="87"/>
        <v/>
      </c>
      <c r="S932" s="104">
        <f t="shared" si="88"/>
        <v>1.63</v>
      </c>
      <c r="T932" s="104" t="str">
        <f t="shared" si="89"/>
        <v/>
      </c>
      <c r="U932" s="104" t="str">
        <f t="shared" si="90"/>
        <v/>
      </c>
      <c r="V932" s="104" t="str">
        <f t="shared" si="91"/>
        <v/>
      </c>
      <c r="W932" s="105"/>
    </row>
    <row r="933" spans="1:23">
      <c r="A933" s="92"/>
      <c r="B933" s="106"/>
      <c r="C933" s="107"/>
      <c r="D933" s="389"/>
      <c r="E933" s="389"/>
      <c r="F933" s="118"/>
      <c r="G933" s="108"/>
      <c r="H933" s="98"/>
      <c r="I933" s="99"/>
      <c r="J933" s="101"/>
      <c r="K933" s="109"/>
      <c r="L933" s="110"/>
      <c r="M933" s="111"/>
      <c r="N933" s="99"/>
      <c r="O933" s="112"/>
      <c r="P933" s="112"/>
      <c r="Q933" s="104" t="str">
        <f t="shared" si="86"/>
        <v/>
      </c>
      <c r="R933" s="104" t="str">
        <f t="shared" si="87"/>
        <v/>
      </c>
      <c r="S933" s="104" t="str">
        <f t="shared" si="88"/>
        <v/>
      </c>
      <c r="T933" s="104" t="str">
        <f t="shared" si="89"/>
        <v/>
      </c>
      <c r="U933" s="104" t="str">
        <f t="shared" si="90"/>
        <v/>
      </c>
      <c r="V933" s="104" t="str">
        <f t="shared" si="91"/>
        <v/>
      </c>
      <c r="W933" s="105"/>
    </row>
    <row r="934" spans="1:23">
      <c r="A934" s="92">
        <v>9</v>
      </c>
      <c r="B934" s="106" t="s">
        <v>572</v>
      </c>
      <c r="C934" s="107"/>
      <c r="D934" s="786">
        <v>1.6950000000000001</v>
      </c>
      <c r="E934" s="799"/>
      <c r="F934" s="107"/>
      <c r="G934" s="108">
        <v>0.25</v>
      </c>
      <c r="H934" s="98">
        <v>12</v>
      </c>
      <c r="I934" s="99">
        <v>1</v>
      </c>
      <c r="J934" s="101">
        <v>2</v>
      </c>
      <c r="K934" s="109">
        <f>D934</f>
        <v>1.6950000000000001</v>
      </c>
      <c r="L934" s="110" t="str">
        <f>IF(O934&lt;12,"0",0.049*H934)</f>
        <v>0</v>
      </c>
      <c r="M934" s="111"/>
      <c r="N934" s="99">
        <f>M934*2*H934/1000</f>
        <v>0</v>
      </c>
      <c r="O934" s="112">
        <f>(D934+C934+F934)-N934</f>
        <v>1.6950000000000001</v>
      </c>
      <c r="P934" s="112">
        <f>(I934*J934*O934)+1*L934</f>
        <v>3.39</v>
      </c>
      <c r="Q934" s="104" t="str">
        <f t="shared" si="86"/>
        <v/>
      </c>
      <c r="R934" s="104" t="str">
        <f t="shared" si="87"/>
        <v/>
      </c>
      <c r="S934" s="104">
        <f t="shared" si="88"/>
        <v>3.39</v>
      </c>
      <c r="T934" s="104" t="str">
        <f t="shared" si="89"/>
        <v/>
      </c>
      <c r="U934" s="104" t="str">
        <f t="shared" si="90"/>
        <v/>
      </c>
      <c r="V934" s="104" t="str">
        <f t="shared" si="91"/>
        <v/>
      </c>
      <c r="W934" s="105"/>
    </row>
    <row r="935" spans="1:23">
      <c r="A935" s="92"/>
      <c r="B935" s="106"/>
      <c r="C935" s="107"/>
      <c r="D935" s="389"/>
      <c r="E935" s="389"/>
      <c r="F935" s="118"/>
      <c r="G935" s="108"/>
      <c r="H935" s="98"/>
      <c r="I935" s="99"/>
      <c r="J935" s="101"/>
      <c r="K935" s="109"/>
      <c r="L935" s="110"/>
      <c r="M935" s="111"/>
      <c r="N935" s="99"/>
      <c r="O935" s="112"/>
      <c r="P935" s="112"/>
      <c r="Q935" s="104" t="str">
        <f t="shared" si="86"/>
        <v/>
      </c>
      <c r="R935" s="104" t="str">
        <f t="shared" si="87"/>
        <v/>
      </c>
      <c r="S935" s="104" t="str">
        <f t="shared" si="88"/>
        <v/>
      </c>
      <c r="T935" s="104" t="str">
        <f t="shared" si="89"/>
        <v/>
      </c>
      <c r="U935" s="104" t="str">
        <f t="shared" si="90"/>
        <v/>
      </c>
      <c r="V935" s="104" t="str">
        <f t="shared" si="91"/>
        <v/>
      </c>
      <c r="W935" s="105"/>
    </row>
    <row r="936" spans="1:23">
      <c r="A936" s="92">
        <v>10</v>
      </c>
      <c r="B936" s="106" t="s">
        <v>613</v>
      </c>
      <c r="C936" s="107"/>
      <c r="D936" s="786">
        <v>1.405</v>
      </c>
      <c r="E936" s="799"/>
      <c r="F936" s="107"/>
      <c r="G936" s="108">
        <v>0.25</v>
      </c>
      <c r="H936" s="98">
        <v>12</v>
      </c>
      <c r="I936" s="99">
        <v>1</v>
      </c>
      <c r="J936" s="101">
        <v>2</v>
      </c>
      <c r="K936" s="109">
        <f>D936</f>
        <v>1.405</v>
      </c>
      <c r="L936" s="110" t="str">
        <f>IF(O936&lt;12,"0",0.049*H936)</f>
        <v>0</v>
      </c>
      <c r="M936" s="111"/>
      <c r="N936" s="99">
        <f>M936*2*H936/1000</f>
        <v>0</v>
      </c>
      <c r="O936" s="112">
        <f>(D936+C936+F936)-N936</f>
        <v>1.405</v>
      </c>
      <c r="P936" s="112">
        <f>(I936*J936*O936)+1*L936</f>
        <v>2.81</v>
      </c>
      <c r="Q936" s="104" t="str">
        <f t="shared" si="86"/>
        <v/>
      </c>
      <c r="R936" s="104" t="str">
        <f t="shared" si="87"/>
        <v/>
      </c>
      <c r="S936" s="104">
        <f t="shared" si="88"/>
        <v>2.81</v>
      </c>
      <c r="T936" s="104" t="str">
        <f t="shared" si="89"/>
        <v/>
      </c>
      <c r="U936" s="104" t="str">
        <f t="shared" si="90"/>
        <v/>
      </c>
      <c r="V936" s="104" t="str">
        <f t="shared" si="91"/>
        <v/>
      </c>
      <c r="W936" s="105"/>
    </row>
    <row r="937" spans="1:23">
      <c r="A937" s="92"/>
      <c r="B937" s="106"/>
      <c r="C937" s="107"/>
      <c r="D937" s="389"/>
      <c r="E937" s="389"/>
      <c r="F937" s="118"/>
      <c r="G937" s="108"/>
      <c r="H937" s="98"/>
      <c r="I937" s="99"/>
      <c r="J937" s="101"/>
      <c r="K937" s="109"/>
      <c r="L937" s="110"/>
      <c r="M937" s="111"/>
      <c r="N937" s="99"/>
      <c r="O937" s="112"/>
      <c r="P937" s="112"/>
      <c r="Q937" s="104" t="str">
        <f t="shared" si="86"/>
        <v/>
      </c>
      <c r="R937" s="104" t="str">
        <f t="shared" si="87"/>
        <v/>
      </c>
      <c r="S937" s="104" t="str">
        <f t="shared" si="88"/>
        <v/>
      </c>
      <c r="T937" s="104" t="str">
        <f t="shared" si="89"/>
        <v/>
      </c>
      <c r="U937" s="104" t="str">
        <f t="shared" si="90"/>
        <v/>
      </c>
      <c r="V937" s="104" t="str">
        <f t="shared" si="91"/>
        <v/>
      </c>
      <c r="W937" s="105"/>
    </row>
    <row r="938" spans="1:23">
      <c r="A938" s="92">
        <v>11</v>
      </c>
      <c r="B938" s="106" t="s">
        <v>614</v>
      </c>
      <c r="C938" s="107"/>
      <c r="D938" s="786">
        <f>11.285+3.27</f>
        <v>14.555</v>
      </c>
      <c r="E938" s="786"/>
      <c r="F938" s="118"/>
      <c r="G938" s="108">
        <v>0.25</v>
      </c>
      <c r="H938" s="98">
        <v>12</v>
      </c>
      <c r="I938" s="99">
        <v>1</v>
      </c>
      <c r="J938" s="101">
        <v>2</v>
      </c>
      <c r="K938" s="109">
        <f>D938</f>
        <v>14.555</v>
      </c>
      <c r="L938" s="110">
        <f>IF(O938&lt;12,"0",0.049*H938)</f>
        <v>0.58800000000000008</v>
      </c>
      <c r="M938" s="111"/>
      <c r="N938" s="99">
        <f>M938*1*H938/1000</f>
        <v>0</v>
      </c>
      <c r="O938" s="112">
        <f>(D938+C938+F938)-N938</f>
        <v>14.555</v>
      </c>
      <c r="P938" s="112">
        <f>(I938*J938*O938)+2*L938</f>
        <v>30.286000000000001</v>
      </c>
      <c r="Q938" s="104" t="str">
        <f t="shared" si="86"/>
        <v/>
      </c>
      <c r="R938" s="104" t="str">
        <f t="shared" si="87"/>
        <v/>
      </c>
      <c r="S938" s="104">
        <f t="shared" si="88"/>
        <v>30.286000000000001</v>
      </c>
      <c r="T938" s="104" t="str">
        <f t="shared" si="89"/>
        <v/>
      </c>
      <c r="U938" s="104" t="str">
        <f t="shared" si="90"/>
        <v/>
      </c>
      <c r="V938" s="104" t="str">
        <f t="shared" si="91"/>
        <v/>
      </c>
      <c r="W938" s="105"/>
    </row>
    <row r="939" spans="1:23">
      <c r="A939" s="92"/>
      <c r="B939" s="106"/>
      <c r="C939" s="107"/>
      <c r="D939" s="389"/>
      <c r="E939" s="389"/>
      <c r="F939" s="118"/>
      <c r="G939" s="108"/>
      <c r="H939" s="98"/>
      <c r="I939" s="99"/>
      <c r="J939" s="101"/>
      <c r="K939" s="109"/>
      <c r="L939" s="110"/>
      <c r="M939" s="111"/>
      <c r="N939" s="99"/>
      <c r="O939" s="112"/>
      <c r="P939" s="112"/>
      <c r="Q939" s="104" t="str">
        <f t="shared" si="86"/>
        <v/>
      </c>
      <c r="R939" s="104" t="str">
        <f t="shared" si="87"/>
        <v/>
      </c>
      <c r="S939" s="104" t="str">
        <f t="shared" si="88"/>
        <v/>
      </c>
      <c r="T939" s="104" t="str">
        <f t="shared" si="89"/>
        <v/>
      </c>
      <c r="U939" s="104" t="str">
        <f t="shared" si="90"/>
        <v/>
      </c>
      <c r="V939" s="104" t="str">
        <f t="shared" si="91"/>
        <v/>
      </c>
      <c r="W939" s="105"/>
    </row>
    <row r="940" spans="1:23">
      <c r="A940" s="92">
        <v>12</v>
      </c>
      <c r="B940" s="106" t="s">
        <v>615</v>
      </c>
      <c r="C940" s="107"/>
      <c r="D940" s="786">
        <f>11.005+3.27</f>
        <v>14.275</v>
      </c>
      <c r="E940" s="786"/>
      <c r="F940" s="118"/>
      <c r="G940" s="108">
        <v>0.25</v>
      </c>
      <c r="H940" s="98">
        <v>12</v>
      </c>
      <c r="I940" s="99">
        <v>1</v>
      </c>
      <c r="J940" s="101">
        <v>2</v>
      </c>
      <c r="K940" s="109">
        <f>D940</f>
        <v>14.275</v>
      </c>
      <c r="L940" s="110">
        <f>IF(O940&lt;12,"0",0.049*H940)</f>
        <v>0.58800000000000008</v>
      </c>
      <c r="M940" s="111"/>
      <c r="N940" s="99">
        <f>M940*1*H940/1000</f>
        <v>0</v>
      </c>
      <c r="O940" s="112">
        <f>(D940+C940+F940)-N940</f>
        <v>14.275</v>
      </c>
      <c r="P940" s="112">
        <f>(I940*J940*O940)+2*L940</f>
        <v>29.725999999999999</v>
      </c>
      <c r="Q940" s="104" t="str">
        <f t="shared" si="86"/>
        <v/>
      </c>
      <c r="R940" s="104" t="str">
        <f t="shared" si="87"/>
        <v/>
      </c>
      <c r="S940" s="104">
        <f t="shared" si="88"/>
        <v>29.725999999999999</v>
      </c>
      <c r="T940" s="104" t="str">
        <f t="shared" si="89"/>
        <v/>
      </c>
      <c r="U940" s="104" t="str">
        <f t="shared" si="90"/>
        <v/>
      </c>
      <c r="V940" s="104" t="str">
        <f t="shared" si="91"/>
        <v/>
      </c>
      <c r="W940" s="105"/>
    </row>
    <row r="941" spans="1:23">
      <c r="A941" s="92"/>
      <c r="B941" s="106"/>
      <c r="C941" s="107"/>
      <c r="D941" s="389"/>
      <c r="E941" s="389"/>
      <c r="F941" s="118"/>
      <c r="G941" s="108"/>
      <c r="H941" s="98"/>
      <c r="I941" s="99"/>
      <c r="J941" s="101"/>
      <c r="K941" s="109"/>
      <c r="L941" s="110"/>
      <c r="M941" s="111"/>
      <c r="N941" s="99"/>
      <c r="O941" s="112"/>
      <c r="P941" s="112"/>
      <c r="Q941" s="104" t="str">
        <f t="shared" si="86"/>
        <v/>
      </c>
      <c r="R941" s="104" t="str">
        <f t="shared" si="87"/>
        <v/>
      </c>
      <c r="S941" s="104" t="str">
        <f t="shared" si="88"/>
        <v/>
      </c>
      <c r="T941" s="104" t="str">
        <f t="shared" si="89"/>
        <v/>
      </c>
      <c r="U941" s="104" t="str">
        <f t="shared" si="90"/>
        <v/>
      </c>
      <c r="V941" s="104" t="str">
        <f t="shared" si="91"/>
        <v/>
      </c>
      <c r="W941" s="105"/>
    </row>
    <row r="942" spans="1:23">
      <c r="A942" s="92">
        <v>13</v>
      </c>
      <c r="B942" s="106" t="s">
        <v>616</v>
      </c>
      <c r="C942" s="107"/>
      <c r="D942" s="786">
        <f>12.415</f>
        <v>12.414999999999999</v>
      </c>
      <c r="E942" s="799"/>
      <c r="F942" s="107"/>
      <c r="G942" s="108">
        <v>0.25</v>
      </c>
      <c r="H942" s="98">
        <v>12</v>
      </c>
      <c r="I942" s="99">
        <v>1</v>
      </c>
      <c r="J942" s="101">
        <v>2</v>
      </c>
      <c r="K942" s="109">
        <f>D942</f>
        <v>12.414999999999999</v>
      </c>
      <c r="L942" s="110">
        <f>IF(O942&lt;12,"0",0.049*H942)</f>
        <v>0.58800000000000008</v>
      </c>
      <c r="M942" s="111"/>
      <c r="N942" s="99">
        <f>M942*2*H942/1000</f>
        <v>0</v>
      </c>
      <c r="O942" s="112">
        <f>(D942+C942+F942)-N942</f>
        <v>12.414999999999999</v>
      </c>
      <c r="P942" s="112">
        <f>(I942*J942*O942)+1*L942</f>
        <v>25.417999999999999</v>
      </c>
      <c r="Q942" s="104" t="str">
        <f t="shared" si="86"/>
        <v/>
      </c>
      <c r="R942" s="104" t="str">
        <f t="shared" si="87"/>
        <v/>
      </c>
      <c r="S942" s="104">
        <f t="shared" si="88"/>
        <v>25.417999999999999</v>
      </c>
      <c r="T942" s="104" t="str">
        <f t="shared" si="89"/>
        <v/>
      </c>
      <c r="U942" s="104" t="str">
        <f t="shared" si="90"/>
        <v/>
      </c>
      <c r="V942" s="104" t="str">
        <f t="shared" si="91"/>
        <v/>
      </c>
      <c r="W942" s="105"/>
    </row>
    <row r="943" spans="1:23">
      <c r="A943" s="92"/>
      <c r="B943" s="106"/>
      <c r="C943" s="107"/>
      <c r="D943" s="389"/>
      <c r="E943" s="389"/>
      <c r="F943" s="118"/>
      <c r="G943" s="108"/>
      <c r="H943" s="98"/>
      <c r="I943" s="99"/>
      <c r="J943" s="101"/>
      <c r="K943" s="109"/>
      <c r="L943" s="110"/>
      <c r="M943" s="111"/>
      <c r="N943" s="99"/>
      <c r="O943" s="112"/>
      <c r="P943" s="112"/>
      <c r="Q943" s="104" t="str">
        <f t="shared" si="86"/>
        <v/>
      </c>
      <c r="R943" s="104" t="str">
        <f t="shared" si="87"/>
        <v/>
      </c>
      <c r="S943" s="104" t="str">
        <f t="shared" si="88"/>
        <v/>
      </c>
      <c r="T943" s="104" t="str">
        <f t="shared" si="89"/>
        <v/>
      </c>
      <c r="U943" s="104" t="str">
        <f t="shared" si="90"/>
        <v/>
      </c>
      <c r="V943" s="104" t="str">
        <f t="shared" si="91"/>
        <v/>
      </c>
      <c r="W943" s="105"/>
    </row>
    <row r="944" spans="1:23">
      <c r="A944" s="92">
        <v>14</v>
      </c>
      <c r="B944" s="106" t="s">
        <v>564</v>
      </c>
      <c r="C944" s="107"/>
      <c r="D944" s="786">
        <f>25.89-0.05*2</f>
        <v>25.79</v>
      </c>
      <c r="E944" s="799"/>
      <c r="F944" s="107"/>
      <c r="G944" s="108">
        <v>0.25</v>
      </c>
      <c r="H944" s="98">
        <v>12</v>
      </c>
      <c r="I944" s="99">
        <v>1</v>
      </c>
      <c r="J944" s="101">
        <v>2</v>
      </c>
      <c r="K944" s="109">
        <f>D944</f>
        <v>25.79</v>
      </c>
      <c r="L944" s="110">
        <f>IF(O944&lt;12,"0",0.049*H944)</f>
        <v>0.58800000000000008</v>
      </c>
      <c r="M944" s="111"/>
      <c r="N944" s="99">
        <f>M944*2*H944/1000</f>
        <v>0</v>
      </c>
      <c r="O944" s="112">
        <f>(D944+C944+F944)-N944</f>
        <v>25.79</v>
      </c>
      <c r="P944" s="112">
        <f>(I944*J944*O944)+1*L944</f>
        <v>52.167999999999999</v>
      </c>
      <c r="Q944" s="104" t="str">
        <f t="shared" si="86"/>
        <v/>
      </c>
      <c r="R944" s="104" t="str">
        <f t="shared" si="87"/>
        <v/>
      </c>
      <c r="S944" s="104">
        <f t="shared" si="88"/>
        <v>52.167999999999999</v>
      </c>
      <c r="T944" s="104" t="str">
        <f t="shared" si="89"/>
        <v/>
      </c>
      <c r="U944" s="104" t="str">
        <f t="shared" si="90"/>
        <v/>
      </c>
      <c r="V944" s="104" t="str">
        <f t="shared" si="91"/>
        <v/>
      </c>
      <c r="W944" s="105"/>
    </row>
    <row r="945" spans="1:23">
      <c r="A945" s="92"/>
      <c r="B945" s="106"/>
      <c r="C945" s="107"/>
      <c r="D945" s="389"/>
      <c r="E945" s="389"/>
      <c r="F945" s="118"/>
      <c r="G945" s="108"/>
      <c r="H945" s="98"/>
      <c r="I945" s="99"/>
      <c r="J945" s="101"/>
      <c r="K945" s="109"/>
      <c r="L945" s="110"/>
      <c r="M945" s="111"/>
      <c r="N945" s="99"/>
      <c r="O945" s="112"/>
      <c r="P945" s="112"/>
      <c r="Q945" s="104" t="str">
        <f t="shared" si="86"/>
        <v/>
      </c>
      <c r="R945" s="104" t="str">
        <f t="shared" si="87"/>
        <v/>
      </c>
      <c r="S945" s="104" t="str">
        <f t="shared" si="88"/>
        <v/>
      </c>
      <c r="T945" s="104" t="str">
        <f t="shared" si="89"/>
        <v/>
      </c>
      <c r="U945" s="104" t="str">
        <f t="shared" si="90"/>
        <v/>
      </c>
      <c r="V945" s="104" t="str">
        <f t="shared" si="91"/>
        <v/>
      </c>
      <c r="W945" s="105"/>
    </row>
    <row r="946" spans="1:23">
      <c r="A946" s="92"/>
      <c r="B946" s="106"/>
      <c r="C946" s="107"/>
      <c r="D946" s="389"/>
      <c r="E946" s="389"/>
      <c r="F946" s="118"/>
      <c r="G946" s="108"/>
      <c r="H946" s="98"/>
      <c r="I946" s="99"/>
      <c r="J946" s="101"/>
      <c r="K946" s="109"/>
      <c r="L946" s="110"/>
      <c r="M946" s="111"/>
      <c r="N946" s="99"/>
      <c r="O946" s="112"/>
      <c r="P946" s="112"/>
      <c r="Q946" s="104" t="str">
        <f t="shared" si="86"/>
        <v/>
      </c>
      <c r="R946" s="104" t="str">
        <f t="shared" si="87"/>
        <v/>
      </c>
      <c r="S946" s="104" t="str">
        <f t="shared" si="88"/>
        <v/>
      </c>
      <c r="T946" s="104" t="str">
        <f t="shared" si="89"/>
        <v/>
      </c>
      <c r="U946" s="104" t="str">
        <f t="shared" si="90"/>
        <v/>
      </c>
      <c r="V946" s="104" t="str">
        <f t="shared" si="91"/>
        <v/>
      </c>
      <c r="W946" s="105"/>
    </row>
    <row r="947" spans="1:23">
      <c r="A947" s="92"/>
      <c r="B947" s="103" t="s">
        <v>267</v>
      </c>
      <c r="C947" s="94"/>
      <c r="D947" s="95"/>
      <c r="E947" s="119">
        <v>0.95</v>
      </c>
      <c r="F947" s="96"/>
      <c r="G947" s="97"/>
      <c r="H947" s="98"/>
      <c r="I947" s="99"/>
      <c r="J947" s="99"/>
      <c r="K947" s="100"/>
      <c r="L947" s="99"/>
      <c r="M947" s="99"/>
      <c r="N947" s="99"/>
      <c r="O947" s="99"/>
      <c r="P947" s="101"/>
      <c r="Q947" s="104" t="str">
        <f t="shared" si="86"/>
        <v/>
      </c>
      <c r="R947" s="104" t="str">
        <f t="shared" si="87"/>
        <v/>
      </c>
      <c r="S947" s="104" t="str">
        <f t="shared" si="88"/>
        <v/>
      </c>
      <c r="T947" s="104" t="str">
        <f t="shared" si="89"/>
        <v/>
      </c>
      <c r="U947" s="104" t="str">
        <f t="shared" si="90"/>
        <v/>
      </c>
      <c r="V947" s="104" t="str">
        <f t="shared" si="91"/>
        <v/>
      </c>
      <c r="W947" s="105"/>
    </row>
    <row r="948" spans="1:23">
      <c r="A948" s="92">
        <v>1</v>
      </c>
      <c r="B948" s="106"/>
      <c r="C948" s="107"/>
      <c r="D948" s="786"/>
      <c r="E948" s="799"/>
      <c r="F948" s="107"/>
      <c r="G948" s="108"/>
      <c r="H948" s="98">
        <v>20</v>
      </c>
      <c r="I948" s="99">
        <v>1</v>
      </c>
      <c r="J948" s="401">
        <v>836</v>
      </c>
      <c r="K948" s="109">
        <f>0.35+0.675+0.95+0.675+0.35</f>
        <v>3</v>
      </c>
      <c r="L948" s="110" t="str">
        <f>IF(O948&lt;12,"0",0.049*H948)</f>
        <v>0</v>
      </c>
      <c r="M948" s="111"/>
      <c r="N948" s="112">
        <f>M948*2*H948/1000</f>
        <v>0</v>
      </c>
      <c r="O948" s="110">
        <f>K948-N948</f>
        <v>3</v>
      </c>
      <c r="P948" s="110">
        <f>(I948*J948*O948)+1*L948</f>
        <v>2508</v>
      </c>
      <c r="Q948" s="104" t="str">
        <f t="shared" si="86"/>
        <v/>
      </c>
      <c r="R948" s="104" t="str">
        <f t="shared" si="87"/>
        <v/>
      </c>
      <c r="S948" s="104" t="str">
        <f t="shared" si="88"/>
        <v/>
      </c>
      <c r="T948" s="104" t="str">
        <f t="shared" si="89"/>
        <v/>
      </c>
      <c r="U948" s="104">
        <f t="shared" si="90"/>
        <v>2508</v>
      </c>
      <c r="V948" s="104" t="str">
        <f t="shared" si="91"/>
        <v/>
      </c>
      <c r="W948" s="105"/>
    </row>
    <row r="949" spans="1:23">
      <c r="A949" s="92"/>
      <c r="B949" s="106"/>
      <c r="C949" s="107"/>
      <c r="D949" s="389"/>
      <c r="E949" s="389">
        <v>0.67500000000000004</v>
      </c>
      <c r="F949" s="118"/>
      <c r="G949" s="108"/>
      <c r="H949" s="98"/>
      <c r="I949" s="99"/>
      <c r="J949" s="101"/>
      <c r="K949" s="109"/>
      <c r="L949" s="110"/>
      <c r="M949" s="111"/>
      <c r="N949" s="99"/>
      <c r="O949" s="112"/>
      <c r="P949" s="112"/>
      <c r="Q949" s="104" t="str">
        <f t="shared" si="86"/>
        <v/>
      </c>
      <c r="R949" s="104" t="str">
        <f t="shared" si="87"/>
        <v/>
      </c>
      <c r="S949" s="104" t="str">
        <f t="shared" si="88"/>
        <v/>
      </c>
      <c r="T949" s="104" t="str">
        <f t="shared" si="89"/>
        <v/>
      </c>
      <c r="U949" s="104" t="str">
        <f t="shared" si="90"/>
        <v/>
      </c>
      <c r="V949" s="104" t="str">
        <f t="shared" si="91"/>
        <v/>
      </c>
      <c r="W949" s="105"/>
    </row>
    <row r="950" spans="1:23">
      <c r="A950" s="92"/>
      <c r="B950" s="106"/>
      <c r="C950" s="107"/>
      <c r="D950" s="389"/>
      <c r="E950" s="389"/>
      <c r="F950" s="120">
        <v>0.35</v>
      </c>
      <c r="G950" s="108"/>
      <c r="H950" s="98"/>
      <c r="I950" s="99"/>
      <c r="J950" s="101"/>
      <c r="K950" s="109"/>
      <c r="L950" s="110"/>
      <c r="M950" s="111"/>
      <c r="N950" s="99"/>
      <c r="O950" s="112"/>
      <c r="P950" s="112"/>
      <c r="Q950" s="104" t="str">
        <f t="shared" si="86"/>
        <v/>
      </c>
      <c r="R950" s="104" t="str">
        <f t="shared" si="87"/>
        <v/>
      </c>
      <c r="S950" s="104" t="str">
        <f t="shared" si="88"/>
        <v/>
      </c>
      <c r="T950" s="104" t="str">
        <f t="shared" si="89"/>
        <v/>
      </c>
      <c r="U950" s="104" t="str">
        <f t="shared" si="90"/>
        <v/>
      </c>
      <c r="V950" s="104" t="str">
        <f t="shared" si="91"/>
        <v/>
      </c>
      <c r="W950" s="105"/>
    </row>
    <row r="951" spans="1:23">
      <c r="A951" s="92"/>
      <c r="B951" s="106"/>
      <c r="C951" s="107"/>
      <c r="D951" s="389"/>
      <c r="E951" s="389"/>
      <c r="F951" s="118"/>
      <c r="G951" s="108"/>
      <c r="H951" s="98"/>
      <c r="I951" s="99"/>
      <c r="J951" s="101"/>
      <c r="K951" s="109"/>
      <c r="L951" s="110"/>
      <c r="M951" s="111"/>
      <c r="N951" s="99"/>
      <c r="O951" s="112"/>
      <c r="P951" s="112"/>
      <c r="Q951" s="104" t="str">
        <f t="shared" si="86"/>
        <v/>
      </c>
      <c r="R951" s="104" t="str">
        <f t="shared" si="87"/>
        <v/>
      </c>
      <c r="S951" s="104" t="str">
        <f t="shared" si="88"/>
        <v/>
      </c>
      <c r="T951" s="104" t="str">
        <f t="shared" si="89"/>
        <v/>
      </c>
      <c r="U951" s="104" t="str">
        <f t="shared" si="90"/>
        <v/>
      </c>
      <c r="V951" s="104" t="str">
        <f t="shared" si="91"/>
        <v/>
      </c>
      <c r="W951" s="105"/>
    </row>
    <row r="952" spans="1:23">
      <c r="A952" s="92"/>
      <c r="B952" s="106"/>
      <c r="C952" s="107"/>
      <c r="D952" s="389"/>
      <c r="E952" s="389"/>
      <c r="F952" s="118"/>
      <c r="G952" s="108"/>
      <c r="H952" s="98"/>
      <c r="I952" s="99"/>
      <c r="J952" s="101"/>
      <c r="K952" s="109"/>
      <c r="L952" s="110"/>
      <c r="M952" s="111"/>
      <c r="N952" s="99"/>
      <c r="O952" s="112"/>
      <c r="P952" s="112"/>
      <c r="Q952" s="104" t="str">
        <f t="shared" si="86"/>
        <v/>
      </c>
      <c r="R952" s="104" t="str">
        <f t="shared" si="87"/>
        <v/>
      </c>
      <c r="S952" s="104" t="str">
        <f t="shared" si="88"/>
        <v/>
      </c>
      <c r="T952" s="104" t="str">
        <f t="shared" si="89"/>
        <v/>
      </c>
      <c r="U952" s="104" t="str">
        <f t="shared" si="90"/>
        <v/>
      </c>
      <c r="V952" s="104" t="str">
        <f t="shared" si="91"/>
        <v/>
      </c>
      <c r="W952" s="105"/>
    </row>
    <row r="953" spans="1:23">
      <c r="A953" s="92"/>
      <c r="B953" s="103" t="s">
        <v>268</v>
      </c>
      <c r="C953" s="107"/>
      <c r="D953" s="389"/>
      <c r="E953" s="389"/>
      <c r="F953" s="118"/>
      <c r="G953" s="108"/>
      <c r="H953" s="98"/>
      <c r="I953" s="99"/>
      <c r="J953" s="101"/>
      <c r="K953" s="109"/>
      <c r="L953" s="110"/>
      <c r="M953" s="111"/>
      <c r="N953" s="99"/>
      <c r="O953" s="112"/>
      <c r="P953" s="112"/>
      <c r="Q953" s="104" t="str">
        <f t="shared" si="86"/>
        <v/>
      </c>
      <c r="R953" s="104" t="str">
        <f t="shared" si="87"/>
        <v/>
      </c>
      <c r="S953" s="104" t="str">
        <f t="shared" si="88"/>
        <v/>
      </c>
      <c r="T953" s="104" t="str">
        <f t="shared" si="89"/>
        <v/>
      </c>
      <c r="U953" s="104" t="str">
        <f t="shared" si="90"/>
        <v/>
      </c>
      <c r="V953" s="104" t="str">
        <f t="shared" si="91"/>
        <v/>
      </c>
      <c r="W953" s="105"/>
    </row>
    <row r="954" spans="1:23" ht="15" customHeight="1">
      <c r="A954" s="92">
        <v>1</v>
      </c>
      <c r="B954" s="121" t="s">
        <v>426</v>
      </c>
      <c r="C954" s="122"/>
      <c r="D954" s="798">
        <f>0.7+1.65+1</f>
        <v>3.3499999999999996</v>
      </c>
      <c r="E954" s="798"/>
      <c r="F954" s="118"/>
      <c r="G954" s="108">
        <v>0.25</v>
      </c>
      <c r="H954" s="98">
        <v>20</v>
      </c>
      <c r="I954" s="99">
        <v>1</v>
      </c>
      <c r="J954" s="101">
        <f>ROUND(1.95/G954+1,0)</f>
        <v>9</v>
      </c>
      <c r="K954" s="109">
        <f>D954</f>
        <v>3.3499999999999996</v>
      </c>
      <c r="L954" s="110" t="str">
        <f>IF(O954&lt;12,"0",0.049*H954)</f>
        <v>0</v>
      </c>
      <c r="M954" s="111">
        <v>0</v>
      </c>
      <c r="N954" s="99">
        <f>M954*2*H954/1000</f>
        <v>0</v>
      </c>
      <c r="O954" s="112">
        <f>(D954)-N954</f>
        <v>3.3499999999999996</v>
      </c>
      <c r="P954" s="112">
        <f>(I954*J954*O954)+L954</f>
        <v>30.15</v>
      </c>
      <c r="Q954" s="104" t="str">
        <f t="shared" si="86"/>
        <v/>
      </c>
      <c r="R954" s="104" t="str">
        <f t="shared" si="87"/>
        <v/>
      </c>
      <c r="S954" s="104" t="str">
        <f t="shared" si="88"/>
        <v/>
      </c>
      <c r="T954" s="104" t="str">
        <f t="shared" si="89"/>
        <v/>
      </c>
      <c r="U954" s="104">
        <f t="shared" si="90"/>
        <v>30.15</v>
      </c>
      <c r="V954" s="104" t="str">
        <f t="shared" si="91"/>
        <v/>
      </c>
      <c r="W954" s="105"/>
    </row>
    <row r="955" spans="1:23">
      <c r="A955" s="92"/>
      <c r="B955" s="121" t="s">
        <v>269</v>
      </c>
      <c r="C955" s="107"/>
      <c r="D955" s="389"/>
      <c r="E955" s="389"/>
      <c r="F955" s="118"/>
      <c r="G955" s="108"/>
      <c r="H955" s="98"/>
      <c r="I955" s="99"/>
      <c r="J955" s="101"/>
      <c r="K955" s="109"/>
      <c r="L955" s="110"/>
      <c r="M955" s="111"/>
      <c r="N955" s="99"/>
      <c r="O955" s="112"/>
      <c r="P955" s="112"/>
      <c r="Q955" s="104" t="str">
        <f t="shared" si="86"/>
        <v/>
      </c>
      <c r="R955" s="104" t="str">
        <f t="shared" si="87"/>
        <v/>
      </c>
      <c r="S955" s="104" t="str">
        <f t="shared" si="88"/>
        <v/>
      </c>
      <c r="T955" s="104" t="str">
        <f t="shared" si="89"/>
        <v/>
      </c>
      <c r="U955" s="104" t="str">
        <f t="shared" si="90"/>
        <v/>
      </c>
      <c r="V955" s="104" t="str">
        <f t="shared" si="91"/>
        <v/>
      </c>
      <c r="W955" s="105"/>
    </row>
    <row r="956" spans="1:23">
      <c r="A956" s="92"/>
      <c r="B956" s="123"/>
      <c r="C956" s="107"/>
      <c r="D956" s="389"/>
      <c r="E956" s="389"/>
      <c r="F956" s="118"/>
      <c r="G956" s="108"/>
      <c r="H956" s="98"/>
      <c r="I956" s="99"/>
      <c r="J956" s="101"/>
      <c r="K956" s="109"/>
      <c r="L956" s="110"/>
      <c r="M956" s="111"/>
      <c r="N956" s="99"/>
      <c r="O956" s="112"/>
      <c r="P956" s="112"/>
      <c r="Q956" s="104" t="str">
        <f t="shared" si="86"/>
        <v/>
      </c>
      <c r="R956" s="104" t="str">
        <f t="shared" si="87"/>
        <v/>
      </c>
      <c r="S956" s="104" t="str">
        <f t="shared" si="88"/>
        <v/>
      </c>
      <c r="T956" s="104" t="str">
        <f t="shared" si="89"/>
        <v/>
      </c>
      <c r="U956" s="104" t="str">
        <f t="shared" si="90"/>
        <v/>
      </c>
      <c r="V956" s="104" t="str">
        <f t="shared" si="91"/>
        <v/>
      </c>
      <c r="W956" s="105"/>
    </row>
    <row r="957" spans="1:23" ht="15" customHeight="1">
      <c r="A957" s="92">
        <v>2</v>
      </c>
      <c r="B957" s="121" t="s">
        <v>427</v>
      </c>
      <c r="C957" s="122"/>
      <c r="D957" s="798">
        <f>0.7+0.65+0.6</f>
        <v>1.9500000000000002</v>
      </c>
      <c r="E957" s="798"/>
      <c r="F957" s="118"/>
      <c r="G957" s="108">
        <v>0.25</v>
      </c>
      <c r="H957" s="98">
        <v>12</v>
      </c>
      <c r="I957" s="99">
        <v>1</v>
      </c>
      <c r="J957" s="101">
        <f>ROUND(3.35/G957+1,0)</f>
        <v>14</v>
      </c>
      <c r="K957" s="109">
        <f>D957</f>
        <v>1.9500000000000002</v>
      </c>
      <c r="L957" s="110" t="str">
        <f>IF(O957&lt;12,"0",0.049*H957)</f>
        <v>0</v>
      </c>
      <c r="M957" s="111">
        <v>0</v>
      </c>
      <c r="N957" s="99">
        <f>M957*2*H957/1000</f>
        <v>0</v>
      </c>
      <c r="O957" s="112">
        <f>(D957)-N957</f>
        <v>1.9500000000000002</v>
      </c>
      <c r="P957" s="112">
        <f>(I957*J957*O957)+L957</f>
        <v>27.300000000000004</v>
      </c>
      <c r="Q957" s="104" t="str">
        <f t="shared" si="86"/>
        <v/>
      </c>
      <c r="R957" s="104" t="str">
        <f t="shared" si="87"/>
        <v/>
      </c>
      <c r="S957" s="104">
        <f t="shared" si="88"/>
        <v>27.300000000000004</v>
      </c>
      <c r="T957" s="104" t="str">
        <f t="shared" si="89"/>
        <v/>
      </c>
      <c r="U957" s="104" t="str">
        <f t="shared" si="90"/>
        <v/>
      </c>
      <c r="V957" s="104" t="str">
        <f t="shared" si="91"/>
        <v/>
      </c>
      <c r="W957" s="105"/>
    </row>
    <row r="958" spans="1:23">
      <c r="A958" s="92"/>
      <c r="B958" s="121" t="s">
        <v>269</v>
      </c>
      <c r="C958" s="107"/>
      <c r="D958" s="389"/>
      <c r="E958" s="389"/>
      <c r="F958" s="118"/>
      <c r="G958" s="108"/>
      <c r="H958" s="98"/>
      <c r="I958" s="99"/>
      <c r="J958" s="101"/>
      <c r="K958" s="109"/>
      <c r="L958" s="110"/>
      <c r="M958" s="111"/>
      <c r="N958" s="99"/>
      <c r="O958" s="112"/>
      <c r="P958" s="112"/>
      <c r="Q958" s="104" t="str">
        <f t="shared" si="86"/>
        <v/>
      </c>
      <c r="R958" s="104" t="str">
        <f t="shared" si="87"/>
        <v/>
      </c>
      <c r="S958" s="104" t="str">
        <f t="shared" si="88"/>
        <v/>
      </c>
      <c r="T958" s="104" t="str">
        <f t="shared" si="89"/>
        <v/>
      </c>
      <c r="U958" s="104" t="str">
        <f t="shared" si="90"/>
        <v/>
      </c>
      <c r="V958" s="104" t="str">
        <f t="shared" si="91"/>
        <v/>
      </c>
      <c r="W958" s="105"/>
    </row>
    <row r="959" spans="1:23">
      <c r="A959" s="92"/>
      <c r="B959" s="123"/>
      <c r="C959" s="107"/>
      <c r="D959" s="389"/>
      <c r="E959" s="389"/>
      <c r="F959" s="118"/>
      <c r="G959" s="108"/>
      <c r="H959" s="98"/>
      <c r="I959" s="99"/>
      <c r="J959" s="101"/>
      <c r="K959" s="109"/>
      <c r="L959" s="110"/>
      <c r="M959" s="111"/>
      <c r="N959" s="99"/>
      <c r="O959" s="112"/>
      <c r="P959" s="112"/>
      <c r="Q959" s="104" t="str">
        <f t="shared" ref="Q959:Q1022" si="92">IF($H959=8,$P959,"")</f>
        <v/>
      </c>
      <c r="R959" s="104" t="str">
        <f t="shared" ref="R959:R1022" si="93">IF($H959=10,$P959,"")</f>
        <v/>
      </c>
      <c r="S959" s="104" t="str">
        <f t="shared" ref="S959:S1022" si="94">IF($H959=12,$P959,"")</f>
        <v/>
      </c>
      <c r="T959" s="104" t="str">
        <f t="shared" ref="T959:T1022" si="95">IF($H959=16,$P959,"")</f>
        <v/>
      </c>
      <c r="U959" s="104" t="str">
        <f t="shared" ref="U959:U1022" si="96">IF($H959=20,$P959,"")</f>
        <v/>
      </c>
      <c r="V959" s="104" t="str">
        <f t="shared" ref="V959:V1022" si="97">IF($H959=25,$P959,"")</f>
        <v/>
      </c>
      <c r="W959" s="105"/>
    </row>
    <row r="960" spans="1:23" ht="15" customHeight="1">
      <c r="A960" s="92">
        <v>3</v>
      </c>
      <c r="B960" s="121" t="s">
        <v>426</v>
      </c>
      <c r="C960" s="122"/>
      <c r="D960" s="798">
        <f>1.25+0.6+0.75-0.05</f>
        <v>2.5500000000000003</v>
      </c>
      <c r="E960" s="798"/>
      <c r="F960" s="118"/>
      <c r="G960" s="108">
        <v>0.25</v>
      </c>
      <c r="H960" s="98">
        <v>25</v>
      </c>
      <c r="I960" s="99">
        <v>1</v>
      </c>
      <c r="J960" s="101">
        <f>ROUND(2.3/G960+1,0)</f>
        <v>10</v>
      </c>
      <c r="K960" s="109">
        <f>D960</f>
        <v>2.5500000000000003</v>
      </c>
      <c r="L960" s="110" t="str">
        <f>IF(O960&lt;12,"0",0.049*H960)</f>
        <v>0</v>
      </c>
      <c r="M960" s="111">
        <v>0</v>
      </c>
      <c r="N960" s="99">
        <f>M960*2*H960/1000</f>
        <v>0</v>
      </c>
      <c r="O960" s="112">
        <f>(D960)-N960</f>
        <v>2.5500000000000003</v>
      </c>
      <c r="P960" s="112">
        <f>(I960*J960*O960)+L960</f>
        <v>25.500000000000004</v>
      </c>
      <c r="Q960" s="104" t="str">
        <f t="shared" si="92"/>
        <v/>
      </c>
      <c r="R960" s="104" t="str">
        <f t="shared" si="93"/>
        <v/>
      </c>
      <c r="S960" s="104" t="str">
        <f t="shared" si="94"/>
        <v/>
      </c>
      <c r="T960" s="104" t="str">
        <f t="shared" si="95"/>
        <v/>
      </c>
      <c r="U960" s="104" t="str">
        <f t="shared" si="96"/>
        <v/>
      </c>
      <c r="V960" s="104">
        <f t="shared" si="97"/>
        <v>25.500000000000004</v>
      </c>
      <c r="W960" s="105"/>
    </row>
    <row r="961" spans="1:23">
      <c r="A961" s="92"/>
      <c r="B961" s="121" t="s">
        <v>270</v>
      </c>
      <c r="C961" s="107"/>
      <c r="D961" s="389"/>
      <c r="E961" s="389"/>
      <c r="F961" s="118"/>
      <c r="G961" s="108"/>
      <c r="H961" s="98"/>
      <c r="I961" s="99"/>
      <c r="J961" s="101"/>
      <c r="K961" s="109"/>
      <c r="L961" s="110"/>
      <c r="M961" s="111"/>
      <c r="N961" s="99"/>
      <c r="O961" s="112"/>
      <c r="P961" s="112"/>
      <c r="Q961" s="104" t="str">
        <f t="shared" si="92"/>
        <v/>
      </c>
      <c r="R961" s="104" t="str">
        <f t="shared" si="93"/>
        <v/>
      </c>
      <c r="S961" s="104" t="str">
        <f t="shared" si="94"/>
        <v/>
      </c>
      <c r="T961" s="104" t="str">
        <f t="shared" si="95"/>
        <v/>
      </c>
      <c r="U961" s="104" t="str">
        <f t="shared" si="96"/>
        <v/>
      </c>
      <c r="V961" s="104" t="str">
        <f t="shared" si="97"/>
        <v/>
      </c>
      <c r="W961" s="105"/>
    </row>
    <row r="962" spans="1:23">
      <c r="A962" s="92"/>
      <c r="B962" s="121"/>
      <c r="C962" s="107"/>
      <c r="D962" s="389"/>
      <c r="E962" s="389"/>
      <c r="F962" s="118"/>
      <c r="G962" s="108"/>
      <c r="H962" s="98"/>
      <c r="I962" s="99"/>
      <c r="J962" s="101"/>
      <c r="K962" s="109"/>
      <c r="L962" s="110"/>
      <c r="M962" s="111"/>
      <c r="N962" s="99"/>
      <c r="O962" s="112"/>
      <c r="P962" s="112"/>
      <c r="Q962" s="104" t="str">
        <f t="shared" si="92"/>
        <v/>
      </c>
      <c r="R962" s="104" t="str">
        <f t="shared" si="93"/>
        <v/>
      </c>
      <c r="S962" s="104" t="str">
        <f t="shared" si="94"/>
        <v/>
      </c>
      <c r="T962" s="104" t="str">
        <f t="shared" si="95"/>
        <v/>
      </c>
      <c r="U962" s="104" t="str">
        <f t="shared" si="96"/>
        <v/>
      </c>
      <c r="V962" s="104" t="str">
        <f t="shared" si="97"/>
        <v/>
      </c>
      <c r="W962" s="105"/>
    </row>
    <row r="963" spans="1:23" ht="15" customHeight="1">
      <c r="A963" s="92">
        <v>4</v>
      </c>
      <c r="B963" s="121" t="s">
        <v>427</v>
      </c>
      <c r="C963" s="122"/>
      <c r="D963" s="798">
        <f>1+0.3+1</f>
        <v>2.2999999999999998</v>
      </c>
      <c r="E963" s="798"/>
      <c r="F963" s="118"/>
      <c r="G963" s="108">
        <v>0.25</v>
      </c>
      <c r="H963" s="98">
        <v>20</v>
      </c>
      <c r="I963" s="99">
        <v>1</v>
      </c>
      <c r="J963" s="101">
        <f>ROUND(2.55/G963+1,0)</f>
        <v>11</v>
      </c>
      <c r="K963" s="109">
        <f>D963</f>
        <v>2.2999999999999998</v>
      </c>
      <c r="L963" s="110" t="str">
        <f>IF(O963&lt;12,"0",0.049*H963)</f>
        <v>0</v>
      </c>
      <c r="M963" s="111">
        <v>0</v>
      </c>
      <c r="N963" s="99">
        <f>M963*2*H963/1000</f>
        <v>0</v>
      </c>
      <c r="O963" s="112">
        <f>(D963)-N963</f>
        <v>2.2999999999999998</v>
      </c>
      <c r="P963" s="112">
        <f>(I963*J963*O963)+L963</f>
        <v>25.299999999999997</v>
      </c>
      <c r="Q963" s="104" t="str">
        <f t="shared" si="92"/>
        <v/>
      </c>
      <c r="R963" s="104" t="str">
        <f t="shared" si="93"/>
        <v/>
      </c>
      <c r="S963" s="104" t="str">
        <f t="shared" si="94"/>
        <v/>
      </c>
      <c r="T963" s="104" t="str">
        <f t="shared" si="95"/>
        <v/>
      </c>
      <c r="U963" s="104">
        <f t="shared" si="96"/>
        <v>25.299999999999997</v>
      </c>
      <c r="V963" s="104" t="str">
        <f t="shared" si="97"/>
        <v/>
      </c>
      <c r="W963" s="105"/>
    </row>
    <row r="964" spans="1:23">
      <c r="A964" s="92"/>
      <c r="B964" s="121" t="s">
        <v>270</v>
      </c>
      <c r="C964" s="107"/>
      <c r="D964" s="389"/>
      <c r="E964" s="389"/>
      <c r="F964" s="118"/>
      <c r="G964" s="108"/>
      <c r="H964" s="98"/>
      <c r="I964" s="99"/>
      <c r="J964" s="101"/>
      <c r="K964" s="109"/>
      <c r="L964" s="110"/>
      <c r="M964" s="111"/>
      <c r="N964" s="99"/>
      <c r="O964" s="112"/>
      <c r="P964" s="112"/>
      <c r="Q964" s="104" t="str">
        <f t="shared" si="92"/>
        <v/>
      </c>
      <c r="R964" s="104" t="str">
        <f t="shared" si="93"/>
        <v/>
      </c>
      <c r="S964" s="104" t="str">
        <f t="shared" si="94"/>
        <v/>
      </c>
      <c r="T964" s="104" t="str">
        <f t="shared" si="95"/>
        <v/>
      </c>
      <c r="U964" s="104" t="str">
        <f t="shared" si="96"/>
        <v/>
      </c>
      <c r="V964" s="104" t="str">
        <f t="shared" si="97"/>
        <v/>
      </c>
      <c r="W964" s="105"/>
    </row>
    <row r="965" spans="1:23">
      <c r="A965" s="92"/>
      <c r="B965" s="121"/>
      <c r="C965" s="107"/>
      <c r="D965" s="389"/>
      <c r="E965" s="389"/>
      <c r="F965" s="118"/>
      <c r="G965" s="108"/>
      <c r="H965" s="98"/>
      <c r="I965" s="99"/>
      <c r="J965" s="101"/>
      <c r="K965" s="109"/>
      <c r="L965" s="110"/>
      <c r="M965" s="111"/>
      <c r="N965" s="99"/>
      <c r="O965" s="112"/>
      <c r="P965" s="112"/>
      <c r="Q965" s="104" t="str">
        <f t="shared" si="92"/>
        <v/>
      </c>
      <c r="R965" s="104" t="str">
        <f t="shared" si="93"/>
        <v/>
      </c>
      <c r="S965" s="104" t="str">
        <f t="shared" si="94"/>
        <v/>
      </c>
      <c r="T965" s="104" t="str">
        <f t="shared" si="95"/>
        <v/>
      </c>
      <c r="U965" s="104" t="str">
        <f t="shared" si="96"/>
        <v/>
      </c>
      <c r="V965" s="104" t="str">
        <f t="shared" si="97"/>
        <v/>
      </c>
      <c r="W965" s="105"/>
    </row>
    <row r="966" spans="1:23" ht="15" customHeight="1">
      <c r="A966" s="92">
        <v>5</v>
      </c>
      <c r="B966" s="121" t="s">
        <v>426</v>
      </c>
      <c r="C966" s="122"/>
      <c r="D966" s="798">
        <f>0.75-0.05+0.3+1</f>
        <v>2</v>
      </c>
      <c r="E966" s="798"/>
      <c r="F966" s="118"/>
      <c r="G966" s="108">
        <v>0.25</v>
      </c>
      <c r="H966" s="98">
        <v>20</v>
      </c>
      <c r="I966" s="99">
        <v>1</v>
      </c>
      <c r="J966" s="101">
        <f>ROUND(2.3/G966+1,0)</f>
        <v>10</v>
      </c>
      <c r="K966" s="109">
        <f>D966</f>
        <v>2</v>
      </c>
      <c r="L966" s="110" t="str">
        <f>IF(O966&lt;12,"0",0.049*H966)</f>
        <v>0</v>
      </c>
      <c r="M966" s="111">
        <v>0</v>
      </c>
      <c r="N966" s="99">
        <f>M966*2*H966/1000</f>
        <v>0</v>
      </c>
      <c r="O966" s="112">
        <f>(D966)-N966</f>
        <v>2</v>
      </c>
      <c r="P966" s="112">
        <f>(I966*J966*O966)+L966</f>
        <v>20</v>
      </c>
      <c r="Q966" s="104" t="str">
        <f t="shared" si="92"/>
        <v/>
      </c>
      <c r="R966" s="104" t="str">
        <f t="shared" si="93"/>
        <v/>
      </c>
      <c r="S966" s="104" t="str">
        <f t="shared" si="94"/>
        <v/>
      </c>
      <c r="T966" s="104" t="str">
        <f t="shared" si="95"/>
        <v/>
      </c>
      <c r="U966" s="104">
        <f t="shared" si="96"/>
        <v>20</v>
      </c>
      <c r="V966" s="104" t="str">
        <f t="shared" si="97"/>
        <v/>
      </c>
      <c r="W966" s="105"/>
    </row>
    <row r="967" spans="1:23">
      <c r="A967" s="92"/>
      <c r="B967" s="121" t="s">
        <v>271</v>
      </c>
      <c r="C967" s="107"/>
      <c r="D967" s="389"/>
      <c r="E967" s="389"/>
      <c r="F967" s="118"/>
      <c r="G967" s="108"/>
      <c r="H967" s="98"/>
      <c r="I967" s="99"/>
      <c r="J967" s="101"/>
      <c r="K967" s="109"/>
      <c r="L967" s="110"/>
      <c r="M967" s="111"/>
      <c r="N967" s="99"/>
      <c r="O967" s="112"/>
      <c r="P967" s="112"/>
      <c r="Q967" s="104" t="str">
        <f t="shared" si="92"/>
        <v/>
      </c>
      <c r="R967" s="104" t="str">
        <f t="shared" si="93"/>
        <v/>
      </c>
      <c r="S967" s="104" t="str">
        <f t="shared" si="94"/>
        <v/>
      </c>
      <c r="T967" s="104" t="str">
        <f t="shared" si="95"/>
        <v/>
      </c>
      <c r="U967" s="104" t="str">
        <f t="shared" si="96"/>
        <v/>
      </c>
      <c r="V967" s="104" t="str">
        <f t="shared" si="97"/>
        <v/>
      </c>
      <c r="W967" s="105"/>
    </row>
    <row r="968" spans="1:23">
      <c r="A968" s="92"/>
      <c r="B968" s="121"/>
      <c r="C968" s="107"/>
      <c r="D968" s="389"/>
      <c r="E968" s="389"/>
      <c r="F968" s="118"/>
      <c r="G968" s="108"/>
      <c r="H968" s="98"/>
      <c r="I968" s="99"/>
      <c r="J968" s="101"/>
      <c r="K968" s="109"/>
      <c r="L968" s="110"/>
      <c r="M968" s="111"/>
      <c r="N968" s="99"/>
      <c r="O968" s="112"/>
      <c r="P968" s="112"/>
      <c r="Q968" s="104" t="str">
        <f t="shared" si="92"/>
        <v/>
      </c>
      <c r="R968" s="104" t="str">
        <f t="shared" si="93"/>
        <v/>
      </c>
      <c r="S968" s="104" t="str">
        <f t="shared" si="94"/>
        <v/>
      </c>
      <c r="T968" s="104" t="str">
        <f t="shared" si="95"/>
        <v/>
      </c>
      <c r="U968" s="104" t="str">
        <f t="shared" si="96"/>
        <v/>
      </c>
      <c r="V968" s="104" t="str">
        <f t="shared" si="97"/>
        <v/>
      </c>
      <c r="W968" s="105"/>
    </row>
    <row r="969" spans="1:23" ht="15" customHeight="1">
      <c r="A969" s="92">
        <v>6</v>
      </c>
      <c r="B969" s="121" t="s">
        <v>427</v>
      </c>
      <c r="C969" s="122"/>
      <c r="D969" s="798">
        <f>1+0.6+0.75-0.05</f>
        <v>2.3000000000000003</v>
      </c>
      <c r="E969" s="798"/>
      <c r="F969" s="118"/>
      <c r="G969" s="108">
        <v>0.25</v>
      </c>
      <c r="H969" s="98">
        <v>20</v>
      </c>
      <c r="I969" s="99">
        <v>1</v>
      </c>
      <c r="J969" s="101">
        <f>ROUND(2/G969+1,0)</f>
        <v>9</v>
      </c>
      <c r="K969" s="109">
        <f>D969</f>
        <v>2.3000000000000003</v>
      </c>
      <c r="L969" s="110" t="str">
        <f>IF(O969&lt;12,"0",0.049*H969)</f>
        <v>0</v>
      </c>
      <c r="M969" s="111">
        <v>0</v>
      </c>
      <c r="N969" s="99">
        <f>M969*2*H969/1000</f>
        <v>0</v>
      </c>
      <c r="O969" s="112">
        <f>(D969)-N969</f>
        <v>2.3000000000000003</v>
      </c>
      <c r="P969" s="112">
        <f>(I969*J969*O969)+L969</f>
        <v>20.700000000000003</v>
      </c>
      <c r="Q969" s="104" t="str">
        <f t="shared" si="92"/>
        <v/>
      </c>
      <c r="R969" s="104" t="str">
        <f t="shared" si="93"/>
        <v/>
      </c>
      <c r="S969" s="104" t="str">
        <f t="shared" si="94"/>
        <v/>
      </c>
      <c r="T969" s="104" t="str">
        <f t="shared" si="95"/>
        <v/>
      </c>
      <c r="U969" s="104">
        <f t="shared" si="96"/>
        <v>20.700000000000003</v>
      </c>
      <c r="V969" s="104" t="str">
        <f t="shared" si="97"/>
        <v/>
      </c>
      <c r="W969" s="105"/>
    </row>
    <row r="970" spans="1:23">
      <c r="A970" s="92"/>
      <c r="B970" s="121" t="s">
        <v>271</v>
      </c>
      <c r="C970" s="107"/>
      <c r="D970" s="389"/>
      <c r="E970" s="389"/>
      <c r="F970" s="118"/>
      <c r="G970" s="108"/>
      <c r="H970" s="98"/>
      <c r="I970" s="99"/>
      <c r="J970" s="101"/>
      <c r="K970" s="109"/>
      <c r="L970" s="110"/>
      <c r="M970" s="111"/>
      <c r="N970" s="99"/>
      <c r="O970" s="112"/>
      <c r="P970" s="112"/>
      <c r="Q970" s="104" t="str">
        <f t="shared" si="92"/>
        <v/>
      </c>
      <c r="R970" s="104" t="str">
        <f t="shared" si="93"/>
        <v/>
      </c>
      <c r="S970" s="104" t="str">
        <f t="shared" si="94"/>
        <v/>
      </c>
      <c r="T970" s="104" t="str">
        <f t="shared" si="95"/>
        <v/>
      </c>
      <c r="U970" s="104" t="str">
        <f t="shared" si="96"/>
        <v/>
      </c>
      <c r="V970" s="104" t="str">
        <f t="shared" si="97"/>
        <v/>
      </c>
      <c r="W970" s="105"/>
    </row>
    <row r="971" spans="1:23">
      <c r="A971" s="92"/>
      <c r="B971" s="121"/>
      <c r="C971" s="107"/>
      <c r="D971" s="389"/>
      <c r="E971" s="389"/>
      <c r="F971" s="118"/>
      <c r="G971" s="108"/>
      <c r="H971" s="98"/>
      <c r="I971" s="99"/>
      <c r="J971" s="101"/>
      <c r="K971" s="109"/>
      <c r="L971" s="110"/>
      <c r="M971" s="111"/>
      <c r="N971" s="99"/>
      <c r="O971" s="112"/>
      <c r="P971" s="112"/>
      <c r="Q971" s="104" t="str">
        <f t="shared" si="92"/>
        <v/>
      </c>
      <c r="R971" s="104" t="str">
        <f t="shared" si="93"/>
        <v/>
      </c>
      <c r="S971" s="104" t="str">
        <f t="shared" si="94"/>
        <v/>
      </c>
      <c r="T971" s="104" t="str">
        <f t="shared" si="95"/>
        <v/>
      </c>
      <c r="U971" s="104" t="str">
        <f t="shared" si="96"/>
        <v/>
      </c>
      <c r="V971" s="104" t="str">
        <f t="shared" si="97"/>
        <v/>
      </c>
      <c r="W971" s="105"/>
    </row>
    <row r="972" spans="1:23" ht="15" customHeight="1">
      <c r="A972" s="92">
        <v>7</v>
      </c>
      <c r="B972" s="121" t="s">
        <v>426</v>
      </c>
      <c r="C972" s="122"/>
      <c r="D972" s="798">
        <f>0.75-0.05+1.85+1</f>
        <v>3.55</v>
      </c>
      <c r="E972" s="798"/>
      <c r="F972" s="118"/>
      <c r="G972" s="108">
        <v>0.25</v>
      </c>
      <c r="H972" s="98">
        <v>20</v>
      </c>
      <c r="I972" s="99">
        <v>1</v>
      </c>
      <c r="J972" s="101">
        <f>ROUND(2.4/G972+1,0)</f>
        <v>11</v>
      </c>
      <c r="K972" s="109">
        <f>D972</f>
        <v>3.55</v>
      </c>
      <c r="L972" s="110" t="str">
        <f>IF(O972&lt;12,"0",0.049*H972)</f>
        <v>0</v>
      </c>
      <c r="M972" s="111">
        <v>0</v>
      </c>
      <c r="N972" s="99">
        <f>M972*2*H972/1000</f>
        <v>0</v>
      </c>
      <c r="O972" s="112">
        <f>(D972)-N972</f>
        <v>3.55</v>
      </c>
      <c r="P972" s="112">
        <f>(I972*J972*O972)+L972</f>
        <v>39.049999999999997</v>
      </c>
      <c r="Q972" s="104" t="str">
        <f t="shared" si="92"/>
        <v/>
      </c>
      <c r="R972" s="104" t="str">
        <f t="shared" si="93"/>
        <v/>
      </c>
      <c r="S972" s="104" t="str">
        <f t="shared" si="94"/>
        <v/>
      </c>
      <c r="T972" s="104" t="str">
        <f t="shared" si="95"/>
        <v/>
      </c>
      <c r="U972" s="104">
        <f t="shared" si="96"/>
        <v>39.049999999999997</v>
      </c>
      <c r="V972" s="104" t="str">
        <f t="shared" si="97"/>
        <v/>
      </c>
      <c r="W972" s="105"/>
    </row>
    <row r="973" spans="1:23">
      <c r="A973" s="92"/>
      <c r="B973" s="121" t="s">
        <v>272</v>
      </c>
      <c r="C973" s="107"/>
      <c r="D973" s="389"/>
      <c r="E973" s="389"/>
      <c r="F973" s="118"/>
      <c r="G973" s="108"/>
      <c r="H973" s="98"/>
      <c r="I973" s="99"/>
      <c r="J973" s="101"/>
      <c r="K973" s="109"/>
      <c r="L973" s="110"/>
      <c r="M973" s="111"/>
      <c r="N973" s="99"/>
      <c r="O973" s="112"/>
      <c r="P973" s="112"/>
      <c r="Q973" s="104" t="str">
        <f t="shared" si="92"/>
        <v/>
      </c>
      <c r="R973" s="104" t="str">
        <f t="shared" si="93"/>
        <v/>
      </c>
      <c r="S973" s="104" t="str">
        <f t="shared" si="94"/>
        <v/>
      </c>
      <c r="T973" s="104" t="str">
        <f t="shared" si="95"/>
        <v/>
      </c>
      <c r="U973" s="104" t="str">
        <f t="shared" si="96"/>
        <v/>
      </c>
      <c r="V973" s="104" t="str">
        <f t="shared" si="97"/>
        <v/>
      </c>
      <c r="W973" s="105"/>
    </row>
    <row r="974" spans="1:23">
      <c r="A974" s="92"/>
      <c r="B974" s="121"/>
      <c r="C974" s="107"/>
      <c r="D974" s="389"/>
      <c r="E974" s="389"/>
      <c r="F974" s="118"/>
      <c r="G974" s="108"/>
      <c r="H974" s="98"/>
      <c r="I974" s="99"/>
      <c r="J974" s="101"/>
      <c r="K974" s="109"/>
      <c r="L974" s="110"/>
      <c r="M974" s="111"/>
      <c r="N974" s="99"/>
      <c r="O974" s="112"/>
      <c r="P974" s="112"/>
      <c r="Q974" s="104" t="str">
        <f t="shared" si="92"/>
        <v/>
      </c>
      <c r="R974" s="104" t="str">
        <f t="shared" si="93"/>
        <v/>
      </c>
      <c r="S974" s="104" t="str">
        <f t="shared" si="94"/>
        <v/>
      </c>
      <c r="T974" s="104" t="str">
        <f t="shared" si="95"/>
        <v/>
      </c>
      <c r="U974" s="104" t="str">
        <f t="shared" si="96"/>
        <v/>
      </c>
      <c r="V974" s="104" t="str">
        <f t="shared" si="97"/>
        <v/>
      </c>
      <c r="W974" s="105"/>
    </row>
    <row r="975" spans="1:23" ht="15" customHeight="1">
      <c r="A975" s="92">
        <v>7</v>
      </c>
      <c r="B975" s="121" t="s">
        <v>426</v>
      </c>
      <c r="C975" s="122"/>
      <c r="D975" s="798">
        <f>0.75-0.05+0.8+1</f>
        <v>2.5</v>
      </c>
      <c r="E975" s="798"/>
      <c r="F975" s="118"/>
      <c r="G975" s="108">
        <v>0.25</v>
      </c>
      <c r="H975" s="98">
        <v>25</v>
      </c>
      <c r="I975" s="99">
        <v>1</v>
      </c>
      <c r="J975" s="101">
        <f>ROUND(1.645/G975+1,0)</f>
        <v>8</v>
      </c>
      <c r="K975" s="109">
        <f>D975</f>
        <v>2.5</v>
      </c>
      <c r="L975" s="110" t="str">
        <f>IF(O975&lt;12,"0",0.049*H975)</f>
        <v>0</v>
      </c>
      <c r="M975" s="111">
        <v>0</v>
      </c>
      <c r="N975" s="99">
        <f>M975*2*H975/1000</f>
        <v>0</v>
      </c>
      <c r="O975" s="112">
        <f>(D975)-N975</f>
        <v>2.5</v>
      </c>
      <c r="P975" s="112">
        <f>(I975*J975*O975)+L975</f>
        <v>20</v>
      </c>
      <c r="Q975" s="104" t="str">
        <f t="shared" si="92"/>
        <v/>
      </c>
      <c r="R975" s="104" t="str">
        <f t="shared" si="93"/>
        <v/>
      </c>
      <c r="S975" s="104" t="str">
        <f t="shared" si="94"/>
        <v/>
      </c>
      <c r="T975" s="104" t="str">
        <f t="shared" si="95"/>
        <v/>
      </c>
      <c r="U975" s="104" t="str">
        <f t="shared" si="96"/>
        <v/>
      </c>
      <c r="V975" s="104">
        <f t="shared" si="97"/>
        <v>20</v>
      </c>
      <c r="W975" s="105"/>
    </row>
    <row r="976" spans="1:23">
      <c r="A976" s="92"/>
      <c r="B976" s="121" t="s">
        <v>272</v>
      </c>
      <c r="C976" s="107"/>
      <c r="D976" s="389"/>
      <c r="E976" s="389"/>
      <c r="F976" s="118"/>
      <c r="G976" s="108"/>
      <c r="H976" s="98"/>
      <c r="I976" s="99"/>
      <c r="J976" s="101"/>
      <c r="K976" s="109"/>
      <c r="L976" s="110"/>
      <c r="M976" s="111"/>
      <c r="N976" s="99"/>
      <c r="O976" s="112"/>
      <c r="P976" s="112"/>
      <c r="Q976" s="104" t="str">
        <f t="shared" si="92"/>
        <v/>
      </c>
      <c r="R976" s="104" t="str">
        <f t="shared" si="93"/>
        <v/>
      </c>
      <c r="S976" s="104" t="str">
        <f t="shared" si="94"/>
        <v/>
      </c>
      <c r="T976" s="104" t="str">
        <f t="shared" si="95"/>
        <v/>
      </c>
      <c r="U976" s="104" t="str">
        <f t="shared" si="96"/>
        <v/>
      </c>
      <c r="V976" s="104" t="str">
        <f t="shared" si="97"/>
        <v/>
      </c>
      <c r="W976" s="105"/>
    </row>
    <row r="977" spans="1:23">
      <c r="A977" s="92"/>
      <c r="B977" s="121"/>
      <c r="C977" s="107"/>
      <c r="D977" s="389"/>
      <c r="E977" s="389"/>
      <c r="F977" s="118"/>
      <c r="G977" s="108"/>
      <c r="H977" s="98"/>
      <c r="I977" s="99"/>
      <c r="J977" s="101"/>
      <c r="K977" s="109"/>
      <c r="L977" s="110"/>
      <c r="M977" s="111"/>
      <c r="N977" s="99"/>
      <c r="O977" s="112"/>
      <c r="P977" s="112"/>
      <c r="Q977" s="104" t="str">
        <f t="shared" si="92"/>
        <v/>
      </c>
      <c r="R977" s="104" t="str">
        <f t="shared" si="93"/>
        <v/>
      </c>
      <c r="S977" s="104" t="str">
        <f t="shared" si="94"/>
        <v/>
      </c>
      <c r="T977" s="104" t="str">
        <f t="shared" si="95"/>
        <v/>
      </c>
      <c r="U977" s="104" t="str">
        <f t="shared" si="96"/>
        <v/>
      </c>
      <c r="V977" s="104" t="str">
        <f t="shared" si="97"/>
        <v/>
      </c>
      <c r="W977" s="105"/>
    </row>
    <row r="978" spans="1:23" ht="15" customHeight="1">
      <c r="A978" s="92">
        <v>8</v>
      </c>
      <c r="B978" s="121" t="s">
        <v>427</v>
      </c>
      <c r="C978" s="122"/>
      <c r="D978" s="798">
        <f>1+0.65+0.75-0.05</f>
        <v>2.35</v>
      </c>
      <c r="E978" s="798"/>
      <c r="F978" s="118"/>
      <c r="G978" s="108">
        <v>0.25</v>
      </c>
      <c r="H978" s="98">
        <v>25</v>
      </c>
      <c r="I978" s="99">
        <v>1</v>
      </c>
      <c r="J978" s="101">
        <f>ROUND(0.815/G978+1,0)</f>
        <v>4</v>
      </c>
      <c r="K978" s="109">
        <f>D978</f>
        <v>2.35</v>
      </c>
      <c r="L978" s="110" t="str">
        <f>IF(O978&lt;12,"0",0.049*H978)</f>
        <v>0</v>
      </c>
      <c r="M978" s="111">
        <v>0</v>
      </c>
      <c r="N978" s="99">
        <f>M978*2*H978/1000</f>
        <v>0</v>
      </c>
      <c r="O978" s="112">
        <f>(D978)-N978</f>
        <v>2.35</v>
      </c>
      <c r="P978" s="112">
        <f>(I978*J978*O978)+L978</f>
        <v>9.4</v>
      </c>
      <c r="Q978" s="104" t="str">
        <f t="shared" si="92"/>
        <v/>
      </c>
      <c r="R978" s="104" t="str">
        <f t="shared" si="93"/>
        <v/>
      </c>
      <c r="S978" s="104" t="str">
        <f t="shared" si="94"/>
        <v/>
      </c>
      <c r="T978" s="104" t="str">
        <f t="shared" si="95"/>
        <v/>
      </c>
      <c r="U978" s="104" t="str">
        <f t="shared" si="96"/>
        <v/>
      </c>
      <c r="V978" s="104">
        <f t="shared" si="97"/>
        <v>9.4</v>
      </c>
      <c r="W978" s="105"/>
    </row>
    <row r="979" spans="1:23">
      <c r="A979" s="92"/>
      <c r="B979" s="121" t="s">
        <v>272</v>
      </c>
      <c r="C979" s="107"/>
      <c r="D979" s="389"/>
      <c r="E979" s="389"/>
      <c r="F979" s="118"/>
      <c r="G979" s="108"/>
      <c r="H979" s="98"/>
      <c r="I979" s="99"/>
      <c r="J979" s="101"/>
      <c r="K979" s="109"/>
      <c r="L979" s="110"/>
      <c r="M979" s="111"/>
      <c r="N979" s="99"/>
      <c r="O979" s="112"/>
      <c r="P979" s="112"/>
      <c r="Q979" s="104" t="str">
        <f t="shared" si="92"/>
        <v/>
      </c>
      <c r="R979" s="104" t="str">
        <f t="shared" si="93"/>
        <v/>
      </c>
      <c r="S979" s="104" t="str">
        <f t="shared" si="94"/>
        <v/>
      </c>
      <c r="T979" s="104" t="str">
        <f t="shared" si="95"/>
        <v/>
      </c>
      <c r="U979" s="104" t="str">
        <f t="shared" si="96"/>
        <v/>
      </c>
      <c r="V979" s="104" t="str">
        <f t="shared" si="97"/>
        <v/>
      </c>
      <c r="W979" s="105"/>
    </row>
    <row r="980" spans="1:23">
      <c r="A980" s="92"/>
      <c r="B980" s="121"/>
      <c r="C980" s="107"/>
      <c r="D980" s="389"/>
      <c r="E980" s="389"/>
      <c r="F980" s="118"/>
      <c r="G980" s="108"/>
      <c r="H980" s="98"/>
      <c r="I980" s="99"/>
      <c r="J980" s="101"/>
      <c r="K980" s="109"/>
      <c r="L980" s="110"/>
      <c r="M980" s="111"/>
      <c r="N980" s="99"/>
      <c r="O980" s="112"/>
      <c r="P980" s="112"/>
      <c r="Q980" s="104" t="str">
        <f t="shared" si="92"/>
        <v/>
      </c>
      <c r="R980" s="104" t="str">
        <f t="shared" si="93"/>
        <v/>
      </c>
      <c r="S980" s="104" t="str">
        <f t="shared" si="94"/>
        <v/>
      </c>
      <c r="T980" s="104" t="str">
        <f t="shared" si="95"/>
        <v/>
      </c>
      <c r="U980" s="104" t="str">
        <f t="shared" si="96"/>
        <v/>
      </c>
      <c r="V980" s="104" t="str">
        <f t="shared" si="97"/>
        <v/>
      </c>
      <c r="W980" s="105"/>
    </row>
    <row r="981" spans="1:23" ht="15" customHeight="1">
      <c r="A981" s="92">
        <v>9</v>
      </c>
      <c r="B981" s="121" t="s">
        <v>427</v>
      </c>
      <c r="C981" s="122"/>
      <c r="D981" s="798">
        <f>1+0.65+0.75+1.695</f>
        <v>4.0949999999999998</v>
      </c>
      <c r="E981" s="798"/>
      <c r="F981" s="118"/>
      <c r="G981" s="108">
        <v>0.25</v>
      </c>
      <c r="H981" s="98">
        <v>25</v>
      </c>
      <c r="I981" s="99">
        <v>1</v>
      </c>
      <c r="J981" s="101">
        <f>ROUND(2.745/G981+1,0)</f>
        <v>12</v>
      </c>
      <c r="K981" s="109">
        <f>D981</f>
        <v>4.0949999999999998</v>
      </c>
      <c r="L981" s="110" t="str">
        <f>IF(O981&lt;12,"0",0.049*H981)</f>
        <v>0</v>
      </c>
      <c r="M981" s="111">
        <v>0</v>
      </c>
      <c r="N981" s="99">
        <f>M981*2*H981/1000</f>
        <v>0</v>
      </c>
      <c r="O981" s="112">
        <f>(D981)-N981</f>
        <v>4.0949999999999998</v>
      </c>
      <c r="P981" s="112">
        <f>(I981*J981*O981)+L981</f>
        <v>49.14</v>
      </c>
      <c r="Q981" s="104" t="str">
        <f t="shared" si="92"/>
        <v/>
      </c>
      <c r="R981" s="104" t="str">
        <f t="shared" si="93"/>
        <v/>
      </c>
      <c r="S981" s="104" t="str">
        <f t="shared" si="94"/>
        <v/>
      </c>
      <c r="T981" s="104" t="str">
        <f t="shared" si="95"/>
        <v/>
      </c>
      <c r="U981" s="104" t="str">
        <f t="shared" si="96"/>
        <v/>
      </c>
      <c r="V981" s="104">
        <f t="shared" si="97"/>
        <v>49.14</v>
      </c>
      <c r="W981" s="105"/>
    </row>
    <row r="982" spans="1:23">
      <c r="A982" s="92"/>
      <c r="B982" s="121" t="s">
        <v>272</v>
      </c>
      <c r="C982" s="107"/>
      <c r="D982" s="389"/>
      <c r="E982" s="389"/>
      <c r="F982" s="118"/>
      <c r="G982" s="108"/>
      <c r="H982" s="98"/>
      <c r="I982" s="99"/>
      <c r="J982" s="101"/>
      <c r="K982" s="109"/>
      <c r="L982" s="110"/>
      <c r="M982" s="111"/>
      <c r="N982" s="99"/>
      <c r="O982" s="112"/>
      <c r="P982" s="112"/>
      <c r="Q982" s="104" t="str">
        <f t="shared" si="92"/>
        <v/>
      </c>
      <c r="R982" s="104" t="str">
        <f t="shared" si="93"/>
        <v/>
      </c>
      <c r="S982" s="104" t="str">
        <f t="shared" si="94"/>
        <v/>
      </c>
      <c r="T982" s="104" t="str">
        <f t="shared" si="95"/>
        <v/>
      </c>
      <c r="U982" s="104" t="str">
        <f t="shared" si="96"/>
        <v/>
      </c>
      <c r="V982" s="104" t="str">
        <f t="shared" si="97"/>
        <v/>
      </c>
      <c r="W982" s="105"/>
    </row>
    <row r="983" spans="1:23">
      <c r="A983" s="92"/>
      <c r="B983" s="121"/>
      <c r="C983" s="107"/>
      <c r="D983" s="389"/>
      <c r="E983" s="389"/>
      <c r="F983" s="118"/>
      <c r="G983" s="108"/>
      <c r="H983" s="98"/>
      <c r="I983" s="99"/>
      <c r="J983" s="101"/>
      <c r="K983" s="109"/>
      <c r="L983" s="110"/>
      <c r="M983" s="111"/>
      <c r="N983" s="99"/>
      <c r="O983" s="112"/>
      <c r="P983" s="112"/>
      <c r="Q983" s="104" t="str">
        <f t="shared" si="92"/>
        <v/>
      </c>
      <c r="R983" s="104" t="str">
        <f t="shared" si="93"/>
        <v/>
      </c>
      <c r="S983" s="104" t="str">
        <f t="shared" si="94"/>
        <v/>
      </c>
      <c r="T983" s="104" t="str">
        <f t="shared" si="95"/>
        <v/>
      </c>
      <c r="U983" s="104" t="str">
        <f t="shared" si="96"/>
        <v/>
      </c>
      <c r="V983" s="104" t="str">
        <f t="shared" si="97"/>
        <v/>
      </c>
      <c r="W983" s="105"/>
    </row>
    <row r="984" spans="1:23" ht="15" customHeight="1">
      <c r="A984" s="92">
        <v>10</v>
      </c>
      <c r="B984" s="121" t="s">
        <v>426</v>
      </c>
      <c r="C984" s="122"/>
      <c r="D984" s="798">
        <f>1.25+0.6+1.25</f>
        <v>3.1</v>
      </c>
      <c r="E984" s="798"/>
      <c r="F984" s="118"/>
      <c r="G984" s="108">
        <v>0.25</v>
      </c>
      <c r="H984" s="98">
        <v>25</v>
      </c>
      <c r="I984" s="99">
        <v>1</v>
      </c>
      <c r="J984" s="101">
        <f>ROUND(2.3/G984+1,0)</f>
        <v>10</v>
      </c>
      <c r="K984" s="109">
        <f>D984</f>
        <v>3.1</v>
      </c>
      <c r="L984" s="110" t="str">
        <f>IF(O984&lt;12,"0",0.049*H984)</f>
        <v>0</v>
      </c>
      <c r="M984" s="111">
        <v>0</v>
      </c>
      <c r="N984" s="99">
        <f>M984*2*H984/1000</f>
        <v>0</v>
      </c>
      <c r="O984" s="112">
        <f>(D984)-N984</f>
        <v>3.1</v>
      </c>
      <c r="P984" s="112">
        <f>(I984*J984*O984)+L984</f>
        <v>31</v>
      </c>
      <c r="Q984" s="104" t="str">
        <f t="shared" si="92"/>
        <v/>
      </c>
      <c r="R984" s="104" t="str">
        <f t="shared" si="93"/>
        <v/>
      </c>
      <c r="S984" s="104" t="str">
        <f t="shared" si="94"/>
        <v/>
      </c>
      <c r="T984" s="104" t="str">
        <f t="shared" si="95"/>
        <v/>
      </c>
      <c r="U984" s="104" t="str">
        <f t="shared" si="96"/>
        <v/>
      </c>
      <c r="V984" s="104">
        <f t="shared" si="97"/>
        <v>31</v>
      </c>
      <c r="W984" s="105"/>
    </row>
    <row r="985" spans="1:23">
      <c r="A985" s="92"/>
      <c r="B985" s="121" t="s">
        <v>273</v>
      </c>
      <c r="C985" s="107"/>
      <c r="D985" s="389"/>
      <c r="E985" s="389"/>
      <c r="F985" s="118"/>
      <c r="G985" s="108"/>
      <c r="H985" s="98"/>
      <c r="I985" s="99"/>
      <c r="J985" s="101"/>
      <c r="K985" s="109"/>
      <c r="L985" s="110"/>
      <c r="M985" s="111"/>
      <c r="N985" s="99"/>
      <c r="O985" s="112"/>
      <c r="P985" s="112"/>
      <c r="Q985" s="104" t="str">
        <f t="shared" si="92"/>
        <v/>
      </c>
      <c r="R985" s="104" t="str">
        <f t="shared" si="93"/>
        <v/>
      </c>
      <c r="S985" s="104" t="str">
        <f t="shared" si="94"/>
        <v/>
      </c>
      <c r="T985" s="104" t="str">
        <f t="shared" si="95"/>
        <v/>
      </c>
      <c r="U985" s="104" t="str">
        <f t="shared" si="96"/>
        <v/>
      </c>
      <c r="V985" s="104" t="str">
        <f t="shared" si="97"/>
        <v/>
      </c>
      <c r="W985" s="105"/>
    </row>
    <row r="986" spans="1:23">
      <c r="A986" s="92"/>
      <c r="B986" s="121"/>
      <c r="C986" s="107"/>
      <c r="D986" s="389"/>
      <c r="E986" s="389"/>
      <c r="F986" s="118"/>
      <c r="G986" s="108"/>
      <c r="H986" s="98"/>
      <c r="I986" s="99"/>
      <c r="J986" s="101"/>
      <c r="K986" s="109"/>
      <c r="L986" s="110"/>
      <c r="M986" s="111"/>
      <c r="N986" s="99"/>
      <c r="O986" s="112"/>
      <c r="P986" s="112"/>
      <c r="Q986" s="104" t="str">
        <f t="shared" si="92"/>
        <v/>
      </c>
      <c r="R986" s="104" t="str">
        <f t="shared" si="93"/>
        <v/>
      </c>
      <c r="S986" s="104" t="str">
        <f t="shared" si="94"/>
        <v/>
      </c>
      <c r="T986" s="104" t="str">
        <f t="shared" si="95"/>
        <v/>
      </c>
      <c r="U986" s="104" t="str">
        <f t="shared" si="96"/>
        <v/>
      </c>
      <c r="V986" s="104" t="str">
        <f t="shared" si="97"/>
        <v/>
      </c>
      <c r="W986" s="105"/>
    </row>
    <row r="987" spans="1:23" ht="15" customHeight="1">
      <c r="A987" s="92">
        <v>11</v>
      </c>
      <c r="B987" s="121" t="s">
        <v>427</v>
      </c>
      <c r="C987" s="122"/>
      <c r="D987" s="798">
        <f>1+0.3+1</f>
        <v>2.2999999999999998</v>
      </c>
      <c r="E987" s="798"/>
      <c r="F987" s="118"/>
      <c r="G987" s="108">
        <v>0.25</v>
      </c>
      <c r="H987" s="98">
        <v>20</v>
      </c>
      <c r="I987" s="99">
        <v>1</v>
      </c>
      <c r="J987" s="101">
        <f>ROUND(3.1/G987+1,0)</f>
        <v>13</v>
      </c>
      <c r="K987" s="109">
        <f>D987</f>
        <v>2.2999999999999998</v>
      </c>
      <c r="L987" s="110" t="str">
        <f>IF(O987&lt;12,"0",0.049*H987)</f>
        <v>0</v>
      </c>
      <c r="M987" s="111">
        <v>0</v>
      </c>
      <c r="N987" s="99">
        <f>M987*2*H987/1000</f>
        <v>0</v>
      </c>
      <c r="O987" s="112">
        <f>(D987)-N987</f>
        <v>2.2999999999999998</v>
      </c>
      <c r="P987" s="112">
        <f>(I987*J987*O987)+L987</f>
        <v>29.9</v>
      </c>
      <c r="Q987" s="104" t="str">
        <f t="shared" si="92"/>
        <v/>
      </c>
      <c r="R987" s="104" t="str">
        <f t="shared" si="93"/>
        <v/>
      </c>
      <c r="S987" s="104" t="str">
        <f t="shared" si="94"/>
        <v/>
      </c>
      <c r="T987" s="104" t="str">
        <f t="shared" si="95"/>
        <v/>
      </c>
      <c r="U987" s="104">
        <f t="shared" si="96"/>
        <v>29.9</v>
      </c>
      <c r="V987" s="104" t="str">
        <f t="shared" si="97"/>
        <v/>
      </c>
      <c r="W987" s="105"/>
    </row>
    <row r="988" spans="1:23">
      <c r="A988" s="92"/>
      <c r="B988" s="121" t="s">
        <v>273</v>
      </c>
      <c r="C988" s="107"/>
      <c r="D988" s="389"/>
      <c r="E988" s="389"/>
      <c r="F988" s="118"/>
      <c r="G988" s="108"/>
      <c r="H988" s="98"/>
      <c r="I988" s="99"/>
      <c r="J988" s="101"/>
      <c r="K988" s="109"/>
      <c r="L988" s="110"/>
      <c r="M988" s="111"/>
      <c r="N988" s="99"/>
      <c r="O988" s="112"/>
      <c r="P988" s="112"/>
      <c r="Q988" s="104" t="str">
        <f t="shared" si="92"/>
        <v/>
      </c>
      <c r="R988" s="104" t="str">
        <f t="shared" si="93"/>
        <v/>
      </c>
      <c r="S988" s="104" t="str">
        <f t="shared" si="94"/>
        <v/>
      </c>
      <c r="T988" s="104" t="str">
        <f t="shared" si="95"/>
        <v/>
      </c>
      <c r="U988" s="104" t="str">
        <f t="shared" si="96"/>
        <v/>
      </c>
      <c r="V988" s="104" t="str">
        <f t="shared" si="97"/>
        <v/>
      </c>
      <c r="W988" s="105"/>
    </row>
    <row r="989" spans="1:23">
      <c r="A989" s="92"/>
      <c r="B989" s="121"/>
      <c r="C989" s="107"/>
      <c r="D989" s="389"/>
      <c r="E989" s="389"/>
      <c r="F989" s="118"/>
      <c r="G989" s="108"/>
      <c r="H989" s="98"/>
      <c r="I989" s="99"/>
      <c r="J989" s="101"/>
      <c r="K989" s="109"/>
      <c r="L989" s="110"/>
      <c r="M989" s="111"/>
      <c r="N989" s="99"/>
      <c r="O989" s="112"/>
      <c r="P989" s="112"/>
      <c r="Q989" s="104" t="str">
        <f t="shared" si="92"/>
        <v/>
      </c>
      <c r="R989" s="104" t="str">
        <f t="shared" si="93"/>
        <v/>
      </c>
      <c r="S989" s="104" t="str">
        <f t="shared" si="94"/>
        <v/>
      </c>
      <c r="T989" s="104" t="str">
        <f t="shared" si="95"/>
        <v/>
      </c>
      <c r="U989" s="104" t="str">
        <f t="shared" si="96"/>
        <v/>
      </c>
      <c r="V989" s="104" t="str">
        <f t="shared" si="97"/>
        <v/>
      </c>
      <c r="W989" s="105"/>
    </row>
    <row r="990" spans="1:23" ht="15" customHeight="1">
      <c r="A990" s="92">
        <v>12</v>
      </c>
      <c r="B990" s="121" t="s">
        <v>426</v>
      </c>
      <c r="C990" s="122"/>
      <c r="D990" s="798">
        <f>0.75-0.05+0.3+1.25</f>
        <v>2.25</v>
      </c>
      <c r="E990" s="798"/>
      <c r="F990" s="118"/>
      <c r="G990" s="108">
        <v>0.25</v>
      </c>
      <c r="H990" s="98">
        <v>25</v>
      </c>
      <c r="I990" s="99">
        <v>1</v>
      </c>
      <c r="J990" s="101">
        <f>ROUND(2.6/G990+1,0)</f>
        <v>11</v>
      </c>
      <c r="K990" s="109">
        <f>D990</f>
        <v>2.25</v>
      </c>
      <c r="L990" s="110" t="str">
        <f>IF(O990&lt;12,"0",0.049*H990)</f>
        <v>0</v>
      </c>
      <c r="M990" s="111">
        <v>0</v>
      </c>
      <c r="N990" s="99">
        <f>M990*2*H990/1000</f>
        <v>0</v>
      </c>
      <c r="O990" s="112">
        <f>(D990)-N990</f>
        <v>2.25</v>
      </c>
      <c r="P990" s="112">
        <f>(I990*J990*O990)+L990</f>
        <v>24.75</v>
      </c>
      <c r="Q990" s="104" t="str">
        <f t="shared" si="92"/>
        <v/>
      </c>
      <c r="R990" s="104" t="str">
        <f t="shared" si="93"/>
        <v/>
      </c>
      <c r="S990" s="104" t="str">
        <f t="shared" si="94"/>
        <v/>
      </c>
      <c r="T990" s="104" t="str">
        <f t="shared" si="95"/>
        <v/>
      </c>
      <c r="U990" s="104" t="str">
        <f t="shared" si="96"/>
        <v/>
      </c>
      <c r="V990" s="104">
        <f t="shared" si="97"/>
        <v>24.75</v>
      </c>
      <c r="W990" s="105"/>
    </row>
    <row r="991" spans="1:23">
      <c r="A991" s="92"/>
      <c r="B991" s="121" t="s">
        <v>274</v>
      </c>
      <c r="C991" s="107"/>
      <c r="D991" s="389"/>
      <c r="E991" s="389"/>
      <c r="F991" s="118"/>
      <c r="G991" s="108"/>
      <c r="H991" s="98"/>
      <c r="I991" s="99"/>
      <c r="J991" s="101"/>
      <c r="K991" s="109"/>
      <c r="L991" s="110"/>
      <c r="M991" s="111"/>
      <c r="N991" s="99"/>
      <c r="O991" s="112"/>
      <c r="P991" s="112"/>
      <c r="Q991" s="104" t="str">
        <f t="shared" si="92"/>
        <v/>
      </c>
      <c r="R991" s="104" t="str">
        <f t="shared" si="93"/>
        <v/>
      </c>
      <c r="S991" s="104" t="str">
        <f t="shared" si="94"/>
        <v/>
      </c>
      <c r="T991" s="104" t="str">
        <f t="shared" si="95"/>
        <v/>
      </c>
      <c r="U991" s="104" t="str">
        <f t="shared" si="96"/>
        <v/>
      </c>
      <c r="V991" s="104" t="str">
        <f t="shared" si="97"/>
        <v/>
      </c>
      <c r="W991" s="105"/>
    </row>
    <row r="992" spans="1:23">
      <c r="A992" s="92"/>
      <c r="B992" s="121"/>
      <c r="C992" s="107"/>
      <c r="D992" s="389"/>
      <c r="E992" s="389"/>
      <c r="F992" s="118"/>
      <c r="G992" s="108"/>
      <c r="H992" s="98"/>
      <c r="I992" s="99"/>
      <c r="J992" s="101"/>
      <c r="K992" s="109"/>
      <c r="L992" s="110"/>
      <c r="M992" s="111"/>
      <c r="N992" s="99"/>
      <c r="O992" s="112"/>
      <c r="P992" s="112"/>
      <c r="Q992" s="104" t="str">
        <f t="shared" si="92"/>
        <v/>
      </c>
      <c r="R992" s="104" t="str">
        <f t="shared" si="93"/>
        <v/>
      </c>
      <c r="S992" s="104" t="str">
        <f t="shared" si="94"/>
        <v/>
      </c>
      <c r="T992" s="104" t="str">
        <f t="shared" si="95"/>
        <v/>
      </c>
      <c r="U992" s="104" t="str">
        <f t="shared" si="96"/>
        <v/>
      </c>
      <c r="V992" s="104" t="str">
        <f t="shared" si="97"/>
        <v/>
      </c>
      <c r="W992" s="105"/>
    </row>
    <row r="993" spans="1:23" ht="15" customHeight="1">
      <c r="A993" s="92">
        <v>13</v>
      </c>
      <c r="B993" s="121" t="s">
        <v>427</v>
      </c>
      <c r="C993" s="122"/>
      <c r="D993" s="798">
        <f>1+0.6+1</f>
        <v>2.6</v>
      </c>
      <c r="E993" s="798"/>
      <c r="F993" s="118"/>
      <c r="G993" s="108">
        <v>0.25</v>
      </c>
      <c r="H993" s="98">
        <v>20</v>
      </c>
      <c r="I993" s="99">
        <v>1</v>
      </c>
      <c r="J993" s="101">
        <f>ROUND(2.25/G993+1,0)</f>
        <v>10</v>
      </c>
      <c r="K993" s="109">
        <f>D993</f>
        <v>2.6</v>
      </c>
      <c r="L993" s="110" t="str">
        <f>IF(O993&lt;12,"0",0.049*H993)</f>
        <v>0</v>
      </c>
      <c r="M993" s="111">
        <v>0</v>
      </c>
      <c r="N993" s="99">
        <f>M993*2*H993/1000</f>
        <v>0</v>
      </c>
      <c r="O993" s="112">
        <f>(D993)-N993</f>
        <v>2.6</v>
      </c>
      <c r="P993" s="112">
        <f>(I993*J993*O993)+L993</f>
        <v>26</v>
      </c>
      <c r="Q993" s="104" t="str">
        <f t="shared" si="92"/>
        <v/>
      </c>
      <c r="R993" s="104" t="str">
        <f t="shared" si="93"/>
        <v/>
      </c>
      <c r="S993" s="104" t="str">
        <f t="shared" si="94"/>
        <v/>
      </c>
      <c r="T993" s="104" t="str">
        <f t="shared" si="95"/>
        <v/>
      </c>
      <c r="U993" s="104">
        <f t="shared" si="96"/>
        <v>26</v>
      </c>
      <c r="V993" s="104" t="str">
        <f t="shared" si="97"/>
        <v/>
      </c>
      <c r="W993" s="105"/>
    </row>
    <row r="994" spans="1:23">
      <c r="A994" s="92"/>
      <c r="B994" s="121" t="s">
        <v>275</v>
      </c>
      <c r="C994" s="107"/>
      <c r="D994" s="389"/>
      <c r="E994" s="389"/>
      <c r="F994" s="118"/>
      <c r="G994" s="108"/>
      <c r="H994" s="98"/>
      <c r="I994" s="99"/>
      <c r="J994" s="101"/>
      <c r="K994" s="109"/>
      <c r="L994" s="110"/>
      <c r="M994" s="111"/>
      <c r="N994" s="99"/>
      <c r="O994" s="112"/>
      <c r="P994" s="112"/>
      <c r="Q994" s="104" t="str">
        <f t="shared" si="92"/>
        <v/>
      </c>
      <c r="R994" s="104" t="str">
        <f t="shared" si="93"/>
        <v/>
      </c>
      <c r="S994" s="104" t="str">
        <f t="shared" si="94"/>
        <v/>
      </c>
      <c r="T994" s="104" t="str">
        <f t="shared" si="95"/>
        <v/>
      </c>
      <c r="U994" s="104" t="str">
        <f t="shared" si="96"/>
        <v/>
      </c>
      <c r="V994" s="104" t="str">
        <f t="shared" si="97"/>
        <v/>
      </c>
      <c r="W994" s="105"/>
    </row>
    <row r="995" spans="1:23">
      <c r="A995" s="92"/>
      <c r="B995" s="121"/>
      <c r="C995" s="107"/>
      <c r="D995" s="389"/>
      <c r="E995" s="389"/>
      <c r="F995" s="118"/>
      <c r="G995" s="108"/>
      <c r="H995" s="98"/>
      <c r="I995" s="99"/>
      <c r="J995" s="101"/>
      <c r="K995" s="109"/>
      <c r="L995" s="110"/>
      <c r="M995" s="111"/>
      <c r="N995" s="99"/>
      <c r="O995" s="112"/>
      <c r="P995" s="112"/>
      <c r="Q995" s="104" t="str">
        <f t="shared" si="92"/>
        <v/>
      </c>
      <c r="R995" s="104" t="str">
        <f t="shared" si="93"/>
        <v/>
      </c>
      <c r="S995" s="104" t="str">
        <f t="shared" si="94"/>
        <v/>
      </c>
      <c r="T995" s="104" t="str">
        <f t="shared" si="95"/>
        <v/>
      </c>
      <c r="U995" s="104" t="str">
        <f t="shared" si="96"/>
        <v/>
      </c>
      <c r="V995" s="104" t="str">
        <f t="shared" si="97"/>
        <v/>
      </c>
      <c r="W995" s="105"/>
    </row>
    <row r="996" spans="1:23" ht="15" customHeight="1">
      <c r="A996" s="92">
        <v>14</v>
      </c>
      <c r="B996" s="121" t="s">
        <v>426</v>
      </c>
      <c r="C996" s="122"/>
      <c r="D996" s="798">
        <f>0.75-0.05+0.3+1.25</f>
        <v>2.25</v>
      </c>
      <c r="E996" s="798"/>
      <c r="F996" s="118"/>
      <c r="G996" s="108">
        <v>0.25</v>
      </c>
      <c r="H996" s="98">
        <v>25</v>
      </c>
      <c r="I996" s="99">
        <v>1</v>
      </c>
      <c r="J996" s="101">
        <f>ROUND(3.1/G996+1,0)</f>
        <v>13</v>
      </c>
      <c r="K996" s="109">
        <f>D996</f>
        <v>2.25</v>
      </c>
      <c r="L996" s="110" t="str">
        <f>IF(O996&lt;12,"0",0.049*H996)</f>
        <v>0</v>
      </c>
      <c r="M996" s="111">
        <v>0</v>
      </c>
      <c r="N996" s="99">
        <f>M996*2*H996/1000</f>
        <v>0</v>
      </c>
      <c r="O996" s="112">
        <f>(D996)-N996</f>
        <v>2.25</v>
      </c>
      <c r="P996" s="112">
        <f>(I996*J996*O996)+L996</f>
        <v>29.25</v>
      </c>
      <c r="Q996" s="104" t="str">
        <f t="shared" si="92"/>
        <v/>
      </c>
      <c r="R996" s="104" t="str">
        <f t="shared" si="93"/>
        <v/>
      </c>
      <c r="S996" s="104" t="str">
        <f t="shared" si="94"/>
        <v/>
      </c>
      <c r="T996" s="104" t="str">
        <f t="shared" si="95"/>
        <v/>
      </c>
      <c r="U996" s="104" t="str">
        <f t="shared" si="96"/>
        <v/>
      </c>
      <c r="V996" s="104">
        <f t="shared" si="97"/>
        <v>29.25</v>
      </c>
      <c r="W996" s="105"/>
    </row>
    <row r="997" spans="1:23">
      <c r="A997" s="92"/>
      <c r="B997" s="121" t="s">
        <v>276</v>
      </c>
      <c r="C997" s="107"/>
      <c r="D997" s="389"/>
      <c r="E997" s="389"/>
      <c r="F997" s="118"/>
      <c r="G997" s="108"/>
      <c r="H997" s="98"/>
      <c r="I997" s="99"/>
      <c r="J997" s="101"/>
      <c r="K997" s="109"/>
      <c r="L997" s="110"/>
      <c r="M997" s="111"/>
      <c r="N997" s="99"/>
      <c r="O997" s="112"/>
      <c r="P997" s="112"/>
      <c r="Q997" s="104" t="str">
        <f t="shared" si="92"/>
        <v/>
      </c>
      <c r="R997" s="104" t="str">
        <f t="shared" si="93"/>
        <v/>
      </c>
      <c r="S997" s="104" t="str">
        <f t="shared" si="94"/>
        <v/>
      </c>
      <c r="T997" s="104" t="str">
        <f t="shared" si="95"/>
        <v/>
      </c>
      <c r="U997" s="104" t="str">
        <f t="shared" si="96"/>
        <v/>
      </c>
      <c r="V997" s="104" t="str">
        <f t="shared" si="97"/>
        <v/>
      </c>
      <c r="W997" s="105"/>
    </row>
    <row r="998" spans="1:23">
      <c r="A998" s="92"/>
      <c r="B998" s="121"/>
      <c r="C998" s="107"/>
      <c r="D998" s="389"/>
      <c r="E998" s="389"/>
      <c r="F998" s="118"/>
      <c r="G998" s="108"/>
      <c r="H998" s="98"/>
      <c r="I998" s="99"/>
      <c r="J998" s="101"/>
      <c r="K998" s="109"/>
      <c r="L998" s="110"/>
      <c r="M998" s="111"/>
      <c r="N998" s="99"/>
      <c r="O998" s="112"/>
      <c r="P998" s="112"/>
      <c r="Q998" s="104" t="str">
        <f t="shared" si="92"/>
        <v/>
      </c>
      <c r="R998" s="104" t="str">
        <f t="shared" si="93"/>
        <v/>
      </c>
      <c r="S998" s="104" t="str">
        <f t="shared" si="94"/>
        <v/>
      </c>
      <c r="T998" s="104" t="str">
        <f t="shared" si="95"/>
        <v/>
      </c>
      <c r="U998" s="104" t="str">
        <f t="shared" si="96"/>
        <v/>
      </c>
      <c r="V998" s="104" t="str">
        <f t="shared" si="97"/>
        <v/>
      </c>
      <c r="W998" s="105"/>
    </row>
    <row r="999" spans="1:23" ht="15" customHeight="1">
      <c r="A999" s="92">
        <v>15</v>
      </c>
      <c r="B999" s="121" t="s">
        <v>427</v>
      </c>
      <c r="C999" s="122"/>
      <c r="D999" s="798">
        <f>1.25+0.6+1.25</f>
        <v>3.1</v>
      </c>
      <c r="E999" s="798"/>
      <c r="F999" s="118"/>
      <c r="G999" s="108">
        <v>0.25</v>
      </c>
      <c r="H999" s="98">
        <v>25</v>
      </c>
      <c r="I999" s="99">
        <v>1</v>
      </c>
      <c r="J999" s="101">
        <f>ROUND(2.25/G999+1,0)</f>
        <v>10</v>
      </c>
      <c r="K999" s="109">
        <f>D999</f>
        <v>3.1</v>
      </c>
      <c r="L999" s="110" t="str">
        <f>IF(O999&lt;12,"0",0.049*H999)</f>
        <v>0</v>
      </c>
      <c r="M999" s="111">
        <v>0</v>
      </c>
      <c r="N999" s="99">
        <f>M999*2*H999/1000</f>
        <v>0</v>
      </c>
      <c r="O999" s="112">
        <f>(D999)-N999</f>
        <v>3.1</v>
      </c>
      <c r="P999" s="112">
        <f>(I999*J999*O999)+L999</f>
        <v>31</v>
      </c>
      <c r="Q999" s="104" t="str">
        <f t="shared" si="92"/>
        <v/>
      </c>
      <c r="R999" s="104" t="str">
        <f t="shared" si="93"/>
        <v/>
      </c>
      <c r="S999" s="104" t="str">
        <f t="shared" si="94"/>
        <v/>
      </c>
      <c r="T999" s="104" t="str">
        <f t="shared" si="95"/>
        <v/>
      </c>
      <c r="U999" s="104" t="str">
        <f t="shared" si="96"/>
        <v/>
      </c>
      <c r="V999" s="104">
        <f t="shared" si="97"/>
        <v>31</v>
      </c>
      <c r="W999" s="105"/>
    </row>
    <row r="1000" spans="1:23">
      <c r="A1000" s="92"/>
      <c r="B1000" s="121" t="s">
        <v>276</v>
      </c>
      <c r="C1000" s="107"/>
      <c r="D1000" s="389"/>
      <c r="E1000" s="389"/>
      <c r="F1000" s="118"/>
      <c r="G1000" s="108"/>
      <c r="H1000" s="98"/>
      <c r="I1000" s="99"/>
      <c r="J1000" s="101"/>
      <c r="K1000" s="109"/>
      <c r="L1000" s="110"/>
      <c r="M1000" s="111"/>
      <c r="N1000" s="99"/>
      <c r="O1000" s="112"/>
      <c r="P1000" s="112"/>
      <c r="Q1000" s="104" t="str">
        <f t="shared" si="92"/>
        <v/>
      </c>
      <c r="R1000" s="104" t="str">
        <f t="shared" si="93"/>
        <v/>
      </c>
      <c r="S1000" s="104" t="str">
        <f t="shared" si="94"/>
        <v/>
      </c>
      <c r="T1000" s="104" t="str">
        <f t="shared" si="95"/>
        <v/>
      </c>
      <c r="U1000" s="104" t="str">
        <f t="shared" si="96"/>
        <v/>
      </c>
      <c r="V1000" s="104" t="str">
        <f t="shared" si="97"/>
        <v/>
      </c>
      <c r="W1000" s="105"/>
    </row>
    <row r="1001" spans="1:23">
      <c r="A1001" s="92"/>
      <c r="B1001" s="121"/>
      <c r="C1001" s="107"/>
      <c r="D1001" s="389"/>
      <c r="E1001" s="389"/>
      <c r="F1001" s="118"/>
      <c r="G1001" s="108"/>
      <c r="H1001" s="98"/>
      <c r="I1001" s="99"/>
      <c r="J1001" s="101"/>
      <c r="K1001" s="109"/>
      <c r="L1001" s="110"/>
      <c r="M1001" s="111"/>
      <c r="N1001" s="99"/>
      <c r="O1001" s="112"/>
      <c r="P1001" s="112"/>
      <c r="Q1001" s="104" t="str">
        <f t="shared" si="92"/>
        <v/>
      </c>
      <c r="R1001" s="104" t="str">
        <f t="shared" si="93"/>
        <v/>
      </c>
      <c r="S1001" s="104" t="str">
        <f t="shared" si="94"/>
        <v/>
      </c>
      <c r="T1001" s="104" t="str">
        <f t="shared" si="95"/>
        <v/>
      </c>
      <c r="U1001" s="104" t="str">
        <f t="shared" si="96"/>
        <v/>
      </c>
      <c r="V1001" s="104" t="str">
        <f t="shared" si="97"/>
        <v/>
      </c>
      <c r="W1001" s="105"/>
    </row>
    <row r="1002" spans="1:23" ht="15" customHeight="1">
      <c r="A1002" s="92">
        <v>16</v>
      </c>
      <c r="B1002" s="121" t="s">
        <v>426</v>
      </c>
      <c r="C1002" s="122"/>
      <c r="D1002" s="798">
        <f>1+0.3+1</f>
        <v>2.2999999999999998</v>
      </c>
      <c r="E1002" s="798"/>
      <c r="F1002" s="118"/>
      <c r="G1002" s="108">
        <v>0.25</v>
      </c>
      <c r="H1002" s="98">
        <v>20</v>
      </c>
      <c r="I1002" s="99">
        <v>1</v>
      </c>
      <c r="J1002" s="101">
        <f>ROUND(1.9/G1002+1,0)</f>
        <v>9</v>
      </c>
      <c r="K1002" s="109">
        <f>D1002</f>
        <v>2.2999999999999998</v>
      </c>
      <c r="L1002" s="110" t="str">
        <f>IF(O1002&lt;12,"0",0.049*H1002)</f>
        <v>0</v>
      </c>
      <c r="M1002" s="111">
        <v>0</v>
      </c>
      <c r="N1002" s="99">
        <f>M1002*2*H1002/1000</f>
        <v>0</v>
      </c>
      <c r="O1002" s="112">
        <f>(D1002)-N1002</f>
        <v>2.2999999999999998</v>
      </c>
      <c r="P1002" s="112">
        <f>(I1002*J1002*O1002)+L1002</f>
        <v>20.7</v>
      </c>
      <c r="Q1002" s="104" t="str">
        <f t="shared" si="92"/>
        <v/>
      </c>
      <c r="R1002" s="104" t="str">
        <f t="shared" si="93"/>
        <v/>
      </c>
      <c r="S1002" s="104" t="str">
        <f t="shared" si="94"/>
        <v/>
      </c>
      <c r="T1002" s="104" t="str">
        <f t="shared" si="95"/>
        <v/>
      </c>
      <c r="U1002" s="104">
        <f t="shared" si="96"/>
        <v>20.7</v>
      </c>
      <c r="V1002" s="104" t="str">
        <f t="shared" si="97"/>
        <v/>
      </c>
      <c r="W1002" s="105"/>
    </row>
    <row r="1003" spans="1:23">
      <c r="A1003" s="92"/>
      <c r="B1003" s="121" t="s">
        <v>277</v>
      </c>
      <c r="C1003" s="107"/>
      <c r="D1003" s="389"/>
      <c r="E1003" s="389"/>
      <c r="F1003" s="118"/>
      <c r="G1003" s="108"/>
      <c r="H1003" s="98"/>
      <c r="I1003" s="99"/>
      <c r="J1003" s="101"/>
      <c r="K1003" s="109"/>
      <c r="L1003" s="110"/>
      <c r="M1003" s="111"/>
      <c r="N1003" s="99"/>
      <c r="O1003" s="112"/>
      <c r="P1003" s="112"/>
      <c r="Q1003" s="104" t="str">
        <f t="shared" si="92"/>
        <v/>
      </c>
      <c r="R1003" s="104" t="str">
        <f t="shared" si="93"/>
        <v/>
      </c>
      <c r="S1003" s="104" t="str">
        <f t="shared" si="94"/>
        <v/>
      </c>
      <c r="T1003" s="104" t="str">
        <f t="shared" si="95"/>
        <v/>
      </c>
      <c r="U1003" s="104" t="str">
        <f t="shared" si="96"/>
        <v/>
      </c>
      <c r="V1003" s="104" t="str">
        <f t="shared" si="97"/>
        <v/>
      </c>
      <c r="W1003" s="105"/>
    </row>
    <row r="1004" spans="1:23">
      <c r="A1004" s="92"/>
      <c r="B1004" s="121"/>
      <c r="C1004" s="107"/>
      <c r="D1004" s="389"/>
      <c r="E1004" s="389"/>
      <c r="F1004" s="118"/>
      <c r="G1004" s="108"/>
      <c r="H1004" s="98"/>
      <c r="I1004" s="99"/>
      <c r="J1004" s="101"/>
      <c r="K1004" s="109"/>
      <c r="L1004" s="110"/>
      <c r="M1004" s="111"/>
      <c r="N1004" s="99"/>
      <c r="O1004" s="112"/>
      <c r="P1004" s="112"/>
      <c r="Q1004" s="104" t="str">
        <f t="shared" si="92"/>
        <v/>
      </c>
      <c r="R1004" s="104" t="str">
        <f t="shared" si="93"/>
        <v/>
      </c>
      <c r="S1004" s="104" t="str">
        <f t="shared" si="94"/>
        <v/>
      </c>
      <c r="T1004" s="104" t="str">
        <f t="shared" si="95"/>
        <v/>
      </c>
      <c r="U1004" s="104" t="str">
        <f t="shared" si="96"/>
        <v/>
      </c>
      <c r="V1004" s="104" t="str">
        <f t="shared" si="97"/>
        <v/>
      </c>
      <c r="W1004" s="105"/>
    </row>
    <row r="1005" spans="1:23" ht="15" customHeight="1">
      <c r="A1005" s="92">
        <v>17</v>
      </c>
      <c r="B1005" s="121" t="s">
        <v>427</v>
      </c>
      <c r="C1005" s="122"/>
      <c r="D1005" s="798">
        <f>0.75-0.05+0.6+0.6</f>
        <v>1.9</v>
      </c>
      <c r="E1005" s="798"/>
      <c r="F1005" s="118"/>
      <c r="G1005" s="108">
        <v>0.25</v>
      </c>
      <c r="H1005" s="98">
        <v>12</v>
      </c>
      <c r="I1005" s="99">
        <v>1</v>
      </c>
      <c r="J1005" s="101">
        <f>ROUND(2.3/G1005+1,0)</f>
        <v>10</v>
      </c>
      <c r="K1005" s="109">
        <f>D1005</f>
        <v>1.9</v>
      </c>
      <c r="L1005" s="110" t="str">
        <f>IF(O1005&lt;12,"0",0.049*H1005)</f>
        <v>0</v>
      </c>
      <c r="M1005" s="111">
        <v>0</v>
      </c>
      <c r="N1005" s="99">
        <f>M1005*2*H1005/1000</f>
        <v>0</v>
      </c>
      <c r="O1005" s="112">
        <f>(D1005)-N1005</f>
        <v>1.9</v>
      </c>
      <c r="P1005" s="112">
        <f>(I1005*J1005*O1005)+L1005</f>
        <v>19</v>
      </c>
      <c r="Q1005" s="104" t="str">
        <f t="shared" si="92"/>
        <v/>
      </c>
      <c r="R1005" s="104" t="str">
        <f t="shared" si="93"/>
        <v/>
      </c>
      <c r="S1005" s="104">
        <f t="shared" si="94"/>
        <v>19</v>
      </c>
      <c r="T1005" s="104" t="str">
        <f t="shared" si="95"/>
        <v/>
      </c>
      <c r="U1005" s="104" t="str">
        <f t="shared" si="96"/>
        <v/>
      </c>
      <c r="V1005" s="104" t="str">
        <f t="shared" si="97"/>
        <v/>
      </c>
      <c r="W1005" s="105"/>
    </row>
    <row r="1006" spans="1:23">
      <c r="A1006" s="92"/>
      <c r="B1006" s="121" t="s">
        <v>277</v>
      </c>
      <c r="C1006" s="107"/>
      <c r="D1006" s="389"/>
      <c r="E1006" s="389"/>
      <c r="F1006" s="118"/>
      <c r="G1006" s="108"/>
      <c r="H1006" s="98"/>
      <c r="I1006" s="99"/>
      <c r="J1006" s="101"/>
      <c r="K1006" s="109"/>
      <c r="L1006" s="110"/>
      <c r="M1006" s="111"/>
      <c r="N1006" s="99"/>
      <c r="O1006" s="112"/>
      <c r="P1006" s="112"/>
      <c r="Q1006" s="104" t="str">
        <f t="shared" si="92"/>
        <v/>
      </c>
      <c r="R1006" s="104" t="str">
        <f t="shared" si="93"/>
        <v/>
      </c>
      <c r="S1006" s="104" t="str">
        <f t="shared" si="94"/>
        <v/>
      </c>
      <c r="T1006" s="104" t="str">
        <f t="shared" si="95"/>
        <v/>
      </c>
      <c r="U1006" s="104" t="str">
        <f t="shared" si="96"/>
        <v/>
      </c>
      <c r="V1006" s="104" t="str">
        <f t="shared" si="97"/>
        <v/>
      </c>
      <c r="W1006" s="105"/>
    </row>
    <row r="1007" spans="1:23">
      <c r="A1007" s="92"/>
      <c r="B1007" s="121"/>
      <c r="C1007" s="107"/>
      <c r="D1007" s="389"/>
      <c r="E1007" s="389"/>
      <c r="F1007" s="118"/>
      <c r="G1007" s="108"/>
      <c r="H1007" s="98"/>
      <c r="I1007" s="99"/>
      <c r="J1007" s="101"/>
      <c r="K1007" s="109"/>
      <c r="L1007" s="110"/>
      <c r="M1007" s="111"/>
      <c r="N1007" s="99"/>
      <c r="O1007" s="112"/>
      <c r="P1007" s="112"/>
      <c r="Q1007" s="104" t="str">
        <f t="shared" si="92"/>
        <v/>
      </c>
      <c r="R1007" s="104" t="str">
        <f t="shared" si="93"/>
        <v/>
      </c>
      <c r="S1007" s="104" t="str">
        <f t="shared" si="94"/>
        <v/>
      </c>
      <c r="T1007" s="104" t="str">
        <f t="shared" si="95"/>
        <v/>
      </c>
      <c r="U1007" s="104" t="str">
        <f t="shared" si="96"/>
        <v/>
      </c>
      <c r="V1007" s="104" t="str">
        <f t="shared" si="97"/>
        <v/>
      </c>
      <c r="W1007" s="105"/>
    </row>
    <row r="1008" spans="1:23" ht="15" customHeight="1">
      <c r="A1008" s="92">
        <v>18</v>
      </c>
      <c r="B1008" s="121" t="s">
        <v>426</v>
      </c>
      <c r="C1008" s="122"/>
      <c r="D1008" s="798">
        <f>1+0.6+1</f>
        <v>2.6</v>
      </c>
      <c r="E1008" s="798"/>
      <c r="F1008" s="118"/>
      <c r="G1008" s="108">
        <v>0.25</v>
      </c>
      <c r="H1008" s="98">
        <v>20</v>
      </c>
      <c r="I1008" s="99">
        <v>1</v>
      </c>
      <c r="J1008" s="101">
        <f>ROUND(2.3/G1008+1,0)</f>
        <v>10</v>
      </c>
      <c r="K1008" s="109">
        <f>D1008</f>
        <v>2.6</v>
      </c>
      <c r="L1008" s="110" t="str">
        <f>IF(O1008&lt;12,"0",0.049*H1008)</f>
        <v>0</v>
      </c>
      <c r="M1008" s="111">
        <v>0</v>
      </c>
      <c r="N1008" s="99">
        <f>M1008*2*H1008/1000</f>
        <v>0</v>
      </c>
      <c r="O1008" s="112">
        <f>(D1008)-N1008</f>
        <v>2.6</v>
      </c>
      <c r="P1008" s="112">
        <f>(I1008*J1008*O1008)+L1008</f>
        <v>26</v>
      </c>
      <c r="Q1008" s="104" t="str">
        <f t="shared" si="92"/>
        <v/>
      </c>
      <c r="R1008" s="104" t="str">
        <f t="shared" si="93"/>
        <v/>
      </c>
      <c r="S1008" s="104" t="str">
        <f t="shared" si="94"/>
        <v/>
      </c>
      <c r="T1008" s="104" t="str">
        <f t="shared" si="95"/>
        <v/>
      </c>
      <c r="U1008" s="104">
        <f t="shared" si="96"/>
        <v>26</v>
      </c>
      <c r="V1008" s="104" t="str">
        <f t="shared" si="97"/>
        <v/>
      </c>
      <c r="W1008" s="105"/>
    </row>
    <row r="1009" spans="1:23">
      <c r="A1009" s="92"/>
      <c r="B1009" s="121" t="s">
        <v>278</v>
      </c>
      <c r="C1009" s="107"/>
      <c r="D1009" s="389"/>
      <c r="E1009" s="389"/>
      <c r="F1009" s="118"/>
      <c r="G1009" s="108"/>
      <c r="H1009" s="98"/>
      <c r="I1009" s="99"/>
      <c r="J1009" s="101"/>
      <c r="K1009" s="109"/>
      <c r="L1009" s="110"/>
      <c r="M1009" s="111"/>
      <c r="N1009" s="99"/>
      <c r="O1009" s="112"/>
      <c r="P1009" s="112"/>
      <c r="Q1009" s="104" t="str">
        <f t="shared" si="92"/>
        <v/>
      </c>
      <c r="R1009" s="104" t="str">
        <f t="shared" si="93"/>
        <v/>
      </c>
      <c r="S1009" s="104" t="str">
        <f t="shared" si="94"/>
        <v/>
      </c>
      <c r="T1009" s="104" t="str">
        <f t="shared" si="95"/>
        <v/>
      </c>
      <c r="U1009" s="104" t="str">
        <f t="shared" si="96"/>
        <v/>
      </c>
      <c r="V1009" s="104" t="str">
        <f t="shared" si="97"/>
        <v/>
      </c>
      <c r="W1009" s="105"/>
    </row>
    <row r="1010" spans="1:23">
      <c r="A1010" s="92"/>
      <c r="B1010" s="121"/>
      <c r="C1010" s="107"/>
      <c r="D1010" s="389"/>
      <c r="E1010" s="389"/>
      <c r="F1010" s="118"/>
      <c r="G1010" s="108"/>
      <c r="H1010" s="98"/>
      <c r="I1010" s="99"/>
      <c r="J1010" s="101"/>
      <c r="K1010" s="109"/>
      <c r="L1010" s="110"/>
      <c r="M1010" s="111"/>
      <c r="N1010" s="99"/>
      <c r="O1010" s="112"/>
      <c r="P1010" s="112"/>
      <c r="Q1010" s="104" t="str">
        <f t="shared" si="92"/>
        <v/>
      </c>
      <c r="R1010" s="104" t="str">
        <f t="shared" si="93"/>
        <v/>
      </c>
      <c r="S1010" s="104" t="str">
        <f t="shared" si="94"/>
        <v/>
      </c>
      <c r="T1010" s="104" t="str">
        <f t="shared" si="95"/>
        <v/>
      </c>
      <c r="U1010" s="104" t="str">
        <f t="shared" si="96"/>
        <v/>
      </c>
      <c r="V1010" s="104" t="str">
        <f t="shared" si="97"/>
        <v/>
      </c>
      <c r="W1010" s="105"/>
    </row>
    <row r="1011" spans="1:23" ht="15" customHeight="1">
      <c r="A1011" s="92">
        <v>19</v>
      </c>
      <c r="B1011" s="121" t="s">
        <v>427</v>
      </c>
      <c r="C1011" s="122"/>
      <c r="D1011" s="798">
        <f>1+0.3+1</f>
        <v>2.2999999999999998</v>
      </c>
      <c r="E1011" s="798"/>
      <c r="F1011" s="118"/>
      <c r="G1011" s="108">
        <v>0.25</v>
      </c>
      <c r="H1011" s="98">
        <v>20</v>
      </c>
      <c r="I1011" s="99">
        <v>1</v>
      </c>
      <c r="J1011" s="101">
        <f>ROUND(2.6/G1011+1,0)</f>
        <v>11</v>
      </c>
      <c r="K1011" s="109">
        <f>D1011</f>
        <v>2.2999999999999998</v>
      </c>
      <c r="L1011" s="110" t="str">
        <f>IF(O1011&lt;12,"0",0.049*H1011)</f>
        <v>0</v>
      </c>
      <c r="M1011" s="111">
        <v>0</v>
      </c>
      <c r="N1011" s="99">
        <f>M1011*2*H1011/1000</f>
        <v>0</v>
      </c>
      <c r="O1011" s="112">
        <f>(D1011)-N1011</f>
        <v>2.2999999999999998</v>
      </c>
      <c r="P1011" s="112">
        <f>(I1011*J1011*O1011)+L1011</f>
        <v>25.299999999999997</v>
      </c>
      <c r="Q1011" s="104" t="str">
        <f t="shared" si="92"/>
        <v/>
      </c>
      <c r="R1011" s="104" t="str">
        <f t="shared" si="93"/>
        <v/>
      </c>
      <c r="S1011" s="104" t="str">
        <f t="shared" si="94"/>
        <v/>
      </c>
      <c r="T1011" s="104" t="str">
        <f t="shared" si="95"/>
        <v/>
      </c>
      <c r="U1011" s="104">
        <f t="shared" si="96"/>
        <v>25.299999999999997</v>
      </c>
      <c r="V1011" s="104" t="str">
        <f t="shared" si="97"/>
        <v/>
      </c>
      <c r="W1011" s="105"/>
    </row>
    <row r="1012" spans="1:23">
      <c r="A1012" s="92"/>
      <c r="B1012" s="121" t="s">
        <v>278</v>
      </c>
      <c r="C1012" s="107"/>
      <c r="D1012" s="389"/>
      <c r="E1012" s="389"/>
      <c r="F1012" s="118"/>
      <c r="G1012" s="108"/>
      <c r="H1012" s="98"/>
      <c r="I1012" s="99"/>
      <c r="J1012" s="101"/>
      <c r="K1012" s="109"/>
      <c r="L1012" s="110"/>
      <c r="M1012" s="111"/>
      <c r="N1012" s="99"/>
      <c r="O1012" s="112"/>
      <c r="P1012" s="112"/>
      <c r="Q1012" s="104" t="str">
        <f t="shared" si="92"/>
        <v/>
      </c>
      <c r="R1012" s="104" t="str">
        <f t="shared" si="93"/>
        <v/>
      </c>
      <c r="S1012" s="104" t="str">
        <f t="shared" si="94"/>
        <v/>
      </c>
      <c r="T1012" s="104" t="str">
        <f t="shared" si="95"/>
        <v/>
      </c>
      <c r="U1012" s="104" t="str">
        <f t="shared" si="96"/>
        <v/>
      </c>
      <c r="V1012" s="104" t="str">
        <f t="shared" si="97"/>
        <v/>
      </c>
      <c r="W1012" s="105"/>
    </row>
    <row r="1013" spans="1:23">
      <c r="A1013" s="92"/>
      <c r="B1013" s="121"/>
      <c r="C1013" s="107"/>
      <c r="D1013" s="389"/>
      <c r="E1013" s="389"/>
      <c r="F1013" s="118"/>
      <c r="G1013" s="108"/>
      <c r="H1013" s="98"/>
      <c r="I1013" s="99"/>
      <c r="J1013" s="101"/>
      <c r="K1013" s="109"/>
      <c r="L1013" s="110"/>
      <c r="M1013" s="111"/>
      <c r="N1013" s="99"/>
      <c r="O1013" s="112"/>
      <c r="P1013" s="112"/>
      <c r="Q1013" s="104" t="str">
        <f t="shared" si="92"/>
        <v/>
      </c>
      <c r="R1013" s="104" t="str">
        <f t="shared" si="93"/>
        <v/>
      </c>
      <c r="S1013" s="104" t="str">
        <f t="shared" si="94"/>
        <v/>
      </c>
      <c r="T1013" s="104" t="str">
        <f t="shared" si="95"/>
        <v/>
      </c>
      <c r="U1013" s="104" t="str">
        <f t="shared" si="96"/>
        <v/>
      </c>
      <c r="V1013" s="104" t="str">
        <f t="shared" si="97"/>
        <v/>
      </c>
      <c r="W1013" s="105"/>
    </row>
    <row r="1014" spans="1:23" ht="15" customHeight="1">
      <c r="A1014" s="92">
        <v>20</v>
      </c>
      <c r="B1014" s="121" t="s">
        <v>426</v>
      </c>
      <c r="C1014" s="122"/>
      <c r="D1014" s="798">
        <f>1+0.3+1</f>
        <v>2.2999999999999998</v>
      </c>
      <c r="E1014" s="798"/>
      <c r="F1014" s="118"/>
      <c r="G1014" s="108">
        <v>0.25</v>
      </c>
      <c r="H1014" s="98">
        <v>20</v>
      </c>
      <c r="I1014" s="99">
        <v>1</v>
      </c>
      <c r="J1014" s="101">
        <f>ROUND(3.1/G1014+1,0)</f>
        <v>13</v>
      </c>
      <c r="K1014" s="109">
        <f>D1014</f>
        <v>2.2999999999999998</v>
      </c>
      <c r="L1014" s="110" t="str">
        <f>IF(O1014&lt;12,"0",0.049*H1014)</f>
        <v>0</v>
      </c>
      <c r="M1014" s="111">
        <v>0</v>
      </c>
      <c r="N1014" s="99">
        <f>M1014*2*H1014/1000</f>
        <v>0</v>
      </c>
      <c r="O1014" s="112">
        <f>(D1014)-N1014</f>
        <v>2.2999999999999998</v>
      </c>
      <c r="P1014" s="112">
        <f>(I1014*J1014*O1014)+L1014</f>
        <v>29.9</v>
      </c>
      <c r="Q1014" s="104" t="str">
        <f t="shared" si="92"/>
        <v/>
      </c>
      <c r="R1014" s="104" t="str">
        <f t="shared" si="93"/>
        <v/>
      </c>
      <c r="S1014" s="104" t="str">
        <f t="shared" si="94"/>
        <v/>
      </c>
      <c r="T1014" s="104" t="str">
        <f t="shared" si="95"/>
        <v/>
      </c>
      <c r="U1014" s="104">
        <f t="shared" si="96"/>
        <v>29.9</v>
      </c>
      <c r="V1014" s="104" t="str">
        <f t="shared" si="97"/>
        <v/>
      </c>
      <c r="W1014" s="105"/>
    </row>
    <row r="1015" spans="1:23">
      <c r="A1015" s="92"/>
      <c r="B1015" s="121" t="s">
        <v>279</v>
      </c>
      <c r="C1015" s="107"/>
      <c r="D1015" s="389"/>
      <c r="E1015" s="389"/>
      <c r="F1015" s="118"/>
      <c r="G1015" s="108"/>
      <c r="H1015" s="98"/>
      <c r="I1015" s="99"/>
      <c r="J1015" s="101"/>
      <c r="K1015" s="109"/>
      <c r="L1015" s="110"/>
      <c r="M1015" s="111"/>
      <c r="N1015" s="99"/>
      <c r="O1015" s="112"/>
      <c r="P1015" s="112"/>
      <c r="Q1015" s="104" t="str">
        <f t="shared" si="92"/>
        <v/>
      </c>
      <c r="R1015" s="104" t="str">
        <f t="shared" si="93"/>
        <v/>
      </c>
      <c r="S1015" s="104" t="str">
        <f t="shared" si="94"/>
        <v/>
      </c>
      <c r="T1015" s="104" t="str">
        <f t="shared" si="95"/>
        <v/>
      </c>
      <c r="U1015" s="104" t="str">
        <f t="shared" si="96"/>
        <v/>
      </c>
      <c r="V1015" s="104" t="str">
        <f t="shared" si="97"/>
        <v/>
      </c>
      <c r="W1015" s="105"/>
    </row>
    <row r="1016" spans="1:23">
      <c r="A1016" s="92"/>
      <c r="B1016" s="121"/>
      <c r="C1016" s="107"/>
      <c r="D1016" s="389"/>
      <c r="E1016" s="389"/>
      <c r="F1016" s="118"/>
      <c r="G1016" s="108"/>
      <c r="H1016" s="98"/>
      <c r="I1016" s="99"/>
      <c r="J1016" s="101"/>
      <c r="K1016" s="109"/>
      <c r="L1016" s="110"/>
      <c r="M1016" s="111"/>
      <c r="N1016" s="99"/>
      <c r="O1016" s="112"/>
      <c r="P1016" s="112"/>
      <c r="Q1016" s="104" t="str">
        <f t="shared" si="92"/>
        <v/>
      </c>
      <c r="R1016" s="104" t="str">
        <f t="shared" si="93"/>
        <v/>
      </c>
      <c r="S1016" s="104" t="str">
        <f t="shared" si="94"/>
        <v/>
      </c>
      <c r="T1016" s="104" t="str">
        <f t="shared" si="95"/>
        <v/>
      </c>
      <c r="U1016" s="104" t="str">
        <f t="shared" si="96"/>
        <v/>
      </c>
      <c r="V1016" s="104" t="str">
        <f t="shared" si="97"/>
        <v/>
      </c>
      <c r="W1016" s="105"/>
    </row>
    <row r="1017" spans="1:23" ht="15" customHeight="1">
      <c r="A1017" s="92">
        <v>21</v>
      </c>
      <c r="B1017" s="121" t="s">
        <v>427</v>
      </c>
      <c r="C1017" s="122"/>
      <c r="D1017" s="798">
        <f>1.25+0.6+1.25</f>
        <v>3.1</v>
      </c>
      <c r="E1017" s="798"/>
      <c r="F1017" s="118"/>
      <c r="G1017" s="108">
        <v>0.25</v>
      </c>
      <c r="H1017" s="98">
        <v>25</v>
      </c>
      <c r="I1017" s="99">
        <v>1</v>
      </c>
      <c r="J1017" s="101">
        <f>ROUND(2.3/G1017+1,0)</f>
        <v>10</v>
      </c>
      <c r="K1017" s="109">
        <f>D1017</f>
        <v>3.1</v>
      </c>
      <c r="L1017" s="110" t="str">
        <f>IF(O1017&lt;12,"0",0.049*H1017)</f>
        <v>0</v>
      </c>
      <c r="M1017" s="111">
        <v>0</v>
      </c>
      <c r="N1017" s="99">
        <f>M1017*2*H1017/1000</f>
        <v>0</v>
      </c>
      <c r="O1017" s="112">
        <f>(D1017)-N1017</f>
        <v>3.1</v>
      </c>
      <c r="P1017" s="112">
        <f>(I1017*J1017*O1017)+L1017</f>
        <v>31</v>
      </c>
      <c r="Q1017" s="104" t="str">
        <f t="shared" si="92"/>
        <v/>
      </c>
      <c r="R1017" s="104" t="str">
        <f t="shared" si="93"/>
        <v/>
      </c>
      <c r="S1017" s="104" t="str">
        <f t="shared" si="94"/>
        <v/>
      </c>
      <c r="T1017" s="104" t="str">
        <f t="shared" si="95"/>
        <v/>
      </c>
      <c r="U1017" s="104" t="str">
        <f t="shared" si="96"/>
        <v/>
      </c>
      <c r="V1017" s="104">
        <f t="shared" si="97"/>
        <v>31</v>
      </c>
      <c r="W1017" s="105"/>
    </row>
    <row r="1018" spans="1:23">
      <c r="A1018" s="92"/>
      <c r="B1018" s="121" t="s">
        <v>279</v>
      </c>
      <c r="C1018" s="107"/>
      <c r="D1018" s="389"/>
      <c r="E1018" s="389"/>
      <c r="F1018" s="118"/>
      <c r="G1018" s="108"/>
      <c r="H1018" s="98"/>
      <c r="I1018" s="99"/>
      <c r="J1018" s="101"/>
      <c r="K1018" s="109"/>
      <c r="L1018" s="110"/>
      <c r="M1018" s="111"/>
      <c r="N1018" s="99"/>
      <c r="O1018" s="112"/>
      <c r="P1018" s="112"/>
      <c r="Q1018" s="104" t="str">
        <f t="shared" si="92"/>
        <v/>
      </c>
      <c r="R1018" s="104" t="str">
        <f t="shared" si="93"/>
        <v/>
      </c>
      <c r="S1018" s="104" t="str">
        <f t="shared" si="94"/>
        <v/>
      </c>
      <c r="T1018" s="104" t="str">
        <f t="shared" si="95"/>
        <v/>
      </c>
      <c r="U1018" s="104" t="str">
        <f t="shared" si="96"/>
        <v/>
      </c>
      <c r="V1018" s="104" t="str">
        <f t="shared" si="97"/>
        <v/>
      </c>
      <c r="W1018" s="105"/>
    </row>
    <row r="1019" spans="1:23">
      <c r="A1019" s="92"/>
      <c r="B1019" s="121"/>
      <c r="C1019" s="107"/>
      <c r="D1019" s="389"/>
      <c r="E1019" s="389"/>
      <c r="F1019" s="118"/>
      <c r="G1019" s="108"/>
      <c r="H1019" s="98"/>
      <c r="I1019" s="99"/>
      <c r="J1019" s="101"/>
      <c r="K1019" s="109"/>
      <c r="L1019" s="110"/>
      <c r="M1019" s="111"/>
      <c r="N1019" s="99"/>
      <c r="O1019" s="112"/>
      <c r="P1019" s="112"/>
      <c r="Q1019" s="104" t="str">
        <f t="shared" si="92"/>
        <v/>
      </c>
      <c r="R1019" s="104" t="str">
        <f t="shared" si="93"/>
        <v/>
      </c>
      <c r="S1019" s="104" t="str">
        <f t="shared" si="94"/>
        <v/>
      </c>
      <c r="T1019" s="104" t="str">
        <f t="shared" si="95"/>
        <v/>
      </c>
      <c r="U1019" s="104" t="str">
        <f t="shared" si="96"/>
        <v/>
      </c>
      <c r="V1019" s="104" t="str">
        <f t="shared" si="97"/>
        <v/>
      </c>
      <c r="W1019" s="105"/>
    </row>
    <row r="1020" spans="1:23" ht="15" customHeight="1">
      <c r="A1020" s="92">
        <v>22</v>
      </c>
      <c r="B1020" s="121" t="s">
        <v>426</v>
      </c>
      <c r="C1020" s="122"/>
      <c r="D1020" s="798">
        <f>1+0.3+1</f>
        <v>2.2999999999999998</v>
      </c>
      <c r="E1020" s="798"/>
      <c r="F1020" s="118"/>
      <c r="G1020" s="108">
        <v>0.25</v>
      </c>
      <c r="H1020" s="98">
        <v>20</v>
      </c>
      <c r="I1020" s="99">
        <v>1</v>
      </c>
      <c r="J1020" s="101">
        <f>ROUND(3.1/G1020+1,0)</f>
        <v>13</v>
      </c>
      <c r="K1020" s="109">
        <f>D1020</f>
        <v>2.2999999999999998</v>
      </c>
      <c r="L1020" s="110" t="str">
        <f>IF(O1020&lt;12,"0",0.049*H1020)</f>
        <v>0</v>
      </c>
      <c r="M1020" s="111">
        <v>0</v>
      </c>
      <c r="N1020" s="99">
        <f>M1020*2*H1020/1000</f>
        <v>0</v>
      </c>
      <c r="O1020" s="112">
        <f>(D1020)-N1020</f>
        <v>2.2999999999999998</v>
      </c>
      <c r="P1020" s="112">
        <f>(I1020*J1020*O1020)+L1020</f>
        <v>29.9</v>
      </c>
      <c r="Q1020" s="104" t="str">
        <f t="shared" si="92"/>
        <v/>
      </c>
      <c r="R1020" s="104" t="str">
        <f t="shared" si="93"/>
        <v/>
      </c>
      <c r="S1020" s="104" t="str">
        <f t="shared" si="94"/>
        <v/>
      </c>
      <c r="T1020" s="104" t="str">
        <f t="shared" si="95"/>
        <v/>
      </c>
      <c r="U1020" s="104">
        <f t="shared" si="96"/>
        <v>29.9</v>
      </c>
      <c r="V1020" s="104" t="str">
        <f t="shared" si="97"/>
        <v/>
      </c>
      <c r="W1020" s="105"/>
    </row>
    <row r="1021" spans="1:23">
      <c r="A1021" s="92"/>
      <c r="B1021" s="121" t="s">
        <v>280</v>
      </c>
      <c r="C1021" s="107"/>
      <c r="D1021" s="389"/>
      <c r="E1021" s="389"/>
      <c r="F1021" s="118"/>
      <c r="G1021" s="108"/>
      <c r="H1021" s="98"/>
      <c r="I1021" s="99"/>
      <c r="J1021" s="101"/>
      <c r="K1021" s="109"/>
      <c r="L1021" s="110"/>
      <c r="M1021" s="111"/>
      <c r="N1021" s="99"/>
      <c r="O1021" s="112"/>
      <c r="P1021" s="112"/>
      <c r="Q1021" s="104" t="str">
        <f t="shared" si="92"/>
        <v/>
      </c>
      <c r="R1021" s="104" t="str">
        <f t="shared" si="93"/>
        <v/>
      </c>
      <c r="S1021" s="104" t="str">
        <f t="shared" si="94"/>
        <v/>
      </c>
      <c r="T1021" s="104" t="str">
        <f t="shared" si="95"/>
        <v/>
      </c>
      <c r="U1021" s="104" t="str">
        <f t="shared" si="96"/>
        <v/>
      </c>
      <c r="V1021" s="104" t="str">
        <f t="shared" si="97"/>
        <v/>
      </c>
      <c r="W1021" s="105"/>
    </row>
    <row r="1022" spans="1:23">
      <c r="A1022" s="92"/>
      <c r="B1022" s="121"/>
      <c r="C1022" s="107"/>
      <c r="D1022" s="389"/>
      <c r="E1022" s="389"/>
      <c r="F1022" s="118"/>
      <c r="G1022" s="108"/>
      <c r="H1022" s="98"/>
      <c r="I1022" s="99"/>
      <c r="J1022" s="101"/>
      <c r="K1022" s="109"/>
      <c r="L1022" s="110"/>
      <c r="M1022" s="111"/>
      <c r="N1022" s="99"/>
      <c r="O1022" s="112"/>
      <c r="P1022" s="112"/>
      <c r="Q1022" s="104" t="str">
        <f t="shared" si="92"/>
        <v/>
      </c>
      <c r="R1022" s="104" t="str">
        <f t="shared" si="93"/>
        <v/>
      </c>
      <c r="S1022" s="104" t="str">
        <f t="shared" si="94"/>
        <v/>
      </c>
      <c r="T1022" s="104" t="str">
        <f t="shared" si="95"/>
        <v/>
      </c>
      <c r="U1022" s="104" t="str">
        <f t="shared" si="96"/>
        <v/>
      </c>
      <c r="V1022" s="104" t="str">
        <f t="shared" si="97"/>
        <v/>
      </c>
      <c r="W1022" s="105"/>
    </row>
    <row r="1023" spans="1:23" ht="15" customHeight="1">
      <c r="A1023" s="92">
        <v>23</v>
      </c>
      <c r="B1023" s="121" t="s">
        <v>427</v>
      </c>
      <c r="C1023" s="122"/>
      <c r="D1023" s="798">
        <f>1.25+0.6+1.25</f>
        <v>3.1</v>
      </c>
      <c r="E1023" s="798"/>
      <c r="F1023" s="118"/>
      <c r="G1023" s="108">
        <v>0.25</v>
      </c>
      <c r="H1023" s="98">
        <v>25</v>
      </c>
      <c r="I1023" s="99">
        <v>1</v>
      </c>
      <c r="J1023" s="101">
        <f>ROUND(2.3/G1023+1,0)</f>
        <v>10</v>
      </c>
      <c r="K1023" s="109">
        <f>D1023</f>
        <v>3.1</v>
      </c>
      <c r="L1023" s="110" t="str">
        <f>IF(O1023&lt;12,"0",0.049*H1023)</f>
        <v>0</v>
      </c>
      <c r="M1023" s="111">
        <v>0</v>
      </c>
      <c r="N1023" s="99">
        <f>M1023*2*H1023/1000</f>
        <v>0</v>
      </c>
      <c r="O1023" s="112">
        <f>(D1023)-N1023</f>
        <v>3.1</v>
      </c>
      <c r="P1023" s="112">
        <f>(I1023*J1023*O1023)+L1023</f>
        <v>31</v>
      </c>
      <c r="Q1023" s="104" t="str">
        <f t="shared" ref="Q1023:Q1086" si="98">IF($H1023=8,$P1023,"")</f>
        <v/>
      </c>
      <c r="R1023" s="104" t="str">
        <f t="shared" ref="R1023:R1086" si="99">IF($H1023=10,$P1023,"")</f>
        <v/>
      </c>
      <c r="S1023" s="104" t="str">
        <f t="shared" ref="S1023:S1086" si="100">IF($H1023=12,$P1023,"")</f>
        <v/>
      </c>
      <c r="T1023" s="104" t="str">
        <f t="shared" ref="T1023:T1086" si="101">IF($H1023=16,$P1023,"")</f>
        <v/>
      </c>
      <c r="U1023" s="104" t="str">
        <f t="shared" ref="U1023:U1086" si="102">IF($H1023=20,$P1023,"")</f>
        <v/>
      </c>
      <c r="V1023" s="104">
        <f t="shared" ref="V1023:V1086" si="103">IF($H1023=25,$P1023,"")</f>
        <v>31</v>
      </c>
      <c r="W1023" s="105"/>
    </row>
    <row r="1024" spans="1:23">
      <c r="A1024" s="92"/>
      <c r="B1024" s="121" t="s">
        <v>280</v>
      </c>
      <c r="C1024" s="107"/>
      <c r="D1024" s="389"/>
      <c r="E1024" s="389"/>
      <c r="F1024" s="118"/>
      <c r="G1024" s="108"/>
      <c r="H1024" s="98"/>
      <c r="I1024" s="99"/>
      <c r="J1024" s="101"/>
      <c r="K1024" s="109"/>
      <c r="L1024" s="110"/>
      <c r="M1024" s="111"/>
      <c r="N1024" s="99"/>
      <c r="O1024" s="112"/>
      <c r="P1024" s="112"/>
      <c r="Q1024" s="104" t="str">
        <f t="shared" si="98"/>
        <v/>
      </c>
      <c r="R1024" s="104" t="str">
        <f t="shared" si="99"/>
        <v/>
      </c>
      <c r="S1024" s="104" t="str">
        <f t="shared" si="100"/>
        <v/>
      </c>
      <c r="T1024" s="104" t="str">
        <f t="shared" si="101"/>
        <v/>
      </c>
      <c r="U1024" s="104" t="str">
        <f t="shared" si="102"/>
        <v/>
      </c>
      <c r="V1024" s="104" t="str">
        <f t="shared" si="103"/>
        <v/>
      </c>
      <c r="W1024" s="105"/>
    </row>
    <row r="1025" spans="1:23">
      <c r="A1025" s="92"/>
      <c r="B1025" s="121"/>
      <c r="C1025" s="107"/>
      <c r="D1025" s="389"/>
      <c r="E1025" s="389"/>
      <c r="F1025" s="118"/>
      <c r="G1025" s="108"/>
      <c r="H1025" s="98"/>
      <c r="I1025" s="99"/>
      <c r="J1025" s="101"/>
      <c r="K1025" s="109"/>
      <c r="L1025" s="110"/>
      <c r="M1025" s="111"/>
      <c r="N1025" s="99"/>
      <c r="O1025" s="112"/>
      <c r="P1025" s="112"/>
      <c r="Q1025" s="104" t="str">
        <f t="shared" si="98"/>
        <v/>
      </c>
      <c r="R1025" s="104" t="str">
        <f t="shared" si="99"/>
        <v/>
      </c>
      <c r="S1025" s="104" t="str">
        <f t="shared" si="100"/>
        <v/>
      </c>
      <c r="T1025" s="104" t="str">
        <f t="shared" si="101"/>
        <v/>
      </c>
      <c r="U1025" s="104" t="str">
        <f t="shared" si="102"/>
        <v/>
      </c>
      <c r="V1025" s="104" t="str">
        <f t="shared" si="103"/>
        <v/>
      </c>
      <c r="W1025" s="105"/>
    </row>
    <row r="1026" spans="1:23" ht="15" customHeight="1">
      <c r="A1026" s="92">
        <v>24</v>
      </c>
      <c r="B1026" s="121" t="s">
        <v>426</v>
      </c>
      <c r="C1026" s="122"/>
      <c r="D1026" s="798">
        <f>1+0.3+1</f>
        <v>2.2999999999999998</v>
      </c>
      <c r="E1026" s="798"/>
      <c r="F1026" s="118"/>
      <c r="G1026" s="108">
        <v>0.25</v>
      </c>
      <c r="H1026" s="98">
        <v>20</v>
      </c>
      <c r="I1026" s="99">
        <v>1</v>
      </c>
      <c r="J1026" s="101">
        <f>ROUND(2.715/G1026+1,0)</f>
        <v>12</v>
      </c>
      <c r="K1026" s="109">
        <f>D1026</f>
        <v>2.2999999999999998</v>
      </c>
      <c r="L1026" s="110" t="str">
        <f>IF(O1026&lt;12,"0",0.049*H1026)</f>
        <v>0</v>
      </c>
      <c r="M1026" s="111">
        <v>0</v>
      </c>
      <c r="N1026" s="99">
        <f>M1026*2*H1026/1000</f>
        <v>0</v>
      </c>
      <c r="O1026" s="112">
        <f>(D1026)-N1026</f>
        <v>2.2999999999999998</v>
      </c>
      <c r="P1026" s="112">
        <f>(I1026*J1026*O1026)+L1026</f>
        <v>27.599999999999998</v>
      </c>
      <c r="Q1026" s="104" t="str">
        <f t="shared" si="98"/>
        <v/>
      </c>
      <c r="R1026" s="104" t="str">
        <f t="shared" si="99"/>
        <v/>
      </c>
      <c r="S1026" s="104" t="str">
        <f t="shared" si="100"/>
        <v/>
      </c>
      <c r="T1026" s="104" t="str">
        <f t="shared" si="101"/>
        <v/>
      </c>
      <c r="U1026" s="104">
        <f t="shared" si="102"/>
        <v>27.599999999999998</v>
      </c>
      <c r="V1026" s="104" t="str">
        <f t="shared" si="103"/>
        <v/>
      </c>
      <c r="W1026" s="105"/>
    </row>
    <row r="1027" spans="1:23">
      <c r="A1027" s="92"/>
      <c r="B1027" s="121" t="s">
        <v>281</v>
      </c>
      <c r="C1027" s="107"/>
      <c r="D1027" s="389"/>
      <c r="E1027" s="389"/>
      <c r="F1027" s="118"/>
      <c r="G1027" s="108"/>
      <c r="H1027" s="98"/>
      <c r="I1027" s="99"/>
      <c r="J1027" s="101"/>
      <c r="K1027" s="109"/>
      <c r="L1027" s="110"/>
      <c r="M1027" s="111"/>
      <c r="N1027" s="99"/>
      <c r="O1027" s="112"/>
      <c r="P1027" s="112"/>
      <c r="Q1027" s="104" t="str">
        <f t="shared" si="98"/>
        <v/>
      </c>
      <c r="R1027" s="104" t="str">
        <f t="shared" si="99"/>
        <v/>
      </c>
      <c r="S1027" s="104" t="str">
        <f t="shared" si="100"/>
        <v/>
      </c>
      <c r="T1027" s="104" t="str">
        <f t="shared" si="101"/>
        <v/>
      </c>
      <c r="U1027" s="104" t="str">
        <f t="shared" si="102"/>
        <v/>
      </c>
      <c r="V1027" s="104" t="str">
        <f t="shared" si="103"/>
        <v/>
      </c>
      <c r="W1027" s="105"/>
    </row>
    <row r="1028" spans="1:23">
      <c r="A1028" s="92"/>
      <c r="B1028" s="121"/>
      <c r="C1028" s="107"/>
      <c r="D1028" s="389"/>
      <c r="E1028" s="389"/>
      <c r="F1028" s="118"/>
      <c r="G1028" s="108"/>
      <c r="H1028" s="98"/>
      <c r="I1028" s="99"/>
      <c r="J1028" s="101"/>
      <c r="K1028" s="109"/>
      <c r="L1028" s="110"/>
      <c r="M1028" s="111"/>
      <c r="N1028" s="99"/>
      <c r="O1028" s="112"/>
      <c r="P1028" s="112"/>
      <c r="Q1028" s="104" t="str">
        <f t="shared" si="98"/>
        <v/>
      </c>
      <c r="R1028" s="104" t="str">
        <f t="shared" si="99"/>
        <v/>
      </c>
      <c r="S1028" s="104" t="str">
        <f t="shared" si="100"/>
        <v/>
      </c>
      <c r="T1028" s="104" t="str">
        <f t="shared" si="101"/>
        <v/>
      </c>
      <c r="U1028" s="104" t="str">
        <f t="shared" si="102"/>
        <v/>
      </c>
      <c r="V1028" s="104" t="str">
        <f t="shared" si="103"/>
        <v/>
      </c>
      <c r="W1028" s="105"/>
    </row>
    <row r="1029" spans="1:23" ht="15" customHeight="1">
      <c r="A1029" s="92">
        <v>25</v>
      </c>
      <c r="B1029" s="121" t="s">
        <v>427</v>
      </c>
      <c r="C1029" s="122"/>
      <c r="D1029" s="798">
        <f>1+0.715+1</f>
        <v>2.7149999999999999</v>
      </c>
      <c r="E1029" s="798"/>
      <c r="F1029" s="118"/>
      <c r="G1029" s="108">
        <v>0.25</v>
      </c>
      <c r="H1029" s="98">
        <v>20</v>
      </c>
      <c r="I1029" s="99">
        <v>1</v>
      </c>
      <c r="J1029" s="101">
        <f>ROUND(2.3/G1029+1,0)</f>
        <v>10</v>
      </c>
      <c r="K1029" s="109">
        <f>D1029</f>
        <v>2.7149999999999999</v>
      </c>
      <c r="L1029" s="110" t="str">
        <f>IF(O1029&lt;12,"0",0.049*H1029)</f>
        <v>0</v>
      </c>
      <c r="M1029" s="111">
        <v>0</v>
      </c>
      <c r="N1029" s="99">
        <f>M1029*2*H1029/1000</f>
        <v>0</v>
      </c>
      <c r="O1029" s="112">
        <f>(D1029)-N1029</f>
        <v>2.7149999999999999</v>
      </c>
      <c r="P1029" s="112">
        <f>(I1029*J1029*O1029)+L1029</f>
        <v>27.15</v>
      </c>
      <c r="Q1029" s="104" t="str">
        <f t="shared" si="98"/>
        <v/>
      </c>
      <c r="R1029" s="104" t="str">
        <f t="shared" si="99"/>
        <v/>
      </c>
      <c r="S1029" s="104" t="str">
        <f t="shared" si="100"/>
        <v/>
      </c>
      <c r="T1029" s="104" t="str">
        <f t="shared" si="101"/>
        <v/>
      </c>
      <c r="U1029" s="104">
        <f t="shared" si="102"/>
        <v>27.15</v>
      </c>
      <c r="V1029" s="104" t="str">
        <f t="shared" si="103"/>
        <v/>
      </c>
      <c r="W1029" s="105"/>
    </row>
    <row r="1030" spans="1:23">
      <c r="A1030" s="92"/>
      <c r="B1030" s="121" t="s">
        <v>281</v>
      </c>
      <c r="C1030" s="107"/>
      <c r="D1030" s="389"/>
      <c r="E1030" s="389"/>
      <c r="F1030" s="118"/>
      <c r="G1030" s="108"/>
      <c r="H1030" s="98"/>
      <c r="I1030" s="99"/>
      <c r="J1030" s="101"/>
      <c r="K1030" s="109"/>
      <c r="L1030" s="110"/>
      <c r="M1030" s="111"/>
      <c r="N1030" s="99"/>
      <c r="O1030" s="112"/>
      <c r="P1030" s="112"/>
      <c r="Q1030" s="104" t="str">
        <f t="shared" si="98"/>
        <v/>
      </c>
      <c r="R1030" s="104" t="str">
        <f t="shared" si="99"/>
        <v/>
      </c>
      <c r="S1030" s="104" t="str">
        <f t="shared" si="100"/>
        <v/>
      </c>
      <c r="T1030" s="104" t="str">
        <f t="shared" si="101"/>
        <v/>
      </c>
      <c r="U1030" s="104" t="str">
        <f t="shared" si="102"/>
        <v/>
      </c>
      <c r="V1030" s="104" t="str">
        <f t="shared" si="103"/>
        <v/>
      </c>
      <c r="W1030" s="105"/>
    </row>
    <row r="1031" spans="1:23">
      <c r="A1031" s="92"/>
      <c r="B1031" s="121"/>
      <c r="C1031" s="107"/>
      <c r="D1031" s="389"/>
      <c r="E1031" s="389"/>
      <c r="F1031" s="118"/>
      <c r="G1031" s="108"/>
      <c r="H1031" s="98"/>
      <c r="I1031" s="99"/>
      <c r="J1031" s="101"/>
      <c r="K1031" s="109"/>
      <c r="L1031" s="110"/>
      <c r="M1031" s="111"/>
      <c r="N1031" s="99"/>
      <c r="O1031" s="112"/>
      <c r="P1031" s="112"/>
      <c r="Q1031" s="104" t="str">
        <f t="shared" si="98"/>
        <v/>
      </c>
      <c r="R1031" s="104" t="str">
        <f t="shared" si="99"/>
        <v/>
      </c>
      <c r="S1031" s="104" t="str">
        <f t="shared" si="100"/>
        <v/>
      </c>
      <c r="T1031" s="104" t="str">
        <f t="shared" si="101"/>
        <v/>
      </c>
      <c r="U1031" s="104" t="str">
        <f t="shared" si="102"/>
        <v/>
      </c>
      <c r="V1031" s="104" t="str">
        <f t="shared" si="103"/>
        <v/>
      </c>
      <c r="W1031" s="105"/>
    </row>
    <row r="1032" spans="1:23" ht="15" customHeight="1">
      <c r="A1032" s="92">
        <v>26</v>
      </c>
      <c r="B1032" s="121" t="s">
        <v>426</v>
      </c>
      <c r="C1032" s="122"/>
      <c r="D1032" s="798">
        <f>1+1+0.835+0.1+1</f>
        <v>3.9350000000000001</v>
      </c>
      <c r="E1032" s="798"/>
      <c r="F1032" s="118"/>
      <c r="G1032" s="108">
        <v>0.25</v>
      </c>
      <c r="H1032" s="98">
        <v>20</v>
      </c>
      <c r="I1032" s="99">
        <v>1</v>
      </c>
      <c r="J1032" s="101">
        <f>ROUND(4.075/G1032+1,0)</f>
        <v>17</v>
      </c>
      <c r="K1032" s="109">
        <f>D1032</f>
        <v>3.9350000000000001</v>
      </c>
      <c r="L1032" s="110" t="str">
        <f>IF(O1032&lt;12,"0",0.049*H1032)</f>
        <v>0</v>
      </c>
      <c r="M1032" s="111">
        <v>0</v>
      </c>
      <c r="N1032" s="99">
        <f>M1032*2*H1032/1000</f>
        <v>0</v>
      </c>
      <c r="O1032" s="112">
        <f>(D1032)-N1032</f>
        <v>3.9350000000000001</v>
      </c>
      <c r="P1032" s="112">
        <f>(I1032*J1032*O1032)+L1032</f>
        <v>66.894999999999996</v>
      </c>
      <c r="Q1032" s="104" t="str">
        <f t="shared" si="98"/>
        <v/>
      </c>
      <c r="R1032" s="104" t="str">
        <f t="shared" si="99"/>
        <v/>
      </c>
      <c r="S1032" s="104" t="str">
        <f t="shared" si="100"/>
        <v/>
      </c>
      <c r="T1032" s="104" t="str">
        <f t="shared" si="101"/>
        <v/>
      </c>
      <c r="U1032" s="104">
        <f t="shared" si="102"/>
        <v>66.894999999999996</v>
      </c>
      <c r="V1032" s="104" t="str">
        <f t="shared" si="103"/>
        <v/>
      </c>
      <c r="W1032" s="105"/>
    </row>
    <row r="1033" spans="1:23">
      <c r="A1033" s="92"/>
      <c r="B1033" s="121" t="s">
        <v>282</v>
      </c>
      <c r="C1033" s="107"/>
      <c r="D1033" s="389"/>
      <c r="E1033" s="389"/>
      <c r="F1033" s="118"/>
      <c r="G1033" s="108"/>
      <c r="H1033" s="98"/>
      <c r="I1033" s="99"/>
      <c r="J1033" s="101"/>
      <c r="K1033" s="109"/>
      <c r="L1033" s="110"/>
      <c r="M1033" s="111"/>
      <c r="N1033" s="99"/>
      <c r="O1033" s="112"/>
      <c r="P1033" s="112"/>
      <c r="Q1033" s="104" t="str">
        <f t="shared" si="98"/>
        <v/>
      </c>
      <c r="R1033" s="104" t="str">
        <f t="shared" si="99"/>
        <v/>
      </c>
      <c r="S1033" s="104" t="str">
        <f t="shared" si="100"/>
        <v/>
      </c>
      <c r="T1033" s="104" t="str">
        <f t="shared" si="101"/>
        <v/>
      </c>
      <c r="U1033" s="104" t="str">
        <f t="shared" si="102"/>
        <v/>
      </c>
      <c r="V1033" s="104" t="str">
        <f t="shared" si="103"/>
        <v/>
      </c>
      <c r="W1033" s="105"/>
    </row>
    <row r="1034" spans="1:23">
      <c r="A1034" s="92"/>
      <c r="B1034" s="121"/>
      <c r="C1034" s="107"/>
      <c r="D1034" s="389"/>
      <c r="E1034" s="389"/>
      <c r="F1034" s="118"/>
      <c r="G1034" s="108"/>
      <c r="H1034" s="98"/>
      <c r="I1034" s="99"/>
      <c r="J1034" s="101"/>
      <c r="K1034" s="109"/>
      <c r="L1034" s="110"/>
      <c r="M1034" s="111"/>
      <c r="N1034" s="99"/>
      <c r="O1034" s="112"/>
      <c r="P1034" s="112"/>
      <c r="Q1034" s="104" t="str">
        <f t="shared" si="98"/>
        <v/>
      </c>
      <c r="R1034" s="104" t="str">
        <f t="shared" si="99"/>
        <v/>
      </c>
      <c r="S1034" s="104" t="str">
        <f t="shared" si="100"/>
        <v/>
      </c>
      <c r="T1034" s="104" t="str">
        <f t="shared" si="101"/>
        <v/>
      </c>
      <c r="U1034" s="104" t="str">
        <f t="shared" si="102"/>
        <v/>
      </c>
      <c r="V1034" s="104" t="str">
        <f t="shared" si="103"/>
        <v/>
      </c>
      <c r="W1034" s="105"/>
    </row>
    <row r="1035" spans="1:23" ht="15" customHeight="1">
      <c r="A1035" s="92">
        <v>27</v>
      </c>
      <c r="B1035" s="121" t="s">
        <v>427</v>
      </c>
      <c r="C1035" s="122"/>
      <c r="D1035" s="798">
        <v>4.0599999999999996</v>
      </c>
      <c r="E1035" s="798"/>
      <c r="F1035" s="118"/>
      <c r="G1035" s="108">
        <v>0.25</v>
      </c>
      <c r="H1035" s="98">
        <v>20</v>
      </c>
      <c r="I1035" s="99">
        <v>1</v>
      </c>
      <c r="J1035" s="101">
        <f>ROUND(3.935/G1035+1,0)</f>
        <v>17</v>
      </c>
      <c r="K1035" s="109">
        <f>D1035</f>
        <v>4.0599999999999996</v>
      </c>
      <c r="L1035" s="110" t="str">
        <f>IF(O1035&lt;12,"0",0.049*H1035)</f>
        <v>0</v>
      </c>
      <c r="M1035" s="111">
        <v>0</v>
      </c>
      <c r="N1035" s="99">
        <f>M1035*2*H1035/1000</f>
        <v>0</v>
      </c>
      <c r="O1035" s="112">
        <f>(D1035)-N1035</f>
        <v>4.0599999999999996</v>
      </c>
      <c r="P1035" s="112">
        <f>(I1035*J1035*O1035)+L1035</f>
        <v>69.02</v>
      </c>
      <c r="Q1035" s="104" t="str">
        <f t="shared" si="98"/>
        <v/>
      </c>
      <c r="R1035" s="104" t="str">
        <f t="shared" si="99"/>
        <v/>
      </c>
      <c r="S1035" s="104" t="str">
        <f t="shared" si="100"/>
        <v/>
      </c>
      <c r="T1035" s="104" t="str">
        <f t="shared" si="101"/>
        <v/>
      </c>
      <c r="U1035" s="104">
        <f t="shared" si="102"/>
        <v>69.02</v>
      </c>
      <c r="V1035" s="104" t="str">
        <f t="shared" si="103"/>
        <v/>
      </c>
      <c r="W1035" s="105"/>
    </row>
    <row r="1036" spans="1:23">
      <c r="A1036" s="92"/>
      <c r="B1036" s="121" t="s">
        <v>282</v>
      </c>
      <c r="C1036" s="107"/>
      <c r="D1036" s="389"/>
      <c r="E1036" s="389"/>
      <c r="F1036" s="118"/>
      <c r="G1036" s="108"/>
      <c r="H1036" s="98"/>
      <c r="I1036" s="99"/>
      <c r="J1036" s="101"/>
      <c r="K1036" s="109"/>
      <c r="L1036" s="110"/>
      <c r="M1036" s="111"/>
      <c r="N1036" s="99"/>
      <c r="O1036" s="112"/>
      <c r="P1036" s="112"/>
      <c r="Q1036" s="104" t="str">
        <f t="shared" si="98"/>
        <v/>
      </c>
      <c r="R1036" s="104" t="str">
        <f t="shared" si="99"/>
        <v/>
      </c>
      <c r="S1036" s="104" t="str">
        <f t="shared" si="100"/>
        <v/>
      </c>
      <c r="T1036" s="104" t="str">
        <f t="shared" si="101"/>
        <v/>
      </c>
      <c r="U1036" s="104" t="str">
        <f t="shared" si="102"/>
        <v/>
      </c>
      <c r="V1036" s="104" t="str">
        <f t="shared" si="103"/>
        <v/>
      </c>
      <c r="W1036" s="105"/>
    </row>
    <row r="1037" spans="1:23">
      <c r="A1037" s="92"/>
      <c r="B1037" s="121"/>
      <c r="C1037" s="107"/>
      <c r="D1037" s="389"/>
      <c r="E1037" s="389"/>
      <c r="F1037" s="118"/>
      <c r="G1037" s="108"/>
      <c r="H1037" s="98"/>
      <c r="I1037" s="99"/>
      <c r="J1037" s="101"/>
      <c r="K1037" s="109"/>
      <c r="L1037" s="110"/>
      <c r="M1037" s="111"/>
      <c r="N1037" s="99"/>
      <c r="O1037" s="112"/>
      <c r="P1037" s="112"/>
      <c r="Q1037" s="104" t="str">
        <f t="shared" si="98"/>
        <v/>
      </c>
      <c r="R1037" s="104" t="str">
        <f t="shared" si="99"/>
        <v/>
      </c>
      <c r="S1037" s="104" t="str">
        <f t="shared" si="100"/>
        <v/>
      </c>
      <c r="T1037" s="104" t="str">
        <f t="shared" si="101"/>
        <v/>
      </c>
      <c r="U1037" s="104" t="str">
        <f t="shared" si="102"/>
        <v/>
      </c>
      <c r="V1037" s="104" t="str">
        <f t="shared" si="103"/>
        <v/>
      </c>
      <c r="W1037" s="105"/>
    </row>
    <row r="1038" spans="1:23" ht="15" customHeight="1">
      <c r="A1038" s="92">
        <v>28</v>
      </c>
      <c r="B1038" s="121" t="s">
        <v>426</v>
      </c>
      <c r="C1038" s="122"/>
      <c r="D1038" s="798">
        <f>0.8+0.23+0.8</f>
        <v>1.83</v>
      </c>
      <c r="E1038" s="798"/>
      <c r="F1038" s="118"/>
      <c r="G1038" s="108">
        <v>0.25</v>
      </c>
      <c r="H1038" s="98">
        <v>16</v>
      </c>
      <c r="I1038" s="99">
        <v>1</v>
      </c>
      <c r="J1038" s="101">
        <f>ROUND(3.185/G1038+1,0)</f>
        <v>14</v>
      </c>
      <c r="K1038" s="109">
        <f>D1038</f>
        <v>1.83</v>
      </c>
      <c r="L1038" s="110" t="str">
        <f>IF(O1038&lt;12,"0",0.049*H1038)</f>
        <v>0</v>
      </c>
      <c r="M1038" s="111">
        <v>0</v>
      </c>
      <c r="N1038" s="99">
        <f>M1038*2*H1038/1000</f>
        <v>0</v>
      </c>
      <c r="O1038" s="112">
        <f>(D1038)-N1038</f>
        <v>1.83</v>
      </c>
      <c r="P1038" s="112">
        <f>(I1038*J1038*O1038)+L1038</f>
        <v>25.62</v>
      </c>
      <c r="Q1038" s="104" t="str">
        <f t="shared" si="98"/>
        <v/>
      </c>
      <c r="R1038" s="104" t="str">
        <f t="shared" si="99"/>
        <v/>
      </c>
      <c r="S1038" s="104" t="str">
        <f t="shared" si="100"/>
        <v/>
      </c>
      <c r="T1038" s="104">
        <f t="shared" si="101"/>
        <v>25.62</v>
      </c>
      <c r="U1038" s="104" t="str">
        <f t="shared" si="102"/>
        <v/>
      </c>
      <c r="V1038" s="104" t="str">
        <f t="shared" si="103"/>
        <v/>
      </c>
      <c r="W1038" s="105"/>
    </row>
    <row r="1039" spans="1:23">
      <c r="A1039" s="92"/>
      <c r="B1039" s="121" t="s">
        <v>283</v>
      </c>
      <c r="C1039" s="107"/>
      <c r="D1039" s="389"/>
      <c r="E1039" s="389"/>
      <c r="F1039" s="118"/>
      <c r="G1039" s="108"/>
      <c r="H1039" s="98"/>
      <c r="I1039" s="99"/>
      <c r="J1039" s="101"/>
      <c r="K1039" s="109"/>
      <c r="L1039" s="110"/>
      <c r="M1039" s="111"/>
      <c r="N1039" s="99"/>
      <c r="O1039" s="112"/>
      <c r="P1039" s="112"/>
      <c r="Q1039" s="104" t="str">
        <f t="shared" si="98"/>
        <v/>
      </c>
      <c r="R1039" s="104" t="str">
        <f t="shared" si="99"/>
        <v/>
      </c>
      <c r="S1039" s="104" t="str">
        <f t="shared" si="100"/>
        <v/>
      </c>
      <c r="T1039" s="104" t="str">
        <f t="shared" si="101"/>
        <v/>
      </c>
      <c r="U1039" s="104" t="str">
        <f t="shared" si="102"/>
        <v/>
      </c>
      <c r="V1039" s="104" t="str">
        <f t="shared" si="103"/>
        <v/>
      </c>
      <c r="W1039" s="105"/>
    </row>
    <row r="1040" spans="1:23">
      <c r="A1040" s="92"/>
      <c r="B1040" s="121"/>
      <c r="C1040" s="107"/>
      <c r="D1040" s="389"/>
      <c r="E1040" s="389"/>
      <c r="F1040" s="118"/>
      <c r="G1040" s="108"/>
      <c r="H1040" s="98"/>
      <c r="I1040" s="99"/>
      <c r="J1040" s="101"/>
      <c r="K1040" s="109"/>
      <c r="L1040" s="110"/>
      <c r="M1040" s="111"/>
      <c r="N1040" s="99"/>
      <c r="O1040" s="112"/>
      <c r="P1040" s="112"/>
      <c r="Q1040" s="104" t="str">
        <f t="shared" si="98"/>
        <v/>
      </c>
      <c r="R1040" s="104" t="str">
        <f t="shared" si="99"/>
        <v/>
      </c>
      <c r="S1040" s="104" t="str">
        <f t="shared" si="100"/>
        <v/>
      </c>
      <c r="T1040" s="104" t="str">
        <f t="shared" si="101"/>
        <v/>
      </c>
      <c r="U1040" s="104" t="str">
        <f t="shared" si="102"/>
        <v/>
      </c>
      <c r="V1040" s="104" t="str">
        <f t="shared" si="103"/>
        <v/>
      </c>
      <c r="W1040" s="105"/>
    </row>
    <row r="1041" spans="1:23" ht="15" customHeight="1">
      <c r="A1041" s="92">
        <v>29</v>
      </c>
      <c r="B1041" s="121" t="s">
        <v>427</v>
      </c>
      <c r="C1041" s="122"/>
      <c r="D1041" s="798">
        <f>1+1.185+1</f>
        <v>3.1850000000000001</v>
      </c>
      <c r="E1041" s="798"/>
      <c r="F1041" s="118"/>
      <c r="G1041" s="108">
        <v>0.25</v>
      </c>
      <c r="H1041" s="98">
        <v>20</v>
      </c>
      <c r="I1041" s="99">
        <v>1</v>
      </c>
      <c r="J1041" s="101">
        <f>ROUND(1.83/G1041+1,0)</f>
        <v>8</v>
      </c>
      <c r="K1041" s="109">
        <f>D1041</f>
        <v>3.1850000000000001</v>
      </c>
      <c r="L1041" s="110" t="str">
        <f>IF(O1041&lt;12,"0",0.049*H1041)</f>
        <v>0</v>
      </c>
      <c r="M1041" s="111">
        <v>0</v>
      </c>
      <c r="N1041" s="99">
        <f>M1041*2*H1041/1000</f>
        <v>0</v>
      </c>
      <c r="O1041" s="112">
        <f>(D1041)-N1041</f>
        <v>3.1850000000000001</v>
      </c>
      <c r="P1041" s="112">
        <f>(I1041*J1041*O1041)+L1041</f>
        <v>25.48</v>
      </c>
      <c r="Q1041" s="104" t="str">
        <f t="shared" si="98"/>
        <v/>
      </c>
      <c r="R1041" s="104" t="str">
        <f t="shared" si="99"/>
        <v/>
      </c>
      <c r="S1041" s="104" t="str">
        <f t="shared" si="100"/>
        <v/>
      </c>
      <c r="T1041" s="104" t="str">
        <f t="shared" si="101"/>
        <v/>
      </c>
      <c r="U1041" s="104">
        <f t="shared" si="102"/>
        <v>25.48</v>
      </c>
      <c r="V1041" s="104" t="str">
        <f t="shared" si="103"/>
        <v/>
      </c>
      <c r="W1041" s="105"/>
    </row>
    <row r="1042" spans="1:23">
      <c r="A1042" s="92"/>
      <c r="B1042" s="121" t="s">
        <v>284</v>
      </c>
      <c r="C1042" s="107"/>
      <c r="D1042" s="389"/>
      <c r="E1042" s="389"/>
      <c r="F1042" s="118"/>
      <c r="G1042" s="108"/>
      <c r="H1042" s="98"/>
      <c r="I1042" s="99"/>
      <c r="J1042" s="101"/>
      <c r="K1042" s="109"/>
      <c r="L1042" s="110"/>
      <c r="M1042" s="111"/>
      <c r="N1042" s="99"/>
      <c r="O1042" s="112"/>
      <c r="P1042" s="112"/>
      <c r="Q1042" s="104" t="str">
        <f t="shared" si="98"/>
        <v/>
      </c>
      <c r="R1042" s="104" t="str">
        <f t="shared" si="99"/>
        <v/>
      </c>
      <c r="S1042" s="104" t="str">
        <f t="shared" si="100"/>
        <v/>
      </c>
      <c r="T1042" s="104" t="str">
        <f t="shared" si="101"/>
        <v/>
      </c>
      <c r="U1042" s="104" t="str">
        <f t="shared" si="102"/>
        <v/>
      </c>
      <c r="V1042" s="104" t="str">
        <f t="shared" si="103"/>
        <v/>
      </c>
      <c r="W1042" s="105"/>
    </row>
    <row r="1043" spans="1:23">
      <c r="A1043" s="92"/>
      <c r="B1043" s="121"/>
      <c r="C1043" s="107"/>
      <c r="D1043" s="389"/>
      <c r="E1043" s="389"/>
      <c r="F1043" s="118"/>
      <c r="G1043" s="108"/>
      <c r="H1043" s="98"/>
      <c r="I1043" s="99"/>
      <c r="J1043" s="101"/>
      <c r="K1043" s="109"/>
      <c r="L1043" s="110"/>
      <c r="M1043" s="111"/>
      <c r="N1043" s="99"/>
      <c r="O1043" s="112"/>
      <c r="P1043" s="112"/>
      <c r="Q1043" s="104" t="str">
        <f t="shared" si="98"/>
        <v/>
      </c>
      <c r="R1043" s="104" t="str">
        <f t="shared" si="99"/>
        <v/>
      </c>
      <c r="S1043" s="104" t="str">
        <f t="shared" si="100"/>
        <v/>
      </c>
      <c r="T1043" s="104" t="str">
        <f t="shared" si="101"/>
        <v/>
      </c>
      <c r="U1043" s="104" t="str">
        <f t="shared" si="102"/>
        <v/>
      </c>
      <c r="V1043" s="104" t="str">
        <f t="shared" si="103"/>
        <v/>
      </c>
      <c r="W1043" s="105"/>
    </row>
    <row r="1044" spans="1:23" ht="15" customHeight="1">
      <c r="A1044" s="92">
        <v>30</v>
      </c>
      <c r="B1044" s="121" t="s">
        <v>426</v>
      </c>
      <c r="C1044" s="122"/>
      <c r="D1044" s="798">
        <f>0.8+0.6+0.8</f>
        <v>2.2000000000000002</v>
      </c>
      <c r="E1044" s="798"/>
      <c r="F1044" s="118"/>
      <c r="G1044" s="108">
        <v>0.25</v>
      </c>
      <c r="H1044" s="98">
        <v>20</v>
      </c>
      <c r="I1044" s="99">
        <v>1</v>
      </c>
      <c r="J1044" s="101">
        <f>ROUND(2.8/G1044+1,0)</f>
        <v>12</v>
      </c>
      <c r="K1044" s="109">
        <f>D1044</f>
        <v>2.2000000000000002</v>
      </c>
      <c r="L1044" s="110" t="str">
        <f>IF(O1044&lt;12,"0",0.049*H1044)</f>
        <v>0</v>
      </c>
      <c r="M1044" s="111">
        <v>0</v>
      </c>
      <c r="N1044" s="99">
        <f>M1044*2*H1044/1000</f>
        <v>0</v>
      </c>
      <c r="O1044" s="112">
        <f>(D1044)-N1044</f>
        <v>2.2000000000000002</v>
      </c>
      <c r="P1044" s="112">
        <f>(I1044*J1044*O1044)+L1044</f>
        <v>26.400000000000002</v>
      </c>
      <c r="Q1044" s="104" t="str">
        <f t="shared" si="98"/>
        <v/>
      </c>
      <c r="R1044" s="104" t="str">
        <f t="shared" si="99"/>
        <v/>
      </c>
      <c r="S1044" s="104" t="str">
        <f t="shared" si="100"/>
        <v/>
      </c>
      <c r="T1044" s="104" t="str">
        <f t="shared" si="101"/>
        <v/>
      </c>
      <c r="U1044" s="104">
        <f t="shared" si="102"/>
        <v>26.400000000000002</v>
      </c>
      <c r="V1044" s="104" t="str">
        <f t="shared" si="103"/>
        <v/>
      </c>
      <c r="W1044" s="105"/>
    </row>
    <row r="1045" spans="1:23">
      <c r="A1045" s="92"/>
      <c r="B1045" s="121" t="s">
        <v>285</v>
      </c>
      <c r="C1045" s="107"/>
      <c r="D1045" s="389"/>
      <c r="E1045" s="389"/>
      <c r="F1045" s="118"/>
      <c r="G1045" s="108"/>
      <c r="H1045" s="98"/>
      <c r="I1045" s="99"/>
      <c r="J1045" s="101"/>
      <c r="K1045" s="109"/>
      <c r="L1045" s="110"/>
      <c r="M1045" s="111"/>
      <c r="N1045" s="99"/>
      <c r="O1045" s="112"/>
      <c r="P1045" s="112"/>
      <c r="Q1045" s="104" t="str">
        <f t="shared" si="98"/>
        <v/>
      </c>
      <c r="R1045" s="104" t="str">
        <f t="shared" si="99"/>
        <v/>
      </c>
      <c r="S1045" s="104" t="str">
        <f t="shared" si="100"/>
        <v/>
      </c>
      <c r="T1045" s="104" t="str">
        <f t="shared" si="101"/>
        <v/>
      </c>
      <c r="U1045" s="104" t="str">
        <f t="shared" si="102"/>
        <v/>
      </c>
      <c r="V1045" s="104" t="str">
        <f t="shared" si="103"/>
        <v/>
      </c>
      <c r="W1045" s="105"/>
    </row>
    <row r="1046" spans="1:23">
      <c r="A1046" s="92"/>
      <c r="B1046" s="121"/>
      <c r="C1046" s="107"/>
      <c r="D1046" s="389"/>
      <c r="E1046" s="389"/>
      <c r="F1046" s="118"/>
      <c r="G1046" s="108"/>
      <c r="H1046" s="98"/>
      <c r="I1046" s="99"/>
      <c r="J1046" s="101"/>
      <c r="K1046" s="109"/>
      <c r="L1046" s="110"/>
      <c r="M1046" s="111"/>
      <c r="N1046" s="99"/>
      <c r="O1046" s="112"/>
      <c r="P1046" s="112"/>
      <c r="Q1046" s="104" t="str">
        <f t="shared" si="98"/>
        <v/>
      </c>
      <c r="R1046" s="104" t="str">
        <f t="shared" si="99"/>
        <v/>
      </c>
      <c r="S1046" s="104" t="str">
        <f t="shared" si="100"/>
        <v/>
      </c>
      <c r="T1046" s="104" t="str">
        <f t="shared" si="101"/>
        <v/>
      </c>
      <c r="U1046" s="104" t="str">
        <f t="shared" si="102"/>
        <v/>
      </c>
      <c r="V1046" s="104" t="str">
        <f t="shared" si="103"/>
        <v/>
      </c>
      <c r="W1046" s="105"/>
    </row>
    <row r="1047" spans="1:23" ht="15" customHeight="1">
      <c r="A1047" s="92">
        <v>31</v>
      </c>
      <c r="B1047" s="121" t="s">
        <v>427</v>
      </c>
      <c r="C1047" s="122"/>
      <c r="D1047" s="798">
        <f>1.25+0.3+1.25</f>
        <v>2.8</v>
      </c>
      <c r="E1047" s="798"/>
      <c r="F1047" s="118"/>
      <c r="G1047" s="108">
        <v>0.25</v>
      </c>
      <c r="H1047" s="98">
        <v>25</v>
      </c>
      <c r="I1047" s="99">
        <v>1</v>
      </c>
      <c r="J1047" s="101">
        <f>ROUND(2.2/G1047+1,0)</f>
        <v>10</v>
      </c>
      <c r="K1047" s="109">
        <f>D1047</f>
        <v>2.8</v>
      </c>
      <c r="L1047" s="110" t="str">
        <f>IF(O1047&lt;12,"0",0.049*H1047)</f>
        <v>0</v>
      </c>
      <c r="M1047" s="111">
        <v>0</v>
      </c>
      <c r="N1047" s="99">
        <f>M1047*2*H1047/1000</f>
        <v>0</v>
      </c>
      <c r="O1047" s="112">
        <f>(D1047)-N1047</f>
        <v>2.8</v>
      </c>
      <c r="P1047" s="112">
        <f>(I1047*J1047*O1047)+L1047</f>
        <v>28</v>
      </c>
      <c r="Q1047" s="104" t="str">
        <f t="shared" si="98"/>
        <v/>
      </c>
      <c r="R1047" s="104" t="str">
        <f t="shared" si="99"/>
        <v/>
      </c>
      <c r="S1047" s="104" t="str">
        <f t="shared" si="100"/>
        <v/>
      </c>
      <c r="T1047" s="104" t="str">
        <f t="shared" si="101"/>
        <v/>
      </c>
      <c r="U1047" s="104" t="str">
        <f t="shared" si="102"/>
        <v/>
      </c>
      <c r="V1047" s="104">
        <f t="shared" si="103"/>
        <v>28</v>
      </c>
      <c r="W1047" s="105"/>
    </row>
    <row r="1048" spans="1:23">
      <c r="A1048" s="92"/>
      <c r="B1048" s="121" t="s">
        <v>285</v>
      </c>
      <c r="C1048" s="107"/>
      <c r="D1048" s="389"/>
      <c r="E1048" s="389"/>
      <c r="F1048" s="118"/>
      <c r="G1048" s="108"/>
      <c r="H1048" s="98"/>
      <c r="I1048" s="99"/>
      <c r="J1048" s="101"/>
      <c r="K1048" s="109"/>
      <c r="L1048" s="110"/>
      <c r="M1048" s="111"/>
      <c r="N1048" s="99"/>
      <c r="O1048" s="112"/>
      <c r="P1048" s="112"/>
      <c r="Q1048" s="104" t="str">
        <f t="shared" si="98"/>
        <v/>
      </c>
      <c r="R1048" s="104" t="str">
        <f t="shared" si="99"/>
        <v/>
      </c>
      <c r="S1048" s="104" t="str">
        <f t="shared" si="100"/>
        <v/>
      </c>
      <c r="T1048" s="104" t="str">
        <f t="shared" si="101"/>
        <v/>
      </c>
      <c r="U1048" s="104" t="str">
        <f t="shared" si="102"/>
        <v/>
      </c>
      <c r="V1048" s="104" t="str">
        <f t="shared" si="103"/>
        <v/>
      </c>
      <c r="W1048" s="105"/>
    </row>
    <row r="1049" spans="1:23">
      <c r="A1049" s="92"/>
      <c r="B1049" s="121"/>
      <c r="C1049" s="107"/>
      <c r="D1049" s="389"/>
      <c r="E1049" s="389"/>
      <c r="F1049" s="118"/>
      <c r="G1049" s="108"/>
      <c r="H1049" s="98"/>
      <c r="I1049" s="99"/>
      <c r="J1049" s="101"/>
      <c r="K1049" s="109"/>
      <c r="L1049" s="110"/>
      <c r="M1049" s="111"/>
      <c r="N1049" s="99"/>
      <c r="O1049" s="112"/>
      <c r="P1049" s="112"/>
      <c r="Q1049" s="104" t="str">
        <f t="shared" si="98"/>
        <v/>
      </c>
      <c r="R1049" s="104" t="str">
        <f t="shared" si="99"/>
        <v/>
      </c>
      <c r="S1049" s="104" t="str">
        <f t="shared" si="100"/>
        <v/>
      </c>
      <c r="T1049" s="104" t="str">
        <f t="shared" si="101"/>
        <v/>
      </c>
      <c r="U1049" s="104" t="str">
        <f t="shared" si="102"/>
        <v/>
      </c>
      <c r="V1049" s="104" t="str">
        <f t="shared" si="103"/>
        <v/>
      </c>
      <c r="W1049" s="105"/>
    </row>
    <row r="1050" spans="1:23" ht="15" customHeight="1">
      <c r="A1050" s="92">
        <v>32</v>
      </c>
      <c r="B1050" s="121" t="s">
        <v>426</v>
      </c>
      <c r="C1050" s="122"/>
      <c r="D1050" s="798">
        <f>1.25+0.3+1.25</f>
        <v>2.8</v>
      </c>
      <c r="E1050" s="798"/>
      <c r="F1050" s="118"/>
      <c r="G1050" s="108">
        <v>0.25</v>
      </c>
      <c r="H1050" s="98">
        <v>25</v>
      </c>
      <c r="I1050" s="99">
        <v>1</v>
      </c>
      <c r="J1050" s="101">
        <f>ROUND(2.6/G1050+1,0)</f>
        <v>11</v>
      </c>
      <c r="K1050" s="109">
        <f>D1050</f>
        <v>2.8</v>
      </c>
      <c r="L1050" s="110" t="str">
        <f>IF(O1050&lt;12,"0",0.049*H1050)</f>
        <v>0</v>
      </c>
      <c r="M1050" s="111">
        <v>0</v>
      </c>
      <c r="N1050" s="99">
        <f>M1050*2*H1050/1000</f>
        <v>0</v>
      </c>
      <c r="O1050" s="112">
        <f>(D1050)-N1050</f>
        <v>2.8</v>
      </c>
      <c r="P1050" s="112">
        <f>(I1050*J1050*O1050)+L1050</f>
        <v>30.799999999999997</v>
      </c>
      <c r="Q1050" s="104" t="str">
        <f t="shared" si="98"/>
        <v/>
      </c>
      <c r="R1050" s="104" t="str">
        <f t="shared" si="99"/>
        <v/>
      </c>
      <c r="S1050" s="104" t="str">
        <f t="shared" si="100"/>
        <v/>
      </c>
      <c r="T1050" s="104" t="str">
        <f t="shared" si="101"/>
        <v/>
      </c>
      <c r="U1050" s="104" t="str">
        <f t="shared" si="102"/>
        <v/>
      </c>
      <c r="V1050" s="104">
        <f t="shared" si="103"/>
        <v>30.799999999999997</v>
      </c>
      <c r="W1050" s="105"/>
    </row>
    <row r="1051" spans="1:23">
      <c r="A1051" s="92"/>
      <c r="B1051" s="121" t="s">
        <v>286</v>
      </c>
      <c r="C1051" s="107"/>
      <c r="D1051" s="389"/>
      <c r="E1051" s="389"/>
      <c r="F1051" s="118"/>
      <c r="G1051" s="108"/>
      <c r="H1051" s="98"/>
      <c r="I1051" s="99"/>
      <c r="J1051" s="101"/>
      <c r="K1051" s="109"/>
      <c r="L1051" s="110"/>
      <c r="M1051" s="111"/>
      <c r="N1051" s="99"/>
      <c r="O1051" s="112"/>
      <c r="P1051" s="112"/>
      <c r="Q1051" s="104" t="str">
        <f t="shared" si="98"/>
        <v/>
      </c>
      <c r="R1051" s="104" t="str">
        <f t="shared" si="99"/>
        <v/>
      </c>
      <c r="S1051" s="104" t="str">
        <f t="shared" si="100"/>
        <v/>
      </c>
      <c r="T1051" s="104" t="str">
        <f t="shared" si="101"/>
        <v/>
      </c>
      <c r="U1051" s="104" t="str">
        <f t="shared" si="102"/>
        <v/>
      </c>
      <c r="V1051" s="104" t="str">
        <f t="shared" si="103"/>
        <v/>
      </c>
      <c r="W1051" s="105"/>
    </row>
    <row r="1052" spans="1:23">
      <c r="A1052" s="92"/>
      <c r="B1052" s="121"/>
      <c r="C1052" s="107"/>
      <c r="D1052" s="389"/>
      <c r="E1052" s="389"/>
      <c r="F1052" s="118"/>
      <c r="G1052" s="108"/>
      <c r="H1052" s="98"/>
      <c r="I1052" s="99"/>
      <c r="J1052" s="101"/>
      <c r="K1052" s="109"/>
      <c r="L1052" s="110"/>
      <c r="M1052" s="111"/>
      <c r="N1052" s="99"/>
      <c r="O1052" s="112"/>
      <c r="P1052" s="112"/>
      <c r="Q1052" s="104" t="str">
        <f t="shared" si="98"/>
        <v/>
      </c>
      <c r="R1052" s="104" t="str">
        <f t="shared" si="99"/>
        <v/>
      </c>
      <c r="S1052" s="104" t="str">
        <f t="shared" si="100"/>
        <v/>
      </c>
      <c r="T1052" s="104" t="str">
        <f t="shared" si="101"/>
        <v/>
      </c>
      <c r="U1052" s="104" t="str">
        <f t="shared" si="102"/>
        <v/>
      </c>
      <c r="V1052" s="104" t="str">
        <f t="shared" si="103"/>
        <v/>
      </c>
      <c r="W1052" s="105"/>
    </row>
    <row r="1053" spans="1:23" ht="15" customHeight="1">
      <c r="A1053" s="92">
        <v>33</v>
      </c>
      <c r="B1053" s="121" t="s">
        <v>427</v>
      </c>
      <c r="C1053" s="122"/>
      <c r="D1053" s="798">
        <f>1+0.6+1</f>
        <v>2.6</v>
      </c>
      <c r="E1053" s="798"/>
      <c r="F1053" s="118"/>
      <c r="G1053" s="108">
        <v>0.25</v>
      </c>
      <c r="H1053" s="98">
        <v>20</v>
      </c>
      <c r="I1053" s="99">
        <v>1</v>
      </c>
      <c r="J1053" s="101">
        <f>ROUND(2.8/G1053+1,0)</f>
        <v>12</v>
      </c>
      <c r="K1053" s="109">
        <f>D1053</f>
        <v>2.6</v>
      </c>
      <c r="L1053" s="110" t="str">
        <f>IF(O1053&lt;12,"0",0.049*H1053)</f>
        <v>0</v>
      </c>
      <c r="M1053" s="111">
        <v>0</v>
      </c>
      <c r="N1053" s="99">
        <f>M1053*2*H1053/1000</f>
        <v>0</v>
      </c>
      <c r="O1053" s="112">
        <f>(D1053)-N1053</f>
        <v>2.6</v>
      </c>
      <c r="P1053" s="112">
        <f>(I1053*J1053*O1053)+L1053</f>
        <v>31.200000000000003</v>
      </c>
      <c r="Q1053" s="104" t="str">
        <f t="shared" si="98"/>
        <v/>
      </c>
      <c r="R1053" s="104" t="str">
        <f t="shared" si="99"/>
        <v/>
      </c>
      <c r="S1053" s="104" t="str">
        <f t="shared" si="100"/>
        <v/>
      </c>
      <c r="T1053" s="104" t="str">
        <f t="shared" si="101"/>
        <v/>
      </c>
      <c r="U1053" s="104">
        <f t="shared" si="102"/>
        <v>31.200000000000003</v>
      </c>
      <c r="V1053" s="104" t="str">
        <f t="shared" si="103"/>
        <v/>
      </c>
      <c r="W1053" s="105"/>
    </row>
    <row r="1054" spans="1:23">
      <c r="A1054" s="92"/>
      <c r="B1054" s="121" t="s">
        <v>286</v>
      </c>
      <c r="C1054" s="107"/>
      <c r="D1054" s="389"/>
      <c r="E1054" s="389"/>
      <c r="F1054" s="118"/>
      <c r="G1054" s="108"/>
      <c r="H1054" s="98"/>
      <c r="I1054" s="99"/>
      <c r="J1054" s="101"/>
      <c r="K1054" s="109"/>
      <c r="L1054" s="110"/>
      <c r="M1054" s="111"/>
      <c r="N1054" s="99"/>
      <c r="O1054" s="112"/>
      <c r="P1054" s="112"/>
      <c r="Q1054" s="104" t="str">
        <f t="shared" si="98"/>
        <v/>
      </c>
      <c r="R1054" s="104" t="str">
        <f t="shared" si="99"/>
        <v/>
      </c>
      <c r="S1054" s="104" t="str">
        <f t="shared" si="100"/>
        <v/>
      </c>
      <c r="T1054" s="104" t="str">
        <f t="shared" si="101"/>
        <v/>
      </c>
      <c r="U1054" s="104" t="str">
        <f t="shared" si="102"/>
        <v/>
      </c>
      <c r="V1054" s="104" t="str">
        <f t="shared" si="103"/>
        <v/>
      </c>
      <c r="W1054" s="105"/>
    </row>
    <row r="1055" spans="1:23">
      <c r="A1055" s="92"/>
      <c r="B1055" s="121"/>
      <c r="C1055" s="107"/>
      <c r="D1055" s="389"/>
      <c r="E1055" s="389"/>
      <c r="F1055" s="118"/>
      <c r="G1055" s="108"/>
      <c r="H1055" s="98"/>
      <c r="I1055" s="99"/>
      <c r="J1055" s="101"/>
      <c r="K1055" s="109"/>
      <c r="L1055" s="110"/>
      <c r="M1055" s="111"/>
      <c r="N1055" s="99"/>
      <c r="O1055" s="112"/>
      <c r="P1055" s="112"/>
      <c r="Q1055" s="104" t="str">
        <f t="shared" si="98"/>
        <v/>
      </c>
      <c r="R1055" s="104" t="str">
        <f t="shared" si="99"/>
        <v/>
      </c>
      <c r="S1055" s="104" t="str">
        <f t="shared" si="100"/>
        <v/>
      </c>
      <c r="T1055" s="104" t="str">
        <f t="shared" si="101"/>
        <v/>
      </c>
      <c r="U1055" s="104" t="str">
        <f t="shared" si="102"/>
        <v/>
      </c>
      <c r="V1055" s="104" t="str">
        <f t="shared" si="103"/>
        <v/>
      </c>
      <c r="W1055" s="105"/>
    </row>
    <row r="1056" spans="1:23" ht="15" customHeight="1">
      <c r="A1056" s="92">
        <v>34</v>
      </c>
      <c r="B1056" s="121" t="s">
        <v>426</v>
      </c>
      <c r="C1056" s="122"/>
      <c r="D1056" s="798">
        <f>1.25+0.3+1.25</f>
        <v>2.8</v>
      </c>
      <c r="E1056" s="798"/>
      <c r="F1056" s="118"/>
      <c r="G1056" s="108">
        <v>0.25</v>
      </c>
      <c r="H1056" s="98">
        <v>25</v>
      </c>
      <c r="I1056" s="99">
        <v>1</v>
      </c>
      <c r="J1056" s="101">
        <f>ROUND(3.1/G1056+1,0)</f>
        <v>13</v>
      </c>
      <c r="K1056" s="109">
        <f>D1056</f>
        <v>2.8</v>
      </c>
      <c r="L1056" s="110" t="str">
        <f>IF(O1056&lt;12,"0",0.049*H1056)</f>
        <v>0</v>
      </c>
      <c r="M1056" s="111">
        <v>0</v>
      </c>
      <c r="N1056" s="99">
        <f>M1056*2*H1056/1000</f>
        <v>0</v>
      </c>
      <c r="O1056" s="112">
        <f>(D1056)-N1056</f>
        <v>2.8</v>
      </c>
      <c r="P1056" s="112">
        <f>(I1056*J1056*O1056)+L1056</f>
        <v>36.4</v>
      </c>
      <c r="Q1056" s="104" t="str">
        <f t="shared" si="98"/>
        <v/>
      </c>
      <c r="R1056" s="104" t="str">
        <f t="shared" si="99"/>
        <v/>
      </c>
      <c r="S1056" s="104" t="str">
        <f t="shared" si="100"/>
        <v/>
      </c>
      <c r="T1056" s="104" t="str">
        <f t="shared" si="101"/>
        <v/>
      </c>
      <c r="U1056" s="104" t="str">
        <f t="shared" si="102"/>
        <v/>
      </c>
      <c r="V1056" s="104">
        <f t="shared" si="103"/>
        <v>36.4</v>
      </c>
      <c r="W1056" s="105"/>
    </row>
    <row r="1057" spans="1:23">
      <c r="A1057" s="92"/>
      <c r="B1057" s="121" t="s">
        <v>287</v>
      </c>
      <c r="C1057" s="107"/>
      <c r="D1057" s="389"/>
      <c r="E1057" s="389"/>
      <c r="F1057" s="118"/>
      <c r="G1057" s="108"/>
      <c r="H1057" s="98"/>
      <c r="I1057" s="99"/>
      <c r="J1057" s="101"/>
      <c r="K1057" s="109"/>
      <c r="L1057" s="110"/>
      <c r="M1057" s="111"/>
      <c r="N1057" s="99"/>
      <c r="O1057" s="112"/>
      <c r="P1057" s="112"/>
      <c r="Q1057" s="104" t="str">
        <f t="shared" si="98"/>
        <v/>
      </c>
      <c r="R1057" s="104" t="str">
        <f t="shared" si="99"/>
        <v/>
      </c>
      <c r="S1057" s="104" t="str">
        <f t="shared" si="100"/>
        <v/>
      </c>
      <c r="T1057" s="104" t="str">
        <f t="shared" si="101"/>
        <v/>
      </c>
      <c r="U1057" s="104" t="str">
        <f t="shared" si="102"/>
        <v/>
      </c>
      <c r="V1057" s="104" t="str">
        <f t="shared" si="103"/>
        <v/>
      </c>
      <c r="W1057" s="105"/>
    </row>
    <row r="1058" spans="1:23">
      <c r="A1058" s="92"/>
      <c r="B1058" s="121"/>
      <c r="C1058" s="107"/>
      <c r="D1058" s="389"/>
      <c r="E1058" s="389"/>
      <c r="F1058" s="118"/>
      <c r="G1058" s="108"/>
      <c r="H1058" s="98"/>
      <c r="I1058" s="99"/>
      <c r="J1058" s="101"/>
      <c r="K1058" s="109"/>
      <c r="L1058" s="110"/>
      <c r="M1058" s="111"/>
      <c r="N1058" s="99"/>
      <c r="O1058" s="112"/>
      <c r="P1058" s="112"/>
      <c r="Q1058" s="104" t="str">
        <f t="shared" si="98"/>
        <v/>
      </c>
      <c r="R1058" s="104" t="str">
        <f t="shared" si="99"/>
        <v/>
      </c>
      <c r="S1058" s="104" t="str">
        <f t="shared" si="100"/>
        <v/>
      </c>
      <c r="T1058" s="104" t="str">
        <f t="shared" si="101"/>
        <v/>
      </c>
      <c r="U1058" s="104" t="str">
        <f t="shared" si="102"/>
        <v/>
      </c>
      <c r="V1058" s="104" t="str">
        <f t="shared" si="103"/>
        <v/>
      </c>
      <c r="W1058" s="105"/>
    </row>
    <row r="1059" spans="1:23" ht="15" customHeight="1">
      <c r="A1059" s="92">
        <v>35</v>
      </c>
      <c r="B1059" s="121" t="s">
        <v>427</v>
      </c>
      <c r="C1059" s="122"/>
      <c r="D1059" s="798">
        <f>1.25+0.6+1.25</f>
        <v>3.1</v>
      </c>
      <c r="E1059" s="798"/>
      <c r="F1059" s="118"/>
      <c r="G1059" s="108">
        <v>0.25</v>
      </c>
      <c r="H1059" s="98">
        <v>25</v>
      </c>
      <c r="I1059" s="99">
        <v>1</v>
      </c>
      <c r="J1059" s="101">
        <f>ROUND(2.8/G1059+1,0)</f>
        <v>12</v>
      </c>
      <c r="K1059" s="109">
        <f>D1059</f>
        <v>3.1</v>
      </c>
      <c r="L1059" s="110" t="str">
        <f>IF(O1059&lt;12,"0",0.049*H1059)</f>
        <v>0</v>
      </c>
      <c r="M1059" s="111">
        <v>0</v>
      </c>
      <c r="N1059" s="99">
        <f>M1059*2*H1059/1000</f>
        <v>0</v>
      </c>
      <c r="O1059" s="112">
        <f>(D1059)-N1059</f>
        <v>3.1</v>
      </c>
      <c r="P1059" s="112">
        <f>(I1059*J1059*O1059)+L1059</f>
        <v>37.200000000000003</v>
      </c>
      <c r="Q1059" s="104" t="str">
        <f t="shared" si="98"/>
        <v/>
      </c>
      <c r="R1059" s="104" t="str">
        <f t="shared" si="99"/>
        <v/>
      </c>
      <c r="S1059" s="104" t="str">
        <f t="shared" si="100"/>
        <v/>
      </c>
      <c r="T1059" s="104" t="str">
        <f t="shared" si="101"/>
        <v/>
      </c>
      <c r="U1059" s="104" t="str">
        <f t="shared" si="102"/>
        <v/>
      </c>
      <c r="V1059" s="104">
        <f t="shared" si="103"/>
        <v>37.200000000000003</v>
      </c>
      <c r="W1059" s="105"/>
    </row>
    <row r="1060" spans="1:23">
      <c r="A1060" s="92"/>
      <c r="B1060" s="121" t="s">
        <v>287</v>
      </c>
      <c r="C1060" s="107"/>
      <c r="D1060" s="389"/>
      <c r="E1060" s="389"/>
      <c r="F1060" s="118"/>
      <c r="G1060" s="108"/>
      <c r="H1060" s="98"/>
      <c r="I1060" s="99"/>
      <c r="J1060" s="101"/>
      <c r="K1060" s="109"/>
      <c r="L1060" s="110"/>
      <c r="M1060" s="111"/>
      <c r="N1060" s="99"/>
      <c r="O1060" s="112"/>
      <c r="P1060" s="112"/>
      <c r="Q1060" s="104" t="str">
        <f t="shared" si="98"/>
        <v/>
      </c>
      <c r="R1060" s="104" t="str">
        <f t="shared" si="99"/>
        <v/>
      </c>
      <c r="S1060" s="104" t="str">
        <f t="shared" si="100"/>
        <v/>
      </c>
      <c r="T1060" s="104" t="str">
        <f t="shared" si="101"/>
        <v/>
      </c>
      <c r="U1060" s="104" t="str">
        <f t="shared" si="102"/>
        <v/>
      </c>
      <c r="V1060" s="104" t="str">
        <f t="shared" si="103"/>
        <v/>
      </c>
      <c r="W1060" s="105"/>
    </row>
    <row r="1061" spans="1:23">
      <c r="A1061" s="92"/>
      <c r="B1061" s="121"/>
      <c r="C1061" s="107"/>
      <c r="D1061" s="389"/>
      <c r="E1061" s="389"/>
      <c r="F1061" s="118"/>
      <c r="G1061" s="108"/>
      <c r="H1061" s="98"/>
      <c r="I1061" s="99"/>
      <c r="J1061" s="101"/>
      <c r="K1061" s="109"/>
      <c r="L1061" s="110"/>
      <c r="M1061" s="111"/>
      <c r="N1061" s="99"/>
      <c r="O1061" s="112"/>
      <c r="P1061" s="112"/>
      <c r="Q1061" s="104" t="str">
        <f t="shared" si="98"/>
        <v/>
      </c>
      <c r="R1061" s="104" t="str">
        <f t="shared" si="99"/>
        <v/>
      </c>
      <c r="S1061" s="104" t="str">
        <f t="shared" si="100"/>
        <v/>
      </c>
      <c r="T1061" s="104" t="str">
        <f t="shared" si="101"/>
        <v/>
      </c>
      <c r="U1061" s="104" t="str">
        <f t="shared" si="102"/>
        <v/>
      </c>
      <c r="V1061" s="104" t="str">
        <f t="shared" si="103"/>
        <v/>
      </c>
      <c r="W1061" s="105"/>
    </row>
    <row r="1062" spans="1:23" ht="15" customHeight="1">
      <c r="A1062" s="92">
        <v>36</v>
      </c>
      <c r="B1062" s="121" t="s">
        <v>426</v>
      </c>
      <c r="C1062" s="122"/>
      <c r="D1062" s="798">
        <f>0.75-0.05+0.115+0.47+0.515+1.17+1.935+0.055+1</f>
        <v>5.9599999999999991</v>
      </c>
      <c r="E1062" s="798"/>
      <c r="F1062" s="118"/>
      <c r="G1062" s="108">
        <v>0.25</v>
      </c>
      <c r="H1062" s="98">
        <v>25</v>
      </c>
      <c r="I1062" s="99">
        <v>1</v>
      </c>
      <c r="J1062" s="101">
        <f>ROUND(2.6/G1062+1,0)</f>
        <v>11</v>
      </c>
      <c r="K1062" s="109">
        <f>D1062</f>
        <v>5.9599999999999991</v>
      </c>
      <c r="L1062" s="110" t="str">
        <f>IF(O1062&lt;12,"0",0.049*H1062)</f>
        <v>0</v>
      </c>
      <c r="M1062" s="111">
        <v>0</v>
      </c>
      <c r="N1062" s="99">
        <f>M1062*2*H1062/1000</f>
        <v>0</v>
      </c>
      <c r="O1062" s="112">
        <f>(D1062)-N1062</f>
        <v>5.9599999999999991</v>
      </c>
      <c r="P1062" s="112">
        <f>(I1062*J1062*O1062)+L1062</f>
        <v>65.559999999999988</v>
      </c>
      <c r="Q1062" s="104" t="str">
        <f t="shared" si="98"/>
        <v/>
      </c>
      <c r="R1062" s="104" t="str">
        <f t="shared" si="99"/>
        <v/>
      </c>
      <c r="S1062" s="104" t="str">
        <f t="shared" si="100"/>
        <v/>
      </c>
      <c r="T1062" s="104" t="str">
        <f t="shared" si="101"/>
        <v/>
      </c>
      <c r="U1062" s="104" t="str">
        <f t="shared" si="102"/>
        <v/>
      </c>
      <c r="V1062" s="104">
        <f t="shared" si="103"/>
        <v>65.559999999999988</v>
      </c>
      <c r="W1062" s="105"/>
    </row>
    <row r="1063" spans="1:23">
      <c r="A1063" s="92"/>
      <c r="B1063" s="121" t="s">
        <v>288</v>
      </c>
      <c r="C1063" s="107"/>
      <c r="D1063" s="389"/>
      <c r="E1063" s="389"/>
      <c r="F1063" s="118"/>
      <c r="G1063" s="108"/>
      <c r="H1063" s="98"/>
      <c r="I1063" s="99"/>
      <c r="J1063" s="101"/>
      <c r="K1063" s="109"/>
      <c r="L1063" s="110"/>
      <c r="M1063" s="111"/>
      <c r="N1063" s="99"/>
      <c r="O1063" s="112"/>
      <c r="P1063" s="112"/>
      <c r="Q1063" s="104" t="str">
        <f t="shared" si="98"/>
        <v/>
      </c>
      <c r="R1063" s="104" t="str">
        <f t="shared" si="99"/>
        <v/>
      </c>
      <c r="S1063" s="104" t="str">
        <f t="shared" si="100"/>
        <v/>
      </c>
      <c r="T1063" s="104" t="str">
        <f t="shared" si="101"/>
        <v/>
      </c>
      <c r="U1063" s="104" t="str">
        <f t="shared" si="102"/>
        <v/>
      </c>
      <c r="V1063" s="104" t="str">
        <f t="shared" si="103"/>
        <v/>
      </c>
      <c r="W1063" s="105"/>
    </row>
    <row r="1064" spans="1:23">
      <c r="A1064" s="92"/>
      <c r="B1064" s="121"/>
      <c r="C1064" s="107"/>
      <c r="D1064" s="389"/>
      <c r="E1064" s="389"/>
      <c r="F1064" s="118"/>
      <c r="G1064" s="108"/>
      <c r="H1064" s="98"/>
      <c r="I1064" s="99"/>
      <c r="J1064" s="101"/>
      <c r="K1064" s="109"/>
      <c r="L1064" s="110"/>
      <c r="M1064" s="111"/>
      <c r="N1064" s="99"/>
      <c r="O1064" s="112"/>
      <c r="P1064" s="112"/>
      <c r="Q1064" s="104" t="str">
        <f t="shared" si="98"/>
        <v/>
      </c>
      <c r="R1064" s="104" t="str">
        <f t="shared" si="99"/>
        <v/>
      </c>
      <c r="S1064" s="104" t="str">
        <f t="shared" si="100"/>
        <v/>
      </c>
      <c r="T1064" s="104" t="str">
        <f t="shared" si="101"/>
        <v/>
      </c>
      <c r="U1064" s="104" t="str">
        <f t="shared" si="102"/>
        <v/>
      </c>
      <c r="V1064" s="104" t="str">
        <f t="shared" si="103"/>
        <v/>
      </c>
      <c r="W1064" s="105"/>
    </row>
    <row r="1065" spans="1:23" ht="15" customHeight="1">
      <c r="A1065" s="92">
        <v>37</v>
      </c>
      <c r="B1065" s="121" t="s">
        <v>426</v>
      </c>
      <c r="C1065" s="122"/>
      <c r="D1065" s="798">
        <f>0.75-0.05+0.115+0.47+0.515+1.17+1.935+0.055+1</f>
        <v>5.9599999999999991</v>
      </c>
      <c r="E1065" s="798"/>
      <c r="F1065" s="118"/>
      <c r="G1065" s="108">
        <v>0.25</v>
      </c>
      <c r="H1065" s="98">
        <v>25</v>
      </c>
      <c r="I1065" s="99">
        <v>1</v>
      </c>
      <c r="J1065" s="101">
        <f>ROUND(2.6/G1065+1,0)</f>
        <v>11</v>
      </c>
      <c r="K1065" s="109">
        <f>D1065</f>
        <v>5.9599999999999991</v>
      </c>
      <c r="L1065" s="110" t="str">
        <f>IF(O1065&lt;12,"0",0.049*H1065)</f>
        <v>0</v>
      </c>
      <c r="M1065" s="111">
        <v>0</v>
      </c>
      <c r="N1065" s="99">
        <f>M1065*2*H1065/1000</f>
        <v>0</v>
      </c>
      <c r="O1065" s="112">
        <f>(D1065)-N1065</f>
        <v>5.9599999999999991</v>
      </c>
      <c r="P1065" s="112">
        <f>(I1065*J1065*O1065)+L1065</f>
        <v>65.559999999999988</v>
      </c>
      <c r="Q1065" s="104" t="str">
        <f t="shared" si="98"/>
        <v/>
      </c>
      <c r="R1065" s="104" t="str">
        <f t="shared" si="99"/>
        <v/>
      </c>
      <c r="S1065" s="104" t="str">
        <f t="shared" si="100"/>
        <v/>
      </c>
      <c r="T1065" s="104" t="str">
        <f t="shared" si="101"/>
        <v/>
      </c>
      <c r="U1065" s="104" t="str">
        <f t="shared" si="102"/>
        <v/>
      </c>
      <c r="V1065" s="104">
        <f t="shared" si="103"/>
        <v>65.559999999999988</v>
      </c>
      <c r="W1065" s="105"/>
    </row>
    <row r="1066" spans="1:23">
      <c r="A1066" s="92"/>
      <c r="B1066" s="121" t="s">
        <v>288</v>
      </c>
      <c r="C1066" s="107"/>
      <c r="D1066" s="389"/>
      <c r="E1066" s="389"/>
      <c r="F1066" s="118"/>
      <c r="G1066" s="108"/>
      <c r="H1066" s="98"/>
      <c r="I1066" s="99"/>
      <c r="J1066" s="101"/>
      <c r="K1066" s="109"/>
      <c r="L1066" s="110"/>
      <c r="M1066" s="111"/>
      <c r="N1066" s="99"/>
      <c r="O1066" s="112"/>
      <c r="P1066" s="112"/>
      <c r="Q1066" s="104" t="str">
        <f t="shared" si="98"/>
        <v/>
      </c>
      <c r="R1066" s="104" t="str">
        <f t="shared" si="99"/>
        <v/>
      </c>
      <c r="S1066" s="104" t="str">
        <f t="shared" si="100"/>
        <v/>
      </c>
      <c r="T1066" s="104" t="str">
        <f t="shared" si="101"/>
        <v/>
      </c>
      <c r="U1066" s="104" t="str">
        <f t="shared" si="102"/>
        <v/>
      </c>
      <c r="V1066" s="104" t="str">
        <f t="shared" si="103"/>
        <v/>
      </c>
      <c r="W1066" s="105"/>
    </row>
    <row r="1067" spans="1:23">
      <c r="A1067" s="92"/>
      <c r="B1067" s="121"/>
      <c r="C1067" s="107"/>
      <c r="D1067" s="389"/>
      <c r="E1067" s="389"/>
      <c r="F1067" s="118"/>
      <c r="G1067" s="108"/>
      <c r="H1067" s="98"/>
      <c r="I1067" s="99"/>
      <c r="J1067" s="101"/>
      <c r="K1067" s="109"/>
      <c r="L1067" s="110"/>
      <c r="M1067" s="111"/>
      <c r="N1067" s="99"/>
      <c r="O1067" s="112"/>
      <c r="P1067" s="112"/>
      <c r="Q1067" s="104" t="str">
        <f t="shared" si="98"/>
        <v/>
      </c>
      <c r="R1067" s="104" t="str">
        <f t="shared" si="99"/>
        <v/>
      </c>
      <c r="S1067" s="104" t="str">
        <f t="shared" si="100"/>
        <v/>
      </c>
      <c r="T1067" s="104" t="str">
        <f t="shared" si="101"/>
        <v/>
      </c>
      <c r="U1067" s="104" t="str">
        <f t="shared" si="102"/>
        <v/>
      </c>
      <c r="V1067" s="104" t="str">
        <f t="shared" si="103"/>
        <v/>
      </c>
      <c r="W1067" s="105"/>
    </row>
    <row r="1068" spans="1:23" ht="15" customHeight="1">
      <c r="A1068" s="92">
        <v>38</v>
      </c>
      <c r="B1068" s="121" t="s">
        <v>427</v>
      </c>
      <c r="C1068" s="122"/>
      <c r="D1068" s="798">
        <f>0.75-0.05+0.65+1.25</f>
        <v>2.6</v>
      </c>
      <c r="E1068" s="798"/>
      <c r="F1068" s="118"/>
      <c r="G1068" s="108">
        <v>0.25</v>
      </c>
      <c r="H1068" s="98">
        <v>20</v>
      </c>
      <c r="I1068" s="99">
        <v>1</v>
      </c>
      <c r="J1068" s="101">
        <f>ROUND(5.96/G1068+1,0)</f>
        <v>25</v>
      </c>
      <c r="K1068" s="109">
        <f>D1068</f>
        <v>2.6</v>
      </c>
      <c r="L1068" s="110" t="str">
        <f>IF(O1068&lt;12,"0",0.049*H1068)</f>
        <v>0</v>
      </c>
      <c r="M1068" s="111">
        <v>0</v>
      </c>
      <c r="N1068" s="99">
        <f>M1068*2*H1068/1000</f>
        <v>0</v>
      </c>
      <c r="O1068" s="112">
        <f>(D1068)-N1068</f>
        <v>2.6</v>
      </c>
      <c r="P1068" s="112">
        <f>(I1068*J1068*O1068)+L1068</f>
        <v>65</v>
      </c>
      <c r="Q1068" s="104" t="str">
        <f t="shared" si="98"/>
        <v/>
      </c>
      <c r="R1068" s="104" t="str">
        <f t="shared" si="99"/>
        <v/>
      </c>
      <c r="S1068" s="104" t="str">
        <f t="shared" si="100"/>
        <v/>
      </c>
      <c r="T1068" s="104" t="str">
        <f t="shared" si="101"/>
        <v/>
      </c>
      <c r="U1068" s="104">
        <f t="shared" si="102"/>
        <v>65</v>
      </c>
      <c r="V1068" s="104" t="str">
        <f t="shared" si="103"/>
        <v/>
      </c>
      <c r="W1068" s="105"/>
    </row>
    <row r="1069" spans="1:23">
      <c r="A1069" s="92"/>
      <c r="B1069" s="121" t="s">
        <v>288</v>
      </c>
      <c r="C1069" s="107"/>
      <c r="D1069" s="389"/>
      <c r="E1069" s="389"/>
      <c r="F1069" s="118"/>
      <c r="G1069" s="108"/>
      <c r="H1069" s="98"/>
      <c r="I1069" s="99"/>
      <c r="J1069" s="101"/>
      <c r="K1069" s="109"/>
      <c r="L1069" s="110"/>
      <c r="M1069" s="111"/>
      <c r="N1069" s="99"/>
      <c r="O1069" s="112"/>
      <c r="P1069" s="112"/>
      <c r="Q1069" s="104" t="str">
        <f t="shared" si="98"/>
        <v/>
      </c>
      <c r="R1069" s="104" t="str">
        <f t="shared" si="99"/>
        <v/>
      </c>
      <c r="S1069" s="104" t="str">
        <f t="shared" si="100"/>
        <v/>
      </c>
      <c r="T1069" s="104" t="str">
        <f t="shared" si="101"/>
        <v/>
      </c>
      <c r="U1069" s="104" t="str">
        <f t="shared" si="102"/>
        <v/>
      </c>
      <c r="V1069" s="104" t="str">
        <f t="shared" si="103"/>
        <v/>
      </c>
      <c r="W1069" s="105"/>
    </row>
    <row r="1070" spans="1:23">
      <c r="A1070" s="92"/>
      <c r="B1070" s="121"/>
      <c r="C1070" s="107"/>
      <c r="D1070" s="389"/>
      <c r="E1070" s="389"/>
      <c r="F1070" s="118"/>
      <c r="G1070" s="108"/>
      <c r="H1070" s="98"/>
      <c r="I1070" s="99"/>
      <c r="J1070" s="101"/>
      <c r="K1070" s="109"/>
      <c r="L1070" s="110"/>
      <c r="M1070" s="111"/>
      <c r="N1070" s="99"/>
      <c r="O1070" s="112"/>
      <c r="P1070" s="112"/>
      <c r="Q1070" s="104" t="str">
        <f t="shared" si="98"/>
        <v/>
      </c>
      <c r="R1070" s="104" t="str">
        <f t="shared" si="99"/>
        <v/>
      </c>
      <c r="S1070" s="104" t="str">
        <f t="shared" si="100"/>
        <v/>
      </c>
      <c r="T1070" s="104" t="str">
        <f t="shared" si="101"/>
        <v/>
      </c>
      <c r="U1070" s="104" t="str">
        <f t="shared" si="102"/>
        <v/>
      </c>
      <c r="V1070" s="104" t="str">
        <f t="shared" si="103"/>
        <v/>
      </c>
      <c r="W1070" s="105"/>
    </row>
    <row r="1071" spans="1:23" ht="15" customHeight="1">
      <c r="A1071" s="92">
        <v>39</v>
      </c>
      <c r="B1071" s="121" t="s">
        <v>426</v>
      </c>
      <c r="C1071" s="122"/>
      <c r="D1071" s="798">
        <f>0.75-0.05+0.6+1</f>
        <v>2.2999999999999998</v>
      </c>
      <c r="E1071" s="798"/>
      <c r="F1071" s="118"/>
      <c r="G1071" s="108">
        <v>0.25</v>
      </c>
      <c r="H1071" s="98">
        <v>20</v>
      </c>
      <c r="I1071" s="99">
        <v>1</v>
      </c>
      <c r="J1071" s="101">
        <f>ROUND(2.8/G1071+1,0)</f>
        <v>12</v>
      </c>
      <c r="K1071" s="109">
        <f>D1071</f>
        <v>2.2999999999999998</v>
      </c>
      <c r="L1071" s="110" t="str">
        <f>IF(O1071&lt;12,"0",0.049*H1071)</f>
        <v>0</v>
      </c>
      <c r="M1071" s="111">
        <v>0</v>
      </c>
      <c r="N1071" s="99">
        <f>M1071*2*H1071/1000</f>
        <v>0</v>
      </c>
      <c r="O1071" s="112">
        <f>(D1071)-N1071</f>
        <v>2.2999999999999998</v>
      </c>
      <c r="P1071" s="112">
        <f>(I1071*J1071*O1071)+L1071</f>
        <v>27.599999999999998</v>
      </c>
      <c r="Q1071" s="104" t="str">
        <f t="shared" si="98"/>
        <v/>
      </c>
      <c r="R1071" s="104" t="str">
        <f t="shared" si="99"/>
        <v/>
      </c>
      <c r="S1071" s="104" t="str">
        <f t="shared" si="100"/>
        <v/>
      </c>
      <c r="T1071" s="104" t="str">
        <f t="shared" si="101"/>
        <v/>
      </c>
      <c r="U1071" s="104">
        <f t="shared" si="102"/>
        <v>27.599999999999998</v>
      </c>
      <c r="V1071" s="104" t="str">
        <f t="shared" si="103"/>
        <v/>
      </c>
      <c r="W1071" s="105"/>
    </row>
    <row r="1072" spans="1:23">
      <c r="A1072" s="92"/>
      <c r="B1072" s="121" t="s">
        <v>289</v>
      </c>
      <c r="C1072" s="107"/>
      <c r="D1072" s="389"/>
      <c r="E1072" s="389"/>
      <c r="F1072" s="118"/>
      <c r="G1072" s="108"/>
      <c r="H1072" s="98"/>
      <c r="I1072" s="99"/>
      <c r="J1072" s="101"/>
      <c r="K1072" s="109"/>
      <c r="L1072" s="110"/>
      <c r="M1072" s="111"/>
      <c r="N1072" s="99"/>
      <c r="O1072" s="112"/>
      <c r="P1072" s="112"/>
      <c r="Q1072" s="104" t="str">
        <f t="shared" si="98"/>
        <v/>
      </c>
      <c r="R1072" s="104" t="str">
        <f t="shared" si="99"/>
        <v/>
      </c>
      <c r="S1072" s="104" t="str">
        <f t="shared" si="100"/>
        <v/>
      </c>
      <c r="T1072" s="104" t="str">
        <f t="shared" si="101"/>
        <v/>
      </c>
      <c r="U1072" s="104" t="str">
        <f t="shared" si="102"/>
        <v/>
      </c>
      <c r="V1072" s="104" t="str">
        <f t="shared" si="103"/>
        <v/>
      </c>
      <c r="W1072" s="105"/>
    </row>
    <row r="1073" spans="1:23">
      <c r="A1073" s="92"/>
      <c r="B1073" s="121"/>
      <c r="C1073" s="107"/>
      <c r="D1073" s="389"/>
      <c r="E1073" s="389"/>
      <c r="F1073" s="118"/>
      <c r="G1073" s="108"/>
      <c r="H1073" s="98"/>
      <c r="I1073" s="99"/>
      <c r="J1073" s="101"/>
      <c r="K1073" s="109"/>
      <c r="L1073" s="110"/>
      <c r="M1073" s="111"/>
      <c r="N1073" s="99"/>
      <c r="O1073" s="112"/>
      <c r="P1073" s="112"/>
      <c r="Q1073" s="104" t="str">
        <f t="shared" si="98"/>
        <v/>
      </c>
      <c r="R1073" s="104" t="str">
        <f t="shared" si="99"/>
        <v/>
      </c>
      <c r="S1073" s="104" t="str">
        <f t="shared" si="100"/>
        <v/>
      </c>
      <c r="T1073" s="104" t="str">
        <f t="shared" si="101"/>
        <v/>
      </c>
      <c r="U1073" s="104" t="str">
        <f t="shared" si="102"/>
        <v/>
      </c>
      <c r="V1073" s="104" t="str">
        <f t="shared" si="103"/>
        <v/>
      </c>
      <c r="W1073" s="105"/>
    </row>
    <row r="1074" spans="1:23" ht="15" customHeight="1">
      <c r="A1074" s="92">
        <v>40</v>
      </c>
      <c r="B1074" s="121" t="s">
        <v>427</v>
      </c>
      <c r="C1074" s="122"/>
      <c r="D1074" s="798">
        <f>1.25+0.3+1.25</f>
        <v>2.8</v>
      </c>
      <c r="E1074" s="798"/>
      <c r="F1074" s="118"/>
      <c r="G1074" s="108">
        <v>0.25</v>
      </c>
      <c r="H1074" s="98">
        <v>25</v>
      </c>
      <c r="I1074" s="99">
        <v>1</v>
      </c>
      <c r="J1074" s="101">
        <f>ROUND(2.3/G1074+1,0)</f>
        <v>10</v>
      </c>
      <c r="K1074" s="109">
        <f>D1074</f>
        <v>2.8</v>
      </c>
      <c r="L1074" s="110" t="str">
        <f>IF(O1074&lt;12,"0",0.049*H1074)</f>
        <v>0</v>
      </c>
      <c r="M1074" s="111">
        <v>0</v>
      </c>
      <c r="N1074" s="99">
        <f>M1074*2*H1074/1000</f>
        <v>0</v>
      </c>
      <c r="O1074" s="112">
        <f>(D1074)-N1074</f>
        <v>2.8</v>
      </c>
      <c r="P1074" s="112">
        <f>(I1074*J1074*O1074)+L1074</f>
        <v>28</v>
      </c>
      <c r="Q1074" s="104" t="str">
        <f t="shared" si="98"/>
        <v/>
      </c>
      <c r="R1074" s="104" t="str">
        <f t="shared" si="99"/>
        <v/>
      </c>
      <c r="S1074" s="104" t="str">
        <f t="shared" si="100"/>
        <v/>
      </c>
      <c r="T1074" s="104" t="str">
        <f t="shared" si="101"/>
        <v/>
      </c>
      <c r="U1074" s="104" t="str">
        <f t="shared" si="102"/>
        <v/>
      </c>
      <c r="V1074" s="104">
        <f t="shared" si="103"/>
        <v>28</v>
      </c>
      <c r="W1074" s="105"/>
    </row>
    <row r="1075" spans="1:23">
      <c r="A1075" s="92"/>
      <c r="B1075" s="121" t="s">
        <v>289</v>
      </c>
      <c r="C1075" s="107"/>
      <c r="D1075" s="389"/>
      <c r="E1075" s="389"/>
      <c r="F1075" s="118"/>
      <c r="G1075" s="108"/>
      <c r="H1075" s="98"/>
      <c r="I1075" s="99"/>
      <c r="J1075" s="101"/>
      <c r="K1075" s="109"/>
      <c r="L1075" s="110"/>
      <c r="M1075" s="111"/>
      <c r="N1075" s="99"/>
      <c r="O1075" s="112"/>
      <c r="P1075" s="112"/>
      <c r="Q1075" s="104" t="str">
        <f t="shared" si="98"/>
        <v/>
      </c>
      <c r="R1075" s="104" t="str">
        <f t="shared" si="99"/>
        <v/>
      </c>
      <c r="S1075" s="104" t="str">
        <f t="shared" si="100"/>
        <v/>
      </c>
      <c r="T1075" s="104" t="str">
        <f t="shared" si="101"/>
        <v/>
      </c>
      <c r="U1075" s="104" t="str">
        <f t="shared" si="102"/>
        <v/>
      </c>
      <c r="V1075" s="104" t="str">
        <f t="shared" si="103"/>
        <v/>
      </c>
      <c r="W1075" s="105"/>
    </row>
    <row r="1076" spans="1:23">
      <c r="A1076" s="92"/>
      <c r="B1076" s="121"/>
      <c r="C1076" s="107"/>
      <c r="D1076" s="389"/>
      <c r="E1076" s="389"/>
      <c r="F1076" s="118"/>
      <c r="G1076" s="108"/>
      <c r="H1076" s="98"/>
      <c r="I1076" s="99"/>
      <c r="J1076" s="101"/>
      <c r="K1076" s="109"/>
      <c r="L1076" s="110"/>
      <c r="M1076" s="111"/>
      <c r="N1076" s="99"/>
      <c r="O1076" s="112"/>
      <c r="P1076" s="112"/>
      <c r="Q1076" s="104" t="str">
        <f t="shared" si="98"/>
        <v/>
      </c>
      <c r="R1076" s="104" t="str">
        <f t="shared" si="99"/>
        <v/>
      </c>
      <c r="S1076" s="104" t="str">
        <f t="shared" si="100"/>
        <v/>
      </c>
      <c r="T1076" s="104" t="str">
        <f t="shared" si="101"/>
        <v/>
      </c>
      <c r="U1076" s="104" t="str">
        <f t="shared" si="102"/>
        <v/>
      </c>
      <c r="V1076" s="104" t="str">
        <f t="shared" si="103"/>
        <v/>
      </c>
      <c r="W1076" s="105"/>
    </row>
    <row r="1077" spans="1:23" ht="15" customHeight="1">
      <c r="A1077" s="92">
        <v>41</v>
      </c>
      <c r="B1077" s="121" t="s">
        <v>426</v>
      </c>
      <c r="C1077" s="122"/>
      <c r="D1077" s="797">
        <f>0.12+0.715+1</f>
        <v>1.835</v>
      </c>
      <c r="E1077" s="797"/>
      <c r="F1077" s="118"/>
      <c r="G1077" s="108">
        <v>0.25</v>
      </c>
      <c r="H1077" s="98">
        <v>20</v>
      </c>
      <c r="I1077" s="99">
        <v>1</v>
      </c>
      <c r="J1077" s="101">
        <f>ROUND(2.3/G1077+1,0)</f>
        <v>10</v>
      </c>
      <c r="K1077" s="109">
        <f>D1077</f>
        <v>1.835</v>
      </c>
      <c r="L1077" s="110" t="str">
        <f>IF(O1077&lt;12,"0",0.049*H1077)</f>
        <v>0</v>
      </c>
      <c r="M1077" s="111">
        <v>0</v>
      </c>
      <c r="N1077" s="99">
        <f>M1077*2*H1077/1000</f>
        <v>0</v>
      </c>
      <c r="O1077" s="112">
        <f>(D1077)-N1077</f>
        <v>1.835</v>
      </c>
      <c r="P1077" s="112">
        <f>(I1077*J1077*O1077)+L1077</f>
        <v>18.350000000000001</v>
      </c>
      <c r="Q1077" s="104" t="str">
        <f t="shared" si="98"/>
        <v/>
      </c>
      <c r="R1077" s="104" t="str">
        <f t="shared" si="99"/>
        <v/>
      </c>
      <c r="S1077" s="104" t="str">
        <f t="shared" si="100"/>
        <v/>
      </c>
      <c r="T1077" s="104" t="str">
        <f t="shared" si="101"/>
        <v/>
      </c>
      <c r="U1077" s="104">
        <f t="shared" si="102"/>
        <v>18.350000000000001</v>
      </c>
      <c r="V1077" s="104" t="str">
        <f t="shared" si="103"/>
        <v/>
      </c>
      <c r="W1077" s="105"/>
    </row>
    <row r="1078" spans="1:23">
      <c r="A1078" s="92"/>
      <c r="B1078" s="121" t="s">
        <v>290</v>
      </c>
      <c r="C1078" s="107"/>
      <c r="D1078" s="389"/>
      <c r="E1078" s="389"/>
      <c r="F1078" s="118"/>
      <c r="G1078" s="108"/>
      <c r="H1078" s="98"/>
      <c r="I1078" s="99"/>
      <c r="J1078" s="101"/>
      <c r="K1078" s="109"/>
      <c r="L1078" s="110"/>
      <c r="M1078" s="111"/>
      <c r="N1078" s="99"/>
      <c r="O1078" s="112"/>
      <c r="P1078" s="112"/>
      <c r="Q1078" s="104" t="str">
        <f t="shared" si="98"/>
        <v/>
      </c>
      <c r="R1078" s="104" t="str">
        <f t="shared" si="99"/>
        <v/>
      </c>
      <c r="S1078" s="104" t="str">
        <f t="shared" si="100"/>
        <v/>
      </c>
      <c r="T1078" s="104" t="str">
        <f t="shared" si="101"/>
        <v/>
      </c>
      <c r="U1078" s="104" t="str">
        <f t="shared" si="102"/>
        <v/>
      </c>
      <c r="V1078" s="104" t="str">
        <f t="shared" si="103"/>
        <v/>
      </c>
      <c r="W1078" s="105"/>
    </row>
    <row r="1079" spans="1:23">
      <c r="A1079" s="92"/>
      <c r="B1079" s="121"/>
      <c r="C1079" s="107"/>
      <c r="D1079" s="389"/>
      <c r="E1079" s="389"/>
      <c r="F1079" s="118"/>
      <c r="G1079" s="108"/>
      <c r="H1079" s="98"/>
      <c r="I1079" s="99"/>
      <c r="J1079" s="101"/>
      <c r="K1079" s="109"/>
      <c r="L1079" s="110"/>
      <c r="M1079" s="111"/>
      <c r="N1079" s="99"/>
      <c r="O1079" s="112"/>
      <c r="P1079" s="112"/>
      <c r="Q1079" s="104" t="str">
        <f t="shared" si="98"/>
        <v/>
      </c>
      <c r="R1079" s="104" t="str">
        <f t="shared" si="99"/>
        <v/>
      </c>
      <c r="S1079" s="104" t="str">
        <f t="shared" si="100"/>
        <v/>
      </c>
      <c r="T1079" s="104" t="str">
        <f t="shared" si="101"/>
        <v/>
      </c>
      <c r="U1079" s="104" t="str">
        <f t="shared" si="102"/>
        <v/>
      </c>
      <c r="V1079" s="104" t="str">
        <f t="shared" si="103"/>
        <v/>
      </c>
      <c r="W1079" s="105"/>
    </row>
    <row r="1080" spans="1:23" ht="15" customHeight="1">
      <c r="A1080" s="92">
        <v>42</v>
      </c>
      <c r="B1080" s="121" t="s">
        <v>427</v>
      </c>
      <c r="C1080" s="122"/>
      <c r="D1080" s="797">
        <f>1+0.3+1</f>
        <v>2.2999999999999998</v>
      </c>
      <c r="E1080" s="797"/>
      <c r="F1080" s="118"/>
      <c r="G1080" s="108">
        <v>0.25</v>
      </c>
      <c r="H1080" s="98">
        <v>20</v>
      </c>
      <c r="I1080" s="99">
        <v>1</v>
      </c>
      <c r="J1080" s="101">
        <f>ROUND(1.835/G1080+1,0)</f>
        <v>8</v>
      </c>
      <c r="K1080" s="109">
        <f>D1080</f>
        <v>2.2999999999999998</v>
      </c>
      <c r="L1080" s="110" t="str">
        <f>IF(O1080&lt;12,"0",0.049*H1080)</f>
        <v>0</v>
      </c>
      <c r="M1080" s="111">
        <v>0</v>
      </c>
      <c r="N1080" s="99">
        <f>M1080*2*H1080/1000</f>
        <v>0</v>
      </c>
      <c r="O1080" s="112">
        <f>(D1080)-N1080</f>
        <v>2.2999999999999998</v>
      </c>
      <c r="P1080" s="112">
        <f>(I1080*J1080*O1080)+L1080</f>
        <v>18.399999999999999</v>
      </c>
      <c r="Q1080" s="104" t="str">
        <f t="shared" si="98"/>
        <v/>
      </c>
      <c r="R1080" s="104" t="str">
        <f t="shared" si="99"/>
        <v/>
      </c>
      <c r="S1080" s="104" t="str">
        <f t="shared" si="100"/>
        <v/>
      </c>
      <c r="T1080" s="104" t="str">
        <f t="shared" si="101"/>
        <v/>
      </c>
      <c r="U1080" s="104">
        <f t="shared" si="102"/>
        <v>18.399999999999999</v>
      </c>
      <c r="V1080" s="104" t="str">
        <f t="shared" si="103"/>
        <v/>
      </c>
      <c r="W1080" s="105"/>
    </row>
    <row r="1081" spans="1:23">
      <c r="A1081" s="92"/>
      <c r="B1081" s="121" t="s">
        <v>290</v>
      </c>
      <c r="C1081" s="107"/>
      <c r="D1081" s="389"/>
      <c r="E1081" s="389"/>
      <c r="F1081" s="118"/>
      <c r="G1081" s="108"/>
      <c r="H1081" s="98"/>
      <c r="I1081" s="99"/>
      <c r="J1081" s="101"/>
      <c r="K1081" s="109"/>
      <c r="L1081" s="110"/>
      <c r="M1081" s="111"/>
      <c r="N1081" s="99"/>
      <c r="O1081" s="112"/>
      <c r="P1081" s="112"/>
      <c r="Q1081" s="104" t="str">
        <f t="shared" si="98"/>
        <v/>
      </c>
      <c r="R1081" s="104" t="str">
        <f t="shared" si="99"/>
        <v/>
      </c>
      <c r="S1081" s="104" t="str">
        <f t="shared" si="100"/>
        <v/>
      </c>
      <c r="T1081" s="104" t="str">
        <f t="shared" si="101"/>
        <v/>
      </c>
      <c r="U1081" s="104" t="str">
        <f t="shared" si="102"/>
        <v/>
      </c>
      <c r="V1081" s="104" t="str">
        <f t="shared" si="103"/>
        <v/>
      </c>
      <c r="W1081" s="105"/>
    </row>
    <row r="1082" spans="1:23">
      <c r="A1082" s="92"/>
      <c r="B1082" s="121"/>
      <c r="C1082" s="107"/>
      <c r="D1082" s="389"/>
      <c r="E1082" s="389"/>
      <c r="F1082" s="118"/>
      <c r="G1082" s="108"/>
      <c r="H1082" s="98"/>
      <c r="I1082" s="99"/>
      <c r="J1082" s="101"/>
      <c r="K1082" s="109"/>
      <c r="L1082" s="110"/>
      <c r="M1082" s="111"/>
      <c r="N1082" s="99"/>
      <c r="O1082" s="112"/>
      <c r="P1082" s="112"/>
      <c r="Q1082" s="104" t="str">
        <f t="shared" si="98"/>
        <v/>
      </c>
      <c r="R1082" s="104" t="str">
        <f t="shared" si="99"/>
        <v/>
      </c>
      <c r="S1082" s="104" t="str">
        <f t="shared" si="100"/>
        <v/>
      </c>
      <c r="T1082" s="104" t="str">
        <f t="shared" si="101"/>
        <v/>
      </c>
      <c r="U1082" s="104" t="str">
        <f t="shared" si="102"/>
        <v/>
      </c>
      <c r="V1082" s="104" t="str">
        <f t="shared" si="103"/>
        <v/>
      </c>
      <c r="W1082" s="105"/>
    </row>
    <row r="1083" spans="1:23" ht="15" customHeight="1">
      <c r="A1083" s="92">
        <v>43</v>
      </c>
      <c r="B1083" s="121" t="s">
        <v>426</v>
      </c>
      <c r="C1083" s="122"/>
      <c r="D1083" s="797">
        <f>1.25+0.75+1.25</f>
        <v>3.25</v>
      </c>
      <c r="E1083" s="797"/>
      <c r="F1083" s="118"/>
      <c r="G1083" s="108">
        <v>0.25</v>
      </c>
      <c r="H1083" s="98">
        <v>25</v>
      </c>
      <c r="I1083" s="99">
        <v>1</v>
      </c>
      <c r="J1083" s="101">
        <f>ROUND(2.8/G1083+1,0)</f>
        <v>12</v>
      </c>
      <c r="K1083" s="109">
        <f>D1083</f>
        <v>3.25</v>
      </c>
      <c r="L1083" s="110" t="str">
        <f>IF(O1083&lt;12,"0",0.049*H1083)</f>
        <v>0</v>
      </c>
      <c r="M1083" s="111">
        <v>0</v>
      </c>
      <c r="N1083" s="99">
        <f>M1083*2*H1083/1000</f>
        <v>0</v>
      </c>
      <c r="O1083" s="112">
        <f>(D1083)-N1083</f>
        <v>3.25</v>
      </c>
      <c r="P1083" s="112">
        <f>(I1083*J1083*O1083)+L1083</f>
        <v>39</v>
      </c>
      <c r="Q1083" s="104" t="str">
        <f t="shared" si="98"/>
        <v/>
      </c>
      <c r="R1083" s="104" t="str">
        <f t="shared" si="99"/>
        <v/>
      </c>
      <c r="S1083" s="104" t="str">
        <f t="shared" si="100"/>
        <v/>
      </c>
      <c r="T1083" s="104" t="str">
        <f t="shared" si="101"/>
        <v/>
      </c>
      <c r="U1083" s="104" t="str">
        <f t="shared" si="102"/>
        <v/>
      </c>
      <c r="V1083" s="104">
        <f t="shared" si="103"/>
        <v>39</v>
      </c>
      <c r="W1083" s="105"/>
    </row>
    <row r="1084" spans="1:23">
      <c r="A1084" s="92"/>
      <c r="B1084" s="121" t="s">
        <v>291</v>
      </c>
      <c r="C1084" s="107"/>
      <c r="D1084" s="389"/>
      <c r="E1084" s="389"/>
      <c r="F1084" s="118"/>
      <c r="G1084" s="108"/>
      <c r="H1084" s="98"/>
      <c r="I1084" s="99"/>
      <c r="J1084" s="101"/>
      <c r="K1084" s="109"/>
      <c r="L1084" s="110"/>
      <c r="M1084" s="111"/>
      <c r="N1084" s="99"/>
      <c r="O1084" s="112"/>
      <c r="P1084" s="112"/>
      <c r="Q1084" s="104" t="str">
        <f t="shared" si="98"/>
        <v/>
      </c>
      <c r="R1084" s="104" t="str">
        <f t="shared" si="99"/>
        <v/>
      </c>
      <c r="S1084" s="104" t="str">
        <f t="shared" si="100"/>
        <v/>
      </c>
      <c r="T1084" s="104" t="str">
        <f t="shared" si="101"/>
        <v/>
      </c>
      <c r="U1084" s="104" t="str">
        <f t="shared" si="102"/>
        <v/>
      </c>
      <c r="V1084" s="104" t="str">
        <f t="shared" si="103"/>
        <v/>
      </c>
      <c r="W1084" s="105"/>
    </row>
    <row r="1085" spans="1:23">
      <c r="A1085" s="92"/>
      <c r="B1085" s="121"/>
      <c r="C1085" s="107"/>
      <c r="D1085" s="389"/>
      <c r="E1085" s="389"/>
      <c r="F1085" s="118"/>
      <c r="G1085" s="108"/>
      <c r="H1085" s="98"/>
      <c r="I1085" s="99"/>
      <c r="J1085" s="101"/>
      <c r="K1085" s="109"/>
      <c r="L1085" s="110"/>
      <c r="M1085" s="111"/>
      <c r="N1085" s="99"/>
      <c r="O1085" s="112"/>
      <c r="P1085" s="112"/>
      <c r="Q1085" s="104" t="str">
        <f t="shared" si="98"/>
        <v/>
      </c>
      <c r="R1085" s="104" t="str">
        <f t="shared" si="99"/>
        <v/>
      </c>
      <c r="S1085" s="104" t="str">
        <f t="shared" si="100"/>
        <v/>
      </c>
      <c r="T1085" s="104" t="str">
        <f t="shared" si="101"/>
        <v/>
      </c>
      <c r="U1085" s="104" t="str">
        <f t="shared" si="102"/>
        <v/>
      </c>
      <c r="V1085" s="104" t="str">
        <f t="shared" si="103"/>
        <v/>
      </c>
      <c r="W1085" s="105"/>
    </row>
    <row r="1086" spans="1:23" ht="15" customHeight="1">
      <c r="A1086" s="92">
        <v>44</v>
      </c>
      <c r="B1086" s="121" t="s">
        <v>427</v>
      </c>
      <c r="C1086" s="122"/>
      <c r="D1086" s="797">
        <f>1.25+0.3+1.25</f>
        <v>2.8</v>
      </c>
      <c r="E1086" s="797"/>
      <c r="F1086" s="118"/>
      <c r="G1086" s="108">
        <v>0.25</v>
      </c>
      <c r="H1086" s="98">
        <v>25</v>
      </c>
      <c r="I1086" s="99">
        <v>1</v>
      </c>
      <c r="J1086" s="101">
        <f>ROUND(3.25/G1086+1,0)</f>
        <v>14</v>
      </c>
      <c r="K1086" s="109">
        <f>D1086</f>
        <v>2.8</v>
      </c>
      <c r="L1086" s="110" t="str">
        <f>IF(O1086&lt;12,"0",0.049*H1086)</f>
        <v>0</v>
      </c>
      <c r="M1086" s="111">
        <v>0</v>
      </c>
      <c r="N1086" s="99">
        <f>M1086*2*H1086/1000</f>
        <v>0</v>
      </c>
      <c r="O1086" s="112">
        <f>(D1086)-N1086</f>
        <v>2.8</v>
      </c>
      <c r="P1086" s="112">
        <f>(I1086*J1086*O1086)+L1086</f>
        <v>39.199999999999996</v>
      </c>
      <c r="Q1086" s="104" t="str">
        <f t="shared" si="98"/>
        <v/>
      </c>
      <c r="R1086" s="104" t="str">
        <f t="shared" si="99"/>
        <v/>
      </c>
      <c r="S1086" s="104" t="str">
        <f t="shared" si="100"/>
        <v/>
      </c>
      <c r="T1086" s="104" t="str">
        <f t="shared" si="101"/>
        <v/>
      </c>
      <c r="U1086" s="104" t="str">
        <f t="shared" si="102"/>
        <v/>
      </c>
      <c r="V1086" s="104">
        <f t="shared" si="103"/>
        <v>39.199999999999996</v>
      </c>
      <c r="W1086" s="105"/>
    </row>
    <row r="1087" spans="1:23">
      <c r="A1087" s="92"/>
      <c r="B1087" s="121" t="s">
        <v>291</v>
      </c>
      <c r="C1087" s="107"/>
      <c r="D1087" s="389"/>
      <c r="E1087" s="389"/>
      <c r="F1087" s="118"/>
      <c r="G1087" s="108"/>
      <c r="H1087" s="98"/>
      <c r="I1087" s="99"/>
      <c r="J1087" s="101"/>
      <c r="K1087" s="109"/>
      <c r="L1087" s="110"/>
      <c r="M1087" s="111"/>
      <c r="N1087" s="99"/>
      <c r="O1087" s="112"/>
      <c r="P1087" s="112"/>
      <c r="Q1087" s="104" t="str">
        <f t="shared" ref="Q1087:Q1150" si="104">IF($H1087=8,$P1087,"")</f>
        <v/>
      </c>
      <c r="R1087" s="104" t="str">
        <f t="shared" ref="R1087:R1150" si="105">IF($H1087=10,$P1087,"")</f>
        <v/>
      </c>
      <c r="S1087" s="104" t="str">
        <f t="shared" ref="S1087:S1150" si="106">IF($H1087=12,$P1087,"")</f>
        <v/>
      </c>
      <c r="T1087" s="104" t="str">
        <f t="shared" ref="T1087:T1150" si="107">IF($H1087=16,$P1087,"")</f>
        <v/>
      </c>
      <c r="U1087" s="104" t="str">
        <f t="shared" ref="U1087:U1150" si="108">IF($H1087=20,$P1087,"")</f>
        <v/>
      </c>
      <c r="V1087" s="104" t="str">
        <f t="shared" ref="V1087:V1150" si="109">IF($H1087=25,$P1087,"")</f>
        <v/>
      </c>
      <c r="W1087" s="105"/>
    </row>
    <row r="1088" spans="1:23">
      <c r="A1088" s="92"/>
      <c r="B1088" s="121"/>
      <c r="C1088" s="107"/>
      <c r="D1088" s="389"/>
      <c r="E1088" s="389"/>
      <c r="F1088" s="118"/>
      <c r="G1088" s="108"/>
      <c r="H1088" s="98"/>
      <c r="I1088" s="99"/>
      <c r="J1088" s="101"/>
      <c r="K1088" s="109"/>
      <c r="L1088" s="110"/>
      <c r="M1088" s="111"/>
      <c r="N1088" s="99"/>
      <c r="O1088" s="112"/>
      <c r="P1088" s="112"/>
      <c r="Q1088" s="104" t="str">
        <f t="shared" si="104"/>
        <v/>
      </c>
      <c r="R1088" s="104" t="str">
        <f t="shared" si="105"/>
        <v/>
      </c>
      <c r="S1088" s="104" t="str">
        <f t="shared" si="106"/>
        <v/>
      </c>
      <c r="T1088" s="104" t="str">
        <f t="shared" si="107"/>
        <v/>
      </c>
      <c r="U1088" s="104" t="str">
        <f t="shared" si="108"/>
        <v/>
      </c>
      <c r="V1088" s="104" t="str">
        <f t="shared" si="109"/>
        <v/>
      </c>
      <c r="W1088" s="105"/>
    </row>
    <row r="1089" spans="1:23" ht="15" customHeight="1">
      <c r="A1089" s="92">
        <v>45</v>
      </c>
      <c r="B1089" s="121" t="s">
        <v>426</v>
      </c>
      <c r="C1089" s="122"/>
      <c r="D1089" s="798">
        <f>1.25+0.23+1.25</f>
        <v>2.73</v>
      </c>
      <c r="E1089" s="798"/>
      <c r="F1089" s="118"/>
      <c r="G1089" s="108">
        <v>0.25</v>
      </c>
      <c r="H1089" s="98">
        <v>25</v>
      </c>
      <c r="I1089" s="99">
        <v>1</v>
      </c>
      <c r="J1089" s="101">
        <f>ROUND(3.7/G1089+1,0)</f>
        <v>16</v>
      </c>
      <c r="K1089" s="109">
        <f>D1089</f>
        <v>2.73</v>
      </c>
      <c r="L1089" s="110" t="str">
        <f>IF(O1089&lt;12,"0",0.049*H1089)</f>
        <v>0</v>
      </c>
      <c r="M1089" s="111">
        <v>0</v>
      </c>
      <c r="N1089" s="99">
        <f>M1089*2*H1089/1000</f>
        <v>0</v>
      </c>
      <c r="O1089" s="112">
        <f>(D1089)-N1089</f>
        <v>2.73</v>
      </c>
      <c r="P1089" s="112">
        <f>(I1089*J1089*O1089)+L1089</f>
        <v>43.68</v>
      </c>
      <c r="Q1089" s="104" t="str">
        <f t="shared" si="104"/>
        <v/>
      </c>
      <c r="R1089" s="104" t="str">
        <f t="shared" si="105"/>
        <v/>
      </c>
      <c r="S1089" s="104" t="str">
        <f t="shared" si="106"/>
        <v/>
      </c>
      <c r="T1089" s="104" t="str">
        <f t="shared" si="107"/>
        <v/>
      </c>
      <c r="U1089" s="104" t="str">
        <f t="shared" si="108"/>
        <v/>
      </c>
      <c r="V1089" s="104">
        <f t="shared" si="109"/>
        <v>43.68</v>
      </c>
      <c r="W1089" s="105"/>
    </row>
    <row r="1090" spans="1:23">
      <c r="A1090" s="92"/>
      <c r="B1090" s="121" t="s">
        <v>292</v>
      </c>
      <c r="C1090" s="107"/>
      <c r="D1090" s="389"/>
      <c r="E1090" s="389"/>
      <c r="F1090" s="118"/>
      <c r="G1090" s="108"/>
      <c r="H1090" s="98"/>
      <c r="I1090" s="99"/>
      <c r="J1090" s="101"/>
      <c r="K1090" s="109"/>
      <c r="L1090" s="110"/>
      <c r="M1090" s="111"/>
      <c r="N1090" s="99"/>
      <c r="O1090" s="112"/>
      <c r="P1090" s="112"/>
      <c r="Q1090" s="104" t="str">
        <f t="shared" si="104"/>
        <v/>
      </c>
      <c r="R1090" s="104" t="str">
        <f t="shared" si="105"/>
        <v/>
      </c>
      <c r="S1090" s="104" t="str">
        <f t="shared" si="106"/>
        <v/>
      </c>
      <c r="T1090" s="104" t="str">
        <f t="shared" si="107"/>
        <v/>
      </c>
      <c r="U1090" s="104" t="str">
        <f t="shared" si="108"/>
        <v/>
      </c>
      <c r="V1090" s="104" t="str">
        <f t="shared" si="109"/>
        <v/>
      </c>
      <c r="W1090" s="105"/>
    </row>
    <row r="1091" spans="1:23">
      <c r="A1091" s="92"/>
      <c r="B1091" s="121"/>
      <c r="C1091" s="107"/>
      <c r="D1091" s="389"/>
      <c r="E1091" s="389"/>
      <c r="F1091" s="118"/>
      <c r="G1091" s="108"/>
      <c r="H1091" s="98"/>
      <c r="I1091" s="99"/>
      <c r="J1091" s="101"/>
      <c r="K1091" s="109"/>
      <c r="L1091" s="110"/>
      <c r="M1091" s="111"/>
      <c r="N1091" s="99"/>
      <c r="O1091" s="112"/>
      <c r="P1091" s="112"/>
      <c r="Q1091" s="104" t="str">
        <f t="shared" si="104"/>
        <v/>
      </c>
      <c r="R1091" s="104" t="str">
        <f t="shared" si="105"/>
        <v/>
      </c>
      <c r="S1091" s="104" t="str">
        <f t="shared" si="106"/>
        <v/>
      </c>
      <c r="T1091" s="104" t="str">
        <f t="shared" si="107"/>
        <v/>
      </c>
      <c r="U1091" s="104" t="str">
        <f t="shared" si="108"/>
        <v/>
      </c>
      <c r="V1091" s="104" t="str">
        <f t="shared" si="109"/>
        <v/>
      </c>
      <c r="W1091" s="105"/>
    </row>
    <row r="1092" spans="1:23" ht="15" customHeight="1">
      <c r="A1092" s="92">
        <v>46</v>
      </c>
      <c r="B1092" s="121" t="s">
        <v>427</v>
      </c>
      <c r="C1092" s="122"/>
      <c r="D1092" s="798">
        <f>1+1.7+1</f>
        <v>3.7</v>
      </c>
      <c r="E1092" s="798"/>
      <c r="F1092" s="118"/>
      <c r="G1092" s="108">
        <v>0.25</v>
      </c>
      <c r="H1092" s="98">
        <v>20</v>
      </c>
      <c r="I1092" s="99">
        <v>1</v>
      </c>
      <c r="J1092" s="101">
        <f>ROUND(2.73/G1092+1,0)</f>
        <v>12</v>
      </c>
      <c r="K1092" s="109">
        <f>D1092</f>
        <v>3.7</v>
      </c>
      <c r="L1092" s="110" t="str">
        <f>IF(O1092&lt;12,"0",0.049*H1092)</f>
        <v>0</v>
      </c>
      <c r="M1092" s="111">
        <v>0</v>
      </c>
      <c r="N1092" s="99">
        <f>M1092*2*H1092/1000</f>
        <v>0</v>
      </c>
      <c r="O1092" s="112">
        <f>(D1092)-N1092</f>
        <v>3.7</v>
      </c>
      <c r="P1092" s="112">
        <f>(I1092*J1092*O1092)+L1092</f>
        <v>44.400000000000006</v>
      </c>
      <c r="Q1092" s="104" t="str">
        <f t="shared" si="104"/>
        <v/>
      </c>
      <c r="R1092" s="104" t="str">
        <f t="shared" si="105"/>
        <v/>
      </c>
      <c r="S1092" s="104" t="str">
        <f t="shared" si="106"/>
        <v/>
      </c>
      <c r="T1092" s="104" t="str">
        <f t="shared" si="107"/>
        <v/>
      </c>
      <c r="U1092" s="104">
        <f t="shared" si="108"/>
        <v>44.400000000000006</v>
      </c>
      <c r="V1092" s="104" t="str">
        <f t="shared" si="109"/>
        <v/>
      </c>
      <c r="W1092" s="105"/>
    </row>
    <row r="1093" spans="1:23">
      <c r="A1093" s="92"/>
      <c r="B1093" s="121" t="s">
        <v>292</v>
      </c>
      <c r="C1093" s="107"/>
      <c r="D1093" s="389"/>
      <c r="E1093" s="389"/>
      <c r="F1093" s="118"/>
      <c r="G1093" s="108"/>
      <c r="H1093" s="98"/>
      <c r="I1093" s="99"/>
      <c r="J1093" s="101"/>
      <c r="K1093" s="109"/>
      <c r="L1093" s="110"/>
      <c r="M1093" s="111"/>
      <c r="N1093" s="99"/>
      <c r="O1093" s="112"/>
      <c r="P1093" s="112"/>
      <c r="Q1093" s="104" t="str">
        <f t="shared" si="104"/>
        <v/>
      </c>
      <c r="R1093" s="104" t="str">
        <f t="shared" si="105"/>
        <v/>
      </c>
      <c r="S1093" s="104" t="str">
        <f t="shared" si="106"/>
        <v/>
      </c>
      <c r="T1093" s="104" t="str">
        <f t="shared" si="107"/>
        <v/>
      </c>
      <c r="U1093" s="104" t="str">
        <f t="shared" si="108"/>
        <v/>
      </c>
      <c r="V1093" s="104" t="str">
        <f t="shared" si="109"/>
        <v/>
      </c>
      <c r="W1093" s="105"/>
    </row>
    <row r="1094" spans="1:23">
      <c r="A1094" s="92"/>
      <c r="B1094" s="121"/>
      <c r="C1094" s="107"/>
      <c r="D1094" s="389"/>
      <c r="E1094" s="389"/>
      <c r="F1094" s="118"/>
      <c r="G1094" s="108"/>
      <c r="H1094" s="98"/>
      <c r="I1094" s="99"/>
      <c r="J1094" s="101"/>
      <c r="K1094" s="109"/>
      <c r="L1094" s="110"/>
      <c r="M1094" s="111"/>
      <c r="N1094" s="99"/>
      <c r="O1094" s="112"/>
      <c r="P1094" s="112"/>
      <c r="Q1094" s="104" t="str">
        <f t="shared" si="104"/>
        <v/>
      </c>
      <c r="R1094" s="104" t="str">
        <f t="shared" si="105"/>
        <v/>
      </c>
      <c r="S1094" s="104" t="str">
        <f t="shared" si="106"/>
        <v/>
      </c>
      <c r="T1094" s="104" t="str">
        <f t="shared" si="107"/>
        <v/>
      </c>
      <c r="U1094" s="104" t="str">
        <f t="shared" si="108"/>
        <v/>
      </c>
      <c r="V1094" s="104" t="str">
        <f t="shared" si="109"/>
        <v/>
      </c>
      <c r="W1094" s="105"/>
    </row>
    <row r="1095" spans="1:23" ht="15" customHeight="1">
      <c r="A1095" s="92">
        <v>47</v>
      </c>
      <c r="B1095" s="121" t="s">
        <v>426</v>
      </c>
      <c r="C1095" s="122"/>
      <c r="D1095" s="798">
        <f>1+0.23+1</f>
        <v>2.23</v>
      </c>
      <c r="E1095" s="798"/>
      <c r="F1095" s="118"/>
      <c r="G1095" s="108">
        <v>0.25</v>
      </c>
      <c r="H1095" s="98">
        <v>20</v>
      </c>
      <c r="I1095" s="99">
        <v>1</v>
      </c>
      <c r="J1095" s="101">
        <f>ROUND(3.7/G1095+1,0)</f>
        <v>16</v>
      </c>
      <c r="K1095" s="109">
        <f>D1095</f>
        <v>2.23</v>
      </c>
      <c r="L1095" s="110" t="str">
        <f>IF(O1095&lt;12,"0",0.049*H1095)</f>
        <v>0</v>
      </c>
      <c r="M1095" s="111">
        <v>0</v>
      </c>
      <c r="N1095" s="99">
        <f>M1095*2*H1095/1000</f>
        <v>0</v>
      </c>
      <c r="O1095" s="112">
        <f>(D1095)-N1095</f>
        <v>2.23</v>
      </c>
      <c r="P1095" s="112">
        <f>(I1095*J1095*O1095)+L1095</f>
        <v>35.68</v>
      </c>
      <c r="Q1095" s="104" t="str">
        <f t="shared" si="104"/>
        <v/>
      </c>
      <c r="R1095" s="104" t="str">
        <f t="shared" si="105"/>
        <v/>
      </c>
      <c r="S1095" s="104" t="str">
        <f t="shared" si="106"/>
        <v/>
      </c>
      <c r="T1095" s="104" t="str">
        <f t="shared" si="107"/>
        <v/>
      </c>
      <c r="U1095" s="104">
        <f t="shared" si="108"/>
        <v>35.68</v>
      </c>
      <c r="V1095" s="104" t="str">
        <f t="shared" si="109"/>
        <v/>
      </c>
      <c r="W1095" s="105"/>
    </row>
    <row r="1096" spans="1:23">
      <c r="A1096" s="92"/>
      <c r="B1096" s="121" t="s">
        <v>293</v>
      </c>
      <c r="C1096" s="107"/>
      <c r="D1096" s="389"/>
      <c r="E1096" s="389"/>
      <c r="F1096" s="118"/>
      <c r="G1096" s="108"/>
      <c r="H1096" s="98"/>
      <c r="I1096" s="99"/>
      <c r="J1096" s="101"/>
      <c r="K1096" s="109"/>
      <c r="L1096" s="110"/>
      <c r="M1096" s="111"/>
      <c r="N1096" s="99"/>
      <c r="O1096" s="112"/>
      <c r="P1096" s="112"/>
      <c r="Q1096" s="104" t="str">
        <f t="shared" si="104"/>
        <v/>
      </c>
      <c r="R1096" s="104" t="str">
        <f t="shared" si="105"/>
        <v/>
      </c>
      <c r="S1096" s="104" t="str">
        <f t="shared" si="106"/>
        <v/>
      </c>
      <c r="T1096" s="104" t="str">
        <f t="shared" si="107"/>
        <v/>
      </c>
      <c r="U1096" s="104" t="str">
        <f t="shared" si="108"/>
        <v/>
      </c>
      <c r="V1096" s="104" t="str">
        <f t="shared" si="109"/>
        <v/>
      </c>
      <c r="W1096" s="105"/>
    </row>
    <row r="1097" spans="1:23">
      <c r="A1097" s="92"/>
      <c r="B1097" s="121"/>
      <c r="C1097" s="107"/>
      <c r="D1097" s="389"/>
      <c r="E1097" s="389"/>
      <c r="F1097" s="118"/>
      <c r="G1097" s="108"/>
      <c r="H1097" s="98"/>
      <c r="I1097" s="99"/>
      <c r="J1097" s="101"/>
      <c r="K1097" s="109"/>
      <c r="L1097" s="110"/>
      <c r="M1097" s="111"/>
      <c r="N1097" s="99"/>
      <c r="O1097" s="112"/>
      <c r="P1097" s="112"/>
      <c r="Q1097" s="104" t="str">
        <f t="shared" si="104"/>
        <v/>
      </c>
      <c r="R1097" s="104" t="str">
        <f t="shared" si="105"/>
        <v/>
      </c>
      <c r="S1097" s="104" t="str">
        <f t="shared" si="106"/>
        <v/>
      </c>
      <c r="T1097" s="104" t="str">
        <f t="shared" si="107"/>
        <v/>
      </c>
      <c r="U1097" s="104" t="str">
        <f t="shared" si="108"/>
        <v/>
      </c>
      <c r="V1097" s="104" t="str">
        <f t="shared" si="109"/>
        <v/>
      </c>
      <c r="W1097" s="105"/>
    </row>
    <row r="1098" spans="1:23" ht="15" customHeight="1">
      <c r="A1098" s="92">
        <v>48</v>
      </c>
      <c r="B1098" s="121" t="s">
        <v>427</v>
      </c>
      <c r="C1098" s="122"/>
      <c r="D1098" s="798">
        <f>1+1.7+1</f>
        <v>3.7</v>
      </c>
      <c r="E1098" s="798"/>
      <c r="F1098" s="118"/>
      <c r="G1098" s="108">
        <v>0.25</v>
      </c>
      <c r="H1098" s="98">
        <v>20</v>
      </c>
      <c r="I1098" s="99">
        <v>1</v>
      </c>
      <c r="J1098" s="101">
        <f>ROUND(2.23/G1098+1,0)</f>
        <v>10</v>
      </c>
      <c r="K1098" s="109">
        <f>D1098</f>
        <v>3.7</v>
      </c>
      <c r="L1098" s="110" t="str">
        <f>IF(O1098&lt;12,"0",0.049*H1098)</f>
        <v>0</v>
      </c>
      <c r="M1098" s="111">
        <v>0</v>
      </c>
      <c r="N1098" s="99">
        <f>M1098*2*H1098/1000</f>
        <v>0</v>
      </c>
      <c r="O1098" s="112">
        <f>(D1098)-N1098</f>
        <v>3.7</v>
      </c>
      <c r="P1098" s="112">
        <f>(I1098*J1098*O1098)+L1098</f>
        <v>37</v>
      </c>
      <c r="Q1098" s="104" t="str">
        <f t="shared" si="104"/>
        <v/>
      </c>
      <c r="R1098" s="104" t="str">
        <f t="shared" si="105"/>
        <v/>
      </c>
      <c r="S1098" s="104" t="str">
        <f t="shared" si="106"/>
        <v/>
      </c>
      <c r="T1098" s="104" t="str">
        <f t="shared" si="107"/>
        <v/>
      </c>
      <c r="U1098" s="104">
        <f t="shared" si="108"/>
        <v>37</v>
      </c>
      <c r="V1098" s="104" t="str">
        <f t="shared" si="109"/>
        <v/>
      </c>
      <c r="W1098" s="105"/>
    </row>
    <row r="1099" spans="1:23">
      <c r="A1099" s="92"/>
      <c r="B1099" s="121" t="s">
        <v>293</v>
      </c>
      <c r="C1099" s="107"/>
      <c r="D1099" s="389"/>
      <c r="E1099" s="389"/>
      <c r="F1099" s="118"/>
      <c r="G1099" s="108"/>
      <c r="H1099" s="98"/>
      <c r="I1099" s="99"/>
      <c r="J1099" s="101"/>
      <c r="K1099" s="109"/>
      <c r="L1099" s="110"/>
      <c r="M1099" s="111"/>
      <c r="N1099" s="99"/>
      <c r="O1099" s="112"/>
      <c r="P1099" s="112"/>
      <c r="Q1099" s="104" t="str">
        <f t="shared" si="104"/>
        <v/>
      </c>
      <c r="R1099" s="104" t="str">
        <f t="shared" si="105"/>
        <v/>
      </c>
      <c r="S1099" s="104" t="str">
        <f t="shared" si="106"/>
        <v/>
      </c>
      <c r="T1099" s="104" t="str">
        <f t="shared" si="107"/>
        <v/>
      </c>
      <c r="U1099" s="104" t="str">
        <f t="shared" si="108"/>
        <v/>
      </c>
      <c r="V1099" s="104" t="str">
        <f t="shared" si="109"/>
        <v/>
      </c>
      <c r="W1099" s="105"/>
    </row>
    <row r="1100" spans="1:23">
      <c r="A1100" s="92"/>
      <c r="B1100" s="121"/>
      <c r="C1100" s="107"/>
      <c r="D1100" s="389"/>
      <c r="E1100" s="389"/>
      <c r="F1100" s="118"/>
      <c r="G1100" s="108"/>
      <c r="H1100" s="98"/>
      <c r="I1100" s="99"/>
      <c r="J1100" s="101"/>
      <c r="K1100" s="109"/>
      <c r="L1100" s="110"/>
      <c r="M1100" s="111"/>
      <c r="N1100" s="99"/>
      <c r="O1100" s="112"/>
      <c r="P1100" s="112"/>
      <c r="Q1100" s="104" t="str">
        <f t="shared" si="104"/>
        <v/>
      </c>
      <c r="R1100" s="104" t="str">
        <f t="shared" si="105"/>
        <v/>
      </c>
      <c r="S1100" s="104" t="str">
        <f t="shared" si="106"/>
        <v/>
      </c>
      <c r="T1100" s="104" t="str">
        <f t="shared" si="107"/>
        <v/>
      </c>
      <c r="U1100" s="104" t="str">
        <f t="shared" si="108"/>
        <v/>
      </c>
      <c r="V1100" s="104" t="str">
        <f t="shared" si="109"/>
        <v/>
      </c>
      <c r="W1100" s="105"/>
    </row>
    <row r="1101" spans="1:23" ht="15" customHeight="1">
      <c r="A1101" s="92">
        <v>49</v>
      </c>
      <c r="B1101" s="121" t="s">
        <v>426</v>
      </c>
      <c r="C1101" s="122"/>
      <c r="D1101" s="798">
        <f>1+1.5-0.17+0.47+0.515+1.17+0.115+1</f>
        <v>5.6</v>
      </c>
      <c r="E1101" s="798"/>
      <c r="F1101" s="118"/>
      <c r="G1101" s="108">
        <v>0.25</v>
      </c>
      <c r="H1101" s="98">
        <v>20</v>
      </c>
      <c r="I1101" s="99">
        <v>1</v>
      </c>
      <c r="J1101" s="101">
        <f>ROUND(4.725/G1101+1,0)</f>
        <v>20</v>
      </c>
      <c r="K1101" s="109">
        <f>D1101</f>
        <v>5.6</v>
      </c>
      <c r="L1101" s="110" t="str">
        <f>IF(O1101&lt;12,"0",0.049*H1101)</f>
        <v>0</v>
      </c>
      <c r="M1101" s="111">
        <v>0</v>
      </c>
      <c r="N1101" s="99">
        <f>M1101*2*H1101/1000</f>
        <v>0</v>
      </c>
      <c r="O1101" s="112">
        <f>(D1101)-N1101</f>
        <v>5.6</v>
      </c>
      <c r="P1101" s="112">
        <f>(I1101*J1101*O1101)+L1101</f>
        <v>112</v>
      </c>
      <c r="Q1101" s="104" t="str">
        <f t="shared" si="104"/>
        <v/>
      </c>
      <c r="R1101" s="104" t="str">
        <f t="shared" si="105"/>
        <v/>
      </c>
      <c r="S1101" s="104" t="str">
        <f t="shared" si="106"/>
        <v/>
      </c>
      <c r="T1101" s="104" t="str">
        <f t="shared" si="107"/>
        <v/>
      </c>
      <c r="U1101" s="104">
        <f t="shared" si="108"/>
        <v>112</v>
      </c>
      <c r="V1101" s="104" t="str">
        <f t="shared" si="109"/>
        <v/>
      </c>
      <c r="W1101" s="105"/>
    </row>
    <row r="1102" spans="1:23">
      <c r="A1102" s="92"/>
      <c r="B1102" s="121" t="s">
        <v>294</v>
      </c>
      <c r="C1102" s="107"/>
      <c r="D1102" s="389"/>
      <c r="E1102" s="389"/>
      <c r="F1102" s="118"/>
      <c r="G1102" s="108"/>
      <c r="H1102" s="98"/>
      <c r="I1102" s="99"/>
      <c r="J1102" s="101"/>
      <c r="K1102" s="109"/>
      <c r="L1102" s="110"/>
      <c r="M1102" s="111"/>
      <c r="N1102" s="99"/>
      <c r="O1102" s="112"/>
      <c r="P1102" s="112"/>
      <c r="Q1102" s="104" t="str">
        <f t="shared" si="104"/>
        <v/>
      </c>
      <c r="R1102" s="104" t="str">
        <f t="shared" si="105"/>
        <v/>
      </c>
      <c r="S1102" s="104" t="str">
        <f t="shared" si="106"/>
        <v/>
      </c>
      <c r="T1102" s="104" t="str">
        <f t="shared" si="107"/>
        <v/>
      </c>
      <c r="U1102" s="104" t="str">
        <f t="shared" si="108"/>
        <v/>
      </c>
      <c r="V1102" s="104" t="str">
        <f t="shared" si="109"/>
        <v/>
      </c>
      <c r="W1102" s="105"/>
    </row>
    <row r="1103" spans="1:23">
      <c r="A1103" s="92"/>
      <c r="B1103" s="121"/>
      <c r="C1103" s="107"/>
      <c r="D1103" s="389"/>
      <c r="E1103" s="389"/>
      <c r="F1103" s="118"/>
      <c r="G1103" s="108"/>
      <c r="H1103" s="98"/>
      <c r="I1103" s="99"/>
      <c r="J1103" s="101"/>
      <c r="K1103" s="109"/>
      <c r="L1103" s="110"/>
      <c r="M1103" s="111"/>
      <c r="N1103" s="99"/>
      <c r="O1103" s="112"/>
      <c r="P1103" s="112"/>
      <c r="Q1103" s="104" t="str">
        <f t="shared" si="104"/>
        <v/>
      </c>
      <c r="R1103" s="104" t="str">
        <f t="shared" si="105"/>
        <v/>
      </c>
      <c r="S1103" s="104" t="str">
        <f t="shared" si="106"/>
        <v/>
      </c>
      <c r="T1103" s="104" t="str">
        <f t="shared" si="107"/>
        <v/>
      </c>
      <c r="U1103" s="104" t="str">
        <f t="shared" si="108"/>
        <v/>
      </c>
      <c r="V1103" s="104" t="str">
        <f t="shared" si="109"/>
        <v/>
      </c>
      <c r="W1103" s="105"/>
    </row>
    <row r="1104" spans="1:23" ht="15" customHeight="1">
      <c r="A1104" s="92">
        <v>50</v>
      </c>
      <c r="B1104" s="121" t="s">
        <v>427</v>
      </c>
      <c r="C1104" s="122"/>
      <c r="D1104" s="798">
        <f>1.25+1.855-0.23+0.6+1.25</f>
        <v>4.7249999999999996</v>
      </c>
      <c r="E1104" s="798"/>
      <c r="F1104" s="118"/>
      <c r="G1104" s="108">
        <v>0.25</v>
      </c>
      <c r="H1104" s="98">
        <v>25</v>
      </c>
      <c r="I1104" s="99">
        <v>1</v>
      </c>
      <c r="J1104" s="101">
        <f>ROUND(5.6/G1104+1,0)</f>
        <v>23</v>
      </c>
      <c r="K1104" s="109">
        <f>D1104</f>
        <v>4.7249999999999996</v>
      </c>
      <c r="L1104" s="110" t="str">
        <f>IF(O1104&lt;12,"0",0.049*H1104)</f>
        <v>0</v>
      </c>
      <c r="M1104" s="111">
        <v>0</v>
      </c>
      <c r="N1104" s="99">
        <f>M1104*2*H1104/1000</f>
        <v>0</v>
      </c>
      <c r="O1104" s="112">
        <f>(D1104)-N1104</f>
        <v>4.7249999999999996</v>
      </c>
      <c r="P1104" s="112">
        <f>(I1104*J1104*O1104)+L1104</f>
        <v>108.675</v>
      </c>
      <c r="Q1104" s="104" t="str">
        <f t="shared" si="104"/>
        <v/>
      </c>
      <c r="R1104" s="104" t="str">
        <f t="shared" si="105"/>
        <v/>
      </c>
      <c r="S1104" s="104" t="str">
        <f t="shared" si="106"/>
        <v/>
      </c>
      <c r="T1104" s="104" t="str">
        <f t="shared" si="107"/>
        <v/>
      </c>
      <c r="U1104" s="104" t="str">
        <f t="shared" si="108"/>
        <v/>
      </c>
      <c r="V1104" s="104">
        <f t="shared" si="109"/>
        <v>108.675</v>
      </c>
      <c r="W1104" s="105"/>
    </row>
    <row r="1105" spans="1:23">
      <c r="A1105" s="92"/>
      <c r="B1105" s="121" t="s">
        <v>294</v>
      </c>
      <c r="C1105" s="107"/>
      <c r="D1105" s="389"/>
      <c r="E1105" s="389"/>
      <c r="F1105" s="118"/>
      <c r="G1105" s="108"/>
      <c r="H1105" s="98"/>
      <c r="I1105" s="99"/>
      <c r="J1105" s="101"/>
      <c r="K1105" s="109"/>
      <c r="L1105" s="110"/>
      <c r="M1105" s="111"/>
      <c r="N1105" s="99"/>
      <c r="O1105" s="112"/>
      <c r="P1105" s="112"/>
      <c r="Q1105" s="104" t="str">
        <f t="shared" si="104"/>
        <v/>
      </c>
      <c r="R1105" s="104" t="str">
        <f t="shared" si="105"/>
        <v/>
      </c>
      <c r="S1105" s="104" t="str">
        <f t="shared" si="106"/>
        <v/>
      </c>
      <c r="T1105" s="104" t="str">
        <f t="shared" si="107"/>
        <v/>
      </c>
      <c r="U1105" s="104" t="str">
        <f t="shared" si="108"/>
        <v/>
      </c>
      <c r="V1105" s="104" t="str">
        <f t="shared" si="109"/>
        <v/>
      </c>
      <c r="W1105" s="105"/>
    </row>
    <row r="1106" spans="1:23">
      <c r="A1106" s="92"/>
      <c r="B1106" s="121"/>
      <c r="C1106" s="107"/>
      <c r="D1106" s="389"/>
      <c r="E1106" s="389"/>
      <c r="F1106" s="118"/>
      <c r="G1106" s="108"/>
      <c r="H1106" s="98"/>
      <c r="I1106" s="99"/>
      <c r="J1106" s="101"/>
      <c r="K1106" s="109"/>
      <c r="L1106" s="110"/>
      <c r="M1106" s="111"/>
      <c r="N1106" s="99"/>
      <c r="O1106" s="112"/>
      <c r="P1106" s="112"/>
      <c r="Q1106" s="104" t="str">
        <f t="shared" si="104"/>
        <v/>
      </c>
      <c r="R1106" s="104" t="str">
        <f t="shared" si="105"/>
        <v/>
      </c>
      <c r="S1106" s="104" t="str">
        <f t="shared" si="106"/>
        <v/>
      </c>
      <c r="T1106" s="104" t="str">
        <f t="shared" si="107"/>
        <v/>
      </c>
      <c r="U1106" s="104" t="str">
        <f t="shared" si="108"/>
        <v/>
      </c>
      <c r="V1106" s="104" t="str">
        <f t="shared" si="109"/>
        <v/>
      </c>
      <c r="W1106" s="105"/>
    </row>
    <row r="1107" spans="1:23" ht="15" customHeight="1">
      <c r="A1107" s="92">
        <v>51</v>
      </c>
      <c r="B1107" s="121" t="s">
        <v>426</v>
      </c>
      <c r="C1107" s="122"/>
      <c r="D1107" s="798">
        <f>1.25+3.6+1.25</f>
        <v>6.1</v>
      </c>
      <c r="E1107" s="798"/>
      <c r="F1107" s="118"/>
      <c r="G1107" s="108">
        <v>0.25</v>
      </c>
      <c r="H1107" s="98">
        <v>25</v>
      </c>
      <c r="I1107" s="99">
        <v>1</v>
      </c>
      <c r="J1107" s="101">
        <f>ROUND(2.73/G1107+1,0)</f>
        <v>12</v>
      </c>
      <c r="K1107" s="109">
        <f>D1107</f>
        <v>6.1</v>
      </c>
      <c r="L1107" s="110" t="str">
        <f>IF(O1107&lt;12,"0",0.049*H1107)</f>
        <v>0</v>
      </c>
      <c r="M1107" s="111">
        <v>0</v>
      </c>
      <c r="N1107" s="99">
        <f>M1107*2*H1107/1000</f>
        <v>0</v>
      </c>
      <c r="O1107" s="112">
        <f>(D1107)-N1107</f>
        <v>6.1</v>
      </c>
      <c r="P1107" s="112">
        <f>(I1107*J1107*O1107)+L1107</f>
        <v>73.199999999999989</v>
      </c>
      <c r="Q1107" s="104" t="str">
        <f t="shared" si="104"/>
        <v/>
      </c>
      <c r="R1107" s="104" t="str">
        <f t="shared" si="105"/>
        <v/>
      </c>
      <c r="S1107" s="104" t="str">
        <f t="shared" si="106"/>
        <v/>
      </c>
      <c r="T1107" s="104" t="str">
        <f t="shared" si="107"/>
        <v/>
      </c>
      <c r="U1107" s="104" t="str">
        <f t="shared" si="108"/>
        <v/>
      </c>
      <c r="V1107" s="104">
        <f t="shared" si="109"/>
        <v>73.199999999999989</v>
      </c>
      <c r="W1107" s="105"/>
    </row>
    <row r="1108" spans="1:23">
      <c r="A1108" s="92"/>
      <c r="B1108" s="121" t="s">
        <v>295</v>
      </c>
      <c r="C1108" s="107"/>
      <c r="D1108" s="389"/>
      <c r="E1108" s="389"/>
      <c r="F1108" s="118"/>
      <c r="G1108" s="108"/>
      <c r="H1108" s="98"/>
      <c r="I1108" s="99"/>
      <c r="J1108" s="101"/>
      <c r="K1108" s="109"/>
      <c r="L1108" s="110"/>
      <c r="M1108" s="111"/>
      <c r="N1108" s="99"/>
      <c r="O1108" s="112"/>
      <c r="P1108" s="112"/>
      <c r="Q1108" s="104" t="str">
        <f t="shared" si="104"/>
        <v/>
      </c>
      <c r="R1108" s="104" t="str">
        <f t="shared" si="105"/>
        <v/>
      </c>
      <c r="S1108" s="104" t="str">
        <f t="shared" si="106"/>
        <v/>
      </c>
      <c r="T1108" s="104" t="str">
        <f t="shared" si="107"/>
        <v/>
      </c>
      <c r="U1108" s="104" t="str">
        <f t="shared" si="108"/>
        <v/>
      </c>
      <c r="V1108" s="104" t="str">
        <f t="shared" si="109"/>
        <v/>
      </c>
      <c r="W1108" s="105"/>
    </row>
    <row r="1109" spans="1:23">
      <c r="A1109" s="92"/>
      <c r="B1109" s="121"/>
      <c r="C1109" s="107"/>
      <c r="D1109" s="389"/>
      <c r="E1109" s="389"/>
      <c r="F1109" s="118"/>
      <c r="G1109" s="108"/>
      <c r="H1109" s="98"/>
      <c r="I1109" s="99"/>
      <c r="J1109" s="101"/>
      <c r="K1109" s="109"/>
      <c r="L1109" s="110"/>
      <c r="M1109" s="111"/>
      <c r="N1109" s="99"/>
      <c r="O1109" s="112"/>
      <c r="P1109" s="112"/>
      <c r="Q1109" s="104" t="str">
        <f t="shared" si="104"/>
        <v/>
      </c>
      <c r="R1109" s="104" t="str">
        <f t="shared" si="105"/>
        <v/>
      </c>
      <c r="S1109" s="104" t="str">
        <f t="shared" si="106"/>
        <v/>
      </c>
      <c r="T1109" s="104" t="str">
        <f t="shared" si="107"/>
        <v/>
      </c>
      <c r="U1109" s="104" t="str">
        <f t="shared" si="108"/>
        <v/>
      </c>
      <c r="V1109" s="104" t="str">
        <f t="shared" si="109"/>
        <v/>
      </c>
      <c r="W1109" s="105"/>
    </row>
    <row r="1110" spans="1:23" ht="15" customHeight="1">
      <c r="A1110" s="92">
        <v>52</v>
      </c>
      <c r="B1110" s="121" t="s">
        <v>427</v>
      </c>
      <c r="C1110" s="122"/>
      <c r="D1110" s="798">
        <f>1.25+0.23+1.25</f>
        <v>2.73</v>
      </c>
      <c r="E1110" s="798"/>
      <c r="F1110" s="118"/>
      <c r="G1110" s="108">
        <v>0.25</v>
      </c>
      <c r="H1110" s="98">
        <v>25</v>
      </c>
      <c r="I1110" s="99">
        <v>1</v>
      </c>
      <c r="J1110" s="101">
        <f>ROUND(6.1/G1110+1,0)</f>
        <v>25</v>
      </c>
      <c r="K1110" s="109">
        <f>D1110</f>
        <v>2.73</v>
      </c>
      <c r="L1110" s="110" t="str">
        <f>IF(O1110&lt;12,"0",0.049*H1110)</f>
        <v>0</v>
      </c>
      <c r="M1110" s="111">
        <v>0</v>
      </c>
      <c r="N1110" s="99">
        <f>M1110*2*H1110/1000</f>
        <v>0</v>
      </c>
      <c r="O1110" s="112">
        <f>(D1110)-N1110</f>
        <v>2.73</v>
      </c>
      <c r="P1110" s="112">
        <f>(I1110*J1110*O1110)+L1110</f>
        <v>68.25</v>
      </c>
      <c r="Q1110" s="104" t="str">
        <f t="shared" si="104"/>
        <v/>
      </c>
      <c r="R1110" s="104" t="str">
        <f t="shared" si="105"/>
        <v/>
      </c>
      <c r="S1110" s="104" t="str">
        <f t="shared" si="106"/>
        <v/>
      </c>
      <c r="T1110" s="104" t="str">
        <f t="shared" si="107"/>
        <v/>
      </c>
      <c r="U1110" s="104" t="str">
        <f t="shared" si="108"/>
        <v/>
      </c>
      <c r="V1110" s="104">
        <f t="shared" si="109"/>
        <v>68.25</v>
      </c>
      <c r="W1110" s="105"/>
    </row>
    <row r="1111" spans="1:23">
      <c r="A1111" s="92"/>
      <c r="B1111" s="121" t="s">
        <v>295</v>
      </c>
      <c r="C1111" s="107"/>
      <c r="D1111" s="389"/>
      <c r="E1111" s="389"/>
      <c r="F1111" s="118"/>
      <c r="G1111" s="108"/>
      <c r="H1111" s="98"/>
      <c r="I1111" s="99"/>
      <c r="J1111" s="101"/>
      <c r="K1111" s="109"/>
      <c r="L1111" s="110"/>
      <c r="M1111" s="111"/>
      <c r="N1111" s="99"/>
      <c r="O1111" s="112"/>
      <c r="P1111" s="112"/>
      <c r="Q1111" s="104" t="str">
        <f t="shared" si="104"/>
        <v/>
      </c>
      <c r="R1111" s="104" t="str">
        <f t="shared" si="105"/>
        <v/>
      </c>
      <c r="S1111" s="104" t="str">
        <f t="shared" si="106"/>
        <v/>
      </c>
      <c r="T1111" s="104" t="str">
        <f t="shared" si="107"/>
        <v/>
      </c>
      <c r="U1111" s="104" t="str">
        <f t="shared" si="108"/>
        <v/>
      </c>
      <c r="V1111" s="104" t="str">
        <f t="shared" si="109"/>
        <v/>
      </c>
      <c r="W1111" s="105"/>
    </row>
    <row r="1112" spans="1:23">
      <c r="A1112" s="92"/>
      <c r="B1112" s="121"/>
      <c r="C1112" s="107"/>
      <c r="D1112" s="389"/>
      <c r="E1112" s="389"/>
      <c r="F1112" s="118"/>
      <c r="G1112" s="108"/>
      <c r="H1112" s="98"/>
      <c r="I1112" s="99"/>
      <c r="J1112" s="101"/>
      <c r="K1112" s="109"/>
      <c r="L1112" s="110"/>
      <c r="M1112" s="111"/>
      <c r="N1112" s="99"/>
      <c r="O1112" s="112"/>
      <c r="P1112" s="112"/>
      <c r="Q1112" s="104" t="str">
        <f t="shared" si="104"/>
        <v/>
      </c>
      <c r="R1112" s="104" t="str">
        <f t="shared" si="105"/>
        <v/>
      </c>
      <c r="S1112" s="104" t="str">
        <f t="shared" si="106"/>
        <v/>
      </c>
      <c r="T1112" s="104" t="str">
        <f t="shared" si="107"/>
        <v/>
      </c>
      <c r="U1112" s="104" t="str">
        <f t="shared" si="108"/>
        <v/>
      </c>
      <c r="V1112" s="104" t="str">
        <f t="shared" si="109"/>
        <v/>
      </c>
      <c r="W1112" s="105"/>
    </row>
    <row r="1113" spans="1:23" ht="15" customHeight="1">
      <c r="A1113" s="92">
        <v>53</v>
      </c>
      <c r="B1113" s="121" t="s">
        <v>426</v>
      </c>
      <c r="C1113" s="122"/>
      <c r="D1113" s="798">
        <f>1+0.75+1</f>
        <v>2.75</v>
      </c>
      <c r="E1113" s="798"/>
      <c r="F1113" s="118"/>
      <c r="G1113" s="108">
        <v>0.25</v>
      </c>
      <c r="H1113" s="98">
        <v>25</v>
      </c>
      <c r="I1113" s="99">
        <v>1</v>
      </c>
      <c r="J1113" s="101">
        <f>ROUND(2.8/G1113+1,0)</f>
        <v>12</v>
      </c>
      <c r="K1113" s="109">
        <f>D1113</f>
        <v>2.75</v>
      </c>
      <c r="L1113" s="110" t="str">
        <f>IF(O1113&lt;12,"0",0.049*H1113)</f>
        <v>0</v>
      </c>
      <c r="M1113" s="111">
        <v>0</v>
      </c>
      <c r="N1113" s="99">
        <f>M1113*2*H1113/1000</f>
        <v>0</v>
      </c>
      <c r="O1113" s="112">
        <f>(D1113)-N1113</f>
        <v>2.75</v>
      </c>
      <c r="P1113" s="112">
        <f>(I1113*J1113*O1113)+L1113</f>
        <v>33</v>
      </c>
      <c r="Q1113" s="104" t="str">
        <f t="shared" si="104"/>
        <v/>
      </c>
      <c r="R1113" s="104" t="str">
        <f t="shared" si="105"/>
        <v/>
      </c>
      <c r="S1113" s="104" t="str">
        <f t="shared" si="106"/>
        <v/>
      </c>
      <c r="T1113" s="104" t="str">
        <f t="shared" si="107"/>
        <v/>
      </c>
      <c r="U1113" s="104" t="str">
        <f t="shared" si="108"/>
        <v/>
      </c>
      <c r="V1113" s="104">
        <f t="shared" si="109"/>
        <v>33</v>
      </c>
      <c r="W1113" s="105"/>
    </row>
    <row r="1114" spans="1:23">
      <c r="A1114" s="92"/>
      <c r="B1114" s="121" t="s">
        <v>296</v>
      </c>
      <c r="C1114" s="107"/>
      <c r="D1114" s="389"/>
      <c r="E1114" s="389"/>
      <c r="F1114" s="118"/>
      <c r="G1114" s="108"/>
      <c r="H1114" s="98"/>
      <c r="I1114" s="99"/>
      <c r="J1114" s="101"/>
      <c r="K1114" s="109"/>
      <c r="L1114" s="110"/>
      <c r="M1114" s="111"/>
      <c r="N1114" s="99"/>
      <c r="O1114" s="112"/>
      <c r="P1114" s="112"/>
      <c r="Q1114" s="104" t="str">
        <f t="shared" si="104"/>
        <v/>
      </c>
      <c r="R1114" s="104" t="str">
        <f t="shared" si="105"/>
        <v/>
      </c>
      <c r="S1114" s="104" t="str">
        <f t="shared" si="106"/>
        <v/>
      </c>
      <c r="T1114" s="104" t="str">
        <f t="shared" si="107"/>
        <v/>
      </c>
      <c r="U1114" s="104" t="str">
        <f t="shared" si="108"/>
        <v/>
      </c>
      <c r="V1114" s="104" t="str">
        <f t="shared" si="109"/>
        <v/>
      </c>
      <c r="W1114" s="105"/>
    </row>
    <row r="1115" spans="1:23">
      <c r="A1115" s="92"/>
      <c r="B1115" s="121"/>
      <c r="C1115" s="107"/>
      <c r="D1115" s="389"/>
      <c r="E1115" s="389"/>
      <c r="F1115" s="118"/>
      <c r="G1115" s="108"/>
      <c r="H1115" s="98"/>
      <c r="I1115" s="99"/>
      <c r="J1115" s="101"/>
      <c r="K1115" s="109"/>
      <c r="L1115" s="110"/>
      <c r="M1115" s="111"/>
      <c r="N1115" s="99"/>
      <c r="O1115" s="112"/>
      <c r="P1115" s="112"/>
      <c r="Q1115" s="104" t="str">
        <f t="shared" si="104"/>
        <v/>
      </c>
      <c r="R1115" s="104" t="str">
        <f t="shared" si="105"/>
        <v/>
      </c>
      <c r="S1115" s="104" t="str">
        <f t="shared" si="106"/>
        <v/>
      </c>
      <c r="T1115" s="104" t="str">
        <f t="shared" si="107"/>
        <v/>
      </c>
      <c r="U1115" s="104" t="str">
        <f t="shared" si="108"/>
        <v/>
      </c>
      <c r="V1115" s="104" t="str">
        <f t="shared" si="109"/>
        <v/>
      </c>
      <c r="W1115" s="105"/>
    </row>
    <row r="1116" spans="1:23" ht="15" customHeight="1">
      <c r="A1116" s="92">
        <v>54</v>
      </c>
      <c r="B1116" s="121" t="s">
        <v>426</v>
      </c>
      <c r="C1116" s="122"/>
      <c r="D1116" s="798">
        <f>1.25+0.3+1.25</f>
        <v>2.8</v>
      </c>
      <c r="E1116" s="798"/>
      <c r="F1116" s="118"/>
      <c r="G1116" s="108">
        <v>0.25</v>
      </c>
      <c r="H1116" s="98">
        <v>20</v>
      </c>
      <c r="I1116" s="99">
        <v>1</v>
      </c>
      <c r="J1116" s="101">
        <f>ROUND(2.75/G1116+1,0)</f>
        <v>12</v>
      </c>
      <c r="K1116" s="109">
        <f>D1116</f>
        <v>2.8</v>
      </c>
      <c r="L1116" s="110" t="str">
        <f>IF(O1116&lt;12,"0",0.049*H1116)</f>
        <v>0</v>
      </c>
      <c r="M1116" s="111">
        <v>0</v>
      </c>
      <c r="N1116" s="99">
        <f>M1116*2*H1116/1000</f>
        <v>0</v>
      </c>
      <c r="O1116" s="112">
        <f>(D1116)-N1116</f>
        <v>2.8</v>
      </c>
      <c r="P1116" s="112">
        <f>(I1116*J1116*O1116)+L1116</f>
        <v>33.599999999999994</v>
      </c>
      <c r="Q1116" s="104" t="str">
        <f t="shared" si="104"/>
        <v/>
      </c>
      <c r="R1116" s="104" t="str">
        <f t="shared" si="105"/>
        <v/>
      </c>
      <c r="S1116" s="104" t="str">
        <f t="shared" si="106"/>
        <v/>
      </c>
      <c r="T1116" s="104" t="str">
        <f t="shared" si="107"/>
        <v/>
      </c>
      <c r="U1116" s="104">
        <f t="shared" si="108"/>
        <v>33.599999999999994</v>
      </c>
      <c r="V1116" s="104" t="str">
        <f t="shared" si="109"/>
        <v/>
      </c>
      <c r="W1116" s="105"/>
    </row>
    <row r="1117" spans="1:23">
      <c r="A1117" s="92"/>
      <c r="B1117" s="121" t="s">
        <v>296</v>
      </c>
      <c r="C1117" s="107"/>
      <c r="D1117" s="389"/>
      <c r="E1117" s="389"/>
      <c r="F1117" s="118"/>
      <c r="G1117" s="108"/>
      <c r="H1117" s="98"/>
      <c r="I1117" s="99"/>
      <c r="J1117" s="101"/>
      <c r="K1117" s="109"/>
      <c r="L1117" s="110"/>
      <c r="M1117" s="111"/>
      <c r="N1117" s="99"/>
      <c r="O1117" s="112"/>
      <c r="P1117" s="112"/>
      <c r="Q1117" s="104" t="str">
        <f t="shared" si="104"/>
        <v/>
      </c>
      <c r="R1117" s="104" t="str">
        <f t="shared" si="105"/>
        <v/>
      </c>
      <c r="S1117" s="104" t="str">
        <f t="shared" si="106"/>
        <v/>
      </c>
      <c r="T1117" s="104" t="str">
        <f t="shared" si="107"/>
        <v/>
      </c>
      <c r="U1117" s="104" t="str">
        <f t="shared" si="108"/>
        <v/>
      </c>
      <c r="V1117" s="104" t="str">
        <f t="shared" si="109"/>
        <v/>
      </c>
      <c r="W1117" s="105"/>
    </row>
    <row r="1118" spans="1:23">
      <c r="A1118" s="92"/>
      <c r="B1118" s="121"/>
      <c r="C1118" s="107"/>
      <c r="D1118" s="389"/>
      <c r="E1118" s="389"/>
      <c r="F1118" s="118"/>
      <c r="G1118" s="108"/>
      <c r="H1118" s="98"/>
      <c r="I1118" s="99"/>
      <c r="J1118" s="101"/>
      <c r="K1118" s="109"/>
      <c r="L1118" s="110"/>
      <c r="M1118" s="111"/>
      <c r="N1118" s="99"/>
      <c r="O1118" s="112"/>
      <c r="P1118" s="112"/>
      <c r="Q1118" s="104" t="str">
        <f t="shared" si="104"/>
        <v/>
      </c>
      <c r="R1118" s="104" t="str">
        <f t="shared" si="105"/>
        <v/>
      </c>
      <c r="S1118" s="104" t="str">
        <f t="shared" si="106"/>
        <v/>
      </c>
      <c r="T1118" s="104" t="str">
        <f t="shared" si="107"/>
        <v/>
      </c>
      <c r="U1118" s="104" t="str">
        <f t="shared" si="108"/>
        <v/>
      </c>
      <c r="V1118" s="104" t="str">
        <f t="shared" si="109"/>
        <v/>
      </c>
      <c r="W1118" s="105"/>
    </row>
    <row r="1119" spans="1:23" ht="15" customHeight="1">
      <c r="A1119" s="92">
        <v>55</v>
      </c>
      <c r="B1119" s="121" t="s">
        <v>427</v>
      </c>
      <c r="C1119" s="122"/>
      <c r="D1119" s="798">
        <v>2.75</v>
      </c>
      <c r="E1119" s="798"/>
      <c r="F1119" s="118"/>
      <c r="G1119" s="108">
        <v>0.25</v>
      </c>
      <c r="H1119" s="98">
        <v>25</v>
      </c>
      <c r="I1119" s="99">
        <v>1</v>
      </c>
      <c r="J1119" s="101">
        <f>ROUND(2.75/G1119+1,0)</f>
        <v>12</v>
      </c>
      <c r="K1119" s="109">
        <f>D1119</f>
        <v>2.75</v>
      </c>
      <c r="L1119" s="110" t="str">
        <f>IF(O1119&lt;12,"0",0.049*H1119)</f>
        <v>0</v>
      </c>
      <c r="M1119" s="111">
        <v>0</v>
      </c>
      <c r="N1119" s="99">
        <f>M1119*2*H1119/1000</f>
        <v>0</v>
      </c>
      <c r="O1119" s="112">
        <f>(D1119)-N1119</f>
        <v>2.75</v>
      </c>
      <c r="P1119" s="112">
        <f>(I1119*J1119*O1119)+L1119</f>
        <v>33</v>
      </c>
      <c r="Q1119" s="104" t="str">
        <f t="shared" si="104"/>
        <v/>
      </c>
      <c r="R1119" s="104" t="str">
        <f t="shared" si="105"/>
        <v/>
      </c>
      <c r="S1119" s="104" t="str">
        <f t="shared" si="106"/>
        <v/>
      </c>
      <c r="T1119" s="104" t="str">
        <f t="shared" si="107"/>
        <v/>
      </c>
      <c r="U1119" s="104" t="str">
        <f t="shared" si="108"/>
        <v/>
      </c>
      <c r="V1119" s="104">
        <f t="shared" si="109"/>
        <v>33</v>
      </c>
      <c r="W1119" s="105"/>
    </row>
    <row r="1120" spans="1:23">
      <c r="A1120" s="92"/>
      <c r="B1120" s="121" t="s">
        <v>296</v>
      </c>
      <c r="C1120" s="107"/>
      <c r="D1120" s="389"/>
      <c r="E1120" s="389"/>
      <c r="F1120" s="118"/>
      <c r="G1120" s="108"/>
      <c r="H1120" s="98"/>
      <c r="I1120" s="99"/>
      <c r="J1120" s="101"/>
      <c r="K1120" s="109"/>
      <c r="L1120" s="110"/>
      <c r="M1120" s="111"/>
      <c r="N1120" s="99"/>
      <c r="O1120" s="112"/>
      <c r="P1120" s="112"/>
      <c r="Q1120" s="104" t="str">
        <f t="shared" si="104"/>
        <v/>
      </c>
      <c r="R1120" s="104" t="str">
        <f t="shared" si="105"/>
        <v/>
      </c>
      <c r="S1120" s="104" t="str">
        <f t="shared" si="106"/>
        <v/>
      </c>
      <c r="T1120" s="104" t="str">
        <f t="shared" si="107"/>
        <v/>
      </c>
      <c r="U1120" s="104" t="str">
        <f t="shared" si="108"/>
        <v/>
      </c>
      <c r="V1120" s="104" t="str">
        <f t="shared" si="109"/>
        <v/>
      </c>
      <c r="W1120" s="105"/>
    </row>
    <row r="1121" spans="1:23">
      <c r="A1121" s="92"/>
      <c r="B1121" s="121"/>
      <c r="C1121" s="107"/>
      <c r="D1121" s="389"/>
      <c r="E1121" s="389"/>
      <c r="F1121" s="118"/>
      <c r="G1121" s="108"/>
      <c r="H1121" s="98"/>
      <c r="I1121" s="99"/>
      <c r="J1121" s="101"/>
      <c r="K1121" s="109"/>
      <c r="L1121" s="110"/>
      <c r="M1121" s="111"/>
      <c r="N1121" s="99"/>
      <c r="O1121" s="112"/>
      <c r="P1121" s="112"/>
      <c r="Q1121" s="104" t="str">
        <f t="shared" si="104"/>
        <v/>
      </c>
      <c r="R1121" s="104" t="str">
        <f t="shared" si="105"/>
        <v/>
      </c>
      <c r="S1121" s="104" t="str">
        <f t="shared" si="106"/>
        <v/>
      </c>
      <c r="T1121" s="104" t="str">
        <f t="shared" si="107"/>
        <v/>
      </c>
      <c r="U1121" s="104" t="str">
        <f t="shared" si="108"/>
        <v/>
      </c>
      <c r="V1121" s="104" t="str">
        <f t="shared" si="109"/>
        <v/>
      </c>
      <c r="W1121" s="105"/>
    </row>
    <row r="1122" spans="1:23" ht="15" customHeight="1">
      <c r="A1122" s="92">
        <v>56</v>
      </c>
      <c r="B1122" s="121" t="s">
        <v>427</v>
      </c>
      <c r="C1122" s="122"/>
      <c r="D1122" s="798">
        <f>1.25+0.3+1.25</f>
        <v>2.8</v>
      </c>
      <c r="E1122" s="798"/>
      <c r="F1122" s="118"/>
      <c r="G1122" s="108">
        <v>0.25</v>
      </c>
      <c r="H1122" s="98">
        <v>20</v>
      </c>
      <c r="I1122" s="99">
        <v>1</v>
      </c>
      <c r="J1122" s="101">
        <f>ROUND(2.75/G1122+1,0)</f>
        <v>12</v>
      </c>
      <c r="K1122" s="109">
        <f>D1122</f>
        <v>2.8</v>
      </c>
      <c r="L1122" s="110" t="str">
        <f>IF(O1122&lt;12,"0",0.049*H1122)</f>
        <v>0</v>
      </c>
      <c r="M1122" s="111">
        <v>0</v>
      </c>
      <c r="N1122" s="99">
        <f>M1122*2*H1122/1000</f>
        <v>0</v>
      </c>
      <c r="O1122" s="112">
        <f>(D1122)-N1122</f>
        <v>2.8</v>
      </c>
      <c r="P1122" s="112">
        <f>(I1122*J1122*O1122)+L1122</f>
        <v>33.599999999999994</v>
      </c>
      <c r="Q1122" s="104" t="str">
        <f t="shared" si="104"/>
        <v/>
      </c>
      <c r="R1122" s="104" t="str">
        <f t="shared" si="105"/>
        <v/>
      </c>
      <c r="S1122" s="104" t="str">
        <f t="shared" si="106"/>
        <v/>
      </c>
      <c r="T1122" s="104" t="str">
        <f t="shared" si="107"/>
        <v/>
      </c>
      <c r="U1122" s="104">
        <f t="shared" si="108"/>
        <v>33.599999999999994</v>
      </c>
      <c r="V1122" s="104" t="str">
        <f t="shared" si="109"/>
        <v/>
      </c>
      <c r="W1122" s="105"/>
    </row>
    <row r="1123" spans="1:23">
      <c r="A1123" s="92"/>
      <c r="B1123" s="121" t="s">
        <v>296</v>
      </c>
      <c r="C1123" s="107"/>
      <c r="D1123" s="389"/>
      <c r="E1123" s="389"/>
      <c r="F1123" s="118"/>
      <c r="G1123" s="108"/>
      <c r="H1123" s="98"/>
      <c r="I1123" s="99"/>
      <c r="J1123" s="101"/>
      <c r="K1123" s="109"/>
      <c r="L1123" s="110"/>
      <c r="M1123" s="111"/>
      <c r="N1123" s="99"/>
      <c r="O1123" s="112"/>
      <c r="P1123" s="112"/>
      <c r="Q1123" s="104" t="str">
        <f t="shared" si="104"/>
        <v/>
      </c>
      <c r="R1123" s="104" t="str">
        <f t="shared" si="105"/>
        <v/>
      </c>
      <c r="S1123" s="104" t="str">
        <f t="shared" si="106"/>
        <v/>
      </c>
      <c r="T1123" s="104" t="str">
        <f t="shared" si="107"/>
        <v/>
      </c>
      <c r="U1123" s="104" t="str">
        <f t="shared" si="108"/>
        <v/>
      </c>
      <c r="V1123" s="104" t="str">
        <f t="shared" si="109"/>
        <v/>
      </c>
      <c r="W1123" s="105"/>
    </row>
    <row r="1124" spans="1:23">
      <c r="A1124" s="92"/>
      <c r="B1124" s="121"/>
      <c r="C1124" s="107"/>
      <c r="D1124" s="389"/>
      <c r="E1124" s="389"/>
      <c r="F1124" s="118"/>
      <c r="G1124" s="108"/>
      <c r="H1124" s="98"/>
      <c r="I1124" s="99"/>
      <c r="J1124" s="101"/>
      <c r="K1124" s="109"/>
      <c r="L1124" s="110"/>
      <c r="M1124" s="111"/>
      <c r="N1124" s="99"/>
      <c r="O1124" s="112"/>
      <c r="P1124" s="112"/>
      <c r="Q1124" s="104" t="str">
        <f t="shared" si="104"/>
        <v/>
      </c>
      <c r="R1124" s="104" t="str">
        <f t="shared" si="105"/>
        <v/>
      </c>
      <c r="S1124" s="104" t="str">
        <f t="shared" si="106"/>
        <v/>
      </c>
      <c r="T1124" s="104" t="str">
        <f t="shared" si="107"/>
        <v/>
      </c>
      <c r="U1124" s="104" t="str">
        <f t="shared" si="108"/>
        <v/>
      </c>
      <c r="V1124" s="104" t="str">
        <f t="shared" si="109"/>
        <v/>
      </c>
      <c r="W1124" s="105"/>
    </row>
    <row r="1125" spans="1:23" ht="15" customHeight="1">
      <c r="A1125" s="92">
        <v>57</v>
      </c>
      <c r="B1125" s="121" t="s">
        <v>426</v>
      </c>
      <c r="C1125" s="122"/>
      <c r="D1125" s="798">
        <f>1.25+0.75+1.25</f>
        <v>3.25</v>
      </c>
      <c r="E1125" s="798"/>
      <c r="F1125" s="118"/>
      <c r="G1125" s="108">
        <v>0.25</v>
      </c>
      <c r="H1125" s="98">
        <v>25</v>
      </c>
      <c r="I1125" s="99">
        <v>1</v>
      </c>
      <c r="J1125" s="101">
        <f>ROUND(2.3/G1125+1,0)</f>
        <v>10</v>
      </c>
      <c r="K1125" s="109">
        <f>D1125</f>
        <v>3.25</v>
      </c>
      <c r="L1125" s="110" t="str">
        <f>IF(O1125&lt;12,"0",0.049*H1125)</f>
        <v>0</v>
      </c>
      <c r="M1125" s="111">
        <v>0</v>
      </c>
      <c r="N1125" s="99">
        <f>M1125*2*H1125/1000</f>
        <v>0</v>
      </c>
      <c r="O1125" s="112">
        <f>(D1125)-N1125</f>
        <v>3.25</v>
      </c>
      <c r="P1125" s="112">
        <f>(I1125*J1125*O1125)+L1125</f>
        <v>32.5</v>
      </c>
      <c r="Q1125" s="104" t="str">
        <f t="shared" si="104"/>
        <v/>
      </c>
      <c r="R1125" s="104" t="str">
        <f t="shared" si="105"/>
        <v/>
      </c>
      <c r="S1125" s="104" t="str">
        <f t="shared" si="106"/>
        <v/>
      </c>
      <c r="T1125" s="104" t="str">
        <f t="shared" si="107"/>
        <v/>
      </c>
      <c r="U1125" s="104" t="str">
        <f t="shared" si="108"/>
        <v/>
      </c>
      <c r="V1125" s="104">
        <f t="shared" si="109"/>
        <v>32.5</v>
      </c>
      <c r="W1125" s="105"/>
    </row>
    <row r="1126" spans="1:23">
      <c r="A1126" s="92"/>
      <c r="B1126" s="121" t="s">
        <v>297</v>
      </c>
      <c r="C1126" s="107"/>
      <c r="D1126" s="389"/>
      <c r="E1126" s="389"/>
      <c r="F1126" s="118"/>
      <c r="G1126" s="108"/>
      <c r="H1126" s="98"/>
      <c r="I1126" s="99"/>
      <c r="J1126" s="101"/>
      <c r="K1126" s="109"/>
      <c r="L1126" s="110"/>
      <c r="M1126" s="111"/>
      <c r="N1126" s="99"/>
      <c r="O1126" s="112"/>
      <c r="P1126" s="112"/>
      <c r="Q1126" s="104" t="str">
        <f t="shared" si="104"/>
        <v/>
      </c>
      <c r="R1126" s="104" t="str">
        <f t="shared" si="105"/>
        <v/>
      </c>
      <c r="S1126" s="104" t="str">
        <f t="shared" si="106"/>
        <v/>
      </c>
      <c r="T1126" s="104" t="str">
        <f t="shared" si="107"/>
        <v/>
      </c>
      <c r="U1126" s="104" t="str">
        <f t="shared" si="108"/>
        <v/>
      </c>
      <c r="V1126" s="104" t="str">
        <f t="shared" si="109"/>
        <v/>
      </c>
      <c r="W1126" s="105"/>
    </row>
    <row r="1127" spans="1:23">
      <c r="A1127" s="92"/>
      <c r="B1127" s="121"/>
      <c r="C1127" s="107"/>
      <c r="D1127" s="389"/>
      <c r="E1127" s="389"/>
      <c r="F1127" s="118"/>
      <c r="G1127" s="108"/>
      <c r="H1127" s="98"/>
      <c r="I1127" s="99"/>
      <c r="J1127" s="101"/>
      <c r="K1127" s="109"/>
      <c r="L1127" s="110"/>
      <c r="M1127" s="111"/>
      <c r="N1127" s="99"/>
      <c r="O1127" s="112"/>
      <c r="P1127" s="112"/>
      <c r="Q1127" s="104" t="str">
        <f t="shared" si="104"/>
        <v/>
      </c>
      <c r="R1127" s="104" t="str">
        <f t="shared" si="105"/>
        <v/>
      </c>
      <c r="S1127" s="104" t="str">
        <f t="shared" si="106"/>
        <v/>
      </c>
      <c r="T1127" s="104" t="str">
        <f t="shared" si="107"/>
        <v/>
      </c>
      <c r="U1127" s="104" t="str">
        <f t="shared" si="108"/>
        <v/>
      </c>
      <c r="V1127" s="104" t="str">
        <f t="shared" si="109"/>
        <v/>
      </c>
      <c r="W1127" s="105"/>
    </row>
    <row r="1128" spans="1:23" ht="15" customHeight="1">
      <c r="A1128" s="92">
        <v>58</v>
      </c>
      <c r="B1128" s="121" t="s">
        <v>427</v>
      </c>
      <c r="C1128" s="122"/>
      <c r="D1128" s="798">
        <f>1+0.3+1</f>
        <v>2.2999999999999998</v>
      </c>
      <c r="E1128" s="798"/>
      <c r="F1128" s="118"/>
      <c r="G1128" s="108">
        <v>0.25</v>
      </c>
      <c r="H1128" s="98">
        <v>20</v>
      </c>
      <c r="I1128" s="99">
        <v>1</v>
      </c>
      <c r="J1128" s="101">
        <f>ROUND(3.25/G1128+1,0)</f>
        <v>14</v>
      </c>
      <c r="K1128" s="109">
        <f>D1128</f>
        <v>2.2999999999999998</v>
      </c>
      <c r="L1128" s="110" t="str">
        <f>IF(O1128&lt;12,"0",0.049*H1128)</f>
        <v>0</v>
      </c>
      <c r="M1128" s="111">
        <v>0</v>
      </c>
      <c r="N1128" s="99">
        <f>M1128*2*H1128/1000</f>
        <v>0</v>
      </c>
      <c r="O1128" s="112">
        <f>(D1128)-N1128</f>
        <v>2.2999999999999998</v>
      </c>
      <c r="P1128" s="112">
        <f>(I1128*J1128*O1128)+L1128</f>
        <v>32.199999999999996</v>
      </c>
      <c r="Q1128" s="104" t="str">
        <f t="shared" si="104"/>
        <v/>
      </c>
      <c r="R1128" s="104" t="str">
        <f t="shared" si="105"/>
        <v/>
      </c>
      <c r="S1128" s="104" t="str">
        <f t="shared" si="106"/>
        <v/>
      </c>
      <c r="T1128" s="104" t="str">
        <f t="shared" si="107"/>
        <v/>
      </c>
      <c r="U1128" s="104">
        <f t="shared" si="108"/>
        <v>32.199999999999996</v>
      </c>
      <c r="V1128" s="104" t="str">
        <f t="shared" si="109"/>
        <v/>
      </c>
      <c r="W1128" s="105"/>
    </row>
    <row r="1129" spans="1:23">
      <c r="A1129" s="92"/>
      <c r="B1129" s="121" t="s">
        <v>297</v>
      </c>
      <c r="C1129" s="107"/>
      <c r="D1129" s="389"/>
      <c r="E1129" s="389"/>
      <c r="F1129" s="118"/>
      <c r="G1129" s="108"/>
      <c r="H1129" s="98"/>
      <c r="I1129" s="99"/>
      <c r="J1129" s="101"/>
      <c r="K1129" s="109"/>
      <c r="L1129" s="110"/>
      <c r="M1129" s="111"/>
      <c r="N1129" s="99"/>
      <c r="O1129" s="112"/>
      <c r="P1129" s="112"/>
      <c r="Q1129" s="104" t="str">
        <f t="shared" si="104"/>
        <v/>
      </c>
      <c r="R1129" s="104" t="str">
        <f t="shared" si="105"/>
        <v/>
      </c>
      <c r="S1129" s="104" t="str">
        <f t="shared" si="106"/>
        <v/>
      </c>
      <c r="T1129" s="104" t="str">
        <f t="shared" si="107"/>
        <v/>
      </c>
      <c r="U1129" s="104" t="str">
        <f t="shared" si="108"/>
        <v/>
      </c>
      <c r="V1129" s="104" t="str">
        <f t="shared" si="109"/>
        <v/>
      </c>
      <c r="W1129" s="105"/>
    </row>
    <row r="1130" spans="1:23">
      <c r="A1130" s="92"/>
      <c r="B1130" s="121"/>
      <c r="C1130" s="107"/>
      <c r="D1130" s="389"/>
      <c r="E1130" s="389"/>
      <c r="F1130" s="118"/>
      <c r="G1130" s="108"/>
      <c r="H1130" s="98"/>
      <c r="I1130" s="99"/>
      <c r="J1130" s="101"/>
      <c r="K1130" s="109"/>
      <c r="L1130" s="110"/>
      <c r="M1130" s="111"/>
      <c r="N1130" s="99"/>
      <c r="O1130" s="112"/>
      <c r="P1130" s="112"/>
      <c r="Q1130" s="104" t="str">
        <f t="shared" si="104"/>
        <v/>
      </c>
      <c r="R1130" s="104" t="str">
        <f t="shared" si="105"/>
        <v/>
      </c>
      <c r="S1130" s="104" t="str">
        <f t="shared" si="106"/>
        <v/>
      </c>
      <c r="T1130" s="104" t="str">
        <f t="shared" si="107"/>
        <v/>
      </c>
      <c r="U1130" s="104" t="str">
        <f t="shared" si="108"/>
        <v/>
      </c>
      <c r="V1130" s="104" t="str">
        <f t="shared" si="109"/>
        <v/>
      </c>
      <c r="W1130" s="105"/>
    </row>
    <row r="1131" spans="1:23" ht="15" customHeight="1">
      <c r="A1131" s="92">
        <v>59</v>
      </c>
      <c r="B1131" s="121" t="s">
        <v>426</v>
      </c>
      <c r="C1131" s="122"/>
      <c r="D1131" s="798">
        <f>1+0.75+1</f>
        <v>2.75</v>
      </c>
      <c r="E1131" s="798"/>
      <c r="F1131" s="118"/>
      <c r="G1131" s="108">
        <v>0.25</v>
      </c>
      <c r="H1131" s="98">
        <v>20</v>
      </c>
      <c r="I1131" s="99">
        <v>1</v>
      </c>
      <c r="J1131" s="101">
        <f>ROUND(2.8/G1131+1,0)</f>
        <v>12</v>
      </c>
      <c r="K1131" s="109">
        <f>D1131</f>
        <v>2.75</v>
      </c>
      <c r="L1131" s="110" t="str">
        <f>IF(O1131&lt;12,"0",0.049*H1131)</f>
        <v>0</v>
      </c>
      <c r="M1131" s="111">
        <v>0</v>
      </c>
      <c r="N1131" s="99">
        <f>M1131*2*H1131/1000</f>
        <v>0</v>
      </c>
      <c r="O1131" s="112">
        <f>(D1131)-N1131</f>
        <v>2.75</v>
      </c>
      <c r="P1131" s="112">
        <f>(I1131*J1131*O1131)+L1131</f>
        <v>33</v>
      </c>
      <c r="Q1131" s="104" t="str">
        <f t="shared" si="104"/>
        <v/>
      </c>
      <c r="R1131" s="104" t="str">
        <f t="shared" si="105"/>
        <v/>
      </c>
      <c r="S1131" s="104" t="str">
        <f t="shared" si="106"/>
        <v/>
      </c>
      <c r="T1131" s="104" t="str">
        <f t="shared" si="107"/>
        <v/>
      </c>
      <c r="U1131" s="104">
        <f t="shared" si="108"/>
        <v>33</v>
      </c>
      <c r="V1131" s="104" t="str">
        <f t="shared" si="109"/>
        <v/>
      </c>
      <c r="W1131" s="105"/>
    </row>
    <row r="1132" spans="1:23">
      <c r="A1132" s="92"/>
      <c r="B1132" s="121" t="s">
        <v>298</v>
      </c>
      <c r="C1132" s="107"/>
      <c r="D1132" s="389"/>
      <c r="E1132" s="389"/>
      <c r="F1132" s="118"/>
      <c r="G1132" s="108"/>
      <c r="H1132" s="98"/>
      <c r="I1132" s="99"/>
      <c r="J1132" s="101"/>
      <c r="K1132" s="109"/>
      <c r="L1132" s="110"/>
      <c r="M1132" s="111"/>
      <c r="N1132" s="99"/>
      <c r="O1132" s="112"/>
      <c r="P1132" s="112"/>
      <c r="Q1132" s="104" t="str">
        <f t="shared" si="104"/>
        <v/>
      </c>
      <c r="R1132" s="104" t="str">
        <f t="shared" si="105"/>
        <v/>
      </c>
      <c r="S1132" s="104" t="str">
        <f t="shared" si="106"/>
        <v/>
      </c>
      <c r="T1132" s="104" t="str">
        <f t="shared" si="107"/>
        <v/>
      </c>
      <c r="U1132" s="104" t="str">
        <f t="shared" si="108"/>
        <v/>
      </c>
      <c r="V1132" s="104" t="str">
        <f t="shared" si="109"/>
        <v/>
      </c>
      <c r="W1132" s="105"/>
    </row>
    <row r="1133" spans="1:23">
      <c r="A1133" s="92"/>
      <c r="B1133" s="121"/>
      <c r="C1133" s="107"/>
      <c r="D1133" s="389"/>
      <c r="E1133" s="389"/>
      <c r="F1133" s="118"/>
      <c r="G1133" s="108"/>
      <c r="H1133" s="98"/>
      <c r="I1133" s="99"/>
      <c r="J1133" s="101"/>
      <c r="K1133" s="109"/>
      <c r="L1133" s="110"/>
      <c r="M1133" s="111"/>
      <c r="N1133" s="99"/>
      <c r="O1133" s="112"/>
      <c r="P1133" s="112"/>
      <c r="Q1133" s="104" t="str">
        <f t="shared" si="104"/>
        <v/>
      </c>
      <c r="R1133" s="104" t="str">
        <f t="shared" si="105"/>
        <v/>
      </c>
      <c r="S1133" s="104" t="str">
        <f t="shared" si="106"/>
        <v/>
      </c>
      <c r="T1133" s="104" t="str">
        <f t="shared" si="107"/>
        <v/>
      </c>
      <c r="U1133" s="104" t="str">
        <f t="shared" si="108"/>
        <v/>
      </c>
      <c r="V1133" s="104" t="str">
        <f t="shared" si="109"/>
        <v/>
      </c>
      <c r="W1133" s="105"/>
    </row>
    <row r="1134" spans="1:23" ht="15" customHeight="1">
      <c r="A1134" s="92">
        <v>60</v>
      </c>
      <c r="B1134" s="121" t="s">
        <v>427</v>
      </c>
      <c r="C1134" s="122"/>
      <c r="D1134" s="798">
        <f>1.25+0.3+1.25</f>
        <v>2.8</v>
      </c>
      <c r="E1134" s="798"/>
      <c r="F1134" s="118"/>
      <c r="G1134" s="108">
        <v>0.25</v>
      </c>
      <c r="H1134" s="98">
        <v>25</v>
      </c>
      <c r="I1134" s="99">
        <v>1</v>
      </c>
      <c r="J1134" s="101">
        <f>ROUND(2.75/G1134+1,0)</f>
        <v>12</v>
      </c>
      <c r="K1134" s="109">
        <f>D1134</f>
        <v>2.8</v>
      </c>
      <c r="L1134" s="110" t="str">
        <f>IF(O1134&lt;12,"0",0.049*H1134)</f>
        <v>0</v>
      </c>
      <c r="M1134" s="111">
        <v>0</v>
      </c>
      <c r="N1134" s="99">
        <f>M1134*2*H1134/1000</f>
        <v>0</v>
      </c>
      <c r="O1134" s="112">
        <f>(D1134)-N1134</f>
        <v>2.8</v>
      </c>
      <c r="P1134" s="112">
        <f>(I1134*J1134*O1134)+L1134</f>
        <v>33.599999999999994</v>
      </c>
      <c r="Q1134" s="104" t="str">
        <f t="shared" si="104"/>
        <v/>
      </c>
      <c r="R1134" s="104" t="str">
        <f t="shared" si="105"/>
        <v/>
      </c>
      <c r="S1134" s="104" t="str">
        <f t="shared" si="106"/>
        <v/>
      </c>
      <c r="T1134" s="104" t="str">
        <f t="shared" si="107"/>
        <v/>
      </c>
      <c r="U1134" s="104" t="str">
        <f t="shared" si="108"/>
        <v/>
      </c>
      <c r="V1134" s="104">
        <f t="shared" si="109"/>
        <v>33.599999999999994</v>
      </c>
      <c r="W1134" s="105"/>
    </row>
    <row r="1135" spans="1:23">
      <c r="A1135" s="92"/>
      <c r="B1135" s="121" t="s">
        <v>298</v>
      </c>
      <c r="C1135" s="107"/>
      <c r="D1135" s="389"/>
      <c r="E1135" s="389"/>
      <c r="F1135" s="118"/>
      <c r="G1135" s="108"/>
      <c r="H1135" s="98"/>
      <c r="I1135" s="99"/>
      <c r="J1135" s="101"/>
      <c r="K1135" s="109"/>
      <c r="L1135" s="110"/>
      <c r="M1135" s="111"/>
      <c r="N1135" s="99"/>
      <c r="O1135" s="112"/>
      <c r="P1135" s="112"/>
      <c r="Q1135" s="104" t="str">
        <f t="shared" si="104"/>
        <v/>
      </c>
      <c r="R1135" s="104" t="str">
        <f t="shared" si="105"/>
        <v/>
      </c>
      <c r="S1135" s="104" t="str">
        <f t="shared" si="106"/>
        <v/>
      </c>
      <c r="T1135" s="104" t="str">
        <f t="shared" si="107"/>
        <v/>
      </c>
      <c r="U1135" s="104" t="str">
        <f t="shared" si="108"/>
        <v/>
      </c>
      <c r="V1135" s="104" t="str">
        <f t="shared" si="109"/>
        <v/>
      </c>
      <c r="W1135" s="105"/>
    </row>
    <row r="1136" spans="1:23">
      <c r="A1136" s="92"/>
      <c r="B1136" s="121"/>
      <c r="C1136" s="107"/>
      <c r="D1136" s="389"/>
      <c r="E1136" s="389"/>
      <c r="F1136" s="118"/>
      <c r="G1136" s="108"/>
      <c r="H1136" s="98"/>
      <c r="I1136" s="99"/>
      <c r="J1136" s="101"/>
      <c r="K1136" s="109"/>
      <c r="L1136" s="110"/>
      <c r="M1136" s="111"/>
      <c r="N1136" s="99"/>
      <c r="O1136" s="112"/>
      <c r="P1136" s="112"/>
      <c r="Q1136" s="104" t="str">
        <f t="shared" si="104"/>
        <v/>
      </c>
      <c r="R1136" s="104" t="str">
        <f t="shared" si="105"/>
        <v/>
      </c>
      <c r="S1136" s="104" t="str">
        <f t="shared" si="106"/>
        <v/>
      </c>
      <c r="T1136" s="104" t="str">
        <f t="shared" si="107"/>
        <v/>
      </c>
      <c r="U1136" s="104" t="str">
        <f t="shared" si="108"/>
        <v/>
      </c>
      <c r="V1136" s="104" t="str">
        <f t="shared" si="109"/>
        <v/>
      </c>
      <c r="W1136" s="105"/>
    </row>
    <row r="1137" spans="1:23" ht="15" customHeight="1">
      <c r="A1137" s="92">
        <v>61</v>
      </c>
      <c r="B1137" s="121" t="s">
        <v>427</v>
      </c>
      <c r="C1137" s="122"/>
      <c r="D1137" s="798">
        <f>1.25+0.3+1.25</f>
        <v>2.8</v>
      </c>
      <c r="E1137" s="798"/>
      <c r="F1137" s="118"/>
      <c r="G1137" s="108">
        <v>0.25</v>
      </c>
      <c r="H1137" s="98">
        <v>20</v>
      </c>
      <c r="I1137" s="99">
        <v>1</v>
      </c>
      <c r="J1137" s="101">
        <f>ROUND(2.75/G1137+1,0)</f>
        <v>12</v>
      </c>
      <c r="K1137" s="109">
        <f>D1137</f>
        <v>2.8</v>
      </c>
      <c r="L1137" s="110" t="str">
        <f>IF(O1137&lt;12,"0",0.049*H1137)</f>
        <v>0</v>
      </c>
      <c r="M1137" s="111">
        <v>0</v>
      </c>
      <c r="N1137" s="99">
        <f>M1137*2*H1137/1000</f>
        <v>0</v>
      </c>
      <c r="O1137" s="112">
        <f>(D1137)-N1137</f>
        <v>2.8</v>
      </c>
      <c r="P1137" s="112">
        <f>(I1137*J1137*O1137)+L1137</f>
        <v>33.599999999999994</v>
      </c>
      <c r="Q1137" s="104" t="str">
        <f t="shared" si="104"/>
        <v/>
      </c>
      <c r="R1137" s="104" t="str">
        <f t="shared" si="105"/>
        <v/>
      </c>
      <c r="S1137" s="104" t="str">
        <f t="shared" si="106"/>
        <v/>
      </c>
      <c r="T1137" s="104" t="str">
        <f t="shared" si="107"/>
        <v/>
      </c>
      <c r="U1137" s="104">
        <f t="shared" si="108"/>
        <v>33.599999999999994</v>
      </c>
      <c r="V1137" s="104" t="str">
        <f t="shared" si="109"/>
        <v/>
      </c>
      <c r="W1137" s="105"/>
    </row>
    <row r="1138" spans="1:23">
      <c r="A1138" s="92"/>
      <c r="B1138" s="121" t="s">
        <v>298</v>
      </c>
      <c r="C1138" s="107"/>
      <c r="D1138" s="389"/>
      <c r="E1138" s="389"/>
      <c r="F1138" s="118"/>
      <c r="G1138" s="108"/>
      <c r="H1138" s="98"/>
      <c r="I1138" s="99"/>
      <c r="J1138" s="101"/>
      <c r="K1138" s="109"/>
      <c r="L1138" s="110"/>
      <c r="M1138" s="111"/>
      <c r="N1138" s="99"/>
      <c r="O1138" s="112"/>
      <c r="P1138" s="112"/>
      <c r="Q1138" s="104" t="str">
        <f t="shared" si="104"/>
        <v/>
      </c>
      <c r="R1138" s="104" t="str">
        <f t="shared" si="105"/>
        <v/>
      </c>
      <c r="S1138" s="104" t="str">
        <f t="shared" si="106"/>
        <v/>
      </c>
      <c r="T1138" s="104" t="str">
        <f t="shared" si="107"/>
        <v/>
      </c>
      <c r="U1138" s="104" t="str">
        <f t="shared" si="108"/>
        <v/>
      </c>
      <c r="V1138" s="104" t="str">
        <f t="shared" si="109"/>
        <v/>
      </c>
      <c r="W1138" s="105"/>
    </row>
    <row r="1139" spans="1:23">
      <c r="A1139" s="92"/>
      <c r="B1139" s="121"/>
      <c r="C1139" s="107"/>
      <c r="D1139" s="389"/>
      <c r="E1139" s="389"/>
      <c r="F1139" s="118"/>
      <c r="G1139" s="108"/>
      <c r="H1139" s="98"/>
      <c r="I1139" s="99"/>
      <c r="J1139" s="101"/>
      <c r="K1139" s="109"/>
      <c r="L1139" s="110"/>
      <c r="M1139" s="111"/>
      <c r="N1139" s="99"/>
      <c r="O1139" s="112"/>
      <c r="P1139" s="112"/>
      <c r="Q1139" s="104" t="str">
        <f t="shared" si="104"/>
        <v/>
      </c>
      <c r="R1139" s="104" t="str">
        <f t="shared" si="105"/>
        <v/>
      </c>
      <c r="S1139" s="104" t="str">
        <f t="shared" si="106"/>
        <v/>
      </c>
      <c r="T1139" s="104" t="str">
        <f t="shared" si="107"/>
        <v/>
      </c>
      <c r="U1139" s="104" t="str">
        <f t="shared" si="108"/>
        <v/>
      </c>
      <c r="V1139" s="104" t="str">
        <f t="shared" si="109"/>
        <v/>
      </c>
      <c r="W1139" s="105"/>
    </row>
    <row r="1140" spans="1:23" ht="15" customHeight="1">
      <c r="A1140" s="92">
        <v>62</v>
      </c>
      <c r="B1140" s="121" t="s">
        <v>426</v>
      </c>
      <c r="C1140" s="122"/>
      <c r="D1140" s="798">
        <f>1+0.75+1</f>
        <v>2.75</v>
      </c>
      <c r="E1140" s="798"/>
      <c r="F1140" s="118"/>
      <c r="G1140" s="108">
        <v>0.25</v>
      </c>
      <c r="H1140" s="98">
        <v>20</v>
      </c>
      <c r="I1140" s="99">
        <v>1</v>
      </c>
      <c r="J1140" s="101">
        <f>ROUND(2.8/G1140+1,0)</f>
        <v>12</v>
      </c>
      <c r="K1140" s="109">
        <f>D1140</f>
        <v>2.75</v>
      </c>
      <c r="L1140" s="110" t="str">
        <f>IF(O1140&lt;12,"0",0.049*H1140)</f>
        <v>0</v>
      </c>
      <c r="M1140" s="111">
        <v>0</v>
      </c>
      <c r="N1140" s="99">
        <f>M1140*2*H1140/1000</f>
        <v>0</v>
      </c>
      <c r="O1140" s="112">
        <f>(D1140)-N1140</f>
        <v>2.75</v>
      </c>
      <c r="P1140" s="112">
        <f>(I1140*J1140*O1140)+L1140</f>
        <v>33</v>
      </c>
      <c r="Q1140" s="104" t="str">
        <f t="shared" si="104"/>
        <v/>
      </c>
      <c r="R1140" s="104" t="str">
        <f t="shared" si="105"/>
        <v/>
      </c>
      <c r="S1140" s="104" t="str">
        <f t="shared" si="106"/>
        <v/>
      </c>
      <c r="T1140" s="104" t="str">
        <f t="shared" si="107"/>
        <v/>
      </c>
      <c r="U1140" s="104">
        <f t="shared" si="108"/>
        <v>33</v>
      </c>
      <c r="V1140" s="104" t="str">
        <f t="shared" si="109"/>
        <v/>
      </c>
      <c r="W1140" s="105"/>
    </row>
    <row r="1141" spans="1:23">
      <c r="A1141" s="92"/>
      <c r="B1141" s="121" t="s">
        <v>299</v>
      </c>
      <c r="C1141" s="107"/>
      <c r="D1141" s="389"/>
      <c r="E1141" s="389"/>
      <c r="F1141" s="118"/>
      <c r="G1141" s="108"/>
      <c r="H1141" s="98"/>
      <c r="I1141" s="99"/>
      <c r="J1141" s="101"/>
      <c r="K1141" s="109"/>
      <c r="L1141" s="110"/>
      <c r="M1141" s="111"/>
      <c r="N1141" s="99"/>
      <c r="O1141" s="112"/>
      <c r="P1141" s="112"/>
      <c r="Q1141" s="104" t="str">
        <f t="shared" si="104"/>
        <v/>
      </c>
      <c r="R1141" s="104" t="str">
        <f t="shared" si="105"/>
        <v/>
      </c>
      <c r="S1141" s="104" t="str">
        <f t="shared" si="106"/>
        <v/>
      </c>
      <c r="T1141" s="104" t="str">
        <f t="shared" si="107"/>
        <v/>
      </c>
      <c r="U1141" s="104" t="str">
        <f t="shared" si="108"/>
        <v/>
      </c>
      <c r="V1141" s="104" t="str">
        <f t="shared" si="109"/>
        <v/>
      </c>
      <c r="W1141" s="105"/>
    </row>
    <row r="1142" spans="1:23">
      <c r="A1142" s="92"/>
      <c r="B1142" s="121"/>
      <c r="C1142" s="107"/>
      <c r="D1142" s="389"/>
      <c r="E1142" s="389"/>
      <c r="F1142" s="118"/>
      <c r="G1142" s="108"/>
      <c r="H1142" s="98"/>
      <c r="I1142" s="99"/>
      <c r="J1142" s="101"/>
      <c r="K1142" s="109"/>
      <c r="L1142" s="110"/>
      <c r="M1142" s="111"/>
      <c r="N1142" s="99"/>
      <c r="O1142" s="112"/>
      <c r="P1142" s="112"/>
      <c r="Q1142" s="104" t="str">
        <f t="shared" si="104"/>
        <v/>
      </c>
      <c r="R1142" s="104" t="str">
        <f t="shared" si="105"/>
        <v/>
      </c>
      <c r="S1142" s="104" t="str">
        <f t="shared" si="106"/>
        <v/>
      </c>
      <c r="T1142" s="104" t="str">
        <f t="shared" si="107"/>
        <v/>
      </c>
      <c r="U1142" s="104" t="str">
        <f t="shared" si="108"/>
        <v/>
      </c>
      <c r="V1142" s="104" t="str">
        <f t="shared" si="109"/>
        <v/>
      </c>
      <c r="W1142" s="105"/>
    </row>
    <row r="1143" spans="1:23" ht="15" customHeight="1">
      <c r="A1143" s="92">
        <v>63</v>
      </c>
      <c r="B1143" s="121" t="s">
        <v>427</v>
      </c>
      <c r="C1143" s="122"/>
      <c r="D1143" s="798">
        <f>1.25+0.3+1.25</f>
        <v>2.8</v>
      </c>
      <c r="E1143" s="798"/>
      <c r="F1143" s="118"/>
      <c r="G1143" s="108">
        <v>0.25</v>
      </c>
      <c r="H1143" s="98">
        <v>25</v>
      </c>
      <c r="I1143" s="99">
        <v>1</v>
      </c>
      <c r="J1143" s="101">
        <f>ROUND(2.75/G1143+1,0)</f>
        <v>12</v>
      </c>
      <c r="K1143" s="109">
        <f>D1143</f>
        <v>2.8</v>
      </c>
      <c r="L1143" s="110" t="str">
        <f>IF(O1143&lt;12,"0",0.049*H1143)</f>
        <v>0</v>
      </c>
      <c r="M1143" s="111">
        <v>0</v>
      </c>
      <c r="N1143" s="99">
        <f>M1143*2*H1143/1000</f>
        <v>0</v>
      </c>
      <c r="O1143" s="112">
        <f>(D1143)-N1143</f>
        <v>2.8</v>
      </c>
      <c r="P1143" s="112">
        <f>(I1143*J1143*O1143)+L1143</f>
        <v>33.599999999999994</v>
      </c>
      <c r="Q1143" s="104" t="str">
        <f t="shared" si="104"/>
        <v/>
      </c>
      <c r="R1143" s="104" t="str">
        <f t="shared" si="105"/>
        <v/>
      </c>
      <c r="S1143" s="104" t="str">
        <f t="shared" si="106"/>
        <v/>
      </c>
      <c r="T1143" s="104" t="str">
        <f t="shared" si="107"/>
        <v/>
      </c>
      <c r="U1143" s="104" t="str">
        <f t="shared" si="108"/>
        <v/>
      </c>
      <c r="V1143" s="104">
        <f t="shared" si="109"/>
        <v>33.599999999999994</v>
      </c>
      <c r="W1143" s="105"/>
    </row>
    <row r="1144" spans="1:23">
      <c r="A1144" s="92"/>
      <c r="B1144" s="121" t="s">
        <v>299</v>
      </c>
      <c r="C1144" s="107"/>
      <c r="D1144" s="389"/>
      <c r="E1144" s="389"/>
      <c r="F1144" s="118"/>
      <c r="G1144" s="108"/>
      <c r="H1144" s="98"/>
      <c r="I1144" s="99"/>
      <c r="J1144" s="101"/>
      <c r="K1144" s="109"/>
      <c r="L1144" s="110"/>
      <c r="M1144" s="111"/>
      <c r="N1144" s="99"/>
      <c r="O1144" s="112"/>
      <c r="P1144" s="112"/>
      <c r="Q1144" s="104" t="str">
        <f t="shared" si="104"/>
        <v/>
      </c>
      <c r="R1144" s="104" t="str">
        <f t="shared" si="105"/>
        <v/>
      </c>
      <c r="S1144" s="104" t="str">
        <f t="shared" si="106"/>
        <v/>
      </c>
      <c r="T1144" s="104" t="str">
        <f t="shared" si="107"/>
        <v/>
      </c>
      <c r="U1144" s="104" t="str">
        <f t="shared" si="108"/>
        <v/>
      </c>
      <c r="V1144" s="104" t="str">
        <f t="shared" si="109"/>
        <v/>
      </c>
      <c r="W1144" s="105"/>
    </row>
    <row r="1145" spans="1:23">
      <c r="A1145" s="92"/>
      <c r="B1145" s="121"/>
      <c r="C1145" s="107"/>
      <c r="D1145" s="389"/>
      <c r="E1145" s="389"/>
      <c r="F1145" s="118"/>
      <c r="G1145" s="108"/>
      <c r="H1145" s="98"/>
      <c r="I1145" s="99"/>
      <c r="J1145" s="101"/>
      <c r="K1145" s="109"/>
      <c r="L1145" s="110"/>
      <c r="M1145" s="111"/>
      <c r="N1145" s="99"/>
      <c r="O1145" s="112"/>
      <c r="P1145" s="112"/>
      <c r="Q1145" s="104" t="str">
        <f t="shared" si="104"/>
        <v/>
      </c>
      <c r="R1145" s="104" t="str">
        <f t="shared" si="105"/>
        <v/>
      </c>
      <c r="S1145" s="104" t="str">
        <f t="shared" si="106"/>
        <v/>
      </c>
      <c r="T1145" s="104" t="str">
        <f t="shared" si="107"/>
        <v/>
      </c>
      <c r="U1145" s="104" t="str">
        <f t="shared" si="108"/>
        <v/>
      </c>
      <c r="V1145" s="104" t="str">
        <f t="shared" si="109"/>
        <v/>
      </c>
      <c r="W1145" s="105"/>
    </row>
    <row r="1146" spans="1:23" ht="15" customHeight="1">
      <c r="A1146" s="92">
        <v>64</v>
      </c>
      <c r="B1146" s="121" t="s">
        <v>427</v>
      </c>
      <c r="C1146" s="122"/>
      <c r="D1146" s="798">
        <f>1.25+0.3+1.25</f>
        <v>2.8</v>
      </c>
      <c r="E1146" s="798"/>
      <c r="F1146" s="118"/>
      <c r="G1146" s="108">
        <v>0.25</v>
      </c>
      <c r="H1146" s="98">
        <v>20</v>
      </c>
      <c r="I1146" s="99">
        <v>1</v>
      </c>
      <c r="J1146" s="101">
        <f>ROUND(2.75/G1146+1,0)</f>
        <v>12</v>
      </c>
      <c r="K1146" s="109">
        <f>D1146</f>
        <v>2.8</v>
      </c>
      <c r="L1146" s="110" t="str">
        <f>IF(O1146&lt;12,"0",0.049*H1146)</f>
        <v>0</v>
      </c>
      <c r="M1146" s="111">
        <v>0</v>
      </c>
      <c r="N1146" s="99">
        <f>M1146*2*H1146/1000</f>
        <v>0</v>
      </c>
      <c r="O1146" s="112">
        <f>(D1146)-N1146</f>
        <v>2.8</v>
      </c>
      <c r="P1146" s="112">
        <f>(I1146*J1146*O1146)+L1146</f>
        <v>33.599999999999994</v>
      </c>
      <c r="Q1146" s="104" t="str">
        <f t="shared" si="104"/>
        <v/>
      </c>
      <c r="R1146" s="104" t="str">
        <f t="shared" si="105"/>
        <v/>
      </c>
      <c r="S1146" s="104" t="str">
        <f t="shared" si="106"/>
        <v/>
      </c>
      <c r="T1146" s="104" t="str">
        <f t="shared" si="107"/>
        <v/>
      </c>
      <c r="U1146" s="104">
        <f t="shared" si="108"/>
        <v>33.599999999999994</v>
      </c>
      <c r="V1146" s="104" t="str">
        <f t="shared" si="109"/>
        <v/>
      </c>
      <c r="W1146" s="105"/>
    </row>
    <row r="1147" spans="1:23">
      <c r="A1147" s="92"/>
      <c r="B1147" s="121" t="s">
        <v>299</v>
      </c>
      <c r="C1147" s="107"/>
      <c r="D1147" s="389"/>
      <c r="E1147" s="389"/>
      <c r="F1147" s="118"/>
      <c r="G1147" s="108"/>
      <c r="H1147" s="98"/>
      <c r="I1147" s="99"/>
      <c r="J1147" s="101"/>
      <c r="K1147" s="109"/>
      <c r="L1147" s="110"/>
      <c r="M1147" s="111"/>
      <c r="N1147" s="99"/>
      <c r="O1147" s="112"/>
      <c r="P1147" s="112"/>
      <c r="Q1147" s="104" t="str">
        <f t="shared" si="104"/>
        <v/>
      </c>
      <c r="R1147" s="104" t="str">
        <f t="shared" si="105"/>
        <v/>
      </c>
      <c r="S1147" s="104" t="str">
        <f t="shared" si="106"/>
        <v/>
      </c>
      <c r="T1147" s="104" t="str">
        <f t="shared" si="107"/>
        <v/>
      </c>
      <c r="U1147" s="104" t="str">
        <f t="shared" si="108"/>
        <v/>
      </c>
      <c r="V1147" s="104" t="str">
        <f t="shared" si="109"/>
        <v/>
      </c>
      <c r="W1147" s="105"/>
    </row>
    <row r="1148" spans="1:23">
      <c r="A1148" s="92"/>
      <c r="B1148" s="121"/>
      <c r="C1148" s="107"/>
      <c r="D1148" s="389"/>
      <c r="E1148" s="389"/>
      <c r="F1148" s="118"/>
      <c r="G1148" s="108"/>
      <c r="H1148" s="98"/>
      <c r="I1148" s="99"/>
      <c r="J1148" s="101"/>
      <c r="K1148" s="109"/>
      <c r="L1148" s="110"/>
      <c r="M1148" s="111"/>
      <c r="N1148" s="99"/>
      <c r="O1148" s="112"/>
      <c r="P1148" s="112"/>
      <c r="Q1148" s="104" t="str">
        <f t="shared" si="104"/>
        <v/>
      </c>
      <c r="R1148" s="104" t="str">
        <f t="shared" si="105"/>
        <v/>
      </c>
      <c r="S1148" s="104" t="str">
        <f t="shared" si="106"/>
        <v/>
      </c>
      <c r="T1148" s="104" t="str">
        <f t="shared" si="107"/>
        <v/>
      </c>
      <c r="U1148" s="104" t="str">
        <f t="shared" si="108"/>
        <v/>
      </c>
      <c r="V1148" s="104" t="str">
        <f t="shared" si="109"/>
        <v/>
      </c>
      <c r="W1148" s="105"/>
    </row>
    <row r="1149" spans="1:23" ht="15" customHeight="1">
      <c r="A1149" s="92">
        <v>65</v>
      </c>
      <c r="B1149" s="121" t="s">
        <v>426</v>
      </c>
      <c r="C1149" s="122"/>
      <c r="D1149" s="798">
        <f>0.8+0.23+0.8</f>
        <v>1.83</v>
      </c>
      <c r="E1149" s="798"/>
      <c r="F1149" s="118"/>
      <c r="G1149" s="108">
        <v>0.25</v>
      </c>
      <c r="H1149" s="98">
        <v>16</v>
      </c>
      <c r="I1149" s="99">
        <v>1</v>
      </c>
      <c r="J1149" s="101">
        <f>ROUND(D1152/G1149+1,0)</f>
        <v>14</v>
      </c>
      <c r="K1149" s="109">
        <f>D1149</f>
        <v>1.83</v>
      </c>
      <c r="L1149" s="110" t="str">
        <f>IF(O1149&lt;12,"0",0.049*H1149)</f>
        <v>0</v>
      </c>
      <c r="M1149" s="111">
        <v>0</v>
      </c>
      <c r="N1149" s="99">
        <f>M1149*2*H1149/1000</f>
        <v>0</v>
      </c>
      <c r="O1149" s="112">
        <f>(D1149)-N1149</f>
        <v>1.83</v>
      </c>
      <c r="P1149" s="112">
        <f>(I1149*J1149*O1149)+L1149</f>
        <v>25.62</v>
      </c>
      <c r="Q1149" s="104" t="str">
        <f t="shared" si="104"/>
        <v/>
      </c>
      <c r="R1149" s="104" t="str">
        <f t="shared" si="105"/>
        <v/>
      </c>
      <c r="S1149" s="104" t="str">
        <f t="shared" si="106"/>
        <v/>
      </c>
      <c r="T1149" s="104">
        <f t="shared" si="107"/>
        <v>25.62</v>
      </c>
      <c r="U1149" s="104" t="str">
        <f t="shared" si="108"/>
        <v/>
      </c>
      <c r="V1149" s="104" t="str">
        <f t="shared" si="109"/>
        <v/>
      </c>
      <c r="W1149" s="105"/>
    </row>
    <row r="1150" spans="1:23">
      <c r="A1150" s="92"/>
      <c r="B1150" s="121" t="s">
        <v>300</v>
      </c>
      <c r="C1150" s="107"/>
      <c r="D1150" s="389"/>
      <c r="E1150" s="389"/>
      <c r="F1150" s="118"/>
      <c r="G1150" s="108"/>
      <c r="H1150" s="98"/>
      <c r="I1150" s="99"/>
      <c r="J1150" s="101"/>
      <c r="K1150" s="109"/>
      <c r="L1150" s="110"/>
      <c r="M1150" s="111"/>
      <c r="N1150" s="99"/>
      <c r="O1150" s="112"/>
      <c r="P1150" s="112"/>
      <c r="Q1150" s="104" t="str">
        <f t="shared" si="104"/>
        <v/>
      </c>
      <c r="R1150" s="104" t="str">
        <f t="shared" si="105"/>
        <v/>
      </c>
      <c r="S1150" s="104" t="str">
        <f t="shared" si="106"/>
        <v/>
      </c>
      <c r="T1150" s="104" t="str">
        <f t="shared" si="107"/>
        <v/>
      </c>
      <c r="U1150" s="104" t="str">
        <f t="shared" si="108"/>
        <v/>
      </c>
      <c r="V1150" s="104" t="str">
        <f t="shared" si="109"/>
        <v/>
      </c>
      <c r="W1150" s="105"/>
    </row>
    <row r="1151" spans="1:23">
      <c r="A1151" s="92"/>
      <c r="B1151" s="121"/>
      <c r="C1151" s="107"/>
      <c r="D1151" s="389"/>
      <c r="E1151" s="389"/>
      <c r="F1151" s="118"/>
      <c r="G1151" s="108"/>
      <c r="H1151" s="98"/>
      <c r="I1151" s="99"/>
      <c r="J1151" s="101"/>
      <c r="K1151" s="109"/>
      <c r="L1151" s="110"/>
      <c r="M1151" s="111"/>
      <c r="N1151" s="99"/>
      <c r="O1151" s="112"/>
      <c r="P1151" s="112"/>
      <c r="Q1151" s="104" t="str">
        <f t="shared" ref="Q1151:Q1214" si="110">IF($H1151=8,$P1151,"")</f>
        <v/>
      </c>
      <c r="R1151" s="104" t="str">
        <f t="shared" ref="R1151:R1214" si="111">IF($H1151=10,$P1151,"")</f>
        <v/>
      </c>
      <c r="S1151" s="104" t="str">
        <f t="shared" ref="S1151:S1214" si="112">IF($H1151=12,$P1151,"")</f>
        <v/>
      </c>
      <c r="T1151" s="104" t="str">
        <f t="shared" ref="T1151:T1214" si="113">IF($H1151=16,$P1151,"")</f>
        <v/>
      </c>
      <c r="U1151" s="104" t="str">
        <f t="shared" ref="U1151:U1214" si="114">IF($H1151=20,$P1151,"")</f>
        <v/>
      </c>
      <c r="V1151" s="104" t="str">
        <f t="shared" ref="V1151:V1214" si="115">IF($H1151=25,$P1151,"")</f>
        <v/>
      </c>
      <c r="W1151" s="105"/>
    </row>
    <row r="1152" spans="1:23" ht="15" customHeight="1">
      <c r="A1152" s="92">
        <v>66</v>
      </c>
      <c r="B1152" s="121" t="s">
        <v>427</v>
      </c>
      <c r="C1152" s="122"/>
      <c r="D1152" s="798">
        <f>1+1.185+1</f>
        <v>3.1850000000000001</v>
      </c>
      <c r="E1152" s="798"/>
      <c r="F1152" s="118"/>
      <c r="G1152" s="108">
        <v>0.25</v>
      </c>
      <c r="H1152" s="98">
        <v>20</v>
      </c>
      <c r="I1152" s="99">
        <v>1</v>
      </c>
      <c r="J1152" s="101">
        <f>ROUND(D1149/G1152+1,0)</f>
        <v>8</v>
      </c>
      <c r="K1152" s="109">
        <f>D1152</f>
        <v>3.1850000000000001</v>
      </c>
      <c r="L1152" s="110" t="str">
        <f>IF(O1152&lt;12,"0",0.049*H1152)</f>
        <v>0</v>
      </c>
      <c r="M1152" s="111">
        <v>0</v>
      </c>
      <c r="N1152" s="99">
        <f>M1152*2*H1152/1000</f>
        <v>0</v>
      </c>
      <c r="O1152" s="112">
        <f>(D1152)-N1152</f>
        <v>3.1850000000000001</v>
      </c>
      <c r="P1152" s="112">
        <f>(I1152*J1152*O1152)+L1152</f>
        <v>25.48</v>
      </c>
      <c r="Q1152" s="104" t="str">
        <f t="shared" si="110"/>
        <v/>
      </c>
      <c r="R1152" s="104" t="str">
        <f t="shared" si="111"/>
        <v/>
      </c>
      <c r="S1152" s="104" t="str">
        <f t="shared" si="112"/>
        <v/>
      </c>
      <c r="T1152" s="104" t="str">
        <f t="shared" si="113"/>
        <v/>
      </c>
      <c r="U1152" s="104">
        <f t="shared" si="114"/>
        <v>25.48</v>
      </c>
      <c r="V1152" s="104" t="str">
        <f t="shared" si="115"/>
        <v/>
      </c>
      <c r="W1152" s="105"/>
    </row>
    <row r="1153" spans="1:23">
      <c r="A1153" s="92"/>
      <c r="B1153" s="121" t="s">
        <v>300</v>
      </c>
      <c r="C1153" s="107"/>
      <c r="D1153" s="389"/>
      <c r="E1153" s="389"/>
      <c r="F1153" s="118"/>
      <c r="G1153" s="108"/>
      <c r="H1153" s="98"/>
      <c r="I1153" s="99"/>
      <c r="J1153" s="101"/>
      <c r="K1153" s="109"/>
      <c r="L1153" s="110"/>
      <c r="M1153" s="111"/>
      <c r="N1153" s="99"/>
      <c r="O1153" s="112"/>
      <c r="P1153" s="112"/>
      <c r="Q1153" s="104" t="str">
        <f t="shared" si="110"/>
        <v/>
      </c>
      <c r="R1153" s="104" t="str">
        <f t="shared" si="111"/>
        <v/>
      </c>
      <c r="S1153" s="104" t="str">
        <f t="shared" si="112"/>
        <v/>
      </c>
      <c r="T1153" s="104" t="str">
        <f t="shared" si="113"/>
        <v/>
      </c>
      <c r="U1153" s="104" t="str">
        <f t="shared" si="114"/>
        <v/>
      </c>
      <c r="V1153" s="104" t="str">
        <f t="shared" si="115"/>
        <v/>
      </c>
      <c r="W1153" s="105"/>
    </row>
    <row r="1154" spans="1:23">
      <c r="A1154" s="92"/>
      <c r="B1154" s="121"/>
      <c r="C1154" s="107"/>
      <c r="D1154" s="389"/>
      <c r="E1154" s="389"/>
      <c r="F1154" s="118"/>
      <c r="G1154" s="108"/>
      <c r="H1154" s="98"/>
      <c r="I1154" s="99"/>
      <c r="J1154" s="101"/>
      <c r="K1154" s="109"/>
      <c r="L1154" s="110"/>
      <c r="M1154" s="111"/>
      <c r="N1154" s="99"/>
      <c r="O1154" s="112"/>
      <c r="P1154" s="112"/>
      <c r="Q1154" s="104" t="str">
        <f t="shared" si="110"/>
        <v/>
      </c>
      <c r="R1154" s="104" t="str">
        <f t="shared" si="111"/>
        <v/>
      </c>
      <c r="S1154" s="104" t="str">
        <f t="shared" si="112"/>
        <v/>
      </c>
      <c r="T1154" s="104" t="str">
        <f t="shared" si="113"/>
        <v/>
      </c>
      <c r="U1154" s="104" t="str">
        <f t="shared" si="114"/>
        <v/>
      </c>
      <c r="V1154" s="104" t="str">
        <f t="shared" si="115"/>
        <v/>
      </c>
      <c r="W1154" s="105"/>
    </row>
    <row r="1155" spans="1:23" ht="15" customHeight="1">
      <c r="A1155" s="92">
        <v>67</v>
      </c>
      <c r="B1155" s="121" t="s">
        <v>426</v>
      </c>
      <c r="C1155" s="122"/>
      <c r="D1155" s="798">
        <f>1+0.6+1</f>
        <v>2.6</v>
      </c>
      <c r="E1155" s="798"/>
      <c r="F1155" s="118"/>
      <c r="G1155" s="108">
        <v>0.25</v>
      </c>
      <c r="H1155" s="98">
        <v>20</v>
      </c>
      <c r="I1155" s="99">
        <v>1</v>
      </c>
      <c r="J1155" s="101">
        <f>ROUND(D1158/G1155+1,0)</f>
        <v>12</v>
      </c>
      <c r="K1155" s="109">
        <f>D1155</f>
        <v>2.6</v>
      </c>
      <c r="L1155" s="110" t="str">
        <f>IF(O1155&lt;12,"0",0.049*H1155)</f>
        <v>0</v>
      </c>
      <c r="M1155" s="111">
        <v>0</v>
      </c>
      <c r="N1155" s="99">
        <f>M1155*2*H1155/1000</f>
        <v>0</v>
      </c>
      <c r="O1155" s="112">
        <f>(D1155)-N1155</f>
        <v>2.6</v>
      </c>
      <c r="P1155" s="112">
        <f>(I1155*J1155*O1155)+L1155</f>
        <v>31.200000000000003</v>
      </c>
      <c r="Q1155" s="104" t="str">
        <f t="shared" si="110"/>
        <v/>
      </c>
      <c r="R1155" s="104" t="str">
        <f t="shared" si="111"/>
        <v/>
      </c>
      <c r="S1155" s="104" t="str">
        <f t="shared" si="112"/>
        <v/>
      </c>
      <c r="T1155" s="104" t="str">
        <f t="shared" si="113"/>
        <v/>
      </c>
      <c r="U1155" s="104">
        <f t="shared" si="114"/>
        <v>31.200000000000003</v>
      </c>
      <c r="V1155" s="104" t="str">
        <f t="shared" si="115"/>
        <v/>
      </c>
      <c r="W1155" s="105"/>
    </row>
    <row r="1156" spans="1:23">
      <c r="A1156" s="92"/>
      <c r="B1156" s="121" t="s">
        <v>301</v>
      </c>
      <c r="C1156" s="107"/>
      <c r="D1156" s="389"/>
      <c r="E1156" s="389"/>
      <c r="F1156" s="118"/>
      <c r="G1156" s="108"/>
      <c r="H1156" s="98"/>
      <c r="I1156" s="99"/>
      <c r="J1156" s="101"/>
      <c r="K1156" s="109"/>
      <c r="L1156" s="110"/>
      <c r="M1156" s="111"/>
      <c r="N1156" s="99"/>
      <c r="O1156" s="112"/>
      <c r="P1156" s="112"/>
      <c r="Q1156" s="104" t="str">
        <f t="shared" si="110"/>
        <v/>
      </c>
      <c r="R1156" s="104" t="str">
        <f t="shared" si="111"/>
        <v/>
      </c>
      <c r="S1156" s="104" t="str">
        <f t="shared" si="112"/>
        <v/>
      </c>
      <c r="T1156" s="104" t="str">
        <f t="shared" si="113"/>
        <v/>
      </c>
      <c r="U1156" s="104" t="str">
        <f t="shared" si="114"/>
        <v/>
      </c>
      <c r="V1156" s="104" t="str">
        <f t="shared" si="115"/>
        <v/>
      </c>
      <c r="W1156" s="105"/>
    </row>
    <row r="1157" spans="1:23">
      <c r="A1157" s="92"/>
      <c r="B1157" s="121"/>
      <c r="C1157" s="107"/>
      <c r="D1157" s="389"/>
      <c r="E1157" s="389"/>
      <c r="F1157" s="118"/>
      <c r="G1157" s="108"/>
      <c r="H1157" s="98"/>
      <c r="I1157" s="99"/>
      <c r="J1157" s="101"/>
      <c r="K1157" s="109"/>
      <c r="L1157" s="110"/>
      <c r="M1157" s="111"/>
      <c r="N1157" s="99"/>
      <c r="O1157" s="112"/>
      <c r="P1157" s="112"/>
      <c r="Q1157" s="104" t="str">
        <f t="shared" si="110"/>
        <v/>
      </c>
      <c r="R1157" s="104" t="str">
        <f t="shared" si="111"/>
        <v/>
      </c>
      <c r="S1157" s="104" t="str">
        <f t="shared" si="112"/>
        <v/>
      </c>
      <c r="T1157" s="104" t="str">
        <f t="shared" si="113"/>
        <v/>
      </c>
      <c r="U1157" s="104" t="str">
        <f t="shared" si="114"/>
        <v/>
      </c>
      <c r="V1157" s="104" t="str">
        <f t="shared" si="115"/>
        <v/>
      </c>
      <c r="W1157" s="105"/>
    </row>
    <row r="1158" spans="1:23" ht="15" customHeight="1">
      <c r="A1158" s="92">
        <v>68</v>
      </c>
      <c r="B1158" s="121" t="s">
        <v>427</v>
      </c>
      <c r="C1158" s="122"/>
      <c r="D1158" s="798">
        <f>1.25+0.3+1.25</f>
        <v>2.8</v>
      </c>
      <c r="E1158" s="798"/>
      <c r="F1158" s="118"/>
      <c r="G1158" s="108">
        <v>0.25</v>
      </c>
      <c r="H1158" s="98">
        <v>25</v>
      </c>
      <c r="I1158" s="99">
        <v>1</v>
      </c>
      <c r="J1158" s="101">
        <f>ROUND(D1155/G1158+1,0)</f>
        <v>11</v>
      </c>
      <c r="K1158" s="109">
        <f>D1158</f>
        <v>2.8</v>
      </c>
      <c r="L1158" s="110" t="str">
        <f>IF(O1158&lt;12,"0",0.049*H1158)</f>
        <v>0</v>
      </c>
      <c r="M1158" s="111">
        <v>0</v>
      </c>
      <c r="N1158" s="99">
        <f>M1158*2*H1158/1000</f>
        <v>0</v>
      </c>
      <c r="O1158" s="112">
        <f>(D1158)-N1158</f>
        <v>2.8</v>
      </c>
      <c r="P1158" s="112">
        <f>(I1158*J1158*O1158)+L1158</f>
        <v>30.799999999999997</v>
      </c>
      <c r="Q1158" s="104" t="str">
        <f t="shared" si="110"/>
        <v/>
      </c>
      <c r="R1158" s="104" t="str">
        <f t="shared" si="111"/>
        <v/>
      </c>
      <c r="S1158" s="104" t="str">
        <f t="shared" si="112"/>
        <v/>
      </c>
      <c r="T1158" s="104" t="str">
        <f t="shared" si="113"/>
        <v/>
      </c>
      <c r="U1158" s="104" t="str">
        <f t="shared" si="114"/>
        <v/>
      </c>
      <c r="V1158" s="104">
        <f t="shared" si="115"/>
        <v>30.799999999999997</v>
      </c>
      <c r="W1158" s="105"/>
    </row>
    <row r="1159" spans="1:23">
      <c r="A1159" s="92"/>
      <c r="B1159" s="121" t="s">
        <v>301</v>
      </c>
      <c r="C1159" s="107"/>
      <c r="D1159" s="389"/>
      <c r="E1159" s="389"/>
      <c r="F1159" s="118"/>
      <c r="G1159" s="108"/>
      <c r="H1159" s="98"/>
      <c r="I1159" s="99"/>
      <c r="J1159" s="101"/>
      <c r="K1159" s="109"/>
      <c r="L1159" s="110"/>
      <c r="M1159" s="111"/>
      <c r="N1159" s="99"/>
      <c r="O1159" s="112"/>
      <c r="P1159" s="112"/>
      <c r="Q1159" s="104" t="str">
        <f t="shared" si="110"/>
        <v/>
      </c>
      <c r="R1159" s="104" t="str">
        <f t="shared" si="111"/>
        <v/>
      </c>
      <c r="S1159" s="104" t="str">
        <f t="shared" si="112"/>
        <v/>
      </c>
      <c r="T1159" s="104" t="str">
        <f t="shared" si="113"/>
        <v/>
      </c>
      <c r="U1159" s="104" t="str">
        <f t="shared" si="114"/>
        <v/>
      </c>
      <c r="V1159" s="104" t="str">
        <f t="shared" si="115"/>
        <v/>
      </c>
      <c r="W1159" s="105"/>
    </row>
    <row r="1160" spans="1:23">
      <c r="A1160" s="92"/>
      <c r="B1160" s="121"/>
      <c r="C1160" s="107"/>
      <c r="D1160" s="389"/>
      <c r="E1160" s="389"/>
      <c r="F1160" s="118"/>
      <c r="G1160" s="108"/>
      <c r="H1160" s="98"/>
      <c r="I1160" s="99"/>
      <c r="J1160" s="101"/>
      <c r="K1160" s="109"/>
      <c r="L1160" s="110"/>
      <c r="M1160" s="111"/>
      <c r="N1160" s="99"/>
      <c r="O1160" s="112"/>
      <c r="P1160" s="112"/>
      <c r="Q1160" s="104" t="str">
        <f t="shared" si="110"/>
        <v/>
      </c>
      <c r="R1160" s="104" t="str">
        <f t="shared" si="111"/>
        <v/>
      </c>
      <c r="S1160" s="104" t="str">
        <f t="shared" si="112"/>
        <v/>
      </c>
      <c r="T1160" s="104" t="str">
        <f t="shared" si="113"/>
        <v/>
      </c>
      <c r="U1160" s="104" t="str">
        <f t="shared" si="114"/>
        <v/>
      </c>
      <c r="V1160" s="104" t="str">
        <f t="shared" si="115"/>
        <v/>
      </c>
      <c r="W1160" s="105"/>
    </row>
    <row r="1161" spans="1:23" ht="15" customHeight="1">
      <c r="A1161" s="92">
        <v>69</v>
      </c>
      <c r="B1161" s="121" t="s">
        <v>426</v>
      </c>
      <c r="C1161" s="122"/>
      <c r="D1161" s="798">
        <f>1.25+0.3+1.25</f>
        <v>2.8</v>
      </c>
      <c r="E1161" s="798"/>
      <c r="F1161" s="118"/>
      <c r="G1161" s="108">
        <v>0.25</v>
      </c>
      <c r="H1161" s="98">
        <v>20</v>
      </c>
      <c r="I1161" s="99">
        <v>1</v>
      </c>
      <c r="J1161" s="101">
        <f>ROUND(D1164/G1161+1,0)</f>
        <v>11</v>
      </c>
      <c r="K1161" s="109">
        <f>D1161</f>
        <v>2.8</v>
      </c>
      <c r="L1161" s="110" t="str">
        <f>IF(O1161&lt;12,"0",0.049*H1161)</f>
        <v>0</v>
      </c>
      <c r="M1161" s="111">
        <v>0</v>
      </c>
      <c r="N1161" s="99">
        <f>M1161*2*H1161/1000</f>
        <v>0</v>
      </c>
      <c r="O1161" s="112">
        <f>(D1161)-N1161</f>
        <v>2.8</v>
      </c>
      <c r="P1161" s="112">
        <f>(I1161*J1161*O1161)+L1161</f>
        <v>30.799999999999997</v>
      </c>
      <c r="Q1161" s="104" t="str">
        <f t="shared" si="110"/>
        <v/>
      </c>
      <c r="R1161" s="104" t="str">
        <f t="shared" si="111"/>
        <v/>
      </c>
      <c r="S1161" s="104" t="str">
        <f t="shared" si="112"/>
        <v/>
      </c>
      <c r="T1161" s="104" t="str">
        <f t="shared" si="113"/>
        <v/>
      </c>
      <c r="U1161" s="104">
        <f t="shared" si="114"/>
        <v>30.799999999999997</v>
      </c>
      <c r="V1161" s="104" t="str">
        <f t="shared" si="115"/>
        <v/>
      </c>
      <c r="W1161" s="105"/>
    </row>
    <row r="1162" spans="1:23">
      <c r="A1162" s="92"/>
      <c r="B1162" s="121" t="s">
        <v>302</v>
      </c>
      <c r="C1162" s="107"/>
      <c r="D1162" s="389"/>
      <c r="E1162" s="389"/>
      <c r="F1162" s="118"/>
      <c r="G1162" s="108"/>
      <c r="H1162" s="98"/>
      <c r="I1162" s="99"/>
      <c r="J1162" s="101"/>
      <c r="K1162" s="109"/>
      <c r="L1162" s="110"/>
      <c r="M1162" s="111"/>
      <c r="N1162" s="99"/>
      <c r="O1162" s="112"/>
      <c r="P1162" s="112"/>
      <c r="Q1162" s="104" t="str">
        <f t="shared" si="110"/>
        <v/>
      </c>
      <c r="R1162" s="104" t="str">
        <f t="shared" si="111"/>
        <v/>
      </c>
      <c r="S1162" s="104" t="str">
        <f t="shared" si="112"/>
        <v/>
      </c>
      <c r="T1162" s="104" t="str">
        <f t="shared" si="113"/>
        <v/>
      </c>
      <c r="U1162" s="104" t="str">
        <f t="shared" si="114"/>
        <v/>
      </c>
      <c r="V1162" s="104" t="str">
        <f t="shared" si="115"/>
        <v/>
      </c>
      <c r="W1162" s="105"/>
    </row>
    <row r="1163" spans="1:23">
      <c r="A1163" s="92"/>
      <c r="B1163" s="121"/>
      <c r="C1163" s="107"/>
      <c r="D1163" s="389"/>
      <c r="E1163" s="389"/>
      <c r="F1163" s="118"/>
      <c r="G1163" s="108"/>
      <c r="H1163" s="98"/>
      <c r="I1163" s="99"/>
      <c r="J1163" s="101"/>
      <c r="K1163" s="109"/>
      <c r="L1163" s="110"/>
      <c r="M1163" s="111"/>
      <c r="N1163" s="99"/>
      <c r="O1163" s="112"/>
      <c r="P1163" s="112"/>
      <c r="Q1163" s="104" t="str">
        <f t="shared" si="110"/>
        <v/>
      </c>
      <c r="R1163" s="104" t="str">
        <f t="shared" si="111"/>
        <v/>
      </c>
      <c r="S1163" s="104" t="str">
        <f t="shared" si="112"/>
        <v/>
      </c>
      <c r="T1163" s="104" t="str">
        <f t="shared" si="113"/>
        <v/>
      </c>
      <c r="U1163" s="104" t="str">
        <f t="shared" si="114"/>
        <v/>
      </c>
      <c r="V1163" s="104" t="str">
        <f t="shared" si="115"/>
        <v/>
      </c>
      <c r="W1163" s="105"/>
    </row>
    <row r="1164" spans="1:23" ht="15" customHeight="1">
      <c r="A1164" s="92">
        <v>70</v>
      </c>
      <c r="B1164" s="121" t="s">
        <v>427</v>
      </c>
      <c r="C1164" s="122"/>
      <c r="D1164" s="798">
        <f>1+0.6+1</f>
        <v>2.6</v>
      </c>
      <c r="E1164" s="798"/>
      <c r="F1164" s="118"/>
      <c r="G1164" s="108">
        <v>0.25</v>
      </c>
      <c r="H1164" s="98">
        <v>25</v>
      </c>
      <c r="I1164" s="99">
        <v>1</v>
      </c>
      <c r="J1164" s="101">
        <f>ROUND(D1161/G1164+1,0)</f>
        <v>12</v>
      </c>
      <c r="K1164" s="109">
        <f>D1164</f>
        <v>2.6</v>
      </c>
      <c r="L1164" s="110" t="str">
        <f>IF(O1164&lt;12,"0",0.049*H1164)</f>
        <v>0</v>
      </c>
      <c r="M1164" s="111">
        <v>0</v>
      </c>
      <c r="N1164" s="99">
        <f>M1164*2*H1164/1000</f>
        <v>0</v>
      </c>
      <c r="O1164" s="112">
        <f>(D1164)-N1164</f>
        <v>2.6</v>
      </c>
      <c r="P1164" s="112">
        <f>(I1164*J1164*O1164)+L1164</f>
        <v>31.200000000000003</v>
      </c>
      <c r="Q1164" s="104" t="str">
        <f t="shared" si="110"/>
        <v/>
      </c>
      <c r="R1164" s="104" t="str">
        <f t="shared" si="111"/>
        <v/>
      </c>
      <c r="S1164" s="104" t="str">
        <f t="shared" si="112"/>
        <v/>
      </c>
      <c r="T1164" s="104" t="str">
        <f t="shared" si="113"/>
        <v/>
      </c>
      <c r="U1164" s="104" t="str">
        <f t="shared" si="114"/>
        <v/>
      </c>
      <c r="V1164" s="104">
        <f t="shared" si="115"/>
        <v>31.200000000000003</v>
      </c>
      <c r="W1164" s="105"/>
    </row>
    <row r="1165" spans="1:23">
      <c r="A1165" s="92"/>
      <c r="B1165" s="121" t="s">
        <v>302</v>
      </c>
      <c r="C1165" s="107"/>
      <c r="D1165" s="389"/>
      <c r="E1165" s="389"/>
      <c r="F1165" s="118"/>
      <c r="G1165" s="108"/>
      <c r="H1165" s="98"/>
      <c r="I1165" s="99"/>
      <c r="J1165" s="101"/>
      <c r="K1165" s="109"/>
      <c r="L1165" s="110"/>
      <c r="M1165" s="111"/>
      <c r="N1165" s="99"/>
      <c r="O1165" s="112"/>
      <c r="P1165" s="112"/>
      <c r="Q1165" s="104" t="str">
        <f t="shared" si="110"/>
        <v/>
      </c>
      <c r="R1165" s="104" t="str">
        <f t="shared" si="111"/>
        <v/>
      </c>
      <c r="S1165" s="104" t="str">
        <f t="shared" si="112"/>
        <v/>
      </c>
      <c r="T1165" s="104" t="str">
        <f t="shared" si="113"/>
        <v/>
      </c>
      <c r="U1165" s="104" t="str">
        <f t="shared" si="114"/>
        <v/>
      </c>
      <c r="V1165" s="104" t="str">
        <f t="shared" si="115"/>
        <v/>
      </c>
      <c r="W1165" s="105"/>
    </row>
    <row r="1166" spans="1:23">
      <c r="A1166" s="92"/>
      <c r="B1166" s="121"/>
      <c r="C1166" s="107"/>
      <c r="D1166" s="389"/>
      <c r="E1166" s="389"/>
      <c r="F1166" s="118"/>
      <c r="G1166" s="108"/>
      <c r="H1166" s="98"/>
      <c r="I1166" s="99"/>
      <c r="J1166" s="101"/>
      <c r="K1166" s="109"/>
      <c r="L1166" s="110"/>
      <c r="M1166" s="111"/>
      <c r="N1166" s="99"/>
      <c r="O1166" s="112"/>
      <c r="P1166" s="112"/>
      <c r="Q1166" s="104" t="str">
        <f t="shared" si="110"/>
        <v/>
      </c>
      <c r="R1166" s="104" t="str">
        <f t="shared" si="111"/>
        <v/>
      </c>
      <c r="S1166" s="104" t="str">
        <f t="shared" si="112"/>
        <v/>
      </c>
      <c r="T1166" s="104" t="str">
        <f t="shared" si="113"/>
        <v/>
      </c>
      <c r="U1166" s="104" t="str">
        <f t="shared" si="114"/>
        <v/>
      </c>
      <c r="V1166" s="104" t="str">
        <f t="shared" si="115"/>
        <v/>
      </c>
      <c r="W1166" s="105"/>
    </row>
    <row r="1167" spans="1:23" ht="15" customHeight="1">
      <c r="A1167" s="92">
        <v>71</v>
      </c>
      <c r="B1167" s="121" t="s">
        <v>426</v>
      </c>
      <c r="C1167" s="122"/>
      <c r="D1167" s="798">
        <f>1.25+0.3+1.25</f>
        <v>2.8</v>
      </c>
      <c r="E1167" s="798"/>
      <c r="F1167" s="118"/>
      <c r="G1167" s="108">
        <v>0.25</v>
      </c>
      <c r="H1167" s="98">
        <v>25</v>
      </c>
      <c r="I1167" s="99">
        <v>1</v>
      </c>
      <c r="J1167" s="101">
        <f>ROUND(3.1/G1167+1,0)</f>
        <v>13</v>
      </c>
      <c r="K1167" s="109">
        <f>D1167</f>
        <v>2.8</v>
      </c>
      <c r="L1167" s="110" t="str">
        <f>IF(O1167&lt;12,"0",0.049*H1167)</f>
        <v>0</v>
      </c>
      <c r="M1167" s="111">
        <v>0</v>
      </c>
      <c r="N1167" s="99">
        <f>M1167*2*H1167/1000</f>
        <v>0</v>
      </c>
      <c r="O1167" s="112">
        <f>(D1167)-N1167</f>
        <v>2.8</v>
      </c>
      <c r="P1167" s="112">
        <f>(I1167*J1167*O1167)+L1167</f>
        <v>36.4</v>
      </c>
      <c r="Q1167" s="104" t="str">
        <f t="shared" si="110"/>
        <v/>
      </c>
      <c r="R1167" s="104" t="str">
        <f t="shared" si="111"/>
        <v/>
      </c>
      <c r="S1167" s="104" t="str">
        <f t="shared" si="112"/>
        <v/>
      </c>
      <c r="T1167" s="104" t="str">
        <f t="shared" si="113"/>
        <v/>
      </c>
      <c r="U1167" s="104" t="str">
        <f t="shared" si="114"/>
        <v/>
      </c>
      <c r="V1167" s="104">
        <f t="shared" si="115"/>
        <v>36.4</v>
      </c>
      <c r="W1167" s="105"/>
    </row>
    <row r="1168" spans="1:23">
      <c r="A1168" s="92"/>
      <c r="B1168" s="121" t="s">
        <v>303</v>
      </c>
      <c r="C1168" s="107"/>
      <c r="D1168" s="389"/>
      <c r="E1168" s="389"/>
      <c r="F1168" s="118"/>
      <c r="G1168" s="108"/>
      <c r="H1168" s="98"/>
      <c r="I1168" s="99"/>
      <c r="J1168" s="101"/>
      <c r="K1168" s="109"/>
      <c r="L1168" s="110"/>
      <c r="M1168" s="111"/>
      <c r="N1168" s="99"/>
      <c r="O1168" s="112"/>
      <c r="P1168" s="112"/>
      <c r="Q1168" s="104" t="str">
        <f t="shared" si="110"/>
        <v/>
      </c>
      <c r="R1168" s="104" t="str">
        <f t="shared" si="111"/>
        <v/>
      </c>
      <c r="S1168" s="104" t="str">
        <f t="shared" si="112"/>
        <v/>
      </c>
      <c r="T1168" s="104" t="str">
        <f t="shared" si="113"/>
        <v/>
      </c>
      <c r="U1168" s="104" t="str">
        <f t="shared" si="114"/>
        <v/>
      </c>
      <c r="V1168" s="104" t="str">
        <f t="shared" si="115"/>
        <v/>
      </c>
      <c r="W1168" s="105"/>
    </row>
    <row r="1169" spans="1:23">
      <c r="A1169" s="92"/>
      <c r="B1169" s="121"/>
      <c r="C1169" s="107"/>
      <c r="D1169" s="389"/>
      <c r="E1169" s="389"/>
      <c r="F1169" s="118"/>
      <c r="G1169" s="108"/>
      <c r="H1169" s="98"/>
      <c r="I1169" s="99"/>
      <c r="J1169" s="101"/>
      <c r="K1169" s="109"/>
      <c r="L1169" s="110"/>
      <c r="M1169" s="111"/>
      <c r="N1169" s="99"/>
      <c r="O1169" s="112"/>
      <c r="P1169" s="112"/>
      <c r="Q1169" s="104" t="str">
        <f t="shared" si="110"/>
        <v/>
      </c>
      <c r="R1169" s="104" t="str">
        <f t="shared" si="111"/>
        <v/>
      </c>
      <c r="S1169" s="104" t="str">
        <f t="shared" si="112"/>
        <v/>
      </c>
      <c r="T1169" s="104" t="str">
        <f t="shared" si="113"/>
        <v/>
      </c>
      <c r="U1169" s="104" t="str">
        <f t="shared" si="114"/>
        <v/>
      </c>
      <c r="V1169" s="104" t="str">
        <f t="shared" si="115"/>
        <v/>
      </c>
      <c r="W1169" s="105"/>
    </row>
    <row r="1170" spans="1:23" ht="15" customHeight="1">
      <c r="A1170" s="92">
        <v>72</v>
      </c>
      <c r="B1170" s="121" t="s">
        <v>427</v>
      </c>
      <c r="C1170" s="122"/>
      <c r="D1170" s="798">
        <f>1.25+0.6+1.25</f>
        <v>3.1</v>
      </c>
      <c r="E1170" s="798"/>
      <c r="F1170" s="118"/>
      <c r="G1170" s="108">
        <v>0.25</v>
      </c>
      <c r="H1170" s="98">
        <v>25</v>
      </c>
      <c r="I1170" s="99">
        <v>1</v>
      </c>
      <c r="J1170" s="101">
        <f>ROUND(2.8/G1170+1,0)</f>
        <v>12</v>
      </c>
      <c r="K1170" s="109">
        <f>D1170</f>
        <v>3.1</v>
      </c>
      <c r="L1170" s="110" t="str">
        <f>IF(O1170&lt;12,"0",0.049*H1170)</f>
        <v>0</v>
      </c>
      <c r="M1170" s="111">
        <v>0</v>
      </c>
      <c r="N1170" s="99">
        <f>M1170*2*H1170/1000</f>
        <v>0</v>
      </c>
      <c r="O1170" s="112">
        <f>(D1170)-N1170</f>
        <v>3.1</v>
      </c>
      <c r="P1170" s="112">
        <f>(I1170*J1170*O1170)+L1170</f>
        <v>37.200000000000003</v>
      </c>
      <c r="Q1170" s="104" t="str">
        <f t="shared" si="110"/>
        <v/>
      </c>
      <c r="R1170" s="104" t="str">
        <f t="shared" si="111"/>
        <v/>
      </c>
      <c r="S1170" s="104" t="str">
        <f t="shared" si="112"/>
        <v/>
      </c>
      <c r="T1170" s="104" t="str">
        <f t="shared" si="113"/>
        <v/>
      </c>
      <c r="U1170" s="104" t="str">
        <f t="shared" si="114"/>
        <v/>
      </c>
      <c r="V1170" s="104">
        <f t="shared" si="115"/>
        <v>37.200000000000003</v>
      </c>
      <c r="W1170" s="105"/>
    </row>
    <row r="1171" spans="1:23">
      <c r="A1171" s="92"/>
      <c r="B1171" s="121" t="s">
        <v>303</v>
      </c>
      <c r="C1171" s="107"/>
      <c r="D1171" s="389"/>
      <c r="E1171" s="389"/>
      <c r="F1171" s="118"/>
      <c r="G1171" s="108"/>
      <c r="H1171" s="98"/>
      <c r="I1171" s="99"/>
      <c r="J1171" s="101"/>
      <c r="K1171" s="109"/>
      <c r="L1171" s="110"/>
      <c r="M1171" s="111"/>
      <c r="N1171" s="99"/>
      <c r="O1171" s="112"/>
      <c r="P1171" s="112"/>
      <c r="Q1171" s="104" t="str">
        <f t="shared" si="110"/>
        <v/>
      </c>
      <c r="R1171" s="104" t="str">
        <f t="shared" si="111"/>
        <v/>
      </c>
      <c r="S1171" s="104" t="str">
        <f t="shared" si="112"/>
        <v/>
      </c>
      <c r="T1171" s="104" t="str">
        <f t="shared" si="113"/>
        <v/>
      </c>
      <c r="U1171" s="104" t="str">
        <f t="shared" si="114"/>
        <v/>
      </c>
      <c r="V1171" s="104" t="str">
        <f t="shared" si="115"/>
        <v/>
      </c>
      <c r="W1171" s="105"/>
    </row>
    <row r="1172" spans="1:23">
      <c r="A1172" s="92"/>
      <c r="B1172" s="121"/>
      <c r="C1172" s="107"/>
      <c r="D1172" s="389"/>
      <c r="E1172" s="389"/>
      <c r="F1172" s="118"/>
      <c r="G1172" s="108"/>
      <c r="H1172" s="98"/>
      <c r="I1172" s="99"/>
      <c r="J1172" s="101"/>
      <c r="K1172" s="109"/>
      <c r="L1172" s="110"/>
      <c r="M1172" s="111"/>
      <c r="N1172" s="99"/>
      <c r="O1172" s="112"/>
      <c r="P1172" s="112"/>
      <c r="Q1172" s="104" t="str">
        <f t="shared" si="110"/>
        <v/>
      </c>
      <c r="R1172" s="104" t="str">
        <f t="shared" si="111"/>
        <v/>
      </c>
      <c r="S1172" s="104" t="str">
        <f t="shared" si="112"/>
        <v/>
      </c>
      <c r="T1172" s="104" t="str">
        <f t="shared" si="113"/>
        <v/>
      </c>
      <c r="U1172" s="104" t="str">
        <f t="shared" si="114"/>
        <v/>
      </c>
      <c r="V1172" s="104" t="str">
        <f t="shared" si="115"/>
        <v/>
      </c>
      <c r="W1172" s="105"/>
    </row>
    <row r="1173" spans="1:23" ht="15" customHeight="1">
      <c r="A1173" s="92">
        <v>73</v>
      </c>
      <c r="B1173" s="121" t="s">
        <v>426</v>
      </c>
      <c r="C1173" s="122"/>
      <c r="D1173" s="797">
        <f>1+0.3+1</f>
        <v>2.2999999999999998</v>
      </c>
      <c r="E1173" s="797"/>
      <c r="F1173" s="118"/>
      <c r="G1173" s="108">
        <v>0.25</v>
      </c>
      <c r="H1173" s="98">
        <v>20</v>
      </c>
      <c r="I1173" s="99">
        <v>1</v>
      </c>
      <c r="J1173" s="101">
        <f>ROUND(2.6/G1173+1,0)</f>
        <v>11</v>
      </c>
      <c r="K1173" s="109">
        <f>D1173</f>
        <v>2.2999999999999998</v>
      </c>
      <c r="L1173" s="110" t="str">
        <f>IF(O1173&lt;12,"0",0.049*H1173)</f>
        <v>0</v>
      </c>
      <c r="M1173" s="111">
        <v>0</v>
      </c>
      <c r="N1173" s="99">
        <f>M1173*2*H1173/1000</f>
        <v>0</v>
      </c>
      <c r="O1173" s="112">
        <f>(D1173)-N1173</f>
        <v>2.2999999999999998</v>
      </c>
      <c r="P1173" s="112">
        <f>(I1173*J1173*O1173)+L1173</f>
        <v>25.299999999999997</v>
      </c>
      <c r="Q1173" s="104" t="str">
        <f t="shared" si="110"/>
        <v/>
      </c>
      <c r="R1173" s="104" t="str">
        <f t="shared" si="111"/>
        <v/>
      </c>
      <c r="S1173" s="104" t="str">
        <f t="shared" si="112"/>
        <v/>
      </c>
      <c r="T1173" s="104" t="str">
        <f t="shared" si="113"/>
        <v/>
      </c>
      <c r="U1173" s="104">
        <f t="shared" si="114"/>
        <v>25.299999999999997</v>
      </c>
      <c r="V1173" s="104" t="str">
        <f t="shared" si="115"/>
        <v/>
      </c>
      <c r="W1173" s="105"/>
    </row>
    <row r="1174" spans="1:23">
      <c r="A1174" s="92"/>
      <c r="B1174" s="121" t="s">
        <v>304</v>
      </c>
      <c r="C1174" s="107"/>
      <c r="D1174" s="389"/>
      <c r="E1174" s="389"/>
      <c r="F1174" s="118"/>
      <c r="G1174" s="108"/>
      <c r="H1174" s="98"/>
      <c r="I1174" s="99"/>
      <c r="J1174" s="101"/>
      <c r="K1174" s="109"/>
      <c r="L1174" s="110"/>
      <c r="M1174" s="111"/>
      <c r="N1174" s="99"/>
      <c r="O1174" s="112"/>
      <c r="P1174" s="112"/>
      <c r="Q1174" s="104" t="str">
        <f t="shared" si="110"/>
        <v/>
      </c>
      <c r="R1174" s="104" t="str">
        <f t="shared" si="111"/>
        <v/>
      </c>
      <c r="S1174" s="104" t="str">
        <f t="shared" si="112"/>
        <v/>
      </c>
      <c r="T1174" s="104" t="str">
        <f t="shared" si="113"/>
        <v/>
      </c>
      <c r="U1174" s="104" t="str">
        <f t="shared" si="114"/>
        <v/>
      </c>
      <c r="V1174" s="104" t="str">
        <f t="shared" si="115"/>
        <v/>
      </c>
      <c r="W1174" s="105"/>
    </row>
    <row r="1175" spans="1:23">
      <c r="A1175" s="92"/>
      <c r="B1175" s="121"/>
      <c r="C1175" s="107"/>
      <c r="D1175" s="389"/>
      <c r="E1175" s="389"/>
      <c r="F1175" s="118"/>
      <c r="G1175" s="108"/>
      <c r="H1175" s="98"/>
      <c r="I1175" s="99"/>
      <c r="J1175" s="101"/>
      <c r="K1175" s="109"/>
      <c r="L1175" s="110"/>
      <c r="M1175" s="111"/>
      <c r="N1175" s="99"/>
      <c r="O1175" s="112"/>
      <c r="P1175" s="112"/>
      <c r="Q1175" s="104" t="str">
        <f t="shared" si="110"/>
        <v/>
      </c>
      <c r="R1175" s="104" t="str">
        <f t="shared" si="111"/>
        <v/>
      </c>
      <c r="S1175" s="104" t="str">
        <f t="shared" si="112"/>
        <v/>
      </c>
      <c r="T1175" s="104" t="str">
        <f t="shared" si="113"/>
        <v/>
      </c>
      <c r="U1175" s="104" t="str">
        <f t="shared" si="114"/>
        <v/>
      </c>
      <c r="V1175" s="104" t="str">
        <f t="shared" si="115"/>
        <v/>
      </c>
      <c r="W1175" s="105"/>
    </row>
    <row r="1176" spans="1:23" ht="15" customHeight="1">
      <c r="A1176" s="92">
        <v>74</v>
      </c>
      <c r="B1176" s="121" t="s">
        <v>427</v>
      </c>
      <c r="C1176" s="122"/>
      <c r="D1176" s="797">
        <f>1+0.6+1</f>
        <v>2.6</v>
      </c>
      <c r="E1176" s="797"/>
      <c r="F1176" s="118"/>
      <c r="G1176" s="108">
        <v>0.25</v>
      </c>
      <c r="H1176" s="98">
        <v>20</v>
      </c>
      <c r="I1176" s="99">
        <v>1</v>
      </c>
      <c r="J1176" s="101">
        <f>ROUND(2.3/G1176+1,0)</f>
        <v>10</v>
      </c>
      <c r="K1176" s="109">
        <f>D1176</f>
        <v>2.6</v>
      </c>
      <c r="L1176" s="110" t="str">
        <f>IF(O1176&lt;12,"0",0.049*H1176)</f>
        <v>0</v>
      </c>
      <c r="M1176" s="111">
        <v>0</v>
      </c>
      <c r="N1176" s="99">
        <f>M1176*2*H1176/1000</f>
        <v>0</v>
      </c>
      <c r="O1176" s="112">
        <f>(D1176)-N1176</f>
        <v>2.6</v>
      </c>
      <c r="P1176" s="112">
        <f>(I1176*J1176*O1176)+L1176</f>
        <v>26</v>
      </c>
      <c r="Q1176" s="104" t="str">
        <f t="shared" si="110"/>
        <v/>
      </c>
      <c r="R1176" s="104" t="str">
        <f t="shared" si="111"/>
        <v/>
      </c>
      <c r="S1176" s="104" t="str">
        <f t="shared" si="112"/>
        <v/>
      </c>
      <c r="T1176" s="104" t="str">
        <f t="shared" si="113"/>
        <v/>
      </c>
      <c r="U1176" s="104">
        <f t="shared" si="114"/>
        <v>26</v>
      </c>
      <c r="V1176" s="104" t="str">
        <f t="shared" si="115"/>
        <v/>
      </c>
      <c r="W1176" s="105"/>
    </row>
    <row r="1177" spans="1:23">
      <c r="A1177" s="92"/>
      <c r="B1177" s="121" t="s">
        <v>304</v>
      </c>
      <c r="C1177" s="107"/>
      <c r="D1177" s="389"/>
      <c r="E1177" s="389"/>
      <c r="F1177" s="118"/>
      <c r="G1177" s="108"/>
      <c r="H1177" s="98"/>
      <c r="I1177" s="99"/>
      <c r="J1177" s="101"/>
      <c r="K1177" s="109"/>
      <c r="L1177" s="110"/>
      <c r="M1177" s="111"/>
      <c r="N1177" s="99"/>
      <c r="O1177" s="112"/>
      <c r="P1177" s="112"/>
      <c r="Q1177" s="104" t="str">
        <f t="shared" si="110"/>
        <v/>
      </c>
      <c r="R1177" s="104" t="str">
        <f t="shared" si="111"/>
        <v/>
      </c>
      <c r="S1177" s="104" t="str">
        <f t="shared" si="112"/>
        <v/>
      </c>
      <c r="T1177" s="104" t="str">
        <f t="shared" si="113"/>
        <v/>
      </c>
      <c r="U1177" s="104" t="str">
        <f t="shared" si="114"/>
        <v/>
      </c>
      <c r="V1177" s="104" t="str">
        <f t="shared" si="115"/>
        <v/>
      </c>
      <c r="W1177" s="105"/>
    </row>
    <row r="1178" spans="1:23">
      <c r="A1178" s="92"/>
      <c r="B1178" s="121"/>
      <c r="C1178" s="107"/>
      <c r="D1178" s="389"/>
      <c r="E1178" s="389"/>
      <c r="F1178" s="118"/>
      <c r="G1178" s="108"/>
      <c r="H1178" s="98"/>
      <c r="I1178" s="99"/>
      <c r="J1178" s="101"/>
      <c r="K1178" s="109"/>
      <c r="L1178" s="110"/>
      <c r="M1178" s="111"/>
      <c r="N1178" s="99"/>
      <c r="O1178" s="112"/>
      <c r="P1178" s="112"/>
      <c r="Q1178" s="104" t="str">
        <f t="shared" si="110"/>
        <v/>
      </c>
      <c r="R1178" s="104" t="str">
        <f t="shared" si="111"/>
        <v/>
      </c>
      <c r="S1178" s="104" t="str">
        <f t="shared" si="112"/>
        <v/>
      </c>
      <c r="T1178" s="104" t="str">
        <f t="shared" si="113"/>
        <v/>
      </c>
      <c r="U1178" s="104" t="str">
        <f t="shared" si="114"/>
        <v/>
      </c>
      <c r="V1178" s="104" t="str">
        <f t="shared" si="115"/>
        <v/>
      </c>
      <c r="W1178" s="105"/>
    </row>
    <row r="1179" spans="1:23" ht="15" customHeight="1">
      <c r="A1179" s="92">
        <v>75</v>
      </c>
      <c r="B1179" s="121" t="s">
        <v>426</v>
      </c>
      <c r="C1179" s="122"/>
      <c r="D1179" s="797">
        <f>1.25+0.3+1.25</f>
        <v>2.8</v>
      </c>
      <c r="E1179" s="797"/>
      <c r="F1179" s="118"/>
      <c r="G1179" s="108">
        <v>0.25</v>
      </c>
      <c r="H1179" s="98">
        <v>25</v>
      </c>
      <c r="I1179" s="99">
        <v>1</v>
      </c>
      <c r="J1179" s="101">
        <f>ROUND(3.1/G1179+1,0)</f>
        <v>13</v>
      </c>
      <c r="K1179" s="109">
        <f>D1179</f>
        <v>2.8</v>
      </c>
      <c r="L1179" s="110" t="str">
        <f>IF(O1179&lt;12,"0",0.049*H1179)</f>
        <v>0</v>
      </c>
      <c r="M1179" s="111">
        <v>0</v>
      </c>
      <c r="N1179" s="99">
        <f>M1179*2*H1179/1000</f>
        <v>0</v>
      </c>
      <c r="O1179" s="112">
        <f>(D1179)-N1179</f>
        <v>2.8</v>
      </c>
      <c r="P1179" s="112">
        <f>(I1179*J1179*O1179)+L1179</f>
        <v>36.4</v>
      </c>
      <c r="Q1179" s="104" t="str">
        <f t="shared" si="110"/>
        <v/>
      </c>
      <c r="R1179" s="104" t="str">
        <f t="shared" si="111"/>
        <v/>
      </c>
      <c r="S1179" s="104" t="str">
        <f t="shared" si="112"/>
        <v/>
      </c>
      <c r="T1179" s="104" t="str">
        <f t="shared" si="113"/>
        <v/>
      </c>
      <c r="U1179" s="104" t="str">
        <f t="shared" si="114"/>
        <v/>
      </c>
      <c r="V1179" s="104">
        <f t="shared" si="115"/>
        <v>36.4</v>
      </c>
      <c r="W1179" s="105"/>
    </row>
    <row r="1180" spans="1:23">
      <c r="A1180" s="92"/>
      <c r="B1180" s="121" t="s">
        <v>280</v>
      </c>
      <c r="C1180" s="107"/>
      <c r="D1180" s="389"/>
      <c r="E1180" s="389"/>
      <c r="F1180" s="118"/>
      <c r="G1180" s="108"/>
      <c r="H1180" s="98"/>
      <c r="I1180" s="99"/>
      <c r="J1180" s="101"/>
      <c r="K1180" s="109"/>
      <c r="L1180" s="110"/>
      <c r="M1180" s="111"/>
      <c r="N1180" s="99"/>
      <c r="O1180" s="112"/>
      <c r="P1180" s="112"/>
      <c r="Q1180" s="104" t="str">
        <f t="shared" si="110"/>
        <v/>
      </c>
      <c r="R1180" s="104" t="str">
        <f t="shared" si="111"/>
        <v/>
      </c>
      <c r="S1180" s="104" t="str">
        <f t="shared" si="112"/>
        <v/>
      </c>
      <c r="T1180" s="104" t="str">
        <f t="shared" si="113"/>
        <v/>
      </c>
      <c r="U1180" s="104" t="str">
        <f t="shared" si="114"/>
        <v/>
      </c>
      <c r="V1180" s="104" t="str">
        <f t="shared" si="115"/>
        <v/>
      </c>
      <c r="W1180" s="105"/>
    </row>
    <row r="1181" spans="1:23">
      <c r="A1181" s="92"/>
      <c r="B1181" s="121"/>
      <c r="C1181" s="107"/>
      <c r="D1181" s="389"/>
      <c r="E1181" s="389"/>
      <c r="F1181" s="118"/>
      <c r="G1181" s="108"/>
      <c r="H1181" s="98"/>
      <c r="I1181" s="99"/>
      <c r="J1181" s="101"/>
      <c r="K1181" s="109"/>
      <c r="L1181" s="110"/>
      <c r="M1181" s="111"/>
      <c r="N1181" s="99"/>
      <c r="O1181" s="112"/>
      <c r="P1181" s="112"/>
      <c r="Q1181" s="104" t="str">
        <f t="shared" si="110"/>
        <v/>
      </c>
      <c r="R1181" s="104" t="str">
        <f t="shared" si="111"/>
        <v/>
      </c>
      <c r="S1181" s="104" t="str">
        <f t="shared" si="112"/>
        <v/>
      </c>
      <c r="T1181" s="104" t="str">
        <f t="shared" si="113"/>
        <v/>
      </c>
      <c r="U1181" s="104" t="str">
        <f t="shared" si="114"/>
        <v/>
      </c>
      <c r="V1181" s="104" t="str">
        <f t="shared" si="115"/>
        <v/>
      </c>
      <c r="W1181" s="105"/>
    </row>
    <row r="1182" spans="1:23" ht="15" customHeight="1">
      <c r="A1182" s="92">
        <v>76</v>
      </c>
      <c r="B1182" s="121" t="s">
        <v>427</v>
      </c>
      <c r="C1182" s="122"/>
      <c r="D1182" s="797">
        <f>1.25+0.6+1.25</f>
        <v>3.1</v>
      </c>
      <c r="E1182" s="797"/>
      <c r="F1182" s="118"/>
      <c r="G1182" s="108">
        <v>0.25</v>
      </c>
      <c r="H1182" s="98">
        <v>25</v>
      </c>
      <c r="I1182" s="99">
        <v>1</v>
      </c>
      <c r="J1182" s="101">
        <f>ROUND(2.8/G1182+1,0)</f>
        <v>12</v>
      </c>
      <c r="K1182" s="109">
        <f>D1182</f>
        <v>3.1</v>
      </c>
      <c r="L1182" s="110" t="str">
        <f>IF(O1182&lt;12,"0",0.049*H1182)</f>
        <v>0</v>
      </c>
      <c r="M1182" s="111">
        <v>0</v>
      </c>
      <c r="N1182" s="99">
        <f>M1182*2*H1182/1000</f>
        <v>0</v>
      </c>
      <c r="O1182" s="112">
        <f>(D1182)-N1182</f>
        <v>3.1</v>
      </c>
      <c r="P1182" s="112">
        <f>(I1182*J1182*O1182)+L1182</f>
        <v>37.200000000000003</v>
      </c>
      <c r="Q1182" s="104" t="str">
        <f t="shared" si="110"/>
        <v/>
      </c>
      <c r="R1182" s="104" t="str">
        <f t="shared" si="111"/>
        <v/>
      </c>
      <c r="S1182" s="104" t="str">
        <f t="shared" si="112"/>
        <v/>
      </c>
      <c r="T1182" s="104" t="str">
        <f t="shared" si="113"/>
        <v/>
      </c>
      <c r="U1182" s="104" t="str">
        <f t="shared" si="114"/>
        <v/>
      </c>
      <c r="V1182" s="104">
        <f t="shared" si="115"/>
        <v>37.200000000000003</v>
      </c>
      <c r="W1182" s="105"/>
    </row>
    <row r="1183" spans="1:23">
      <c r="A1183" s="92"/>
      <c r="B1183" s="121" t="s">
        <v>305</v>
      </c>
      <c r="C1183" s="107"/>
      <c r="D1183" s="389"/>
      <c r="E1183" s="389"/>
      <c r="F1183" s="118"/>
      <c r="G1183" s="108"/>
      <c r="H1183" s="98"/>
      <c r="I1183" s="99"/>
      <c r="J1183" s="101"/>
      <c r="K1183" s="109"/>
      <c r="L1183" s="110"/>
      <c r="M1183" s="111"/>
      <c r="N1183" s="99"/>
      <c r="O1183" s="112"/>
      <c r="P1183" s="112"/>
      <c r="Q1183" s="104" t="str">
        <f t="shared" si="110"/>
        <v/>
      </c>
      <c r="R1183" s="104" t="str">
        <f t="shared" si="111"/>
        <v/>
      </c>
      <c r="S1183" s="104" t="str">
        <f t="shared" si="112"/>
        <v/>
      </c>
      <c r="T1183" s="104" t="str">
        <f t="shared" si="113"/>
        <v/>
      </c>
      <c r="U1183" s="104" t="str">
        <f t="shared" si="114"/>
        <v/>
      </c>
      <c r="V1183" s="104" t="str">
        <f t="shared" si="115"/>
        <v/>
      </c>
      <c r="W1183" s="105"/>
    </row>
    <row r="1184" spans="1:23">
      <c r="A1184" s="92"/>
      <c r="B1184" s="121"/>
      <c r="C1184" s="107"/>
      <c r="D1184" s="389"/>
      <c r="E1184" s="389"/>
      <c r="F1184" s="118"/>
      <c r="G1184" s="108"/>
      <c r="H1184" s="98"/>
      <c r="I1184" s="99"/>
      <c r="J1184" s="101"/>
      <c r="K1184" s="109"/>
      <c r="L1184" s="110"/>
      <c r="M1184" s="111"/>
      <c r="N1184" s="99"/>
      <c r="O1184" s="112"/>
      <c r="P1184" s="112"/>
      <c r="Q1184" s="104" t="str">
        <f t="shared" si="110"/>
        <v/>
      </c>
      <c r="R1184" s="104" t="str">
        <f t="shared" si="111"/>
        <v/>
      </c>
      <c r="S1184" s="104" t="str">
        <f t="shared" si="112"/>
        <v/>
      </c>
      <c r="T1184" s="104" t="str">
        <f t="shared" si="113"/>
        <v/>
      </c>
      <c r="U1184" s="104" t="str">
        <f t="shared" si="114"/>
        <v/>
      </c>
      <c r="V1184" s="104" t="str">
        <f t="shared" si="115"/>
        <v/>
      </c>
      <c r="W1184" s="105"/>
    </row>
    <row r="1185" spans="1:23" ht="15" customHeight="1">
      <c r="A1185" s="92">
        <v>77</v>
      </c>
      <c r="B1185" s="121" t="s">
        <v>426</v>
      </c>
      <c r="C1185" s="122"/>
      <c r="D1185" s="797">
        <f>0.75-0.05+0.3+1.25</f>
        <v>2.25</v>
      </c>
      <c r="E1185" s="797"/>
      <c r="F1185" s="118"/>
      <c r="G1185" s="108">
        <v>0.25</v>
      </c>
      <c r="H1185" s="98">
        <v>25</v>
      </c>
      <c r="I1185" s="99">
        <v>1</v>
      </c>
      <c r="J1185" s="101">
        <f>ROUND(2.6/G1185+1,0)</f>
        <v>11</v>
      </c>
      <c r="K1185" s="109">
        <f>D1185</f>
        <v>2.25</v>
      </c>
      <c r="L1185" s="110" t="str">
        <f>IF(O1185&lt;12,"0",0.049*H1185)</f>
        <v>0</v>
      </c>
      <c r="M1185" s="111">
        <v>0</v>
      </c>
      <c r="N1185" s="99">
        <f>M1185*2*H1185/1000</f>
        <v>0</v>
      </c>
      <c r="O1185" s="112">
        <f>(D1185)-N1185</f>
        <v>2.25</v>
      </c>
      <c r="P1185" s="112">
        <f>(I1185*J1185*O1185)+L1185</f>
        <v>24.75</v>
      </c>
      <c r="Q1185" s="104" t="str">
        <f t="shared" si="110"/>
        <v/>
      </c>
      <c r="R1185" s="104" t="str">
        <f t="shared" si="111"/>
        <v/>
      </c>
      <c r="S1185" s="104" t="str">
        <f t="shared" si="112"/>
        <v/>
      </c>
      <c r="T1185" s="104" t="str">
        <f t="shared" si="113"/>
        <v/>
      </c>
      <c r="U1185" s="104" t="str">
        <f t="shared" si="114"/>
        <v/>
      </c>
      <c r="V1185" s="104">
        <f t="shared" si="115"/>
        <v>24.75</v>
      </c>
      <c r="W1185" s="105"/>
    </row>
    <row r="1186" spans="1:23">
      <c r="A1186" s="92"/>
      <c r="B1186" s="121" t="s">
        <v>306</v>
      </c>
      <c r="C1186" s="107"/>
      <c r="D1186" s="389"/>
      <c r="E1186" s="389"/>
      <c r="F1186" s="118"/>
      <c r="G1186" s="108"/>
      <c r="H1186" s="98"/>
      <c r="I1186" s="99"/>
      <c r="J1186" s="101"/>
      <c r="K1186" s="109"/>
      <c r="L1186" s="110"/>
      <c r="M1186" s="111"/>
      <c r="N1186" s="99"/>
      <c r="O1186" s="112"/>
      <c r="P1186" s="112"/>
      <c r="Q1186" s="104" t="str">
        <f t="shared" si="110"/>
        <v/>
      </c>
      <c r="R1186" s="104" t="str">
        <f t="shared" si="111"/>
        <v/>
      </c>
      <c r="S1186" s="104" t="str">
        <f t="shared" si="112"/>
        <v/>
      </c>
      <c r="T1186" s="104" t="str">
        <f t="shared" si="113"/>
        <v/>
      </c>
      <c r="U1186" s="104" t="str">
        <f t="shared" si="114"/>
        <v/>
      </c>
      <c r="V1186" s="104" t="str">
        <f t="shared" si="115"/>
        <v/>
      </c>
      <c r="W1186" s="105"/>
    </row>
    <row r="1187" spans="1:23">
      <c r="A1187" s="92"/>
      <c r="B1187" s="121"/>
      <c r="C1187" s="107"/>
      <c r="D1187" s="389"/>
      <c r="E1187" s="389"/>
      <c r="F1187" s="118"/>
      <c r="G1187" s="108"/>
      <c r="H1187" s="98"/>
      <c r="I1187" s="99"/>
      <c r="J1187" s="101"/>
      <c r="K1187" s="109"/>
      <c r="L1187" s="110"/>
      <c r="M1187" s="111"/>
      <c r="N1187" s="99"/>
      <c r="O1187" s="112"/>
      <c r="P1187" s="112"/>
      <c r="Q1187" s="104" t="str">
        <f t="shared" si="110"/>
        <v/>
      </c>
      <c r="R1187" s="104" t="str">
        <f t="shared" si="111"/>
        <v/>
      </c>
      <c r="S1187" s="104" t="str">
        <f t="shared" si="112"/>
        <v/>
      </c>
      <c r="T1187" s="104" t="str">
        <f t="shared" si="113"/>
        <v/>
      </c>
      <c r="U1187" s="104" t="str">
        <f t="shared" si="114"/>
        <v/>
      </c>
      <c r="V1187" s="104" t="str">
        <f t="shared" si="115"/>
        <v/>
      </c>
      <c r="W1187" s="105"/>
    </row>
    <row r="1188" spans="1:23" ht="15" customHeight="1">
      <c r="A1188" s="92">
        <v>78</v>
      </c>
      <c r="B1188" s="121" t="s">
        <v>427</v>
      </c>
      <c r="C1188" s="122"/>
      <c r="D1188" s="798">
        <f>1+0.6+1</f>
        <v>2.6</v>
      </c>
      <c r="E1188" s="798"/>
      <c r="F1188" s="118"/>
      <c r="G1188" s="108">
        <v>0.25</v>
      </c>
      <c r="H1188" s="98">
        <v>20</v>
      </c>
      <c r="I1188" s="99">
        <v>1</v>
      </c>
      <c r="J1188" s="101">
        <f>ROUND(2.25/G1188+1,0)</f>
        <v>10</v>
      </c>
      <c r="K1188" s="109">
        <f>D1188</f>
        <v>2.6</v>
      </c>
      <c r="L1188" s="110" t="str">
        <f>IF(O1188&lt;12,"0",0.049*H1188)</f>
        <v>0</v>
      </c>
      <c r="M1188" s="111">
        <v>0</v>
      </c>
      <c r="N1188" s="99">
        <f>M1188*2*H1188/1000</f>
        <v>0</v>
      </c>
      <c r="O1188" s="112">
        <f>(D1188)-N1188</f>
        <v>2.6</v>
      </c>
      <c r="P1188" s="112">
        <f>(I1188*J1188*O1188)+L1188</f>
        <v>26</v>
      </c>
      <c r="Q1188" s="104" t="str">
        <f t="shared" si="110"/>
        <v/>
      </c>
      <c r="R1188" s="104" t="str">
        <f t="shared" si="111"/>
        <v/>
      </c>
      <c r="S1188" s="104" t="str">
        <f t="shared" si="112"/>
        <v/>
      </c>
      <c r="T1188" s="104" t="str">
        <f t="shared" si="113"/>
        <v/>
      </c>
      <c r="U1188" s="104">
        <f t="shared" si="114"/>
        <v>26</v>
      </c>
      <c r="V1188" s="104" t="str">
        <f t="shared" si="115"/>
        <v/>
      </c>
      <c r="W1188" s="105"/>
    </row>
    <row r="1189" spans="1:23">
      <c r="A1189" s="92"/>
      <c r="B1189" s="121" t="s">
        <v>306</v>
      </c>
      <c r="C1189" s="107"/>
      <c r="D1189" s="389"/>
      <c r="E1189" s="389"/>
      <c r="F1189" s="118"/>
      <c r="G1189" s="108"/>
      <c r="H1189" s="98"/>
      <c r="I1189" s="99"/>
      <c r="J1189" s="101"/>
      <c r="K1189" s="109"/>
      <c r="L1189" s="110"/>
      <c r="M1189" s="111"/>
      <c r="N1189" s="99"/>
      <c r="O1189" s="112"/>
      <c r="P1189" s="112"/>
      <c r="Q1189" s="104" t="str">
        <f t="shared" si="110"/>
        <v/>
      </c>
      <c r="R1189" s="104" t="str">
        <f t="shared" si="111"/>
        <v/>
      </c>
      <c r="S1189" s="104" t="str">
        <f t="shared" si="112"/>
        <v/>
      </c>
      <c r="T1189" s="104" t="str">
        <f t="shared" si="113"/>
        <v/>
      </c>
      <c r="U1189" s="104" t="str">
        <f t="shared" si="114"/>
        <v/>
      </c>
      <c r="V1189" s="104" t="str">
        <f t="shared" si="115"/>
        <v/>
      </c>
      <c r="W1189" s="105"/>
    </row>
    <row r="1190" spans="1:23">
      <c r="A1190" s="92"/>
      <c r="B1190" s="121"/>
      <c r="C1190" s="107"/>
      <c r="D1190" s="389"/>
      <c r="E1190" s="389"/>
      <c r="F1190" s="118"/>
      <c r="G1190" s="108"/>
      <c r="H1190" s="98"/>
      <c r="I1190" s="99"/>
      <c r="J1190" s="101"/>
      <c r="K1190" s="109"/>
      <c r="L1190" s="110"/>
      <c r="M1190" s="111"/>
      <c r="N1190" s="99"/>
      <c r="O1190" s="112"/>
      <c r="P1190" s="112"/>
      <c r="Q1190" s="104" t="str">
        <f t="shared" si="110"/>
        <v/>
      </c>
      <c r="R1190" s="104" t="str">
        <f t="shared" si="111"/>
        <v/>
      </c>
      <c r="S1190" s="104" t="str">
        <f t="shared" si="112"/>
        <v/>
      </c>
      <c r="T1190" s="104" t="str">
        <f t="shared" si="113"/>
        <v/>
      </c>
      <c r="U1190" s="104" t="str">
        <f t="shared" si="114"/>
        <v/>
      </c>
      <c r="V1190" s="104" t="str">
        <f t="shared" si="115"/>
        <v/>
      </c>
      <c r="W1190" s="105"/>
    </row>
    <row r="1191" spans="1:23" ht="15" customHeight="1">
      <c r="A1191" s="92">
        <v>79</v>
      </c>
      <c r="B1191" s="121" t="s">
        <v>426</v>
      </c>
      <c r="C1191" s="122"/>
      <c r="D1191" s="797">
        <f>0.75-0.05+0.3+1.25</f>
        <v>2.25</v>
      </c>
      <c r="E1191" s="797"/>
      <c r="F1191" s="118"/>
      <c r="G1191" s="108">
        <v>0.25</v>
      </c>
      <c r="H1191" s="98">
        <v>25</v>
      </c>
      <c r="I1191" s="99">
        <v>1</v>
      </c>
      <c r="J1191" s="101">
        <f>ROUND(3.1/G1191+1,0)</f>
        <v>13</v>
      </c>
      <c r="K1191" s="109">
        <f>D1191</f>
        <v>2.25</v>
      </c>
      <c r="L1191" s="110" t="str">
        <f>IF(O1191&lt;12,"0",0.049*H1191)</f>
        <v>0</v>
      </c>
      <c r="M1191" s="111">
        <v>0</v>
      </c>
      <c r="N1191" s="99">
        <f>M1191*2*H1191/1000</f>
        <v>0</v>
      </c>
      <c r="O1191" s="112">
        <f>(D1191)-N1191</f>
        <v>2.25</v>
      </c>
      <c r="P1191" s="112">
        <f>(I1191*J1191*O1191)+L1191</f>
        <v>29.25</v>
      </c>
      <c r="Q1191" s="104" t="str">
        <f t="shared" si="110"/>
        <v/>
      </c>
      <c r="R1191" s="104" t="str">
        <f t="shared" si="111"/>
        <v/>
      </c>
      <c r="S1191" s="104" t="str">
        <f t="shared" si="112"/>
        <v/>
      </c>
      <c r="T1191" s="104" t="str">
        <f t="shared" si="113"/>
        <v/>
      </c>
      <c r="U1191" s="104" t="str">
        <f t="shared" si="114"/>
        <v/>
      </c>
      <c r="V1191" s="104">
        <f t="shared" si="115"/>
        <v>29.25</v>
      </c>
      <c r="W1191" s="105"/>
    </row>
    <row r="1192" spans="1:23">
      <c r="A1192" s="92"/>
      <c r="B1192" s="121" t="s">
        <v>307</v>
      </c>
      <c r="C1192" s="107"/>
      <c r="D1192" s="389"/>
      <c r="E1192" s="389"/>
      <c r="F1192" s="118"/>
      <c r="G1192" s="108"/>
      <c r="H1192" s="98"/>
      <c r="I1192" s="99"/>
      <c r="J1192" s="101"/>
      <c r="K1192" s="109"/>
      <c r="L1192" s="110"/>
      <c r="M1192" s="111"/>
      <c r="N1192" s="99"/>
      <c r="O1192" s="112"/>
      <c r="P1192" s="112"/>
      <c r="Q1192" s="104" t="str">
        <f t="shared" si="110"/>
        <v/>
      </c>
      <c r="R1192" s="104" t="str">
        <f t="shared" si="111"/>
        <v/>
      </c>
      <c r="S1192" s="104" t="str">
        <f t="shared" si="112"/>
        <v/>
      </c>
      <c r="T1192" s="104" t="str">
        <f t="shared" si="113"/>
        <v/>
      </c>
      <c r="U1192" s="104" t="str">
        <f t="shared" si="114"/>
        <v/>
      </c>
      <c r="V1192" s="104" t="str">
        <f t="shared" si="115"/>
        <v/>
      </c>
      <c r="W1192" s="105"/>
    </row>
    <row r="1193" spans="1:23">
      <c r="A1193" s="92"/>
      <c r="B1193" s="121"/>
      <c r="C1193" s="107"/>
      <c r="D1193" s="389"/>
      <c r="E1193" s="389"/>
      <c r="F1193" s="118"/>
      <c r="G1193" s="108"/>
      <c r="H1193" s="98"/>
      <c r="I1193" s="99"/>
      <c r="J1193" s="101"/>
      <c r="K1193" s="109"/>
      <c r="L1193" s="110"/>
      <c r="M1193" s="111"/>
      <c r="N1193" s="99"/>
      <c r="O1193" s="112"/>
      <c r="P1193" s="112"/>
      <c r="Q1193" s="104" t="str">
        <f t="shared" si="110"/>
        <v/>
      </c>
      <c r="R1193" s="104" t="str">
        <f t="shared" si="111"/>
        <v/>
      </c>
      <c r="S1193" s="104" t="str">
        <f t="shared" si="112"/>
        <v/>
      </c>
      <c r="T1193" s="104" t="str">
        <f t="shared" si="113"/>
        <v/>
      </c>
      <c r="U1193" s="104" t="str">
        <f t="shared" si="114"/>
        <v/>
      </c>
      <c r="V1193" s="104" t="str">
        <f t="shared" si="115"/>
        <v/>
      </c>
      <c r="W1193" s="105"/>
    </row>
    <row r="1194" spans="1:23" ht="15" customHeight="1">
      <c r="A1194" s="92">
        <v>80</v>
      </c>
      <c r="B1194" s="121" t="s">
        <v>427</v>
      </c>
      <c r="C1194" s="122"/>
      <c r="D1194" s="798">
        <f>1.25+0.6+1.25</f>
        <v>3.1</v>
      </c>
      <c r="E1194" s="798"/>
      <c r="F1194" s="118"/>
      <c r="G1194" s="108">
        <v>0.25</v>
      </c>
      <c r="H1194" s="98">
        <v>25</v>
      </c>
      <c r="I1194" s="99">
        <v>1</v>
      </c>
      <c r="J1194" s="101">
        <f>ROUND(2.25/G1194+1,0)</f>
        <v>10</v>
      </c>
      <c r="K1194" s="109">
        <f>D1194</f>
        <v>3.1</v>
      </c>
      <c r="L1194" s="110" t="str">
        <f>IF(O1194&lt;12,"0",0.049*H1194)</f>
        <v>0</v>
      </c>
      <c r="M1194" s="111">
        <v>0</v>
      </c>
      <c r="N1194" s="99">
        <f>M1194*2*H1194/1000</f>
        <v>0</v>
      </c>
      <c r="O1194" s="112">
        <f>(D1194)-N1194</f>
        <v>3.1</v>
      </c>
      <c r="P1194" s="112">
        <f>(I1194*J1194*O1194)+L1194</f>
        <v>31</v>
      </c>
      <c r="Q1194" s="104" t="str">
        <f t="shared" si="110"/>
        <v/>
      </c>
      <c r="R1194" s="104" t="str">
        <f t="shared" si="111"/>
        <v/>
      </c>
      <c r="S1194" s="104" t="str">
        <f t="shared" si="112"/>
        <v/>
      </c>
      <c r="T1194" s="104" t="str">
        <f t="shared" si="113"/>
        <v/>
      </c>
      <c r="U1194" s="104" t="str">
        <f t="shared" si="114"/>
        <v/>
      </c>
      <c r="V1194" s="104">
        <f t="shared" si="115"/>
        <v>31</v>
      </c>
      <c r="W1194" s="105"/>
    </row>
    <row r="1195" spans="1:23">
      <c r="A1195" s="92"/>
      <c r="B1195" s="121" t="s">
        <v>307</v>
      </c>
      <c r="C1195" s="107"/>
      <c r="D1195" s="389"/>
      <c r="E1195" s="389"/>
      <c r="F1195" s="118"/>
      <c r="G1195" s="108"/>
      <c r="H1195" s="98"/>
      <c r="I1195" s="99"/>
      <c r="J1195" s="101"/>
      <c r="K1195" s="109"/>
      <c r="L1195" s="110"/>
      <c r="M1195" s="111"/>
      <c r="N1195" s="99"/>
      <c r="O1195" s="112"/>
      <c r="P1195" s="112"/>
      <c r="Q1195" s="104" t="str">
        <f t="shared" si="110"/>
        <v/>
      </c>
      <c r="R1195" s="104" t="str">
        <f t="shared" si="111"/>
        <v/>
      </c>
      <c r="S1195" s="104" t="str">
        <f t="shared" si="112"/>
        <v/>
      </c>
      <c r="T1195" s="104" t="str">
        <f t="shared" si="113"/>
        <v/>
      </c>
      <c r="U1195" s="104" t="str">
        <f t="shared" si="114"/>
        <v/>
      </c>
      <c r="V1195" s="104" t="str">
        <f t="shared" si="115"/>
        <v/>
      </c>
      <c r="W1195" s="105"/>
    </row>
    <row r="1196" spans="1:23">
      <c r="A1196" s="92"/>
      <c r="B1196" s="121"/>
      <c r="C1196" s="107"/>
      <c r="D1196" s="389"/>
      <c r="E1196" s="389"/>
      <c r="F1196" s="118"/>
      <c r="G1196" s="108"/>
      <c r="H1196" s="98"/>
      <c r="I1196" s="99"/>
      <c r="J1196" s="101"/>
      <c r="K1196" s="109"/>
      <c r="L1196" s="110"/>
      <c r="M1196" s="111"/>
      <c r="N1196" s="99"/>
      <c r="O1196" s="112"/>
      <c r="P1196" s="112"/>
      <c r="Q1196" s="104" t="str">
        <f t="shared" si="110"/>
        <v/>
      </c>
      <c r="R1196" s="104" t="str">
        <f t="shared" si="111"/>
        <v/>
      </c>
      <c r="S1196" s="104" t="str">
        <f t="shared" si="112"/>
        <v/>
      </c>
      <c r="T1196" s="104" t="str">
        <f t="shared" si="113"/>
        <v/>
      </c>
      <c r="U1196" s="104" t="str">
        <f t="shared" si="114"/>
        <v/>
      </c>
      <c r="V1196" s="104" t="str">
        <f t="shared" si="115"/>
        <v/>
      </c>
      <c r="W1196" s="105"/>
    </row>
    <row r="1197" spans="1:23" ht="15" customHeight="1">
      <c r="A1197" s="92">
        <v>81</v>
      </c>
      <c r="B1197" s="121" t="s">
        <v>426</v>
      </c>
      <c r="C1197" s="122"/>
      <c r="D1197" s="798">
        <v>3.65</v>
      </c>
      <c r="E1197" s="798"/>
      <c r="F1197" s="118"/>
      <c r="G1197" s="108">
        <v>0.25</v>
      </c>
      <c r="H1197" s="98">
        <v>20</v>
      </c>
      <c r="I1197" s="99">
        <v>1</v>
      </c>
      <c r="J1197" s="101">
        <f>ROUND(4.045/G1197+1,0)</f>
        <v>17</v>
      </c>
      <c r="K1197" s="109">
        <f>D1197</f>
        <v>3.65</v>
      </c>
      <c r="L1197" s="110" t="str">
        <f>IF(O1197&lt;12,"0",0.049*H1197)</f>
        <v>0</v>
      </c>
      <c r="M1197" s="111">
        <v>0</v>
      </c>
      <c r="N1197" s="99">
        <f>M1197*2*H1197/1000</f>
        <v>0</v>
      </c>
      <c r="O1197" s="112">
        <f>(D1197)-N1197</f>
        <v>3.65</v>
      </c>
      <c r="P1197" s="112">
        <f>(I1197*J1197*O1197)+L1197</f>
        <v>62.05</v>
      </c>
      <c r="Q1197" s="104" t="str">
        <f t="shared" si="110"/>
        <v/>
      </c>
      <c r="R1197" s="104" t="str">
        <f t="shared" si="111"/>
        <v/>
      </c>
      <c r="S1197" s="104" t="str">
        <f t="shared" si="112"/>
        <v/>
      </c>
      <c r="T1197" s="104" t="str">
        <f t="shared" si="113"/>
        <v/>
      </c>
      <c r="U1197" s="104">
        <f t="shared" si="114"/>
        <v>62.05</v>
      </c>
      <c r="V1197" s="104" t="str">
        <f t="shared" si="115"/>
        <v/>
      </c>
      <c r="W1197" s="105"/>
    </row>
    <row r="1198" spans="1:23">
      <c r="A1198" s="92"/>
      <c r="B1198" s="121" t="s">
        <v>308</v>
      </c>
      <c r="C1198" s="107"/>
      <c r="D1198" s="389"/>
      <c r="E1198" s="389"/>
      <c r="F1198" s="118"/>
      <c r="G1198" s="108"/>
      <c r="H1198" s="98"/>
      <c r="I1198" s="99"/>
      <c r="J1198" s="101"/>
      <c r="K1198" s="109"/>
      <c r="L1198" s="110"/>
      <c r="M1198" s="111"/>
      <c r="N1198" s="99"/>
      <c r="O1198" s="112"/>
      <c r="P1198" s="112"/>
      <c r="Q1198" s="104" t="str">
        <f t="shared" si="110"/>
        <v/>
      </c>
      <c r="R1198" s="104" t="str">
        <f t="shared" si="111"/>
        <v/>
      </c>
      <c r="S1198" s="104" t="str">
        <f t="shared" si="112"/>
        <v/>
      </c>
      <c r="T1198" s="104" t="str">
        <f t="shared" si="113"/>
        <v/>
      </c>
      <c r="U1198" s="104" t="str">
        <f t="shared" si="114"/>
        <v/>
      </c>
      <c r="V1198" s="104" t="str">
        <f t="shared" si="115"/>
        <v/>
      </c>
      <c r="W1198" s="105"/>
    </row>
    <row r="1199" spans="1:23">
      <c r="A1199" s="92"/>
      <c r="B1199" s="121"/>
      <c r="C1199" s="107"/>
      <c r="D1199" s="389"/>
      <c r="E1199" s="389"/>
      <c r="F1199" s="118"/>
      <c r="G1199" s="108"/>
      <c r="H1199" s="98"/>
      <c r="I1199" s="99"/>
      <c r="J1199" s="101"/>
      <c r="K1199" s="109"/>
      <c r="L1199" s="110"/>
      <c r="M1199" s="111"/>
      <c r="N1199" s="99"/>
      <c r="O1199" s="112"/>
      <c r="P1199" s="112"/>
      <c r="Q1199" s="104" t="str">
        <f t="shared" si="110"/>
        <v/>
      </c>
      <c r="R1199" s="104" t="str">
        <f t="shared" si="111"/>
        <v/>
      </c>
      <c r="S1199" s="104" t="str">
        <f t="shared" si="112"/>
        <v/>
      </c>
      <c r="T1199" s="104" t="str">
        <f t="shared" si="113"/>
        <v/>
      </c>
      <c r="U1199" s="104" t="str">
        <f t="shared" si="114"/>
        <v/>
      </c>
      <c r="V1199" s="104" t="str">
        <f t="shared" si="115"/>
        <v/>
      </c>
      <c r="W1199" s="105"/>
    </row>
    <row r="1200" spans="1:23" ht="15" customHeight="1">
      <c r="A1200" s="92">
        <v>82</v>
      </c>
      <c r="B1200" s="121" t="s">
        <v>427</v>
      </c>
      <c r="C1200" s="122"/>
      <c r="D1200" s="798">
        <v>4.3449999999999998</v>
      </c>
      <c r="E1200" s="798"/>
      <c r="F1200" s="118"/>
      <c r="G1200" s="108">
        <v>0.25</v>
      </c>
      <c r="H1200" s="98">
        <v>20</v>
      </c>
      <c r="I1200" s="99">
        <v>1</v>
      </c>
      <c r="J1200" s="101">
        <f>ROUND(3.535/G1200+1,0)</f>
        <v>15</v>
      </c>
      <c r="K1200" s="109">
        <f>D1200</f>
        <v>4.3449999999999998</v>
      </c>
      <c r="L1200" s="110" t="str">
        <f>IF(O1200&lt;12,"0",0.049*H1200)</f>
        <v>0</v>
      </c>
      <c r="M1200" s="111">
        <v>0</v>
      </c>
      <c r="N1200" s="99">
        <f>M1200*2*H1200/1000</f>
        <v>0</v>
      </c>
      <c r="O1200" s="112">
        <f>(D1200)-N1200</f>
        <v>4.3449999999999998</v>
      </c>
      <c r="P1200" s="112">
        <f>(I1200*J1200*O1200)+L1200</f>
        <v>65.174999999999997</v>
      </c>
      <c r="Q1200" s="104" t="str">
        <f t="shared" si="110"/>
        <v/>
      </c>
      <c r="R1200" s="104" t="str">
        <f t="shared" si="111"/>
        <v/>
      </c>
      <c r="S1200" s="104" t="str">
        <f t="shared" si="112"/>
        <v/>
      </c>
      <c r="T1200" s="104" t="str">
        <f t="shared" si="113"/>
        <v/>
      </c>
      <c r="U1200" s="104">
        <f t="shared" si="114"/>
        <v>65.174999999999997</v>
      </c>
      <c r="V1200" s="104" t="str">
        <f t="shared" si="115"/>
        <v/>
      </c>
      <c r="W1200" s="105"/>
    </row>
    <row r="1201" spans="1:23">
      <c r="A1201" s="92"/>
      <c r="B1201" s="121" t="s">
        <v>308</v>
      </c>
      <c r="C1201" s="107"/>
      <c r="D1201" s="389"/>
      <c r="E1201" s="389"/>
      <c r="F1201" s="118"/>
      <c r="G1201" s="108"/>
      <c r="H1201" s="98"/>
      <c r="I1201" s="99"/>
      <c r="J1201" s="101"/>
      <c r="K1201" s="109"/>
      <c r="L1201" s="110"/>
      <c r="M1201" s="111"/>
      <c r="N1201" s="99"/>
      <c r="O1201" s="112"/>
      <c r="P1201" s="112"/>
      <c r="Q1201" s="104" t="str">
        <f t="shared" si="110"/>
        <v/>
      </c>
      <c r="R1201" s="104" t="str">
        <f t="shared" si="111"/>
        <v/>
      </c>
      <c r="S1201" s="104" t="str">
        <f t="shared" si="112"/>
        <v/>
      </c>
      <c r="T1201" s="104" t="str">
        <f t="shared" si="113"/>
        <v/>
      </c>
      <c r="U1201" s="104" t="str">
        <f t="shared" si="114"/>
        <v/>
      </c>
      <c r="V1201" s="104" t="str">
        <f t="shared" si="115"/>
        <v/>
      </c>
      <c r="W1201" s="105"/>
    </row>
    <row r="1202" spans="1:23">
      <c r="A1202" s="92"/>
      <c r="B1202" s="121"/>
      <c r="C1202" s="107"/>
      <c r="D1202" s="389"/>
      <c r="E1202" s="389"/>
      <c r="F1202" s="118"/>
      <c r="G1202" s="108"/>
      <c r="H1202" s="98"/>
      <c r="I1202" s="99"/>
      <c r="J1202" s="101"/>
      <c r="K1202" s="109"/>
      <c r="L1202" s="110"/>
      <c r="M1202" s="111"/>
      <c r="N1202" s="99"/>
      <c r="O1202" s="112"/>
      <c r="P1202" s="112"/>
      <c r="Q1202" s="104" t="str">
        <f t="shared" si="110"/>
        <v/>
      </c>
      <c r="R1202" s="104" t="str">
        <f t="shared" si="111"/>
        <v/>
      </c>
      <c r="S1202" s="104" t="str">
        <f t="shared" si="112"/>
        <v/>
      </c>
      <c r="T1202" s="104" t="str">
        <f t="shared" si="113"/>
        <v/>
      </c>
      <c r="U1202" s="104" t="str">
        <f t="shared" si="114"/>
        <v/>
      </c>
      <c r="V1202" s="104" t="str">
        <f t="shared" si="115"/>
        <v/>
      </c>
      <c r="W1202" s="105"/>
    </row>
    <row r="1203" spans="1:23" ht="15" customHeight="1">
      <c r="A1203" s="92">
        <v>83</v>
      </c>
      <c r="B1203" s="121" t="s">
        <v>426</v>
      </c>
      <c r="C1203" s="122"/>
      <c r="D1203" s="798">
        <f>0.6+0.715+0.6</f>
        <v>1.915</v>
      </c>
      <c r="E1203" s="798"/>
      <c r="F1203" s="118"/>
      <c r="G1203" s="108">
        <v>0.25</v>
      </c>
      <c r="H1203" s="98">
        <v>12</v>
      </c>
      <c r="I1203" s="99">
        <v>1</v>
      </c>
      <c r="J1203" s="101">
        <f>ROUND(D1206/G1203+1,0)</f>
        <v>7</v>
      </c>
      <c r="K1203" s="109">
        <f>D1203</f>
        <v>1.915</v>
      </c>
      <c r="L1203" s="110" t="str">
        <f>IF(O1203&lt;12,"0",0.049*H1203)</f>
        <v>0</v>
      </c>
      <c r="M1203" s="111">
        <v>0</v>
      </c>
      <c r="N1203" s="99">
        <f>M1203*2*H1203/1000</f>
        <v>0</v>
      </c>
      <c r="O1203" s="112">
        <f>(D1203)-N1203</f>
        <v>1.915</v>
      </c>
      <c r="P1203" s="112">
        <f>(I1203*J1203*O1203)+L1203</f>
        <v>13.405000000000001</v>
      </c>
      <c r="Q1203" s="104" t="str">
        <f t="shared" si="110"/>
        <v/>
      </c>
      <c r="R1203" s="104" t="str">
        <f t="shared" si="111"/>
        <v/>
      </c>
      <c r="S1203" s="104">
        <f t="shared" si="112"/>
        <v>13.405000000000001</v>
      </c>
      <c r="T1203" s="104" t="str">
        <f t="shared" si="113"/>
        <v/>
      </c>
      <c r="U1203" s="104" t="str">
        <f t="shared" si="114"/>
        <v/>
      </c>
      <c r="V1203" s="104" t="str">
        <f t="shared" si="115"/>
        <v/>
      </c>
      <c r="W1203" s="105"/>
    </row>
    <row r="1204" spans="1:23">
      <c r="A1204" s="92"/>
      <c r="B1204" s="121" t="s">
        <v>309</v>
      </c>
      <c r="C1204" s="107"/>
      <c r="D1204" s="389"/>
      <c r="E1204" s="389"/>
      <c r="F1204" s="118"/>
      <c r="G1204" s="108"/>
      <c r="H1204" s="98"/>
      <c r="I1204" s="99"/>
      <c r="J1204" s="101"/>
      <c r="K1204" s="109"/>
      <c r="L1204" s="110"/>
      <c r="M1204" s="111"/>
      <c r="N1204" s="99"/>
      <c r="O1204" s="112"/>
      <c r="P1204" s="112"/>
      <c r="Q1204" s="104" t="str">
        <f t="shared" si="110"/>
        <v/>
      </c>
      <c r="R1204" s="104" t="str">
        <f t="shared" si="111"/>
        <v/>
      </c>
      <c r="S1204" s="104" t="str">
        <f t="shared" si="112"/>
        <v/>
      </c>
      <c r="T1204" s="104" t="str">
        <f t="shared" si="113"/>
        <v/>
      </c>
      <c r="U1204" s="104" t="str">
        <f t="shared" si="114"/>
        <v/>
      </c>
      <c r="V1204" s="104" t="str">
        <f t="shared" si="115"/>
        <v/>
      </c>
      <c r="W1204" s="105"/>
    </row>
    <row r="1205" spans="1:23">
      <c r="A1205" s="92"/>
      <c r="B1205" s="121"/>
      <c r="C1205" s="107"/>
      <c r="D1205" s="389"/>
      <c r="E1205" s="389"/>
      <c r="F1205" s="118"/>
      <c r="G1205" s="108"/>
      <c r="H1205" s="98"/>
      <c r="I1205" s="99"/>
      <c r="J1205" s="101"/>
      <c r="K1205" s="109"/>
      <c r="L1205" s="110"/>
      <c r="M1205" s="111"/>
      <c r="N1205" s="99"/>
      <c r="O1205" s="112"/>
      <c r="P1205" s="112"/>
      <c r="Q1205" s="104" t="str">
        <f t="shared" si="110"/>
        <v/>
      </c>
      <c r="R1205" s="104" t="str">
        <f t="shared" si="111"/>
        <v/>
      </c>
      <c r="S1205" s="104" t="str">
        <f t="shared" si="112"/>
        <v/>
      </c>
      <c r="T1205" s="104" t="str">
        <f t="shared" si="113"/>
        <v/>
      </c>
      <c r="U1205" s="104" t="str">
        <f t="shared" si="114"/>
        <v/>
      </c>
      <c r="V1205" s="104" t="str">
        <f t="shared" si="115"/>
        <v/>
      </c>
      <c r="W1205" s="105"/>
    </row>
    <row r="1206" spans="1:23" ht="15" customHeight="1">
      <c r="A1206" s="92">
        <v>84</v>
      </c>
      <c r="B1206" s="121" t="s">
        <v>427</v>
      </c>
      <c r="C1206" s="122"/>
      <c r="D1206" s="798">
        <f>0.75-0.05+0.3+0.6</f>
        <v>1.6</v>
      </c>
      <c r="E1206" s="798"/>
      <c r="F1206" s="118"/>
      <c r="G1206" s="108">
        <v>0.25</v>
      </c>
      <c r="H1206" s="98">
        <v>12</v>
      </c>
      <c r="I1206" s="99">
        <v>1</v>
      </c>
      <c r="J1206" s="101">
        <f>ROUND(D1203/G1206+1,0)</f>
        <v>9</v>
      </c>
      <c r="K1206" s="109">
        <f>D1206</f>
        <v>1.6</v>
      </c>
      <c r="L1206" s="110" t="str">
        <f>IF(O1206&lt;12,"0",0.049*H1206)</f>
        <v>0</v>
      </c>
      <c r="M1206" s="111">
        <v>0</v>
      </c>
      <c r="N1206" s="99">
        <f>M1206*2*H1206/1000</f>
        <v>0</v>
      </c>
      <c r="O1206" s="112">
        <f>(D1206)-N1206</f>
        <v>1.6</v>
      </c>
      <c r="P1206" s="112">
        <f>(I1206*J1206*O1206)+L1206</f>
        <v>14.4</v>
      </c>
      <c r="Q1206" s="104" t="str">
        <f t="shared" si="110"/>
        <v/>
      </c>
      <c r="R1206" s="104" t="str">
        <f t="shared" si="111"/>
        <v/>
      </c>
      <c r="S1206" s="104">
        <f t="shared" si="112"/>
        <v>14.4</v>
      </c>
      <c r="T1206" s="104" t="str">
        <f t="shared" si="113"/>
        <v/>
      </c>
      <c r="U1206" s="104" t="str">
        <f t="shared" si="114"/>
        <v/>
      </c>
      <c r="V1206" s="104" t="str">
        <f t="shared" si="115"/>
        <v/>
      </c>
      <c r="W1206" s="105"/>
    </row>
    <row r="1207" spans="1:23">
      <c r="A1207" s="92"/>
      <c r="B1207" s="121" t="s">
        <v>309</v>
      </c>
      <c r="C1207" s="107"/>
      <c r="D1207" s="389"/>
      <c r="E1207" s="389"/>
      <c r="F1207" s="118"/>
      <c r="G1207" s="108"/>
      <c r="H1207" s="98"/>
      <c r="I1207" s="99"/>
      <c r="J1207" s="101"/>
      <c r="K1207" s="109"/>
      <c r="L1207" s="110"/>
      <c r="M1207" s="111"/>
      <c r="N1207" s="99"/>
      <c r="O1207" s="112"/>
      <c r="P1207" s="112"/>
      <c r="Q1207" s="104" t="str">
        <f t="shared" si="110"/>
        <v/>
      </c>
      <c r="R1207" s="104" t="str">
        <f t="shared" si="111"/>
        <v/>
      </c>
      <c r="S1207" s="104" t="str">
        <f t="shared" si="112"/>
        <v/>
      </c>
      <c r="T1207" s="104" t="str">
        <f t="shared" si="113"/>
        <v/>
      </c>
      <c r="U1207" s="104" t="str">
        <f t="shared" si="114"/>
        <v/>
      </c>
      <c r="V1207" s="104" t="str">
        <f t="shared" si="115"/>
        <v/>
      </c>
      <c r="W1207" s="105"/>
    </row>
    <row r="1208" spans="1:23">
      <c r="A1208" s="92"/>
      <c r="B1208" s="121"/>
      <c r="C1208" s="107"/>
      <c r="D1208" s="389"/>
      <c r="E1208" s="389"/>
      <c r="F1208" s="118"/>
      <c r="G1208" s="108"/>
      <c r="H1208" s="98"/>
      <c r="I1208" s="99"/>
      <c r="J1208" s="101"/>
      <c r="K1208" s="109"/>
      <c r="L1208" s="110"/>
      <c r="M1208" s="111"/>
      <c r="N1208" s="99"/>
      <c r="O1208" s="112"/>
      <c r="P1208" s="112"/>
      <c r="Q1208" s="104" t="str">
        <f t="shared" si="110"/>
        <v/>
      </c>
      <c r="R1208" s="104" t="str">
        <f t="shared" si="111"/>
        <v/>
      </c>
      <c r="S1208" s="104" t="str">
        <f t="shared" si="112"/>
        <v/>
      </c>
      <c r="T1208" s="104" t="str">
        <f t="shared" si="113"/>
        <v/>
      </c>
      <c r="U1208" s="104" t="str">
        <f t="shared" si="114"/>
        <v/>
      </c>
      <c r="V1208" s="104" t="str">
        <f t="shared" si="115"/>
        <v/>
      </c>
      <c r="W1208" s="105"/>
    </row>
    <row r="1209" spans="1:23" ht="15" customHeight="1">
      <c r="A1209" s="92">
        <v>85</v>
      </c>
      <c r="B1209" s="121" t="s">
        <v>426</v>
      </c>
      <c r="C1209" s="122"/>
      <c r="D1209" s="798">
        <f>0.6+0.715+0.6</f>
        <v>1.915</v>
      </c>
      <c r="E1209" s="798"/>
      <c r="F1209" s="118"/>
      <c r="G1209" s="108">
        <v>0.25</v>
      </c>
      <c r="H1209" s="98">
        <v>12</v>
      </c>
      <c r="I1209" s="99">
        <v>1</v>
      </c>
      <c r="J1209" s="101">
        <f>ROUND(D1212/G1209+1,0)</f>
        <v>7</v>
      </c>
      <c r="K1209" s="109">
        <f>D1209</f>
        <v>1.915</v>
      </c>
      <c r="L1209" s="110" t="str">
        <f>IF(O1209&lt;12,"0",0.049*H1209)</f>
        <v>0</v>
      </c>
      <c r="M1209" s="111">
        <v>0</v>
      </c>
      <c r="N1209" s="99">
        <f>M1209*2*H1209/1000</f>
        <v>0</v>
      </c>
      <c r="O1209" s="112">
        <f>(D1209)-N1209</f>
        <v>1.915</v>
      </c>
      <c r="P1209" s="112">
        <f>(I1209*J1209*O1209)+L1209</f>
        <v>13.405000000000001</v>
      </c>
      <c r="Q1209" s="104" t="str">
        <f t="shared" si="110"/>
        <v/>
      </c>
      <c r="R1209" s="104" t="str">
        <f t="shared" si="111"/>
        <v/>
      </c>
      <c r="S1209" s="104">
        <f t="shared" si="112"/>
        <v>13.405000000000001</v>
      </c>
      <c r="T1209" s="104" t="str">
        <f t="shared" si="113"/>
        <v/>
      </c>
      <c r="U1209" s="104" t="str">
        <f t="shared" si="114"/>
        <v/>
      </c>
      <c r="V1209" s="104" t="str">
        <f t="shared" si="115"/>
        <v/>
      </c>
      <c r="W1209" s="105"/>
    </row>
    <row r="1210" spans="1:23">
      <c r="A1210" s="92"/>
      <c r="B1210" s="121" t="s">
        <v>310</v>
      </c>
      <c r="C1210" s="107"/>
      <c r="D1210" s="389"/>
      <c r="E1210" s="389"/>
      <c r="F1210" s="118"/>
      <c r="G1210" s="108"/>
      <c r="H1210" s="98"/>
      <c r="I1210" s="99"/>
      <c r="J1210" s="101"/>
      <c r="K1210" s="109"/>
      <c r="L1210" s="110"/>
      <c r="M1210" s="111"/>
      <c r="N1210" s="99"/>
      <c r="O1210" s="112"/>
      <c r="P1210" s="112"/>
      <c r="Q1210" s="104" t="str">
        <f t="shared" si="110"/>
        <v/>
      </c>
      <c r="R1210" s="104" t="str">
        <f t="shared" si="111"/>
        <v/>
      </c>
      <c r="S1210" s="104" t="str">
        <f t="shared" si="112"/>
        <v/>
      </c>
      <c r="T1210" s="104" t="str">
        <f t="shared" si="113"/>
        <v/>
      </c>
      <c r="U1210" s="104" t="str">
        <f t="shared" si="114"/>
        <v/>
      </c>
      <c r="V1210" s="104" t="str">
        <f t="shared" si="115"/>
        <v/>
      </c>
      <c r="W1210" s="105"/>
    </row>
    <row r="1211" spans="1:23">
      <c r="A1211" s="92"/>
      <c r="B1211" s="121"/>
      <c r="C1211" s="107"/>
      <c r="D1211" s="389"/>
      <c r="E1211" s="389"/>
      <c r="F1211" s="118"/>
      <c r="G1211" s="108"/>
      <c r="H1211" s="98"/>
      <c r="I1211" s="99"/>
      <c r="J1211" s="101"/>
      <c r="K1211" s="109"/>
      <c r="L1211" s="110"/>
      <c r="M1211" s="111"/>
      <c r="N1211" s="99"/>
      <c r="O1211" s="112"/>
      <c r="P1211" s="112"/>
      <c r="Q1211" s="104" t="str">
        <f t="shared" si="110"/>
        <v/>
      </c>
      <c r="R1211" s="104" t="str">
        <f t="shared" si="111"/>
        <v/>
      </c>
      <c r="S1211" s="104" t="str">
        <f t="shared" si="112"/>
        <v/>
      </c>
      <c r="T1211" s="104" t="str">
        <f t="shared" si="113"/>
        <v/>
      </c>
      <c r="U1211" s="104" t="str">
        <f t="shared" si="114"/>
        <v/>
      </c>
      <c r="V1211" s="104" t="str">
        <f t="shared" si="115"/>
        <v/>
      </c>
      <c r="W1211" s="105"/>
    </row>
    <row r="1212" spans="1:23" ht="15" customHeight="1">
      <c r="A1212" s="92">
        <v>86</v>
      </c>
      <c r="B1212" s="121" t="s">
        <v>427</v>
      </c>
      <c r="C1212" s="122"/>
      <c r="D1212" s="798">
        <f>0.75-0.05+0.3+0.6</f>
        <v>1.6</v>
      </c>
      <c r="E1212" s="798"/>
      <c r="F1212" s="118"/>
      <c r="G1212" s="108">
        <v>0.25</v>
      </c>
      <c r="H1212" s="98">
        <v>12</v>
      </c>
      <c r="I1212" s="99">
        <v>1</v>
      </c>
      <c r="J1212" s="101">
        <f>ROUND(D1209/G1212+1,0)</f>
        <v>9</v>
      </c>
      <c r="K1212" s="109">
        <f>D1212</f>
        <v>1.6</v>
      </c>
      <c r="L1212" s="110" t="str">
        <f>IF(O1212&lt;12,"0",0.049*H1212)</f>
        <v>0</v>
      </c>
      <c r="M1212" s="111">
        <v>0</v>
      </c>
      <c r="N1212" s="99">
        <f>M1212*2*H1212/1000</f>
        <v>0</v>
      </c>
      <c r="O1212" s="112">
        <f>(D1212)-N1212</f>
        <v>1.6</v>
      </c>
      <c r="P1212" s="112">
        <f>(I1212*J1212*O1212)+L1212</f>
        <v>14.4</v>
      </c>
      <c r="Q1212" s="104" t="str">
        <f t="shared" si="110"/>
        <v/>
      </c>
      <c r="R1212" s="104" t="str">
        <f t="shared" si="111"/>
        <v/>
      </c>
      <c r="S1212" s="104">
        <f t="shared" si="112"/>
        <v>14.4</v>
      </c>
      <c r="T1212" s="104" t="str">
        <f t="shared" si="113"/>
        <v/>
      </c>
      <c r="U1212" s="104" t="str">
        <f t="shared" si="114"/>
        <v/>
      </c>
      <c r="V1212" s="104" t="str">
        <f t="shared" si="115"/>
        <v/>
      </c>
      <c r="W1212" s="105"/>
    </row>
    <row r="1213" spans="1:23">
      <c r="A1213" s="92"/>
      <c r="B1213" s="121" t="s">
        <v>310</v>
      </c>
      <c r="C1213" s="107"/>
      <c r="D1213" s="389"/>
      <c r="E1213" s="389"/>
      <c r="F1213" s="118"/>
      <c r="G1213" s="108"/>
      <c r="H1213" s="98"/>
      <c r="I1213" s="99"/>
      <c r="J1213" s="101"/>
      <c r="K1213" s="109"/>
      <c r="L1213" s="110"/>
      <c r="M1213" s="111"/>
      <c r="N1213" s="99"/>
      <c r="O1213" s="112"/>
      <c r="P1213" s="112"/>
      <c r="Q1213" s="104" t="str">
        <f t="shared" si="110"/>
        <v/>
      </c>
      <c r="R1213" s="104" t="str">
        <f t="shared" si="111"/>
        <v/>
      </c>
      <c r="S1213" s="104" t="str">
        <f t="shared" si="112"/>
        <v/>
      </c>
      <c r="T1213" s="104" t="str">
        <f t="shared" si="113"/>
        <v/>
      </c>
      <c r="U1213" s="104" t="str">
        <f t="shared" si="114"/>
        <v/>
      </c>
      <c r="V1213" s="104" t="str">
        <f t="shared" si="115"/>
        <v/>
      </c>
      <c r="W1213" s="105"/>
    </row>
    <row r="1214" spans="1:23">
      <c r="A1214" s="92"/>
      <c r="B1214" s="121"/>
      <c r="C1214" s="107"/>
      <c r="D1214" s="389"/>
      <c r="E1214" s="389"/>
      <c r="F1214" s="118"/>
      <c r="G1214" s="108"/>
      <c r="H1214" s="98"/>
      <c r="I1214" s="99"/>
      <c r="J1214" s="101"/>
      <c r="K1214" s="109"/>
      <c r="L1214" s="110"/>
      <c r="M1214" s="111"/>
      <c r="N1214" s="99"/>
      <c r="O1214" s="112"/>
      <c r="P1214" s="112"/>
      <c r="Q1214" s="104" t="str">
        <f t="shared" si="110"/>
        <v/>
      </c>
      <c r="R1214" s="104" t="str">
        <f t="shared" si="111"/>
        <v/>
      </c>
      <c r="S1214" s="104" t="str">
        <f t="shared" si="112"/>
        <v/>
      </c>
      <c r="T1214" s="104" t="str">
        <f t="shared" si="113"/>
        <v/>
      </c>
      <c r="U1214" s="104" t="str">
        <f t="shared" si="114"/>
        <v/>
      </c>
      <c r="V1214" s="104" t="str">
        <f t="shared" si="115"/>
        <v/>
      </c>
      <c r="W1214" s="105"/>
    </row>
    <row r="1215" spans="1:23" ht="15" customHeight="1">
      <c r="A1215" s="92">
        <v>87</v>
      </c>
      <c r="B1215" s="121" t="s">
        <v>426</v>
      </c>
      <c r="C1215" s="122"/>
      <c r="D1215" s="798">
        <f>1+0.3+1</f>
        <v>2.2999999999999998</v>
      </c>
      <c r="E1215" s="798"/>
      <c r="F1215" s="118"/>
      <c r="G1215" s="108">
        <v>0.25</v>
      </c>
      <c r="H1215" s="98">
        <v>25</v>
      </c>
      <c r="I1215" s="99">
        <v>1</v>
      </c>
      <c r="J1215" s="101">
        <f>ROUND(D1218/G1215+1,0)</f>
        <v>10</v>
      </c>
      <c r="K1215" s="109">
        <f>D1215</f>
        <v>2.2999999999999998</v>
      </c>
      <c r="L1215" s="110" t="str">
        <f>IF(O1215&lt;12,"0",0.049*H1215)</f>
        <v>0</v>
      </c>
      <c r="M1215" s="111">
        <v>0</v>
      </c>
      <c r="N1215" s="99">
        <f>M1215*2*H1215/1000</f>
        <v>0</v>
      </c>
      <c r="O1215" s="112">
        <f>(D1215)-N1215</f>
        <v>2.2999999999999998</v>
      </c>
      <c r="P1215" s="112">
        <f>(I1215*J1215*O1215)+L1215</f>
        <v>23</v>
      </c>
      <c r="Q1215" s="104" t="str">
        <f t="shared" ref="Q1215:Q1278" si="116">IF($H1215=8,$P1215,"")</f>
        <v/>
      </c>
      <c r="R1215" s="104" t="str">
        <f t="shared" ref="R1215:R1278" si="117">IF($H1215=10,$P1215,"")</f>
        <v/>
      </c>
      <c r="S1215" s="104" t="str">
        <f t="shared" ref="S1215:S1278" si="118">IF($H1215=12,$P1215,"")</f>
        <v/>
      </c>
      <c r="T1215" s="104" t="str">
        <f t="shared" ref="T1215:T1278" si="119">IF($H1215=16,$P1215,"")</f>
        <v/>
      </c>
      <c r="U1215" s="104" t="str">
        <f t="shared" ref="U1215:U1278" si="120">IF($H1215=20,$P1215,"")</f>
        <v/>
      </c>
      <c r="V1215" s="104">
        <f t="shared" ref="V1215:V1278" si="121">IF($H1215=25,$P1215,"")</f>
        <v>23</v>
      </c>
      <c r="W1215" s="105"/>
    </row>
    <row r="1216" spans="1:23">
      <c r="A1216" s="92"/>
      <c r="B1216" s="121" t="s">
        <v>311</v>
      </c>
      <c r="C1216" s="107"/>
      <c r="D1216" s="389"/>
      <c r="E1216" s="389"/>
      <c r="F1216" s="118"/>
      <c r="G1216" s="108"/>
      <c r="H1216" s="98"/>
      <c r="I1216" s="99"/>
      <c r="J1216" s="101"/>
      <c r="K1216" s="109"/>
      <c r="L1216" s="110"/>
      <c r="M1216" s="111"/>
      <c r="N1216" s="99"/>
      <c r="O1216" s="112"/>
      <c r="P1216" s="112"/>
      <c r="Q1216" s="104" t="str">
        <f t="shared" si="116"/>
        <v/>
      </c>
      <c r="R1216" s="104" t="str">
        <f t="shared" si="117"/>
        <v/>
      </c>
      <c r="S1216" s="104" t="str">
        <f t="shared" si="118"/>
        <v/>
      </c>
      <c r="T1216" s="104" t="str">
        <f t="shared" si="119"/>
        <v/>
      </c>
      <c r="U1216" s="104" t="str">
        <f t="shared" si="120"/>
        <v/>
      </c>
      <c r="V1216" s="104" t="str">
        <f t="shared" si="121"/>
        <v/>
      </c>
      <c r="W1216" s="105"/>
    </row>
    <row r="1217" spans="1:23">
      <c r="A1217" s="92"/>
      <c r="B1217" s="121"/>
      <c r="C1217" s="107"/>
      <c r="D1217" s="389"/>
      <c r="E1217" s="389"/>
      <c r="F1217" s="118"/>
      <c r="G1217" s="108"/>
      <c r="H1217" s="98"/>
      <c r="I1217" s="99"/>
      <c r="J1217" s="101"/>
      <c r="K1217" s="109"/>
      <c r="L1217" s="110"/>
      <c r="M1217" s="111"/>
      <c r="N1217" s="99"/>
      <c r="O1217" s="112"/>
      <c r="P1217" s="112"/>
      <c r="Q1217" s="104" t="str">
        <f t="shared" si="116"/>
        <v/>
      </c>
      <c r="R1217" s="104" t="str">
        <f t="shared" si="117"/>
        <v/>
      </c>
      <c r="S1217" s="104" t="str">
        <f t="shared" si="118"/>
        <v/>
      </c>
      <c r="T1217" s="104" t="str">
        <f t="shared" si="119"/>
        <v/>
      </c>
      <c r="U1217" s="104" t="str">
        <f t="shared" si="120"/>
        <v/>
      </c>
      <c r="V1217" s="104" t="str">
        <f t="shared" si="121"/>
        <v/>
      </c>
      <c r="W1217" s="105"/>
    </row>
    <row r="1218" spans="1:23" ht="15" customHeight="1">
      <c r="A1218" s="92">
        <v>88</v>
      </c>
      <c r="B1218" s="121" t="s">
        <v>427</v>
      </c>
      <c r="C1218" s="122"/>
      <c r="D1218" s="798">
        <f>0.8+0.6+0.8</f>
        <v>2.2000000000000002</v>
      </c>
      <c r="E1218" s="798"/>
      <c r="F1218" s="118"/>
      <c r="G1218" s="108">
        <v>0.25</v>
      </c>
      <c r="H1218" s="98">
        <v>16</v>
      </c>
      <c r="I1218" s="99">
        <v>1</v>
      </c>
      <c r="J1218" s="101">
        <f>ROUND(D1215/G1218+1,0)</f>
        <v>10</v>
      </c>
      <c r="K1218" s="109">
        <f>D1218</f>
        <v>2.2000000000000002</v>
      </c>
      <c r="L1218" s="110" t="str">
        <f>IF(O1218&lt;12,"0",0.049*H1218)</f>
        <v>0</v>
      </c>
      <c r="M1218" s="111">
        <v>0</v>
      </c>
      <c r="N1218" s="99">
        <f>M1218*2*H1218/1000</f>
        <v>0</v>
      </c>
      <c r="O1218" s="112">
        <f>(D1218)-N1218</f>
        <v>2.2000000000000002</v>
      </c>
      <c r="P1218" s="112">
        <f>(I1218*J1218*O1218)+L1218</f>
        <v>22</v>
      </c>
      <c r="Q1218" s="104" t="str">
        <f t="shared" si="116"/>
        <v/>
      </c>
      <c r="R1218" s="104" t="str">
        <f t="shared" si="117"/>
        <v/>
      </c>
      <c r="S1218" s="104" t="str">
        <f t="shared" si="118"/>
        <v/>
      </c>
      <c r="T1218" s="104">
        <f t="shared" si="119"/>
        <v>22</v>
      </c>
      <c r="U1218" s="104" t="str">
        <f t="shared" si="120"/>
        <v/>
      </c>
      <c r="V1218" s="104" t="str">
        <f t="shared" si="121"/>
        <v/>
      </c>
      <c r="W1218" s="105"/>
    </row>
    <row r="1219" spans="1:23">
      <c r="A1219" s="92"/>
      <c r="B1219" s="121" t="s">
        <v>311</v>
      </c>
      <c r="C1219" s="107"/>
      <c r="D1219" s="389"/>
      <c r="E1219" s="389"/>
      <c r="F1219" s="118"/>
      <c r="G1219" s="108"/>
      <c r="H1219" s="98"/>
      <c r="I1219" s="99"/>
      <c r="J1219" s="101"/>
      <c r="K1219" s="109"/>
      <c r="L1219" s="110"/>
      <c r="M1219" s="111"/>
      <c r="N1219" s="99"/>
      <c r="O1219" s="112"/>
      <c r="P1219" s="112"/>
      <c r="Q1219" s="104" t="str">
        <f t="shared" si="116"/>
        <v/>
      </c>
      <c r="R1219" s="104" t="str">
        <f t="shared" si="117"/>
        <v/>
      </c>
      <c r="S1219" s="104" t="str">
        <f t="shared" si="118"/>
        <v/>
      </c>
      <c r="T1219" s="104" t="str">
        <f t="shared" si="119"/>
        <v/>
      </c>
      <c r="U1219" s="104" t="str">
        <f t="shared" si="120"/>
        <v/>
      </c>
      <c r="V1219" s="104" t="str">
        <f t="shared" si="121"/>
        <v/>
      </c>
      <c r="W1219" s="105"/>
    </row>
    <row r="1220" spans="1:23">
      <c r="A1220" s="92"/>
      <c r="B1220" s="121"/>
      <c r="C1220" s="107"/>
      <c r="D1220" s="389"/>
      <c r="E1220" s="389"/>
      <c r="F1220" s="118"/>
      <c r="G1220" s="108"/>
      <c r="H1220" s="98"/>
      <c r="I1220" s="99"/>
      <c r="J1220" s="101"/>
      <c r="K1220" s="109"/>
      <c r="L1220" s="110"/>
      <c r="M1220" s="111"/>
      <c r="N1220" s="99"/>
      <c r="O1220" s="112"/>
      <c r="P1220" s="112"/>
      <c r="Q1220" s="104" t="str">
        <f t="shared" si="116"/>
        <v/>
      </c>
      <c r="R1220" s="104" t="str">
        <f t="shared" si="117"/>
        <v/>
      </c>
      <c r="S1220" s="104" t="str">
        <f t="shared" si="118"/>
        <v/>
      </c>
      <c r="T1220" s="104" t="str">
        <f t="shared" si="119"/>
        <v/>
      </c>
      <c r="U1220" s="104" t="str">
        <f t="shared" si="120"/>
        <v/>
      </c>
      <c r="V1220" s="104" t="str">
        <f t="shared" si="121"/>
        <v/>
      </c>
      <c r="W1220" s="105"/>
    </row>
    <row r="1221" spans="1:23" ht="15" customHeight="1">
      <c r="A1221" s="92">
        <v>89</v>
      </c>
      <c r="B1221" s="121" t="s">
        <v>426</v>
      </c>
      <c r="C1221" s="122"/>
      <c r="D1221" s="798">
        <f>1+0.3+1</f>
        <v>2.2999999999999998</v>
      </c>
      <c r="E1221" s="798"/>
      <c r="F1221" s="118"/>
      <c r="G1221" s="108">
        <v>0.25</v>
      </c>
      <c r="H1221" s="98">
        <v>25</v>
      </c>
      <c r="I1221" s="99">
        <v>1</v>
      </c>
      <c r="J1221" s="101">
        <f>ROUND(D1224/G1221+1,0)</f>
        <v>10</v>
      </c>
      <c r="K1221" s="109">
        <f>D1221</f>
        <v>2.2999999999999998</v>
      </c>
      <c r="L1221" s="110" t="str">
        <f>IF(O1221&lt;12,"0",0.049*H1221)</f>
        <v>0</v>
      </c>
      <c r="M1221" s="111">
        <v>0</v>
      </c>
      <c r="N1221" s="99">
        <f>M1221*2*H1221/1000</f>
        <v>0</v>
      </c>
      <c r="O1221" s="112">
        <f>(D1221)-N1221</f>
        <v>2.2999999999999998</v>
      </c>
      <c r="P1221" s="112">
        <f>(I1221*J1221*O1221)+L1221</f>
        <v>23</v>
      </c>
      <c r="Q1221" s="104" t="str">
        <f t="shared" si="116"/>
        <v/>
      </c>
      <c r="R1221" s="104" t="str">
        <f t="shared" si="117"/>
        <v/>
      </c>
      <c r="S1221" s="104" t="str">
        <f t="shared" si="118"/>
        <v/>
      </c>
      <c r="T1221" s="104" t="str">
        <f t="shared" si="119"/>
        <v/>
      </c>
      <c r="U1221" s="104" t="str">
        <f t="shared" si="120"/>
        <v/>
      </c>
      <c r="V1221" s="104">
        <f t="shared" si="121"/>
        <v>23</v>
      </c>
      <c r="W1221" s="105"/>
    </row>
    <row r="1222" spans="1:23">
      <c r="A1222" s="92"/>
      <c r="B1222" s="121" t="s">
        <v>312</v>
      </c>
      <c r="C1222" s="107"/>
      <c r="D1222" s="389"/>
      <c r="E1222" s="389"/>
      <c r="F1222" s="118"/>
      <c r="G1222" s="108"/>
      <c r="H1222" s="98"/>
      <c r="I1222" s="99"/>
      <c r="J1222" s="101"/>
      <c r="K1222" s="109"/>
      <c r="L1222" s="110"/>
      <c r="M1222" s="111"/>
      <c r="N1222" s="99"/>
      <c r="O1222" s="112"/>
      <c r="P1222" s="112"/>
      <c r="Q1222" s="104" t="str">
        <f t="shared" si="116"/>
        <v/>
      </c>
      <c r="R1222" s="104" t="str">
        <f t="shared" si="117"/>
        <v/>
      </c>
      <c r="S1222" s="104" t="str">
        <f t="shared" si="118"/>
        <v/>
      </c>
      <c r="T1222" s="104" t="str">
        <f t="shared" si="119"/>
        <v/>
      </c>
      <c r="U1222" s="104" t="str">
        <f t="shared" si="120"/>
        <v/>
      </c>
      <c r="V1222" s="104" t="str">
        <f t="shared" si="121"/>
        <v/>
      </c>
      <c r="W1222" s="105"/>
    </row>
    <row r="1223" spans="1:23">
      <c r="A1223" s="92"/>
      <c r="B1223" s="121"/>
      <c r="C1223" s="107"/>
      <c r="D1223" s="389"/>
      <c r="E1223" s="389"/>
      <c r="F1223" s="118"/>
      <c r="G1223" s="108"/>
      <c r="H1223" s="98"/>
      <c r="I1223" s="99"/>
      <c r="J1223" s="101"/>
      <c r="K1223" s="109"/>
      <c r="L1223" s="110"/>
      <c r="M1223" s="111"/>
      <c r="N1223" s="99"/>
      <c r="O1223" s="112"/>
      <c r="P1223" s="112"/>
      <c r="Q1223" s="104" t="str">
        <f t="shared" si="116"/>
        <v/>
      </c>
      <c r="R1223" s="104" t="str">
        <f t="shared" si="117"/>
        <v/>
      </c>
      <c r="S1223" s="104" t="str">
        <f t="shared" si="118"/>
        <v/>
      </c>
      <c r="T1223" s="104" t="str">
        <f t="shared" si="119"/>
        <v/>
      </c>
      <c r="U1223" s="104" t="str">
        <f t="shared" si="120"/>
        <v/>
      </c>
      <c r="V1223" s="104" t="str">
        <f t="shared" si="121"/>
        <v/>
      </c>
      <c r="W1223" s="105"/>
    </row>
    <row r="1224" spans="1:23" ht="15" customHeight="1">
      <c r="A1224" s="92">
        <v>90</v>
      </c>
      <c r="B1224" s="121" t="s">
        <v>427</v>
      </c>
      <c r="C1224" s="122"/>
      <c r="D1224" s="798">
        <f>0.8+0.6+0.8</f>
        <v>2.2000000000000002</v>
      </c>
      <c r="E1224" s="798"/>
      <c r="F1224" s="118"/>
      <c r="G1224" s="108">
        <v>0.25</v>
      </c>
      <c r="H1224" s="98">
        <v>16</v>
      </c>
      <c r="I1224" s="99">
        <v>1</v>
      </c>
      <c r="J1224" s="101">
        <f>ROUND(D1221/G1224+1,0)</f>
        <v>10</v>
      </c>
      <c r="K1224" s="109">
        <f>D1224</f>
        <v>2.2000000000000002</v>
      </c>
      <c r="L1224" s="110" t="str">
        <f>IF(O1224&lt;12,"0",0.049*H1224)</f>
        <v>0</v>
      </c>
      <c r="M1224" s="111">
        <v>0</v>
      </c>
      <c r="N1224" s="99">
        <f>M1224*2*H1224/1000</f>
        <v>0</v>
      </c>
      <c r="O1224" s="112">
        <f>(D1224)-N1224</f>
        <v>2.2000000000000002</v>
      </c>
      <c r="P1224" s="112">
        <f>(I1224*J1224*O1224)+L1224</f>
        <v>22</v>
      </c>
      <c r="Q1224" s="104" t="str">
        <f t="shared" si="116"/>
        <v/>
      </c>
      <c r="R1224" s="104" t="str">
        <f t="shared" si="117"/>
        <v/>
      </c>
      <c r="S1224" s="104" t="str">
        <f t="shared" si="118"/>
        <v/>
      </c>
      <c r="T1224" s="104">
        <f t="shared" si="119"/>
        <v>22</v>
      </c>
      <c r="U1224" s="104" t="str">
        <f t="shared" si="120"/>
        <v/>
      </c>
      <c r="V1224" s="104" t="str">
        <f t="shared" si="121"/>
        <v/>
      </c>
      <c r="W1224" s="105"/>
    </row>
    <row r="1225" spans="1:23">
      <c r="A1225" s="92"/>
      <c r="B1225" s="121" t="s">
        <v>312</v>
      </c>
      <c r="C1225" s="107"/>
      <c r="D1225" s="389"/>
      <c r="E1225" s="389"/>
      <c r="F1225" s="118"/>
      <c r="G1225" s="108"/>
      <c r="H1225" s="98"/>
      <c r="I1225" s="99"/>
      <c r="J1225" s="101"/>
      <c r="K1225" s="109"/>
      <c r="L1225" s="110"/>
      <c r="M1225" s="111"/>
      <c r="N1225" s="99"/>
      <c r="O1225" s="112"/>
      <c r="P1225" s="112"/>
      <c r="Q1225" s="104" t="str">
        <f t="shared" si="116"/>
        <v/>
      </c>
      <c r="R1225" s="104" t="str">
        <f t="shared" si="117"/>
        <v/>
      </c>
      <c r="S1225" s="104" t="str">
        <f t="shared" si="118"/>
        <v/>
      </c>
      <c r="T1225" s="104" t="str">
        <f t="shared" si="119"/>
        <v/>
      </c>
      <c r="U1225" s="104" t="str">
        <f t="shared" si="120"/>
        <v/>
      </c>
      <c r="V1225" s="104" t="str">
        <f t="shared" si="121"/>
        <v/>
      </c>
      <c r="W1225" s="105"/>
    </row>
    <row r="1226" spans="1:23">
      <c r="A1226" s="92"/>
      <c r="B1226" s="121"/>
      <c r="C1226" s="107"/>
      <c r="D1226" s="389"/>
      <c r="E1226" s="389"/>
      <c r="F1226" s="118"/>
      <c r="G1226" s="108"/>
      <c r="H1226" s="98"/>
      <c r="I1226" s="99"/>
      <c r="J1226" s="101"/>
      <c r="K1226" s="109"/>
      <c r="L1226" s="110"/>
      <c r="M1226" s="111"/>
      <c r="N1226" s="99"/>
      <c r="O1226" s="112"/>
      <c r="P1226" s="112"/>
      <c r="Q1226" s="104" t="str">
        <f t="shared" si="116"/>
        <v/>
      </c>
      <c r="R1226" s="104" t="str">
        <f t="shared" si="117"/>
        <v/>
      </c>
      <c r="S1226" s="104" t="str">
        <f t="shared" si="118"/>
        <v/>
      </c>
      <c r="T1226" s="104" t="str">
        <f t="shared" si="119"/>
        <v/>
      </c>
      <c r="U1226" s="104" t="str">
        <f t="shared" si="120"/>
        <v/>
      </c>
      <c r="V1226" s="104" t="str">
        <f t="shared" si="121"/>
        <v/>
      </c>
      <c r="W1226" s="105"/>
    </row>
    <row r="1227" spans="1:23" ht="15" customHeight="1">
      <c r="A1227" s="92">
        <v>91</v>
      </c>
      <c r="B1227" s="121" t="s">
        <v>426</v>
      </c>
      <c r="C1227" s="122"/>
      <c r="D1227" s="798">
        <f>1.25+0.75+1.25</f>
        <v>3.25</v>
      </c>
      <c r="E1227" s="798"/>
      <c r="F1227" s="118"/>
      <c r="G1227" s="108">
        <v>0.25</v>
      </c>
      <c r="H1227" s="98">
        <v>25</v>
      </c>
      <c r="I1227" s="99">
        <v>1</v>
      </c>
      <c r="J1227" s="101">
        <f>ROUND(D1230/G1227+1,0)</f>
        <v>12</v>
      </c>
      <c r="K1227" s="109">
        <f>D1227</f>
        <v>3.25</v>
      </c>
      <c r="L1227" s="110" t="str">
        <f>IF(O1227&lt;12,"0",0.049*H1227)</f>
        <v>0</v>
      </c>
      <c r="M1227" s="111">
        <v>0</v>
      </c>
      <c r="N1227" s="99">
        <f>M1227*2*H1227/1000</f>
        <v>0</v>
      </c>
      <c r="O1227" s="112">
        <f>(D1227)-N1227</f>
        <v>3.25</v>
      </c>
      <c r="P1227" s="112">
        <f>(I1227*J1227*O1227)+L1227</f>
        <v>39</v>
      </c>
      <c r="Q1227" s="104" t="str">
        <f t="shared" si="116"/>
        <v/>
      </c>
      <c r="R1227" s="104" t="str">
        <f t="shared" si="117"/>
        <v/>
      </c>
      <c r="S1227" s="104" t="str">
        <f t="shared" si="118"/>
        <v/>
      </c>
      <c r="T1227" s="104" t="str">
        <f t="shared" si="119"/>
        <v/>
      </c>
      <c r="U1227" s="104" t="str">
        <f t="shared" si="120"/>
        <v/>
      </c>
      <c r="V1227" s="104">
        <f t="shared" si="121"/>
        <v>39</v>
      </c>
      <c r="W1227" s="105"/>
    </row>
    <row r="1228" spans="1:23">
      <c r="A1228" s="92"/>
      <c r="B1228" s="121" t="s">
        <v>313</v>
      </c>
      <c r="C1228" s="107"/>
      <c r="D1228" s="389"/>
      <c r="E1228" s="389"/>
      <c r="F1228" s="118"/>
      <c r="G1228" s="108"/>
      <c r="H1228" s="98"/>
      <c r="I1228" s="99"/>
      <c r="J1228" s="101"/>
      <c r="K1228" s="109"/>
      <c r="L1228" s="110"/>
      <c r="M1228" s="111"/>
      <c r="N1228" s="99"/>
      <c r="O1228" s="112"/>
      <c r="P1228" s="112"/>
      <c r="Q1228" s="104" t="str">
        <f t="shared" si="116"/>
        <v/>
      </c>
      <c r="R1228" s="104" t="str">
        <f t="shared" si="117"/>
        <v/>
      </c>
      <c r="S1228" s="104" t="str">
        <f t="shared" si="118"/>
        <v/>
      </c>
      <c r="T1228" s="104" t="str">
        <f t="shared" si="119"/>
        <v/>
      </c>
      <c r="U1228" s="104" t="str">
        <f t="shared" si="120"/>
        <v/>
      </c>
      <c r="V1228" s="104" t="str">
        <f t="shared" si="121"/>
        <v/>
      </c>
      <c r="W1228" s="105"/>
    </row>
    <row r="1229" spans="1:23">
      <c r="A1229" s="92"/>
      <c r="B1229" s="121"/>
      <c r="C1229" s="107"/>
      <c r="D1229" s="389"/>
      <c r="E1229" s="389"/>
      <c r="F1229" s="118"/>
      <c r="G1229" s="108"/>
      <c r="H1229" s="98"/>
      <c r="I1229" s="99"/>
      <c r="J1229" s="101"/>
      <c r="K1229" s="109"/>
      <c r="L1229" s="110"/>
      <c r="M1229" s="111"/>
      <c r="N1229" s="99"/>
      <c r="O1229" s="112"/>
      <c r="P1229" s="112"/>
      <c r="Q1229" s="104" t="str">
        <f t="shared" si="116"/>
        <v/>
      </c>
      <c r="R1229" s="104" t="str">
        <f t="shared" si="117"/>
        <v/>
      </c>
      <c r="S1229" s="104" t="str">
        <f t="shared" si="118"/>
        <v/>
      </c>
      <c r="T1229" s="104" t="str">
        <f t="shared" si="119"/>
        <v/>
      </c>
      <c r="U1229" s="104" t="str">
        <f t="shared" si="120"/>
        <v/>
      </c>
      <c r="V1229" s="104" t="str">
        <f t="shared" si="121"/>
        <v/>
      </c>
      <c r="W1229" s="105"/>
    </row>
    <row r="1230" spans="1:23" ht="15" customHeight="1">
      <c r="A1230" s="92">
        <v>92</v>
      </c>
      <c r="B1230" s="121" t="s">
        <v>427</v>
      </c>
      <c r="C1230" s="122"/>
      <c r="D1230" s="798">
        <f>1.25+0.3+1.25</f>
        <v>2.8</v>
      </c>
      <c r="E1230" s="798"/>
      <c r="F1230" s="118"/>
      <c r="G1230" s="108">
        <v>0.25</v>
      </c>
      <c r="H1230" s="98">
        <v>25</v>
      </c>
      <c r="I1230" s="99">
        <v>1</v>
      </c>
      <c r="J1230" s="101">
        <f>ROUND(D1227/G1230+1,0)</f>
        <v>14</v>
      </c>
      <c r="K1230" s="109">
        <f>D1230</f>
        <v>2.8</v>
      </c>
      <c r="L1230" s="110" t="str">
        <f>IF(O1230&lt;12,"0",0.049*H1230)</f>
        <v>0</v>
      </c>
      <c r="M1230" s="111">
        <v>0</v>
      </c>
      <c r="N1230" s="99">
        <f>M1230*2*H1230/1000</f>
        <v>0</v>
      </c>
      <c r="O1230" s="112">
        <f>(D1230)-N1230</f>
        <v>2.8</v>
      </c>
      <c r="P1230" s="112">
        <f>(I1230*J1230*O1230)+L1230</f>
        <v>39.199999999999996</v>
      </c>
      <c r="Q1230" s="104" t="str">
        <f t="shared" si="116"/>
        <v/>
      </c>
      <c r="R1230" s="104" t="str">
        <f t="shared" si="117"/>
        <v/>
      </c>
      <c r="S1230" s="104" t="str">
        <f t="shared" si="118"/>
        <v/>
      </c>
      <c r="T1230" s="104" t="str">
        <f t="shared" si="119"/>
        <v/>
      </c>
      <c r="U1230" s="104" t="str">
        <f t="shared" si="120"/>
        <v/>
      </c>
      <c r="V1230" s="104">
        <f t="shared" si="121"/>
        <v>39.199999999999996</v>
      </c>
      <c r="W1230" s="105"/>
    </row>
    <row r="1231" spans="1:23">
      <c r="A1231" s="92"/>
      <c r="B1231" s="121" t="s">
        <v>313</v>
      </c>
      <c r="C1231" s="107"/>
      <c r="D1231" s="389"/>
      <c r="E1231" s="389"/>
      <c r="F1231" s="118"/>
      <c r="G1231" s="108"/>
      <c r="H1231" s="98"/>
      <c r="I1231" s="99"/>
      <c r="J1231" s="101"/>
      <c r="K1231" s="109"/>
      <c r="L1231" s="110"/>
      <c r="M1231" s="111"/>
      <c r="N1231" s="99"/>
      <c r="O1231" s="112"/>
      <c r="P1231" s="112"/>
      <c r="Q1231" s="104" t="str">
        <f t="shared" si="116"/>
        <v/>
      </c>
      <c r="R1231" s="104" t="str">
        <f t="shared" si="117"/>
        <v/>
      </c>
      <c r="S1231" s="104" t="str">
        <f t="shared" si="118"/>
        <v/>
      </c>
      <c r="T1231" s="104" t="str">
        <f t="shared" si="119"/>
        <v/>
      </c>
      <c r="U1231" s="104" t="str">
        <f t="shared" si="120"/>
        <v/>
      </c>
      <c r="V1231" s="104" t="str">
        <f t="shared" si="121"/>
        <v/>
      </c>
      <c r="W1231" s="105"/>
    </row>
    <row r="1232" spans="1:23">
      <c r="A1232" s="92"/>
      <c r="B1232" s="121"/>
      <c r="C1232" s="107"/>
      <c r="D1232" s="389"/>
      <c r="E1232" s="389"/>
      <c r="F1232" s="118"/>
      <c r="G1232" s="108"/>
      <c r="H1232" s="98"/>
      <c r="I1232" s="99"/>
      <c r="J1232" s="101"/>
      <c r="K1232" s="109"/>
      <c r="L1232" s="110"/>
      <c r="M1232" s="111"/>
      <c r="N1232" s="99"/>
      <c r="O1232" s="112"/>
      <c r="P1232" s="112"/>
      <c r="Q1232" s="104" t="str">
        <f t="shared" si="116"/>
        <v/>
      </c>
      <c r="R1232" s="104" t="str">
        <f t="shared" si="117"/>
        <v/>
      </c>
      <c r="S1232" s="104" t="str">
        <f t="shared" si="118"/>
        <v/>
      </c>
      <c r="T1232" s="104" t="str">
        <f t="shared" si="119"/>
        <v/>
      </c>
      <c r="U1232" s="104" t="str">
        <f t="shared" si="120"/>
        <v/>
      </c>
      <c r="V1232" s="104" t="str">
        <f t="shared" si="121"/>
        <v/>
      </c>
      <c r="W1232" s="105"/>
    </row>
    <row r="1233" spans="1:23" ht="15" customHeight="1">
      <c r="A1233" s="92">
        <v>91</v>
      </c>
      <c r="B1233" s="121" t="s">
        <v>426</v>
      </c>
      <c r="C1233" s="122"/>
      <c r="D1233" s="798">
        <f>1.25+0.75+1.25</f>
        <v>3.25</v>
      </c>
      <c r="E1233" s="798"/>
      <c r="F1233" s="118"/>
      <c r="G1233" s="108">
        <v>0.25</v>
      </c>
      <c r="H1233" s="98">
        <v>25</v>
      </c>
      <c r="I1233" s="99">
        <v>1</v>
      </c>
      <c r="J1233" s="101">
        <f>ROUND(D1236/G1233+1,0)</f>
        <v>12</v>
      </c>
      <c r="K1233" s="109">
        <f>D1233</f>
        <v>3.25</v>
      </c>
      <c r="L1233" s="110" t="str">
        <f>IF(O1233&lt;12,"0",0.049*H1233)</f>
        <v>0</v>
      </c>
      <c r="M1233" s="111">
        <v>0</v>
      </c>
      <c r="N1233" s="99">
        <f>M1233*2*H1233/1000</f>
        <v>0</v>
      </c>
      <c r="O1233" s="112">
        <f>(D1233)-N1233</f>
        <v>3.25</v>
      </c>
      <c r="P1233" s="112">
        <f>(I1233*J1233*O1233)+L1233</f>
        <v>39</v>
      </c>
      <c r="Q1233" s="104" t="str">
        <f t="shared" si="116"/>
        <v/>
      </c>
      <c r="R1233" s="104" t="str">
        <f t="shared" si="117"/>
        <v/>
      </c>
      <c r="S1233" s="104" t="str">
        <f t="shared" si="118"/>
        <v/>
      </c>
      <c r="T1233" s="104" t="str">
        <f t="shared" si="119"/>
        <v/>
      </c>
      <c r="U1233" s="104" t="str">
        <f t="shared" si="120"/>
        <v/>
      </c>
      <c r="V1233" s="104">
        <f t="shared" si="121"/>
        <v>39</v>
      </c>
      <c r="W1233" s="105"/>
    </row>
    <row r="1234" spans="1:23">
      <c r="A1234" s="92"/>
      <c r="B1234" s="121" t="s">
        <v>314</v>
      </c>
      <c r="C1234" s="107"/>
      <c r="D1234" s="389"/>
      <c r="E1234" s="389"/>
      <c r="F1234" s="118"/>
      <c r="G1234" s="108"/>
      <c r="H1234" s="98"/>
      <c r="I1234" s="99"/>
      <c r="J1234" s="101"/>
      <c r="K1234" s="109"/>
      <c r="L1234" s="110"/>
      <c r="M1234" s="111"/>
      <c r="N1234" s="99"/>
      <c r="O1234" s="112"/>
      <c r="P1234" s="112"/>
      <c r="Q1234" s="104" t="str">
        <f t="shared" si="116"/>
        <v/>
      </c>
      <c r="R1234" s="104" t="str">
        <f t="shared" si="117"/>
        <v/>
      </c>
      <c r="S1234" s="104" t="str">
        <f t="shared" si="118"/>
        <v/>
      </c>
      <c r="T1234" s="104" t="str">
        <f t="shared" si="119"/>
        <v/>
      </c>
      <c r="U1234" s="104" t="str">
        <f t="shared" si="120"/>
        <v/>
      </c>
      <c r="V1234" s="104" t="str">
        <f t="shared" si="121"/>
        <v/>
      </c>
      <c r="W1234" s="105"/>
    </row>
    <row r="1235" spans="1:23">
      <c r="A1235" s="92"/>
      <c r="B1235" s="121"/>
      <c r="C1235" s="107"/>
      <c r="D1235" s="389"/>
      <c r="E1235" s="389"/>
      <c r="F1235" s="118"/>
      <c r="G1235" s="108"/>
      <c r="H1235" s="98"/>
      <c r="I1235" s="99"/>
      <c r="J1235" s="101"/>
      <c r="K1235" s="109"/>
      <c r="L1235" s="110"/>
      <c r="M1235" s="111"/>
      <c r="N1235" s="99"/>
      <c r="O1235" s="112"/>
      <c r="P1235" s="112"/>
      <c r="Q1235" s="104" t="str">
        <f t="shared" si="116"/>
        <v/>
      </c>
      <c r="R1235" s="104" t="str">
        <f t="shared" si="117"/>
        <v/>
      </c>
      <c r="S1235" s="104" t="str">
        <f t="shared" si="118"/>
        <v/>
      </c>
      <c r="T1235" s="104" t="str">
        <f t="shared" si="119"/>
        <v/>
      </c>
      <c r="U1235" s="104" t="str">
        <f t="shared" si="120"/>
        <v/>
      </c>
      <c r="V1235" s="104" t="str">
        <f t="shared" si="121"/>
        <v/>
      </c>
      <c r="W1235" s="105"/>
    </row>
    <row r="1236" spans="1:23" ht="15" customHeight="1">
      <c r="A1236" s="92">
        <v>92</v>
      </c>
      <c r="B1236" s="121" t="s">
        <v>427</v>
      </c>
      <c r="C1236" s="122"/>
      <c r="D1236" s="798">
        <f>1.25+0.3+1.25</f>
        <v>2.8</v>
      </c>
      <c r="E1236" s="798"/>
      <c r="F1236" s="118"/>
      <c r="G1236" s="108">
        <v>0.25</v>
      </c>
      <c r="H1236" s="98">
        <v>20</v>
      </c>
      <c r="I1236" s="99">
        <v>1</v>
      </c>
      <c r="J1236" s="101">
        <f>ROUND(D1233/G1236+1,0)</f>
        <v>14</v>
      </c>
      <c r="K1236" s="109">
        <f>D1236</f>
        <v>2.8</v>
      </c>
      <c r="L1236" s="110" t="str">
        <f>IF(O1236&lt;12,"0",0.049*H1236)</f>
        <v>0</v>
      </c>
      <c r="M1236" s="111">
        <v>0</v>
      </c>
      <c r="N1236" s="99">
        <f>M1236*2*H1236/1000</f>
        <v>0</v>
      </c>
      <c r="O1236" s="112">
        <f>(D1236)-N1236</f>
        <v>2.8</v>
      </c>
      <c r="P1236" s="112">
        <f>(I1236*J1236*O1236)+L1236</f>
        <v>39.199999999999996</v>
      </c>
      <c r="Q1236" s="104" t="str">
        <f t="shared" si="116"/>
        <v/>
      </c>
      <c r="R1236" s="104" t="str">
        <f t="shared" si="117"/>
        <v/>
      </c>
      <c r="S1236" s="104" t="str">
        <f t="shared" si="118"/>
        <v/>
      </c>
      <c r="T1236" s="104" t="str">
        <f t="shared" si="119"/>
        <v/>
      </c>
      <c r="U1236" s="104">
        <f t="shared" si="120"/>
        <v>39.199999999999996</v>
      </c>
      <c r="V1236" s="104" t="str">
        <f t="shared" si="121"/>
        <v/>
      </c>
      <c r="W1236" s="105"/>
    </row>
    <row r="1237" spans="1:23">
      <c r="A1237" s="92"/>
      <c r="B1237" s="121" t="s">
        <v>314</v>
      </c>
      <c r="C1237" s="107"/>
      <c r="D1237" s="389"/>
      <c r="E1237" s="389"/>
      <c r="F1237" s="118"/>
      <c r="G1237" s="108"/>
      <c r="H1237" s="98"/>
      <c r="I1237" s="99"/>
      <c r="J1237" s="101"/>
      <c r="K1237" s="109"/>
      <c r="L1237" s="110"/>
      <c r="M1237" s="111"/>
      <c r="N1237" s="99"/>
      <c r="O1237" s="112"/>
      <c r="P1237" s="112"/>
      <c r="Q1237" s="104" t="str">
        <f t="shared" si="116"/>
        <v/>
      </c>
      <c r="R1237" s="104" t="str">
        <f t="shared" si="117"/>
        <v/>
      </c>
      <c r="S1237" s="104" t="str">
        <f t="shared" si="118"/>
        <v/>
      </c>
      <c r="T1237" s="104" t="str">
        <f t="shared" si="119"/>
        <v/>
      </c>
      <c r="U1237" s="104" t="str">
        <f t="shared" si="120"/>
        <v/>
      </c>
      <c r="V1237" s="104" t="str">
        <f t="shared" si="121"/>
        <v/>
      </c>
      <c r="W1237" s="105"/>
    </row>
    <row r="1238" spans="1:23">
      <c r="A1238" s="92"/>
      <c r="B1238" s="121"/>
      <c r="C1238" s="107"/>
      <c r="D1238" s="389"/>
      <c r="E1238" s="389"/>
      <c r="F1238" s="118"/>
      <c r="G1238" s="108"/>
      <c r="H1238" s="98"/>
      <c r="I1238" s="99"/>
      <c r="J1238" s="101"/>
      <c r="K1238" s="109"/>
      <c r="L1238" s="110"/>
      <c r="M1238" s="111"/>
      <c r="N1238" s="99"/>
      <c r="O1238" s="112"/>
      <c r="P1238" s="112"/>
      <c r="Q1238" s="104" t="str">
        <f t="shared" si="116"/>
        <v/>
      </c>
      <c r="R1238" s="104" t="str">
        <f t="shared" si="117"/>
        <v/>
      </c>
      <c r="S1238" s="104" t="str">
        <f t="shared" si="118"/>
        <v/>
      </c>
      <c r="T1238" s="104" t="str">
        <f t="shared" si="119"/>
        <v/>
      </c>
      <c r="U1238" s="104" t="str">
        <f t="shared" si="120"/>
        <v/>
      </c>
      <c r="V1238" s="104" t="str">
        <f t="shared" si="121"/>
        <v/>
      </c>
      <c r="W1238" s="105"/>
    </row>
    <row r="1239" spans="1:23" ht="15" customHeight="1">
      <c r="A1239" s="92">
        <v>93</v>
      </c>
      <c r="B1239" s="121" t="s">
        <v>427</v>
      </c>
      <c r="C1239" s="122"/>
      <c r="D1239" s="798">
        <f>1.25+0.3+1.25</f>
        <v>2.8</v>
      </c>
      <c r="E1239" s="798"/>
      <c r="F1239" s="118"/>
      <c r="G1239" s="108">
        <v>0.25</v>
      </c>
      <c r="H1239" s="98">
        <v>20</v>
      </c>
      <c r="I1239" s="99">
        <v>1</v>
      </c>
      <c r="J1239" s="101">
        <f>ROUND(D1236/G1239+1,0)</f>
        <v>12</v>
      </c>
      <c r="K1239" s="109">
        <f>D1239</f>
        <v>2.8</v>
      </c>
      <c r="L1239" s="110" t="str">
        <f>IF(O1239&lt;12,"0",0.049*H1239)</f>
        <v>0</v>
      </c>
      <c r="M1239" s="111">
        <v>0</v>
      </c>
      <c r="N1239" s="99">
        <f>M1239*2*H1239/1000</f>
        <v>0</v>
      </c>
      <c r="O1239" s="112">
        <f>(D1239)-N1239</f>
        <v>2.8</v>
      </c>
      <c r="P1239" s="112">
        <f>(I1239*J1239*O1239)+L1239</f>
        <v>33.599999999999994</v>
      </c>
      <c r="Q1239" s="104" t="str">
        <f t="shared" si="116"/>
        <v/>
      </c>
      <c r="R1239" s="104" t="str">
        <f t="shared" si="117"/>
        <v/>
      </c>
      <c r="S1239" s="104" t="str">
        <f t="shared" si="118"/>
        <v/>
      </c>
      <c r="T1239" s="104" t="str">
        <f t="shared" si="119"/>
        <v/>
      </c>
      <c r="U1239" s="104">
        <f t="shared" si="120"/>
        <v>33.599999999999994</v>
      </c>
      <c r="V1239" s="104" t="str">
        <f t="shared" si="121"/>
        <v/>
      </c>
      <c r="W1239" s="105"/>
    </row>
    <row r="1240" spans="1:23">
      <c r="A1240" s="92"/>
      <c r="B1240" s="121" t="s">
        <v>314</v>
      </c>
      <c r="C1240" s="107"/>
      <c r="D1240" s="389"/>
      <c r="E1240" s="389"/>
      <c r="F1240" s="118"/>
      <c r="G1240" s="108"/>
      <c r="H1240" s="98"/>
      <c r="I1240" s="99"/>
      <c r="J1240" s="101"/>
      <c r="K1240" s="109"/>
      <c r="L1240" s="110"/>
      <c r="M1240" s="111"/>
      <c r="N1240" s="99"/>
      <c r="O1240" s="112"/>
      <c r="P1240" s="112"/>
      <c r="Q1240" s="104" t="str">
        <f t="shared" si="116"/>
        <v/>
      </c>
      <c r="R1240" s="104" t="str">
        <f t="shared" si="117"/>
        <v/>
      </c>
      <c r="S1240" s="104" t="str">
        <f t="shared" si="118"/>
        <v/>
      </c>
      <c r="T1240" s="104" t="str">
        <f t="shared" si="119"/>
        <v/>
      </c>
      <c r="U1240" s="104" t="str">
        <f t="shared" si="120"/>
        <v/>
      </c>
      <c r="V1240" s="104" t="str">
        <f t="shared" si="121"/>
        <v/>
      </c>
      <c r="W1240" s="105"/>
    </row>
    <row r="1241" spans="1:23">
      <c r="A1241" s="92"/>
      <c r="B1241" s="121"/>
      <c r="C1241" s="107"/>
      <c r="D1241" s="389"/>
      <c r="E1241" s="389"/>
      <c r="F1241" s="118"/>
      <c r="G1241" s="108"/>
      <c r="H1241" s="98"/>
      <c r="I1241" s="99"/>
      <c r="J1241" s="101"/>
      <c r="K1241" s="109"/>
      <c r="L1241" s="110"/>
      <c r="M1241" s="111"/>
      <c r="N1241" s="99"/>
      <c r="O1241" s="112"/>
      <c r="P1241" s="112"/>
      <c r="Q1241" s="104" t="str">
        <f t="shared" si="116"/>
        <v/>
      </c>
      <c r="R1241" s="104" t="str">
        <f t="shared" si="117"/>
        <v/>
      </c>
      <c r="S1241" s="104" t="str">
        <f t="shared" si="118"/>
        <v/>
      </c>
      <c r="T1241" s="104" t="str">
        <f t="shared" si="119"/>
        <v/>
      </c>
      <c r="U1241" s="104" t="str">
        <f t="shared" si="120"/>
        <v/>
      </c>
      <c r="V1241" s="104" t="str">
        <f t="shared" si="121"/>
        <v/>
      </c>
      <c r="W1241" s="105"/>
    </row>
    <row r="1242" spans="1:23" ht="15" customHeight="1">
      <c r="A1242" s="92">
        <v>94</v>
      </c>
      <c r="B1242" s="121" t="s">
        <v>426</v>
      </c>
      <c r="C1242" s="122"/>
      <c r="D1242" s="798">
        <f>1.25+0.3+1.25</f>
        <v>2.8</v>
      </c>
      <c r="E1242" s="798"/>
      <c r="F1242" s="118"/>
      <c r="G1242" s="108">
        <v>0.25</v>
      </c>
      <c r="H1242" s="98">
        <v>25</v>
      </c>
      <c r="I1242" s="99">
        <v>1</v>
      </c>
      <c r="J1242" s="101">
        <f>ROUND(D1245/G1242+1,0)</f>
        <v>13</v>
      </c>
      <c r="K1242" s="109">
        <f>D1242</f>
        <v>2.8</v>
      </c>
      <c r="L1242" s="110" t="str">
        <f>IF(O1242&lt;12,"0",0.049*H1242)</f>
        <v>0</v>
      </c>
      <c r="M1242" s="111">
        <v>0</v>
      </c>
      <c r="N1242" s="99">
        <f>M1242*2*H1242/1000</f>
        <v>0</v>
      </c>
      <c r="O1242" s="112">
        <f>(D1242)-N1242</f>
        <v>2.8</v>
      </c>
      <c r="P1242" s="112">
        <f>(I1242*J1242*O1242)+L1242</f>
        <v>36.4</v>
      </c>
      <c r="Q1242" s="104" t="str">
        <f t="shared" si="116"/>
        <v/>
      </c>
      <c r="R1242" s="104" t="str">
        <f t="shared" si="117"/>
        <v/>
      </c>
      <c r="S1242" s="104" t="str">
        <f t="shared" si="118"/>
        <v/>
      </c>
      <c r="T1242" s="104" t="str">
        <f t="shared" si="119"/>
        <v/>
      </c>
      <c r="U1242" s="104" t="str">
        <f t="shared" si="120"/>
        <v/>
      </c>
      <c r="V1242" s="104">
        <f t="shared" si="121"/>
        <v>36.4</v>
      </c>
      <c r="W1242" s="105"/>
    </row>
    <row r="1243" spans="1:23">
      <c r="A1243" s="92"/>
      <c r="B1243" s="121" t="s">
        <v>315</v>
      </c>
      <c r="C1243" s="107"/>
      <c r="D1243" s="389"/>
      <c r="E1243" s="389"/>
      <c r="F1243" s="118"/>
      <c r="G1243" s="108"/>
      <c r="H1243" s="98"/>
      <c r="I1243" s="99"/>
      <c r="J1243" s="101"/>
      <c r="K1243" s="109"/>
      <c r="L1243" s="110"/>
      <c r="M1243" s="111"/>
      <c r="N1243" s="99"/>
      <c r="O1243" s="112"/>
      <c r="P1243" s="112"/>
      <c r="Q1243" s="104" t="str">
        <f t="shared" si="116"/>
        <v/>
      </c>
      <c r="R1243" s="104" t="str">
        <f t="shared" si="117"/>
        <v/>
      </c>
      <c r="S1243" s="104" t="str">
        <f t="shared" si="118"/>
        <v/>
      </c>
      <c r="T1243" s="104" t="str">
        <f t="shared" si="119"/>
        <v/>
      </c>
      <c r="U1243" s="104" t="str">
        <f t="shared" si="120"/>
        <v/>
      </c>
      <c r="V1243" s="104" t="str">
        <f t="shared" si="121"/>
        <v/>
      </c>
      <c r="W1243" s="105"/>
    </row>
    <row r="1244" spans="1:23">
      <c r="A1244" s="92"/>
      <c r="B1244" s="121"/>
      <c r="C1244" s="107"/>
      <c r="D1244" s="389"/>
      <c r="E1244" s="389"/>
      <c r="F1244" s="118"/>
      <c r="G1244" s="108"/>
      <c r="H1244" s="98"/>
      <c r="I1244" s="99"/>
      <c r="J1244" s="101"/>
      <c r="K1244" s="109"/>
      <c r="L1244" s="110"/>
      <c r="M1244" s="111"/>
      <c r="N1244" s="99"/>
      <c r="O1244" s="112"/>
      <c r="P1244" s="112"/>
      <c r="Q1244" s="104" t="str">
        <f t="shared" si="116"/>
        <v/>
      </c>
      <c r="R1244" s="104" t="str">
        <f t="shared" si="117"/>
        <v/>
      </c>
      <c r="S1244" s="104" t="str">
        <f t="shared" si="118"/>
        <v/>
      </c>
      <c r="T1244" s="104" t="str">
        <f t="shared" si="119"/>
        <v/>
      </c>
      <c r="U1244" s="104" t="str">
        <f t="shared" si="120"/>
        <v/>
      </c>
      <c r="V1244" s="104" t="str">
        <f t="shared" si="121"/>
        <v/>
      </c>
      <c r="W1244" s="105"/>
    </row>
    <row r="1245" spans="1:23" ht="15" customHeight="1">
      <c r="A1245" s="92">
        <v>95</v>
      </c>
      <c r="B1245" s="121" t="s">
        <v>427</v>
      </c>
      <c r="C1245" s="122"/>
      <c r="D1245" s="798">
        <f>1.25+0.6+1.25</f>
        <v>3.1</v>
      </c>
      <c r="E1245" s="798"/>
      <c r="F1245" s="118"/>
      <c r="G1245" s="108">
        <v>0.25</v>
      </c>
      <c r="H1245" s="98">
        <v>25</v>
      </c>
      <c r="I1245" s="99">
        <v>1</v>
      </c>
      <c r="J1245" s="101">
        <f>ROUND(D1242/G1245+1,0)</f>
        <v>12</v>
      </c>
      <c r="K1245" s="109">
        <f>D1245</f>
        <v>3.1</v>
      </c>
      <c r="L1245" s="110" t="str">
        <f>IF(O1245&lt;12,"0",0.049*H1245)</f>
        <v>0</v>
      </c>
      <c r="M1245" s="111">
        <v>0</v>
      </c>
      <c r="N1245" s="99">
        <f>M1245*2*H1245/1000</f>
        <v>0</v>
      </c>
      <c r="O1245" s="112">
        <f>(D1245)-N1245</f>
        <v>3.1</v>
      </c>
      <c r="P1245" s="112">
        <f>(I1245*J1245*O1245)+L1245</f>
        <v>37.200000000000003</v>
      </c>
      <c r="Q1245" s="104" t="str">
        <f t="shared" si="116"/>
        <v/>
      </c>
      <c r="R1245" s="104" t="str">
        <f t="shared" si="117"/>
        <v/>
      </c>
      <c r="S1245" s="104" t="str">
        <f t="shared" si="118"/>
        <v/>
      </c>
      <c r="T1245" s="104" t="str">
        <f t="shared" si="119"/>
        <v/>
      </c>
      <c r="U1245" s="104" t="str">
        <f t="shared" si="120"/>
        <v/>
      </c>
      <c r="V1245" s="104">
        <f t="shared" si="121"/>
        <v>37.200000000000003</v>
      </c>
      <c r="W1245" s="105"/>
    </row>
    <row r="1246" spans="1:23">
      <c r="A1246" s="92"/>
      <c r="B1246" s="121" t="s">
        <v>315</v>
      </c>
      <c r="C1246" s="107"/>
      <c r="D1246" s="389"/>
      <c r="E1246" s="389"/>
      <c r="F1246" s="118"/>
      <c r="G1246" s="108"/>
      <c r="H1246" s="98"/>
      <c r="I1246" s="99"/>
      <c r="J1246" s="101"/>
      <c r="K1246" s="109"/>
      <c r="L1246" s="110"/>
      <c r="M1246" s="111"/>
      <c r="N1246" s="99"/>
      <c r="O1246" s="112"/>
      <c r="P1246" s="112"/>
      <c r="Q1246" s="104" t="str">
        <f t="shared" si="116"/>
        <v/>
      </c>
      <c r="R1246" s="104" t="str">
        <f t="shared" si="117"/>
        <v/>
      </c>
      <c r="S1246" s="104" t="str">
        <f t="shared" si="118"/>
        <v/>
      </c>
      <c r="T1246" s="104" t="str">
        <f t="shared" si="119"/>
        <v/>
      </c>
      <c r="U1246" s="104" t="str">
        <f t="shared" si="120"/>
        <v/>
      </c>
      <c r="V1246" s="104" t="str">
        <f t="shared" si="121"/>
        <v/>
      </c>
      <c r="W1246" s="105"/>
    </row>
    <row r="1247" spans="1:23">
      <c r="A1247" s="92"/>
      <c r="B1247" s="121"/>
      <c r="C1247" s="107"/>
      <c r="D1247" s="389"/>
      <c r="E1247" s="389"/>
      <c r="F1247" s="118"/>
      <c r="G1247" s="108"/>
      <c r="H1247" s="98"/>
      <c r="I1247" s="99"/>
      <c r="J1247" s="101"/>
      <c r="K1247" s="109"/>
      <c r="L1247" s="110"/>
      <c r="M1247" s="111"/>
      <c r="N1247" s="99"/>
      <c r="O1247" s="112"/>
      <c r="P1247" s="112"/>
      <c r="Q1247" s="104" t="str">
        <f t="shared" si="116"/>
        <v/>
      </c>
      <c r="R1247" s="104" t="str">
        <f t="shared" si="117"/>
        <v/>
      </c>
      <c r="S1247" s="104" t="str">
        <f t="shared" si="118"/>
        <v/>
      </c>
      <c r="T1247" s="104" t="str">
        <f t="shared" si="119"/>
        <v/>
      </c>
      <c r="U1247" s="104" t="str">
        <f t="shared" si="120"/>
        <v/>
      </c>
      <c r="V1247" s="104" t="str">
        <f t="shared" si="121"/>
        <v/>
      </c>
      <c r="W1247" s="105"/>
    </row>
    <row r="1248" spans="1:23" ht="15" customHeight="1">
      <c r="A1248" s="92">
        <v>96</v>
      </c>
      <c r="B1248" s="121" t="s">
        <v>426</v>
      </c>
      <c r="C1248" s="122"/>
      <c r="D1248" s="798">
        <f>1+0.75+1</f>
        <v>2.75</v>
      </c>
      <c r="E1248" s="798"/>
      <c r="F1248" s="118"/>
      <c r="G1248" s="108">
        <v>0.25</v>
      </c>
      <c r="H1248" s="98">
        <v>20</v>
      </c>
      <c r="I1248" s="99">
        <v>1</v>
      </c>
      <c r="J1248" s="101">
        <f>ROUND(D1251/G1248+1,0)</f>
        <v>8</v>
      </c>
      <c r="K1248" s="109">
        <f>D1248</f>
        <v>2.75</v>
      </c>
      <c r="L1248" s="110" t="str">
        <f>IF(O1248&lt;12,"0",0.049*H1248)</f>
        <v>0</v>
      </c>
      <c r="M1248" s="111">
        <v>0</v>
      </c>
      <c r="N1248" s="99">
        <f>M1248*2*H1248/1000</f>
        <v>0</v>
      </c>
      <c r="O1248" s="112">
        <f>(D1248)-N1248</f>
        <v>2.75</v>
      </c>
      <c r="P1248" s="112">
        <f>(I1248*J1248*O1248)+L1248</f>
        <v>22</v>
      </c>
      <c r="Q1248" s="104" t="str">
        <f t="shared" si="116"/>
        <v/>
      </c>
      <c r="R1248" s="104" t="str">
        <f t="shared" si="117"/>
        <v/>
      </c>
      <c r="S1248" s="104" t="str">
        <f t="shared" si="118"/>
        <v/>
      </c>
      <c r="T1248" s="104" t="str">
        <f t="shared" si="119"/>
        <v/>
      </c>
      <c r="U1248" s="104">
        <f t="shared" si="120"/>
        <v>22</v>
      </c>
      <c r="V1248" s="104" t="str">
        <f t="shared" si="121"/>
        <v/>
      </c>
      <c r="W1248" s="105"/>
    </row>
    <row r="1249" spans="1:23">
      <c r="A1249" s="92"/>
      <c r="B1249" s="121" t="s">
        <v>316</v>
      </c>
      <c r="C1249" s="107"/>
      <c r="D1249" s="389"/>
      <c r="E1249" s="389"/>
      <c r="F1249" s="118"/>
      <c r="G1249" s="108"/>
      <c r="H1249" s="98"/>
      <c r="I1249" s="99"/>
      <c r="J1249" s="101"/>
      <c r="K1249" s="109"/>
      <c r="L1249" s="110"/>
      <c r="M1249" s="111"/>
      <c r="N1249" s="99"/>
      <c r="O1249" s="112"/>
      <c r="P1249" s="112"/>
      <c r="Q1249" s="104" t="str">
        <f t="shared" si="116"/>
        <v/>
      </c>
      <c r="R1249" s="104" t="str">
        <f t="shared" si="117"/>
        <v/>
      </c>
      <c r="S1249" s="104" t="str">
        <f t="shared" si="118"/>
        <v/>
      </c>
      <c r="T1249" s="104" t="str">
        <f t="shared" si="119"/>
        <v/>
      </c>
      <c r="U1249" s="104" t="str">
        <f t="shared" si="120"/>
        <v/>
      </c>
      <c r="V1249" s="104" t="str">
        <f t="shared" si="121"/>
        <v/>
      </c>
      <c r="W1249" s="105"/>
    </row>
    <row r="1250" spans="1:23">
      <c r="A1250" s="92"/>
      <c r="B1250" s="121"/>
      <c r="C1250" s="107"/>
      <c r="D1250" s="389"/>
      <c r="E1250" s="389"/>
      <c r="F1250" s="118"/>
      <c r="G1250" s="108"/>
      <c r="H1250" s="98"/>
      <c r="I1250" s="99"/>
      <c r="J1250" s="101"/>
      <c r="K1250" s="109"/>
      <c r="L1250" s="110"/>
      <c r="M1250" s="111"/>
      <c r="N1250" s="99"/>
      <c r="O1250" s="112"/>
      <c r="P1250" s="112"/>
      <c r="Q1250" s="104" t="str">
        <f t="shared" si="116"/>
        <v/>
      </c>
      <c r="R1250" s="104" t="str">
        <f t="shared" si="117"/>
        <v/>
      </c>
      <c r="S1250" s="104" t="str">
        <f t="shared" si="118"/>
        <v/>
      </c>
      <c r="T1250" s="104" t="str">
        <f t="shared" si="119"/>
        <v/>
      </c>
      <c r="U1250" s="104" t="str">
        <f t="shared" si="120"/>
        <v/>
      </c>
      <c r="V1250" s="104" t="str">
        <f t="shared" si="121"/>
        <v/>
      </c>
      <c r="W1250" s="105"/>
    </row>
    <row r="1251" spans="1:23" ht="15" customHeight="1">
      <c r="A1251" s="92">
        <v>97</v>
      </c>
      <c r="B1251" s="121" t="s">
        <v>427</v>
      </c>
      <c r="C1251" s="122"/>
      <c r="D1251" s="798">
        <v>1.85</v>
      </c>
      <c r="E1251" s="798"/>
      <c r="F1251" s="118"/>
      <c r="G1251" s="108">
        <v>0.25</v>
      </c>
      <c r="H1251" s="98">
        <v>20</v>
      </c>
      <c r="I1251" s="99">
        <v>1</v>
      </c>
      <c r="J1251" s="101">
        <f>ROUND(D1248/G1251+1,0)</f>
        <v>12</v>
      </c>
      <c r="K1251" s="109">
        <f>D1251</f>
        <v>1.85</v>
      </c>
      <c r="L1251" s="110" t="str">
        <f>IF(O1251&lt;12,"0",0.049*H1251)</f>
        <v>0</v>
      </c>
      <c r="M1251" s="111">
        <v>0</v>
      </c>
      <c r="N1251" s="99">
        <f>M1251*2*H1251/1000</f>
        <v>0</v>
      </c>
      <c r="O1251" s="112">
        <f>(D1251)-N1251</f>
        <v>1.85</v>
      </c>
      <c r="P1251" s="112">
        <f>(I1251*J1251*O1251)+L1251</f>
        <v>22.200000000000003</v>
      </c>
      <c r="Q1251" s="104" t="str">
        <f t="shared" si="116"/>
        <v/>
      </c>
      <c r="R1251" s="104" t="str">
        <f t="shared" si="117"/>
        <v/>
      </c>
      <c r="S1251" s="104" t="str">
        <f t="shared" si="118"/>
        <v/>
      </c>
      <c r="T1251" s="104" t="str">
        <f t="shared" si="119"/>
        <v/>
      </c>
      <c r="U1251" s="104">
        <f t="shared" si="120"/>
        <v>22.200000000000003</v>
      </c>
      <c r="V1251" s="104" t="str">
        <f t="shared" si="121"/>
        <v/>
      </c>
      <c r="W1251" s="105"/>
    </row>
    <row r="1252" spans="1:23">
      <c r="A1252" s="92"/>
      <c r="B1252" s="121" t="s">
        <v>316</v>
      </c>
      <c r="C1252" s="107"/>
      <c r="D1252" s="389"/>
      <c r="E1252" s="389"/>
      <c r="F1252" s="118"/>
      <c r="G1252" s="108"/>
      <c r="H1252" s="98"/>
      <c r="I1252" s="99"/>
      <c r="J1252" s="101"/>
      <c r="K1252" s="109"/>
      <c r="L1252" s="110"/>
      <c r="M1252" s="111"/>
      <c r="N1252" s="99"/>
      <c r="O1252" s="112"/>
      <c r="P1252" s="112"/>
      <c r="Q1252" s="104" t="str">
        <f t="shared" si="116"/>
        <v/>
      </c>
      <c r="R1252" s="104" t="str">
        <f t="shared" si="117"/>
        <v/>
      </c>
      <c r="S1252" s="104" t="str">
        <f t="shared" si="118"/>
        <v/>
      </c>
      <c r="T1252" s="104" t="str">
        <f t="shared" si="119"/>
        <v/>
      </c>
      <c r="U1252" s="104" t="str">
        <f t="shared" si="120"/>
        <v/>
      </c>
      <c r="V1252" s="104" t="str">
        <f t="shared" si="121"/>
        <v/>
      </c>
      <c r="W1252" s="105"/>
    </row>
    <row r="1253" spans="1:23">
      <c r="A1253" s="92"/>
      <c r="B1253" s="121"/>
      <c r="C1253" s="107"/>
      <c r="D1253" s="389"/>
      <c r="E1253" s="389"/>
      <c r="F1253" s="118"/>
      <c r="G1253" s="108"/>
      <c r="H1253" s="98"/>
      <c r="I1253" s="99"/>
      <c r="J1253" s="101"/>
      <c r="K1253" s="109"/>
      <c r="L1253" s="110"/>
      <c r="M1253" s="111"/>
      <c r="N1253" s="99"/>
      <c r="O1253" s="112"/>
      <c r="P1253" s="112"/>
      <c r="Q1253" s="104" t="str">
        <f t="shared" si="116"/>
        <v/>
      </c>
      <c r="R1253" s="104" t="str">
        <f t="shared" si="117"/>
        <v/>
      </c>
      <c r="S1253" s="104" t="str">
        <f t="shared" si="118"/>
        <v/>
      </c>
      <c r="T1253" s="104" t="str">
        <f t="shared" si="119"/>
        <v/>
      </c>
      <c r="U1253" s="104" t="str">
        <f t="shared" si="120"/>
        <v/>
      </c>
      <c r="V1253" s="104" t="str">
        <f t="shared" si="121"/>
        <v/>
      </c>
      <c r="W1253" s="105"/>
    </row>
    <row r="1254" spans="1:23" ht="15" customHeight="1">
      <c r="A1254" s="92">
        <v>98</v>
      </c>
      <c r="B1254" s="121" t="s">
        <v>427</v>
      </c>
      <c r="C1254" s="122"/>
      <c r="D1254" s="798">
        <v>1.85</v>
      </c>
      <c r="E1254" s="798"/>
      <c r="F1254" s="118"/>
      <c r="G1254" s="108">
        <v>0.25</v>
      </c>
      <c r="H1254" s="98">
        <v>20</v>
      </c>
      <c r="I1254" s="99">
        <v>1</v>
      </c>
      <c r="J1254" s="101">
        <f>ROUND(D1251/G1254+1,0)</f>
        <v>8</v>
      </c>
      <c r="K1254" s="109">
        <f>D1254</f>
        <v>1.85</v>
      </c>
      <c r="L1254" s="110" t="str">
        <f>IF(O1254&lt;12,"0",0.049*H1254)</f>
        <v>0</v>
      </c>
      <c r="M1254" s="111">
        <v>0</v>
      </c>
      <c r="N1254" s="99">
        <f>M1254*2*H1254/1000</f>
        <v>0</v>
      </c>
      <c r="O1254" s="112">
        <f>(D1254)-N1254</f>
        <v>1.85</v>
      </c>
      <c r="P1254" s="112">
        <f>(I1254*J1254*O1254)+L1254</f>
        <v>14.8</v>
      </c>
      <c r="Q1254" s="104" t="str">
        <f t="shared" si="116"/>
        <v/>
      </c>
      <c r="R1254" s="104" t="str">
        <f t="shared" si="117"/>
        <v/>
      </c>
      <c r="S1254" s="104" t="str">
        <f t="shared" si="118"/>
        <v/>
      </c>
      <c r="T1254" s="104" t="str">
        <f t="shared" si="119"/>
        <v/>
      </c>
      <c r="U1254" s="104">
        <f t="shared" si="120"/>
        <v>14.8</v>
      </c>
      <c r="V1254" s="104" t="str">
        <f t="shared" si="121"/>
        <v/>
      </c>
      <c r="W1254" s="105"/>
    </row>
    <row r="1255" spans="1:23">
      <c r="A1255" s="92"/>
      <c r="B1255" s="121" t="s">
        <v>316</v>
      </c>
      <c r="C1255" s="107"/>
      <c r="D1255" s="389"/>
      <c r="E1255" s="389"/>
      <c r="F1255" s="118"/>
      <c r="G1255" s="108"/>
      <c r="H1255" s="98"/>
      <c r="I1255" s="99"/>
      <c r="J1255" s="101"/>
      <c r="K1255" s="109"/>
      <c r="L1255" s="110"/>
      <c r="M1255" s="111"/>
      <c r="N1255" s="99"/>
      <c r="O1255" s="112"/>
      <c r="P1255" s="112"/>
      <c r="Q1255" s="104" t="str">
        <f t="shared" si="116"/>
        <v/>
      </c>
      <c r="R1255" s="104" t="str">
        <f t="shared" si="117"/>
        <v/>
      </c>
      <c r="S1255" s="104" t="str">
        <f t="shared" si="118"/>
        <v/>
      </c>
      <c r="T1255" s="104" t="str">
        <f t="shared" si="119"/>
        <v/>
      </c>
      <c r="U1255" s="104" t="str">
        <f t="shared" si="120"/>
        <v/>
      </c>
      <c r="V1255" s="104" t="str">
        <f t="shared" si="121"/>
        <v/>
      </c>
      <c r="W1255" s="105"/>
    </row>
    <row r="1256" spans="1:23">
      <c r="A1256" s="92"/>
      <c r="B1256" s="121"/>
      <c r="C1256" s="107"/>
      <c r="D1256" s="389"/>
      <c r="E1256" s="389"/>
      <c r="F1256" s="118"/>
      <c r="G1256" s="108"/>
      <c r="H1256" s="98"/>
      <c r="I1256" s="99"/>
      <c r="J1256" s="101"/>
      <c r="K1256" s="109"/>
      <c r="L1256" s="110"/>
      <c r="M1256" s="111"/>
      <c r="N1256" s="99"/>
      <c r="O1256" s="112"/>
      <c r="P1256" s="112"/>
      <c r="Q1256" s="104" t="str">
        <f t="shared" si="116"/>
        <v/>
      </c>
      <c r="R1256" s="104" t="str">
        <f t="shared" si="117"/>
        <v/>
      </c>
      <c r="S1256" s="104" t="str">
        <f t="shared" si="118"/>
        <v/>
      </c>
      <c r="T1256" s="104" t="str">
        <f t="shared" si="119"/>
        <v/>
      </c>
      <c r="U1256" s="104" t="str">
        <f t="shared" si="120"/>
        <v/>
      </c>
      <c r="V1256" s="104" t="str">
        <f t="shared" si="121"/>
        <v/>
      </c>
      <c r="W1256" s="105"/>
    </row>
    <row r="1257" spans="1:23" ht="15" customHeight="1">
      <c r="A1257" s="92">
        <v>99</v>
      </c>
      <c r="B1257" s="121" t="s">
        <v>426</v>
      </c>
      <c r="C1257" s="122"/>
      <c r="D1257" s="798">
        <f>1.25+0.75+1.25</f>
        <v>3.25</v>
      </c>
      <c r="E1257" s="798"/>
      <c r="F1257" s="118"/>
      <c r="G1257" s="108">
        <v>0.25</v>
      </c>
      <c r="H1257" s="98">
        <v>25</v>
      </c>
      <c r="I1257" s="99">
        <v>1</v>
      </c>
      <c r="J1257" s="101">
        <f>ROUND(D1260/G1257+1,0)</f>
        <v>10</v>
      </c>
      <c r="K1257" s="109">
        <f>D1257</f>
        <v>3.25</v>
      </c>
      <c r="L1257" s="110" t="str">
        <f>IF(O1257&lt;12,"0",0.049*H1257)</f>
        <v>0</v>
      </c>
      <c r="M1257" s="111">
        <v>0</v>
      </c>
      <c r="N1257" s="99">
        <f>M1257*2*H1257/1000</f>
        <v>0</v>
      </c>
      <c r="O1257" s="112">
        <f>(D1257)-N1257</f>
        <v>3.25</v>
      </c>
      <c r="P1257" s="112">
        <f>(I1257*J1257*O1257)+L1257</f>
        <v>32.5</v>
      </c>
      <c r="Q1257" s="104" t="str">
        <f t="shared" si="116"/>
        <v/>
      </c>
      <c r="R1257" s="104" t="str">
        <f t="shared" si="117"/>
        <v/>
      </c>
      <c r="S1257" s="104" t="str">
        <f t="shared" si="118"/>
        <v/>
      </c>
      <c r="T1257" s="104" t="str">
        <f t="shared" si="119"/>
        <v/>
      </c>
      <c r="U1257" s="104" t="str">
        <f t="shared" si="120"/>
        <v/>
      </c>
      <c r="V1257" s="104">
        <f t="shared" si="121"/>
        <v>32.5</v>
      </c>
      <c r="W1257" s="105"/>
    </row>
    <row r="1258" spans="1:23">
      <c r="A1258" s="92"/>
      <c r="B1258" s="121" t="s">
        <v>317</v>
      </c>
      <c r="C1258" s="107"/>
      <c r="D1258" s="389"/>
      <c r="E1258" s="389"/>
      <c r="F1258" s="118"/>
      <c r="G1258" s="108"/>
      <c r="H1258" s="98"/>
      <c r="I1258" s="99"/>
      <c r="J1258" s="101"/>
      <c r="K1258" s="109"/>
      <c r="L1258" s="110"/>
      <c r="M1258" s="111"/>
      <c r="N1258" s="99"/>
      <c r="O1258" s="112"/>
      <c r="P1258" s="112"/>
      <c r="Q1258" s="104" t="str">
        <f t="shared" si="116"/>
        <v/>
      </c>
      <c r="R1258" s="104" t="str">
        <f t="shared" si="117"/>
        <v/>
      </c>
      <c r="S1258" s="104" t="str">
        <f t="shared" si="118"/>
        <v/>
      </c>
      <c r="T1258" s="104" t="str">
        <f t="shared" si="119"/>
        <v/>
      </c>
      <c r="U1258" s="104" t="str">
        <f t="shared" si="120"/>
        <v/>
      </c>
      <c r="V1258" s="104" t="str">
        <f t="shared" si="121"/>
        <v/>
      </c>
      <c r="W1258" s="105"/>
    </row>
    <row r="1259" spans="1:23">
      <c r="A1259" s="92"/>
      <c r="B1259" s="121"/>
      <c r="C1259" s="107"/>
      <c r="D1259" s="389"/>
      <c r="E1259" s="389"/>
      <c r="F1259" s="118"/>
      <c r="G1259" s="108"/>
      <c r="H1259" s="98"/>
      <c r="I1259" s="99"/>
      <c r="J1259" s="101"/>
      <c r="K1259" s="109"/>
      <c r="L1259" s="110"/>
      <c r="M1259" s="111"/>
      <c r="N1259" s="99"/>
      <c r="O1259" s="112"/>
      <c r="P1259" s="112"/>
      <c r="Q1259" s="104" t="str">
        <f t="shared" si="116"/>
        <v/>
      </c>
      <c r="R1259" s="104" t="str">
        <f t="shared" si="117"/>
        <v/>
      </c>
      <c r="S1259" s="104" t="str">
        <f t="shared" si="118"/>
        <v/>
      </c>
      <c r="T1259" s="104" t="str">
        <f t="shared" si="119"/>
        <v/>
      </c>
      <c r="U1259" s="104" t="str">
        <f t="shared" si="120"/>
        <v/>
      </c>
      <c r="V1259" s="104" t="str">
        <f t="shared" si="121"/>
        <v/>
      </c>
      <c r="W1259" s="105"/>
    </row>
    <row r="1260" spans="1:23" ht="15" customHeight="1">
      <c r="A1260" s="92">
        <v>100</v>
      </c>
      <c r="B1260" s="121" t="s">
        <v>427</v>
      </c>
      <c r="C1260" s="122"/>
      <c r="D1260" s="798">
        <f>1+0.3+1</f>
        <v>2.2999999999999998</v>
      </c>
      <c r="E1260" s="798"/>
      <c r="F1260" s="118"/>
      <c r="G1260" s="108">
        <v>0.25</v>
      </c>
      <c r="H1260" s="98">
        <v>20</v>
      </c>
      <c r="I1260" s="99">
        <v>1</v>
      </c>
      <c r="J1260" s="101">
        <f>ROUND(D1257/G1260+1,0)</f>
        <v>14</v>
      </c>
      <c r="K1260" s="109">
        <f>D1260</f>
        <v>2.2999999999999998</v>
      </c>
      <c r="L1260" s="110" t="str">
        <f>IF(O1260&lt;12,"0",0.049*H1260)</f>
        <v>0</v>
      </c>
      <c r="M1260" s="111">
        <v>0</v>
      </c>
      <c r="N1260" s="99">
        <f>M1260*2*H1260/1000</f>
        <v>0</v>
      </c>
      <c r="O1260" s="112">
        <f>(D1260)-N1260</f>
        <v>2.2999999999999998</v>
      </c>
      <c r="P1260" s="112">
        <f>(I1260*J1260*O1260)+L1260</f>
        <v>32.199999999999996</v>
      </c>
      <c r="Q1260" s="104" t="str">
        <f t="shared" si="116"/>
        <v/>
      </c>
      <c r="R1260" s="104" t="str">
        <f t="shared" si="117"/>
        <v/>
      </c>
      <c r="S1260" s="104" t="str">
        <f t="shared" si="118"/>
        <v/>
      </c>
      <c r="T1260" s="104" t="str">
        <f t="shared" si="119"/>
        <v/>
      </c>
      <c r="U1260" s="104">
        <f t="shared" si="120"/>
        <v>32.199999999999996</v>
      </c>
      <c r="V1260" s="104" t="str">
        <f t="shared" si="121"/>
        <v/>
      </c>
      <c r="W1260" s="105"/>
    </row>
    <row r="1261" spans="1:23">
      <c r="A1261" s="92"/>
      <c r="B1261" s="121" t="s">
        <v>317</v>
      </c>
      <c r="C1261" s="107"/>
      <c r="D1261" s="389"/>
      <c r="E1261" s="389"/>
      <c r="F1261" s="118"/>
      <c r="G1261" s="108"/>
      <c r="H1261" s="98"/>
      <c r="I1261" s="99"/>
      <c r="J1261" s="101"/>
      <c r="K1261" s="109"/>
      <c r="L1261" s="110"/>
      <c r="M1261" s="111"/>
      <c r="N1261" s="99"/>
      <c r="O1261" s="112"/>
      <c r="P1261" s="112"/>
      <c r="Q1261" s="104" t="str">
        <f t="shared" si="116"/>
        <v/>
      </c>
      <c r="R1261" s="104" t="str">
        <f t="shared" si="117"/>
        <v/>
      </c>
      <c r="S1261" s="104" t="str">
        <f t="shared" si="118"/>
        <v/>
      </c>
      <c r="T1261" s="104" t="str">
        <f t="shared" si="119"/>
        <v/>
      </c>
      <c r="U1261" s="104" t="str">
        <f t="shared" si="120"/>
        <v/>
      </c>
      <c r="V1261" s="104" t="str">
        <f t="shared" si="121"/>
        <v/>
      </c>
      <c r="W1261" s="105"/>
    </row>
    <row r="1262" spans="1:23">
      <c r="A1262" s="92"/>
      <c r="B1262" s="121"/>
      <c r="C1262" s="107"/>
      <c r="D1262" s="389"/>
      <c r="E1262" s="389"/>
      <c r="F1262" s="118"/>
      <c r="G1262" s="108"/>
      <c r="H1262" s="98"/>
      <c r="I1262" s="99"/>
      <c r="J1262" s="101"/>
      <c r="K1262" s="109"/>
      <c r="L1262" s="110"/>
      <c r="M1262" s="111"/>
      <c r="N1262" s="99"/>
      <c r="O1262" s="112"/>
      <c r="P1262" s="112"/>
      <c r="Q1262" s="104" t="str">
        <f t="shared" si="116"/>
        <v/>
      </c>
      <c r="R1262" s="104" t="str">
        <f t="shared" si="117"/>
        <v/>
      </c>
      <c r="S1262" s="104" t="str">
        <f t="shared" si="118"/>
        <v/>
      </c>
      <c r="T1262" s="104" t="str">
        <f t="shared" si="119"/>
        <v/>
      </c>
      <c r="U1262" s="104" t="str">
        <f t="shared" si="120"/>
        <v/>
      </c>
      <c r="V1262" s="104" t="str">
        <f t="shared" si="121"/>
        <v/>
      </c>
      <c r="W1262" s="105"/>
    </row>
    <row r="1263" spans="1:23" ht="15" customHeight="1">
      <c r="A1263" s="92">
        <v>101</v>
      </c>
      <c r="B1263" s="121" t="s">
        <v>426</v>
      </c>
      <c r="C1263" s="122"/>
      <c r="D1263" s="798">
        <f>1+0.75+1</f>
        <v>2.75</v>
      </c>
      <c r="E1263" s="798"/>
      <c r="F1263" s="118"/>
      <c r="G1263" s="108">
        <v>0.25</v>
      </c>
      <c r="H1263" s="98">
        <v>20</v>
      </c>
      <c r="I1263" s="99">
        <v>1</v>
      </c>
      <c r="J1263" s="101">
        <f>ROUND(D1266/G1263+1,0)</f>
        <v>10</v>
      </c>
      <c r="K1263" s="109">
        <f>D1263</f>
        <v>2.75</v>
      </c>
      <c r="L1263" s="110" t="str">
        <f>IF(O1263&lt;12,"0",0.049*H1263)</f>
        <v>0</v>
      </c>
      <c r="M1263" s="111">
        <v>0</v>
      </c>
      <c r="N1263" s="99">
        <f>M1263*2*H1263/1000</f>
        <v>0</v>
      </c>
      <c r="O1263" s="112">
        <f>(D1263)-N1263</f>
        <v>2.75</v>
      </c>
      <c r="P1263" s="112">
        <f>(I1263*J1263*O1263)+L1263</f>
        <v>27.5</v>
      </c>
      <c r="Q1263" s="104" t="str">
        <f t="shared" si="116"/>
        <v/>
      </c>
      <c r="R1263" s="104" t="str">
        <f t="shared" si="117"/>
        <v/>
      </c>
      <c r="S1263" s="104" t="str">
        <f t="shared" si="118"/>
        <v/>
      </c>
      <c r="T1263" s="104" t="str">
        <f t="shared" si="119"/>
        <v/>
      </c>
      <c r="U1263" s="104">
        <f t="shared" si="120"/>
        <v>27.5</v>
      </c>
      <c r="V1263" s="104" t="str">
        <f t="shared" si="121"/>
        <v/>
      </c>
      <c r="W1263" s="105"/>
    </row>
    <row r="1264" spans="1:23">
      <c r="A1264" s="92"/>
      <c r="B1264" s="121" t="s">
        <v>318</v>
      </c>
      <c r="C1264" s="107"/>
      <c r="D1264" s="389"/>
      <c r="E1264" s="389"/>
      <c r="F1264" s="118"/>
      <c r="G1264" s="108"/>
      <c r="H1264" s="98"/>
      <c r="I1264" s="99"/>
      <c r="J1264" s="101"/>
      <c r="K1264" s="109"/>
      <c r="L1264" s="110"/>
      <c r="M1264" s="111"/>
      <c r="N1264" s="99"/>
      <c r="O1264" s="112"/>
      <c r="P1264" s="112"/>
      <c r="Q1264" s="104" t="str">
        <f t="shared" si="116"/>
        <v/>
      </c>
      <c r="R1264" s="104" t="str">
        <f t="shared" si="117"/>
        <v/>
      </c>
      <c r="S1264" s="104" t="str">
        <f t="shared" si="118"/>
        <v/>
      </c>
      <c r="T1264" s="104" t="str">
        <f t="shared" si="119"/>
        <v/>
      </c>
      <c r="U1264" s="104" t="str">
        <f t="shared" si="120"/>
        <v/>
      </c>
      <c r="V1264" s="104" t="str">
        <f t="shared" si="121"/>
        <v/>
      </c>
      <c r="W1264" s="105"/>
    </row>
    <row r="1265" spans="1:23">
      <c r="A1265" s="92"/>
      <c r="B1265" s="121"/>
      <c r="C1265" s="107"/>
      <c r="D1265" s="389"/>
      <c r="E1265" s="389"/>
      <c r="F1265" s="118"/>
      <c r="G1265" s="108"/>
      <c r="H1265" s="98"/>
      <c r="I1265" s="99"/>
      <c r="J1265" s="101"/>
      <c r="K1265" s="109"/>
      <c r="L1265" s="110"/>
      <c r="M1265" s="111"/>
      <c r="N1265" s="99"/>
      <c r="O1265" s="112"/>
      <c r="P1265" s="112"/>
      <c r="Q1265" s="104" t="str">
        <f t="shared" si="116"/>
        <v/>
      </c>
      <c r="R1265" s="104" t="str">
        <f t="shared" si="117"/>
        <v/>
      </c>
      <c r="S1265" s="104" t="str">
        <f t="shared" si="118"/>
        <v/>
      </c>
      <c r="T1265" s="104" t="str">
        <f t="shared" si="119"/>
        <v/>
      </c>
      <c r="U1265" s="104" t="str">
        <f t="shared" si="120"/>
        <v/>
      </c>
      <c r="V1265" s="104" t="str">
        <f t="shared" si="121"/>
        <v/>
      </c>
      <c r="W1265" s="105"/>
    </row>
    <row r="1266" spans="1:23" ht="15" customHeight="1">
      <c r="A1266" s="92">
        <v>102</v>
      </c>
      <c r="B1266" s="121" t="s">
        <v>427</v>
      </c>
      <c r="C1266" s="122"/>
      <c r="D1266" s="798">
        <f>1+0.3+1</f>
        <v>2.2999999999999998</v>
      </c>
      <c r="E1266" s="798"/>
      <c r="F1266" s="118"/>
      <c r="G1266" s="108">
        <v>0.25</v>
      </c>
      <c r="H1266" s="98">
        <v>20</v>
      </c>
      <c r="I1266" s="99">
        <v>1</v>
      </c>
      <c r="J1266" s="101">
        <f>ROUND(D1263/G1266+1,0)</f>
        <v>12</v>
      </c>
      <c r="K1266" s="109">
        <f>D1266</f>
        <v>2.2999999999999998</v>
      </c>
      <c r="L1266" s="110" t="str">
        <f>IF(O1266&lt;12,"0",0.049*H1266)</f>
        <v>0</v>
      </c>
      <c r="M1266" s="111">
        <v>0</v>
      </c>
      <c r="N1266" s="99">
        <f>M1266*2*H1266/1000</f>
        <v>0</v>
      </c>
      <c r="O1266" s="112">
        <f>(D1266)-N1266</f>
        <v>2.2999999999999998</v>
      </c>
      <c r="P1266" s="112">
        <f>(I1266*J1266*O1266)+L1266</f>
        <v>27.599999999999998</v>
      </c>
      <c r="Q1266" s="104" t="str">
        <f t="shared" si="116"/>
        <v/>
      </c>
      <c r="R1266" s="104" t="str">
        <f t="shared" si="117"/>
        <v/>
      </c>
      <c r="S1266" s="104" t="str">
        <f t="shared" si="118"/>
        <v/>
      </c>
      <c r="T1266" s="104" t="str">
        <f t="shared" si="119"/>
        <v/>
      </c>
      <c r="U1266" s="104">
        <f t="shared" si="120"/>
        <v>27.599999999999998</v>
      </c>
      <c r="V1266" s="104" t="str">
        <f t="shared" si="121"/>
        <v/>
      </c>
      <c r="W1266" s="105"/>
    </row>
    <row r="1267" spans="1:23">
      <c r="A1267" s="92"/>
      <c r="B1267" s="121" t="s">
        <v>318</v>
      </c>
      <c r="C1267" s="107"/>
      <c r="D1267" s="389"/>
      <c r="E1267" s="389"/>
      <c r="F1267" s="118"/>
      <c r="G1267" s="108"/>
      <c r="H1267" s="98"/>
      <c r="I1267" s="99"/>
      <c r="J1267" s="101"/>
      <c r="K1267" s="109"/>
      <c r="L1267" s="110"/>
      <c r="M1267" s="111"/>
      <c r="N1267" s="99"/>
      <c r="O1267" s="112"/>
      <c r="P1267" s="112"/>
      <c r="Q1267" s="104" t="str">
        <f t="shared" si="116"/>
        <v/>
      </c>
      <c r="R1267" s="104" t="str">
        <f t="shared" si="117"/>
        <v/>
      </c>
      <c r="S1267" s="104" t="str">
        <f t="shared" si="118"/>
        <v/>
      </c>
      <c r="T1267" s="104" t="str">
        <f t="shared" si="119"/>
        <v/>
      </c>
      <c r="U1267" s="104" t="str">
        <f t="shared" si="120"/>
        <v/>
      </c>
      <c r="V1267" s="104" t="str">
        <f t="shared" si="121"/>
        <v/>
      </c>
      <c r="W1267" s="105"/>
    </row>
    <row r="1268" spans="1:23">
      <c r="A1268" s="92"/>
      <c r="B1268" s="121"/>
      <c r="C1268" s="107"/>
      <c r="D1268" s="389"/>
      <c r="E1268" s="389"/>
      <c r="F1268" s="118"/>
      <c r="G1268" s="108"/>
      <c r="H1268" s="98"/>
      <c r="I1268" s="99"/>
      <c r="J1268" s="101"/>
      <c r="K1268" s="109"/>
      <c r="L1268" s="110"/>
      <c r="M1268" s="111"/>
      <c r="N1268" s="99"/>
      <c r="O1268" s="112"/>
      <c r="P1268" s="112"/>
      <c r="Q1268" s="104" t="str">
        <f t="shared" si="116"/>
        <v/>
      </c>
      <c r="R1268" s="104" t="str">
        <f t="shared" si="117"/>
        <v/>
      </c>
      <c r="S1268" s="104" t="str">
        <f t="shared" si="118"/>
        <v/>
      </c>
      <c r="T1268" s="104" t="str">
        <f t="shared" si="119"/>
        <v/>
      </c>
      <c r="U1268" s="104" t="str">
        <f t="shared" si="120"/>
        <v/>
      </c>
      <c r="V1268" s="104" t="str">
        <f t="shared" si="121"/>
        <v/>
      </c>
      <c r="W1268" s="105"/>
    </row>
    <row r="1269" spans="1:23" ht="15" customHeight="1">
      <c r="A1269" s="92">
        <v>103</v>
      </c>
      <c r="B1269" s="121" t="s">
        <v>427</v>
      </c>
      <c r="C1269" s="122"/>
      <c r="D1269" s="798">
        <f>1+0.3+1</f>
        <v>2.2999999999999998</v>
      </c>
      <c r="E1269" s="798"/>
      <c r="F1269" s="118"/>
      <c r="G1269" s="108">
        <v>0.25</v>
      </c>
      <c r="H1269" s="98">
        <v>20</v>
      </c>
      <c r="I1269" s="99">
        <v>1</v>
      </c>
      <c r="J1269" s="101">
        <f>ROUND(D1263/G1269+1,0)</f>
        <v>12</v>
      </c>
      <c r="K1269" s="109">
        <f>D1269</f>
        <v>2.2999999999999998</v>
      </c>
      <c r="L1269" s="110" t="str">
        <f>IF(O1269&lt;12,"0",0.049*H1269)</f>
        <v>0</v>
      </c>
      <c r="M1269" s="111">
        <v>0</v>
      </c>
      <c r="N1269" s="99">
        <f>M1269*2*H1269/1000</f>
        <v>0</v>
      </c>
      <c r="O1269" s="112">
        <f>(D1269)-N1269</f>
        <v>2.2999999999999998</v>
      </c>
      <c r="P1269" s="112">
        <f>(I1269*J1269*O1269)+L1269</f>
        <v>27.599999999999998</v>
      </c>
      <c r="Q1269" s="104" t="str">
        <f t="shared" si="116"/>
        <v/>
      </c>
      <c r="R1269" s="104" t="str">
        <f t="shared" si="117"/>
        <v/>
      </c>
      <c r="S1269" s="104" t="str">
        <f t="shared" si="118"/>
        <v/>
      </c>
      <c r="T1269" s="104" t="str">
        <f t="shared" si="119"/>
        <v/>
      </c>
      <c r="U1269" s="104">
        <f t="shared" si="120"/>
        <v>27.599999999999998</v>
      </c>
      <c r="V1269" s="104" t="str">
        <f t="shared" si="121"/>
        <v/>
      </c>
      <c r="W1269" s="105"/>
    </row>
    <row r="1270" spans="1:23">
      <c r="A1270" s="92"/>
      <c r="B1270" s="121" t="s">
        <v>318</v>
      </c>
      <c r="C1270" s="107"/>
      <c r="D1270" s="389"/>
      <c r="E1270" s="389"/>
      <c r="F1270" s="118"/>
      <c r="G1270" s="108"/>
      <c r="H1270" s="98"/>
      <c r="I1270" s="99"/>
      <c r="J1270" s="101"/>
      <c r="K1270" s="109"/>
      <c r="L1270" s="110"/>
      <c r="M1270" s="111"/>
      <c r="N1270" s="99"/>
      <c r="O1270" s="112"/>
      <c r="P1270" s="112"/>
      <c r="Q1270" s="104" t="str">
        <f t="shared" si="116"/>
        <v/>
      </c>
      <c r="R1270" s="104" t="str">
        <f t="shared" si="117"/>
        <v/>
      </c>
      <c r="S1270" s="104" t="str">
        <f t="shared" si="118"/>
        <v/>
      </c>
      <c r="T1270" s="104" t="str">
        <f t="shared" si="119"/>
        <v/>
      </c>
      <c r="U1270" s="104" t="str">
        <f t="shared" si="120"/>
        <v/>
      </c>
      <c r="V1270" s="104" t="str">
        <f t="shared" si="121"/>
        <v/>
      </c>
      <c r="W1270" s="105"/>
    </row>
    <row r="1271" spans="1:23">
      <c r="A1271" s="92"/>
      <c r="B1271" s="121"/>
      <c r="C1271" s="107"/>
      <c r="D1271" s="389"/>
      <c r="E1271" s="389"/>
      <c r="F1271" s="118"/>
      <c r="G1271" s="108"/>
      <c r="H1271" s="98"/>
      <c r="I1271" s="99"/>
      <c r="J1271" s="101"/>
      <c r="K1271" s="109"/>
      <c r="L1271" s="110"/>
      <c r="M1271" s="111"/>
      <c r="N1271" s="99"/>
      <c r="O1271" s="112"/>
      <c r="P1271" s="112"/>
      <c r="Q1271" s="104" t="str">
        <f t="shared" si="116"/>
        <v/>
      </c>
      <c r="R1271" s="104" t="str">
        <f t="shared" si="117"/>
        <v/>
      </c>
      <c r="S1271" s="104" t="str">
        <f t="shared" si="118"/>
        <v/>
      </c>
      <c r="T1271" s="104" t="str">
        <f t="shared" si="119"/>
        <v/>
      </c>
      <c r="U1271" s="104" t="str">
        <f t="shared" si="120"/>
        <v/>
      </c>
      <c r="V1271" s="104" t="str">
        <f t="shared" si="121"/>
        <v/>
      </c>
      <c r="W1271" s="105"/>
    </row>
    <row r="1272" spans="1:23" ht="15" customHeight="1">
      <c r="A1272" s="92">
        <v>104</v>
      </c>
      <c r="B1272" s="121" t="s">
        <v>426</v>
      </c>
      <c r="C1272" s="122"/>
      <c r="D1272" s="798">
        <f>1+0.3+1</f>
        <v>2.2999999999999998</v>
      </c>
      <c r="E1272" s="798"/>
      <c r="F1272" s="118"/>
      <c r="G1272" s="108">
        <v>0.25</v>
      </c>
      <c r="H1272" s="98">
        <v>20</v>
      </c>
      <c r="I1272" s="99">
        <v>1</v>
      </c>
      <c r="J1272" s="101">
        <f>ROUND(D1275/G1272+1,0)</f>
        <v>13</v>
      </c>
      <c r="K1272" s="109">
        <f>D1272</f>
        <v>2.2999999999999998</v>
      </c>
      <c r="L1272" s="110" t="str">
        <f>IF(O1272&lt;12,"0",0.049*H1272)</f>
        <v>0</v>
      </c>
      <c r="M1272" s="111">
        <v>0</v>
      </c>
      <c r="N1272" s="99">
        <f>M1272*2*H1272/1000</f>
        <v>0</v>
      </c>
      <c r="O1272" s="112">
        <f>(D1272)-N1272</f>
        <v>2.2999999999999998</v>
      </c>
      <c r="P1272" s="112">
        <f>(I1272*J1272*O1272)+L1272</f>
        <v>29.9</v>
      </c>
      <c r="Q1272" s="104" t="str">
        <f t="shared" si="116"/>
        <v/>
      </c>
      <c r="R1272" s="104" t="str">
        <f t="shared" si="117"/>
        <v/>
      </c>
      <c r="S1272" s="104" t="str">
        <f t="shared" si="118"/>
        <v/>
      </c>
      <c r="T1272" s="104" t="str">
        <f t="shared" si="119"/>
        <v/>
      </c>
      <c r="U1272" s="104">
        <f t="shared" si="120"/>
        <v>29.9</v>
      </c>
      <c r="V1272" s="104" t="str">
        <f t="shared" si="121"/>
        <v/>
      </c>
      <c r="W1272" s="105"/>
    </row>
    <row r="1273" spans="1:23">
      <c r="A1273" s="92"/>
      <c r="B1273" s="121" t="s">
        <v>319</v>
      </c>
      <c r="C1273" s="107"/>
      <c r="D1273" s="389"/>
      <c r="E1273" s="389"/>
      <c r="F1273" s="118"/>
      <c r="G1273" s="108"/>
      <c r="H1273" s="98"/>
      <c r="I1273" s="99"/>
      <c r="J1273" s="101"/>
      <c r="K1273" s="109"/>
      <c r="L1273" s="110"/>
      <c r="M1273" s="111"/>
      <c r="N1273" s="99"/>
      <c r="O1273" s="112"/>
      <c r="P1273" s="112"/>
      <c r="Q1273" s="104" t="str">
        <f t="shared" si="116"/>
        <v/>
      </c>
      <c r="R1273" s="104" t="str">
        <f t="shared" si="117"/>
        <v/>
      </c>
      <c r="S1273" s="104" t="str">
        <f t="shared" si="118"/>
        <v/>
      </c>
      <c r="T1273" s="104" t="str">
        <f t="shared" si="119"/>
        <v/>
      </c>
      <c r="U1273" s="104" t="str">
        <f t="shared" si="120"/>
        <v/>
      </c>
      <c r="V1273" s="104" t="str">
        <f t="shared" si="121"/>
        <v/>
      </c>
      <c r="W1273" s="105"/>
    </row>
    <row r="1274" spans="1:23">
      <c r="A1274" s="92"/>
      <c r="B1274" s="121"/>
      <c r="C1274" s="107"/>
      <c r="D1274" s="389"/>
      <c r="E1274" s="389"/>
      <c r="F1274" s="118"/>
      <c r="G1274" s="108"/>
      <c r="H1274" s="98"/>
      <c r="I1274" s="99"/>
      <c r="J1274" s="101"/>
      <c r="K1274" s="109"/>
      <c r="L1274" s="110"/>
      <c r="M1274" s="111"/>
      <c r="N1274" s="99"/>
      <c r="O1274" s="112"/>
      <c r="P1274" s="112"/>
      <c r="Q1274" s="104" t="str">
        <f t="shared" si="116"/>
        <v/>
      </c>
      <c r="R1274" s="104" t="str">
        <f t="shared" si="117"/>
        <v/>
      </c>
      <c r="S1274" s="104" t="str">
        <f t="shared" si="118"/>
        <v/>
      </c>
      <c r="T1274" s="104" t="str">
        <f t="shared" si="119"/>
        <v/>
      </c>
      <c r="U1274" s="104" t="str">
        <f t="shared" si="120"/>
        <v/>
      </c>
      <c r="V1274" s="104" t="str">
        <f t="shared" si="121"/>
        <v/>
      </c>
      <c r="W1274" s="105"/>
    </row>
    <row r="1275" spans="1:23" ht="15" customHeight="1">
      <c r="A1275" s="92">
        <v>105</v>
      </c>
      <c r="B1275" s="121" t="s">
        <v>427</v>
      </c>
      <c r="C1275" s="122"/>
      <c r="D1275" s="798">
        <f>1.25+0.6+1.25</f>
        <v>3.1</v>
      </c>
      <c r="E1275" s="798"/>
      <c r="F1275" s="118"/>
      <c r="G1275" s="108">
        <v>0.25</v>
      </c>
      <c r="H1275" s="98">
        <v>20</v>
      </c>
      <c r="I1275" s="99">
        <v>1</v>
      </c>
      <c r="J1275" s="101">
        <f>ROUND(D1272/G1275+1,0)</f>
        <v>10</v>
      </c>
      <c r="K1275" s="109">
        <f>D1275</f>
        <v>3.1</v>
      </c>
      <c r="L1275" s="110" t="str">
        <f>IF(O1275&lt;12,"0",0.049*H1275)</f>
        <v>0</v>
      </c>
      <c r="M1275" s="111">
        <v>0</v>
      </c>
      <c r="N1275" s="99">
        <f>M1275*2*H1275/1000</f>
        <v>0</v>
      </c>
      <c r="O1275" s="112">
        <f>(D1275)-N1275</f>
        <v>3.1</v>
      </c>
      <c r="P1275" s="112">
        <f>(I1275*J1275*O1275)+L1275</f>
        <v>31</v>
      </c>
      <c r="Q1275" s="104" t="str">
        <f t="shared" si="116"/>
        <v/>
      </c>
      <c r="R1275" s="104" t="str">
        <f t="shared" si="117"/>
        <v/>
      </c>
      <c r="S1275" s="104" t="str">
        <f t="shared" si="118"/>
        <v/>
      </c>
      <c r="T1275" s="104" t="str">
        <f t="shared" si="119"/>
        <v/>
      </c>
      <c r="U1275" s="104">
        <f t="shared" si="120"/>
        <v>31</v>
      </c>
      <c r="V1275" s="104" t="str">
        <f t="shared" si="121"/>
        <v/>
      </c>
      <c r="W1275" s="105"/>
    </row>
    <row r="1276" spans="1:23">
      <c r="A1276" s="92"/>
      <c r="B1276" s="121" t="s">
        <v>319</v>
      </c>
      <c r="C1276" s="107"/>
      <c r="D1276" s="389"/>
      <c r="E1276" s="389"/>
      <c r="F1276" s="118"/>
      <c r="G1276" s="108"/>
      <c r="H1276" s="98"/>
      <c r="I1276" s="99"/>
      <c r="J1276" s="101"/>
      <c r="K1276" s="109"/>
      <c r="L1276" s="110"/>
      <c r="M1276" s="111"/>
      <c r="N1276" s="99"/>
      <c r="O1276" s="112"/>
      <c r="P1276" s="112"/>
      <c r="Q1276" s="104" t="str">
        <f t="shared" si="116"/>
        <v/>
      </c>
      <c r="R1276" s="104" t="str">
        <f t="shared" si="117"/>
        <v/>
      </c>
      <c r="S1276" s="104" t="str">
        <f t="shared" si="118"/>
        <v/>
      </c>
      <c r="T1276" s="104" t="str">
        <f t="shared" si="119"/>
        <v/>
      </c>
      <c r="U1276" s="104" t="str">
        <f t="shared" si="120"/>
        <v/>
      </c>
      <c r="V1276" s="104" t="str">
        <f t="shared" si="121"/>
        <v/>
      </c>
      <c r="W1276" s="105"/>
    </row>
    <row r="1277" spans="1:23">
      <c r="A1277" s="92"/>
      <c r="B1277" s="121"/>
      <c r="C1277" s="107"/>
      <c r="D1277" s="389"/>
      <c r="E1277" s="389"/>
      <c r="F1277" s="118"/>
      <c r="G1277" s="108"/>
      <c r="H1277" s="98"/>
      <c r="I1277" s="99"/>
      <c r="J1277" s="101"/>
      <c r="K1277" s="109"/>
      <c r="L1277" s="110"/>
      <c r="M1277" s="111"/>
      <c r="N1277" s="99"/>
      <c r="O1277" s="112"/>
      <c r="P1277" s="112"/>
      <c r="Q1277" s="104" t="str">
        <f t="shared" si="116"/>
        <v/>
      </c>
      <c r="R1277" s="104" t="str">
        <f t="shared" si="117"/>
        <v/>
      </c>
      <c r="S1277" s="104" t="str">
        <f t="shared" si="118"/>
        <v/>
      </c>
      <c r="T1277" s="104" t="str">
        <f t="shared" si="119"/>
        <v/>
      </c>
      <c r="U1277" s="104" t="str">
        <f t="shared" si="120"/>
        <v/>
      </c>
      <c r="V1277" s="104" t="str">
        <f t="shared" si="121"/>
        <v/>
      </c>
      <c r="W1277" s="105"/>
    </row>
    <row r="1278" spans="1:23" ht="15" customHeight="1">
      <c r="A1278" s="92">
        <v>106</v>
      </c>
      <c r="B1278" s="121" t="s">
        <v>426</v>
      </c>
      <c r="C1278" s="122"/>
      <c r="D1278" s="798">
        <f>0.6+0.715+0.6</f>
        <v>1.915</v>
      </c>
      <c r="E1278" s="798"/>
      <c r="F1278" s="118"/>
      <c r="G1278" s="108">
        <v>0.25</v>
      </c>
      <c r="H1278" s="98">
        <v>12</v>
      </c>
      <c r="I1278" s="99">
        <v>1</v>
      </c>
      <c r="J1278" s="101">
        <f>ROUND(D1281/G1278+1,0)</f>
        <v>9</v>
      </c>
      <c r="K1278" s="109">
        <f>D1278</f>
        <v>1.915</v>
      </c>
      <c r="L1278" s="110" t="str">
        <f>IF(O1278&lt;12,"0",0.049*H1278)</f>
        <v>0</v>
      </c>
      <c r="M1278" s="111">
        <v>0</v>
      </c>
      <c r="N1278" s="99">
        <f>M1278*2*H1278/1000</f>
        <v>0</v>
      </c>
      <c r="O1278" s="112">
        <f>(D1278)-N1278</f>
        <v>1.915</v>
      </c>
      <c r="P1278" s="112">
        <f>(I1278*J1278*O1278)+L1278</f>
        <v>17.234999999999999</v>
      </c>
      <c r="Q1278" s="104" t="str">
        <f t="shared" si="116"/>
        <v/>
      </c>
      <c r="R1278" s="104" t="str">
        <f t="shared" si="117"/>
        <v/>
      </c>
      <c r="S1278" s="104">
        <f t="shared" si="118"/>
        <v>17.234999999999999</v>
      </c>
      <c r="T1278" s="104" t="str">
        <f t="shared" si="119"/>
        <v/>
      </c>
      <c r="U1278" s="104" t="str">
        <f t="shared" si="120"/>
        <v/>
      </c>
      <c r="V1278" s="104" t="str">
        <f t="shared" si="121"/>
        <v/>
      </c>
      <c r="W1278" s="105"/>
    </row>
    <row r="1279" spans="1:23">
      <c r="A1279" s="92"/>
      <c r="B1279" s="121" t="s">
        <v>320</v>
      </c>
      <c r="C1279" s="107"/>
      <c r="D1279" s="389"/>
      <c r="E1279" s="389"/>
      <c r="F1279" s="118"/>
      <c r="G1279" s="108"/>
      <c r="H1279" s="98"/>
      <c r="I1279" s="99"/>
      <c r="J1279" s="101"/>
      <c r="K1279" s="109"/>
      <c r="L1279" s="110"/>
      <c r="M1279" s="111"/>
      <c r="N1279" s="99"/>
      <c r="O1279" s="112"/>
      <c r="P1279" s="112"/>
      <c r="Q1279" s="104" t="str">
        <f t="shared" ref="Q1279:Q1342" si="122">IF($H1279=8,$P1279,"")</f>
        <v/>
      </c>
      <c r="R1279" s="104" t="str">
        <f t="shared" ref="R1279:R1342" si="123">IF($H1279=10,$P1279,"")</f>
        <v/>
      </c>
      <c r="S1279" s="104" t="str">
        <f t="shared" ref="S1279:S1342" si="124">IF($H1279=12,$P1279,"")</f>
        <v/>
      </c>
      <c r="T1279" s="104" t="str">
        <f t="shared" ref="T1279:T1342" si="125">IF($H1279=16,$P1279,"")</f>
        <v/>
      </c>
      <c r="U1279" s="104" t="str">
        <f t="shared" ref="U1279:U1342" si="126">IF($H1279=20,$P1279,"")</f>
        <v/>
      </c>
      <c r="V1279" s="104" t="str">
        <f t="shared" ref="V1279:V1342" si="127">IF($H1279=25,$P1279,"")</f>
        <v/>
      </c>
      <c r="W1279" s="105"/>
    </row>
    <row r="1280" spans="1:23">
      <c r="A1280" s="92"/>
      <c r="B1280" s="121"/>
      <c r="C1280" s="107"/>
      <c r="D1280" s="389"/>
      <c r="E1280" s="389"/>
      <c r="F1280" s="118"/>
      <c r="G1280" s="108"/>
      <c r="H1280" s="98"/>
      <c r="I1280" s="99"/>
      <c r="J1280" s="101"/>
      <c r="K1280" s="109"/>
      <c r="L1280" s="110"/>
      <c r="M1280" s="111"/>
      <c r="N1280" s="99"/>
      <c r="O1280" s="112"/>
      <c r="P1280" s="112"/>
      <c r="Q1280" s="104" t="str">
        <f t="shared" si="122"/>
        <v/>
      </c>
      <c r="R1280" s="104" t="str">
        <f t="shared" si="123"/>
        <v/>
      </c>
      <c r="S1280" s="104" t="str">
        <f t="shared" si="124"/>
        <v/>
      </c>
      <c r="T1280" s="104" t="str">
        <f t="shared" si="125"/>
        <v/>
      </c>
      <c r="U1280" s="104" t="str">
        <f t="shared" si="126"/>
        <v/>
      </c>
      <c r="V1280" s="104" t="str">
        <f t="shared" si="127"/>
        <v/>
      </c>
      <c r="W1280" s="105"/>
    </row>
    <row r="1281" spans="1:23" ht="15" customHeight="1">
      <c r="A1281" s="92">
        <v>107</v>
      </c>
      <c r="B1281" s="121" t="s">
        <v>427</v>
      </c>
      <c r="C1281" s="122"/>
      <c r="D1281" s="798">
        <f>1+0.3+0.75-0.05</f>
        <v>1.9999999999999998</v>
      </c>
      <c r="E1281" s="798"/>
      <c r="F1281" s="118"/>
      <c r="G1281" s="108">
        <v>0.25</v>
      </c>
      <c r="H1281" s="98">
        <v>20</v>
      </c>
      <c r="I1281" s="99">
        <v>1</v>
      </c>
      <c r="J1281" s="101">
        <f>ROUND(D1278/G1281+1,0)</f>
        <v>9</v>
      </c>
      <c r="K1281" s="109">
        <f>D1281</f>
        <v>1.9999999999999998</v>
      </c>
      <c r="L1281" s="110" t="str">
        <f>IF(O1281&lt;12,"0",0.049*H1281)</f>
        <v>0</v>
      </c>
      <c r="M1281" s="111">
        <v>0</v>
      </c>
      <c r="N1281" s="99">
        <f>M1281*2*H1281/1000</f>
        <v>0</v>
      </c>
      <c r="O1281" s="112">
        <f>(D1281)-N1281</f>
        <v>1.9999999999999998</v>
      </c>
      <c r="P1281" s="112">
        <f>(I1281*J1281*O1281)+L1281</f>
        <v>17.999999999999996</v>
      </c>
      <c r="Q1281" s="104" t="str">
        <f t="shared" si="122"/>
        <v/>
      </c>
      <c r="R1281" s="104" t="str">
        <f t="shared" si="123"/>
        <v/>
      </c>
      <c r="S1281" s="104" t="str">
        <f t="shared" si="124"/>
        <v/>
      </c>
      <c r="T1281" s="104" t="str">
        <f t="shared" si="125"/>
        <v/>
      </c>
      <c r="U1281" s="104">
        <f t="shared" si="126"/>
        <v>17.999999999999996</v>
      </c>
      <c r="V1281" s="104" t="str">
        <f t="shared" si="127"/>
        <v/>
      </c>
      <c r="W1281" s="105"/>
    </row>
    <row r="1282" spans="1:23">
      <c r="A1282" s="92"/>
      <c r="B1282" s="121" t="s">
        <v>320</v>
      </c>
      <c r="C1282" s="107"/>
      <c r="D1282" s="389"/>
      <c r="E1282" s="389"/>
      <c r="F1282" s="118"/>
      <c r="G1282" s="108"/>
      <c r="H1282" s="98"/>
      <c r="I1282" s="99"/>
      <c r="J1282" s="101"/>
      <c r="K1282" s="109"/>
      <c r="L1282" s="110"/>
      <c r="M1282" s="111"/>
      <c r="N1282" s="99"/>
      <c r="O1282" s="112"/>
      <c r="P1282" s="112"/>
      <c r="Q1282" s="104" t="str">
        <f t="shared" si="122"/>
        <v/>
      </c>
      <c r="R1282" s="104" t="str">
        <f t="shared" si="123"/>
        <v/>
      </c>
      <c r="S1282" s="104" t="str">
        <f t="shared" si="124"/>
        <v/>
      </c>
      <c r="T1282" s="104" t="str">
        <f t="shared" si="125"/>
        <v/>
      </c>
      <c r="U1282" s="104" t="str">
        <f t="shared" si="126"/>
        <v/>
      </c>
      <c r="V1282" s="104" t="str">
        <f t="shared" si="127"/>
        <v/>
      </c>
      <c r="W1282" s="105"/>
    </row>
    <row r="1283" spans="1:23">
      <c r="A1283" s="92"/>
      <c r="B1283" s="121"/>
      <c r="C1283" s="107"/>
      <c r="D1283" s="389"/>
      <c r="E1283" s="389"/>
      <c r="F1283" s="118"/>
      <c r="G1283" s="108"/>
      <c r="H1283" s="98"/>
      <c r="I1283" s="99"/>
      <c r="J1283" s="101"/>
      <c r="K1283" s="109"/>
      <c r="L1283" s="110"/>
      <c r="M1283" s="111"/>
      <c r="N1283" s="99"/>
      <c r="O1283" s="112"/>
      <c r="P1283" s="112"/>
      <c r="Q1283" s="104" t="str">
        <f t="shared" si="122"/>
        <v/>
      </c>
      <c r="R1283" s="104" t="str">
        <f t="shared" si="123"/>
        <v/>
      </c>
      <c r="S1283" s="104" t="str">
        <f t="shared" si="124"/>
        <v/>
      </c>
      <c r="T1283" s="104" t="str">
        <f t="shared" si="125"/>
        <v/>
      </c>
      <c r="U1283" s="104" t="str">
        <f t="shared" si="126"/>
        <v/>
      </c>
      <c r="V1283" s="104" t="str">
        <f t="shared" si="127"/>
        <v/>
      </c>
      <c r="W1283" s="105"/>
    </row>
    <row r="1284" spans="1:23" ht="15" customHeight="1">
      <c r="A1284" s="92">
        <v>108</v>
      </c>
      <c r="B1284" s="121" t="s">
        <v>426</v>
      </c>
      <c r="C1284" s="122"/>
      <c r="D1284" s="798">
        <f>0.75-0.05+0.115+0.47+0.515+1.17+1.935+0.055+1</f>
        <v>5.9599999999999991</v>
      </c>
      <c r="E1284" s="798"/>
      <c r="F1284" s="118"/>
      <c r="G1284" s="108">
        <v>0.25</v>
      </c>
      <c r="H1284" s="98">
        <v>25</v>
      </c>
      <c r="I1284" s="99">
        <v>1</v>
      </c>
      <c r="J1284" s="101">
        <f>ROUND(2.6/G1284+1,0)</f>
        <v>11</v>
      </c>
      <c r="K1284" s="109">
        <f>D1284</f>
        <v>5.9599999999999991</v>
      </c>
      <c r="L1284" s="110" t="str">
        <f>IF(O1284&lt;12,"0",0.049*H1284)</f>
        <v>0</v>
      </c>
      <c r="M1284" s="111">
        <v>0</v>
      </c>
      <c r="N1284" s="99">
        <f>M1284*2*H1284/1000</f>
        <v>0</v>
      </c>
      <c r="O1284" s="112">
        <f>(D1284)-N1284</f>
        <v>5.9599999999999991</v>
      </c>
      <c r="P1284" s="112">
        <f>(I1284*J1284*O1284)+L1284</f>
        <v>65.559999999999988</v>
      </c>
      <c r="Q1284" s="104" t="str">
        <f t="shared" si="122"/>
        <v/>
      </c>
      <c r="R1284" s="104" t="str">
        <f t="shared" si="123"/>
        <v/>
      </c>
      <c r="S1284" s="104" t="str">
        <f t="shared" si="124"/>
        <v/>
      </c>
      <c r="T1284" s="104" t="str">
        <f t="shared" si="125"/>
        <v/>
      </c>
      <c r="U1284" s="104" t="str">
        <f t="shared" si="126"/>
        <v/>
      </c>
      <c r="V1284" s="104">
        <f t="shared" si="127"/>
        <v>65.559999999999988</v>
      </c>
      <c r="W1284" s="105"/>
    </row>
    <row r="1285" spans="1:23">
      <c r="A1285" s="92"/>
      <c r="B1285" s="121" t="s">
        <v>321</v>
      </c>
      <c r="C1285" s="107"/>
      <c r="D1285" s="389"/>
      <c r="E1285" s="389"/>
      <c r="F1285" s="118"/>
      <c r="G1285" s="108"/>
      <c r="H1285" s="98"/>
      <c r="I1285" s="99"/>
      <c r="J1285" s="101"/>
      <c r="K1285" s="109"/>
      <c r="L1285" s="110"/>
      <c r="M1285" s="111"/>
      <c r="N1285" s="99"/>
      <c r="O1285" s="112"/>
      <c r="P1285" s="112"/>
      <c r="Q1285" s="104" t="str">
        <f t="shared" si="122"/>
        <v/>
      </c>
      <c r="R1285" s="104" t="str">
        <f t="shared" si="123"/>
        <v/>
      </c>
      <c r="S1285" s="104" t="str">
        <f t="shared" si="124"/>
        <v/>
      </c>
      <c r="T1285" s="104" t="str">
        <f t="shared" si="125"/>
        <v/>
      </c>
      <c r="U1285" s="104" t="str">
        <f t="shared" si="126"/>
        <v/>
      </c>
      <c r="V1285" s="104" t="str">
        <f t="shared" si="127"/>
        <v/>
      </c>
      <c r="W1285" s="105"/>
    </row>
    <row r="1286" spans="1:23">
      <c r="A1286" s="92"/>
      <c r="B1286" s="121"/>
      <c r="C1286" s="107"/>
      <c r="D1286" s="389"/>
      <c r="E1286" s="389"/>
      <c r="F1286" s="118"/>
      <c r="G1286" s="108"/>
      <c r="H1286" s="98"/>
      <c r="I1286" s="99"/>
      <c r="J1286" s="101"/>
      <c r="K1286" s="109"/>
      <c r="L1286" s="110"/>
      <c r="M1286" s="111"/>
      <c r="N1286" s="99"/>
      <c r="O1286" s="112"/>
      <c r="P1286" s="112"/>
      <c r="Q1286" s="104" t="str">
        <f t="shared" si="122"/>
        <v/>
      </c>
      <c r="R1286" s="104" t="str">
        <f t="shared" si="123"/>
        <v/>
      </c>
      <c r="S1286" s="104" t="str">
        <f t="shared" si="124"/>
        <v/>
      </c>
      <c r="T1286" s="104" t="str">
        <f t="shared" si="125"/>
        <v/>
      </c>
      <c r="U1286" s="104" t="str">
        <f t="shared" si="126"/>
        <v/>
      </c>
      <c r="V1286" s="104" t="str">
        <f t="shared" si="127"/>
        <v/>
      </c>
      <c r="W1286" s="105"/>
    </row>
    <row r="1287" spans="1:23" ht="15" customHeight="1">
      <c r="A1287" s="92">
        <v>109</v>
      </c>
      <c r="B1287" s="121" t="s">
        <v>426</v>
      </c>
      <c r="C1287" s="122"/>
      <c r="D1287" s="798">
        <f>0.75-0.05+0.115+0.47+0.515+1.17+1.935+0.055+1</f>
        <v>5.9599999999999991</v>
      </c>
      <c r="E1287" s="798"/>
      <c r="F1287" s="118"/>
      <c r="G1287" s="108">
        <v>0.25</v>
      </c>
      <c r="H1287" s="98">
        <v>25</v>
      </c>
      <c r="I1287" s="99">
        <v>1</v>
      </c>
      <c r="J1287" s="101">
        <f>ROUND(2.6/G1287+1,0)</f>
        <v>11</v>
      </c>
      <c r="K1287" s="109">
        <f>D1287</f>
        <v>5.9599999999999991</v>
      </c>
      <c r="L1287" s="110" t="str">
        <f>IF(O1287&lt;12,"0",0.049*H1287)</f>
        <v>0</v>
      </c>
      <c r="M1287" s="111">
        <v>0</v>
      </c>
      <c r="N1287" s="99">
        <f>M1287*2*H1287/1000</f>
        <v>0</v>
      </c>
      <c r="O1287" s="112">
        <f>(D1287)-N1287</f>
        <v>5.9599999999999991</v>
      </c>
      <c r="P1287" s="112">
        <f>(I1287*J1287*O1287)+L1287</f>
        <v>65.559999999999988</v>
      </c>
      <c r="Q1287" s="104" t="str">
        <f t="shared" si="122"/>
        <v/>
      </c>
      <c r="R1287" s="104" t="str">
        <f t="shared" si="123"/>
        <v/>
      </c>
      <c r="S1287" s="104" t="str">
        <f t="shared" si="124"/>
        <v/>
      </c>
      <c r="T1287" s="104" t="str">
        <f t="shared" si="125"/>
        <v/>
      </c>
      <c r="U1287" s="104" t="str">
        <f t="shared" si="126"/>
        <v/>
      </c>
      <c r="V1287" s="104">
        <f t="shared" si="127"/>
        <v>65.559999999999988</v>
      </c>
      <c r="W1287" s="105"/>
    </row>
    <row r="1288" spans="1:23">
      <c r="A1288" s="92"/>
      <c r="B1288" s="121" t="s">
        <v>321</v>
      </c>
      <c r="C1288" s="107"/>
      <c r="D1288" s="389"/>
      <c r="E1288" s="389"/>
      <c r="F1288" s="118"/>
      <c r="G1288" s="108"/>
      <c r="H1288" s="98"/>
      <c r="I1288" s="99"/>
      <c r="J1288" s="101"/>
      <c r="K1288" s="109"/>
      <c r="L1288" s="110"/>
      <c r="M1288" s="111"/>
      <c r="N1288" s="99"/>
      <c r="O1288" s="112"/>
      <c r="P1288" s="112"/>
      <c r="Q1288" s="104" t="str">
        <f t="shared" si="122"/>
        <v/>
      </c>
      <c r="R1288" s="104" t="str">
        <f t="shared" si="123"/>
        <v/>
      </c>
      <c r="S1288" s="104" t="str">
        <f t="shared" si="124"/>
        <v/>
      </c>
      <c r="T1288" s="104" t="str">
        <f t="shared" si="125"/>
        <v/>
      </c>
      <c r="U1288" s="104" t="str">
        <f t="shared" si="126"/>
        <v/>
      </c>
      <c r="V1288" s="104" t="str">
        <f t="shared" si="127"/>
        <v/>
      </c>
      <c r="W1288" s="105"/>
    </row>
    <row r="1289" spans="1:23">
      <c r="A1289" s="92"/>
      <c r="B1289" s="121"/>
      <c r="C1289" s="107"/>
      <c r="D1289" s="389"/>
      <c r="E1289" s="389"/>
      <c r="F1289" s="118"/>
      <c r="G1289" s="108"/>
      <c r="H1289" s="98"/>
      <c r="I1289" s="99"/>
      <c r="J1289" s="101"/>
      <c r="K1289" s="109"/>
      <c r="L1289" s="110"/>
      <c r="M1289" s="111"/>
      <c r="N1289" s="99"/>
      <c r="O1289" s="112"/>
      <c r="P1289" s="112"/>
      <c r="Q1289" s="104" t="str">
        <f t="shared" si="122"/>
        <v/>
      </c>
      <c r="R1289" s="104" t="str">
        <f t="shared" si="123"/>
        <v/>
      </c>
      <c r="S1289" s="104" t="str">
        <f t="shared" si="124"/>
        <v/>
      </c>
      <c r="T1289" s="104" t="str">
        <f t="shared" si="125"/>
        <v/>
      </c>
      <c r="U1289" s="104" t="str">
        <f t="shared" si="126"/>
        <v/>
      </c>
      <c r="V1289" s="104" t="str">
        <f t="shared" si="127"/>
        <v/>
      </c>
      <c r="W1289" s="105"/>
    </row>
    <row r="1290" spans="1:23" ht="15" customHeight="1">
      <c r="A1290" s="92">
        <v>110</v>
      </c>
      <c r="B1290" s="121" t="s">
        <v>427</v>
      </c>
      <c r="C1290" s="122"/>
      <c r="D1290" s="798">
        <f>0.75-0.05+0.65+1.25</f>
        <v>2.6</v>
      </c>
      <c r="E1290" s="798"/>
      <c r="F1290" s="118"/>
      <c r="G1290" s="108">
        <v>0.25</v>
      </c>
      <c r="H1290" s="98">
        <v>20</v>
      </c>
      <c r="I1290" s="99">
        <v>1</v>
      </c>
      <c r="J1290" s="101">
        <f>ROUND(5.96/G1290+1,0)</f>
        <v>25</v>
      </c>
      <c r="K1290" s="109">
        <f>D1290</f>
        <v>2.6</v>
      </c>
      <c r="L1290" s="110" t="str">
        <f>IF(O1290&lt;12,"0",0.049*H1290)</f>
        <v>0</v>
      </c>
      <c r="M1290" s="111">
        <v>0</v>
      </c>
      <c r="N1290" s="99">
        <f>M1290*2*H1290/1000</f>
        <v>0</v>
      </c>
      <c r="O1290" s="112">
        <f>(D1290)-N1290</f>
        <v>2.6</v>
      </c>
      <c r="P1290" s="112">
        <f>(I1290*J1290*O1290)+L1290</f>
        <v>65</v>
      </c>
      <c r="Q1290" s="104" t="str">
        <f t="shared" si="122"/>
        <v/>
      </c>
      <c r="R1290" s="104" t="str">
        <f t="shared" si="123"/>
        <v/>
      </c>
      <c r="S1290" s="104" t="str">
        <f t="shared" si="124"/>
        <v/>
      </c>
      <c r="T1290" s="104" t="str">
        <f t="shared" si="125"/>
        <v/>
      </c>
      <c r="U1290" s="104">
        <f t="shared" si="126"/>
        <v>65</v>
      </c>
      <c r="V1290" s="104" t="str">
        <f t="shared" si="127"/>
        <v/>
      </c>
      <c r="W1290" s="105"/>
    </row>
    <row r="1291" spans="1:23">
      <c r="A1291" s="92"/>
      <c r="B1291" s="121" t="s">
        <v>321</v>
      </c>
      <c r="C1291" s="107"/>
      <c r="D1291" s="389"/>
      <c r="E1291" s="389"/>
      <c r="F1291" s="118"/>
      <c r="G1291" s="108"/>
      <c r="H1291" s="98"/>
      <c r="I1291" s="99"/>
      <c r="J1291" s="101"/>
      <c r="K1291" s="109"/>
      <c r="L1291" s="110"/>
      <c r="M1291" s="111"/>
      <c r="N1291" s="99"/>
      <c r="O1291" s="112"/>
      <c r="P1291" s="112"/>
      <c r="Q1291" s="104" t="str">
        <f t="shared" si="122"/>
        <v/>
      </c>
      <c r="R1291" s="104" t="str">
        <f t="shared" si="123"/>
        <v/>
      </c>
      <c r="S1291" s="104" t="str">
        <f t="shared" si="124"/>
        <v/>
      </c>
      <c r="T1291" s="104" t="str">
        <f t="shared" si="125"/>
        <v/>
      </c>
      <c r="U1291" s="104" t="str">
        <f t="shared" si="126"/>
        <v/>
      </c>
      <c r="V1291" s="104" t="str">
        <f t="shared" si="127"/>
        <v/>
      </c>
      <c r="W1291" s="105"/>
    </row>
    <row r="1292" spans="1:23">
      <c r="A1292" s="92"/>
      <c r="B1292" s="121"/>
      <c r="C1292" s="107"/>
      <c r="D1292" s="389"/>
      <c r="E1292" s="389"/>
      <c r="F1292" s="118"/>
      <c r="G1292" s="108"/>
      <c r="H1292" s="98"/>
      <c r="I1292" s="99"/>
      <c r="J1292" s="101"/>
      <c r="K1292" s="109"/>
      <c r="L1292" s="110"/>
      <c r="M1292" s="111"/>
      <c r="N1292" s="99"/>
      <c r="O1292" s="112"/>
      <c r="P1292" s="112"/>
      <c r="Q1292" s="104" t="str">
        <f t="shared" si="122"/>
        <v/>
      </c>
      <c r="R1292" s="104" t="str">
        <f t="shared" si="123"/>
        <v/>
      </c>
      <c r="S1292" s="104" t="str">
        <f t="shared" si="124"/>
        <v/>
      </c>
      <c r="T1292" s="104" t="str">
        <f t="shared" si="125"/>
        <v/>
      </c>
      <c r="U1292" s="104" t="str">
        <f t="shared" si="126"/>
        <v/>
      </c>
      <c r="V1292" s="104" t="str">
        <f t="shared" si="127"/>
        <v/>
      </c>
      <c r="W1292" s="105"/>
    </row>
    <row r="1293" spans="1:23" ht="15" customHeight="1">
      <c r="A1293" s="92">
        <v>111</v>
      </c>
      <c r="B1293" s="121" t="s">
        <v>426</v>
      </c>
      <c r="C1293" s="122"/>
      <c r="D1293" s="798">
        <f>0.75-0.05+0.115+0.47+0.515+1.17+1.935+0.055+1</f>
        <v>5.9599999999999991</v>
      </c>
      <c r="E1293" s="798"/>
      <c r="F1293" s="118"/>
      <c r="G1293" s="108">
        <v>0.25</v>
      </c>
      <c r="H1293" s="98">
        <v>20</v>
      </c>
      <c r="I1293" s="99">
        <v>1</v>
      </c>
      <c r="J1293" s="101">
        <f>ROUND(2.35/G1293+1,0)</f>
        <v>10</v>
      </c>
      <c r="K1293" s="109">
        <f>D1293</f>
        <v>5.9599999999999991</v>
      </c>
      <c r="L1293" s="110" t="str">
        <f>IF(O1293&lt;12,"0",0.049*H1293)</f>
        <v>0</v>
      </c>
      <c r="M1293" s="111">
        <v>0</v>
      </c>
      <c r="N1293" s="99">
        <f>M1293*2*H1293/1000</f>
        <v>0</v>
      </c>
      <c r="O1293" s="112">
        <f>(D1293)-N1293</f>
        <v>5.9599999999999991</v>
      </c>
      <c r="P1293" s="112">
        <f>(I1293*J1293*O1293)+L1293</f>
        <v>59.599999999999994</v>
      </c>
      <c r="Q1293" s="104" t="str">
        <f t="shared" si="122"/>
        <v/>
      </c>
      <c r="R1293" s="104" t="str">
        <f t="shared" si="123"/>
        <v/>
      </c>
      <c r="S1293" s="104" t="str">
        <f t="shared" si="124"/>
        <v/>
      </c>
      <c r="T1293" s="104" t="str">
        <f t="shared" si="125"/>
        <v/>
      </c>
      <c r="U1293" s="104">
        <f t="shared" si="126"/>
        <v>59.599999999999994</v>
      </c>
      <c r="V1293" s="104" t="str">
        <f t="shared" si="127"/>
        <v/>
      </c>
      <c r="W1293" s="105"/>
    </row>
    <row r="1294" spans="1:23">
      <c r="A1294" s="92"/>
      <c r="B1294" s="121" t="s">
        <v>322</v>
      </c>
      <c r="C1294" s="107"/>
      <c r="D1294" s="389"/>
      <c r="E1294" s="389"/>
      <c r="F1294" s="118"/>
      <c r="G1294" s="108"/>
      <c r="H1294" s="98"/>
      <c r="I1294" s="99"/>
      <c r="J1294" s="101"/>
      <c r="K1294" s="109"/>
      <c r="L1294" s="110"/>
      <c r="M1294" s="111"/>
      <c r="N1294" s="99"/>
      <c r="O1294" s="112"/>
      <c r="P1294" s="112"/>
      <c r="Q1294" s="104" t="str">
        <f t="shared" si="122"/>
        <v/>
      </c>
      <c r="R1294" s="104" t="str">
        <f t="shared" si="123"/>
        <v/>
      </c>
      <c r="S1294" s="104" t="str">
        <f t="shared" si="124"/>
        <v/>
      </c>
      <c r="T1294" s="104" t="str">
        <f t="shared" si="125"/>
        <v/>
      </c>
      <c r="U1294" s="104" t="str">
        <f t="shared" si="126"/>
        <v/>
      </c>
      <c r="V1294" s="104" t="str">
        <f t="shared" si="127"/>
        <v/>
      </c>
      <c r="W1294" s="105"/>
    </row>
    <row r="1295" spans="1:23">
      <c r="A1295" s="92"/>
      <c r="B1295" s="121"/>
      <c r="C1295" s="107"/>
      <c r="D1295" s="389"/>
      <c r="E1295" s="389"/>
      <c r="F1295" s="118"/>
      <c r="G1295" s="108"/>
      <c r="H1295" s="98"/>
      <c r="I1295" s="99"/>
      <c r="J1295" s="101"/>
      <c r="K1295" s="109"/>
      <c r="L1295" s="110"/>
      <c r="M1295" s="111"/>
      <c r="N1295" s="99"/>
      <c r="O1295" s="112"/>
      <c r="P1295" s="112"/>
      <c r="Q1295" s="104" t="str">
        <f t="shared" si="122"/>
        <v/>
      </c>
      <c r="R1295" s="104" t="str">
        <f t="shared" si="123"/>
        <v/>
      </c>
      <c r="S1295" s="104" t="str">
        <f t="shared" si="124"/>
        <v/>
      </c>
      <c r="T1295" s="104" t="str">
        <f t="shared" si="125"/>
        <v/>
      </c>
      <c r="U1295" s="104" t="str">
        <f t="shared" si="126"/>
        <v/>
      </c>
      <c r="V1295" s="104" t="str">
        <f t="shared" si="127"/>
        <v/>
      </c>
      <c r="W1295" s="105"/>
    </row>
    <row r="1296" spans="1:23" ht="15" customHeight="1">
      <c r="A1296" s="92">
        <v>112</v>
      </c>
      <c r="B1296" s="121" t="s">
        <v>427</v>
      </c>
      <c r="C1296" s="122"/>
      <c r="D1296" s="798">
        <f>0.75-0.05+0.65+1</f>
        <v>2.35</v>
      </c>
      <c r="E1296" s="798"/>
      <c r="F1296" s="118"/>
      <c r="G1296" s="108">
        <v>0.25</v>
      </c>
      <c r="H1296" s="98">
        <v>20</v>
      </c>
      <c r="I1296" s="99">
        <v>1</v>
      </c>
      <c r="J1296" s="101">
        <f>ROUND(5.96/G1296+1,0)</f>
        <v>25</v>
      </c>
      <c r="K1296" s="109">
        <f>D1296</f>
        <v>2.35</v>
      </c>
      <c r="L1296" s="110" t="str">
        <f>IF(O1296&lt;12,"0",0.049*H1296)</f>
        <v>0</v>
      </c>
      <c r="M1296" s="111">
        <v>0</v>
      </c>
      <c r="N1296" s="99">
        <f>M1296*2*H1296/1000</f>
        <v>0</v>
      </c>
      <c r="O1296" s="112">
        <f>(D1296)-N1296</f>
        <v>2.35</v>
      </c>
      <c r="P1296" s="112">
        <f>(I1296*J1296*O1296)+L1296</f>
        <v>58.75</v>
      </c>
      <c r="Q1296" s="104" t="str">
        <f t="shared" si="122"/>
        <v/>
      </c>
      <c r="R1296" s="104" t="str">
        <f t="shared" si="123"/>
        <v/>
      </c>
      <c r="S1296" s="104" t="str">
        <f t="shared" si="124"/>
        <v/>
      </c>
      <c r="T1296" s="104" t="str">
        <f t="shared" si="125"/>
        <v/>
      </c>
      <c r="U1296" s="104">
        <f t="shared" si="126"/>
        <v>58.75</v>
      </c>
      <c r="V1296" s="104" t="str">
        <f t="shared" si="127"/>
        <v/>
      </c>
      <c r="W1296" s="105"/>
    </row>
    <row r="1297" spans="1:23">
      <c r="A1297" s="92"/>
      <c r="B1297" s="121" t="s">
        <v>322</v>
      </c>
      <c r="C1297" s="107"/>
      <c r="D1297" s="389"/>
      <c r="E1297" s="389"/>
      <c r="F1297" s="118"/>
      <c r="G1297" s="108"/>
      <c r="H1297" s="98"/>
      <c r="I1297" s="99"/>
      <c r="J1297" s="101"/>
      <c r="K1297" s="109"/>
      <c r="L1297" s="110"/>
      <c r="M1297" s="111"/>
      <c r="N1297" s="99"/>
      <c r="O1297" s="112"/>
      <c r="P1297" s="112"/>
      <c r="Q1297" s="104" t="str">
        <f t="shared" si="122"/>
        <v/>
      </c>
      <c r="R1297" s="104" t="str">
        <f t="shared" si="123"/>
        <v/>
      </c>
      <c r="S1297" s="104" t="str">
        <f t="shared" si="124"/>
        <v/>
      </c>
      <c r="T1297" s="104" t="str">
        <f t="shared" si="125"/>
        <v/>
      </c>
      <c r="U1297" s="104" t="str">
        <f t="shared" si="126"/>
        <v/>
      </c>
      <c r="V1297" s="104" t="str">
        <f t="shared" si="127"/>
        <v/>
      </c>
      <c r="W1297" s="105"/>
    </row>
    <row r="1298" spans="1:23">
      <c r="A1298" s="92"/>
      <c r="B1298" s="121"/>
      <c r="C1298" s="107"/>
      <c r="D1298" s="389"/>
      <c r="E1298" s="389"/>
      <c r="F1298" s="118"/>
      <c r="G1298" s="108"/>
      <c r="H1298" s="98"/>
      <c r="I1298" s="99"/>
      <c r="J1298" s="101"/>
      <c r="K1298" s="109"/>
      <c r="L1298" s="110"/>
      <c r="M1298" s="111"/>
      <c r="N1298" s="99"/>
      <c r="O1298" s="112"/>
      <c r="P1298" s="112"/>
      <c r="Q1298" s="104" t="str">
        <f t="shared" si="122"/>
        <v/>
      </c>
      <c r="R1298" s="104" t="str">
        <f t="shared" si="123"/>
        <v/>
      </c>
      <c r="S1298" s="104" t="str">
        <f t="shared" si="124"/>
        <v/>
      </c>
      <c r="T1298" s="104" t="str">
        <f t="shared" si="125"/>
        <v/>
      </c>
      <c r="U1298" s="104" t="str">
        <f t="shared" si="126"/>
        <v/>
      </c>
      <c r="V1298" s="104" t="str">
        <f t="shared" si="127"/>
        <v/>
      </c>
      <c r="W1298" s="105"/>
    </row>
    <row r="1299" spans="1:23" ht="15" customHeight="1">
      <c r="A1299" s="92">
        <v>113</v>
      </c>
      <c r="B1299" s="121" t="s">
        <v>426</v>
      </c>
      <c r="C1299" s="122"/>
      <c r="D1299" s="798">
        <f>0.75-0.05+0.6+1</f>
        <v>2.2999999999999998</v>
      </c>
      <c r="E1299" s="798"/>
      <c r="F1299" s="118"/>
      <c r="G1299" s="108">
        <v>0.25</v>
      </c>
      <c r="H1299" s="98">
        <v>20</v>
      </c>
      <c r="I1299" s="99">
        <v>1</v>
      </c>
      <c r="J1299" s="101">
        <f>ROUND(3.1/G1299+1,0)</f>
        <v>13</v>
      </c>
      <c r="K1299" s="109">
        <f>D1299</f>
        <v>2.2999999999999998</v>
      </c>
      <c r="L1299" s="110" t="str">
        <f>IF(O1299&lt;12,"0",0.049*H1299)</f>
        <v>0</v>
      </c>
      <c r="M1299" s="111">
        <v>0</v>
      </c>
      <c r="N1299" s="99">
        <f>M1299*2*H1299/1000</f>
        <v>0</v>
      </c>
      <c r="O1299" s="112">
        <f>(D1299)-N1299</f>
        <v>2.2999999999999998</v>
      </c>
      <c r="P1299" s="112">
        <f>(I1299*J1299*O1299)+L1299</f>
        <v>29.9</v>
      </c>
      <c r="Q1299" s="104" t="str">
        <f t="shared" si="122"/>
        <v/>
      </c>
      <c r="R1299" s="104" t="str">
        <f t="shared" si="123"/>
        <v/>
      </c>
      <c r="S1299" s="104" t="str">
        <f t="shared" si="124"/>
        <v/>
      </c>
      <c r="T1299" s="104" t="str">
        <f t="shared" si="125"/>
        <v/>
      </c>
      <c r="U1299" s="104">
        <f t="shared" si="126"/>
        <v>29.9</v>
      </c>
      <c r="V1299" s="104" t="str">
        <f t="shared" si="127"/>
        <v/>
      </c>
      <c r="W1299" s="105"/>
    </row>
    <row r="1300" spans="1:23">
      <c r="A1300" s="92"/>
      <c r="B1300" s="121" t="s">
        <v>323</v>
      </c>
      <c r="C1300" s="107"/>
      <c r="D1300" s="389"/>
      <c r="E1300" s="389"/>
      <c r="F1300" s="118"/>
      <c r="G1300" s="108"/>
      <c r="H1300" s="98"/>
      <c r="I1300" s="99"/>
      <c r="J1300" s="101"/>
      <c r="K1300" s="109"/>
      <c r="L1300" s="110"/>
      <c r="M1300" s="111"/>
      <c r="N1300" s="99"/>
      <c r="O1300" s="112"/>
      <c r="P1300" s="112"/>
      <c r="Q1300" s="104" t="str">
        <f t="shared" si="122"/>
        <v/>
      </c>
      <c r="R1300" s="104" t="str">
        <f t="shared" si="123"/>
        <v/>
      </c>
      <c r="S1300" s="104" t="str">
        <f t="shared" si="124"/>
        <v/>
      </c>
      <c r="T1300" s="104" t="str">
        <f t="shared" si="125"/>
        <v/>
      </c>
      <c r="U1300" s="104" t="str">
        <f t="shared" si="126"/>
        <v/>
      </c>
      <c r="V1300" s="104" t="str">
        <f t="shared" si="127"/>
        <v/>
      </c>
      <c r="W1300" s="105"/>
    </row>
    <row r="1301" spans="1:23">
      <c r="A1301" s="92"/>
      <c r="B1301" s="121"/>
      <c r="C1301" s="107"/>
      <c r="D1301" s="389"/>
      <c r="E1301" s="389"/>
      <c r="F1301" s="118"/>
      <c r="G1301" s="108"/>
      <c r="H1301" s="98"/>
      <c r="I1301" s="99"/>
      <c r="J1301" s="101"/>
      <c r="K1301" s="109"/>
      <c r="L1301" s="110"/>
      <c r="M1301" s="111"/>
      <c r="N1301" s="99"/>
      <c r="O1301" s="112"/>
      <c r="P1301" s="112"/>
      <c r="Q1301" s="104" t="str">
        <f t="shared" si="122"/>
        <v/>
      </c>
      <c r="R1301" s="104" t="str">
        <f t="shared" si="123"/>
        <v/>
      </c>
      <c r="S1301" s="104" t="str">
        <f t="shared" si="124"/>
        <v/>
      </c>
      <c r="T1301" s="104" t="str">
        <f t="shared" si="125"/>
        <v/>
      </c>
      <c r="U1301" s="104" t="str">
        <f t="shared" si="126"/>
        <v/>
      </c>
      <c r="V1301" s="104" t="str">
        <f t="shared" si="127"/>
        <v/>
      </c>
      <c r="W1301" s="105"/>
    </row>
    <row r="1302" spans="1:23" ht="15" customHeight="1">
      <c r="A1302" s="92">
        <v>114</v>
      </c>
      <c r="B1302" s="121" t="s">
        <v>427</v>
      </c>
      <c r="C1302" s="122"/>
      <c r="D1302" s="798">
        <f>1.25+0.3+1.25</f>
        <v>2.8</v>
      </c>
      <c r="E1302" s="798"/>
      <c r="F1302" s="118"/>
      <c r="G1302" s="108">
        <v>0.25</v>
      </c>
      <c r="H1302" s="98">
        <v>25</v>
      </c>
      <c r="I1302" s="99">
        <v>1</v>
      </c>
      <c r="J1302" s="101">
        <f>ROUND(2.3/G1302+1,0)</f>
        <v>10</v>
      </c>
      <c r="K1302" s="109">
        <f>D1302</f>
        <v>2.8</v>
      </c>
      <c r="L1302" s="110" t="str">
        <f>IF(O1302&lt;12,"0",0.049*H1302)</f>
        <v>0</v>
      </c>
      <c r="M1302" s="111">
        <v>0</v>
      </c>
      <c r="N1302" s="99">
        <f>M1302*2*H1302/1000</f>
        <v>0</v>
      </c>
      <c r="O1302" s="112">
        <f>(D1302)-N1302</f>
        <v>2.8</v>
      </c>
      <c r="P1302" s="112">
        <f>(I1302*J1302*O1302)+L1302</f>
        <v>28</v>
      </c>
      <c r="Q1302" s="104" t="str">
        <f t="shared" si="122"/>
        <v/>
      </c>
      <c r="R1302" s="104" t="str">
        <f t="shared" si="123"/>
        <v/>
      </c>
      <c r="S1302" s="104" t="str">
        <f t="shared" si="124"/>
        <v/>
      </c>
      <c r="T1302" s="104" t="str">
        <f t="shared" si="125"/>
        <v/>
      </c>
      <c r="U1302" s="104" t="str">
        <f t="shared" si="126"/>
        <v/>
      </c>
      <c r="V1302" s="104">
        <f t="shared" si="127"/>
        <v>28</v>
      </c>
      <c r="W1302" s="105"/>
    </row>
    <row r="1303" spans="1:23">
      <c r="A1303" s="92"/>
      <c r="B1303" s="121" t="s">
        <v>323</v>
      </c>
      <c r="C1303" s="107"/>
      <c r="D1303" s="389"/>
      <c r="E1303" s="389"/>
      <c r="F1303" s="118"/>
      <c r="G1303" s="108"/>
      <c r="H1303" s="98"/>
      <c r="I1303" s="99"/>
      <c r="J1303" s="101"/>
      <c r="K1303" s="109"/>
      <c r="L1303" s="110"/>
      <c r="M1303" s="111"/>
      <c r="N1303" s="99"/>
      <c r="O1303" s="112"/>
      <c r="P1303" s="112"/>
      <c r="Q1303" s="104" t="str">
        <f t="shared" si="122"/>
        <v/>
      </c>
      <c r="R1303" s="104" t="str">
        <f t="shared" si="123"/>
        <v/>
      </c>
      <c r="S1303" s="104" t="str">
        <f t="shared" si="124"/>
        <v/>
      </c>
      <c r="T1303" s="104" t="str">
        <f t="shared" si="125"/>
        <v/>
      </c>
      <c r="U1303" s="104" t="str">
        <f t="shared" si="126"/>
        <v/>
      </c>
      <c r="V1303" s="104" t="str">
        <f t="shared" si="127"/>
        <v/>
      </c>
      <c r="W1303" s="105"/>
    </row>
    <row r="1304" spans="1:23">
      <c r="A1304" s="92"/>
      <c r="B1304" s="121"/>
      <c r="C1304" s="107"/>
      <c r="D1304" s="389"/>
      <c r="E1304" s="389"/>
      <c r="F1304" s="118"/>
      <c r="G1304" s="108"/>
      <c r="H1304" s="98"/>
      <c r="I1304" s="99"/>
      <c r="J1304" s="101"/>
      <c r="K1304" s="109"/>
      <c r="L1304" s="110"/>
      <c r="M1304" s="111"/>
      <c r="N1304" s="99"/>
      <c r="O1304" s="112"/>
      <c r="P1304" s="112"/>
      <c r="Q1304" s="104" t="str">
        <f t="shared" si="122"/>
        <v/>
      </c>
      <c r="R1304" s="104" t="str">
        <f t="shared" si="123"/>
        <v/>
      </c>
      <c r="S1304" s="104" t="str">
        <f t="shared" si="124"/>
        <v/>
      </c>
      <c r="T1304" s="104" t="str">
        <f t="shared" si="125"/>
        <v/>
      </c>
      <c r="U1304" s="104" t="str">
        <f t="shared" si="126"/>
        <v/>
      </c>
      <c r="V1304" s="104" t="str">
        <f t="shared" si="127"/>
        <v/>
      </c>
      <c r="W1304" s="105"/>
    </row>
    <row r="1305" spans="1:23" ht="15" customHeight="1">
      <c r="A1305" s="92">
        <v>115</v>
      </c>
      <c r="B1305" s="121" t="s">
        <v>426</v>
      </c>
      <c r="C1305" s="122"/>
      <c r="D1305" s="798">
        <f>0.75-0.05+0.715+1</f>
        <v>2.415</v>
      </c>
      <c r="E1305" s="798"/>
      <c r="F1305" s="118"/>
      <c r="G1305" s="108">
        <v>0.25</v>
      </c>
      <c r="H1305" s="98">
        <v>20</v>
      </c>
      <c r="I1305" s="99">
        <v>1</v>
      </c>
      <c r="J1305" s="101">
        <f>ROUND(2.3/G1305+1,0)</f>
        <v>10</v>
      </c>
      <c r="K1305" s="109">
        <f>D1305</f>
        <v>2.415</v>
      </c>
      <c r="L1305" s="110" t="str">
        <f>IF(O1305&lt;12,"0",0.049*H1305)</f>
        <v>0</v>
      </c>
      <c r="M1305" s="111">
        <v>0</v>
      </c>
      <c r="N1305" s="99">
        <f>M1305*2*H1305/1000</f>
        <v>0</v>
      </c>
      <c r="O1305" s="112">
        <f>(D1305)-N1305</f>
        <v>2.415</v>
      </c>
      <c r="P1305" s="112">
        <f>(I1305*J1305*O1305)+L1305</f>
        <v>24.15</v>
      </c>
      <c r="Q1305" s="104" t="str">
        <f t="shared" si="122"/>
        <v/>
      </c>
      <c r="R1305" s="104" t="str">
        <f t="shared" si="123"/>
        <v/>
      </c>
      <c r="S1305" s="104" t="str">
        <f t="shared" si="124"/>
        <v/>
      </c>
      <c r="T1305" s="104" t="str">
        <f t="shared" si="125"/>
        <v/>
      </c>
      <c r="U1305" s="104">
        <f t="shared" si="126"/>
        <v>24.15</v>
      </c>
      <c r="V1305" s="104" t="str">
        <f t="shared" si="127"/>
        <v/>
      </c>
      <c r="W1305" s="105"/>
    </row>
    <row r="1306" spans="1:23">
      <c r="A1306" s="92"/>
      <c r="B1306" s="121" t="s">
        <v>324</v>
      </c>
      <c r="C1306" s="107"/>
      <c r="D1306" s="389"/>
      <c r="E1306" s="389"/>
      <c r="F1306" s="118"/>
      <c r="G1306" s="108"/>
      <c r="H1306" s="98"/>
      <c r="I1306" s="99"/>
      <c r="J1306" s="101"/>
      <c r="K1306" s="109"/>
      <c r="L1306" s="110"/>
      <c r="M1306" s="111"/>
      <c r="N1306" s="99"/>
      <c r="O1306" s="112"/>
      <c r="P1306" s="112"/>
      <c r="Q1306" s="104" t="str">
        <f t="shared" si="122"/>
        <v/>
      </c>
      <c r="R1306" s="104" t="str">
        <f t="shared" si="123"/>
        <v/>
      </c>
      <c r="S1306" s="104" t="str">
        <f t="shared" si="124"/>
        <v/>
      </c>
      <c r="T1306" s="104" t="str">
        <f t="shared" si="125"/>
        <v/>
      </c>
      <c r="U1306" s="104" t="str">
        <f t="shared" si="126"/>
        <v/>
      </c>
      <c r="V1306" s="104" t="str">
        <f t="shared" si="127"/>
        <v/>
      </c>
      <c r="W1306" s="105"/>
    </row>
    <row r="1307" spans="1:23">
      <c r="A1307" s="92"/>
      <c r="B1307" s="121"/>
      <c r="C1307" s="107"/>
      <c r="D1307" s="389"/>
      <c r="E1307" s="389"/>
      <c r="F1307" s="118"/>
      <c r="G1307" s="108"/>
      <c r="H1307" s="98"/>
      <c r="I1307" s="99"/>
      <c r="J1307" s="101"/>
      <c r="K1307" s="109"/>
      <c r="L1307" s="110"/>
      <c r="M1307" s="111"/>
      <c r="N1307" s="99"/>
      <c r="O1307" s="112"/>
      <c r="P1307" s="112"/>
      <c r="Q1307" s="104" t="str">
        <f t="shared" si="122"/>
        <v/>
      </c>
      <c r="R1307" s="104" t="str">
        <f t="shared" si="123"/>
        <v/>
      </c>
      <c r="S1307" s="104" t="str">
        <f t="shared" si="124"/>
        <v/>
      </c>
      <c r="T1307" s="104" t="str">
        <f t="shared" si="125"/>
        <v/>
      </c>
      <c r="U1307" s="104" t="str">
        <f t="shared" si="126"/>
        <v/>
      </c>
      <c r="V1307" s="104" t="str">
        <f t="shared" si="127"/>
        <v/>
      </c>
      <c r="W1307" s="105"/>
    </row>
    <row r="1308" spans="1:23" ht="15" customHeight="1">
      <c r="A1308" s="92">
        <v>116</v>
      </c>
      <c r="B1308" s="121" t="s">
        <v>427</v>
      </c>
      <c r="C1308" s="122"/>
      <c r="D1308" s="798">
        <f>1+0.3+1</f>
        <v>2.2999999999999998</v>
      </c>
      <c r="E1308" s="798"/>
      <c r="F1308" s="118"/>
      <c r="G1308" s="108">
        <v>0.25</v>
      </c>
      <c r="H1308" s="98">
        <v>20</v>
      </c>
      <c r="I1308" s="99">
        <v>1</v>
      </c>
      <c r="J1308" s="101">
        <f>ROUND(1.835/G1308+1,0)</f>
        <v>8</v>
      </c>
      <c r="K1308" s="109">
        <f>D1308</f>
        <v>2.2999999999999998</v>
      </c>
      <c r="L1308" s="110" t="str">
        <f>IF(O1308&lt;12,"0",0.049*H1308)</f>
        <v>0</v>
      </c>
      <c r="M1308" s="111">
        <v>0</v>
      </c>
      <c r="N1308" s="99">
        <f>M1308*2*H1308/1000</f>
        <v>0</v>
      </c>
      <c r="O1308" s="112">
        <f>(D1308)-N1308</f>
        <v>2.2999999999999998</v>
      </c>
      <c r="P1308" s="112">
        <f>(I1308*J1308*O1308)+L1308</f>
        <v>18.399999999999999</v>
      </c>
      <c r="Q1308" s="104" t="str">
        <f t="shared" si="122"/>
        <v/>
      </c>
      <c r="R1308" s="104" t="str">
        <f t="shared" si="123"/>
        <v/>
      </c>
      <c r="S1308" s="104" t="str">
        <f t="shared" si="124"/>
        <v/>
      </c>
      <c r="T1308" s="104" t="str">
        <f t="shared" si="125"/>
        <v/>
      </c>
      <c r="U1308" s="104">
        <f t="shared" si="126"/>
        <v>18.399999999999999</v>
      </c>
      <c r="V1308" s="104" t="str">
        <f t="shared" si="127"/>
        <v/>
      </c>
      <c r="W1308" s="105"/>
    </row>
    <row r="1309" spans="1:23">
      <c r="A1309" s="92"/>
      <c r="B1309" s="121" t="s">
        <v>324</v>
      </c>
      <c r="C1309" s="107"/>
      <c r="D1309" s="389"/>
      <c r="E1309" s="389"/>
      <c r="F1309" s="118"/>
      <c r="G1309" s="108"/>
      <c r="H1309" s="98"/>
      <c r="I1309" s="99"/>
      <c r="J1309" s="101"/>
      <c r="K1309" s="109"/>
      <c r="L1309" s="110"/>
      <c r="M1309" s="111"/>
      <c r="N1309" s="99"/>
      <c r="O1309" s="112"/>
      <c r="P1309" s="112"/>
      <c r="Q1309" s="104" t="str">
        <f t="shared" si="122"/>
        <v/>
      </c>
      <c r="R1309" s="104" t="str">
        <f t="shared" si="123"/>
        <v/>
      </c>
      <c r="S1309" s="104" t="str">
        <f t="shared" si="124"/>
        <v/>
      </c>
      <c r="T1309" s="104" t="str">
        <f t="shared" si="125"/>
        <v/>
      </c>
      <c r="U1309" s="104" t="str">
        <f t="shared" si="126"/>
        <v/>
      </c>
      <c r="V1309" s="104" t="str">
        <f t="shared" si="127"/>
        <v/>
      </c>
      <c r="W1309" s="105"/>
    </row>
    <row r="1310" spans="1:23">
      <c r="A1310" s="92"/>
      <c r="B1310" s="121"/>
      <c r="C1310" s="107"/>
      <c r="D1310" s="389"/>
      <c r="E1310" s="389"/>
      <c r="F1310" s="118"/>
      <c r="G1310" s="108"/>
      <c r="H1310" s="98"/>
      <c r="I1310" s="99"/>
      <c r="J1310" s="101"/>
      <c r="K1310" s="109"/>
      <c r="L1310" s="110"/>
      <c r="M1310" s="111"/>
      <c r="N1310" s="99"/>
      <c r="O1310" s="112"/>
      <c r="P1310" s="112"/>
      <c r="Q1310" s="104" t="str">
        <f t="shared" si="122"/>
        <v/>
      </c>
      <c r="R1310" s="104" t="str">
        <f t="shared" si="123"/>
        <v/>
      </c>
      <c r="S1310" s="104" t="str">
        <f t="shared" si="124"/>
        <v/>
      </c>
      <c r="T1310" s="104" t="str">
        <f t="shared" si="125"/>
        <v/>
      </c>
      <c r="U1310" s="104" t="str">
        <f t="shared" si="126"/>
        <v/>
      </c>
      <c r="V1310" s="104" t="str">
        <f t="shared" si="127"/>
        <v/>
      </c>
      <c r="W1310" s="105"/>
    </row>
    <row r="1311" spans="1:23" ht="15" customHeight="1">
      <c r="A1311" s="92">
        <v>117</v>
      </c>
      <c r="B1311" s="121" t="s">
        <v>426</v>
      </c>
      <c r="C1311" s="122"/>
      <c r="D1311" s="798">
        <f>0.75-0.05+0.715+1</f>
        <v>2.415</v>
      </c>
      <c r="E1311" s="798"/>
      <c r="F1311" s="118"/>
      <c r="G1311" s="108">
        <v>0.25</v>
      </c>
      <c r="H1311" s="98">
        <v>20</v>
      </c>
      <c r="I1311" s="99">
        <v>1</v>
      </c>
      <c r="J1311" s="101">
        <f>ROUND(2.3/G1311+1,0)</f>
        <v>10</v>
      </c>
      <c r="K1311" s="109">
        <f>D1311</f>
        <v>2.415</v>
      </c>
      <c r="L1311" s="110" t="str">
        <f>IF(O1311&lt;12,"0",0.049*H1311)</f>
        <v>0</v>
      </c>
      <c r="M1311" s="111">
        <v>0</v>
      </c>
      <c r="N1311" s="99">
        <f>M1311*2*H1311/1000</f>
        <v>0</v>
      </c>
      <c r="O1311" s="112">
        <f>(D1311)-N1311</f>
        <v>2.415</v>
      </c>
      <c r="P1311" s="112">
        <f>(I1311*J1311*O1311)+L1311</f>
        <v>24.15</v>
      </c>
      <c r="Q1311" s="104" t="str">
        <f t="shared" si="122"/>
        <v/>
      </c>
      <c r="R1311" s="104" t="str">
        <f t="shared" si="123"/>
        <v/>
      </c>
      <c r="S1311" s="104" t="str">
        <f t="shared" si="124"/>
        <v/>
      </c>
      <c r="T1311" s="104" t="str">
        <f t="shared" si="125"/>
        <v/>
      </c>
      <c r="U1311" s="104">
        <f t="shared" si="126"/>
        <v>24.15</v>
      </c>
      <c r="V1311" s="104" t="str">
        <f t="shared" si="127"/>
        <v/>
      </c>
      <c r="W1311" s="105"/>
    </row>
    <row r="1312" spans="1:23">
      <c r="A1312" s="92"/>
      <c r="B1312" s="121" t="s">
        <v>325</v>
      </c>
      <c r="C1312" s="107"/>
      <c r="D1312" s="389"/>
      <c r="E1312" s="389"/>
      <c r="F1312" s="118"/>
      <c r="G1312" s="108"/>
      <c r="H1312" s="98"/>
      <c r="I1312" s="99"/>
      <c r="J1312" s="101"/>
      <c r="K1312" s="109"/>
      <c r="L1312" s="110"/>
      <c r="M1312" s="111"/>
      <c r="N1312" s="99"/>
      <c r="O1312" s="112"/>
      <c r="P1312" s="112"/>
      <c r="Q1312" s="104" t="str">
        <f t="shared" si="122"/>
        <v/>
      </c>
      <c r="R1312" s="104" t="str">
        <f t="shared" si="123"/>
        <v/>
      </c>
      <c r="S1312" s="104" t="str">
        <f t="shared" si="124"/>
        <v/>
      </c>
      <c r="T1312" s="104" t="str">
        <f t="shared" si="125"/>
        <v/>
      </c>
      <c r="U1312" s="104" t="str">
        <f t="shared" si="126"/>
        <v/>
      </c>
      <c r="V1312" s="104" t="str">
        <f t="shared" si="127"/>
        <v/>
      </c>
      <c r="W1312" s="105"/>
    </row>
    <row r="1313" spans="1:23">
      <c r="A1313" s="92"/>
      <c r="B1313" s="121"/>
      <c r="C1313" s="107"/>
      <c r="D1313" s="389"/>
      <c r="E1313" s="389"/>
      <c r="F1313" s="118"/>
      <c r="G1313" s="108"/>
      <c r="H1313" s="98"/>
      <c r="I1313" s="99"/>
      <c r="J1313" s="101"/>
      <c r="K1313" s="109"/>
      <c r="L1313" s="110"/>
      <c r="M1313" s="111"/>
      <c r="N1313" s="99"/>
      <c r="O1313" s="112"/>
      <c r="P1313" s="112"/>
      <c r="Q1313" s="104" t="str">
        <f t="shared" si="122"/>
        <v/>
      </c>
      <c r="R1313" s="104" t="str">
        <f t="shared" si="123"/>
        <v/>
      </c>
      <c r="S1313" s="104" t="str">
        <f t="shared" si="124"/>
        <v/>
      </c>
      <c r="T1313" s="104" t="str">
        <f t="shared" si="125"/>
        <v/>
      </c>
      <c r="U1313" s="104" t="str">
        <f t="shared" si="126"/>
        <v/>
      </c>
      <c r="V1313" s="104" t="str">
        <f t="shared" si="127"/>
        <v/>
      </c>
      <c r="W1313" s="105"/>
    </row>
    <row r="1314" spans="1:23" ht="15" customHeight="1">
      <c r="A1314" s="92">
        <v>118</v>
      </c>
      <c r="B1314" s="121" t="s">
        <v>427</v>
      </c>
      <c r="C1314" s="122"/>
      <c r="D1314" s="798">
        <f>1+0.3+1</f>
        <v>2.2999999999999998</v>
      </c>
      <c r="E1314" s="798"/>
      <c r="F1314" s="118"/>
      <c r="G1314" s="108">
        <v>0.25</v>
      </c>
      <c r="H1314" s="98">
        <v>20</v>
      </c>
      <c r="I1314" s="99">
        <v>1</v>
      </c>
      <c r="J1314" s="101">
        <f>ROUND(1.835/G1314+1,0)</f>
        <v>8</v>
      </c>
      <c r="K1314" s="109">
        <f>D1314</f>
        <v>2.2999999999999998</v>
      </c>
      <c r="L1314" s="110" t="str">
        <f>IF(O1314&lt;12,"0",0.049*H1314)</f>
        <v>0</v>
      </c>
      <c r="M1314" s="111">
        <v>0</v>
      </c>
      <c r="N1314" s="99">
        <f>M1314*2*H1314/1000</f>
        <v>0</v>
      </c>
      <c r="O1314" s="112">
        <f>(D1314)-N1314</f>
        <v>2.2999999999999998</v>
      </c>
      <c r="P1314" s="112">
        <f>(I1314*J1314*O1314)+L1314</f>
        <v>18.399999999999999</v>
      </c>
      <c r="Q1314" s="104" t="str">
        <f t="shared" si="122"/>
        <v/>
      </c>
      <c r="R1314" s="104" t="str">
        <f t="shared" si="123"/>
        <v/>
      </c>
      <c r="S1314" s="104" t="str">
        <f t="shared" si="124"/>
        <v/>
      </c>
      <c r="T1314" s="104" t="str">
        <f t="shared" si="125"/>
        <v/>
      </c>
      <c r="U1314" s="104">
        <f t="shared" si="126"/>
        <v>18.399999999999999</v>
      </c>
      <c r="V1314" s="104" t="str">
        <f t="shared" si="127"/>
        <v/>
      </c>
      <c r="W1314" s="105"/>
    </row>
    <row r="1315" spans="1:23">
      <c r="A1315" s="92"/>
      <c r="B1315" s="121" t="s">
        <v>325</v>
      </c>
      <c r="C1315" s="107"/>
      <c r="D1315" s="389"/>
      <c r="E1315" s="389"/>
      <c r="F1315" s="118"/>
      <c r="G1315" s="108"/>
      <c r="H1315" s="98"/>
      <c r="I1315" s="99"/>
      <c r="J1315" s="101"/>
      <c r="K1315" s="109"/>
      <c r="L1315" s="110"/>
      <c r="M1315" s="111"/>
      <c r="N1315" s="99"/>
      <c r="O1315" s="112"/>
      <c r="P1315" s="112"/>
      <c r="Q1315" s="104" t="str">
        <f t="shared" si="122"/>
        <v/>
      </c>
      <c r="R1315" s="104" t="str">
        <f t="shared" si="123"/>
        <v/>
      </c>
      <c r="S1315" s="104" t="str">
        <f t="shared" si="124"/>
        <v/>
      </c>
      <c r="T1315" s="104" t="str">
        <f t="shared" si="125"/>
        <v/>
      </c>
      <c r="U1315" s="104" t="str">
        <f t="shared" si="126"/>
        <v/>
      </c>
      <c r="V1315" s="104" t="str">
        <f t="shared" si="127"/>
        <v/>
      </c>
      <c r="W1315" s="105"/>
    </row>
    <row r="1316" spans="1:23">
      <c r="A1316" s="92"/>
      <c r="B1316" s="121"/>
      <c r="C1316" s="107"/>
      <c r="D1316" s="389"/>
      <c r="E1316" s="389"/>
      <c r="F1316" s="118"/>
      <c r="G1316" s="108"/>
      <c r="H1316" s="98"/>
      <c r="I1316" s="99"/>
      <c r="J1316" s="101"/>
      <c r="K1316" s="109"/>
      <c r="L1316" s="110"/>
      <c r="M1316" s="111"/>
      <c r="N1316" s="99"/>
      <c r="O1316" s="112"/>
      <c r="P1316" s="112"/>
      <c r="Q1316" s="104" t="str">
        <f t="shared" si="122"/>
        <v/>
      </c>
      <c r="R1316" s="104" t="str">
        <f t="shared" si="123"/>
        <v/>
      </c>
      <c r="S1316" s="104" t="str">
        <f t="shared" si="124"/>
        <v/>
      </c>
      <c r="T1316" s="104" t="str">
        <f t="shared" si="125"/>
        <v/>
      </c>
      <c r="U1316" s="104" t="str">
        <f t="shared" si="126"/>
        <v/>
      </c>
      <c r="V1316" s="104" t="str">
        <f t="shared" si="127"/>
        <v/>
      </c>
      <c r="W1316" s="105"/>
    </row>
    <row r="1317" spans="1:23" ht="15" customHeight="1">
      <c r="A1317" s="92">
        <v>119</v>
      </c>
      <c r="B1317" s="121" t="s">
        <v>426</v>
      </c>
      <c r="C1317" s="122"/>
      <c r="D1317" s="798">
        <f>0.75-0.05+0.6+1</f>
        <v>2.2999999999999998</v>
      </c>
      <c r="E1317" s="798"/>
      <c r="F1317" s="118"/>
      <c r="G1317" s="108">
        <v>0.25</v>
      </c>
      <c r="H1317" s="98">
        <v>20</v>
      </c>
      <c r="I1317" s="99">
        <v>1</v>
      </c>
      <c r="J1317" s="101">
        <f>ROUND(3.1/G1317+1,0)</f>
        <v>13</v>
      </c>
      <c r="K1317" s="109">
        <f>D1317</f>
        <v>2.2999999999999998</v>
      </c>
      <c r="L1317" s="110" t="str">
        <f>IF(O1317&lt;12,"0",0.049*H1317)</f>
        <v>0</v>
      </c>
      <c r="M1317" s="111">
        <v>0</v>
      </c>
      <c r="N1317" s="99">
        <f>M1317*2*H1317/1000</f>
        <v>0</v>
      </c>
      <c r="O1317" s="112">
        <f>(D1317)-N1317</f>
        <v>2.2999999999999998</v>
      </c>
      <c r="P1317" s="112">
        <f>(I1317*J1317*O1317)+L1317</f>
        <v>29.9</v>
      </c>
      <c r="Q1317" s="104" t="str">
        <f t="shared" si="122"/>
        <v/>
      </c>
      <c r="R1317" s="104" t="str">
        <f t="shared" si="123"/>
        <v/>
      </c>
      <c r="S1317" s="104" t="str">
        <f t="shared" si="124"/>
        <v/>
      </c>
      <c r="T1317" s="104" t="str">
        <f t="shared" si="125"/>
        <v/>
      </c>
      <c r="U1317" s="104">
        <f t="shared" si="126"/>
        <v>29.9</v>
      </c>
      <c r="V1317" s="104" t="str">
        <f t="shared" si="127"/>
        <v/>
      </c>
      <c r="W1317" s="105"/>
    </row>
    <row r="1318" spans="1:23">
      <c r="A1318" s="92"/>
      <c r="B1318" s="121" t="s">
        <v>326</v>
      </c>
      <c r="C1318" s="107"/>
      <c r="D1318" s="389"/>
      <c r="E1318" s="389"/>
      <c r="F1318" s="118"/>
      <c r="G1318" s="108"/>
      <c r="H1318" s="98"/>
      <c r="I1318" s="99"/>
      <c r="J1318" s="101"/>
      <c r="K1318" s="109"/>
      <c r="L1318" s="110"/>
      <c r="M1318" s="111"/>
      <c r="N1318" s="99"/>
      <c r="O1318" s="112"/>
      <c r="P1318" s="112"/>
      <c r="Q1318" s="104" t="str">
        <f t="shared" si="122"/>
        <v/>
      </c>
      <c r="R1318" s="104" t="str">
        <f t="shared" si="123"/>
        <v/>
      </c>
      <c r="S1318" s="104" t="str">
        <f t="shared" si="124"/>
        <v/>
      </c>
      <c r="T1318" s="104" t="str">
        <f t="shared" si="125"/>
        <v/>
      </c>
      <c r="U1318" s="104" t="str">
        <f t="shared" si="126"/>
        <v/>
      </c>
      <c r="V1318" s="104" t="str">
        <f t="shared" si="127"/>
        <v/>
      </c>
      <c r="W1318" s="105"/>
    </row>
    <row r="1319" spans="1:23">
      <c r="A1319" s="92"/>
      <c r="B1319" s="121"/>
      <c r="C1319" s="107"/>
      <c r="D1319" s="389"/>
      <c r="E1319" s="389"/>
      <c r="F1319" s="118"/>
      <c r="G1319" s="108"/>
      <c r="H1319" s="98"/>
      <c r="I1319" s="99"/>
      <c r="J1319" s="101"/>
      <c r="K1319" s="109"/>
      <c r="L1319" s="110"/>
      <c r="M1319" s="111"/>
      <c r="N1319" s="99"/>
      <c r="O1319" s="112"/>
      <c r="P1319" s="112"/>
      <c r="Q1319" s="104" t="str">
        <f t="shared" si="122"/>
        <v/>
      </c>
      <c r="R1319" s="104" t="str">
        <f t="shared" si="123"/>
        <v/>
      </c>
      <c r="S1319" s="104" t="str">
        <f t="shared" si="124"/>
        <v/>
      </c>
      <c r="T1319" s="104" t="str">
        <f t="shared" si="125"/>
        <v/>
      </c>
      <c r="U1319" s="104" t="str">
        <f t="shared" si="126"/>
        <v/>
      </c>
      <c r="V1319" s="104" t="str">
        <f t="shared" si="127"/>
        <v/>
      </c>
      <c r="W1319" s="105"/>
    </row>
    <row r="1320" spans="1:23" ht="15" customHeight="1">
      <c r="A1320" s="92">
        <v>120</v>
      </c>
      <c r="B1320" s="121" t="s">
        <v>427</v>
      </c>
      <c r="C1320" s="122"/>
      <c r="D1320" s="798">
        <f>1.25+0.3+1.25</f>
        <v>2.8</v>
      </c>
      <c r="E1320" s="798"/>
      <c r="F1320" s="118"/>
      <c r="G1320" s="108">
        <v>0.25</v>
      </c>
      <c r="H1320" s="98">
        <v>25</v>
      </c>
      <c r="I1320" s="99">
        <v>1</v>
      </c>
      <c r="J1320" s="101">
        <f>ROUND(2.3/G1320+1,0)</f>
        <v>10</v>
      </c>
      <c r="K1320" s="109">
        <f>D1320</f>
        <v>2.8</v>
      </c>
      <c r="L1320" s="110" t="str">
        <f>IF(O1320&lt;12,"0",0.049*H1320)</f>
        <v>0</v>
      </c>
      <c r="M1320" s="111">
        <v>0</v>
      </c>
      <c r="N1320" s="99">
        <f>M1320*2*H1320/1000</f>
        <v>0</v>
      </c>
      <c r="O1320" s="112">
        <f>(D1320)-N1320</f>
        <v>2.8</v>
      </c>
      <c r="P1320" s="112">
        <f>(I1320*J1320*O1320)+L1320</f>
        <v>28</v>
      </c>
      <c r="Q1320" s="104" t="str">
        <f t="shared" si="122"/>
        <v/>
      </c>
      <c r="R1320" s="104" t="str">
        <f t="shared" si="123"/>
        <v/>
      </c>
      <c r="S1320" s="104" t="str">
        <f t="shared" si="124"/>
        <v/>
      </c>
      <c r="T1320" s="104" t="str">
        <f t="shared" si="125"/>
        <v/>
      </c>
      <c r="U1320" s="104" t="str">
        <f t="shared" si="126"/>
        <v/>
      </c>
      <c r="V1320" s="104">
        <f t="shared" si="127"/>
        <v>28</v>
      </c>
      <c r="W1320" s="105"/>
    </row>
    <row r="1321" spans="1:23">
      <c r="A1321" s="92"/>
      <c r="B1321" s="121" t="s">
        <v>326</v>
      </c>
      <c r="C1321" s="107"/>
      <c r="D1321" s="389"/>
      <c r="E1321" s="389"/>
      <c r="F1321" s="118"/>
      <c r="G1321" s="108"/>
      <c r="H1321" s="98"/>
      <c r="I1321" s="99"/>
      <c r="J1321" s="101"/>
      <c r="K1321" s="109"/>
      <c r="L1321" s="110"/>
      <c r="M1321" s="111"/>
      <c r="N1321" s="99"/>
      <c r="O1321" s="112"/>
      <c r="P1321" s="112"/>
      <c r="Q1321" s="104" t="str">
        <f t="shared" si="122"/>
        <v/>
      </c>
      <c r="R1321" s="104" t="str">
        <f t="shared" si="123"/>
        <v/>
      </c>
      <c r="S1321" s="104" t="str">
        <f t="shared" si="124"/>
        <v/>
      </c>
      <c r="T1321" s="104" t="str">
        <f t="shared" si="125"/>
        <v/>
      </c>
      <c r="U1321" s="104" t="str">
        <f t="shared" si="126"/>
        <v/>
      </c>
      <c r="V1321" s="104" t="str">
        <f t="shared" si="127"/>
        <v/>
      </c>
      <c r="W1321" s="105"/>
    </row>
    <row r="1322" spans="1:23">
      <c r="A1322" s="92"/>
      <c r="B1322" s="121"/>
      <c r="C1322" s="107"/>
      <c r="D1322" s="389"/>
      <c r="E1322" s="389"/>
      <c r="F1322" s="118"/>
      <c r="G1322" s="108"/>
      <c r="H1322" s="98"/>
      <c r="I1322" s="99"/>
      <c r="J1322" s="101"/>
      <c r="K1322" s="109"/>
      <c r="L1322" s="110"/>
      <c r="M1322" s="111"/>
      <c r="N1322" s="99"/>
      <c r="O1322" s="112"/>
      <c r="P1322" s="112"/>
      <c r="Q1322" s="104" t="str">
        <f t="shared" si="122"/>
        <v/>
      </c>
      <c r="R1322" s="104" t="str">
        <f t="shared" si="123"/>
        <v/>
      </c>
      <c r="S1322" s="104" t="str">
        <f t="shared" si="124"/>
        <v/>
      </c>
      <c r="T1322" s="104" t="str">
        <f t="shared" si="125"/>
        <v/>
      </c>
      <c r="U1322" s="104" t="str">
        <f t="shared" si="126"/>
        <v/>
      </c>
      <c r="V1322" s="104" t="str">
        <f t="shared" si="127"/>
        <v/>
      </c>
      <c r="W1322" s="105"/>
    </row>
    <row r="1323" spans="1:23" ht="15" customHeight="1">
      <c r="A1323" s="92">
        <v>121</v>
      </c>
      <c r="B1323" s="121" t="s">
        <v>426</v>
      </c>
      <c r="C1323" s="122"/>
      <c r="D1323" s="798">
        <f>1.25+0.75+1.25</f>
        <v>3.25</v>
      </c>
      <c r="E1323" s="798"/>
      <c r="F1323" s="118"/>
      <c r="G1323" s="108">
        <v>0.25</v>
      </c>
      <c r="H1323" s="98">
        <v>25</v>
      </c>
      <c r="I1323" s="99">
        <v>1</v>
      </c>
      <c r="J1323" s="101">
        <f>ROUND(2.8/G1323+1,0)</f>
        <v>12</v>
      </c>
      <c r="K1323" s="109">
        <f>D1323</f>
        <v>3.25</v>
      </c>
      <c r="L1323" s="110" t="str">
        <f>IF(O1323&lt;12,"0",0.049*H1323)</f>
        <v>0</v>
      </c>
      <c r="M1323" s="111">
        <v>0</v>
      </c>
      <c r="N1323" s="99">
        <f>M1323*2*H1323/1000</f>
        <v>0</v>
      </c>
      <c r="O1323" s="112">
        <f>(D1323)-N1323</f>
        <v>3.25</v>
      </c>
      <c r="P1323" s="112">
        <f>(I1323*J1323*O1323)+L1323</f>
        <v>39</v>
      </c>
      <c r="Q1323" s="104" t="str">
        <f t="shared" si="122"/>
        <v/>
      </c>
      <c r="R1323" s="104" t="str">
        <f t="shared" si="123"/>
        <v/>
      </c>
      <c r="S1323" s="104" t="str">
        <f t="shared" si="124"/>
        <v/>
      </c>
      <c r="T1323" s="104" t="str">
        <f t="shared" si="125"/>
        <v/>
      </c>
      <c r="U1323" s="104" t="str">
        <f t="shared" si="126"/>
        <v/>
      </c>
      <c r="V1323" s="104">
        <f t="shared" si="127"/>
        <v>39</v>
      </c>
      <c r="W1323" s="105"/>
    </row>
    <row r="1324" spans="1:23">
      <c r="A1324" s="92"/>
      <c r="B1324" s="121" t="s">
        <v>327</v>
      </c>
      <c r="C1324" s="107"/>
      <c r="D1324" s="389"/>
      <c r="E1324" s="389"/>
      <c r="F1324" s="118"/>
      <c r="G1324" s="108"/>
      <c r="H1324" s="98"/>
      <c r="I1324" s="99"/>
      <c r="J1324" s="101"/>
      <c r="K1324" s="109"/>
      <c r="L1324" s="110"/>
      <c r="M1324" s="111"/>
      <c r="N1324" s="99"/>
      <c r="O1324" s="112"/>
      <c r="P1324" s="112"/>
      <c r="Q1324" s="104" t="str">
        <f t="shared" si="122"/>
        <v/>
      </c>
      <c r="R1324" s="104" t="str">
        <f t="shared" si="123"/>
        <v/>
      </c>
      <c r="S1324" s="104" t="str">
        <f t="shared" si="124"/>
        <v/>
      </c>
      <c r="T1324" s="104" t="str">
        <f t="shared" si="125"/>
        <v/>
      </c>
      <c r="U1324" s="104" t="str">
        <f t="shared" si="126"/>
        <v/>
      </c>
      <c r="V1324" s="104" t="str">
        <f t="shared" si="127"/>
        <v/>
      </c>
      <c r="W1324" s="105"/>
    </row>
    <row r="1325" spans="1:23">
      <c r="A1325" s="92"/>
      <c r="B1325" s="121"/>
      <c r="C1325" s="107"/>
      <c r="D1325" s="389"/>
      <c r="E1325" s="389"/>
      <c r="F1325" s="118"/>
      <c r="G1325" s="108"/>
      <c r="H1325" s="98"/>
      <c r="I1325" s="99"/>
      <c r="J1325" s="101"/>
      <c r="K1325" s="109"/>
      <c r="L1325" s="110"/>
      <c r="M1325" s="111"/>
      <c r="N1325" s="99"/>
      <c r="O1325" s="112"/>
      <c r="P1325" s="112"/>
      <c r="Q1325" s="104" t="str">
        <f t="shared" si="122"/>
        <v/>
      </c>
      <c r="R1325" s="104" t="str">
        <f t="shared" si="123"/>
        <v/>
      </c>
      <c r="S1325" s="104" t="str">
        <f t="shared" si="124"/>
        <v/>
      </c>
      <c r="T1325" s="104" t="str">
        <f t="shared" si="125"/>
        <v/>
      </c>
      <c r="U1325" s="104" t="str">
        <f t="shared" si="126"/>
        <v/>
      </c>
      <c r="V1325" s="104" t="str">
        <f t="shared" si="127"/>
        <v/>
      </c>
      <c r="W1325" s="105"/>
    </row>
    <row r="1326" spans="1:23" ht="15" customHeight="1">
      <c r="A1326" s="92">
        <v>122</v>
      </c>
      <c r="B1326" s="121" t="s">
        <v>427</v>
      </c>
      <c r="C1326" s="122"/>
      <c r="D1326" s="798">
        <f>1+0.3+1</f>
        <v>2.2999999999999998</v>
      </c>
      <c r="E1326" s="798"/>
      <c r="F1326" s="118"/>
      <c r="G1326" s="108">
        <v>0.25</v>
      </c>
      <c r="H1326" s="98">
        <v>20</v>
      </c>
      <c r="I1326" s="99">
        <v>1</v>
      </c>
      <c r="J1326" s="101">
        <f>ROUND(3.25/G1326+1,0)</f>
        <v>14</v>
      </c>
      <c r="K1326" s="109">
        <f>D1326</f>
        <v>2.2999999999999998</v>
      </c>
      <c r="L1326" s="110" t="str">
        <f>IF(O1326&lt;12,"0",0.049*H1326)</f>
        <v>0</v>
      </c>
      <c r="M1326" s="111">
        <v>0</v>
      </c>
      <c r="N1326" s="99">
        <f>M1326*2*H1326/1000</f>
        <v>0</v>
      </c>
      <c r="O1326" s="112">
        <f>(D1326)-N1326</f>
        <v>2.2999999999999998</v>
      </c>
      <c r="P1326" s="112">
        <f>(I1326*J1326*O1326)+L1326</f>
        <v>32.199999999999996</v>
      </c>
      <c r="Q1326" s="104" t="str">
        <f t="shared" si="122"/>
        <v/>
      </c>
      <c r="R1326" s="104" t="str">
        <f t="shared" si="123"/>
        <v/>
      </c>
      <c r="S1326" s="104" t="str">
        <f t="shared" si="124"/>
        <v/>
      </c>
      <c r="T1326" s="104" t="str">
        <f t="shared" si="125"/>
        <v/>
      </c>
      <c r="U1326" s="104">
        <f t="shared" si="126"/>
        <v>32.199999999999996</v>
      </c>
      <c r="V1326" s="104" t="str">
        <f t="shared" si="127"/>
        <v/>
      </c>
      <c r="W1326" s="105"/>
    </row>
    <row r="1327" spans="1:23">
      <c r="A1327" s="92"/>
      <c r="B1327" s="121" t="s">
        <v>327</v>
      </c>
      <c r="C1327" s="107"/>
      <c r="D1327" s="389"/>
      <c r="E1327" s="389"/>
      <c r="F1327" s="118"/>
      <c r="G1327" s="108"/>
      <c r="H1327" s="98"/>
      <c r="I1327" s="99"/>
      <c r="J1327" s="101"/>
      <c r="K1327" s="109"/>
      <c r="L1327" s="110"/>
      <c r="M1327" s="111"/>
      <c r="N1327" s="99"/>
      <c r="O1327" s="112"/>
      <c r="P1327" s="112"/>
      <c r="Q1327" s="104" t="str">
        <f t="shared" si="122"/>
        <v/>
      </c>
      <c r="R1327" s="104" t="str">
        <f t="shared" si="123"/>
        <v/>
      </c>
      <c r="S1327" s="104" t="str">
        <f t="shared" si="124"/>
        <v/>
      </c>
      <c r="T1327" s="104" t="str">
        <f t="shared" si="125"/>
        <v/>
      </c>
      <c r="U1327" s="104" t="str">
        <f t="shared" si="126"/>
        <v/>
      </c>
      <c r="V1327" s="104" t="str">
        <f t="shared" si="127"/>
        <v/>
      </c>
      <c r="W1327" s="105"/>
    </row>
    <row r="1328" spans="1:23">
      <c r="A1328" s="92"/>
      <c r="B1328" s="121"/>
      <c r="C1328" s="107"/>
      <c r="D1328" s="389"/>
      <c r="E1328" s="389"/>
      <c r="F1328" s="118"/>
      <c r="G1328" s="108"/>
      <c r="H1328" s="98"/>
      <c r="I1328" s="99"/>
      <c r="J1328" s="101"/>
      <c r="K1328" s="109"/>
      <c r="L1328" s="110"/>
      <c r="M1328" s="111"/>
      <c r="N1328" s="99"/>
      <c r="O1328" s="112"/>
      <c r="P1328" s="112"/>
      <c r="Q1328" s="104" t="str">
        <f t="shared" si="122"/>
        <v/>
      </c>
      <c r="R1328" s="104" t="str">
        <f t="shared" si="123"/>
        <v/>
      </c>
      <c r="S1328" s="104" t="str">
        <f t="shared" si="124"/>
        <v/>
      </c>
      <c r="T1328" s="104" t="str">
        <f t="shared" si="125"/>
        <v/>
      </c>
      <c r="U1328" s="104" t="str">
        <f t="shared" si="126"/>
        <v/>
      </c>
      <c r="V1328" s="104" t="str">
        <f t="shared" si="127"/>
        <v/>
      </c>
      <c r="W1328" s="105"/>
    </row>
    <row r="1329" spans="1:23" ht="15" customHeight="1">
      <c r="A1329" s="92">
        <v>123</v>
      </c>
      <c r="B1329" s="121" t="s">
        <v>426</v>
      </c>
      <c r="C1329" s="122"/>
      <c r="D1329" s="798">
        <f>1+0.75+1</f>
        <v>2.75</v>
      </c>
      <c r="E1329" s="798"/>
      <c r="F1329" s="118"/>
      <c r="G1329" s="108">
        <v>0.25</v>
      </c>
      <c r="H1329" s="98">
        <v>25</v>
      </c>
      <c r="I1329" s="99">
        <v>1</v>
      </c>
      <c r="J1329" s="101">
        <f>ROUND(2.8/G1329+1,0)</f>
        <v>12</v>
      </c>
      <c r="K1329" s="109">
        <f>D1329</f>
        <v>2.75</v>
      </c>
      <c r="L1329" s="110" t="str">
        <f>IF(O1329&lt;12,"0",0.049*H1329)</f>
        <v>0</v>
      </c>
      <c r="M1329" s="111">
        <v>0</v>
      </c>
      <c r="N1329" s="99">
        <f>M1329*2*H1329/1000</f>
        <v>0</v>
      </c>
      <c r="O1329" s="112">
        <f>(D1329)-N1329</f>
        <v>2.75</v>
      </c>
      <c r="P1329" s="112">
        <f>(I1329*J1329*O1329)+L1329</f>
        <v>33</v>
      </c>
      <c r="Q1329" s="104" t="str">
        <f t="shared" si="122"/>
        <v/>
      </c>
      <c r="R1329" s="104" t="str">
        <f t="shared" si="123"/>
        <v/>
      </c>
      <c r="S1329" s="104" t="str">
        <f t="shared" si="124"/>
        <v/>
      </c>
      <c r="T1329" s="104" t="str">
        <f t="shared" si="125"/>
        <v/>
      </c>
      <c r="U1329" s="104" t="str">
        <f t="shared" si="126"/>
        <v/>
      </c>
      <c r="V1329" s="104">
        <f t="shared" si="127"/>
        <v>33</v>
      </c>
      <c r="W1329" s="105"/>
    </row>
    <row r="1330" spans="1:23">
      <c r="A1330" s="92"/>
      <c r="B1330" s="121" t="s">
        <v>328</v>
      </c>
      <c r="C1330" s="107"/>
      <c r="D1330" s="389"/>
      <c r="E1330" s="389"/>
      <c r="F1330" s="118"/>
      <c r="G1330" s="108"/>
      <c r="H1330" s="98"/>
      <c r="I1330" s="99"/>
      <c r="J1330" s="101"/>
      <c r="K1330" s="109"/>
      <c r="L1330" s="110"/>
      <c r="M1330" s="111"/>
      <c r="N1330" s="99"/>
      <c r="O1330" s="112"/>
      <c r="P1330" s="112"/>
      <c r="Q1330" s="104" t="str">
        <f t="shared" si="122"/>
        <v/>
      </c>
      <c r="R1330" s="104" t="str">
        <f t="shared" si="123"/>
        <v/>
      </c>
      <c r="S1330" s="104" t="str">
        <f t="shared" si="124"/>
        <v/>
      </c>
      <c r="T1330" s="104" t="str">
        <f t="shared" si="125"/>
        <v/>
      </c>
      <c r="U1330" s="104" t="str">
        <f t="shared" si="126"/>
        <v/>
      </c>
      <c r="V1330" s="104" t="str">
        <f t="shared" si="127"/>
        <v/>
      </c>
      <c r="W1330" s="105"/>
    </row>
    <row r="1331" spans="1:23">
      <c r="A1331" s="92"/>
      <c r="B1331" s="121"/>
      <c r="C1331" s="107"/>
      <c r="D1331" s="389"/>
      <c r="E1331" s="389"/>
      <c r="F1331" s="118"/>
      <c r="G1331" s="108"/>
      <c r="H1331" s="98"/>
      <c r="I1331" s="99"/>
      <c r="J1331" s="101"/>
      <c r="K1331" s="109"/>
      <c r="L1331" s="110"/>
      <c r="M1331" s="111"/>
      <c r="N1331" s="99"/>
      <c r="O1331" s="112"/>
      <c r="P1331" s="112"/>
      <c r="Q1331" s="104" t="str">
        <f t="shared" si="122"/>
        <v/>
      </c>
      <c r="R1331" s="104" t="str">
        <f t="shared" si="123"/>
        <v/>
      </c>
      <c r="S1331" s="104" t="str">
        <f t="shared" si="124"/>
        <v/>
      </c>
      <c r="T1331" s="104" t="str">
        <f t="shared" si="125"/>
        <v/>
      </c>
      <c r="U1331" s="104" t="str">
        <f t="shared" si="126"/>
        <v/>
      </c>
      <c r="V1331" s="104" t="str">
        <f t="shared" si="127"/>
        <v/>
      </c>
      <c r="W1331" s="105"/>
    </row>
    <row r="1332" spans="1:23" ht="15" customHeight="1">
      <c r="A1332" s="92">
        <v>124</v>
      </c>
      <c r="B1332" s="121" t="s">
        <v>426</v>
      </c>
      <c r="C1332" s="122"/>
      <c r="D1332" s="798">
        <f>1+0.75+1</f>
        <v>2.75</v>
      </c>
      <c r="E1332" s="798"/>
      <c r="F1332" s="118"/>
      <c r="G1332" s="108">
        <v>0.25</v>
      </c>
      <c r="H1332" s="98">
        <v>20</v>
      </c>
      <c r="I1332" s="99">
        <v>1</v>
      </c>
      <c r="J1332" s="101">
        <f>ROUND(2.8/G1332+1,0)</f>
        <v>12</v>
      </c>
      <c r="K1332" s="109">
        <f>D1332</f>
        <v>2.75</v>
      </c>
      <c r="L1332" s="110" t="str">
        <f>IF(O1332&lt;12,"0",0.049*H1332)</f>
        <v>0</v>
      </c>
      <c r="M1332" s="111">
        <v>0</v>
      </c>
      <c r="N1332" s="99">
        <f>M1332*2*H1332/1000</f>
        <v>0</v>
      </c>
      <c r="O1332" s="112">
        <f>(D1332)-N1332</f>
        <v>2.75</v>
      </c>
      <c r="P1332" s="112">
        <f>(I1332*J1332*O1332)+L1332</f>
        <v>33</v>
      </c>
      <c r="Q1332" s="104" t="str">
        <f t="shared" si="122"/>
        <v/>
      </c>
      <c r="R1332" s="104" t="str">
        <f t="shared" si="123"/>
        <v/>
      </c>
      <c r="S1332" s="104" t="str">
        <f t="shared" si="124"/>
        <v/>
      </c>
      <c r="T1332" s="104" t="str">
        <f t="shared" si="125"/>
        <v/>
      </c>
      <c r="U1332" s="104">
        <f t="shared" si="126"/>
        <v>33</v>
      </c>
      <c r="V1332" s="104" t="str">
        <f t="shared" si="127"/>
        <v/>
      </c>
      <c r="W1332" s="105"/>
    </row>
    <row r="1333" spans="1:23">
      <c r="A1333" s="92"/>
      <c r="B1333" s="121" t="s">
        <v>328</v>
      </c>
      <c r="C1333" s="107"/>
      <c r="D1333" s="389"/>
      <c r="E1333" s="389"/>
      <c r="F1333" s="118"/>
      <c r="G1333" s="108"/>
      <c r="H1333" s="98"/>
      <c r="I1333" s="99"/>
      <c r="J1333" s="101"/>
      <c r="K1333" s="109"/>
      <c r="L1333" s="110"/>
      <c r="M1333" s="111"/>
      <c r="N1333" s="99"/>
      <c r="O1333" s="112"/>
      <c r="P1333" s="112"/>
      <c r="Q1333" s="104" t="str">
        <f t="shared" si="122"/>
        <v/>
      </c>
      <c r="R1333" s="104" t="str">
        <f t="shared" si="123"/>
        <v/>
      </c>
      <c r="S1333" s="104" t="str">
        <f t="shared" si="124"/>
        <v/>
      </c>
      <c r="T1333" s="104" t="str">
        <f t="shared" si="125"/>
        <v/>
      </c>
      <c r="U1333" s="104" t="str">
        <f t="shared" si="126"/>
        <v/>
      </c>
      <c r="V1333" s="104" t="str">
        <f t="shared" si="127"/>
        <v/>
      </c>
      <c r="W1333" s="105"/>
    </row>
    <row r="1334" spans="1:23">
      <c r="A1334" s="92"/>
      <c r="B1334" s="121"/>
      <c r="C1334" s="107"/>
      <c r="D1334" s="389"/>
      <c r="E1334" s="389"/>
      <c r="F1334" s="118"/>
      <c r="G1334" s="108"/>
      <c r="H1334" s="98"/>
      <c r="I1334" s="99"/>
      <c r="J1334" s="101"/>
      <c r="K1334" s="109"/>
      <c r="L1334" s="110"/>
      <c r="M1334" s="111"/>
      <c r="N1334" s="99"/>
      <c r="O1334" s="112"/>
      <c r="P1334" s="112"/>
      <c r="Q1334" s="104" t="str">
        <f t="shared" si="122"/>
        <v/>
      </c>
      <c r="R1334" s="104" t="str">
        <f t="shared" si="123"/>
        <v/>
      </c>
      <c r="S1334" s="104" t="str">
        <f t="shared" si="124"/>
        <v/>
      </c>
      <c r="T1334" s="104" t="str">
        <f t="shared" si="125"/>
        <v/>
      </c>
      <c r="U1334" s="104" t="str">
        <f t="shared" si="126"/>
        <v/>
      </c>
      <c r="V1334" s="104" t="str">
        <f t="shared" si="127"/>
        <v/>
      </c>
      <c r="W1334" s="105"/>
    </row>
    <row r="1335" spans="1:23" ht="15" customHeight="1">
      <c r="A1335" s="92">
        <v>125</v>
      </c>
      <c r="B1335" s="121" t="s">
        <v>427</v>
      </c>
      <c r="C1335" s="122"/>
      <c r="D1335" s="798">
        <f>1.25+0.3+1.25</f>
        <v>2.8</v>
      </c>
      <c r="E1335" s="798"/>
      <c r="F1335" s="118"/>
      <c r="G1335" s="108">
        <v>0.25</v>
      </c>
      <c r="H1335" s="98">
        <v>25</v>
      </c>
      <c r="I1335" s="99">
        <v>1</v>
      </c>
      <c r="J1335" s="101">
        <f>ROUND(2.75/G1335+1,0)</f>
        <v>12</v>
      </c>
      <c r="K1335" s="109">
        <f>D1335</f>
        <v>2.8</v>
      </c>
      <c r="L1335" s="110" t="str">
        <f>IF(O1335&lt;12,"0",0.049*H1335)</f>
        <v>0</v>
      </c>
      <c r="M1335" s="111">
        <v>0</v>
      </c>
      <c r="N1335" s="99">
        <f>M1335*2*H1335/1000</f>
        <v>0</v>
      </c>
      <c r="O1335" s="112">
        <f>(D1335)-N1335</f>
        <v>2.8</v>
      </c>
      <c r="P1335" s="112">
        <f>(I1335*J1335*O1335)+L1335</f>
        <v>33.599999999999994</v>
      </c>
      <c r="Q1335" s="104" t="str">
        <f t="shared" si="122"/>
        <v/>
      </c>
      <c r="R1335" s="104" t="str">
        <f t="shared" si="123"/>
        <v/>
      </c>
      <c r="S1335" s="104" t="str">
        <f t="shared" si="124"/>
        <v/>
      </c>
      <c r="T1335" s="104" t="str">
        <f t="shared" si="125"/>
        <v/>
      </c>
      <c r="U1335" s="104" t="str">
        <f t="shared" si="126"/>
        <v/>
      </c>
      <c r="V1335" s="104">
        <f t="shared" si="127"/>
        <v>33.599999999999994</v>
      </c>
      <c r="W1335" s="105"/>
    </row>
    <row r="1336" spans="1:23">
      <c r="A1336" s="92"/>
      <c r="B1336" s="121" t="s">
        <v>328</v>
      </c>
      <c r="C1336" s="107"/>
      <c r="D1336" s="389"/>
      <c r="E1336" s="389"/>
      <c r="F1336" s="118"/>
      <c r="G1336" s="108"/>
      <c r="H1336" s="98"/>
      <c r="I1336" s="99"/>
      <c r="J1336" s="101"/>
      <c r="K1336" s="109"/>
      <c r="L1336" s="110"/>
      <c r="M1336" s="111"/>
      <c r="N1336" s="99"/>
      <c r="O1336" s="112"/>
      <c r="P1336" s="112"/>
      <c r="Q1336" s="104" t="str">
        <f t="shared" si="122"/>
        <v/>
      </c>
      <c r="R1336" s="104" t="str">
        <f t="shared" si="123"/>
        <v/>
      </c>
      <c r="S1336" s="104" t="str">
        <f t="shared" si="124"/>
        <v/>
      </c>
      <c r="T1336" s="104" t="str">
        <f t="shared" si="125"/>
        <v/>
      </c>
      <c r="U1336" s="104" t="str">
        <f t="shared" si="126"/>
        <v/>
      </c>
      <c r="V1336" s="104" t="str">
        <f t="shared" si="127"/>
        <v/>
      </c>
      <c r="W1336" s="105"/>
    </row>
    <row r="1337" spans="1:23">
      <c r="A1337" s="92"/>
      <c r="B1337" s="121"/>
      <c r="C1337" s="107"/>
      <c r="D1337" s="389"/>
      <c r="E1337" s="389"/>
      <c r="F1337" s="118"/>
      <c r="G1337" s="108"/>
      <c r="H1337" s="98"/>
      <c r="I1337" s="99"/>
      <c r="J1337" s="101"/>
      <c r="K1337" s="109"/>
      <c r="L1337" s="110"/>
      <c r="M1337" s="111"/>
      <c r="N1337" s="99"/>
      <c r="O1337" s="112"/>
      <c r="P1337" s="112"/>
      <c r="Q1337" s="104" t="str">
        <f t="shared" si="122"/>
        <v/>
      </c>
      <c r="R1337" s="104" t="str">
        <f t="shared" si="123"/>
        <v/>
      </c>
      <c r="S1337" s="104" t="str">
        <f t="shared" si="124"/>
        <v/>
      </c>
      <c r="T1337" s="104" t="str">
        <f t="shared" si="125"/>
        <v/>
      </c>
      <c r="U1337" s="104" t="str">
        <f t="shared" si="126"/>
        <v/>
      </c>
      <c r="V1337" s="104" t="str">
        <f t="shared" si="127"/>
        <v/>
      </c>
      <c r="W1337" s="105"/>
    </row>
    <row r="1338" spans="1:23" ht="15" customHeight="1">
      <c r="A1338" s="92">
        <v>126</v>
      </c>
      <c r="B1338" s="121" t="s">
        <v>427</v>
      </c>
      <c r="C1338" s="122"/>
      <c r="D1338" s="798">
        <f>1.25+0.3+1.25</f>
        <v>2.8</v>
      </c>
      <c r="E1338" s="798"/>
      <c r="F1338" s="118"/>
      <c r="G1338" s="108">
        <v>0.25</v>
      </c>
      <c r="H1338" s="98">
        <v>20</v>
      </c>
      <c r="I1338" s="99">
        <v>1</v>
      </c>
      <c r="J1338" s="101">
        <f>ROUND(2.75/G1338+1,0)</f>
        <v>12</v>
      </c>
      <c r="K1338" s="109">
        <f>D1338</f>
        <v>2.8</v>
      </c>
      <c r="L1338" s="110" t="str">
        <f>IF(O1338&lt;12,"0",0.049*H1338)</f>
        <v>0</v>
      </c>
      <c r="M1338" s="111">
        <v>0</v>
      </c>
      <c r="N1338" s="99">
        <f>M1338*2*H1338/1000</f>
        <v>0</v>
      </c>
      <c r="O1338" s="112">
        <f>(D1338)-N1338</f>
        <v>2.8</v>
      </c>
      <c r="P1338" s="112">
        <f>(I1338*J1338*O1338)+L1338</f>
        <v>33.599999999999994</v>
      </c>
      <c r="Q1338" s="104" t="str">
        <f t="shared" si="122"/>
        <v/>
      </c>
      <c r="R1338" s="104" t="str">
        <f t="shared" si="123"/>
        <v/>
      </c>
      <c r="S1338" s="104" t="str">
        <f t="shared" si="124"/>
        <v/>
      </c>
      <c r="T1338" s="104" t="str">
        <f t="shared" si="125"/>
        <v/>
      </c>
      <c r="U1338" s="104">
        <f t="shared" si="126"/>
        <v>33.599999999999994</v>
      </c>
      <c r="V1338" s="104" t="str">
        <f t="shared" si="127"/>
        <v/>
      </c>
      <c r="W1338" s="105"/>
    </row>
    <row r="1339" spans="1:23">
      <c r="A1339" s="92"/>
      <c r="B1339" s="121" t="s">
        <v>328</v>
      </c>
      <c r="C1339" s="107"/>
      <c r="D1339" s="389"/>
      <c r="E1339" s="389"/>
      <c r="F1339" s="118"/>
      <c r="G1339" s="108"/>
      <c r="H1339" s="98"/>
      <c r="I1339" s="99"/>
      <c r="J1339" s="101"/>
      <c r="K1339" s="109"/>
      <c r="L1339" s="110"/>
      <c r="M1339" s="111"/>
      <c r="N1339" s="99"/>
      <c r="O1339" s="112"/>
      <c r="P1339" s="112"/>
      <c r="Q1339" s="104" t="str">
        <f t="shared" si="122"/>
        <v/>
      </c>
      <c r="R1339" s="104" t="str">
        <f t="shared" si="123"/>
        <v/>
      </c>
      <c r="S1339" s="104" t="str">
        <f t="shared" si="124"/>
        <v/>
      </c>
      <c r="T1339" s="104" t="str">
        <f t="shared" si="125"/>
        <v/>
      </c>
      <c r="U1339" s="104" t="str">
        <f t="shared" si="126"/>
        <v/>
      </c>
      <c r="V1339" s="104" t="str">
        <f t="shared" si="127"/>
        <v/>
      </c>
      <c r="W1339" s="105"/>
    </row>
    <row r="1340" spans="1:23">
      <c r="A1340" s="92"/>
      <c r="B1340" s="121"/>
      <c r="C1340" s="107"/>
      <c r="D1340" s="389"/>
      <c r="E1340" s="389"/>
      <c r="F1340" s="118"/>
      <c r="G1340" s="108"/>
      <c r="H1340" s="98"/>
      <c r="I1340" s="99"/>
      <c r="J1340" s="101"/>
      <c r="K1340" s="109"/>
      <c r="L1340" s="110"/>
      <c r="M1340" s="111"/>
      <c r="N1340" s="99"/>
      <c r="O1340" s="112"/>
      <c r="P1340" s="112"/>
      <c r="Q1340" s="104" t="str">
        <f t="shared" si="122"/>
        <v/>
      </c>
      <c r="R1340" s="104" t="str">
        <f t="shared" si="123"/>
        <v/>
      </c>
      <c r="S1340" s="104" t="str">
        <f t="shared" si="124"/>
        <v/>
      </c>
      <c r="T1340" s="104" t="str">
        <f t="shared" si="125"/>
        <v/>
      </c>
      <c r="U1340" s="104" t="str">
        <f t="shared" si="126"/>
        <v/>
      </c>
      <c r="V1340" s="104" t="str">
        <f t="shared" si="127"/>
        <v/>
      </c>
      <c r="W1340" s="105"/>
    </row>
    <row r="1341" spans="1:23" ht="15" customHeight="1">
      <c r="A1341" s="92">
        <v>127</v>
      </c>
      <c r="B1341" s="121" t="s">
        <v>426</v>
      </c>
      <c r="C1341" s="122"/>
      <c r="D1341" s="798">
        <f>1.25+0.75+1.25</f>
        <v>3.25</v>
      </c>
      <c r="E1341" s="798"/>
      <c r="F1341" s="118"/>
      <c r="G1341" s="108">
        <v>0.25</v>
      </c>
      <c r="H1341" s="98">
        <v>25</v>
      </c>
      <c r="I1341" s="99">
        <v>1</v>
      </c>
      <c r="J1341" s="101">
        <f>ROUND(2.3/G1341+1,0)</f>
        <v>10</v>
      </c>
      <c r="K1341" s="109">
        <f>D1341</f>
        <v>3.25</v>
      </c>
      <c r="L1341" s="110" t="str">
        <f>IF(O1341&lt;12,"0",0.049*H1341)</f>
        <v>0</v>
      </c>
      <c r="M1341" s="111">
        <v>0</v>
      </c>
      <c r="N1341" s="99">
        <f>M1341*2*H1341/1000</f>
        <v>0</v>
      </c>
      <c r="O1341" s="112">
        <f>(D1341)-N1341</f>
        <v>3.25</v>
      </c>
      <c r="P1341" s="112">
        <f>(I1341*J1341*O1341)+L1341</f>
        <v>32.5</v>
      </c>
      <c r="Q1341" s="104" t="str">
        <f t="shared" si="122"/>
        <v/>
      </c>
      <c r="R1341" s="104" t="str">
        <f t="shared" si="123"/>
        <v/>
      </c>
      <c r="S1341" s="104" t="str">
        <f t="shared" si="124"/>
        <v/>
      </c>
      <c r="T1341" s="104" t="str">
        <f t="shared" si="125"/>
        <v/>
      </c>
      <c r="U1341" s="104" t="str">
        <f t="shared" si="126"/>
        <v/>
      </c>
      <c r="V1341" s="104">
        <f t="shared" si="127"/>
        <v>32.5</v>
      </c>
      <c r="W1341" s="105"/>
    </row>
    <row r="1342" spans="1:23">
      <c r="A1342" s="92"/>
      <c r="B1342" s="121" t="s">
        <v>329</v>
      </c>
      <c r="C1342" s="107"/>
      <c r="D1342" s="389"/>
      <c r="E1342" s="389"/>
      <c r="F1342" s="118"/>
      <c r="G1342" s="108"/>
      <c r="H1342" s="98"/>
      <c r="I1342" s="99"/>
      <c r="J1342" s="101"/>
      <c r="K1342" s="109"/>
      <c r="L1342" s="110"/>
      <c r="M1342" s="111"/>
      <c r="N1342" s="99"/>
      <c r="O1342" s="112"/>
      <c r="P1342" s="112"/>
      <c r="Q1342" s="104" t="str">
        <f t="shared" si="122"/>
        <v/>
      </c>
      <c r="R1342" s="104" t="str">
        <f t="shared" si="123"/>
        <v/>
      </c>
      <c r="S1342" s="104" t="str">
        <f t="shared" si="124"/>
        <v/>
      </c>
      <c r="T1342" s="104" t="str">
        <f t="shared" si="125"/>
        <v/>
      </c>
      <c r="U1342" s="104" t="str">
        <f t="shared" si="126"/>
        <v/>
      </c>
      <c r="V1342" s="104" t="str">
        <f t="shared" si="127"/>
        <v/>
      </c>
      <c r="W1342" s="105"/>
    </row>
    <row r="1343" spans="1:23">
      <c r="A1343" s="92"/>
      <c r="B1343" s="121"/>
      <c r="C1343" s="107"/>
      <c r="D1343" s="389"/>
      <c r="E1343" s="389"/>
      <c r="F1343" s="118"/>
      <c r="G1343" s="108"/>
      <c r="H1343" s="98"/>
      <c r="I1343" s="99"/>
      <c r="J1343" s="101"/>
      <c r="K1343" s="109"/>
      <c r="L1343" s="110"/>
      <c r="M1343" s="111"/>
      <c r="N1343" s="99"/>
      <c r="O1343" s="112"/>
      <c r="P1343" s="112"/>
      <c r="Q1343" s="104" t="str">
        <f t="shared" ref="Q1343:Q1406" si="128">IF($H1343=8,$P1343,"")</f>
        <v/>
      </c>
      <c r="R1343" s="104" t="str">
        <f t="shared" ref="R1343:R1406" si="129">IF($H1343=10,$P1343,"")</f>
        <v/>
      </c>
      <c r="S1343" s="104" t="str">
        <f t="shared" ref="S1343:S1406" si="130">IF($H1343=12,$P1343,"")</f>
        <v/>
      </c>
      <c r="T1343" s="104" t="str">
        <f t="shared" ref="T1343:T1406" si="131">IF($H1343=16,$P1343,"")</f>
        <v/>
      </c>
      <c r="U1343" s="104" t="str">
        <f t="shared" ref="U1343:U1406" si="132">IF($H1343=20,$P1343,"")</f>
        <v/>
      </c>
      <c r="V1343" s="104" t="str">
        <f t="shared" ref="V1343:V1406" si="133">IF($H1343=25,$P1343,"")</f>
        <v/>
      </c>
      <c r="W1343" s="105"/>
    </row>
    <row r="1344" spans="1:23" ht="15" customHeight="1">
      <c r="A1344" s="92">
        <v>128</v>
      </c>
      <c r="B1344" s="121" t="s">
        <v>427</v>
      </c>
      <c r="C1344" s="122"/>
      <c r="D1344" s="798">
        <f>1+0.3+1</f>
        <v>2.2999999999999998</v>
      </c>
      <c r="E1344" s="798"/>
      <c r="F1344" s="118"/>
      <c r="G1344" s="108">
        <v>0.25</v>
      </c>
      <c r="H1344" s="98">
        <v>20</v>
      </c>
      <c r="I1344" s="99">
        <v>1</v>
      </c>
      <c r="J1344" s="101">
        <f>ROUND(3.25/G1344+1,0)</f>
        <v>14</v>
      </c>
      <c r="K1344" s="109">
        <f>D1344</f>
        <v>2.2999999999999998</v>
      </c>
      <c r="L1344" s="110" t="str">
        <f>IF(O1344&lt;12,"0",0.049*H1344)</f>
        <v>0</v>
      </c>
      <c r="M1344" s="111">
        <v>0</v>
      </c>
      <c r="N1344" s="99">
        <f>M1344*2*H1344/1000</f>
        <v>0</v>
      </c>
      <c r="O1344" s="112">
        <f>(D1344)-N1344</f>
        <v>2.2999999999999998</v>
      </c>
      <c r="P1344" s="112">
        <f>(I1344*J1344*O1344)+L1344</f>
        <v>32.199999999999996</v>
      </c>
      <c r="Q1344" s="104" t="str">
        <f t="shared" si="128"/>
        <v/>
      </c>
      <c r="R1344" s="104" t="str">
        <f t="shared" si="129"/>
        <v/>
      </c>
      <c r="S1344" s="104" t="str">
        <f t="shared" si="130"/>
        <v/>
      </c>
      <c r="T1344" s="104" t="str">
        <f t="shared" si="131"/>
        <v/>
      </c>
      <c r="U1344" s="104">
        <f t="shared" si="132"/>
        <v>32.199999999999996</v>
      </c>
      <c r="V1344" s="104" t="str">
        <f t="shared" si="133"/>
        <v/>
      </c>
      <c r="W1344" s="105"/>
    </row>
    <row r="1345" spans="1:23">
      <c r="A1345" s="92"/>
      <c r="B1345" s="121" t="s">
        <v>329</v>
      </c>
      <c r="C1345" s="107"/>
      <c r="D1345" s="389"/>
      <c r="E1345" s="389"/>
      <c r="F1345" s="118"/>
      <c r="G1345" s="108"/>
      <c r="H1345" s="98"/>
      <c r="I1345" s="99"/>
      <c r="J1345" s="101"/>
      <c r="K1345" s="109"/>
      <c r="L1345" s="110"/>
      <c r="M1345" s="111"/>
      <c r="N1345" s="99"/>
      <c r="O1345" s="112"/>
      <c r="P1345" s="112"/>
      <c r="Q1345" s="104" t="str">
        <f t="shared" si="128"/>
        <v/>
      </c>
      <c r="R1345" s="104" t="str">
        <f t="shared" si="129"/>
        <v/>
      </c>
      <c r="S1345" s="104" t="str">
        <f t="shared" si="130"/>
        <v/>
      </c>
      <c r="T1345" s="104" t="str">
        <f t="shared" si="131"/>
        <v/>
      </c>
      <c r="U1345" s="104" t="str">
        <f t="shared" si="132"/>
        <v/>
      </c>
      <c r="V1345" s="104" t="str">
        <f t="shared" si="133"/>
        <v/>
      </c>
      <c r="W1345" s="105"/>
    </row>
    <row r="1346" spans="1:23">
      <c r="A1346" s="92"/>
      <c r="B1346" s="121"/>
      <c r="C1346" s="107"/>
      <c r="D1346" s="389"/>
      <c r="E1346" s="389"/>
      <c r="F1346" s="118"/>
      <c r="G1346" s="108"/>
      <c r="H1346" s="98"/>
      <c r="I1346" s="99"/>
      <c r="J1346" s="101"/>
      <c r="K1346" s="109"/>
      <c r="L1346" s="110"/>
      <c r="M1346" s="111"/>
      <c r="N1346" s="99"/>
      <c r="O1346" s="112"/>
      <c r="P1346" s="112"/>
      <c r="Q1346" s="104" t="str">
        <f t="shared" si="128"/>
        <v/>
      </c>
      <c r="R1346" s="104" t="str">
        <f t="shared" si="129"/>
        <v/>
      </c>
      <c r="S1346" s="104" t="str">
        <f t="shared" si="130"/>
        <v/>
      </c>
      <c r="T1346" s="104" t="str">
        <f t="shared" si="131"/>
        <v/>
      </c>
      <c r="U1346" s="104" t="str">
        <f t="shared" si="132"/>
        <v/>
      </c>
      <c r="V1346" s="104" t="str">
        <f t="shared" si="133"/>
        <v/>
      </c>
      <c r="W1346" s="105"/>
    </row>
    <row r="1347" spans="1:23" ht="15" customHeight="1">
      <c r="A1347" s="92">
        <v>129</v>
      </c>
      <c r="B1347" s="121" t="s">
        <v>426</v>
      </c>
      <c r="C1347" s="122"/>
      <c r="D1347" s="798">
        <f>1.25+0.3+1.25</f>
        <v>2.8</v>
      </c>
      <c r="E1347" s="798"/>
      <c r="F1347" s="118"/>
      <c r="G1347" s="108">
        <v>0.25</v>
      </c>
      <c r="H1347" s="98">
        <v>25</v>
      </c>
      <c r="I1347" s="99">
        <v>1</v>
      </c>
      <c r="J1347" s="101">
        <f>ROUND(2.75/G1347+1,0)</f>
        <v>12</v>
      </c>
      <c r="K1347" s="109">
        <f>D1347</f>
        <v>2.8</v>
      </c>
      <c r="L1347" s="110" t="str">
        <f>IF(O1347&lt;12,"0",0.049*H1347)</f>
        <v>0</v>
      </c>
      <c r="M1347" s="111">
        <v>0</v>
      </c>
      <c r="N1347" s="99">
        <f>M1347*2*H1347/1000</f>
        <v>0</v>
      </c>
      <c r="O1347" s="112">
        <f>(D1347)-N1347</f>
        <v>2.8</v>
      </c>
      <c r="P1347" s="112">
        <f>(I1347*J1347*O1347)+L1347</f>
        <v>33.599999999999994</v>
      </c>
      <c r="Q1347" s="104" t="str">
        <f t="shared" si="128"/>
        <v/>
      </c>
      <c r="R1347" s="104" t="str">
        <f t="shared" si="129"/>
        <v/>
      </c>
      <c r="S1347" s="104" t="str">
        <f t="shared" si="130"/>
        <v/>
      </c>
      <c r="T1347" s="104" t="str">
        <f t="shared" si="131"/>
        <v/>
      </c>
      <c r="U1347" s="104" t="str">
        <f t="shared" si="132"/>
        <v/>
      </c>
      <c r="V1347" s="104">
        <f t="shared" si="133"/>
        <v>33.599999999999994</v>
      </c>
      <c r="W1347" s="105"/>
    </row>
    <row r="1348" spans="1:23">
      <c r="A1348" s="92"/>
      <c r="B1348" s="121" t="s">
        <v>330</v>
      </c>
      <c r="C1348" s="107"/>
      <c r="D1348" s="389"/>
      <c r="E1348" s="389"/>
      <c r="F1348" s="118"/>
      <c r="G1348" s="108"/>
      <c r="H1348" s="98"/>
      <c r="I1348" s="99"/>
      <c r="J1348" s="101"/>
      <c r="K1348" s="109"/>
      <c r="L1348" s="110"/>
      <c r="M1348" s="111"/>
      <c r="N1348" s="99"/>
      <c r="O1348" s="112"/>
      <c r="P1348" s="112"/>
      <c r="Q1348" s="104" t="str">
        <f t="shared" si="128"/>
        <v/>
      </c>
      <c r="R1348" s="104" t="str">
        <f t="shared" si="129"/>
        <v/>
      </c>
      <c r="S1348" s="104" t="str">
        <f t="shared" si="130"/>
        <v/>
      </c>
      <c r="T1348" s="104" t="str">
        <f t="shared" si="131"/>
        <v/>
      </c>
      <c r="U1348" s="104" t="str">
        <f t="shared" si="132"/>
        <v/>
      </c>
      <c r="V1348" s="104" t="str">
        <f t="shared" si="133"/>
        <v/>
      </c>
      <c r="W1348" s="105"/>
    </row>
    <row r="1349" spans="1:23">
      <c r="A1349" s="92"/>
      <c r="B1349" s="121"/>
      <c r="C1349" s="107"/>
      <c r="D1349" s="389"/>
      <c r="E1349" s="389"/>
      <c r="F1349" s="118"/>
      <c r="G1349" s="108"/>
      <c r="H1349" s="98"/>
      <c r="I1349" s="99"/>
      <c r="J1349" s="101"/>
      <c r="K1349" s="109"/>
      <c r="L1349" s="110"/>
      <c r="M1349" s="111"/>
      <c r="N1349" s="99"/>
      <c r="O1349" s="112"/>
      <c r="P1349" s="112"/>
      <c r="Q1349" s="104" t="str">
        <f t="shared" si="128"/>
        <v/>
      </c>
      <c r="R1349" s="104" t="str">
        <f t="shared" si="129"/>
        <v/>
      </c>
      <c r="S1349" s="104" t="str">
        <f t="shared" si="130"/>
        <v/>
      </c>
      <c r="T1349" s="104" t="str">
        <f t="shared" si="131"/>
        <v/>
      </c>
      <c r="U1349" s="104" t="str">
        <f t="shared" si="132"/>
        <v/>
      </c>
      <c r="V1349" s="104" t="str">
        <f t="shared" si="133"/>
        <v/>
      </c>
      <c r="W1349" s="105"/>
    </row>
    <row r="1350" spans="1:23" ht="15" customHeight="1">
      <c r="A1350" s="92">
        <v>130</v>
      </c>
      <c r="B1350" s="121" t="s">
        <v>427</v>
      </c>
      <c r="C1350" s="122"/>
      <c r="D1350" s="798">
        <f>1.25+0.3+1.25</f>
        <v>2.8</v>
      </c>
      <c r="E1350" s="798"/>
      <c r="F1350" s="118"/>
      <c r="G1350" s="108">
        <v>0.25</v>
      </c>
      <c r="H1350" s="98">
        <v>25</v>
      </c>
      <c r="I1350" s="99">
        <v>1</v>
      </c>
      <c r="J1350" s="101">
        <f>ROUND(2.75/G1350+1,0)</f>
        <v>12</v>
      </c>
      <c r="K1350" s="109">
        <f>D1350</f>
        <v>2.8</v>
      </c>
      <c r="L1350" s="110" t="str">
        <f>IF(O1350&lt;12,"0",0.049*H1350)</f>
        <v>0</v>
      </c>
      <c r="M1350" s="111">
        <v>0</v>
      </c>
      <c r="N1350" s="99">
        <f>M1350*2*H1350/1000</f>
        <v>0</v>
      </c>
      <c r="O1350" s="112">
        <f>(D1350)-N1350</f>
        <v>2.8</v>
      </c>
      <c r="P1350" s="112">
        <f>(I1350*J1350*O1350)+L1350</f>
        <v>33.599999999999994</v>
      </c>
      <c r="Q1350" s="104" t="str">
        <f t="shared" si="128"/>
        <v/>
      </c>
      <c r="R1350" s="104" t="str">
        <f t="shared" si="129"/>
        <v/>
      </c>
      <c r="S1350" s="104" t="str">
        <f t="shared" si="130"/>
        <v/>
      </c>
      <c r="T1350" s="104" t="str">
        <f t="shared" si="131"/>
        <v/>
      </c>
      <c r="U1350" s="104" t="str">
        <f t="shared" si="132"/>
        <v/>
      </c>
      <c r="V1350" s="104">
        <f t="shared" si="133"/>
        <v>33.599999999999994</v>
      </c>
      <c r="W1350" s="105"/>
    </row>
    <row r="1351" spans="1:23">
      <c r="A1351" s="92"/>
      <c r="B1351" s="121" t="s">
        <v>330</v>
      </c>
      <c r="C1351" s="107"/>
      <c r="D1351" s="389"/>
      <c r="E1351" s="389"/>
      <c r="F1351" s="118"/>
      <c r="G1351" s="108"/>
      <c r="H1351" s="98"/>
      <c r="I1351" s="99"/>
      <c r="J1351" s="101"/>
      <c r="K1351" s="109"/>
      <c r="L1351" s="110"/>
      <c r="M1351" s="111"/>
      <c r="N1351" s="99"/>
      <c r="O1351" s="112"/>
      <c r="P1351" s="112"/>
      <c r="Q1351" s="104" t="str">
        <f t="shared" si="128"/>
        <v/>
      </c>
      <c r="R1351" s="104" t="str">
        <f t="shared" si="129"/>
        <v/>
      </c>
      <c r="S1351" s="104" t="str">
        <f t="shared" si="130"/>
        <v/>
      </c>
      <c r="T1351" s="104" t="str">
        <f t="shared" si="131"/>
        <v/>
      </c>
      <c r="U1351" s="104" t="str">
        <f t="shared" si="132"/>
        <v/>
      </c>
      <c r="V1351" s="104" t="str">
        <f t="shared" si="133"/>
        <v/>
      </c>
      <c r="W1351" s="105"/>
    </row>
    <row r="1352" spans="1:23">
      <c r="A1352" s="92"/>
      <c r="B1352" s="121"/>
      <c r="C1352" s="107"/>
      <c r="D1352" s="389"/>
      <c r="E1352" s="389"/>
      <c r="F1352" s="118"/>
      <c r="G1352" s="108"/>
      <c r="H1352" s="98"/>
      <c r="I1352" s="99"/>
      <c r="J1352" s="101"/>
      <c r="K1352" s="109"/>
      <c r="L1352" s="110"/>
      <c r="M1352" s="111"/>
      <c r="N1352" s="99"/>
      <c r="O1352" s="112"/>
      <c r="P1352" s="112"/>
      <c r="Q1352" s="104" t="str">
        <f t="shared" si="128"/>
        <v/>
      </c>
      <c r="R1352" s="104" t="str">
        <f t="shared" si="129"/>
        <v/>
      </c>
      <c r="S1352" s="104" t="str">
        <f t="shared" si="130"/>
        <v/>
      </c>
      <c r="T1352" s="104" t="str">
        <f t="shared" si="131"/>
        <v/>
      </c>
      <c r="U1352" s="104" t="str">
        <f t="shared" si="132"/>
        <v/>
      </c>
      <c r="V1352" s="104" t="str">
        <f t="shared" si="133"/>
        <v/>
      </c>
      <c r="W1352" s="105"/>
    </row>
    <row r="1353" spans="1:23" ht="15" customHeight="1">
      <c r="A1353" s="92">
        <v>131</v>
      </c>
      <c r="B1353" s="121" t="s">
        <v>427</v>
      </c>
      <c r="C1353" s="122"/>
      <c r="D1353" s="798">
        <f>1+0.75+1</f>
        <v>2.75</v>
      </c>
      <c r="E1353" s="798"/>
      <c r="F1353" s="118"/>
      <c r="G1353" s="108">
        <v>0.25</v>
      </c>
      <c r="H1353" s="98">
        <v>20</v>
      </c>
      <c r="I1353" s="99">
        <v>1</v>
      </c>
      <c r="J1353" s="101">
        <f>ROUND(2.75/G1353+1,0)</f>
        <v>12</v>
      </c>
      <c r="K1353" s="109">
        <f>D1353</f>
        <v>2.75</v>
      </c>
      <c r="L1353" s="110" t="str">
        <f>IF(O1353&lt;12,"0",0.049*H1353)</f>
        <v>0</v>
      </c>
      <c r="M1353" s="111">
        <v>0</v>
      </c>
      <c r="N1353" s="99">
        <f>M1353*2*H1353/1000</f>
        <v>0</v>
      </c>
      <c r="O1353" s="112">
        <f>(D1353)-N1353</f>
        <v>2.75</v>
      </c>
      <c r="P1353" s="112">
        <f>(I1353*J1353*O1353)+L1353</f>
        <v>33</v>
      </c>
      <c r="Q1353" s="104" t="str">
        <f t="shared" si="128"/>
        <v/>
      </c>
      <c r="R1353" s="104" t="str">
        <f t="shared" si="129"/>
        <v/>
      </c>
      <c r="S1353" s="104" t="str">
        <f t="shared" si="130"/>
        <v/>
      </c>
      <c r="T1353" s="104" t="str">
        <f t="shared" si="131"/>
        <v/>
      </c>
      <c r="U1353" s="104">
        <f t="shared" si="132"/>
        <v>33</v>
      </c>
      <c r="V1353" s="104" t="str">
        <f t="shared" si="133"/>
        <v/>
      </c>
      <c r="W1353" s="105"/>
    </row>
    <row r="1354" spans="1:23">
      <c r="A1354" s="92"/>
      <c r="B1354" s="121" t="s">
        <v>330</v>
      </c>
      <c r="C1354" s="107"/>
      <c r="D1354" s="389"/>
      <c r="E1354" s="389"/>
      <c r="F1354" s="118"/>
      <c r="G1354" s="108"/>
      <c r="H1354" s="98"/>
      <c r="I1354" s="99"/>
      <c r="J1354" s="101"/>
      <c r="K1354" s="109"/>
      <c r="L1354" s="110"/>
      <c r="M1354" s="111"/>
      <c r="N1354" s="99"/>
      <c r="O1354" s="112"/>
      <c r="P1354" s="112"/>
      <c r="Q1354" s="104" t="str">
        <f t="shared" si="128"/>
        <v/>
      </c>
      <c r="R1354" s="104" t="str">
        <f t="shared" si="129"/>
        <v/>
      </c>
      <c r="S1354" s="104" t="str">
        <f t="shared" si="130"/>
        <v/>
      </c>
      <c r="T1354" s="104" t="str">
        <f t="shared" si="131"/>
        <v/>
      </c>
      <c r="U1354" s="104" t="str">
        <f t="shared" si="132"/>
        <v/>
      </c>
      <c r="V1354" s="104" t="str">
        <f t="shared" si="133"/>
        <v/>
      </c>
      <c r="W1354" s="105"/>
    </row>
    <row r="1355" spans="1:23">
      <c r="A1355" s="92"/>
      <c r="B1355" s="121"/>
      <c r="C1355" s="107"/>
      <c r="D1355" s="389"/>
      <c r="E1355" s="389"/>
      <c r="F1355" s="118"/>
      <c r="G1355" s="108"/>
      <c r="H1355" s="98"/>
      <c r="I1355" s="99"/>
      <c r="J1355" s="101"/>
      <c r="K1355" s="109"/>
      <c r="L1355" s="110"/>
      <c r="M1355" s="111"/>
      <c r="N1355" s="99"/>
      <c r="O1355" s="112"/>
      <c r="P1355" s="112"/>
      <c r="Q1355" s="104" t="str">
        <f t="shared" si="128"/>
        <v/>
      </c>
      <c r="R1355" s="104" t="str">
        <f t="shared" si="129"/>
        <v/>
      </c>
      <c r="S1355" s="104" t="str">
        <f t="shared" si="130"/>
        <v/>
      </c>
      <c r="T1355" s="104" t="str">
        <f t="shared" si="131"/>
        <v/>
      </c>
      <c r="U1355" s="104" t="str">
        <f t="shared" si="132"/>
        <v/>
      </c>
      <c r="V1355" s="104" t="str">
        <f t="shared" si="133"/>
        <v/>
      </c>
      <c r="W1355" s="105"/>
    </row>
    <row r="1356" spans="1:23" ht="15" customHeight="1">
      <c r="A1356" s="92">
        <v>132</v>
      </c>
      <c r="B1356" s="121" t="s">
        <v>426</v>
      </c>
      <c r="C1356" s="122"/>
      <c r="D1356" s="798">
        <f>1.25+0.75+1.25</f>
        <v>3.25</v>
      </c>
      <c r="E1356" s="798"/>
      <c r="F1356" s="118"/>
      <c r="G1356" s="108">
        <v>0.25</v>
      </c>
      <c r="H1356" s="98">
        <v>25</v>
      </c>
      <c r="I1356" s="99">
        <v>1</v>
      </c>
      <c r="J1356" s="101">
        <f>ROUND(2.3/G1356+1,0)</f>
        <v>10</v>
      </c>
      <c r="K1356" s="109">
        <f>D1356</f>
        <v>3.25</v>
      </c>
      <c r="L1356" s="110" t="str">
        <f>IF(O1356&lt;12,"0",0.049*H1356)</f>
        <v>0</v>
      </c>
      <c r="M1356" s="111">
        <v>0</v>
      </c>
      <c r="N1356" s="99">
        <f>M1356*2*H1356/1000</f>
        <v>0</v>
      </c>
      <c r="O1356" s="112">
        <f>(D1356)-N1356</f>
        <v>3.25</v>
      </c>
      <c r="P1356" s="112">
        <f>(I1356*J1356*O1356)+L1356</f>
        <v>32.5</v>
      </c>
      <c r="Q1356" s="104" t="str">
        <f t="shared" si="128"/>
        <v/>
      </c>
      <c r="R1356" s="104" t="str">
        <f t="shared" si="129"/>
        <v/>
      </c>
      <c r="S1356" s="104" t="str">
        <f t="shared" si="130"/>
        <v/>
      </c>
      <c r="T1356" s="104" t="str">
        <f t="shared" si="131"/>
        <v/>
      </c>
      <c r="U1356" s="104" t="str">
        <f t="shared" si="132"/>
        <v/>
      </c>
      <c r="V1356" s="104">
        <f t="shared" si="133"/>
        <v>32.5</v>
      </c>
      <c r="W1356" s="105"/>
    </row>
    <row r="1357" spans="1:23">
      <c r="A1357" s="92"/>
      <c r="B1357" s="121" t="s">
        <v>331</v>
      </c>
      <c r="C1357" s="107"/>
      <c r="D1357" s="389"/>
      <c r="E1357" s="389"/>
      <c r="F1357" s="118"/>
      <c r="G1357" s="108"/>
      <c r="H1357" s="98"/>
      <c r="I1357" s="99"/>
      <c r="J1357" s="101"/>
      <c r="K1357" s="109"/>
      <c r="L1357" s="110"/>
      <c r="M1357" s="111"/>
      <c r="N1357" s="99"/>
      <c r="O1357" s="112"/>
      <c r="P1357" s="112"/>
      <c r="Q1357" s="104" t="str">
        <f t="shared" si="128"/>
        <v/>
      </c>
      <c r="R1357" s="104" t="str">
        <f t="shared" si="129"/>
        <v/>
      </c>
      <c r="S1357" s="104" t="str">
        <f t="shared" si="130"/>
        <v/>
      </c>
      <c r="T1357" s="104" t="str">
        <f t="shared" si="131"/>
        <v/>
      </c>
      <c r="U1357" s="104" t="str">
        <f t="shared" si="132"/>
        <v/>
      </c>
      <c r="V1357" s="104" t="str">
        <f t="shared" si="133"/>
        <v/>
      </c>
      <c r="W1357" s="105"/>
    </row>
    <row r="1358" spans="1:23">
      <c r="A1358" s="92"/>
      <c r="B1358" s="121"/>
      <c r="C1358" s="107"/>
      <c r="D1358" s="389"/>
      <c r="E1358" s="389"/>
      <c r="F1358" s="118"/>
      <c r="G1358" s="108"/>
      <c r="H1358" s="98"/>
      <c r="I1358" s="99"/>
      <c r="J1358" s="101"/>
      <c r="K1358" s="109"/>
      <c r="L1358" s="110"/>
      <c r="M1358" s="111"/>
      <c r="N1358" s="99"/>
      <c r="O1358" s="112"/>
      <c r="P1358" s="112"/>
      <c r="Q1358" s="104" t="str">
        <f t="shared" si="128"/>
        <v/>
      </c>
      <c r="R1358" s="104" t="str">
        <f t="shared" si="129"/>
        <v/>
      </c>
      <c r="S1358" s="104" t="str">
        <f t="shared" si="130"/>
        <v/>
      </c>
      <c r="T1358" s="104" t="str">
        <f t="shared" si="131"/>
        <v/>
      </c>
      <c r="U1358" s="104" t="str">
        <f t="shared" si="132"/>
        <v/>
      </c>
      <c r="V1358" s="104" t="str">
        <f t="shared" si="133"/>
        <v/>
      </c>
      <c r="W1358" s="105"/>
    </row>
    <row r="1359" spans="1:23" ht="15" customHeight="1">
      <c r="A1359" s="92">
        <v>133</v>
      </c>
      <c r="B1359" s="121" t="s">
        <v>427</v>
      </c>
      <c r="C1359" s="122"/>
      <c r="D1359" s="798">
        <f>1+0.3+1</f>
        <v>2.2999999999999998</v>
      </c>
      <c r="E1359" s="798"/>
      <c r="F1359" s="118"/>
      <c r="G1359" s="108">
        <v>0.25</v>
      </c>
      <c r="H1359" s="98">
        <v>20</v>
      </c>
      <c r="I1359" s="99">
        <v>1</v>
      </c>
      <c r="J1359" s="101">
        <f>ROUND(3.25/G1359+1,0)</f>
        <v>14</v>
      </c>
      <c r="K1359" s="109">
        <f>D1359</f>
        <v>2.2999999999999998</v>
      </c>
      <c r="L1359" s="110" t="str">
        <f>IF(O1359&lt;12,"0",0.049*H1359)</f>
        <v>0</v>
      </c>
      <c r="M1359" s="111">
        <v>0</v>
      </c>
      <c r="N1359" s="99">
        <f>M1359*2*H1359/1000</f>
        <v>0</v>
      </c>
      <c r="O1359" s="112">
        <f>(D1359)-N1359</f>
        <v>2.2999999999999998</v>
      </c>
      <c r="P1359" s="112">
        <f>(I1359*J1359*O1359)+L1359</f>
        <v>32.199999999999996</v>
      </c>
      <c r="Q1359" s="104" t="str">
        <f t="shared" si="128"/>
        <v/>
      </c>
      <c r="R1359" s="104" t="str">
        <f t="shared" si="129"/>
        <v/>
      </c>
      <c r="S1359" s="104" t="str">
        <f t="shared" si="130"/>
        <v/>
      </c>
      <c r="T1359" s="104" t="str">
        <f t="shared" si="131"/>
        <v/>
      </c>
      <c r="U1359" s="104">
        <f t="shared" si="132"/>
        <v>32.199999999999996</v>
      </c>
      <c r="V1359" s="104" t="str">
        <f t="shared" si="133"/>
        <v/>
      </c>
      <c r="W1359" s="105"/>
    </row>
    <row r="1360" spans="1:23">
      <c r="A1360" s="92"/>
      <c r="B1360" s="121" t="s">
        <v>331</v>
      </c>
      <c r="C1360" s="107"/>
      <c r="D1360" s="389"/>
      <c r="E1360" s="389"/>
      <c r="F1360" s="118"/>
      <c r="G1360" s="108"/>
      <c r="H1360" s="98"/>
      <c r="I1360" s="99"/>
      <c r="J1360" s="101"/>
      <c r="K1360" s="109"/>
      <c r="L1360" s="110"/>
      <c r="M1360" s="111"/>
      <c r="N1360" s="99"/>
      <c r="O1360" s="112"/>
      <c r="P1360" s="112"/>
      <c r="Q1360" s="104" t="str">
        <f t="shared" si="128"/>
        <v/>
      </c>
      <c r="R1360" s="104" t="str">
        <f t="shared" si="129"/>
        <v/>
      </c>
      <c r="S1360" s="104" t="str">
        <f t="shared" si="130"/>
        <v/>
      </c>
      <c r="T1360" s="104" t="str">
        <f t="shared" si="131"/>
        <v/>
      </c>
      <c r="U1360" s="104" t="str">
        <f t="shared" si="132"/>
        <v/>
      </c>
      <c r="V1360" s="104" t="str">
        <f t="shared" si="133"/>
        <v/>
      </c>
      <c r="W1360" s="105"/>
    </row>
    <row r="1361" spans="1:23">
      <c r="A1361" s="92"/>
      <c r="B1361" s="121"/>
      <c r="C1361" s="107"/>
      <c r="D1361" s="389"/>
      <c r="E1361" s="389"/>
      <c r="F1361" s="118"/>
      <c r="G1361" s="108"/>
      <c r="H1361" s="98"/>
      <c r="I1361" s="99"/>
      <c r="J1361" s="101"/>
      <c r="K1361" s="109"/>
      <c r="L1361" s="110"/>
      <c r="M1361" s="111"/>
      <c r="N1361" s="99"/>
      <c r="O1361" s="112"/>
      <c r="P1361" s="112"/>
      <c r="Q1361" s="104" t="str">
        <f t="shared" si="128"/>
        <v/>
      </c>
      <c r="R1361" s="104" t="str">
        <f t="shared" si="129"/>
        <v/>
      </c>
      <c r="S1361" s="104" t="str">
        <f t="shared" si="130"/>
        <v/>
      </c>
      <c r="T1361" s="104" t="str">
        <f t="shared" si="131"/>
        <v/>
      </c>
      <c r="U1361" s="104" t="str">
        <f t="shared" si="132"/>
        <v/>
      </c>
      <c r="V1361" s="104" t="str">
        <f t="shared" si="133"/>
        <v/>
      </c>
      <c r="W1361" s="105"/>
    </row>
    <row r="1362" spans="1:23">
      <c r="A1362" s="92">
        <v>134</v>
      </c>
      <c r="B1362" s="121" t="s">
        <v>426</v>
      </c>
      <c r="C1362" s="122"/>
      <c r="D1362" s="797">
        <f>5.145</f>
        <v>5.1449999999999996</v>
      </c>
      <c r="E1362" s="797"/>
      <c r="F1362" s="118"/>
      <c r="G1362" s="108">
        <v>0.25</v>
      </c>
      <c r="H1362" s="98">
        <v>20</v>
      </c>
      <c r="I1362" s="99">
        <v>1</v>
      </c>
      <c r="J1362" s="101">
        <f>ROUND(6.165/G1362+1,0)</f>
        <v>26</v>
      </c>
      <c r="K1362" s="109">
        <f>D1362</f>
        <v>5.1449999999999996</v>
      </c>
      <c r="L1362" s="110" t="str">
        <f>IF(O1362&lt;12,"0",0.049*H1362)</f>
        <v>0</v>
      </c>
      <c r="M1362" s="111">
        <v>0</v>
      </c>
      <c r="N1362" s="99">
        <f>M1362*2*H1362/1000</f>
        <v>0</v>
      </c>
      <c r="O1362" s="112">
        <f>(D1362)-N1362</f>
        <v>5.1449999999999996</v>
      </c>
      <c r="P1362" s="112">
        <f>(I1362*J1362*O1362)+L1362</f>
        <v>133.76999999999998</v>
      </c>
      <c r="Q1362" s="104" t="str">
        <f t="shared" si="128"/>
        <v/>
      </c>
      <c r="R1362" s="104" t="str">
        <f t="shared" si="129"/>
        <v/>
      </c>
      <c r="S1362" s="104" t="str">
        <f t="shared" si="130"/>
        <v/>
      </c>
      <c r="T1362" s="104" t="str">
        <f t="shared" si="131"/>
        <v/>
      </c>
      <c r="U1362" s="104">
        <f t="shared" si="132"/>
        <v>133.76999999999998</v>
      </c>
      <c r="V1362" s="104" t="str">
        <f t="shared" si="133"/>
        <v/>
      </c>
      <c r="W1362" s="105"/>
    </row>
    <row r="1363" spans="1:23">
      <c r="A1363" s="92"/>
      <c r="B1363" s="124" t="s">
        <v>332</v>
      </c>
      <c r="C1363" s="107"/>
      <c r="D1363" s="389"/>
      <c r="E1363" s="389"/>
      <c r="F1363" s="118"/>
      <c r="G1363" s="108"/>
      <c r="H1363" s="98"/>
      <c r="I1363" s="99"/>
      <c r="J1363" s="101"/>
      <c r="K1363" s="109"/>
      <c r="L1363" s="110"/>
      <c r="M1363" s="111"/>
      <c r="N1363" s="99"/>
      <c r="O1363" s="112"/>
      <c r="P1363" s="112"/>
      <c r="Q1363" s="104" t="str">
        <f t="shared" si="128"/>
        <v/>
      </c>
      <c r="R1363" s="104" t="str">
        <f t="shared" si="129"/>
        <v/>
      </c>
      <c r="S1363" s="104" t="str">
        <f t="shared" si="130"/>
        <v/>
      </c>
      <c r="T1363" s="104" t="str">
        <f t="shared" si="131"/>
        <v/>
      </c>
      <c r="U1363" s="104" t="str">
        <f t="shared" si="132"/>
        <v/>
      </c>
      <c r="V1363" s="104" t="str">
        <f t="shared" si="133"/>
        <v/>
      </c>
      <c r="W1363" s="105"/>
    </row>
    <row r="1364" spans="1:23">
      <c r="A1364" s="92"/>
      <c r="B1364" s="121"/>
      <c r="C1364" s="107"/>
      <c r="D1364" s="389"/>
      <c r="E1364" s="389"/>
      <c r="F1364" s="118"/>
      <c r="G1364" s="108"/>
      <c r="H1364" s="98"/>
      <c r="I1364" s="99"/>
      <c r="J1364" s="101"/>
      <c r="K1364" s="109"/>
      <c r="L1364" s="110"/>
      <c r="M1364" s="111"/>
      <c r="N1364" s="99"/>
      <c r="O1364" s="112"/>
      <c r="P1364" s="112"/>
      <c r="Q1364" s="104" t="str">
        <f t="shared" si="128"/>
        <v/>
      </c>
      <c r="R1364" s="104" t="str">
        <f t="shared" si="129"/>
        <v/>
      </c>
      <c r="S1364" s="104" t="str">
        <f t="shared" si="130"/>
        <v/>
      </c>
      <c r="T1364" s="104" t="str">
        <f t="shared" si="131"/>
        <v/>
      </c>
      <c r="U1364" s="104" t="str">
        <f t="shared" si="132"/>
        <v/>
      </c>
      <c r="V1364" s="104" t="str">
        <f t="shared" si="133"/>
        <v/>
      </c>
      <c r="W1364" s="105"/>
    </row>
    <row r="1365" spans="1:23">
      <c r="A1365" s="92">
        <v>135</v>
      </c>
      <c r="B1365" s="121" t="s">
        <v>427</v>
      </c>
      <c r="C1365" s="122"/>
      <c r="D1365" s="797">
        <v>6.165</v>
      </c>
      <c r="E1365" s="797"/>
      <c r="F1365" s="118"/>
      <c r="G1365" s="108">
        <v>0.25</v>
      </c>
      <c r="H1365" s="98">
        <v>20</v>
      </c>
      <c r="I1365" s="99">
        <v>1</v>
      </c>
      <c r="J1365" s="101">
        <f>ROUND(5.145/G1365+1,0)</f>
        <v>22</v>
      </c>
      <c r="K1365" s="109">
        <f>D1365</f>
        <v>6.165</v>
      </c>
      <c r="L1365" s="110" t="str">
        <f>IF(O1365&lt;12,"0",0.049*H1365)</f>
        <v>0</v>
      </c>
      <c r="M1365" s="111">
        <v>0</v>
      </c>
      <c r="N1365" s="99">
        <f>M1365*2*H1365/1000</f>
        <v>0</v>
      </c>
      <c r="O1365" s="112">
        <f>(D1365)-N1365</f>
        <v>6.165</v>
      </c>
      <c r="P1365" s="112">
        <f>(I1365*J1365*O1365)+L1365</f>
        <v>135.63</v>
      </c>
      <c r="Q1365" s="104" t="str">
        <f t="shared" si="128"/>
        <v/>
      </c>
      <c r="R1365" s="104" t="str">
        <f t="shared" si="129"/>
        <v/>
      </c>
      <c r="S1365" s="104" t="str">
        <f t="shared" si="130"/>
        <v/>
      </c>
      <c r="T1365" s="104" t="str">
        <f t="shared" si="131"/>
        <v/>
      </c>
      <c r="U1365" s="104">
        <f t="shared" si="132"/>
        <v>135.63</v>
      </c>
      <c r="V1365" s="104" t="str">
        <f t="shared" si="133"/>
        <v/>
      </c>
      <c r="W1365" s="105"/>
    </row>
    <row r="1366" spans="1:23">
      <c r="A1366" s="92"/>
      <c r="B1366" s="124" t="s">
        <v>332</v>
      </c>
      <c r="C1366" s="107"/>
      <c r="D1366" s="389"/>
      <c r="E1366" s="389"/>
      <c r="F1366" s="118"/>
      <c r="G1366" s="108"/>
      <c r="H1366" s="98"/>
      <c r="I1366" s="99"/>
      <c r="J1366" s="101"/>
      <c r="K1366" s="109"/>
      <c r="L1366" s="110"/>
      <c r="M1366" s="111"/>
      <c r="N1366" s="99"/>
      <c r="O1366" s="112"/>
      <c r="P1366" s="112"/>
      <c r="Q1366" s="104" t="str">
        <f t="shared" si="128"/>
        <v/>
      </c>
      <c r="R1366" s="104" t="str">
        <f t="shared" si="129"/>
        <v/>
      </c>
      <c r="S1366" s="104" t="str">
        <f t="shared" si="130"/>
        <v/>
      </c>
      <c r="T1366" s="104" t="str">
        <f t="shared" si="131"/>
        <v/>
      </c>
      <c r="U1366" s="104" t="str">
        <f t="shared" si="132"/>
        <v/>
      </c>
      <c r="V1366" s="104" t="str">
        <f t="shared" si="133"/>
        <v/>
      </c>
      <c r="W1366" s="105"/>
    </row>
    <row r="1367" spans="1:23">
      <c r="A1367" s="92"/>
      <c r="B1367" s="121"/>
      <c r="C1367" s="107"/>
      <c r="D1367" s="389"/>
      <c r="E1367" s="389"/>
      <c r="F1367" s="118"/>
      <c r="G1367" s="108"/>
      <c r="H1367" s="98"/>
      <c r="I1367" s="99"/>
      <c r="J1367" s="101"/>
      <c r="K1367" s="109"/>
      <c r="L1367" s="110"/>
      <c r="M1367" s="111"/>
      <c r="N1367" s="99"/>
      <c r="O1367" s="112"/>
      <c r="P1367" s="112"/>
      <c r="Q1367" s="104" t="str">
        <f t="shared" si="128"/>
        <v/>
      </c>
      <c r="R1367" s="104" t="str">
        <f t="shared" si="129"/>
        <v/>
      </c>
      <c r="S1367" s="104" t="str">
        <f t="shared" si="130"/>
        <v/>
      </c>
      <c r="T1367" s="104" t="str">
        <f t="shared" si="131"/>
        <v/>
      </c>
      <c r="U1367" s="104" t="str">
        <f t="shared" si="132"/>
        <v/>
      </c>
      <c r="V1367" s="104" t="str">
        <f t="shared" si="133"/>
        <v/>
      </c>
      <c r="W1367" s="105"/>
    </row>
    <row r="1368" spans="1:23" ht="15" customHeight="1">
      <c r="A1368" s="92">
        <v>136</v>
      </c>
      <c r="B1368" s="121" t="s">
        <v>333</v>
      </c>
      <c r="C1368" s="122"/>
      <c r="D1368" s="797">
        <v>2.75</v>
      </c>
      <c r="E1368" s="797"/>
      <c r="F1368" s="118"/>
      <c r="G1368" s="108"/>
      <c r="H1368" s="98">
        <v>20</v>
      </c>
      <c r="I1368" s="99">
        <v>1</v>
      </c>
      <c r="J1368" s="101">
        <v>3</v>
      </c>
      <c r="K1368" s="109">
        <f>D1368</f>
        <v>2.75</v>
      </c>
      <c r="L1368" s="110" t="str">
        <f>IF(O1368&lt;12,"0",0.049*H1368)</f>
        <v>0</v>
      </c>
      <c r="M1368" s="111">
        <v>0</v>
      </c>
      <c r="N1368" s="99">
        <f>M1368*2*H1368/1000</f>
        <v>0</v>
      </c>
      <c r="O1368" s="112">
        <f>(D1368)-N1368</f>
        <v>2.75</v>
      </c>
      <c r="P1368" s="112">
        <f>(I1368*J1368*O1368)+L1368</f>
        <v>8.25</v>
      </c>
      <c r="Q1368" s="104" t="str">
        <f t="shared" si="128"/>
        <v/>
      </c>
      <c r="R1368" s="104" t="str">
        <f t="shared" si="129"/>
        <v/>
      </c>
      <c r="S1368" s="104" t="str">
        <f t="shared" si="130"/>
        <v/>
      </c>
      <c r="T1368" s="104" t="str">
        <f t="shared" si="131"/>
        <v/>
      </c>
      <c r="U1368" s="104">
        <f t="shared" si="132"/>
        <v>8.25</v>
      </c>
      <c r="V1368" s="104" t="str">
        <f t="shared" si="133"/>
        <v/>
      </c>
      <c r="W1368" s="105"/>
    </row>
    <row r="1369" spans="1:23">
      <c r="A1369" s="92"/>
      <c r="B1369" s="121" t="s">
        <v>299</v>
      </c>
      <c r="C1369" s="107"/>
      <c r="D1369" s="389"/>
      <c r="E1369" s="389"/>
      <c r="F1369" s="118"/>
      <c r="G1369" s="108"/>
      <c r="H1369" s="98"/>
      <c r="I1369" s="99"/>
      <c r="J1369" s="101"/>
      <c r="K1369" s="109"/>
      <c r="L1369" s="110"/>
      <c r="M1369" s="111"/>
      <c r="N1369" s="99"/>
      <c r="O1369" s="112"/>
      <c r="P1369" s="112"/>
      <c r="Q1369" s="104" t="str">
        <f t="shared" si="128"/>
        <v/>
      </c>
      <c r="R1369" s="104" t="str">
        <f t="shared" si="129"/>
        <v/>
      </c>
      <c r="S1369" s="104" t="str">
        <f t="shared" si="130"/>
        <v/>
      </c>
      <c r="T1369" s="104" t="str">
        <f t="shared" si="131"/>
        <v/>
      </c>
      <c r="U1369" s="104" t="str">
        <f t="shared" si="132"/>
        <v/>
      </c>
      <c r="V1369" s="104" t="str">
        <f t="shared" si="133"/>
        <v/>
      </c>
      <c r="W1369" s="105"/>
    </row>
    <row r="1370" spans="1:23">
      <c r="A1370" s="92"/>
      <c r="B1370" s="121"/>
      <c r="C1370" s="107"/>
      <c r="D1370" s="389"/>
      <c r="E1370" s="389"/>
      <c r="F1370" s="118"/>
      <c r="G1370" s="108"/>
      <c r="H1370" s="98"/>
      <c r="I1370" s="99"/>
      <c r="J1370" s="101"/>
      <c r="K1370" s="109"/>
      <c r="L1370" s="110"/>
      <c r="M1370" s="111"/>
      <c r="N1370" s="99"/>
      <c r="O1370" s="112"/>
      <c r="P1370" s="112"/>
      <c r="Q1370" s="104" t="str">
        <f t="shared" si="128"/>
        <v/>
      </c>
      <c r="R1370" s="104" t="str">
        <f t="shared" si="129"/>
        <v/>
      </c>
      <c r="S1370" s="104" t="str">
        <f t="shared" si="130"/>
        <v/>
      </c>
      <c r="T1370" s="104" t="str">
        <f t="shared" si="131"/>
        <v/>
      </c>
      <c r="U1370" s="104" t="str">
        <f t="shared" si="132"/>
        <v/>
      </c>
      <c r="V1370" s="104" t="str">
        <f t="shared" si="133"/>
        <v/>
      </c>
      <c r="W1370" s="105"/>
    </row>
    <row r="1371" spans="1:23" ht="15" customHeight="1">
      <c r="A1371" s="92">
        <v>137</v>
      </c>
      <c r="B1371" s="121" t="s">
        <v>333</v>
      </c>
      <c r="C1371" s="122"/>
      <c r="D1371" s="797">
        <v>2.75</v>
      </c>
      <c r="E1371" s="797"/>
      <c r="F1371" s="118"/>
      <c r="G1371" s="108"/>
      <c r="H1371" s="98">
        <v>20</v>
      </c>
      <c r="I1371" s="99">
        <v>1</v>
      </c>
      <c r="J1371" s="101">
        <v>3</v>
      </c>
      <c r="K1371" s="109">
        <f>D1371</f>
        <v>2.75</v>
      </c>
      <c r="L1371" s="110" t="str">
        <f>IF(O1371&lt;12,"0",0.049*H1371)</f>
        <v>0</v>
      </c>
      <c r="M1371" s="111">
        <v>0</v>
      </c>
      <c r="N1371" s="99">
        <f>M1371*2*H1371/1000</f>
        <v>0</v>
      </c>
      <c r="O1371" s="112">
        <f>(D1371)-N1371</f>
        <v>2.75</v>
      </c>
      <c r="P1371" s="112">
        <f>(I1371*J1371*O1371)+L1371</f>
        <v>8.25</v>
      </c>
      <c r="Q1371" s="104" t="str">
        <f t="shared" si="128"/>
        <v/>
      </c>
      <c r="R1371" s="104" t="str">
        <f t="shared" si="129"/>
        <v/>
      </c>
      <c r="S1371" s="104" t="str">
        <f t="shared" si="130"/>
        <v/>
      </c>
      <c r="T1371" s="104" t="str">
        <f t="shared" si="131"/>
        <v/>
      </c>
      <c r="U1371" s="104">
        <f t="shared" si="132"/>
        <v>8.25</v>
      </c>
      <c r="V1371" s="104" t="str">
        <f t="shared" si="133"/>
        <v/>
      </c>
      <c r="W1371" s="105"/>
    </row>
    <row r="1372" spans="1:23">
      <c r="A1372" s="92"/>
      <c r="B1372" s="121" t="s">
        <v>334</v>
      </c>
      <c r="C1372" s="107"/>
      <c r="D1372" s="389"/>
      <c r="E1372" s="389"/>
      <c r="F1372" s="118"/>
      <c r="G1372" s="108"/>
      <c r="H1372" s="98"/>
      <c r="I1372" s="99"/>
      <c r="J1372" s="101"/>
      <c r="K1372" s="109"/>
      <c r="L1372" s="110"/>
      <c r="M1372" s="111"/>
      <c r="N1372" s="99"/>
      <c r="O1372" s="112"/>
      <c r="P1372" s="112"/>
      <c r="Q1372" s="104" t="str">
        <f t="shared" si="128"/>
        <v/>
      </c>
      <c r="R1372" s="104" t="str">
        <f t="shared" si="129"/>
        <v/>
      </c>
      <c r="S1372" s="104" t="str">
        <f t="shared" si="130"/>
        <v/>
      </c>
      <c r="T1372" s="104" t="str">
        <f t="shared" si="131"/>
        <v/>
      </c>
      <c r="U1372" s="104" t="str">
        <f t="shared" si="132"/>
        <v/>
      </c>
      <c r="V1372" s="104" t="str">
        <f t="shared" si="133"/>
        <v/>
      </c>
      <c r="W1372" s="105"/>
    </row>
    <row r="1373" spans="1:23">
      <c r="A1373" s="92"/>
      <c r="B1373" s="121"/>
      <c r="C1373" s="107"/>
      <c r="D1373" s="389"/>
      <c r="E1373" s="389"/>
      <c r="F1373" s="118"/>
      <c r="G1373" s="108"/>
      <c r="H1373" s="98"/>
      <c r="I1373" s="99"/>
      <c r="J1373" s="101"/>
      <c r="K1373" s="109"/>
      <c r="L1373" s="110"/>
      <c r="M1373" s="111"/>
      <c r="N1373" s="99"/>
      <c r="O1373" s="112"/>
      <c r="P1373" s="112"/>
      <c r="Q1373" s="104" t="str">
        <f t="shared" si="128"/>
        <v/>
      </c>
      <c r="R1373" s="104" t="str">
        <f t="shared" si="129"/>
        <v/>
      </c>
      <c r="S1373" s="104" t="str">
        <f t="shared" si="130"/>
        <v/>
      </c>
      <c r="T1373" s="104" t="str">
        <f t="shared" si="131"/>
        <v/>
      </c>
      <c r="U1373" s="104" t="str">
        <f t="shared" si="132"/>
        <v/>
      </c>
      <c r="V1373" s="104" t="str">
        <f t="shared" si="133"/>
        <v/>
      </c>
      <c r="W1373" s="105"/>
    </row>
    <row r="1374" spans="1:23" ht="15" customHeight="1">
      <c r="A1374" s="92">
        <v>138</v>
      </c>
      <c r="B1374" s="121" t="s">
        <v>333</v>
      </c>
      <c r="C1374" s="122"/>
      <c r="D1374" s="797">
        <v>2.75</v>
      </c>
      <c r="E1374" s="797"/>
      <c r="F1374" s="118"/>
      <c r="G1374" s="108"/>
      <c r="H1374" s="98">
        <v>20</v>
      </c>
      <c r="I1374" s="99">
        <v>1</v>
      </c>
      <c r="J1374" s="101">
        <v>3</v>
      </c>
      <c r="K1374" s="109">
        <f>D1374</f>
        <v>2.75</v>
      </c>
      <c r="L1374" s="110" t="str">
        <f>IF(O1374&lt;12,"0",0.049*H1374)</f>
        <v>0</v>
      </c>
      <c r="M1374" s="111">
        <v>0</v>
      </c>
      <c r="N1374" s="99">
        <f>M1374*2*H1374/1000</f>
        <v>0</v>
      </c>
      <c r="O1374" s="112">
        <f>(D1374)-N1374</f>
        <v>2.75</v>
      </c>
      <c r="P1374" s="112">
        <f>(I1374*J1374*O1374)+L1374</f>
        <v>8.25</v>
      </c>
      <c r="Q1374" s="104" t="str">
        <f t="shared" si="128"/>
        <v/>
      </c>
      <c r="R1374" s="104" t="str">
        <f t="shared" si="129"/>
        <v/>
      </c>
      <c r="S1374" s="104" t="str">
        <f t="shared" si="130"/>
        <v/>
      </c>
      <c r="T1374" s="104" t="str">
        <f t="shared" si="131"/>
        <v/>
      </c>
      <c r="U1374" s="104">
        <f t="shared" si="132"/>
        <v>8.25</v>
      </c>
      <c r="V1374" s="104" t="str">
        <f t="shared" si="133"/>
        <v/>
      </c>
      <c r="W1374" s="105"/>
    </row>
    <row r="1375" spans="1:23">
      <c r="A1375" s="92"/>
      <c r="B1375" s="121" t="s">
        <v>296</v>
      </c>
      <c r="C1375" s="107"/>
      <c r="D1375" s="389"/>
      <c r="E1375" s="389"/>
      <c r="F1375" s="118"/>
      <c r="G1375" s="108"/>
      <c r="H1375" s="98"/>
      <c r="I1375" s="99"/>
      <c r="J1375" s="101"/>
      <c r="K1375" s="109"/>
      <c r="L1375" s="110"/>
      <c r="M1375" s="111"/>
      <c r="N1375" s="99"/>
      <c r="O1375" s="112"/>
      <c r="P1375" s="112"/>
      <c r="Q1375" s="104" t="str">
        <f t="shared" si="128"/>
        <v/>
      </c>
      <c r="R1375" s="104" t="str">
        <f t="shared" si="129"/>
        <v/>
      </c>
      <c r="S1375" s="104" t="str">
        <f t="shared" si="130"/>
        <v/>
      </c>
      <c r="T1375" s="104" t="str">
        <f t="shared" si="131"/>
        <v/>
      </c>
      <c r="U1375" s="104" t="str">
        <f t="shared" si="132"/>
        <v/>
      </c>
      <c r="V1375" s="104" t="str">
        <f t="shared" si="133"/>
        <v/>
      </c>
      <c r="W1375" s="105"/>
    </row>
    <row r="1376" spans="1:23">
      <c r="A1376" s="92"/>
      <c r="B1376" s="121"/>
      <c r="C1376" s="107"/>
      <c r="D1376" s="389"/>
      <c r="E1376" s="389"/>
      <c r="F1376" s="118"/>
      <c r="G1376" s="108"/>
      <c r="H1376" s="98"/>
      <c r="I1376" s="99"/>
      <c r="J1376" s="101"/>
      <c r="K1376" s="109"/>
      <c r="L1376" s="110"/>
      <c r="M1376" s="111"/>
      <c r="N1376" s="99"/>
      <c r="O1376" s="112"/>
      <c r="P1376" s="112"/>
      <c r="Q1376" s="104" t="str">
        <f t="shared" si="128"/>
        <v/>
      </c>
      <c r="R1376" s="104" t="str">
        <f t="shared" si="129"/>
        <v/>
      </c>
      <c r="S1376" s="104" t="str">
        <f t="shared" si="130"/>
        <v/>
      </c>
      <c r="T1376" s="104" t="str">
        <f t="shared" si="131"/>
        <v/>
      </c>
      <c r="U1376" s="104" t="str">
        <f t="shared" si="132"/>
        <v/>
      </c>
      <c r="V1376" s="104" t="str">
        <f t="shared" si="133"/>
        <v/>
      </c>
      <c r="W1376" s="105"/>
    </row>
    <row r="1377" spans="1:23" ht="15" customHeight="1">
      <c r="A1377" s="92">
        <v>139</v>
      </c>
      <c r="B1377" s="121" t="s">
        <v>333</v>
      </c>
      <c r="C1377" s="122"/>
      <c r="D1377" s="797">
        <v>2.8</v>
      </c>
      <c r="E1377" s="797"/>
      <c r="F1377" s="118"/>
      <c r="G1377" s="108"/>
      <c r="H1377" s="98">
        <v>20</v>
      </c>
      <c r="I1377" s="99">
        <v>1</v>
      </c>
      <c r="J1377" s="101">
        <v>3</v>
      </c>
      <c r="K1377" s="109">
        <f>D1377</f>
        <v>2.8</v>
      </c>
      <c r="L1377" s="110" t="str">
        <f>IF(O1377&lt;12,"0",0.049*H1377)</f>
        <v>0</v>
      </c>
      <c r="M1377" s="111">
        <v>0</v>
      </c>
      <c r="N1377" s="99">
        <f>M1377*2*H1377/1000</f>
        <v>0</v>
      </c>
      <c r="O1377" s="112">
        <f>(D1377)-N1377</f>
        <v>2.8</v>
      </c>
      <c r="P1377" s="112">
        <f>(I1377*J1377*O1377)+L1377</f>
        <v>8.3999999999999986</v>
      </c>
      <c r="Q1377" s="104" t="str">
        <f t="shared" si="128"/>
        <v/>
      </c>
      <c r="R1377" s="104" t="str">
        <f t="shared" si="129"/>
        <v/>
      </c>
      <c r="S1377" s="104" t="str">
        <f t="shared" si="130"/>
        <v/>
      </c>
      <c r="T1377" s="104" t="str">
        <f t="shared" si="131"/>
        <v/>
      </c>
      <c r="U1377" s="104">
        <f t="shared" si="132"/>
        <v>8.3999999999999986</v>
      </c>
      <c r="V1377" s="104" t="str">
        <f t="shared" si="133"/>
        <v/>
      </c>
      <c r="W1377" s="105"/>
    </row>
    <row r="1378" spans="1:23">
      <c r="A1378" s="92"/>
      <c r="B1378" s="121" t="s">
        <v>296</v>
      </c>
      <c r="C1378" s="107"/>
      <c r="D1378" s="389"/>
      <c r="E1378" s="389"/>
      <c r="F1378" s="118"/>
      <c r="G1378" s="108"/>
      <c r="H1378" s="98"/>
      <c r="I1378" s="99"/>
      <c r="J1378" s="101"/>
      <c r="K1378" s="109"/>
      <c r="L1378" s="110"/>
      <c r="M1378" s="111"/>
      <c r="N1378" s="99"/>
      <c r="O1378" s="112"/>
      <c r="P1378" s="112"/>
      <c r="Q1378" s="104" t="str">
        <f t="shared" si="128"/>
        <v/>
      </c>
      <c r="R1378" s="104" t="str">
        <f t="shared" si="129"/>
        <v/>
      </c>
      <c r="S1378" s="104" t="str">
        <f t="shared" si="130"/>
        <v/>
      </c>
      <c r="T1378" s="104" t="str">
        <f t="shared" si="131"/>
        <v/>
      </c>
      <c r="U1378" s="104" t="str">
        <f t="shared" si="132"/>
        <v/>
      </c>
      <c r="V1378" s="104" t="str">
        <f t="shared" si="133"/>
        <v/>
      </c>
      <c r="W1378" s="105"/>
    </row>
    <row r="1379" spans="1:23">
      <c r="A1379" s="92"/>
      <c r="B1379" s="121"/>
      <c r="C1379" s="107"/>
      <c r="D1379" s="389"/>
      <c r="E1379" s="389"/>
      <c r="F1379" s="118"/>
      <c r="G1379" s="108"/>
      <c r="H1379" s="98"/>
      <c r="I1379" s="99"/>
      <c r="J1379" s="101"/>
      <c r="K1379" s="109"/>
      <c r="L1379" s="110"/>
      <c r="M1379" s="111"/>
      <c r="N1379" s="99"/>
      <c r="O1379" s="112"/>
      <c r="P1379" s="112"/>
      <c r="Q1379" s="104" t="str">
        <f t="shared" si="128"/>
        <v/>
      </c>
      <c r="R1379" s="104" t="str">
        <f t="shared" si="129"/>
        <v/>
      </c>
      <c r="S1379" s="104" t="str">
        <f t="shared" si="130"/>
        <v/>
      </c>
      <c r="T1379" s="104" t="str">
        <f t="shared" si="131"/>
        <v/>
      </c>
      <c r="U1379" s="104" t="str">
        <f t="shared" si="132"/>
        <v/>
      </c>
      <c r="V1379" s="104" t="str">
        <f t="shared" si="133"/>
        <v/>
      </c>
      <c r="W1379" s="105"/>
    </row>
    <row r="1380" spans="1:23" ht="15" customHeight="1">
      <c r="A1380" s="92">
        <v>140</v>
      </c>
      <c r="B1380" s="121" t="s">
        <v>333</v>
      </c>
      <c r="C1380" s="122"/>
      <c r="D1380" s="797">
        <v>2.75</v>
      </c>
      <c r="E1380" s="797"/>
      <c r="F1380" s="118"/>
      <c r="G1380" s="108"/>
      <c r="H1380" s="98">
        <v>20</v>
      </c>
      <c r="I1380" s="99">
        <v>1</v>
      </c>
      <c r="J1380" s="101">
        <v>3</v>
      </c>
      <c r="K1380" s="109">
        <f>D1380</f>
        <v>2.75</v>
      </c>
      <c r="L1380" s="110" t="str">
        <f>IF(O1380&lt;12,"0",0.049*H1380)</f>
        <v>0</v>
      </c>
      <c r="M1380" s="111">
        <v>0</v>
      </c>
      <c r="N1380" s="99">
        <f>M1380*2*H1380/1000</f>
        <v>0</v>
      </c>
      <c r="O1380" s="112">
        <f>(D1380)-N1380</f>
        <v>2.75</v>
      </c>
      <c r="P1380" s="112">
        <f>(I1380*J1380*O1380)+L1380</f>
        <v>8.25</v>
      </c>
      <c r="Q1380" s="104" t="str">
        <f t="shared" si="128"/>
        <v/>
      </c>
      <c r="R1380" s="104" t="str">
        <f t="shared" si="129"/>
        <v/>
      </c>
      <c r="S1380" s="104" t="str">
        <f t="shared" si="130"/>
        <v/>
      </c>
      <c r="T1380" s="104" t="str">
        <f t="shared" si="131"/>
        <v/>
      </c>
      <c r="U1380" s="104">
        <f t="shared" si="132"/>
        <v>8.25</v>
      </c>
      <c r="V1380" s="104" t="str">
        <f t="shared" si="133"/>
        <v/>
      </c>
      <c r="W1380" s="105"/>
    </row>
    <row r="1381" spans="1:23">
      <c r="A1381" s="92"/>
      <c r="B1381" s="121" t="s">
        <v>316</v>
      </c>
      <c r="C1381" s="107"/>
      <c r="D1381" s="389"/>
      <c r="E1381" s="389"/>
      <c r="F1381" s="118"/>
      <c r="G1381" s="108"/>
      <c r="H1381" s="98"/>
      <c r="I1381" s="99"/>
      <c r="J1381" s="101"/>
      <c r="K1381" s="109"/>
      <c r="L1381" s="110"/>
      <c r="M1381" s="111"/>
      <c r="N1381" s="99"/>
      <c r="O1381" s="112"/>
      <c r="P1381" s="112"/>
      <c r="Q1381" s="104" t="str">
        <f t="shared" si="128"/>
        <v/>
      </c>
      <c r="R1381" s="104" t="str">
        <f t="shared" si="129"/>
        <v/>
      </c>
      <c r="S1381" s="104" t="str">
        <f t="shared" si="130"/>
        <v/>
      </c>
      <c r="T1381" s="104" t="str">
        <f t="shared" si="131"/>
        <v/>
      </c>
      <c r="U1381" s="104" t="str">
        <f t="shared" si="132"/>
        <v/>
      </c>
      <c r="V1381" s="104" t="str">
        <f t="shared" si="133"/>
        <v/>
      </c>
      <c r="W1381" s="105"/>
    </row>
    <row r="1382" spans="1:23">
      <c r="A1382" s="92"/>
      <c r="B1382" s="121"/>
      <c r="C1382" s="107"/>
      <c r="D1382" s="389"/>
      <c r="E1382" s="389"/>
      <c r="F1382" s="118"/>
      <c r="G1382" s="108"/>
      <c r="H1382" s="98"/>
      <c r="I1382" s="99"/>
      <c r="J1382" s="101"/>
      <c r="K1382" s="109"/>
      <c r="L1382" s="110"/>
      <c r="M1382" s="111"/>
      <c r="N1382" s="99"/>
      <c r="O1382" s="112"/>
      <c r="P1382" s="112"/>
      <c r="Q1382" s="104" t="str">
        <f t="shared" si="128"/>
        <v/>
      </c>
      <c r="R1382" s="104" t="str">
        <f t="shared" si="129"/>
        <v/>
      </c>
      <c r="S1382" s="104" t="str">
        <f t="shared" si="130"/>
        <v/>
      </c>
      <c r="T1382" s="104" t="str">
        <f t="shared" si="131"/>
        <v/>
      </c>
      <c r="U1382" s="104" t="str">
        <f t="shared" si="132"/>
        <v/>
      </c>
      <c r="V1382" s="104" t="str">
        <f t="shared" si="133"/>
        <v/>
      </c>
      <c r="W1382" s="105"/>
    </row>
    <row r="1383" spans="1:23" ht="15" customHeight="1">
      <c r="A1383" s="92">
        <v>141</v>
      </c>
      <c r="B1383" s="121" t="s">
        <v>333</v>
      </c>
      <c r="C1383" s="122"/>
      <c r="D1383" s="797">
        <v>2.75</v>
      </c>
      <c r="E1383" s="797"/>
      <c r="F1383" s="118"/>
      <c r="G1383" s="108"/>
      <c r="H1383" s="98">
        <v>20</v>
      </c>
      <c r="I1383" s="99">
        <v>1</v>
      </c>
      <c r="J1383" s="101">
        <v>3</v>
      </c>
      <c r="K1383" s="109">
        <f>D1383</f>
        <v>2.75</v>
      </c>
      <c r="L1383" s="110" t="str">
        <f>IF(O1383&lt;12,"0",0.049*H1383)</f>
        <v>0</v>
      </c>
      <c r="M1383" s="111">
        <v>0</v>
      </c>
      <c r="N1383" s="99">
        <f>M1383*2*H1383/1000</f>
        <v>0</v>
      </c>
      <c r="O1383" s="112">
        <f>(D1383)-N1383</f>
        <v>2.75</v>
      </c>
      <c r="P1383" s="112">
        <f>(I1383*J1383*O1383)+L1383</f>
        <v>8.25</v>
      </c>
      <c r="Q1383" s="104" t="str">
        <f t="shared" si="128"/>
        <v/>
      </c>
      <c r="R1383" s="104" t="str">
        <f t="shared" si="129"/>
        <v/>
      </c>
      <c r="S1383" s="104" t="str">
        <f t="shared" si="130"/>
        <v/>
      </c>
      <c r="T1383" s="104" t="str">
        <f t="shared" si="131"/>
        <v/>
      </c>
      <c r="U1383" s="104">
        <f t="shared" si="132"/>
        <v>8.25</v>
      </c>
      <c r="V1383" s="104" t="str">
        <f t="shared" si="133"/>
        <v/>
      </c>
      <c r="W1383" s="105"/>
    </row>
    <row r="1384" spans="1:23">
      <c r="A1384" s="92"/>
      <c r="B1384" s="121" t="s">
        <v>318</v>
      </c>
      <c r="C1384" s="107"/>
      <c r="D1384" s="389"/>
      <c r="E1384" s="389"/>
      <c r="F1384" s="118"/>
      <c r="G1384" s="108"/>
      <c r="H1384" s="98"/>
      <c r="I1384" s="99"/>
      <c r="J1384" s="101"/>
      <c r="K1384" s="109"/>
      <c r="L1384" s="110"/>
      <c r="M1384" s="111"/>
      <c r="N1384" s="99"/>
      <c r="O1384" s="112"/>
      <c r="P1384" s="112"/>
      <c r="Q1384" s="104" t="str">
        <f t="shared" si="128"/>
        <v/>
      </c>
      <c r="R1384" s="104" t="str">
        <f t="shared" si="129"/>
        <v/>
      </c>
      <c r="S1384" s="104" t="str">
        <f t="shared" si="130"/>
        <v/>
      </c>
      <c r="T1384" s="104" t="str">
        <f t="shared" si="131"/>
        <v/>
      </c>
      <c r="U1384" s="104" t="str">
        <f t="shared" si="132"/>
        <v/>
      </c>
      <c r="V1384" s="104" t="str">
        <f t="shared" si="133"/>
        <v/>
      </c>
      <c r="W1384" s="105"/>
    </row>
    <row r="1385" spans="1:23">
      <c r="A1385" s="92"/>
      <c r="B1385" s="121"/>
      <c r="C1385" s="107"/>
      <c r="D1385" s="389"/>
      <c r="E1385" s="389"/>
      <c r="F1385" s="118"/>
      <c r="G1385" s="108"/>
      <c r="H1385" s="98"/>
      <c r="I1385" s="99"/>
      <c r="J1385" s="101"/>
      <c r="K1385" s="109"/>
      <c r="L1385" s="110"/>
      <c r="M1385" s="111"/>
      <c r="N1385" s="99"/>
      <c r="O1385" s="112"/>
      <c r="P1385" s="112"/>
      <c r="Q1385" s="104" t="str">
        <f t="shared" si="128"/>
        <v/>
      </c>
      <c r="R1385" s="104" t="str">
        <f t="shared" si="129"/>
        <v/>
      </c>
      <c r="S1385" s="104" t="str">
        <f t="shared" si="130"/>
        <v/>
      </c>
      <c r="T1385" s="104" t="str">
        <f t="shared" si="131"/>
        <v/>
      </c>
      <c r="U1385" s="104" t="str">
        <f t="shared" si="132"/>
        <v/>
      </c>
      <c r="V1385" s="104" t="str">
        <f t="shared" si="133"/>
        <v/>
      </c>
      <c r="W1385" s="105"/>
    </row>
    <row r="1386" spans="1:23" ht="15" customHeight="1">
      <c r="A1386" s="92">
        <v>142</v>
      </c>
      <c r="B1386" s="121" t="s">
        <v>333</v>
      </c>
      <c r="C1386" s="122"/>
      <c r="D1386" s="797">
        <v>3.25</v>
      </c>
      <c r="E1386" s="797"/>
      <c r="F1386" s="118"/>
      <c r="G1386" s="108"/>
      <c r="H1386" s="98">
        <v>20</v>
      </c>
      <c r="I1386" s="99">
        <v>1</v>
      </c>
      <c r="J1386" s="101">
        <v>3</v>
      </c>
      <c r="K1386" s="109">
        <f>D1386</f>
        <v>3.25</v>
      </c>
      <c r="L1386" s="110" t="str">
        <f>IF(O1386&lt;12,"0",0.049*H1386)</f>
        <v>0</v>
      </c>
      <c r="M1386" s="111">
        <v>0</v>
      </c>
      <c r="N1386" s="99">
        <f>M1386*2*H1386/1000</f>
        <v>0</v>
      </c>
      <c r="O1386" s="112">
        <f>(D1386)-N1386</f>
        <v>3.25</v>
      </c>
      <c r="P1386" s="112">
        <f>(I1386*J1386*O1386)+L1386</f>
        <v>9.75</v>
      </c>
      <c r="Q1386" s="104" t="str">
        <f t="shared" si="128"/>
        <v/>
      </c>
      <c r="R1386" s="104" t="str">
        <f t="shared" si="129"/>
        <v/>
      </c>
      <c r="S1386" s="104" t="str">
        <f t="shared" si="130"/>
        <v/>
      </c>
      <c r="T1386" s="104" t="str">
        <f t="shared" si="131"/>
        <v/>
      </c>
      <c r="U1386" s="104">
        <f t="shared" si="132"/>
        <v>9.75</v>
      </c>
      <c r="V1386" s="104" t="str">
        <f t="shared" si="133"/>
        <v/>
      </c>
      <c r="W1386" s="105"/>
    </row>
    <row r="1387" spans="1:23">
      <c r="A1387" s="92"/>
      <c r="B1387" s="121" t="s">
        <v>335</v>
      </c>
      <c r="C1387" s="107"/>
      <c r="D1387" s="389"/>
      <c r="E1387" s="389"/>
      <c r="F1387" s="118"/>
      <c r="G1387" s="108"/>
      <c r="H1387" s="98"/>
      <c r="I1387" s="99"/>
      <c r="J1387" s="101"/>
      <c r="K1387" s="109"/>
      <c r="L1387" s="110"/>
      <c r="M1387" s="111"/>
      <c r="N1387" s="99"/>
      <c r="O1387" s="112"/>
      <c r="P1387" s="112"/>
      <c r="Q1387" s="104" t="str">
        <f t="shared" si="128"/>
        <v/>
      </c>
      <c r="R1387" s="104" t="str">
        <f t="shared" si="129"/>
        <v/>
      </c>
      <c r="S1387" s="104" t="str">
        <f t="shared" si="130"/>
        <v/>
      </c>
      <c r="T1387" s="104" t="str">
        <f t="shared" si="131"/>
        <v/>
      </c>
      <c r="U1387" s="104" t="str">
        <f t="shared" si="132"/>
        <v/>
      </c>
      <c r="V1387" s="104" t="str">
        <f t="shared" si="133"/>
        <v/>
      </c>
      <c r="W1387" s="105"/>
    </row>
    <row r="1388" spans="1:23">
      <c r="A1388" s="92"/>
      <c r="B1388" s="121"/>
      <c r="C1388" s="107"/>
      <c r="D1388" s="389"/>
      <c r="E1388" s="389"/>
      <c r="F1388" s="118"/>
      <c r="G1388" s="108"/>
      <c r="H1388" s="98"/>
      <c r="I1388" s="99"/>
      <c r="J1388" s="101"/>
      <c r="K1388" s="109"/>
      <c r="L1388" s="110"/>
      <c r="M1388" s="111"/>
      <c r="N1388" s="99"/>
      <c r="O1388" s="112"/>
      <c r="P1388" s="112"/>
      <c r="Q1388" s="104" t="str">
        <f t="shared" si="128"/>
        <v/>
      </c>
      <c r="R1388" s="104" t="str">
        <f t="shared" si="129"/>
        <v/>
      </c>
      <c r="S1388" s="104" t="str">
        <f t="shared" si="130"/>
        <v/>
      </c>
      <c r="T1388" s="104" t="str">
        <f t="shared" si="131"/>
        <v/>
      </c>
      <c r="U1388" s="104" t="str">
        <f t="shared" si="132"/>
        <v/>
      </c>
      <c r="V1388" s="104" t="str">
        <f t="shared" si="133"/>
        <v/>
      </c>
      <c r="W1388" s="105"/>
    </row>
    <row r="1389" spans="1:23" ht="15" customHeight="1">
      <c r="A1389" s="92">
        <v>143</v>
      </c>
      <c r="B1389" s="121" t="s">
        <v>333</v>
      </c>
      <c r="C1389" s="122"/>
      <c r="D1389" s="797">
        <v>2.75</v>
      </c>
      <c r="E1389" s="797"/>
      <c r="F1389" s="118"/>
      <c r="G1389" s="108"/>
      <c r="H1389" s="98">
        <v>20</v>
      </c>
      <c r="I1389" s="99">
        <v>1</v>
      </c>
      <c r="J1389" s="101">
        <v>3</v>
      </c>
      <c r="K1389" s="109">
        <f>D1389</f>
        <v>2.75</v>
      </c>
      <c r="L1389" s="110" t="str">
        <f>IF(O1389&lt;12,"0",0.049*H1389)</f>
        <v>0</v>
      </c>
      <c r="M1389" s="111">
        <v>0</v>
      </c>
      <c r="N1389" s="99">
        <f>M1389*2*H1389/1000</f>
        <v>0</v>
      </c>
      <c r="O1389" s="112">
        <f>(D1389)-N1389</f>
        <v>2.75</v>
      </c>
      <c r="P1389" s="112">
        <f>(I1389*J1389*O1389)+L1389</f>
        <v>8.25</v>
      </c>
      <c r="Q1389" s="104" t="str">
        <f t="shared" si="128"/>
        <v/>
      </c>
      <c r="R1389" s="104" t="str">
        <f t="shared" si="129"/>
        <v/>
      </c>
      <c r="S1389" s="104" t="str">
        <f t="shared" si="130"/>
        <v/>
      </c>
      <c r="T1389" s="104" t="str">
        <f t="shared" si="131"/>
        <v/>
      </c>
      <c r="U1389" s="104">
        <f t="shared" si="132"/>
        <v>8.25</v>
      </c>
      <c r="V1389" s="104" t="str">
        <f t="shared" si="133"/>
        <v/>
      </c>
      <c r="W1389" s="105"/>
    </row>
    <row r="1390" spans="1:23">
      <c r="A1390" s="92"/>
      <c r="B1390" s="121" t="s">
        <v>336</v>
      </c>
      <c r="C1390" s="107"/>
      <c r="D1390" s="389"/>
      <c r="E1390" s="389"/>
      <c r="F1390" s="118"/>
      <c r="G1390" s="108"/>
      <c r="H1390" s="98"/>
      <c r="I1390" s="99"/>
      <c r="J1390" s="101"/>
      <c r="K1390" s="109"/>
      <c r="L1390" s="110"/>
      <c r="M1390" s="111"/>
      <c r="N1390" s="99"/>
      <c r="O1390" s="112"/>
      <c r="P1390" s="112"/>
      <c r="Q1390" s="104" t="str">
        <f t="shared" si="128"/>
        <v/>
      </c>
      <c r="R1390" s="104" t="str">
        <f t="shared" si="129"/>
        <v/>
      </c>
      <c r="S1390" s="104" t="str">
        <f t="shared" si="130"/>
        <v/>
      </c>
      <c r="T1390" s="104" t="str">
        <f t="shared" si="131"/>
        <v/>
      </c>
      <c r="U1390" s="104" t="str">
        <f t="shared" si="132"/>
        <v/>
      </c>
      <c r="V1390" s="104" t="str">
        <f t="shared" si="133"/>
        <v/>
      </c>
      <c r="W1390" s="105"/>
    </row>
    <row r="1391" spans="1:23">
      <c r="A1391" s="92"/>
      <c r="B1391" s="121"/>
      <c r="C1391" s="107"/>
      <c r="D1391" s="389"/>
      <c r="E1391" s="389"/>
      <c r="F1391" s="118"/>
      <c r="G1391" s="108"/>
      <c r="H1391" s="98"/>
      <c r="I1391" s="99"/>
      <c r="J1391" s="101"/>
      <c r="K1391" s="109"/>
      <c r="L1391" s="110"/>
      <c r="M1391" s="111"/>
      <c r="N1391" s="99"/>
      <c r="O1391" s="112"/>
      <c r="P1391" s="112"/>
      <c r="Q1391" s="104" t="str">
        <f t="shared" si="128"/>
        <v/>
      </c>
      <c r="R1391" s="104" t="str">
        <f t="shared" si="129"/>
        <v/>
      </c>
      <c r="S1391" s="104" t="str">
        <f t="shared" si="130"/>
        <v/>
      </c>
      <c r="T1391" s="104" t="str">
        <f t="shared" si="131"/>
        <v/>
      </c>
      <c r="U1391" s="104" t="str">
        <f t="shared" si="132"/>
        <v/>
      </c>
      <c r="V1391" s="104" t="str">
        <f t="shared" si="133"/>
        <v/>
      </c>
      <c r="W1391" s="105"/>
    </row>
    <row r="1392" spans="1:23" ht="15" customHeight="1">
      <c r="A1392" s="92">
        <v>144</v>
      </c>
      <c r="B1392" s="121" t="s">
        <v>333</v>
      </c>
      <c r="C1392" s="122"/>
      <c r="D1392" s="797">
        <v>2.75</v>
      </c>
      <c r="E1392" s="797"/>
      <c r="F1392" s="118"/>
      <c r="G1392" s="108"/>
      <c r="H1392" s="98">
        <v>20</v>
      </c>
      <c r="I1392" s="99">
        <v>1</v>
      </c>
      <c r="J1392" s="101">
        <v>3</v>
      </c>
      <c r="K1392" s="109">
        <f>D1392</f>
        <v>2.75</v>
      </c>
      <c r="L1392" s="110" t="str">
        <f>IF(O1392&lt;12,"0",0.049*H1392)</f>
        <v>0</v>
      </c>
      <c r="M1392" s="111">
        <v>0</v>
      </c>
      <c r="N1392" s="99">
        <f>M1392*2*H1392/1000</f>
        <v>0</v>
      </c>
      <c r="O1392" s="112">
        <f>(D1392)-N1392</f>
        <v>2.75</v>
      </c>
      <c r="P1392" s="112">
        <f>(I1392*J1392*O1392)+L1392</f>
        <v>8.25</v>
      </c>
      <c r="Q1392" s="104" t="str">
        <f t="shared" si="128"/>
        <v/>
      </c>
      <c r="R1392" s="104" t="str">
        <f t="shared" si="129"/>
        <v/>
      </c>
      <c r="S1392" s="104" t="str">
        <f t="shared" si="130"/>
        <v/>
      </c>
      <c r="T1392" s="104" t="str">
        <f t="shared" si="131"/>
        <v/>
      </c>
      <c r="U1392" s="104">
        <f t="shared" si="132"/>
        <v>8.25</v>
      </c>
      <c r="V1392" s="104" t="str">
        <f t="shared" si="133"/>
        <v/>
      </c>
      <c r="W1392" s="105"/>
    </row>
    <row r="1393" spans="1:23">
      <c r="A1393" s="92"/>
      <c r="B1393" s="121" t="s">
        <v>328</v>
      </c>
      <c r="C1393" s="107"/>
      <c r="D1393" s="389"/>
      <c r="E1393" s="389"/>
      <c r="F1393" s="118"/>
      <c r="G1393" s="108"/>
      <c r="H1393" s="98"/>
      <c r="I1393" s="99"/>
      <c r="J1393" s="101"/>
      <c r="K1393" s="109"/>
      <c r="L1393" s="110"/>
      <c r="M1393" s="111"/>
      <c r="N1393" s="99"/>
      <c r="O1393" s="112"/>
      <c r="P1393" s="112"/>
      <c r="Q1393" s="104" t="str">
        <f t="shared" si="128"/>
        <v/>
      </c>
      <c r="R1393" s="104" t="str">
        <f t="shared" si="129"/>
        <v/>
      </c>
      <c r="S1393" s="104" t="str">
        <f t="shared" si="130"/>
        <v/>
      </c>
      <c r="T1393" s="104" t="str">
        <f t="shared" si="131"/>
        <v/>
      </c>
      <c r="U1393" s="104" t="str">
        <f t="shared" si="132"/>
        <v/>
      </c>
      <c r="V1393" s="104" t="str">
        <f t="shared" si="133"/>
        <v/>
      </c>
      <c r="W1393" s="105"/>
    </row>
    <row r="1394" spans="1:23">
      <c r="A1394" s="92"/>
      <c r="B1394" s="121"/>
      <c r="C1394" s="107"/>
      <c r="D1394" s="389"/>
      <c r="E1394" s="389"/>
      <c r="F1394" s="118"/>
      <c r="G1394" s="108"/>
      <c r="H1394" s="98"/>
      <c r="I1394" s="99"/>
      <c r="J1394" s="101"/>
      <c r="K1394" s="109"/>
      <c r="L1394" s="110"/>
      <c r="M1394" s="111"/>
      <c r="N1394" s="99"/>
      <c r="O1394" s="112"/>
      <c r="P1394" s="112"/>
      <c r="Q1394" s="104" t="str">
        <f t="shared" si="128"/>
        <v/>
      </c>
      <c r="R1394" s="104" t="str">
        <f t="shared" si="129"/>
        <v/>
      </c>
      <c r="S1394" s="104" t="str">
        <f t="shared" si="130"/>
        <v/>
      </c>
      <c r="T1394" s="104" t="str">
        <f t="shared" si="131"/>
        <v/>
      </c>
      <c r="U1394" s="104" t="str">
        <f t="shared" si="132"/>
        <v/>
      </c>
      <c r="V1394" s="104" t="str">
        <f t="shared" si="133"/>
        <v/>
      </c>
      <c r="W1394" s="105"/>
    </row>
    <row r="1395" spans="1:23" ht="15" customHeight="1">
      <c r="A1395" s="92">
        <v>145</v>
      </c>
      <c r="B1395" s="121" t="s">
        <v>333</v>
      </c>
      <c r="C1395" s="122"/>
      <c r="D1395" s="797">
        <v>2.8</v>
      </c>
      <c r="E1395" s="797"/>
      <c r="F1395" s="118"/>
      <c r="G1395" s="108"/>
      <c r="H1395" s="98">
        <v>20</v>
      </c>
      <c r="I1395" s="99">
        <v>1</v>
      </c>
      <c r="J1395" s="101">
        <v>3</v>
      </c>
      <c r="K1395" s="109">
        <f>D1395</f>
        <v>2.8</v>
      </c>
      <c r="L1395" s="110" t="str">
        <f>IF(O1395&lt;12,"0",0.049*H1395)</f>
        <v>0</v>
      </c>
      <c r="M1395" s="111">
        <v>0</v>
      </c>
      <c r="N1395" s="99">
        <f>M1395*2*H1395/1000</f>
        <v>0</v>
      </c>
      <c r="O1395" s="112">
        <f>(D1395)-N1395</f>
        <v>2.8</v>
      </c>
      <c r="P1395" s="112">
        <f>(I1395*J1395*O1395)+L1395</f>
        <v>8.3999999999999986</v>
      </c>
      <c r="Q1395" s="104" t="str">
        <f t="shared" si="128"/>
        <v/>
      </c>
      <c r="R1395" s="104" t="str">
        <f t="shared" si="129"/>
        <v/>
      </c>
      <c r="S1395" s="104" t="str">
        <f t="shared" si="130"/>
        <v/>
      </c>
      <c r="T1395" s="104" t="str">
        <f t="shared" si="131"/>
        <v/>
      </c>
      <c r="U1395" s="104">
        <f t="shared" si="132"/>
        <v>8.3999999999999986</v>
      </c>
      <c r="V1395" s="104" t="str">
        <f t="shared" si="133"/>
        <v/>
      </c>
      <c r="W1395" s="105"/>
    </row>
    <row r="1396" spans="1:23">
      <c r="A1396" s="92"/>
      <c r="B1396" s="121" t="s">
        <v>328</v>
      </c>
      <c r="C1396" s="107"/>
      <c r="D1396" s="389"/>
      <c r="E1396" s="389"/>
      <c r="F1396" s="118"/>
      <c r="G1396" s="108"/>
      <c r="H1396" s="98"/>
      <c r="I1396" s="99"/>
      <c r="J1396" s="101"/>
      <c r="K1396" s="109"/>
      <c r="L1396" s="110"/>
      <c r="M1396" s="111"/>
      <c r="N1396" s="99"/>
      <c r="O1396" s="112"/>
      <c r="P1396" s="112"/>
      <c r="Q1396" s="104" t="str">
        <f t="shared" si="128"/>
        <v/>
      </c>
      <c r="R1396" s="104" t="str">
        <f t="shared" si="129"/>
        <v/>
      </c>
      <c r="S1396" s="104" t="str">
        <f t="shared" si="130"/>
        <v/>
      </c>
      <c r="T1396" s="104" t="str">
        <f t="shared" si="131"/>
        <v/>
      </c>
      <c r="U1396" s="104" t="str">
        <f t="shared" si="132"/>
        <v/>
      </c>
      <c r="V1396" s="104" t="str">
        <f t="shared" si="133"/>
        <v/>
      </c>
      <c r="W1396" s="105"/>
    </row>
    <row r="1397" spans="1:23">
      <c r="A1397" s="92"/>
      <c r="B1397" s="121"/>
      <c r="C1397" s="107"/>
      <c r="D1397" s="389"/>
      <c r="E1397" s="389"/>
      <c r="F1397" s="118"/>
      <c r="G1397" s="108"/>
      <c r="H1397" s="98"/>
      <c r="I1397" s="99"/>
      <c r="J1397" s="101"/>
      <c r="K1397" s="109"/>
      <c r="L1397" s="110"/>
      <c r="M1397" s="111"/>
      <c r="N1397" s="99"/>
      <c r="O1397" s="112"/>
      <c r="P1397" s="112"/>
      <c r="Q1397" s="104" t="str">
        <f t="shared" si="128"/>
        <v/>
      </c>
      <c r="R1397" s="104" t="str">
        <f t="shared" si="129"/>
        <v/>
      </c>
      <c r="S1397" s="104" t="str">
        <f t="shared" si="130"/>
        <v/>
      </c>
      <c r="T1397" s="104" t="str">
        <f t="shared" si="131"/>
        <v/>
      </c>
      <c r="U1397" s="104" t="str">
        <f t="shared" si="132"/>
        <v/>
      </c>
      <c r="V1397" s="104" t="str">
        <f t="shared" si="133"/>
        <v/>
      </c>
      <c r="W1397" s="105"/>
    </row>
    <row r="1398" spans="1:23" ht="15" customHeight="1">
      <c r="A1398" s="92">
        <v>146</v>
      </c>
      <c r="B1398" s="121" t="s">
        <v>333</v>
      </c>
      <c r="C1398" s="122"/>
      <c r="D1398" s="797">
        <v>6.165</v>
      </c>
      <c r="E1398" s="797"/>
      <c r="F1398" s="118"/>
      <c r="G1398" s="108"/>
      <c r="H1398" s="98">
        <v>20</v>
      </c>
      <c r="I1398" s="99">
        <v>1</v>
      </c>
      <c r="J1398" s="101">
        <v>4</v>
      </c>
      <c r="K1398" s="109">
        <f>D1398</f>
        <v>6.165</v>
      </c>
      <c r="L1398" s="110" t="str">
        <f>IF(O1398&lt;12,"0",0.049*H1398)</f>
        <v>0</v>
      </c>
      <c r="M1398" s="111">
        <v>0</v>
      </c>
      <c r="N1398" s="99">
        <f>M1398*2*H1398/1000</f>
        <v>0</v>
      </c>
      <c r="O1398" s="112">
        <f>(D1398)-N1398</f>
        <v>6.165</v>
      </c>
      <c r="P1398" s="112">
        <f>(I1398*J1398*O1398)+L1398</f>
        <v>24.66</v>
      </c>
      <c r="Q1398" s="104" t="str">
        <f t="shared" si="128"/>
        <v/>
      </c>
      <c r="R1398" s="104" t="str">
        <f t="shared" si="129"/>
        <v/>
      </c>
      <c r="S1398" s="104" t="str">
        <f t="shared" si="130"/>
        <v/>
      </c>
      <c r="T1398" s="104" t="str">
        <f t="shared" si="131"/>
        <v/>
      </c>
      <c r="U1398" s="104">
        <f t="shared" si="132"/>
        <v>24.66</v>
      </c>
      <c r="V1398" s="104" t="str">
        <f t="shared" si="133"/>
        <v/>
      </c>
      <c r="W1398" s="105"/>
    </row>
    <row r="1399" spans="1:23">
      <c r="A1399" s="92"/>
      <c r="B1399" s="124" t="s">
        <v>332</v>
      </c>
      <c r="C1399" s="107"/>
      <c r="D1399" s="389"/>
      <c r="E1399" s="389"/>
      <c r="F1399" s="118"/>
      <c r="G1399" s="108"/>
      <c r="H1399" s="98"/>
      <c r="I1399" s="99"/>
      <c r="J1399" s="101"/>
      <c r="K1399" s="109"/>
      <c r="L1399" s="110"/>
      <c r="M1399" s="111"/>
      <c r="N1399" s="99"/>
      <c r="O1399" s="112"/>
      <c r="P1399" s="112"/>
      <c r="Q1399" s="104" t="str">
        <f t="shared" si="128"/>
        <v/>
      </c>
      <c r="R1399" s="104" t="str">
        <f t="shared" si="129"/>
        <v/>
      </c>
      <c r="S1399" s="104" t="str">
        <f t="shared" si="130"/>
        <v/>
      </c>
      <c r="T1399" s="104" t="str">
        <f t="shared" si="131"/>
        <v/>
      </c>
      <c r="U1399" s="104" t="str">
        <f t="shared" si="132"/>
        <v/>
      </c>
      <c r="V1399" s="104" t="str">
        <f t="shared" si="133"/>
        <v/>
      </c>
      <c r="W1399" s="105"/>
    </row>
    <row r="1400" spans="1:23">
      <c r="A1400" s="92"/>
      <c r="B1400" s="121"/>
      <c r="C1400" s="107"/>
      <c r="D1400" s="389"/>
      <c r="E1400" s="389"/>
      <c r="F1400" s="118"/>
      <c r="G1400" s="108"/>
      <c r="H1400" s="98"/>
      <c r="I1400" s="99"/>
      <c r="J1400" s="101"/>
      <c r="K1400" s="109"/>
      <c r="L1400" s="110"/>
      <c r="M1400" s="111"/>
      <c r="N1400" s="99"/>
      <c r="O1400" s="112"/>
      <c r="P1400" s="112"/>
      <c r="Q1400" s="104" t="str">
        <f t="shared" si="128"/>
        <v/>
      </c>
      <c r="R1400" s="104" t="str">
        <f t="shared" si="129"/>
        <v/>
      </c>
      <c r="S1400" s="104" t="str">
        <f t="shared" si="130"/>
        <v/>
      </c>
      <c r="T1400" s="104" t="str">
        <f t="shared" si="131"/>
        <v/>
      </c>
      <c r="U1400" s="104" t="str">
        <f t="shared" si="132"/>
        <v/>
      </c>
      <c r="V1400" s="104" t="str">
        <f t="shared" si="133"/>
        <v/>
      </c>
      <c r="W1400" s="105"/>
    </row>
    <row r="1401" spans="1:23">
      <c r="A1401" s="92"/>
      <c r="B1401" s="103" t="s">
        <v>337</v>
      </c>
      <c r="C1401" s="107"/>
      <c r="D1401" s="389"/>
      <c r="E1401" s="389"/>
      <c r="F1401" s="118"/>
      <c r="G1401" s="108"/>
      <c r="H1401" s="98"/>
      <c r="I1401" s="99"/>
      <c r="J1401" s="101"/>
      <c r="K1401" s="109"/>
      <c r="L1401" s="110"/>
      <c r="M1401" s="111"/>
      <c r="N1401" s="99"/>
      <c r="O1401" s="112"/>
      <c r="P1401" s="112"/>
      <c r="Q1401" s="104" t="str">
        <f t="shared" si="128"/>
        <v/>
      </c>
      <c r="R1401" s="104" t="str">
        <f t="shared" si="129"/>
        <v/>
      </c>
      <c r="S1401" s="104" t="str">
        <f t="shared" si="130"/>
        <v/>
      </c>
      <c r="T1401" s="104" t="str">
        <f t="shared" si="131"/>
        <v/>
      </c>
      <c r="U1401" s="104" t="str">
        <f t="shared" si="132"/>
        <v/>
      </c>
      <c r="V1401" s="104" t="str">
        <f t="shared" si="133"/>
        <v/>
      </c>
      <c r="W1401" s="105"/>
    </row>
    <row r="1402" spans="1:23" ht="15" customHeight="1">
      <c r="A1402" s="92">
        <v>1</v>
      </c>
      <c r="B1402" s="121" t="s">
        <v>428</v>
      </c>
      <c r="C1402" s="122"/>
      <c r="D1402" s="797">
        <v>2.4249999999999998</v>
      </c>
      <c r="E1402" s="797"/>
      <c r="F1402" s="118"/>
      <c r="G1402" s="108">
        <v>0.25</v>
      </c>
      <c r="H1402" s="98">
        <v>20</v>
      </c>
      <c r="I1402" s="99">
        <v>1</v>
      </c>
      <c r="J1402" s="101">
        <f>ROUND(5.6/G1402+1,0)</f>
        <v>23</v>
      </c>
      <c r="K1402" s="109">
        <f>D1402</f>
        <v>2.4249999999999998</v>
      </c>
      <c r="L1402" s="110" t="str">
        <f>IF(O1402&lt;12,"0",0.049*H1402)</f>
        <v>0</v>
      </c>
      <c r="M1402" s="111">
        <v>0</v>
      </c>
      <c r="N1402" s="99">
        <f>M1402*2*H1402/1000</f>
        <v>0</v>
      </c>
      <c r="O1402" s="112">
        <f>(D1402)-N1402</f>
        <v>2.4249999999999998</v>
      </c>
      <c r="P1402" s="112">
        <f>(I1402*J1402*O1402)+L1402</f>
        <v>55.774999999999999</v>
      </c>
      <c r="Q1402" s="104" t="str">
        <f t="shared" si="128"/>
        <v/>
      </c>
      <c r="R1402" s="104" t="str">
        <f t="shared" si="129"/>
        <v/>
      </c>
      <c r="S1402" s="104" t="str">
        <f t="shared" si="130"/>
        <v/>
      </c>
      <c r="T1402" s="104" t="str">
        <f t="shared" si="131"/>
        <v/>
      </c>
      <c r="U1402" s="104">
        <f t="shared" si="132"/>
        <v>55.774999999999999</v>
      </c>
      <c r="V1402" s="104" t="str">
        <f t="shared" si="133"/>
        <v/>
      </c>
      <c r="W1402" s="105"/>
    </row>
    <row r="1403" spans="1:23">
      <c r="A1403" s="92"/>
      <c r="B1403" s="121" t="s">
        <v>338</v>
      </c>
      <c r="C1403" s="107"/>
      <c r="D1403" s="389"/>
      <c r="E1403" s="389"/>
      <c r="F1403" s="118"/>
      <c r="G1403" s="108"/>
      <c r="H1403" s="98"/>
      <c r="I1403" s="99"/>
      <c r="J1403" s="101"/>
      <c r="K1403" s="109"/>
      <c r="L1403" s="110"/>
      <c r="M1403" s="111"/>
      <c r="N1403" s="99"/>
      <c r="O1403" s="112"/>
      <c r="P1403" s="112"/>
      <c r="Q1403" s="104" t="str">
        <f t="shared" si="128"/>
        <v/>
      </c>
      <c r="R1403" s="104" t="str">
        <f t="shared" si="129"/>
        <v/>
      </c>
      <c r="S1403" s="104" t="str">
        <f t="shared" si="130"/>
        <v/>
      </c>
      <c r="T1403" s="104" t="str">
        <f t="shared" si="131"/>
        <v/>
      </c>
      <c r="U1403" s="104" t="str">
        <f t="shared" si="132"/>
        <v/>
      </c>
      <c r="V1403" s="104" t="str">
        <f t="shared" si="133"/>
        <v/>
      </c>
      <c r="W1403" s="105"/>
    </row>
    <row r="1404" spans="1:23">
      <c r="A1404" s="92"/>
      <c r="B1404" s="123"/>
      <c r="C1404" s="107"/>
      <c r="D1404" s="389"/>
      <c r="E1404" s="389"/>
      <c r="F1404" s="118"/>
      <c r="G1404" s="108"/>
      <c r="H1404" s="98"/>
      <c r="I1404" s="99"/>
      <c r="J1404" s="101"/>
      <c r="K1404" s="109"/>
      <c r="L1404" s="110"/>
      <c r="M1404" s="111"/>
      <c r="N1404" s="99"/>
      <c r="O1404" s="112"/>
      <c r="P1404" s="112"/>
      <c r="Q1404" s="104" t="str">
        <f t="shared" si="128"/>
        <v/>
      </c>
      <c r="R1404" s="104" t="str">
        <f t="shared" si="129"/>
        <v/>
      </c>
      <c r="S1404" s="104" t="str">
        <f t="shared" si="130"/>
        <v/>
      </c>
      <c r="T1404" s="104" t="str">
        <f t="shared" si="131"/>
        <v/>
      </c>
      <c r="U1404" s="104" t="str">
        <f t="shared" si="132"/>
        <v/>
      </c>
      <c r="V1404" s="104" t="str">
        <f t="shared" si="133"/>
        <v/>
      </c>
      <c r="W1404" s="105"/>
    </row>
    <row r="1405" spans="1:23" ht="15" customHeight="1">
      <c r="A1405" s="92">
        <v>2</v>
      </c>
      <c r="B1405" s="121" t="s">
        <v>429</v>
      </c>
      <c r="C1405" s="122"/>
      <c r="D1405" s="797">
        <v>3.95</v>
      </c>
      <c r="E1405" s="797"/>
      <c r="F1405" s="118"/>
      <c r="G1405" s="108">
        <v>0.25</v>
      </c>
      <c r="H1405" s="98">
        <v>16</v>
      </c>
      <c r="I1405" s="99">
        <v>1</v>
      </c>
      <c r="J1405" s="101">
        <f>ROUND(2.425/G1405+1,0)</f>
        <v>11</v>
      </c>
      <c r="K1405" s="109">
        <f>D1405</f>
        <v>3.95</v>
      </c>
      <c r="L1405" s="110" t="str">
        <f>IF(O1405&lt;12,"0",0.049*H1405)</f>
        <v>0</v>
      </c>
      <c r="M1405" s="111">
        <v>0</v>
      </c>
      <c r="N1405" s="99">
        <f>M1405*2*H1405/1000</f>
        <v>0</v>
      </c>
      <c r="O1405" s="112">
        <f>(D1405)-N1405</f>
        <v>3.95</v>
      </c>
      <c r="P1405" s="112">
        <f>(I1405*J1405*O1405)+L1405</f>
        <v>43.45</v>
      </c>
      <c r="Q1405" s="104" t="str">
        <f t="shared" si="128"/>
        <v/>
      </c>
      <c r="R1405" s="104" t="str">
        <f t="shared" si="129"/>
        <v/>
      </c>
      <c r="S1405" s="104" t="str">
        <f t="shared" si="130"/>
        <v/>
      </c>
      <c r="T1405" s="104">
        <f t="shared" si="131"/>
        <v>43.45</v>
      </c>
      <c r="U1405" s="104" t="str">
        <f t="shared" si="132"/>
        <v/>
      </c>
      <c r="V1405" s="104" t="str">
        <f t="shared" si="133"/>
        <v/>
      </c>
      <c r="W1405" s="105"/>
    </row>
    <row r="1406" spans="1:23">
      <c r="A1406" s="92"/>
      <c r="B1406" s="121" t="s">
        <v>338</v>
      </c>
      <c r="C1406" s="107"/>
      <c r="D1406" s="389"/>
      <c r="E1406" s="389"/>
      <c r="F1406" s="118"/>
      <c r="G1406" s="108"/>
      <c r="H1406" s="98"/>
      <c r="I1406" s="99"/>
      <c r="J1406" s="101"/>
      <c r="K1406" s="109"/>
      <c r="L1406" s="110"/>
      <c r="M1406" s="111"/>
      <c r="N1406" s="99"/>
      <c r="O1406" s="112"/>
      <c r="P1406" s="112"/>
      <c r="Q1406" s="104" t="str">
        <f t="shared" si="128"/>
        <v/>
      </c>
      <c r="R1406" s="104" t="str">
        <f t="shared" si="129"/>
        <v/>
      </c>
      <c r="S1406" s="104" t="str">
        <f t="shared" si="130"/>
        <v/>
      </c>
      <c r="T1406" s="104" t="str">
        <f t="shared" si="131"/>
        <v/>
      </c>
      <c r="U1406" s="104" t="str">
        <f t="shared" si="132"/>
        <v/>
      </c>
      <c r="V1406" s="104" t="str">
        <f t="shared" si="133"/>
        <v/>
      </c>
      <c r="W1406" s="105"/>
    </row>
    <row r="1407" spans="1:23">
      <c r="A1407" s="92"/>
      <c r="B1407" s="123"/>
      <c r="C1407" s="107"/>
      <c r="D1407" s="389"/>
      <c r="E1407" s="389"/>
      <c r="F1407" s="118"/>
      <c r="G1407" s="108"/>
      <c r="H1407" s="98"/>
      <c r="I1407" s="99"/>
      <c r="J1407" s="101"/>
      <c r="K1407" s="109"/>
      <c r="L1407" s="110"/>
      <c r="M1407" s="111"/>
      <c r="N1407" s="99"/>
      <c r="O1407" s="112"/>
      <c r="P1407" s="112"/>
      <c r="Q1407" s="104" t="str">
        <f t="shared" ref="Q1407:Q1470" si="134">IF($H1407=8,$P1407,"")</f>
        <v/>
      </c>
      <c r="R1407" s="104" t="str">
        <f t="shared" ref="R1407:R1470" si="135">IF($H1407=10,$P1407,"")</f>
        <v/>
      </c>
      <c r="S1407" s="104" t="str">
        <f t="shared" ref="S1407:S1470" si="136">IF($H1407=12,$P1407,"")</f>
        <v/>
      </c>
      <c r="T1407" s="104" t="str">
        <f t="shared" ref="T1407:T1470" si="137">IF($H1407=16,$P1407,"")</f>
        <v/>
      </c>
      <c r="U1407" s="104" t="str">
        <f t="shared" ref="U1407:U1470" si="138">IF($H1407=20,$P1407,"")</f>
        <v/>
      </c>
      <c r="V1407" s="104" t="str">
        <f t="shared" ref="V1407:V1470" si="139">IF($H1407=25,$P1407,"")</f>
        <v/>
      </c>
      <c r="W1407" s="105"/>
    </row>
    <row r="1408" spans="1:23" ht="15" customHeight="1">
      <c r="A1408" s="92">
        <v>3</v>
      </c>
      <c r="B1408" s="121" t="s">
        <v>428</v>
      </c>
      <c r="C1408" s="122"/>
      <c r="D1408" s="797">
        <v>2.2000000000000002</v>
      </c>
      <c r="E1408" s="797"/>
      <c r="F1408" s="118"/>
      <c r="G1408" s="108">
        <v>0.25</v>
      </c>
      <c r="H1408" s="98">
        <v>10</v>
      </c>
      <c r="I1408" s="99">
        <v>1</v>
      </c>
      <c r="J1408" s="101">
        <f>ROUND(7.515/G1408+1,0)</f>
        <v>31</v>
      </c>
      <c r="K1408" s="109">
        <f>D1408</f>
        <v>2.2000000000000002</v>
      </c>
      <c r="L1408" s="110" t="str">
        <f>IF(O1408&lt;12,"0",0.049*H1408)</f>
        <v>0</v>
      </c>
      <c r="M1408" s="111">
        <v>0</v>
      </c>
      <c r="N1408" s="99">
        <f>M1408*2*H1408/1000</f>
        <v>0</v>
      </c>
      <c r="O1408" s="112">
        <f>(D1408)-N1408</f>
        <v>2.2000000000000002</v>
      </c>
      <c r="P1408" s="112">
        <f>(I1408*J1408*O1408)+L1408</f>
        <v>68.2</v>
      </c>
      <c r="Q1408" s="104" t="str">
        <f t="shared" si="134"/>
        <v/>
      </c>
      <c r="R1408" s="104">
        <f t="shared" si="135"/>
        <v>68.2</v>
      </c>
      <c r="S1408" s="104" t="str">
        <f t="shared" si="136"/>
        <v/>
      </c>
      <c r="T1408" s="104" t="str">
        <f t="shared" si="137"/>
        <v/>
      </c>
      <c r="U1408" s="104" t="str">
        <f t="shared" si="138"/>
        <v/>
      </c>
      <c r="V1408" s="104" t="str">
        <f t="shared" si="139"/>
        <v/>
      </c>
      <c r="W1408" s="105"/>
    </row>
    <row r="1409" spans="1:23">
      <c r="A1409" s="92"/>
      <c r="B1409" s="121" t="s">
        <v>339</v>
      </c>
      <c r="C1409" s="107"/>
      <c r="D1409" s="389"/>
      <c r="E1409" s="389"/>
      <c r="F1409" s="118"/>
      <c r="G1409" s="108"/>
      <c r="H1409" s="98"/>
      <c r="I1409" s="99"/>
      <c r="J1409" s="101"/>
      <c r="K1409" s="109"/>
      <c r="L1409" s="110"/>
      <c r="M1409" s="111"/>
      <c r="N1409" s="99"/>
      <c r="O1409" s="112"/>
      <c r="P1409" s="112"/>
      <c r="Q1409" s="104" t="str">
        <f t="shared" si="134"/>
        <v/>
      </c>
      <c r="R1409" s="104" t="str">
        <f t="shared" si="135"/>
        <v/>
      </c>
      <c r="S1409" s="104" t="str">
        <f t="shared" si="136"/>
        <v/>
      </c>
      <c r="T1409" s="104" t="str">
        <f t="shared" si="137"/>
        <v/>
      </c>
      <c r="U1409" s="104" t="str">
        <f t="shared" si="138"/>
        <v/>
      </c>
      <c r="V1409" s="104" t="str">
        <f t="shared" si="139"/>
        <v/>
      </c>
      <c r="W1409" s="105"/>
    </row>
    <row r="1410" spans="1:23">
      <c r="A1410" s="92"/>
      <c r="B1410" s="123"/>
      <c r="C1410" s="107"/>
      <c r="D1410" s="389"/>
      <c r="E1410" s="389"/>
      <c r="F1410" s="118"/>
      <c r="G1410" s="108"/>
      <c r="H1410" s="98"/>
      <c r="I1410" s="99"/>
      <c r="J1410" s="101"/>
      <c r="K1410" s="109"/>
      <c r="L1410" s="110"/>
      <c r="M1410" s="111"/>
      <c r="N1410" s="99"/>
      <c r="O1410" s="112"/>
      <c r="P1410" s="112"/>
      <c r="Q1410" s="104" t="str">
        <f t="shared" si="134"/>
        <v/>
      </c>
      <c r="R1410" s="104" t="str">
        <f t="shared" si="135"/>
        <v/>
      </c>
      <c r="S1410" s="104" t="str">
        <f t="shared" si="136"/>
        <v/>
      </c>
      <c r="T1410" s="104" t="str">
        <f t="shared" si="137"/>
        <v/>
      </c>
      <c r="U1410" s="104" t="str">
        <f t="shared" si="138"/>
        <v/>
      </c>
      <c r="V1410" s="104" t="str">
        <f t="shared" si="139"/>
        <v/>
      </c>
      <c r="W1410" s="105"/>
    </row>
    <row r="1411" spans="1:23" ht="15" customHeight="1">
      <c r="A1411" s="92">
        <v>4</v>
      </c>
      <c r="B1411" s="121" t="s">
        <v>429</v>
      </c>
      <c r="C1411" s="122"/>
      <c r="D1411" s="797">
        <v>6.165</v>
      </c>
      <c r="E1411" s="797"/>
      <c r="F1411" s="118"/>
      <c r="G1411" s="108">
        <v>0.25</v>
      </c>
      <c r="H1411" s="98">
        <v>16</v>
      </c>
      <c r="I1411" s="99">
        <v>1</v>
      </c>
      <c r="J1411" s="101">
        <f>ROUND(2.2/G1411+1,0)</f>
        <v>10</v>
      </c>
      <c r="K1411" s="109">
        <f>D1411</f>
        <v>6.165</v>
      </c>
      <c r="L1411" s="110" t="str">
        <f>IF(O1411&lt;12,"0",0.049*H1411)</f>
        <v>0</v>
      </c>
      <c r="M1411" s="111">
        <v>0</v>
      </c>
      <c r="N1411" s="99">
        <f>M1411*2*H1411/1000</f>
        <v>0</v>
      </c>
      <c r="O1411" s="112">
        <f>(D1411)-N1411</f>
        <v>6.165</v>
      </c>
      <c r="P1411" s="112">
        <f>(I1411*J1411*O1411)+L1411</f>
        <v>61.65</v>
      </c>
      <c r="Q1411" s="104" t="str">
        <f t="shared" si="134"/>
        <v/>
      </c>
      <c r="R1411" s="104" t="str">
        <f t="shared" si="135"/>
        <v/>
      </c>
      <c r="S1411" s="104" t="str">
        <f t="shared" si="136"/>
        <v/>
      </c>
      <c r="T1411" s="104">
        <f t="shared" si="137"/>
        <v>61.65</v>
      </c>
      <c r="U1411" s="104" t="str">
        <f t="shared" si="138"/>
        <v/>
      </c>
      <c r="V1411" s="104" t="str">
        <f t="shared" si="139"/>
        <v/>
      </c>
      <c r="W1411" s="105"/>
    </row>
    <row r="1412" spans="1:23">
      <c r="A1412" s="92"/>
      <c r="B1412" s="121" t="s">
        <v>339</v>
      </c>
      <c r="C1412" s="107"/>
      <c r="D1412" s="389"/>
      <c r="E1412" s="389"/>
      <c r="F1412" s="118"/>
      <c r="G1412" s="108"/>
      <c r="H1412" s="98"/>
      <c r="I1412" s="99"/>
      <c r="J1412" s="101"/>
      <c r="K1412" s="109"/>
      <c r="L1412" s="110"/>
      <c r="M1412" s="111"/>
      <c r="N1412" s="99"/>
      <c r="O1412" s="112"/>
      <c r="P1412" s="112"/>
      <c r="Q1412" s="104" t="str">
        <f t="shared" si="134"/>
        <v/>
      </c>
      <c r="R1412" s="104" t="str">
        <f t="shared" si="135"/>
        <v/>
      </c>
      <c r="S1412" s="104" t="str">
        <f t="shared" si="136"/>
        <v/>
      </c>
      <c r="T1412" s="104" t="str">
        <f t="shared" si="137"/>
        <v/>
      </c>
      <c r="U1412" s="104" t="str">
        <f t="shared" si="138"/>
        <v/>
      </c>
      <c r="V1412" s="104" t="str">
        <f t="shared" si="139"/>
        <v/>
      </c>
      <c r="W1412" s="105"/>
    </row>
    <row r="1413" spans="1:23">
      <c r="A1413" s="92"/>
      <c r="B1413" s="123"/>
      <c r="C1413" s="107"/>
      <c r="D1413" s="389"/>
      <c r="E1413" s="389"/>
      <c r="F1413" s="118"/>
      <c r="G1413" s="108"/>
      <c r="H1413" s="98"/>
      <c r="I1413" s="99"/>
      <c r="J1413" s="101"/>
      <c r="K1413" s="109"/>
      <c r="L1413" s="110"/>
      <c r="M1413" s="111"/>
      <c r="N1413" s="99"/>
      <c r="O1413" s="112"/>
      <c r="P1413" s="112"/>
      <c r="Q1413" s="104" t="str">
        <f t="shared" si="134"/>
        <v/>
      </c>
      <c r="R1413" s="104" t="str">
        <f t="shared" si="135"/>
        <v/>
      </c>
      <c r="S1413" s="104" t="str">
        <f t="shared" si="136"/>
        <v/>
      </c>
      <c r="T1413" s="104" t="str">
        <f t="shared" si="137"/>
        <v/>
      </c>
      <c r="U1413" s="104" t="str">
        <f t="shared" si="138"/>
        <v/>
      </c>
      <c r="V1413" s="104" t="str">
        <f t="shared" si="139"/>
        <v/>
      </c>
      <c r="W1413" s="105"/>
    </row>
    <row r="1414" spans="1:23" ht="15" customHeight="1">
      <c r="A1414" s="92">
        <v>5</v>
      </c>
      <c r="B1414" s="121" t="s">
        <v>428</v>
      </c>
      <c r="C1414" s="122"/>
      <c r="D1414" s="797">
        <v>4.5199999999999996</v>
      </c>
      <c r="E1414" s="797"/>
      <c r="F1414" s="118"/>
      <c r="G1414" s="108">
        <v>0.25</v>
      </c>
      <c r="H1414" s="98">
        <v>12</v>
      </c>
      <c r="I1414" s="99">
        <v>1</v>
      </c>
      <c r="J1414" s="101">
        <f>ROUND(3.12/G1414+1,0)</f>
        <v>13</v>
      </c>
      <c r="K1414" s="109">
        <f>D1414</f>
        <v>4.5199999999999996</v>
      </c>
      <c r="L1414" s="110" t="str">
        <f>IF(O1414&lt;12,"0",0.049*H1414)</f>
        <v>0</v>
      </c>
      <c r="M1414" s="111">
        <v>0</v>
      </c>
      <c r="N1414" s="99">
        <f>M1414*2*H1414/1000</f>
        <v>0</v>
      </c>
      <c r="O1414" s="112">
        <f>(D1414)-N1414</f>
        <v>4.5199999999999996</v>
      </c>
      <c r="P1414" s="112">
        <f>(I1414*J1414*O1414)+L1414</f>
        <v>58.759999999999991</v>
      </c>
      <c r="Q1414" s="104" t="str">
        <f t="shared" si="134"/>
        <v/>
      </c>
      <c r="R1414" s="104" t="str">
        <f t="shared" si="135"/>
        <v/>
      </c>
      <c r="S1414" s="104">
        <f t="shared" si="136"/>
        <v>58.759999999999991</v>
      </c>
      <c r="T1414" s="104" t="str">
        <f t="shared" si="137"/>
        <v/>
      </c>
      <c r="U1414" s="104" t="str">
        <f t="shared" si="138"/>
        <v/>
      </c>
      <c r="V1414" s="104" t="str">
        <f t="shared" si="139"/>
        <v/>
      </c>
      <c r="W1414" s="105"/>
    </row>
    <row r="1415" spans="1:23">
      <c r="A1415" s="92"/>
      <c r="B1415" s="121" t="s">
        <v>340</v>
      </c>
      <c r="C1415" s="107"/>
      <c r="D1415" s="389"/>
      <c r="E1415" s="389"/>
      <c r="F1415" s="118"/>
      <c r="G1415" s="108"/>
      <c r="H1415" s="98"/>
      <c r="I1415" s="99"/>
      <c r="J1415" s="101"/>
      <c r="K1415" s="109"/>
      <c r="L1415" s="110"/>
      <c r="M1415" s="111"/>
      <c r="N1415" s="99"/>
      <c r="O1415" s="112"/>
      <c r="P1415" s="112"/>
      <c r="Q1415" s="104" t="str">
        <f t="shared" si="134"/>
        <v/>
      </c>
      <c r="R1415" s="104" t="str">
        <f t="shared" si="135"/>
        <v/>
      </c>
      <c r="S1415" s="104" t="str">
        <f t="shared" si="136"/>
        <v/>
      </c>
      <c r="T1415" s="104" t="str">
        <f t="shared" si="137"/>
        <v/>
      </c>
      <c r="U1415" s="104" t="str">
        <f t="shared" si="138"/>
        <v/>
      </c>
      <c r="V1415" s="104" t="str">
        <f t="shared" si="139"/>
        <v/>
      </c>
      <c r="W1415" s="105"/>
    </row>
    <row r="1416" spans="1:23">
      <c r="A1416" s="92"/>
      <c r="B1416" s="123"/>
      <c r="C1416" s="107"/>
      <c r="D1416" s="389"/>
      <c r="E1416" s="389"/>
      <c r="F1416" s="118"/>
      <c r="G1416" s="108"/>
      <c r="H1416" s="98"/>
      <c r="I1416" s="99"/>
      <c r="J1416" s="101"/>
      <c r="K1416" s="109"/>
      <c r="L1416" s="110"/>
      <c r="M1416" s="111"/>
      <c r="N1416" s="99"/>
      <c r="O1416" s="112"/>
      <c r="P1416" s="112"/>
      <c r="Q1416" s="104" t="str">
        <f t="shared" si="134"/>
        <v/>
      </c>
      <c r="R1416" s="104" t="str">
        <f t="shared" si="135"/>
        <v/>
      </c>
      <c r="S1416" s="104" t="str">
        <f t="shared" si="136"/>
        <v/>
      </c>
      <c r="T1416" s="104" t="str">
        <f t="shared" si="137"/>
        <v/>
      </c>
      <c r="U1416" s="104" t="str">
        <f t="shared" si="138"/>
        <v/>
      </c>
      <c r="V1416" s="104" t="str">
        <f t="shared" si="139"/>
        <v/>
      </c>
      <c r="W1416" s="105"/>
    </row>
    <row r="1417" spans="1:23" ht="15" customHeight="1">
      <c r="A1417" s="92">
        <v>6</v>
      </c>
      <c r="B1417" s="121" t="s">
        <v>428</v>
      </c>
      <c r="C1417" s="122"/>
      <c r="D1417" s="797">
        <v>2.2749999999999999</v>
      </c>
      <c r="E1417" s="797"/>
      <c r="F1417" s="118"/>
      <c r="G1417" s="108">
        <v>0.25</v>
      </c>
      <c r="H1417" s="98">
        <v>10</v>
      </c>
      <c r="I1417" s="99">
        <v>1</v>
      </c>
      <c r="J1417" s="101">
        <f>ROUND(5.355/G1417+1,0)</f>
        <v>22</v>
      </c>
      <c r="K1417" s="109">
        <f>D1417</f>
        <v>2.2749999999999999</v>
      </c>
      <c r="L1417" s="110" t="str">
        <f>IF(O1417&lt;12,"0",0.049*H1417)</f>
        <v>0</v>
      </c>
      <c r="M1417" s="111">
        <v>0</v>
      </c>
      <c r="N1417" s="99">
        <f>M1417*2*H1417/1000</f>
        <v>0</v>
      </c>
      <c r="O1417" s="112">
        <f>(D1417)-N1417</f>
        <v>2.2749999999999999</v>
      </c>
      <c r="P1417" s="112">
        <f>(I1417*J1417*O1417)+L1417</f>
        <v>50.05</v>
      </c>
      <c r="Q1417" s="104" t="str">
        <f t="shared" si="134"/>
        <v/>
      </c>
      <c r="R1417" s="104">
        <f t="shared" si="135"/>
        <v>50.05</v>
      </c>
      <c r="S1417" s="104" t="str">
        <f t="shared" si="136"/>
        <v/>
      </c>
      <c r="T1417" s="104" t="str">
        <f t="shared" si="137"/>
        <v/>
      </c>
      <c r="U1417" s="104" t="str">
        <f t="shared" si="138"/>
        <v/>
      </c>
      <c r="V1417" s="104" t="str">
        <f t="shared" si="139"/>
        <v/>
      </c>
      <c r="W1417" s="105"/>
    </row>
    <row r="1418" spans="1:23">
      <c r="A1418" s="92"/>
      <c r="B1418" s="121" t="s">
        <v>341</v>
      </c>
      <c r="C1418" s="107"/>
      <c r="D1418" s="389"/>
      <c r="E1418" s="389"/>
      <c r="F1418" s="118"/>
      <c r="G1418" s="108"/>
      <c r="H1418" s="98"/>
      <c r="I1418" s="99"/>
      <c r="J1418" s="101"/>
      <c r="K1418" s="109"/>
      <c r="L1418" s="110"/>
      <c r="M1418" s="111"/>
      <c r="N1418" s="99"/>
      <c r="O1418" s="112"/>
      <c r="P1418" s="112"/>
      <c r="Q1418" s="104" t="str">
        <f t="shared" si="134"/>
        <v/>
      </c>
      <c r="R1418" s="104" t="str">
        <f t="shared" si="135"/>
        <v/>
      </c>
      <c r="S1418" s="104" t="str">
        <f t="shared" si="136"/>
        <v/>
      </c>
      <c r="T1418" s="104" t="str">
        <f t="shared" si="137"/>
        <v/>
      </c>
      <c r="U1418" s="104" t="str">
        <f t="shared" si="138"/>
        <v/>
      </c>
      <c r="V1418" s="104" t="str">
        <f t="shared" si="139"/>
        <v/>
      </c>
      <c r="W1418" s="105"/>
    </row>
    <row r="1419" spans="1:23">
      <c r="A1419" s="92"/>
      <c r="B1419" s="123"/>
      <c r="C1419" s="107"/>
      <c r="D1419" s="389"/>
      <c r="E1419" s="389"/>
      <c r="F1419" s="118"/>
      <c r="G1419" s="108"/>
      <c r="H1419" s="98"/>
      <c r="I1419" s="99"/>
      <c r="J1419" s="101"/>
      <c r="K1419" s="109"/>
      <c r="L1419" s="110"/>
      <c r="M1419" s="111"/>
      <c r="N1419" s="99"/>
      <c r="O1419" s="112"/>
      <c r="P1419" s="112"/>
      <c r="Q1419" s="104" t="str">
        <f t="shared" si="134"/>
        <v/>
      </c>
      <c r="R1419" s="104" t="str">
        <f t="shared" si="135"/>
        <v/>
      </c>
      <c r="S1419" s="104" t="str">
        <f t="shared" si="136"/>
        <v/>
      </c>
      <c r="T1419" s="104" t="str">
        <f t="shared" si="137"/>
        <v/>
      </c>
      <c r="U1419" s="104" t="str">
        <f t="shared" si="138"/>
        <v/>
      </c>
      <c r="V1419" s="104" t="str">
        <f t="shared" si="139"/>
        <v/>
      </c>
      <c r="W1419" s="105"/>
    </row>
    <row r="1420" spans="1:23" ht="15" customHeight="1">
      <c r="A1420" s="92">
        <v>7</v>
      </c>
      <c r="B1420" s="121" t="s">
        <v>429</v>
      </c>
      <c r="C1420" s="122"/>
      <c r="D1420" s="797">
        <v>5.3550000000000004</v>
      </c>
      <c r="E1420" s="797"/>
      <c r="F1420" s="118"/>
      <c r="G1420" s="108">
        <v>0.25</v>
      </c>
      <c r="H1420" s="98">
        <v>12</v>
      </c>
      <c r="I1420" s="99">
        <v>1</v>
      </c>
      <c r="J1420" s="101">
        <f>ROUND(2.275/G1420+1,0)</f>
        <v>10</v>
      </c>
      <c r="K1420" s="109">
        <f>D1420</f>
        <v>5.3550000000000004</v>
      </c>
      <c r="L1420" s="110" t="str">
        <f>IF(O1420&lt;12,"0",0.049*H1420)</f>
        <v>0</v>
      </c>
      <c r="M1420" s="111">
        <v>0</v>
      </c>
      <c r="N1420" s="99">
        <f>M1420*2*H1420/1000</f>
        <v>0</v>
      </c>
      <c r="O1420" s="112">
        <f>(D1420)-N1420</f>
        <v>5.3550000000000004</v>
      </c>
      <c r="P1420" s="112">
        <f>(I1420*J1420*O1420)+L1420</f>
        <v>53.550000000000004</v>
      </c>
      <c r="Q1420" s="104" t="str">
        <f t="shared" si="134"/>
        <v/>
      </c>
      <c r="R1420" s="104" t="str">
        <f t="shared" si="135"/>
        <v/>
      </c>
      <c r="S1420" s="104">
        <f t="shared" si="136"/>
        <v>53.550000000000004</v>
      </c>
      <c r="T1420" s="104" t="str">
        <f t="shared" si="137"/>
        <v/>
      </c>
      <c r="U1420" s="104" t="str">
        <f t="shared" si="138"/>
        <v/>
      </c>
      <c r="V1420" s="104" t="str">
        <f t="shared" si="139"/>
        <v/>
      </c>
      <c r="W1420" s="105"/>
    </row>
    <row r="1421" spans="1:23">
      <c r="A1421" s="92"/>
      <c r="B1421" s="121" t="s">
        <v>341</v>
      </c>
      <c r="C1421" s="107"/>
      <c r="D1421" s="389"/>
      <c r="E1421" s="389"/>
      <c r="F1421" s="118"/>
      <c r="G1421" s="108"/>
      <c r="H1421" s="98"/>
      <c r="I1421" s="99"/>
      <c r="J1421" s="101"/>
      <c r="K1421" s="109"/>
      <c r="L1421" s="110"/>
      <c r="M1421" s="111"/>
      <c r="N1421" s="99"/>
      <c r="O1421" s="112"/>
      <c r="P1421" s="112"/>
      <c r="Q1421" s="104" t="str">
        <f t="shared" si="134"/>
        <v/>
      </c>
      <c r="R1421" s="104" t="str">
        <f t="shared" si="135"/>
        <v/>
      </c>
      <c r="S1421" s="104" t="str">
        <f t="shared" si="136"/>
        <v/>
      </c>
      <c r="T1421" s="104" t="str">
        <f t="shared" si="137"/>
        <v/>
      </c>
      <c r="U1421" s="104" t="str">
        <f t="shared" si="138"/>
        <v/>
      </c>
      <c r="V1421" s="104" t="str">
        <f t="shared" si="139"/>
        <v/>
      </c>
      <c r="W1421" s="105"/>
    </row>
    <row r="1422" spans="1:23">
      <c r="A1422" s="92"/>
      <c r="B1422" s="123"/>
      <c r="C1422" s="107"/>
      <c r="D1422" s="389"/>
      <c r="E1422" s="389"/>
      <c r="F1422" s="118"/>
      <c r="G1422" s="108"/>
      <c r="H1422" s="98"/>
      <c r="I1422" s="99"/>
      <c r="J1422" s="101"/>
      <c r="K1422" s="109"/>
      <c r="L1422" s="110"/>
      <c r="M1422" s="111"/>
      <c r="N1422" s="99"/>
      <c r="O1422" s="112"/>
      <c r="P1422" s="112"/>
      <c r="Q1422" s="104" t="str">
        <f t="shared" si="134"/>
        <v/>
      </c>
      <c r="R1422" s="104" t="str">
        <f t="shared" si="135"/>
        <v/>
      </c>
      <c r="S1422" s="104" t="str">
        <f t="shared" si="136"/>
        <v/>
      </c>
      <c r="T1422" s="104" t="str">
        <f t="shared" si="137"/>
        <v/>
      </c>
      <c r="U1422" s="104" t="str">
        <f t="shared" si="138"/>
        <v/>
      </c>
      <c r="V1422" s="104" t="str">
        <f t="shared" si="139"/>
        <v/>
      </c>
      <c r="W1422" s="105"/>
    </row>
    <row r="1423" spans="1:23" ht="15" customHeight="1">
      <c r="A1423" s="92">
        <v>8</v>
      </c>
      <c r="B1423" s="121" t="s">
        <v>428</v>
      </c>
      <c r="C1423" s="122"/>
      <c r="D1423" s="797">
        <v>2.4500000000000002</v>
      </c>
      <c r="E1423" s="797"/>
      <c r="F1423" s="118"/>
      <c r="G1423" s="108">
        <v>0.25</v>
      </c>
      <c r="H1423" s="98">
        <v>12</v>
      </c>
      <c r="I1423" s="99">
        <v>1</v>
      </c>
      <c r="J1423" s="101">
        <f>ROUND(2.33/G1423+1,0)</f>
        <v>10</v>
      </c>
      <c r="K1423" s="109">
        <f>D1423</f>
        <v>2.4500000000000002</v>
      </c>
      <c r="L1423" s="110" t="str">
        <f>IF(O1423&lt;12,"0",0.049*H1423)</f>
        <v>0</v>
      </c>
      <c r="M1423" s="111">
        <v>0</v>
      </c>
      <c r="N1423" s="99">
        <f>M1423*2*H1423/1000</f>
        <v>0</v>
      </c>
      <c r="O1423" s="112">
        <f>(D1423)-N1423</f>
        <v>2.4500000000000002</v>
      </c>
      <c r="P1423" s="112">
        <f>(I1423*J1423*O1423)+L1423</f>
        <v>24.5</v>
      </c>
      <c r="Q1423" s="104" t="str">
        <f t="shared" si="134"/>
        <v/>
      </c>
      <c r="R1423" s="104" t="str">
        <f t="shared" si="135"/>
        <v/>
      </c>
      <c r="S1423" s="104">
        <f t="shared" si="136"/>
        <v>24.5</v>
      </c>
      <c r="T1423" s="104" t="str">
        <f t="shared" si="137"/>
        <v/>
      </c>
      <c r="U1423" s="104" t="str">
        <f t="shared" si="138"/>
        <v/>
      </c>
      <c r="V1423" s="104" t="str">
        <f t="shared" si="139"/>
        <v/>
      </c>
      <c r="W1423" s="105"/>
    </row>
    <row r="1424" spans="1:23">
      <c r="A1424" s="92"/>
      <c r="B1424" s="121" t="s">
        <v>342</v>
      </c>
      <c r="C1424" s="107"/>
      <c r="D1424" s="389"/>
      <c r="E1424" s="389"/>
      <c r="F1424" s="118"/>
      <c r="G1424" s="108"/>
      <c r="H1424" s="98"/>
      <c r="I1424" s="99"/>
      <c r="J1424" s="101"/>
      <c r="K1424" s="109"/>
      <c r="L1424" s="110"/>
      <c r="M1424" s="111"/>
      <c r="N1424" s="99"/>
      <c r="O1424" s="112"/>
      <c r="P1424" s="112"/>
      <c r="Q1424" s="104" t="str">
        <f t="shared" si="134"/>
        <v/>
      </c>
      <c r="R1424" s="104" t="str">
        <f t="shared" si="135"/>
        <v/>
      </c>
      <c r="S1424" s="104" t="str">
        <f t="shared" si="136"/>
        <v/>
      </c>
      <c r="T1424" s="104" t="str">
        <f t="shared" si="137"/>
        <v/>
      </c>
      <c r="U1424" s="104" t="str">
        <f t="shared" si="138"/>
        <v/>
      </c>
      <c r="V1424" s="104" t="str">
        <f t="shared" si="139"/>
        <v/>
      </c>
      <c r="W1424" s="105"/>
    </row>
    <row r="1425" spans="1:23">
      <c r="A1425" s="92"/>
      <c r="B1425" s="123"/>
      <c r="C1425" s="107"/>
      <c r="D1425" s="389"/>
      <c r="E1425" s="389"/>
      <c r="F1425" s="118"/>
      <c r="G1425" s="108"/>
      <c r="H1425" s="98"/>
      <c r="I1425" s="99"/>
      <c r="J1425" s="101"/>
      <c r="K1425" s="109"/>
      <c r="L1425" s="110"/>
      <c r="M1425" s="111"/>
      <c r="N1425" s="99"/>
      <c r="O1425" s="112"/>
      <c r="P1425" s="112"/>
      <c r="Q1425" s="104" t="str">
        <f t="shared" si="134"/>
        <v/>
      </c>
      <c r="R1425" s="104" t="str">
        <f t="shared" si="135"/>
        <v/>
      </c>
      <c r="S1425" s="104" t="str">
        <f t="shared" si="136"/>
        <v/>
      </c>
      <c r="T1425" s="104" t="str">
        <f t="shared" si="137"/>
        <v/>
      </c>
      <c r="U1425" s="104" t="str">
        <f t="shared" si="138"/>
        <v/>
      </c>
      <c r="V1425" s="104" t="str">
        <f t="shared" si="139"/>
        <v/>
      </c>
      <c r="W1425" s="105"/>
    </row>
    <row r="1426" spans="1:23" ht="15" customHeight="1">
      <c r="A1426" s="92">
        <v>9</v>
      </c>
      <c r="B1426" s="121" t="s">
        <v>428</v>
      </c>
      <c r="C1426" s="122"/>
      <c r="D1426" s="797">
        <v>4.09</v>
      </c>
      <c r="E1426" s="797"/>
      <c r="F1426" s="118"/>
      <c r="G1426" s="108">
        <v>0.25</v>
      </c>
      <c r="H1426" s="98">
        <v>12</v>
      </c>
      <c r="I1426" s="99">
        <v>1</v>
      </c>
      <c r="J1426" s="101">
        <f>ROUND(5.8/G1426+1,0)</f>
        <v>24</v>
      </c>
      <c r="K1426" s="109">
        <f>D1426</f>
        <v>4.09</v>
      </c>
      <c r="L1426" s="110" t="str">
        <f>IF(O1426&lt;12,"0",0.049*H1426)</f>
        <v>0</v>
      </c>
      <c r="M1426" s="111">
        <v>0</v>
      </c>
      <c r="N1426" s="99">
        <f>M1426*2*H1426/1000</f>
        <v>0</v>
      </c>
      <c r="O1426" s="112">
        <f>(D1426)-N1426</f>
        <v>4.09</v>
      </c>
      <c r="P1426" s="112">
        <f>(I1426*J1426*O1426)+L1426</f>
        <v>98.16</v>
      </c>
      <c r="Q1426" s="104" t="str">
        <f t="shared" si="134"/>
        <v/>
      </c>
      <c r="R1426" s="104" t="str">
        <f t="shared" si="135"/>
        <v/>
      </c>
      <c r="S1426" s="104">
        <f t="shared" si="136"/>
        <v>98.16</v>
      </c>
      <c r="T1426" s="104" t="str">
        <f t="shared" si="137"/>
        <v/>
      </c>
      <c r="U1426" s="104" t="str">
        <f t="shared" si="138"/>
        <v/>
      </c>
      <c r="V1426" s="104" t="str">
        <f t="shared" si="139"/>
        <v/>
      </c>
      <c r="W1426" s="105"/>
    </row>
    <row r="1427" spans="1:23">
      <c r="A1427" s="92"/>
      <c r="B1427" s="121" t="s">
        <v>343</v>
      </c>
      <c r="C1427" s="107"/>
      <c r="D1427" s="389"/>
      <c r="E1427" s="389"/>
      <c r="F1427" s="118"/>
      <c r="G1427" s="108"/>
      <c r="H1427" s="98"/>
      <c r="I1427" s="99"/>
      <c r="J1427" s="101"/>
      <c r="K1427" s="109"/>
      <c r="L1427" s="110"/>
      <c r="M1427" s="111"/>
      <c r="N1427" s="99"/>
      <c r="O1427" s="112"/>
      <c r="P1427" s="112"/>
      <c r="Q1427" s="104" t="str">
        <f t="shared" si="134"/>
        <v/>
      </c>
      <c r="R1427" s="104" t="str">
        <f t="shared" si="135"/>
        <v/>
      </c>
      <c r="S1427" s="104" t="str">
        <f t="shared" si="136"/>
        <v/>
      </c>
      <c r="T1427" s="104" t="str">
        <f t="shared" si="137"/>
        <v/>
      </c>
      <c r="U1427" s="104" t="str">
        <f t="shared" si="138"/>
        <v/>
      </c>
      <c r="V1427" s="104" t="str">
        <f t="shared" si="139"/>
        <v/>
      </c>
      <c r="W1427" s="105"/>
    </row>
    <row r="1428" spans="1:23">
      <c r="A1428" s="92"/>
      <c r="B1428" s="123"/>
      <c r="C1428" s="107"/>
      <c r="D1428" s="389"/>
      <c r="E1428" s="389"/>
      <c r="F1428" s="118"/>
      <c r="G1428" s="108"/>
      <c r="H1428" s="98"/>
      <c r="I1428" s="99"/>
      <c r="J1428" s="101"/>
      <c r="K1428" s="109"/>
      <c r="L1428" s="110"/>
      <c r="M1428" s="111"/>
      <c r="N1428" s="99"/>
      <c r="O1428" s="112"/>
      <c r="P1428" s="112"/>
      <c r="Q1428" s="104" t="str">
        <f t="shared" si="134"/>
        <v/>
      </c>
      <c r="R1428" s="104" t="str">
        <f t="shared" si="135"/>
        <v/>
      </c>
      <c r="S1428" s="104" t="str">
        <f t="shared" si="136"/>
        <v/>
      </c>
      <c r="T1428" s="104" t="str">
        <f t="shared" si="137"/>
        <v/>
      </c>
      <c r="U1428" s="104" t="str">
        <f t="shared" si="138"/>
        <v/>
      </c>
      <c r="V1428" s="104" t="str">
        <f t="shared" si="139"/>
        <v/>
      </c>
      <c r="W1428" s="105"/>
    </row>
    <row r="1429" spans="1:23" ht="15" customHeight="1">
      <c r="A1429" s="92">
        <v>10</v>
      </c>
      <c r="B1429" s="121" t="s">
        <v>429</v>
      </c>
      <c r="C1429" s="122"/>
      <c r="D1429" s="797">
        <v>3.8</v>
      </c>
      <c r="E1429" s="797"/>
      <c r="F1429" s="118"/>
      <c r="G1429" s="108">
        <v>0.25</v>
      </c>
      <c r="H1429" s="98">
        <v>10</v>
      </c>
      <c r="I1429" s="99">
        <v>1</v>
      </c>
      <c r="J1429" s="101">
        <f>ROUND(4.09/G1429+1,0)</f>
        <v>17</v>
      </c>
      <c r="K1429" s="109">
        <f>D1429</f>
        <v>3.8</v>
      </c>
      <c r="L1429" s="110" t="str">
        <f>IF(O1429&lt;12,"0",0.049*H1429)</f>
        <v>0</v>
      </c>
      <c r="M1429" s="111">
        <v>0</v>
      </c>
      <c r="N1429" s="99">
        <f>M1429*2*H1429/1000</f>
        <v>0</v>
      </c>
      <c r="O1429" s="112">
        <f>(D1429)-N1429</f>
        <v>3.8</v>
      </c>
      <c r="P1429" s="112">
        <f>(I1429*J1429*O1429)+L1429</f>
        <v>64.599999999999994</v>
      </c>
      <c r="Q1429" s="104" t="str">
        <f t="shared" si="134"/>
        <v/>
      </c>
      <c r="R1429" s="104">
        <f t="shared" si="135"/>
        <v>64.599999999999994</v>
      </c>
      <c r="S1429" s="104" t="str">
        <f t="shared" si="136"/>
        <v/>
      </c>
      <c r="T1429" s="104" t="str">
        <f t="shared" si="137"/>
        <v/>
      </c>
      <c r="U1429" s="104" t="str">
        <f t="shared" si="138"/>
        <v/>
      </c>
      <c r="V1429" s="104" t="str">
        <f t="shared" si="139"/>
        <v/>
      </c>
      <c r="W1429" s="105"/>
    </row>
    <row r="1430" spans="1:23">
      <c r="A1430" s="92"/>
      <c r="B1430" s="121" t="s">
        <v>343</v>
      </c>
      <c r="C1430" s="107"/>
      <c r="D1430" s="389"/>
      <c r="E1430" s="389"/>
      <c r="F1430" s="118"/>
      <c r="G1430" s="108"/>
      <c r="H1430" s="98"/>
      <c r="I1430" s="99"/>
      <c r="J1430" s="101"/>
      <c r="K1430" s="109"/>
      <c r="L1430" s="110"/>
      <c r="M1430" s="111"/>
      <c r="N1430" s="99"/>
      <c r="O1430" s="112"/>
      <c r="P1430" s="112"/>
      <c r="Q1430" s="104" t="str">
        <f t="shared" si="134"/>
        <v/>
      </c>
      <c r="R1430" s="104" t="str">
        <f t="shared" si="135"/>
        <v/>
      </c>
      <c r="S1430" s="104" t="str">
        <f t="shared" si="136"/>
        <v/>
      </c>
      <c r="T1430" s="104" t="str">
        <f t="shared" si="137"/>
        <v/>
      </c>
      <c r="U1430" s="104" t="str">
        <f t="shared" si="138"/>
        <v/>
      </c>
      <c r="V1430" s="104" t="str">
        <f t="shared" si="139"/>
        <v/>
      </c>
      <c r="W1430" s="105"/>
    </row>
    <row r="1431" spans="1:23">
      <c r="A1431" s="92"/>
      <c r="B1431" s="123"/>
      <c r="C1431" s="107"/>
      <c r="D1431" s="389"/>
      <c r="E1431" s="389"/>
      <c r="F1431" s="118"/>
      <c r="G1431" s="108"/>
      <c r="H1431" s="98"/>
      <c r="I1431" s="99"/>
      <c r="J1431" s="101"/>
      <c r="K1431" s="109"/>
      <c r="L1431" s="110"/>
      <c r="M1431" s="111"/>
      <c r="N1431" s="99"/>
      <c r="O1431" s="112"/>
      <c r="P1431" s="112"/>
      <c r="Q1431" s="104" t="str">
        <f t="shared" si="134"/>
        <v/>
      </c>
      <c r="R1431" s="104" t="str">
        <f t="shared" si="135"/>
        <v/>
      </c>
      <c r="S1431" s="104" t="str">
        <f t="shared" si="136"/>
        <v/>
      </c>
      <c r="T1431" s="104" t="str">
        <f t="shared" si="137"/>
        <v/>
      </c>
      <c r="U1431" s="104" t="str">
        <f t="shared" si="138"/>
        <v/>
      </c>
      <c r="V1431" s="104" t="str">
        <f t="shared" si="139"/>
        <v/>
      </c>
      <c r="W1431" s="105"/>
    </row>
    <row r="1432" spans="1:23" ht="15" customHeight="1">
      <c r="A1432" s="92">
        <v>11</v>
      </c>
      <c r="B1432" s="121" t="s">
        <v>428</v>
      </c>
      <c r="C1432" s="122"/>
      <c r="D1432" s="797">
        <v>3.8</v>
      </c>
      <c r="E1432" s="797"/>
      <c r="F1432" s="118"/>
      <c r="G1432" s="108">
        <v>0.25</v>
      </c>
      <c r="H1432" s="98">
        <v>10</v>
      </c>
      <c r="I1432" s="99">
        <v>1</v>
      </c>
      <c r="J1432" s="101">
        <f>ROUND(5.7/G1432+1,0)</f>
        <v>24</v>
      </c>
      <c r="K1432" s="109">
        <f>D1432</f>
        <v>3.8</v>
      </c>
      <c r="L1432" s="110" t="str">
        <f>IF(O1432&lt;12,"0",0.049*H1432)</f>
        <v>0</v>
      </c>
      <c r="M1432" s="111">
        <v>0</v>
      </c>
      <c r="N1432" s="99">
        <f>M1432*2*H1432/1000</f>
        <v>0</v>
      </c>
      <c r="O1432" s="112">
        <f>(D1432)-N1432</f>
        <v>3.8</v>
      </c>
      <c r="P1432" s="112">
        <f>(I1432*J1432*O1432)+L1432</f>
        <v>91.199999999999989</v>
      </c>
      <c r="Q1432" s="104" t="str">
        <f t="shared" si="134"/>
        <v/>
      </c>
      <c r="R1432" s="104">
        <f t="shared" si="135"/>
        <v>91.199999999999989</v>
      </c>
      <c r="S1432" s="104" t="str">
        <f t="shared" si="136"/>
        <v/>
      </c>
      <c r="T1432" s="104" t="str">
        <f t="shared" si="137"/>
        <v/>
      </c>
      <c r="U1432" s="104" t="str">
        <f t="shared" si="138"/>
        <v/>
      </c>
      <c r="V1432" s="104" t="str">
        <f t="shared" si="139"/>
        <v/>
      </c>
      <c r="W1432" s="105"/>
    </row>
    <row r="1433" spans="1:23">
      <c r="A1433" s="92"/>
      <c r="B1433" s="121" t="s">
        <v>344</v>
      </c>
      <c r="C1433" s="107"/>
      <c r="D1433" s="389"/>
      <c r="E1433" s="389"/>
      <c r="F1433" s="118"/>
      <c r="G1433" s="108"/>
      <c r="H1433" s="98"/>
      <c r="I1433" s="99"/>
      <c r="J1433" s="101"/>
      <c r="K1433" s="109"/>
      <c r="L1433" s="110"/>
      <c r="M1433" s="111"/>
      <c r="N1433" s="99"/>
      <c r="O1433" s="112"/>
      <c r="P1433" s="112"/>
      <c r="Q1433" s="104" t="str">
        <f t="shared" si="134"/>
        <v/>
      </c>
      <c r="R1433" s="104" t="str">
        <f t="shared" si="135"/>
        <v/>
      </c>
      <c r="S1433" s="104" t="str">
        <f t="shared" si="136"/>
        <v/>
      </c>
      <c r="T1433" s="104" t="str">
        <f t="shared" si="137"/>
        <v/>
      </c>
      <c r="U1433" s="104" t="str">
        <f t="shared" si="138"/>
        <v/>
      </c>
      <c r="V1433" s="104" t="str">
        <f t="shared" si="139"/>
        <v/>
      </c>
      <c r="W1433" s="105"/>
    </row>
    <row r="1434" spans="1:23">
      <c r="A1434" s="92"/>
      <c r="B1434" s="123"/>
      <c r="C1434" s="107"/>
      <c r="D1434" s="389"/>
      <c r="E1434" s="389"/>
      <c r="F1434" s="118"/>
      <c r="G1434" s="108"/>
      <c r="H1434" s="98"/>
      <c r="I1434" s="99"/>
      <c r="J1434" s="101"/>
      <c r="K1434" s="109"/>
      <c r="L1434" s="110"/>
      <c r="M1434" s="111"/>
      <c r="N1434" s="99"/>
      <c r="O1434" s="112"/>
      <c r="P1434" s="112"/>
      <c r="Q1434" s="104" t="str">
        <f t="shared" si="134"/>
        <v/>
      </c>
      <c r="R1434" s="104" t="str">
        <f t="shared" si="135"/>
        <v/>
      </c>
      <c r="S1434" s="104" t="str">
        <f t="shared" si="136"/>
        <v/>
      </c>
      <c r="T1434" s="104" t="str">
        <f t="shared" si="137"/>
        <v/>
      </c>
      <c r="U1434" s="104" t="str">
        <f t="shared" si="138"/>
        <v/>
      </c>
      <c r="V1434" s="104" t="str">
        <f t="shared" si="139"/>
        <v/>
      </c>
      <c r="W1434" s="105"/>
    </row>
    <row r="1435" spans="1:23" ht="15" customHeight="1">
      <c r="A1435" s="92">
        <v>12</v>
      </c>
      <c r="B1435" s="121" t="s">
        <v>429</v>
      </c>
      <c r="C1435" s="122"/>
      <c r="D1435" s="797">
        <v>5.7</v>
      </c>
      <c r="E1435" s="797"/>
      <c r="F1435" s="118"/>
      <c r="G1435" s="108">
        <v>0.25</v>
      </c>
      <c r="H1435" s="98">
        <v>20</v>
      </c>
      <c r="I1435" s="99">
        <v>1</v>
      </c>
      <c r="J1435" s="101">
        <f>ROUND(5.8/G1435+1,0)</f>
        <v>24</v>
      </c>
      <c r="K1435" s="109">
        <f>D1435</f>
        <v>5.7</v>
      </c>
      <c r="L1435" s="110" t="str">
        <f>IF(O1435&lt;12,"0",0.049*H1435)</f>
        <v>0</v>
      </c>
      <c r="M1435" s="111">
        <v>0</v>
      </c>
      <c r="N1435" s="99">
        <f>M1435*2*H1435/1000</f>
        <v>0</v>
      </c>
      <c r="O1435" s="112">
        <f>(D1435)-N1435</f>
        <v>5.7</v>
      </c>
      <c r="P1435" s="112">
        <f>(I1435*J1435*O1435)+L1435</f>
        <v>136.80000000000001</v>
      </c>
      <c r="Q1435" s="104" t="str">
        <f t="shared" si="134"/>
        <v/>
      </c>
      <c r="R1435" s="104" t="str">
        <f t="shared" si="135"/>
        <v/>
      </c>
      <c r="S1435" s="104" t="str">
        <f t="shared" si="136"/>
        <v/>
      </c>
      <c r="T1435" s="104" t="str">
        <f t="shared" si="137"/>
        <v/>
      </c>
      <c r="U1435" s="104">
        <f t="shared" si="138"/>
        <v>136.80000000000001</v>
      </c>
      <c r="V1435" s="104" t="str">
        <f t="shared" si="139"/>
        <v/>
      </c>
      <c r="W1435" s="105"/>
    </row>
    <row r="1436" spans="1:23">
      <c r="A1436" s="92"/>
      <c r="B1436" s="121" t="s">
        <v>344</v>
      </c>
      <c r="C1436" s="107"/>
      <c r="D1436" s="389"/>
      <c r="E1436" s="389"/>
      <c r="F1436" s="118"/>
      <c r="G1436" s="108"/>
      <c r="H1436" s="98"/>
      <c r="I1436" s="99"/>
      <c r="J1436" s="101"/>
      <c r="K1436" s="109"/>
      <c r="L1436" s="110"/>
      <c r="M1436" s="111"/>
      <c r="N1436" s="99"/>
      <c r="O1436" s="112"/>
      <c r="P1436" s="112"/>
      <c r="Q1436" s="104" t="str">
        <f t="shared" si="134"/>
        <v/>
      </c>
      <c r="R1436" s="104" t="str">
        <f t="shared" si="135"/>
        <v/>
      </c>
      <c r="S1436" s="104" t="str">
        <f t="shared" si="136"/>
        <v/>
      </c>
      <c r="T1436" s="104" t="str">
        <f t="shared" si="137"/>
        <v/>
      </c>
      <c r="U1436" s="104" t="str">
        <f t="shared" si="138"/>
        <v/>
      </c>
      <c r="V1436" s="104" t="str">
        <f t="shared" si="139"/>
        <v/>
      </c>
      <c r="W1436" s="105"/>
    </row>
    <row r="1437" spans="1:23">
      <c r="A1437" s="92"/>
      <c r="B1437" s="123"/>
      <c r="C1437" s="107"/>
      <c r="D1437" s="389"/>
      <c r="E1437" s="389"/>
      <c r="F1437" s="118"/>
      <c r="G1437" s="108"/>
      <c r="H1437" s="98"/>
      <c r="I1437" s="99"/>
      <c r="J1437" s="101"/>
      <c r="K1437" s="109"/>
      <c r="L1437" s="110"/>
      <c r="M1437" s="111"/>
      <c r="N1437" s="99"/>
      <c r="O1437" s="112"/>
      <c r="P1437" s="112"/>
      <c r="Q1437" s="104" t="str">
        <f t="shared" si="134"/>
        <v/>
      </c>
      <c r="R1437" s="104" t="str">
        <f t="shared" si="135"/>
        <v/>
      </c>
      <c r="S1437" s="104" t="str">
        <f t="shared" si="136"/>
        <v/>
      </c>
      <c r="T1437" s="104" t="str">
        <f t="shared" si="137"/>
        <v/>
      </c>
      <c r="U1437" s="104" t="str">
        <f t="shared" si="138"/>
        <v/>
      </c>
      <c r="V1437" s="104" t="str">
        <f t="shared" si="139"/>
        <v/>
      </c>
      <c r="W1437" s="105"/>
    </row>
    <row r="1438" spans="1:23" ht="15" customHeight="1">
      <c r="A1438" s="92">
        <v>13</v>
      </c>
      <c r="B1438" s="121" t="s">
        <v>429</v>
      </c>
      <c r="C1438" s="122"/>
      <c r="D1438" s="797">
        <v>5.7</v>
      </c>
      <c r="E1438" s="797"/>
      <c r="F1438" s="118"/>
      <c r="G1438" s="108">
        <v>0.25</v>
      </c>
      <c r="H1438" s="98">
        <v>16</v>
      </c>
      <c r="I1438" s="99">
        <v>1</v>
      </c>
      <c r="J1438" s="101">
        <f>ROUND(2.25/G1438+1,0)</f>
        <v>10</v>
      </c>
      <c r="K1438" s="109">
        <f>D1438</f>
        <v>5.7</v>
      </c>
      <c r="L1438" s="110" t="str">
        <f>IF(O1438&lt;12,"0",0.049*H1438)</f>
        <v>0</v>
      </c>
      <c r="M1438" s="111">
        <v>0</v>
      </c>
      <c r="N1438" s="99">
        <f>M1438*2*H1438/1000</f>
        <v>0</v>
      </c>
      <c r="O1438" s="112">
        <f>(D1438)-N1438</f>
        <v>5.7</v>
      </c>
      <c r="P1438" s="112">
        <f>(I1438*J1438*O1438)+L1438</f>
        <v>57</v>
      </c>
      <c r="Q1438" s="104" t="str">
        <f t="shared" si="134"/>
        <v/>
      </c>
      <c r="R1438" s="104" t="str">
        <f t="shared" si="135"/>
        <v/>
      </c>
      <c r="S1438" s="104" t="str">
        <f t="shared" si="136"/>
        <v/>
      </c>
      <c r="T1438" s="104">
        <f t="shared" si="137"/>
        <v>57</v>
      </c>
      <c r="U1438" s="104" t="str">
        <f t="shared" si="138"/>
        <v/>
      </c>
      <c r="V1438" s="104" t="str">
        <f t="shared" si="139"/>
        <v/>
      </c>
      <c r="W1438" s="105"/>
    </row>
    <row r="1439" spans="1:23">
      <c r="A1439" s="92"/>
      <c r="B1439" s="121" t="s">
        <v>344</v>
      </c>
      <c r="C1439" s="107"/>
      <c r="D1439" s="389"/>
      <c r="E1439" s="389"/>
      <c r="F1439" s="118"/>
      <c r="G1439" s="108"/>
      <c r="H1439" s="98"/>
      <c r="I1439" s="99"/>
      <c r="J1439" s="101"/>
      <c r="K1439" s="109"/>
      <c r="L1439" s="110"/>
      <c r="M1439" s="111"/>
      <c r="N1439" s="99"/>
      <c r="O1439" s="112"/>
      <c r="P1439" s="112"/>
      <c r="Q1439" s="104" t="str">
        <f t="shared" si="134"/>
        <v/>
      </c>
      <c r="R1439" s="104" t="str">
        <f t="shared" si="135"/>
        <v/>
      </c>
      <c r="S1439" s="104" t="str">
        <f t="shared" si="136"/>
        <v/>
      </c>
      <c r="T1439" s="104" t="str">
        <f t="shared" si="137"/>
        <v/>
      </c>
      <c r="U1439" s="104" t="str">
        <f t="shared" si="138"/>
        <v/>
      </c>
      <c r="V1439" s="104" t="str">
        <f t="shared" si="139"/>
        <v/>
      </c>
      <c r="W1439" s="105"/>
    </row>
    <row r="1440" spans="1:23">
      <c r="A1440" s="92"/>
      <c r="B1440" s="123"/>
      <c r="C1440" s="107"/>
      <c r="D1440" s="389"/>
      <c r="E1440" s="389"/>
      <c r="F1440" s="118"/>
      <c r="G1440" s="108"/>
      <c r="H1440" s="98"/>
      <c r="I1440" s="99"/>
      <c r="J1440" s="101"/>
      <c r="K1440" s="109"/>
      <c r="L1440" s="110"/>
      <c r="M1440" s="111"/>
      <c r="N1440" s="99"/>
      <c r="O1440" s="112"/>
      <c r="P1440" s="112"/>
      <c r="Q1440" s="104" t="str">
        <f t="shared" si="134"/>
        <v/>
      </c>
      <c r="R1440" s="104" t="str">
        <f t="shared" si="135"/>
        <v/>
      </c>
      <c r="S1440" s="104" t="str">
        <f t="shared" si="136"/>
        <v/>
      </c>
      <c r="T1440" s="104" t="str">
        <f t="shared" si="137"/>
        <v/>
      </c>
      <c r="U1440" s="104" t="str">
        <f t="shared" si="138"/>
        <v/>
      </c>
      <c r="V1440" s="104" t="str">
        <f t="shared" si="139"/>
        <v/>
      </c>
      <c r="W1440" s="105"/>
    </row>
    <row r="1441" spans="1:23" ht="15" customHeight="1">
      <c r="A1441" s="92">
        <v>14</v>
      </c>
      <c r="B1441" s="121" t="s">
        <v>428</v>
      </c>
      <c r="C1441" s="122"/>
      <c r="D1441" s="797">
        <v>2.5150000000000001</v>
      </c>
      <c r="E1441" s="797"/>
      <c r="F1441" s="118"/>
      <c r="G1441" s="108">
        <v>0.25</v>
      </c>
      <c r="H1441" s="98">
        <v>12</v>
      </c>
      <c r="I1441" s="99">
        <v>1</v>
      </c>
      <c r="J1441" s="101">
        <f>ROUND(4.06/G1441+1,0)</f>
        <v>17</v>
      </c>
      <c r="K1441" s="109">
        <f>D1441</f>
        <v>2.5150000000000001</v>
      </c>
      <c r="L1441" s="110" t="str">
        <f>IF(O1441&lt;12,"0",0.049*H1441)</f>
        <v>0</v>
      </c>
      <c r="M1441" s="111">
        <v>0</v>
      </c>
      <c r="N1441" s="99">
        <f>M1441*2*H1441/1000</f>
        <v>0</v>
      </c>
      <c r="O1441" s="112">
        <f>(D1441)-N1441</f>
        <v>2.5150000000000001</v>
      </c>
      <c r="P1441" s="112">
        <f>(I1441*J1441*O1441)+L1441</f>
        <v>42.755000000000003</v>
      </c>
      <c r="Q1441" s="104" t="str">
        <f t="shared" si="134"/>
        <v/>
      </c>
      <c r="R1441" s="104" t="str">
        <f t="shared" si="135"/>
        <v/>
      </c>
      <c r="S1441" s="104">
        <f t="shared" si="136"/>
        <v>42.755000000000003</v>
      </c>
      <c r="T1441" s="104" t="str">
        <f t="shared" si="137"/>
        <v/>
      </c>
      <c r="U1441" s="104" t="str">
        <f t="shared" si="138"/>
        <v/>
      </c>
      <c r="V1441" s="104" t="str">
        <f t="shared" si="139"/>
        <v/>
      </c>
      <c r="W1441" s="105"/>
    </row>
    <row r="1442" spans="1:23">
      <c r="A1442" s="92"/>
      <c r="B1442" s="121" t="s">
        <v>345</v>
      </c>
      <c r="C1442" s="107"/>
      <c r="D1442" s="389"/>
      <c r="E1442" s="389"/>
      <c r="F1442" s="118"/>
      <c r="G1442" s="108"/>
      <c r="H1442" s="98"/>
      <c r="I1442" s="99"/>
      <c r="J1442" s="101"/>
      <c r="K1442" s="109"/>
      <c r="L1442" s="110"/>
      <c r="M1442" s="111"/>
      <c r="N1442" s="99"/>
      <c r="O1442" s="112"/>
      <c r="P1442" s="112"/>
      <c r="Q1442" s="104" t="str">
        <f t="shared" si="134"/>
        <v/>
      </c>
      <c r="R1442" s="104" t="str">
        <f t="shared" si="135"/>
        <v/>
      </c>
      <c r="S1442" s="104" t="str">
        <f t="shared" si="136"/>
        <v/>
      </c>
      <c r="T1442" s="104" t="str">
        <f t="shared" si="137"/>
        <v/>
      </c>
      <c r="U1442" s="104" t="str">
        <f t="shared" si="138"/>
        <v/>
      </c>
      <c r="V1442" s="104" t="str">
        <f t="shared" si="139"/>
        <v/>
      </c>
      <c r="W1442" s="105"/>
    </row>
    <row r="1443" spans="1:23">
      <c r="A1443" s="92"/>
      <c r="B1443" s="123"/>
      <c r="C1443" s="107"/>
      <c r="D1443" s="389"/>
      <c r="E1443" s="389"/>
      <c r="F1443" s="118"/>
      <c r="G1443" s="108"/>
      <c r="H1443" s="98"/>
      <c r="I1443" s="99"/>
      <c r="J1443" s="101"/>
      <c r="K1443" s="109"/>
      <c r="L1443" s="110"/>
      <c r="M1443" s="111"/>
      <c r="N1443" s="99"/>
      <c r="O1443" s="112"/>
      <c r="P1443" s="112"/>
      <c r="Q1443" s="104" t="str">
        <f t="shared" si="134"/>
        <v/>
      </c>
      <c r="R1443" s="104" t="str">
        <f t="shared" si="135"/>
        <v/>
      </c>
      <c r="S1443" s="104" t="str">
        <f t="shared" si="136"/>
        <v/>
      </c>
      <c r="T1443" s="104" t="str">
        <f t="shared" si="137"/>
        <v/>
      </c>
      <c r="U1443" s="104" t="str">
        <f t="shared" si="138"/>
        <v/>
      </c>
      <c r="V1443" s="104" t="str">
        <f t="shared" si="139"/>
        <v/>
      </c>
      <c r="W1443" s="105"/>
    </row>
    <row r="1444" spans="1:23" ht="15" customHeight="1">
      <c r="A1444" s="92">
        <v>15</v>
      </c>
      <c r="B1444" s="121" t="s">
        <v>428</v>
      </c>
      <c r="C1444" s="122"/>
      <c r="D1444" s="797">
        <v>4.1900000000000004</v>
      </c>
      <c r="E1444" s="797"/>
      <c r="F1444" s="118"/>
      <c r="G1444" s="108">
        <v>0.25</v>
      </c>
      <c r="H1444" s="98">
        <v>12</v>
      </c>
      <c r="I1444" s="99">
        <v>1</v>
      </c>
      <c r="J1444" s="101">
        <f>ROUND(2.56/G1444+1,0)</f>
        <v>11</v>
      </c>
      <c r="K1444" s="109">
        <f>D1444</f>
        <v>4.1900000000000004</v>
      </c>
      <c r="L1444" s="110" t="str">
        <f>IF(O1444&lt;12,"0",0.049*H1444)</f>
        <v>0</v>
      </c>
      <c r="M1444" s="111">
        <v>0</v>
      </c>
      <c r="N1444" s="99">
        <f>M1444*2*H1444/1000</f>
        <v>0</v>
      </c>
      <c r="O1444" s="112">
        <f>(D1444)-N1444</f>
        <v>4.1900000000000004</v>
      </c>
      <c r="P1444" s="112">
        <f>(I1444*J1444*O1444)+L1444</f>
        <v>46.09</v>
      </c>
      <c r="Q1444" s="104" t="str">
        <f t="shared" si="134"/>
        <v/>
      </c>
      <c r="R1444" s="104" t="str">
        <f t="shared" si="135"/>
        <v/>
      </c>
      <c r="S1444" s="104">
        <f t="shared" si="136"/>
        <v>46.09</v>
      </c>
      <c r="T1444" s="104" t="str">
        <f t="shared" si="137"/>
        <v/>
      </c>
      <c r="U1444" s="104" t="str">
        <f t="shared" si="138"/>
        <v/>
      </c>
      <c r="V1444" s="104" t="str">
        <f t="shared" si="139"/>
        <v/>
      </c>
      <c r="W1444" s="105"/>
    </row>
    <row r="1445" spans="1:23">
      <c r="A1445" s="92"/>
      <c r="B1445" s="121" t="s">
        <v>346</v>
      </c>
      <c r="C1445" s="107"/>
      <c r="D1445" s="389"/>
      <c r="E1445" s="389"/>
      <c r="F1445" s="118"/>
      <c r="G1445" s="108"/>
      <c r="H1445" s="98"/>
      <c r="I1445" s="99"/>
      <c r="J1445" s="101"/>
      <c r="K1445" s="109"/>
      <c r="L1445" s="110"/>
      <c r="M1445" s="111"/>
      <c r="N1445" s="99"/>
      <c r="O1445" s="112"/>
      <c r="P1445" s="112"/>
      <c r="Q1445" s="104" t="str">
        <f t="shared" si="134"/>
        <v/>
      </c>
      <c r="R1445" s="104" t="str">
        <f t="shared" si="135"/>
        <v/>
      </c>
      <c r="S1445" s="104" t="str">
        <f t="shared" si="136"/>
        <v/>
      </c>
      <c r="T1445" s="104" t="str">
        <f t="shared" si="137"/>
        <v/>
      </c>
      <c r="U1445" s="104" t="str">
        <f t="shared" si="138"/>
        <v/>
      </c>
      <c r="V1445" s="104" t="str">
        <f t="shared" si="139"/>
        <v/>
      </c>
      <c r="W1445" s="105"/>
    </row>
    <row r="1446" spans="1:23">
      <c r="A1446" s="92"/>
      <c r="B1446" s="123"/>
      <c r="C1446" s="107"/>
      <c r="D1446" s="389"/>
      <c r="E1446" s="389"/>
      <c r="F1446" s="118"/>
      <c r="G1446" s="108"/>
      <c r="H1446" s="98"/>
      <c r="I1446" s="99"/>
      <c r="J1446" s="101"/>
      <c r="K1446" s="109"/>
      <c r="L1446" s="110"/>
      <c r="M1446" s="111"/>
      <c r="N1446" s="99"/>
      <c r="O1446" s="112"/>
      <c r="P1446" s="112"/>
      <c r="Q1446" s="104" t="str">
        <f t="shared" si="134"/>
        <v/>
      </c>
      <c r="R1446" s="104" t="str">
        <f t="shared" si="135"/>
        <v/>
      </c>
      <c r="S1446" s="104" t="str">
        <f t="shared" si="136"/>
        <v/>
      </c>
      <c r="T1446" s="104" t="str">
        <f t="shared" si="137"/>
        <v/>
      </c>
      <c r="U1446" s="104" t="str">
        <f t="shared" si="138"/>
        <v/>
      </c>
      <c r="V1446" s="104" t="str">
        <f t="shared" si="139"/>
        <v/>
      </c>
      <c r="W1446" s="105"/>
    </row>
    <row r="1447" spans="1:23" ht="15" customHeight="1">
      <c r="A1447" s="92">
        <v>16</v>
      </c>
      <c r="B1447" s="121" t="s">
        <v>428</v>
      </c>
      <c r="C1447" s="122"/>
      <c r="D1447" s="797">
        <v>7.71</v>
      </c>
      <c r="E1447" s="797"/>
      <c r="F1447" s="118"/>
      <c r="G1447" s="108">
        <v>0.25</v>
      </c>
      <c r="H1447" s="98">
        <v>12</v>
      </c>
      <c r="I1447" s="99">
        <v>1</v>
      </c>
      <c r="J1447" s="101">
        <f>ROUND(2.635/G1447+1,0)</f>
        <v>12</v>
      </c>
      <c r="K1447" s="109">
        <f>D1447</f>
        <v>7.71</v>
      </c>
      <c r="L1447" s="110" t="str">
        <f>IF(O1447&lt;12,"0",0.049*H1447)</f>
        <v>0</v>
      </c>
      <c r="M1447" s="111">
        <v>0</v>
      </c>
      <c r="N1447" s="99">
        <f>M1447*2*H1447/1000</f>
        <v>0</v>
      </c>
      <c r="O1447" s="112">
        <f>(D1447)-N1447</f>
        <v>7.71</v>
      </c>
      <c r="P1447" s="112">
        <f>(I1447*J1447*O1447)+L1447</f>
        <v>92.52</v>
      </c>
      <c r="Q1447" s="104" t="str">
        <f t="shared" si="134"/>
        <v/>
      </c>
      <c r="R1447" s="104" t="str">
        <f t="shared" si="135"/>
        <v/>
      </c>
      <c r="S1447" s="104">
        <f t="shared" si="136"/>
        <v>92.52</v>
      </c>
      <c r="T1447" s="104" t="str">
        <f t="shared" si="137"/>
        <v/>
      </c>
      <c r="U1447" s="104" t="str">
        <f t="shared" si="138"/>
        <v/>
      </c>
      <c r="V1447" s="104" t="str">
        <f t="shared" si="139"/>
        <v/>
      </c>
      <c r="W1447" s="105"/>
    </row>
    <row r="1448" spans="1:23">
      <c r="A1448" s="92"/>
      <c r="B1448" s="121" t="s">
        <v>347</v>
      </c>
      <c r="C1448" s="107"/>
      <c r="D1448" s="389"/>
      <c r="E1448" s="389"/>
      <c r="F1448" s="118"/>
      <c r="G1448" s="108"/>
      <c r="H1448" s="98"/>
      <c r="I1448" s="99"/>
      <c r="J1448" s="101"/>
      <c r="K1448" s="109"/>
      <c r="L1448" s="110"/>
      <c r="M1448" s="111"/>
      <c r="N1448" s="99"/>
      <c r="O1448" s="112"/>
      <c r="P1448" s="112"/>
      <c r="Q1448" s="104" t="str">
        <f t="shared" si="134"/>
        <v/>
      </c>
      <c r="R1448" s="104" t="str">
        <f t="shared" si="135"/>
        <v/>
      </c>
      <c r="S1448" s="104" t="str">
        <f t="shared" si="136"/>
        <v/>
      </c>
      <c r="T1448" s="104" t="str">
        <f t="shared" si="137"/>
        <v/>
      </c>
      <c r="U1448" s="104" t="str">
        <f t="shared" si="138"/>
        <v/>
      </c>
      <c r="V1448" s="104" t="str">
        <f t="shared" si="139"/>
        <v/>
      </c>
      <c r="W1448" s="105"/>
    </row>
    <row r="1449" spans="1:23">
      <c r="A1449" s="92"/>
      <c r="B1449" s="123"/>
      <c r="C1449" s="107"/>
      <c r="D1449" s="389"/>
      <c r="E1449" s="389"/>
      <c r="F1449" s="118"/>
      <c r="G1449" s="108"/>
      <c r="H1449" s="98"/>
      <c r="I1449" s="99"/>
      <c r="J1449" s="101"/>
      <c r="K1449" s="109"/>
      <c r="L1449" s="110"/>
      <c r="M1449" s="111"/>
      <c r="N1449" s="99"/>
      <c r="O1449" s="112"/>
      <c r="P1449" s="112"/>
      <c r="Q1449" s="104" t="str">
        <f t="shared" si="134"/>
        <v/>
      </c>
      <c r="R1449" s="104" t="str">
        <f t="shared" si="135"/>
        <v/>
      </c>
      <c r="S1449" s="104" t="str">
        <f t="shared" si="136"/>
        <v/>
      </c>
      <c r="T1449" s="104" t="str">
        <f t="shared" si="137"/>
        <v/>
      </c>
      <c r="U1449" s="104" t="str">
        <f t="shared" si="138"/>
        <v/>
      </c>
      <c r="V1449" s="104" t="str">
        <f t="shared" si="139"/>
        <v/>
      </c>
      <c r="W1449" s="105"/>
    </row>
    <row r="1450" spans="1:23" ht="15" customHeight="1">
      <c r="A1450" s="92">
        <v>17</v>
      </c>
      <c r="B1450" s="121" t="s">
        <v>428</v>
      </c>
      <c r="C1450" s="122"/>
      <c r="D1450" s="797">
        <v>2.7850000000000001</v>
      </c>
      <c r="E1450" s="797"/>
      <c r="F1450" s="118"/>
      <c r="G1450" s="108">
        <v>0.25</v>
      </c>
      <c r="H1450" s="98">
        <v>12</v>
      </c>
      <c r="I1450" s="99">
        <v>1</v>
      </c>
      <c r="J1450" s="101">
        <f>ROUND(2.615/G1450+1,0)</f>
        <v>11</v>
      </c>
      <c r="K1450" s="109">
        <f>D1450</f>
        <v>2.7850000000000001</v>
      </c>
      <c r="L1450" s="110" t="str">
        <f>IF(O1450&lt;12,"0",0.049*H1450)</f>
        <v>0</v>
      </c>
      <c r="M1450" s="111">
        <v>0</v>
      </c>
      <c r="N1450" s="99">
        <f>M1450*2*H1450/1000</f>
        <v>0</v>
      </c>
      <c r="O1450" s="112">
        <f>(D1450)-N1450</f>
        <v>2.7850000000000001</v>
      </c>
      <c r="P1450" s="112">
        <f>(I1450*J1450*O1450)+L1450</f>
        <v>30.635000000000002</v>
      </c>
      <c r="Q1450" s="104" t="str">
        <f t="shared" si="134"/>
        <v/>
      </c>
      <c r="R1450" s="104" t="str">
        <f t="shared" si="135"/>
        <v/>
      </c>
      <c r="S1450" s="104">
        <f t="shared" si="136"/>
        <v>30.635000000000002</v>
      </c>
      <c r="T1450" s="104" t="str">
        <f t="shared" si="137"/>
        <v/>
      </c>
      <c r="U1450" s="104" t="str">
        <f t="shared" si="138"/>
        <v/>
      </c>
      <c r="V1450" s="104" t="str">
        <f t="shared" si="139"/>
        <v/>
      </c>
      <c r="W1450" s="105"/>
    </row>
    <row r="1451" spans="1:23">
      <c r="A1451" s="92"/>
      <c r="B1451" s="121" t="s">
        <v>348</v>
      </c>
      <c r="C1451" s="107"/>
      <c r="D1451" s="389"/>
      <c r="E1451" s="389"/>
      <c r="F1451" s="118"/>
      <c r="G1451" s="108"/>
      <c r="H1451" s="98"/>
      <c r="I1451" s="99"/>
      <c r="J1451" s="101"/>
      <c r="K1451" s="109"/>
      <c r="L1451" s="110"/>
      <c r="M1451" s="111"/>
      <c r="N1451" s="99"/>
      <c r="O1451" s="112"/>
      <c r="P1451" s="112"/>
      <c r="Q1451" s="104" t="str">
        <f t="shared" si="134"/>
        <v/>
      </c>
      <c r="R1451" s="104" t="str">
        <f t="shared" si="135"/>
        <v/>
      </c>
      <c r="S1451" s="104" t="str">
        <f t="shared" si="136"/>
        <v/>
      </c>
      <c r="T1451" s="104" t="str">
        <f t="shared" si="137"/>
        <v/>
      </c>
      <c r="U1451" s="104" t="str">
        <f t="shared" si="138"/>
        <v/>
      </c>
      <c r="V1451" s="104" t="str">
        <f t="shared" si="139"/>
        <v/>
      </c>
      <c r="W1451" s="105"/>
    </row>
    <row r="1452" spans="1:23">
      <c r="A1452" s="92"/>
      <c r="B1452" s="123"/>
      <c r="C1452" s="107"/>
      <c r="D1452" s="389"/>
      <c r="E1452" s="389"/>
      <c r="F1452" s="118"/>
      <c r="G1452" s="108"/>
      <c r="H1452" s="98"/>
      <c r="I1452" s="99"/>
      <c r="J1452" s="101"/>
      <c r="K1452" s="109"/>
      <c r="L1452" s="110"/>
      <c r="M1452" s="111"/>
      <c r="N1452" s="99"/>
      <c r="O1452" s="112"/>
      <c r="P1452" s="112"/>
      <c r="Q1452" s="104" t="str">
        <f t="shared" si="134"/>
        <v/>
      </c>
      <c r="R1452" s="104" t="str">
        <f t="shared" si="135"/>
        <v/>
      </c>
      <c r="S1452" s="104" t="str">
        <f t="shared" si="136"/>
        <v/>
      </c>
      <c r="T1452" s="104" t="str">
        <f t="shared" si="137"/>
        <v/>
      </c>
      <c r="U1452" s="104" t="str">
        <f t="shared" si="138"/>
        <v/>
      </c>
      <c r="V1452" s="104" t="str">
        <f t="shared" si="139"/>
        <v/>
      </c>
      <c r="W1452" s="105"/>
    </row>
    <row r="1453" spans="1:23" ht="15" customHeight="1">
      <c r="A1453" s="92">
        <v>18</v>
      </c>
      <c r="B1453" s="121" t="s">
        <v>429</v>
      </c>
      <c r="C1453" s="122"/>
      <c r="D1453" s="797">
        <v>2.6150000000000002</v>
      </c>
      <c r="E1453" s="797"/>
      <c r="F1453" s="118"/>
      <c r="G1453" s="108">
        <v>0.25</v>
      </c>
      <c r="H1453" s="98">
        <v>20</v>
      </c>
      <c r="I1453" s="99">
        <v>1</v>
      </c>
      <c r="J1453" s="101">
        <f>ROUND(2.785/G1453+1,0)</f>
        <v>12</v>
      </c>
      <c r="K1453" s="109">
        <f>D1453</f>
        <v>2.6150000000000002</v>
      </c>
      <c r="L1453" s="110" t="str">
        <f>IF(O1453&lt;12,"0",0.049*H1453)</f>
        <v>0</v>
      </c>
      <c r="M1453" s="111">
        <v>0</v>
      </c>
      <c r="N1453" s="99">
        <f>M1453*2*H1453/1000</f>
        <v>0</v>
      </c>
      <c r="O1453" s="112">
        <f>(D1453)-N1453</f>
        <v>2.6150000000000002</v>
      </c>
      <c r="P1453" s="112">
        <f>(I1453*J1453*O1453)+L1453</f>
        <v>31.380000000000003</v>
      </c>
      <c r="Q1453" s="104" t="str">
        <f t="shared" si="134"/>
        <v/>
      </c>
      <c r="R1453" s="104" t="str">
        <f t="shared" si="135"/>
        <v/>
      </c>
      <c r="S1453" s="104" t="str">
        <f t="shared" si="136"/>
        <v/>
      </c>
      <c r="T1453" s="104" t="str">
        <f t="shared" si="137"/>
        <v/>
      </c>
      <c r="U1453" s="104">
        <f t="shared" si="138"/>
        <v>31.380000000000003</v>
      </c>
      <c r="V1453" s="104" t="str">
        <f t="shared" si="139"/>
        <v/>
      </c>
      <c r="W1453" s="105"/>
    </row>
    <row r="1454" spans="1:23">
      <c r="A1454" s="92"/>
      <c r="B1454" s="121" t="s">
        <v>348</v>
      </c>
      <c r="C1454" s="107"/>
      <c r="D1454" s="389"/>
      <c r="E1454" s="389"/>
      <c r="F1454" s="118"/>
      <c r="G1454" s="108"/>
      <c r="H1454" s="98"/>
      <c r="I1454" s="99"/>
      <c r="J1454" s="101"/>
      <c r="K1454" s="109"/>
      <c r="L1454" s="110"/>
      <c r="M1454" s="111"/>
      <c r="N1454" s="99"/>
      <c r="O1454" s="112"/>
      <c r="P1454" s="112"/>
      <c r="Q1454" s="104" t="str">
        <f t="shared" si="134"/>
        <v/>
      </c>
      <c r="R1454" s="104" t="str">
        <f t="shared" si="135"/>
        <v/>
      </c>
      <c r="S1454" s="104" t="str">
        <f t="shared" si="136"/>
        <v/>
      </c>
      <c r="T1454" s="104" t="str">
        <f t="shared" si="137"/>
        <v/>
      </c>
      <c r="U1454" s="104" t="str">
        <f t="shared" si="138"/>
        <v/>
      </c>
      <c r="V1454" s="104" t="str">
        <f t="shared" si="139"/>
        <v/>
      </c>
      <c r="W1454" s="105"/>
    </row>
    <row r="1455" spans="1:23">
      <c r="A1455" s="92"/>
      <c r="B1455" s="123"/>
      <c r="C1455" s="107"/>
      <c r="D1455" s="389"/>
      <c r="E1455" s="389"/>
      <c r="F1455" s="118"/>
      <c r="G1455" s="108"/>
      <c r="H1455" s="98"/>
      <c r="I1455" s="99"/>
      <c r="J1455" s="101"/>
      <c r="K1455" s="109"/>
      <c r="L1455" s="110"/>
      <c r="M1455" s="111"/>
      <c r="N1455" s="99"/>
      <c r="O1455" s="112"/>
      <c r="P1455" s="112"/>
      <c r="Q1455" s="104" t="str">
        <f t="shared" si="134"/>
        <v/>
      </c>
      <c r="R1455" s="104" t="str">
        <f t="shared" si="135"/>
        <v/>
      </c>
      <c r="S1455" s="104" t="str">
        <f t="shared" si="136"/>
        <v/>
      </c>
      <c r="T1455" s="104" t="str">
        <f t="shared" si="137"/>
        <v/>
      </c>
      <c r="U1455" s="104" t="str">
        <f t="shared" si="138"/>
        <v/>
      </c>
      <c r="V1455" s="104" t="str">
        <f t="shared" si="139"/>
        <v/>
      </c>
      <c r="W1455" s="105"/>
    </row>
    <row r="1456" spans="1:23" ht="15" customHeight="1">
      <c r="A1456" s="92">
        <v>19</v>
      </c>
      <c r="B1456" s="121" t="s">
        <v>428</v>
      </c>
      <c r="C1456" s="122"/>
      <c r="D1456" s="797">
        <v>4.12</v>
      </c>
      <c r="E1456" s="797"/>
      <c r="F1456" s="118"/>
      <c r="G1456" s="108">
        <v>0.25</v>
      </c>
      <c r="H1456" s="98">
        <v>20</v>
      </c>
      <c r="I1456" s="99">
        <v>1</v>
      </c>
      <c r="J1456" s="101">
        <f>ROUND(8.23/G1456+1,0)</f>
        <v>34</v>
      </c>
      <c r="K1456" s="109">
        <f>D1456</f>
        <v>4.12</v>
      </c>
      <c r="L1456" s="110" t="str">
        <f>IF(O1456&lt;12,"0",0.049*H1456)</f>
        <v>0</v>
      </c>
      <c r="M1456" s="111">
        <v>0</v>
      </c>
      <c r="N1456" s="99">
        <f>M1456*2*H1456/1000</f>
        <v>0</v>
      </c>
      <c r="O1456" s="112">
        <f>(D1456)-N1456</f>
        <v>4.12</v>
      </c>
      <c r="P1456" s="112">
        <f>(I1456*J1456*O1456)+L1456</f>
        <v>140.08000000000001</v>
      </c>
      <c r="Q1456" s="104" t="str">
        <f t="shared" si="134"/>
        <v/>
      </c>
      <c r="R1456" s="104" t="str">
        <f t="shared" si="135"/>
        <v/>
      </c>
      <c r="S1456" s="104" t="str">
        <f t="shared" si="136"/>
        <v/>
      </c>
      <c r="T1456" s="104" t="str">
        <f t="shared" si="137"/>
        <v/>
      </c>
      <c r="U1456" s="104">
        <f t="shared" si="138"/>
        <v>140.08000000000001</v>
      </c>
      <c r="V1456" s="104" t="str">
        <f t="shared" si="139"/>
        <v/>
      </c>
      <c r="W1456" s="105"/>
    </row>
    <row r="1457" spans="1:23">
      <c r="A1457" s="92"/>
      <c r="B1457" s="121" t="s">
        <v>349</v>
      </c>
      <c r="C1457" s="107"/>
      <c r="D1457" s="389"/>
      <c r="E1457" s="389"/>
      <c r="F1457" s="118"/>
      <c r="G1457" s="108"/>
      <c r="H1457" s="98"/>
      <c r="I1457" s="99"/>
      <c r="J1457" s="101"/>
      <c r="K1457" s="109"/>
      <c r="L1457" s="110"/>
      <c r="M1457" s="111"/>
      <c r="N1457" s="99"/>
      <c r="O1457" s="112"/>
      <c r="P1457" s="112"/>
      <c r="Q1457" s="104" t="str">
        <f t="shared" si="134"/>
        <v/>
      </c>
      <c r="R1457" s="104" t="str">
        <f t="shared" si="135"/>
        <v/>
      </c>
      <c r="S1457" s="104" t="str">
        <f t="shared" si="136"/>
        <v/>
      </c>
      <c r="T1457" s="104" t="str">
        <f t="shared" si="137"/>
        <v/>
      </c>
      <c r="U1457" s="104" t="str">
        <f t="shared" si="138"/>
        <v/>
      </c>
      <c r="V1457" s="104" t="str">
        <f t="shared" si="139"/>
        <v/>
      </c>
      <c r="W1457" s="105"/>
    </row>
    <row r="1458" spans="1:23">
      <c r="A1458" s="92"/>
      <c r="B1458" s="123"/>
      <c r="C1458" s="107"/>
      <c r="D1458" s="389"/>
      <c r="E1458" s="389"/>
      <c r="F1458" s="118"/>
      <c r="G1458" s="108"/>
      <c r="H1458" s="98"/>
      <c r="I1458" s="99"/>
      <c r="J1458" s="101"/>
      <c r="K1458" s="109"/>
      <c r="L1458" s="110"/>
      <c r="M1458" s="111"/>
      <c r="N1458" s="99"/>
      <c r="O1458" s="112"/>
      <c r="P1458" s="112"/>
      <c r="Q1458" s="104" t="str">
        <f t="shared" si="134"/>
        <v/>
      </c>
      <c r="R1458" s="104" t="str">
        <f t="shared" si="135"/>
        <v/>
      </c>
      <c r="S1458" s="104" t="str">
        <f t="shared" si="136"/>
        <v/>
      </c>
      <c r="T1458" s="104" t="str">
        <f t="shared" si="137"/>
        <v/>
      </c>
      <c r="U1458" s="104" t="str">
        <f t="shared" si="138"/>
        <v/>
      </c>
      <c r="V1458" s="104" t="str">
        <f t="shared" si="139"/>
        <v/>
      </c>
      <c r="W1458" s="105"/>
    </row>
    <row r="1459" spans="1:23" ht="15" customHeight="1">
      <c r="A1459" s="92">
        <v>20</v>
      </c>
      <c r="B1459" s="121" t="s">
        <v>429</v>
      </c>
      <c r="C1459" s="122"/>
      <c r="D1459" s="797">
        <v>3.12</v>
      </c>
      <c r="E1459" s="797"/>
      <c r="F1459" s="118"/>
      <c r="G1459" s="108">
        <v>0.25</v>
      </c>
      <c r="H1459" s="98">
        <v>20</v>
      </c>
      <c r="I1459" s="99">
        <v>1</v>
      </c>
      <c r="J1459" s="101">
        <f>ROUND(3.165/G1459+1,0)</f>
        <v>14</v>
      </c>
      <c r="K1459" s="109">
        <f>D1459</f>
        <v>3.12</v>
      </c>
      <c r="L1459" s="110" t="str">
        <f>IF(O1459&lt;12,"0",0.049*H1459)</f>
        <v>0</v>
      </c>
      <c r="M1459" s="111">
        <v>0</v>
      </c>
      <c r="N1459" s="99">
        <f>M1459*2*H1459/1000</f>
        <v>0</v>
      </c>
      <c r="O1459" s="112">
        <f>(D1459)-N1459</f>
        <v>3.12</v>
      </c>
      <c r="P1459" s="112">
        <f>(I1459*J1459*O1459)+L1459</f>
        <v>43.68</v>
      </c>
      <c r="Q1459" s="104" t="str">
        <f t="shared" si="134"/>
        <v/>
      </c>
      <c r="R1459" s="104" t="str">
        <f t="shared" si="135"/>
        <v/>
      </c>
      <c r="S1459" s="104" t="str">
        <f t="shared" si="136"/>
        <v/>
      </c>
      <c r="T1459" s="104" t="str">
        <f t="shared" si="137"/>
        <v/>
      </c>
      <c r="U1459" s="104">
        <f t="shared" si="138"/>
        <v>43.68</v>
      </c>
      <c r="V1459" s="104" t="str">
        <f t="shared" si="139"/>
        <v/>
      </c>
      <c r="W1459" s="105"/>
    </row>
    <row r="1460" spans="1:23">
      <c r="A1460" s="92"/>
      <c r="B1460" s="121" t="s">
        <v>350</v>
      </c>
      <c r="C1460" s="107"/>
      <c r="D1460" s="389"/>
      <c r="E1460" s="389"/>
      <c r="F1460" s="118"/>
      <c r="G1460" s="108"/>
      <c r="H1460" s="98"/>
      <c r="I1460" s="99"/>
      <c r="J1460" s="101"/>
      <c r="K1460" s="109"/>
      <c r="L1460" s="110"/>
      <c r="M1460" s="111"/>
      <c r="N1460" s="99"/>
      <c r="O1460" s="112"/>
      <c r="P1460" s="112"/>
      <c r="Q1460" s="104" t="str">
        <f t="shared" si="134"/>
        <v/>
      </c>
      <c r="R1460" s="104" t="str">
        <f t="shared" si="135"/>
        <v/>
      </c>
      <c r="S1460" s="104" t="str">
        <f t="shared" si="136"/>
        <v/>
      </c>
      <c r="T1460" s="104" t="str">
        <f t="shared" si="137"/>
        <v/>
      </c>
      <c r="U1460" s="104" t="str">
        <f t="shared" si="138"/>
        <v/>
      </c>
      <c r="V1460" s="104" t="str">
        <f t="shared" si="139"/>
        <v/>
      </c>
      <c r="W1460" s="105"/>
    </row>
    <row r="1461" spans="1:23">
      <c r="A1461" s="92"/>
      <c r="B1461" s="123"/>
      <c r="C1461" s="107"/>
      <c r="D1461" s="389"/>
      <c r="E1461" s="389"/>
      <c r="F1461" s="118"/>
      <c r="G1461" s="108"/>
      <c r="H1461" s="98"/>
      <c r="I1461" s="99"/>
      <c r="J1461" s="101"/>
      <c r="K1461" s="109"/>
      <c r="L1461" s="110"/>
      <c r="M1461" s="111"/>
      <c r="N1461" s="99"/>
      <c r="O1461" s="112"/>
      <c r="P1461" s="112"/>
      <c r="Q1461" s="104" t="str">
        <f t="shared" si="134"/>
        <v/>
      </c>
      <c r="R1461" s="104" t="str">
        <f t="shared" si="135"/>
        <v/>
      </c>
      <c r="S1461" s="104" t="str">
        <f t="shared" si="136"/>
        <v/>
      </c>
      <c r="T1461" s="104" t="str">
        <f t="shared" si="137"/>
        <v/>
      </c>
      <c r="U1461" s="104" t="str">
        <f t="shared" si="138"/>
        <v/>
      </c>
      <c r="V1461" s="104" t="str">
        <f t="shared" si="139"/>
        <v/>
      </c>
      <c r="W1461" s="105"/>
    </row>
    <row r="1462" spans="1:23" ht="15" customHeight="1">
      <c r="A1462" s="92">
        <v>21</v>
      </c>
      <c r="B1462" s="121" t="s">
        <v>429</v>
      </c>
      <c r="C1462" s="122"/>
      <c r="D1462" s="797">
        <v>2.92</v>
      </c>
      <c r="E1462" s="797"/>
      <c r="F1462" s="118"/>
      <c r="G1462" s="108">
        <v>0.25</v>
      </c>
      <c r="H1462" s="98">
        <v>16</v>
      </c>
      <c r="I1462" s="99">
        <v>1</v>
      </c>
      <c r="J1462" s="101">
        <f>ROUND(5.47/G1462+1,0)</f>
        <v>23</v>
      </c>
      <c r="K1462" s="109">
        <f>D1462</f>
        <v>2.92</v>
      </c>
      <c r="L1462" s="110" t="str">
        <f>IF(O1462&lt;12,"0",0.049*H1462)</f>
        <v>0</v>
      </c>
      <c r="M1462" s="111">
        <v>0</v>
      </c>
      <c r="N1462" s="99">
        <f>M1462*2*H1462/1000</f>
        <v>0</v>
      </c>
      <c r="O1462" s="112">
        <f>(D1462)-N1462</f>
        <v>2.92</v>
      </c>
      <c r="P1462" s="112">
        <f>(I1462*J1462*O1462)+L1462</f>
        <v>67.16</v>
      </c>
      <c r="Q1462" s="104" t="str">
        <f t="shared" si="134"/>
        <v/>
      </c>
      <c r="R1462" s="104" t="str">
        <f t="shared" si="135"/>
        <v/>
      </c>
      <c r="S1462" s="104" t="str">
        <f t="shared" si="136"/>
        <v/>
      </c>
      <c r="T1462" s="104">
        <f t="shared" si="137"/>
        <v>67.16</v>
      </c>
      <c r="U1462" s="104" t="str">
        <f t="shared" si="138"/>
        <v/>
      </c>
      <c r="V1462" s="104" t="str">
        <f t="shared" si="139"/>
        <v/>
      </c>
      <c r="W1462" s="105"/>
    </row>
    <row r="1463" spans="1:23">
      <c r="A1463" s="92"/>
      <c r="B1463" s="121" t="s">
        <v>350</v>
      </c>
      <c r="C1463" s="107"/>
      <c r="D1463" s="389"/>
      <c r="E1463" s="389"/>
      <c r="F1463" s="118"/>
      <c r="G1463" s="108"/>
      <c r="H1463" s="98"/>
      <c r="I1463" s="99"/>
      <c r="J1463" s="101"/>
      <c r="K1463" s="109"/>
      <c r="L1463" s="110"/>
      <c r="M1463" s="111"/>
      <c r="N1463" s="99"/>
      <c r="O1463" s="112"/>
      <c r="P1463" s="112"/>
      <c r="Q1463" s="104" t="str">
        <f t="shared" si="134"/>
        <v/>
      </c>
      <c r="R1463" s="104" t="str">
        <f t="shared" si="135"/>
        <v/>
      </c>
      <c r="S1463" s="104" t="str">
        <f t="shared" si="136"/>
        <v/>
      </c>
      <c r="T1463" s="104" t="str">
        <f t="shared" si="137"/>
        <v/>
      </c>
      <c r="U1463" s="104" t="str">
        <f t="shared" si="138"/>
        <v/>
      </c>
      <c r="V1463" s="104" t="str">
        <f t="shared" si="139"/>
        <v/>
      </c>
      <c r="W1463" s="105"/>
    </row>
    <row r="1464" spans="1:23">
      <c r="A1464" s="92"/>
      <c r="B1464" s="123"/>
      <c r="C1464" s="107"/>
      <c r="D1464" s="389"/>
      <c r="E1464" s="389"/>
      <c r="F1464" s="118"/>
      <c r="G1464" s="108"/>
      <c r="H1464" s="98"/>
      <c r="I1464" s="99"/>
      <c r="J1464" s="101"/>
      <c r="K1464" s="109"/>
      <c r="L1464" s="110"/>
      <c r="M1464" s="111"/>
      <c r="N1464" s="99"/>
      <c r="O1464" s="112"/>
      <c r="P1464" s="112"/>
      <c r="Q1464" s="104" t="str">
        <f t="shared" si="134"/>
        <v/>
      </c>
      <c r="R1464" s="104" t="str">
        <f t="shared" si="135"/>
        <v/>
      </c>
      <c r="S1464" s="104" t="str">
        <f t="shared" si="136"/>
        <v/>
      </c>
      <c r="T1464" s="104" t="str">
        <f t="shared" si="137"/>
        <v/>
      </c>
      <c r="U1464" s="104" t="str">
        <f t="shared" si="138"/>
        <v/>
      </c>
      <c r="V1464" s="104" t="str">
        <f t="shared" si="139"/>
        <v/>
      </c>
      <c r="W1464" s="105"/>
    </row>
    <row r="1465" spans="1:23" ht="15" customHeight="1">
      <c r="A1465" s="92">
        <v>22</v>
      </c>
      <c r="B1465" s="121" t="s">
        <v>428</v>
      </c>
      <c r="C1465" s="122"/>
      <c r="D1465" s="797">
        <v>4.5449999999999999</v>
      </c>
      <c r="E1465" s="797"/>
      <c r="F1465" s="118"/>
      <c r="G1465" s="108">
        <v>0.25</v>
      </c>
      <c r="H1465" s="98">
        <v>16</v>
      </c>
      <c r="I1465" s="99">
        <v>1</v>
      </c>
      <c r="J1465" s="101">
        <f>ROUND(5/G1465+1,0)</f>
        <v>21</v>
      </c>
      <c r="K1465" s="109">
        <f>D1465</f>
        <v>4.5449999999999999</v>
      </c>
      <c r="L1465" s="110" t="str">
        <f>IF(O1465&lt;12,"0",0.049*H1465)</f>
        <v>0</v>
      </c>
      <c r="M1465" s="111">
        <v>0</v>
      </c>
      <c r="N1465" s="99">
        <f>M1465*2*H1465/1000</f>
        <v>0</v>
      </c>
      <c r="O1465" s="112">
        <f>(D1465)-N1465</f>
        <v>4.5449999999999999</v>
      </c>
      <c r="P1465" s="112">
        <f>(I1465*J1465*O1465)+L1465</f>
        <v>95.444999999999993</v>
      </c>
      <c r="Q1465" s="104" t="str">
        <f t="shared" si="134"/>
        <v/>
      </c>
      <c r="R1465" s="104" t="str">
        <f t="shared" si="135"/>
        <v/>
      </c>
      <c r="S1465" s="104" t="str">
        <f t="shared" si="136"/>
        <v/>
      </c>
      <c r="T1465" s="104">
        <f t="shared" si="137"/>
        <v>95.444999999999993</v>
      </c>
      <c r="U1465" s="104" t="str">
        <f t="shared" si="138"/>
        <v/>
      </c>
      <c r="V1465" s="104" t="str">
        <f t="shared" si="139"/>
        <v/>
      </c>
      <c r="W1465" s="105"/>
    </row>
    <row r="1466" spans="1:23">
      <c r="A1466" s="92"/>
      <c r="B1466" s="121" t="s">
        <v>351</v>
      </c>
      <c r="C1466" s="107"/>
      <c r="D1466" s="389"/>
      <c r="E1466" s="389"/>
      <c r="F1466" s="118"/>
      <c r="G1466" s="108"/>
      <c r="H1466" s="98"/>
      <c r="I1466" s="99"/>
      <c r="J1466" s="101"/>
      <c r="K1466" s="109"/>
      <c r="L1466" s="110"/>
      <c r="M1466" s="111"/>
      <c r="N1466" s="99"/>
      <c r="O1466" s="112"/>
      <c r="P1466" s="112"/>
      <c r="Q1466" s="104" t="str">
        <f t="shared" si="134"/>
        <v/>
      </c>
      <c r="R1466" s="104" t="str">
        <f t="shared" si="135"/>
        <v/>
      </c>
      <c r="S1466" s="104" t="str">
        <f t="shared" si="136"/>
        <v/>
      </c>
      <c r="T1466" s="104" t="str">
        <f t="shared" si="137"/>
        <v/>
      </c>
      <c r="U1466" s="104" t="str">
        <f t="shared" si="138"/>
        <v/>
      </c>
      <c r="V1466" s="104" t="str">
        <f t="shared" si="139"/>
        <v/>
      </c>
      <c r="W1466" s="105"/>
    </row>
    <row r="1467" spans="1:23">
      <c r="A1467" s="92"/>
      <c r="B1467" s="123"/>
      <c r="C1467" s="107"/>
      <c r="D1467" s="389"/>
      <c r="E1467" s="389"/>
      <c r="F1467" s="118"/>
      <c r="G1467" s="108"/>
      <c r="H1467" s="98"/>
      <c r="I1467" s="99"/>
      <c r="J1467" s="101"/>
      <c r="K1467" s="109"/>
      <c r="L1467" s="110"/>
      <c r="M1467" s="111"/>
      <c r="N1467" s="99"/>
      <c r="O1467" s="112"/>
      <c r="P1467" s="112"/>
      <c r="Q1467" s="104" t="str">
        <f t="shared" si="134"/>
        <v/>
      </c>
      <c r="R1467" s="104" t="str">
        <f t="shared" si="135"/>
        <v/>
      </c>
      <c r="S1467" s="104" t="str">
        <f t="shared" si="136"/>
        <v/>
      </c>
      <c r="T1467" s="104" t="str">
        <f t="shared" si="137"/>
        <v/>
      </c>
      <c r="U1467" s="104" t="str">
        <f t="shared" si="138"/>
        <v/>
      </c>
      <c r="V1467" s="104" t="str">
        <f t="shared" si="139"/>
        <v/>
      </c>
      <c r="W1467" s="105"/>
    </row>
    <row r="1468" spans="1:23" ht="15" customHeight="1">
      <c r="A1468" s="92">
        <v>23</v>
      </c>
      <c r="B1468" s="121" t="s">
        <v>429</v>
      </c>
      <c r="C1468" s="122"/>
      <c r="D1468" s="797">
        <v>5</v>
      </c>
      <c r="E1468" s="797"/>
      <c r="F1468" s="118"/>
      <c r="G1468" s="108">
        <v>0.25</v>
      </c>
      <c r="H1468" s="98">
        <v>16</v>
      </c>
      <c r="I1468" s="99">
        <v>1</v>
      </c>
      <c r="J1468" s="101">
        <f>ROUND(4.545/G1468+1,0)</f>
        <v>19</v>
      </c>
      <c r="K1468" s="109">
        <f>D1468</f>
        <v>5</v>
      </c>
      <c r="L1468" s="110" t="str">
        <f>IF(O1468&lt;12,"0",0.049*H1468)</f>
        <v>0</v>
      </c>
      <c r="M1468" s="111">
        <v>0</v>
      </c>
      <c r="N1468" s="99">
        <f>M1468*2*H1468/1000</f>
        <v>0</v>
      </c>
      <c r="O1468" s="112">
        <f>(D1468)-N1468</f>
        <v>5</v>
      </c>
      <c r="P1468" s="112">
        <f>(I1468*J1468*O1468)+L1468</f>
        <v>95</v>
      </c>
      <c r="Q1468" s="104" t="str">
        <f t="shared" si="134"/>
        <v/>
      </c>
      <c r="R1468" s="104" t="str">
        <f t="shared" si="135"/>
        <v/>
      </c>
      <c r="S1468" s="104" t="str">
        <f t="shared" si="136"/>
        <v/>
      </c>
      <c r="T1468" s="104">
        <f t="shared" si="137"/>
        <v>95</v>
      </c>
      <c r="U1468" s="104" t="str">
        <f t="shared" si="138"/>
        <v/>
      </c>
      <c r="V1468" s="104" t="str">
        <f t="shared" si="139"/>
        <v/>
      </c>
      <c r="W1468" s="105"/>
    </row>
    <row r="1469" spans="1:23">
      <c r="A1469" s="92"/>
      <c r="B1469" s="121" t="s">
        <v>351</v>
      </c>
      <c r="C1469" s="107"/>
      <c r="D1469" s="389"/>
      <c r="E1469" s="389"/>
      <c r="F1469" s="118"/>
      <c r="G1469" s="108"/>
      <c r="H1469" s="98"/>
      <c r="I1469" s="99"/>
      <c r="J1469" s="101"/>
      <c r="K1469" s="109"/>
      <c r="L1469" s="110"/>
      <c r="M1469" s="111"/>
      <c r="N1469" s="99"/>
      <c r="O1469" s="112"/>
      <c r="P1469" s="112"/>
      <c r="Q1469" s="104" t="str">
        <f t="shared" si="134"/>
        <v/>
      </c>
      <c r="R1469" s="104" t="str">
        <f t="shared" si="135"/>
        <v/>
      </c>
      <c r="S1469" s="104" t="str">
        <f t="shared" si="136"/>
        <v/>
      </c>
      <c r="T1469" s="104" t="str">
        <f t="shared" si="137"/>
        <v/>
      </c>
      <c r="U1469" s="104" t="str">
        <f t="shared" si="138"/>
        <v/>
      </c>
      <c r="V1469" s="104" t="str">
        <f t="shared" si="139"/>
        <v/>
      </c>
      <c r="W1469" s="105"/>
    </row>
    <row r="1470" spans="1:23">
      <c r="A1470" s="92"/>
      <c r="B1470" s="123"/>
      <c r="C1470" s="107"/>
      <c r="D1470" s="389"/>
      <c r="E1470" s="389"/>
      <c r="F1470" s="118"/>
      <c r="G1470" s="108"/>
      <c r="H1470" s="98"/>
      <c r="I1470" s="99"/>
      <c r="J1470" s="101"/>
      <c r="K1470" s="109"/>
      <c r="L1470" s="110"/>
      <c r="M1470" s="111"/>
      <c r="N1470" s="99"/>
      <c r="O1470" s="112"/>
      <c r="P1470" s="112"/>
      <c r="Q1470" s="104" t="str">
        <f t="shared" si="134"/>
        <v/>
      </c>
      <c r="R1470" s="104" t="str">
        <f t="shared" si="135"/>
        <v/>
      </c>
      <c r="S1470" s="104" t="str">
        <f t="shared" si="136"/>
        <v/>
      </c>
      <c r="T1470" s="104" t="str">
        <f t="shared" si="137"/>
        <v/>
      </c>
      <c r="U1470" s="104" t="str">
        <f t="shared" si="138"/>
        <v/>
      </c>
      <c r="V1470" s="104" t="str">
        <f t="shared" si="139"/>
        <v/>
      </c>
      <c r="W1470" s="105"/>
    </row>
    <row r="1471" spans="1:23" ht="15" customHeight="1">
      <c r="A1471" s="92">
        <v>24</v>
      </c>
      <c r="B1471" s="121" t="s">
        <v>428</v>
      </c>
      <c r="C1471" s="122"/>
      <c r="D1471" s="797">
        <v>5.24</v>
      </c>
      <c r="E1471" s="797"/>
      <c r="F1471" s="118"/>
      <c r="G1471" s="108">
        <v>0.25</v>
      </c>
      <c r="H1471" s="98">
        <v>16</v>
      </c>
      <c r="I1471" s="99">
        <v>1</v>
      </c>
      <c r="J1471" s="101">
        <f>ROUND(5.03/G1471+1,0)</f>
        <v>21</v>
      </c>
      <c r="K1471" s="109">
        <f>D1471</f>
        <v>5.24</v>
      </c>
      <c r="L1471" s="110" t="str">
        <f>IF(O1471&lt;12,"0",0.049*H1471)</f>
        <v>0</v>
      </c>
      <c r="M1471" s="111">
        <v>0</v>
      </c>
      <c r="N1471" s="99">
        <f>M1471*2*H1471/1000</f>
        <v>0</v>
      </c>
      <c r="O1471" s="112">
        <f>(D1471)-N1471</f>
        <v>5.24</v>
      </c>
      <c r="P1471" s="112">
        <f>(I1471*J1471*O1471)+L1471</f>
        <v>110.04</v>
      </c>
      <c r="Q1471" s="104" t="str">
        <f t="shared" ref="Q1471:Q1534" si="140">IF($H1471=8,$P1471,"")</f>
        <v/>
      </c>
      <c r="R1471" s="104" t="str">
        <f t="shared" ref="R1471:R1534" si="141">IF($H1471=10,$P1471,"")</f>
        <v/>
      </c>
      <c r="S1471" s="104" t="str">
        <f t="shared" ref="S1471:S1534" si="142">IF($H1471=12,$P1471,"")</f>
        <v/>
      </c>
      <c r="T1471" s="104">
        <f t="shared" ref="T1471:T1534" si="143">IF($H1471=16,$P1471,"")</f>
        <v>110.04</v>
      </c>
      <c r="U1471" s="104" t="str">
        <f t="shared" ref="U1471:U1534" si="144">IF($H1471=20,$P1471,"")</f>
        <v/>
      </c>
      <c r="V1471" s="104" t="str">
        <f t="shared" ref="V1471:V1534" si="145">IF($H1471=25,$P1471,"")</f>
        <v/>
      </c>
      <c r="W1471" s="105"/>
    </row>
    <row r="1472" spans="1:23">
      <c r="A1472" s="92"/>
      <c r="B1472" s="121" t="s">
        <v>352</v>
      </c>
      <c r="C1472" s="107"/>
      <c r="D1472" s="389"/>
      <c r="E1472" s="389"/>
      <c r="F1472" s="118"/>
      <c r="G1472" s="108"/>
      <c r="H1472" s="98"/>
      <c r="I1472" s="99"/>
      <c r="J1472" s="101"/>
      <c r="K1472" s="109"/>
      <c r="L1472" s="110"/>
      <c r="M1472" s="111"/>
      <c r="N1472" s="99"/>
      <c r="O1472" s="112"/>
      <c r="P1472" s="112"/>
      <c r="Q1472" s="104" t="str">
        <f t="shared" si="140"/>
        <v/>
      </c>
      <c r="R1472" s="104" t="str">
        <f t="shared" si="141"/>
        <v/>
      </c>
      <c r="S1472" s="104" t="str">
        <f t="shared" si="142"/>
        <v/>
      </c>
      <c r="T1472" s="104" t="str">
        <f t="shared" si="143"/>
        <v/>
      </c>
      <c r="U1472" s="104" t="str">
        <f t="shared" si="144"/>
        <v/>
      </c>
      <c r="V1472" s="104" t="str">
        <f t="shared" si="145"/>
        <v/>
      </c>
      <c r="W1472" s="105"/>
    </row>
    <row r="1473" spans="1:23">
      <c r="A1473" s="92"/>
      <c r="B1473" s="123"/>
      <c r="C1473" s="107"/>
      <c r="D1473" s="389"/>
      <c r="E1473" s="389"/>
      <c r="F1473" s="118"/>
      <c r="G1473" s="108"/>
      <c r="H1473" s="98"/>
      <c r="I1473" s="99"/>
      <c r="J1473" s="101"/>
      <c r="K1473" s="109"/>
      <c r="L1473" s="110"/>
      <c r="M1473" s="111"/>
      <c r="N1473" s="99"/>
      <c r="O1473" s="112"/>
      <c r="P1473" s="112"/>
      <c r="Q1473" s="104" t="str">
        <f t="shared" si="140"/>
        <v/>
      </c>
      <c r="R1473" s="104" t="str">
        <f t="shared" si="141"/>
        <v/>
      </c>
      <c r="S1473" s="104" t="str">
        <f t="shared" si="142"/>
        <v/>
      </c>
      <c r="T1473" s="104" t="str">
        <f t="shared" si="143"/>
        <v/>
      </c>
      <c r="U1473" s="104" t="str">
        <f t="shared" si="144"/>
        <v/>
      </c>
      <c r="V1473" s="104" t="str">
        <f t="shared" si="145"/>
        <v/>
      </c>
      <c r="W1473" s="105"/>
    </row>
    <row r="1474" spans="1:23" ht="15" customHeight="1">
      <c r="A1474" s="92">
        <v>25</v>
      </c>
      <c r="B1474" s="121" t="s">
        <v>429</v>
      </c>
      <c r="C1474" s="122"/>
      <c r="D1474" s="797">
        <v>2.54</v>
      </c>
      <c r="E1474" s="797"/>
      <c r="F1474" s="118"/>
      <c r="G1474" s="108">
        <v>0.25</v>
      </c>
      <c r="H1474" s="98">
        <v>12</v>
      </c>
      <c r="I1474" s="99">
        <v>1</v>
      </c>
      <c r="J1474" s="101">
        <f>ROUND(4.305/G1474+1,0)</f>
        <v>18</v>
      </c>
      <c r="K1474" s="109">
        <f>D1474</f>
        <v>2.54</v>
      </c>
      <c r="L1474" s="110" t="str">
        <f>IF(O1474&lt;12,"0",0.049*H1474)</f>
        <v>0</v>
      </c>
      <c r="M1474" s="111">
        <v>0</v>
      </c>
      <c r="N1474" s="99">
        <f>M1474*2*H1474/1000</f>
        <v>0</v>
      </c>
      <c r="O1474" s="112">
        <f>(D1474)-N1474</f>
        <v>2.54</v>
      </c>
      <c r="P1474" s="112">
        <f>(I1474*J1474*O1474)+L1474</f>
        <v>45.72</v>
      </c>
      <c r="Q1474" s="104" t="str">
        <f t="shared" si="140"/>
        <v/>
      </c>
      <c r="R1474" s="104" t="str">
        <f t="shared" si="141"/>
        <v/>
      </c>
      <c r="S1474" s="104">
        <f t="shared" si="142"/>
        <v>45.72</v>
      </c>
      <c r="T1474" s="104" t="str">
        <f t="shared" si="143"/>
        <v/>
      </c>
      <c r="U1474" s="104" t="str">
        <f t="shared" si="144"/>
        <v/>
      </c>
      <c r="V1474" s="104" t="str">
        <f t="shared" si="145"/>
        <v/>
      </c>
      <c r="W1474" s="105"/>
    </row>
    <row r="1475" spans="1:23">
      <c r="A1475" s="92"/>
      <c r="B1475" s="121" t="s">
        <v>353</v>
      </c>
      <c r="C1475" s="107"/>
      <c r="D1475" s="389"/>
      <c r="E1475" s="389"/>
      <c r="F1475" s="118"/>
      <c r="G1475" s="108"/>
      <c r="H1475" s="98"/>
      <c r="I1475" s="99"/>
      <c r="J1475" s="101"/>
      <c r="K1475" s="109"/>
      <c r="L1475" s="110"/>
      <c r="M1475" s="111"/>
      <c r="N1475" s="99"/>
      <c r="O1475" s="112"/>
      <c r="P1475" s="112"/>
      <c r="Q1475" s="104" t="str">
        <f t="shared" si="140"/>
        <v/>
      </c>
      <c r="R1475" s="104" t="str">
        <f t="shared" si="141"/>
        <v/>
      </c>
      <c r="S1475" s="104" t="str">
        <f t="shared" si="142"/>
        <v/>
      </c>
      <c r="T1475" s="104" t="str">
        <f t="shared" si="143"/>
        <v/>
      </c>
      <c r="U1475" s="104" t="str">
        <f t="shared" si="144"/>
        <v/>
      </c>
      <c r="V1475" s="104" t="str">
        <f t="shared" si="145"/>
        <v/>
      </c>
      <c r="W1475" s="105"/>
    </row>
    <row r="1476" spans="1:23">
      <c r="A1476" s="92"/>
      <c r="B1476" s="123"/>
      <c r="C1476" s="107"/>
      <c r="D1476" s="389"/>
      <c r="E1476" s="389"/>
      <c r="F1476" s="118"/>
      <c r="G1476" s="108"/>
      <c r="H1476" s="98"/>
      <c r="I1476" s="99"/>
      <c r="J1476" s="101"/>
      <c r="K1476" s="109"/>
      <c r="L1476" s="110"/>
      <c r="M1476" s="111"/>
      <c r="N1476" s="99"/>
      <c r="O1476" s="112"/>
      <c r="P1476" s="112"/>
      <c r="Q1476" s="104" t="str">
        <f t="shared" si="140"/>
        <v/>
      </c>
      <c r="R1476" s="104" t="str">
        <f t="shared" si="141"/>
        <v/>
      </c>
      <c r="S1476" s="104" t="str">
        <f t="shared" si="142"/>
        <v/>
      </c>
      <c r="T1476" s="104" t="str">
        <f t="shared" si="143"/>
        <v/>
      </c>
      <c r="U1476" s="104" t="str">
        <f t="shared" si="144"/>
        <v/>
      </c>
      <c r="V1476" s="104" t="str">
        <f t="shared" si="145"/>
        <v/>
      </c>
      <c r="W1476" s="105"/>
    </row>
    <row r="1477" spans="1:23" ht="15" customHeight="1">
      <c r="A1477" s="92">
        <v>26</v>
      </c>
      <c r="B1477" s="121" t="s">
        <v>429</v>
      </c>
      <c r="C1477" s="122"/>
      <c r="D1477" s="797">
        <v>4.375</v>
      </c>
      <c r="E1477" s="797"/>
      <c r="F1477" s="118"/>
      <c r="G1477" s="108">
        <v>0.25</v>
      </c>
      <c r="H1477" s="98">
        <v>10</v>
      </c>
      <c r="I1477" s="99">
        <v>1</v>
      </c>
      <c r="J1477" s="101">
        <f>ROUND(2.83/G1477+1,0)</f>
        <v>12</v>
      </c>
      <c r="K1477" s="109">
        <f>D1477</f>
        <v>4.375</v>
      </c>
      <c r="L1477" s="110" t="str">
        <f>IF(O1477&lt;12,"0",0.049*H1477)</f>
        <v>0</v>
      </c>
      <c r="M1477" s="111">
        <v>0</v>
      </c>
      <c r="N1477" s="99">
        <f>M1477*2*H1477/1000</f>
        <v>0</v>
      </c>
      <c r="O1477" s="112">
        <f>(D1477)-N1477</f>
        <v>4.375</v>
      </c>
      <c r="P1477" s="112">
        <f>(I1477*J1477*O1477)+L1477</f>
        <v>52.5</v>
      </c>
      <c r="Q1477" s="104" t="str">
        <f t="shared" si="140"/>
        <v/>
      </c>
      <c r="R1477" s="104">
        <f t="shared" si="141"/>
        <v>52.5</v>
      </c>
      <c r="S1477" s="104" t="str">
        <f t="shared" si="142"/>
        <v/>
      </c>
      <c r="T1477" s="104" t="str">
        <f t="shared" si="143"/>
        <v/>
      </c>
      <c r="U1477" s="104" t="str">
        <f t="shared" si="144"/>
        <v/>
      </c>
      <c r="V1477" s="104" t="str">
        <f t="shared" si="145"/>
        <v/>
      </c>
      <c r="W1477" s="105"/>
    </row>
    <row r="1478" spans="1:23">
      <c r="A1478" s="92"/>
      <c r="B1478" s="121" t="s">
        <v>354</v>
      </c>
      <c r="C1478" s="107"/>
      <c r="D1478" s="389"/>
      <c r="E1478" s="389"/>
      <c r="F1478" s="118"/>
      <c r="G1478" s="108"/>
      <c r="H1478" s="98"/>
      <c r="I1478" s="99"/>
      <c r="J1478" s="101"/>
      <c r="K1478" s="109"/>
      <c r="L1478" s="110"/>
      <c r="M1478" s="111"/>
      <c r="N1478" s="99"/>
      <c r="O1478" s="112"/>
      <c r="P1478" s="112"/>
      <c r="Q1478" s="104" t="str">
        <f t="shared" si="140"/>
        <v/>
      </c>
      <c r="R1478" s="104" t="str">
        <f t="shared" si="141"/>
        <v/>
      </c>
      <c r="S1478" s="104" t="str">
        <f t="shared" si="142"/>
        <v/>
      </c>
      <c r="T1478" s="104" t="str">
        <f t="shared" si="143"/>
        <v/>
      </c>
      <c r="U1478" s="104" t="str">
        <f t="shared" si="144"/>
        <v/>
      </c>
      <c r="V1478" s="104" t="str">
        <f t="shared" si="145"/>
        <v/>
      </c>
      <c r="W1478" s="105"/>
    </row>
    <row r="1479" spans="1:23">
      <c r="A1479" s="92"/>
      <c r="B1479" s="123"/>
      <c r="C1479" s="107"/>
      <c r="D1479" s="389"/>
      <c r="E1479" s="389"/>
      <c r="F1479" s="118"/>
      <c r="G1479" s="108"/>
      <c r="H1479" s="98"/>
      <c r="I1479" s="99"/>
      <c r="J1479" s="101"/>
      <c r="K1479" s="109"/>
      <c r="L1479" s="110"/>
      <c r="M1479" s="111"/>
      <c r="N1479" s="99"/>
      <c r="O1479" s="112"/>
      <c r="P1479" s="112"/>
      <c r="Q1479" s="104" t="str">
        <f t="shared" si="140"/>
        <v/>
      </c>
      <c r="R1479" s="104" t="str">
        <f t="shared" si="141"/>
        <v/>
      </c>
      <c r="S1479" s="104" t="str">
        <f t="shared" si="142"/>
        <v/>
      </c>
      <c r="T1479" s="104" t="str">
        <f t="shared" si="143"/>
        <v/>
      </c>
      <c r="U1479" s="104" t="str">
        <f t="shared" si="144"/>
        <v/>
      </c>
      <c r="V1479" s="104" t="str">
        <f t="shared" si="145"/>
        <v/>
      </c>
      <c r="W1479" s="105"/>
    </row>
    <row r="1480" spans="1:23" ht="15" customHeight="1">
      <c r="A1480" s="92">
        <v>27</v>
      </c>
      <c r="B1480" s="121" t="s">
        <v>429</v>
      </c>
      <c r="C1480" s="122"/>
      <c r="D1480" s="797">
        <v>3.64</v>
      </c>
      <c r="E1480" s="797"/>
      <c r="F1480" s="118"/>
      <c r="G1480" s="108">
        <v>0.25</v>
      </c>
      <c r="H1480" s="98">
        <v>10</v>
      </c>
      <c r="I1480" s="99">
        <v>1</v>
      </c>
      <c r="J1480" s="101">
        <f>ROUND(15.8/G1480+1,0)</f>
        <v>64</v>
      </c>
      <c r="K1480" s="109">
        <f>D1480</f>
        <v>3.64</v>
      </c>
      <c r="L1480" s="110" t="str">
        <f>IF(O1480&lt;12,"0",0.049*H1480)</f>
        <v>0</v>
      </c>
      <c r="M1480" s="111">
        <v>0</v>
      </c>
      <c r="N1480" s="99">
        <f>M1480*2*H1480/1000</f>
        <v>0</v>
      </c>
      <c r="O1480" s="112">
        <f>(D1480)-N1480</f>
        <v>3.64</v>
      </c>
      <c r="P1480" s="112">
        <f>(I1480*J1480*O1480)+L1480</f>
        <v>232.96</v>
      </c>
      <c r="Q1480" s="104" t="str">
        <f t="shared" si="140"/>
        <v/>
      </c>
      <c r="R1480" s="104">
        <f t="shared" si="141"/>
        <v>232.96</v>
      </c>
      <c r="S1480" s="104" t="str">
        <f t="shared" si="142"/>
        <v/>
      </c>
      <c r="T1480" s="104" t="str">
        <f t="shared" si="143"/>
        <v/>
      </c>
      <c r="U1480" s="104" t="str">
        <f t="shared" si="144"/>
        <v/>
      </c>
      <c r="V1480" s="104" t="str">
        <f t="shared" si="145"/>
        <v/>
      </c>
      <c r="W1480" s="105"/>
    </row>
    <row r="1481" spans="1:23">
      <c r="A1481" s="92"/>
      <c r="B1481" s="121" t="s">
        <v>355</v>
      </c>
      <c r="C1481" s="107"/>
      <c r="D1481" s="389"/>
      <c r="E1481" s="389"/>
      <c r="F1481" s="118"/>
      <c r="G1481" s="108"/>
      <c r="H1481" s="98"/>
      <c r="I1481" s="99"/>
      <c r="J1481" s="101"/>
      <c r="K1481" s="109"/>
      <c r="L1481" s="110"/>
      <c r="M1481" s="111"/>
      <c r="N1481" s="99"/>
      <c r="O1481" s="112"/>
      <c r="P1481" s="112"/>
      <c r="Q1481" s="104" t="str">
        <f t="shared" si="140"/>
        <v/>
      </c>
      <c r="R1481" s="104" t="str">
        <f t="shared" si="141"/>
        <v/>
      </c>
      <c r="S1481" s="104" t="str">
        <f t="shared" si="142"/>
        <v/>
      </c>
      <c r="T1481" s="104" t="str">
        <f t="shared" si="143"/>
        <v/>
      </c>
      <c r="U1481" s="104" t="str">
        <f t="shared" si="144"/>
        <v/>
      </c>
      <c r="V1481" s="104" t="str">
        <f t="shared" si="145"/>
        <v/>
      </c>
      <c r="W1481" s="105"/>
    </row>
    <row r="1482" spans="1:23">
      <c r="A1482" s="92"/>
      <c r="B1482" s="123"/>
      <c r="C1482" s="107"/>
      <c r="D1482" s="389"/>
      <c r="E1482" s="389"/>
      <c r="F1482" s="118"/>
      <c r="G1482" s="108"/>
      <c r="H1482" s="98"/>
      <c r="I1482" s="99"/>
      <c r="J1482" s="101"/>
      <c r="K1482" s="109"/>
      <c r="L1482" s="110"/>
      <c r="M1482" s="111"/>
      <c r="N1482" s="99"/>
      <c r="O1482" s="112"/>
      <c r="P1482" s="112"/>
      <c r="Q1482" s="104" t="str">
        <f t="shared" si="140"/>
        <v/>
      </c>
      <c r="R1482" s="104" t="str">
        <f t="shared" si="141"/>
        <v/>
      </c>
      <c r="S1482" s="104" t="str">
        <f t="shared" si="142"/>
        <v/>
      </c>
      <c r="T1482" s="104" t="str">
        <f t="shared" si="143"/>
        <v/>
      </c>
      <c r="U1482" s="104" t="str">
        <f t="shared" si="144"/>
        <v/>
      </c>
      <c r="V1482" s="104" t="str">
        <f t="shared" si="145"/>
        <v/>
      </c>
      <c r="W1482" s="105"/>
    </row>
    <row r="1483" spans="1:23" ht="15" customHeight="1">
      <c r="A1483" s="92">
        <v>28</v>
      </c>
      <c r="B1483" s="121" t="s">
        <v>429</v>
      </c>
      <c r="C1483" s="122"/>
      <c r="D1483" s="797">
        <v>2.4500000000000002</v>
      </c>
      <c r="E1483" s="797"/>
      <c r="F1483" s="118"/>
      <c r="G1483" s="108">
        <v>0.25</v>
      </c>
      <c r="H1483" s="98">
        <v>10</v>
      </c>
      <c r="I1483" s="99">
        <v>1</v>
      </c>
      <c r="J1483" s="101">
        <f>ROUND(2.33/G1483+1,0)</f>
        <v>10</v>
      </c>
      <c r="K1483" s="109">
        <f>D1483</f>
        <v>2.4500000000000002</v>
      </c>
      <c r="L1483" s="110" t="str">
        <f>IF(O1483&lt;12,"0",0.049*H1483)</f>
        <v>0</v>
      </c>
      <c r="M1483" s="111">
        <v>0</v>
      </c>
      <c r="N1483" s="99">
        <f>M1483*2*H1483/1000</f>
        <v>0</v>
      </c>
      <c r="O1483" s="112">
        <f>(D1483)-N1483</f>
        <v>2.4500000000000002</v>
      </c>
      <c r="P1483" s="112">
        <f>(I1483*J1483*O1483)+L1483</f>
        <v>24.5</v>
      </c>
      <c r="Q1483" s="104" t="str">
        <f t="shared" si="140"/>
        <v/>
      </c>
      <c r="R1483" s="104">
        <f t="shared" si="141"/>
        <v>24.5</v>
      </c>
      <c r="S1483" s="104" t="str">
        <f t="shared" si="142"/>
        <v/>
      </c>
      <c r="T1483" s="104" t="str">
        <f t="shared" si="143"/>
        <v/>
      </c>
      <c r="U1483" s="104" t="str">
        <f t="shared" si="144"/>
        <v/>
      </c>
      <c r="V1483" s="104" t="str">
        <f t="shared" si="145"/>
        <v/>
      </c>
      <c r="W1483" s="105"/>
    </row>
    <row r="1484" spans="1:23">
      <c r="A1484" s="92"/>
      <c r="B1484" s="121" t="s">
        <v>356</v>
      </c>
      <c r="C1484" s="107"/>
      <c r="D1484" s="389"/>
      <c r="E1484" s="389"/>
      <c r="F1484" s="118"/>
      <c r="G1484" s="108"/>
      <c r="H1484" s="98"/>
      <c r="I1484" s="99"/>
      <c r="J1484" s="101"/>
      <c r="K1484" s="109"/>
      <c r="L1484" s="110"/>
      <c r="M1484" s="111"/>
      <c r="N1484" s="99"/>
      <c r="O1484" s="112"/>
      <c r="P1484" s="112"/>
      <c r="Q1484" s="104" t="str">
        <f t="shared" si="140"/>
        <v/>
      </c>
      <c r="R1484" s="104" t="str">
        <f t="shared" si="141"/>
        <v/>
      </c>
      <c r="S1484" s="104" t="str">
        <f t="shared" si="142"/>
        <v/>
      </c>
      <c r="T1484" s="104" t="str">
        <f t="shared" si="143"/>
        <v/>
      </c>
      <c r="U1484" s="104" t="str">
        <f t="shared" si="144"/>
        <v/>
      </c>
      <c r="V1484" s="104" t="str">
        <f t="shared" si="145"/>
        <v/>
      </c>
      <c r="W1484" s="105"/>
    </row>
    <row r="1485" spans="1:23">
      <c r="A1485" s="92"/>
      <c r="B1485" s="123"/>
      <c r="C1485" s="107"/>
      <c r="D1485" s="389"/>
      <c r="E1485" s="389"/>
      <c r="F1485" s="118"/>
      <c r="G1485" s="108"/>
      <c r="H1485" s="98"/>
      <c r="I1485" s="99"/>
      <c r="J1485" s="101"/>
      <c r="K1485" s="109"/>
      <c r="L1485" s="110"/>
      <c r="M1485" s="111"/>
      <c r="N1485" s="99"/>
      <c r="O1485" s="112"/>
      <c r="P1485" s="112"/>
      <c r="Q1485" s="104" t="str">
        <f t="shared" si="140"/>
        <v/>
      </c>
      <c r="R1485" s="104" t="str">
        <f t="shared" si="141"/>
        <v/>
      </c>
      <c r="S1485" s="104" t="str">
        <f t="shared" si="142"/>
        <v/>
      </c>
      <c r="T1485" s="104" t="str">
        <f t="shared" si="143"/>
        <v/>
      </c>
      <c r="U1485" s="104" t="str">
        <f t="shared" si="144"/>
        <v/>
      </c>
      <c r="V1485" s="104" t="str">
        <f t="shared" si="145"/>
        <v/>
      </c>
      <c r="W1485" s="105"/>
    </row>
    <row r="1486" spans="1:23" ht="15" customHeight="1">
      <c r="A1486" s="92">
        <v>29</v>
      </c>
      <c r="B1486" s="121" t="s">
        <v>429</v>
      </c>
      <c r="C1486" s="122"/>
      <c r="D1486" s="797">
        <v>3.8</v>
      </c>
      <c r="E1486" s="797"/>
      <c r="F1486" s="118"/>
      <c r="G1486" s="108">
        <v>0.25</v>
      </c>
      <c r="H1486" s="98">
        <v>10</v>
      </c>
      <c r="I1486" s="99">
        <v>1</v>
      </c>
      <c r="J1486" s="101">
        <f>ROUND(4.09/G1486+1,0)</f>
        <v>17</v>
      </c>
      <c r="K1486" s="109">
        <f>D1486</f>
        <v>3.8</v>
      </c>
      <c r="L1486" s="110" t="str">
        <f>IF(O1486&lt;12,"0",0.049*H1486)</f>
        <v>0</v>
      </c>
      <c r="M1486" s="111">
        <v>0</v>
      </c>
      <c r="N1486" s="99">
        <f>M1486*2*H1486/1000</f>
        <v>0</v>
      </c>
      <c r="O1486" s="112">
        <f>(D1486)-N1486</f>
        <v>3.8</v>
      </c>
      <c r="P1486" s="112">
        <f>(I1486*J1486*O1486)+L1486</f>
        <v>64.599999999999994</v>
      </c>
      <c r="Q1486" s="104" t="str">
        <f t="shared" si="140"/>
        <v/>
      </c>
      <c r="R1486" s="104">
        <f t="shared" si="141"/>
        <v>64.599999999999994</v>
      </c>
      <c r="S1486" s="104" t="str">
        <f t="shared" si="142"/>
        <v/>
      </c>
      <c r="T1486" s="104" t="str">
        <f t="shared" si="143"/>
        <v/>
      </c>
      <c r="U1486" s="104" t="str">
        <f t="shared" si="144"/>
        <v/>
      </c>
      <c r="V1486" s="104" t="str">
        <f t="shared" si="145"/>
        <v/>
      </c>
      <c r="W1486" s="105"/>
    </row>
    <row r="1487" spans="1:23">
      <c r="A1487" s="92"/>
      <c r="B1487" s="121" t="s">
        <v>357</v>
      </c>
      <c r="C1487" s="107"/>
      <c r="D1487" s="389"/>
      <c r="E1487" s="389"/>
      <c r="F1487" s="118"/>
      <c r="G1487" s="108"/>
      <c r="H1487" s="98"/>
      <c r="I1487" s="99"/>
      <c r="J1487" s="101"/>
      <c r="K1487" s="109"/>
      <c r="L1487" s="110"/>
      <c r="M1487" s="111"/>
      <c r="N1487" s="99"/>
      <c r="O1487" s="112"/>
      <c r="P1487" s="112"/>
      <c r="Q1487" s="104" t="str">
        <f t="shared" si="140"/>
        <v/>
      </c>
      <c r="R1487" s="104" t="str">
        <f t="shared" si="141"/>
        <v/>
      </c>
      <c r="S1487" s="104" t="str">
        <f t="shared" si="142"/>
        <v/>
      </c>
      <c r="T1487" s="104" t="str">
        <f t="shared" si="143"/>
        <v/>
      </c>
      <c r="U1487" s="104" t="str">
        <f t="shared" si="144"/>
        <v/>
      </c>
      <c r="V1487" s="104" t="str">
        <f t="shared" si="145"/>
        <v/>
      </c>
      <c r="W1487" s="105"/>
    </row>
    <row r="1488" spans="1:23">
      <c r="A1488" s="92"/>
      <c r="B1488" s="123"/>
      <c r="C1488" s="107"/>
      <c r="D1488" s="389"/>
      <c r="E1488" s="389"/>
      <c r="F1488" s="118"/>
      <c r="G1488" s="108"/>
      <c r="H1488" s="98"/>
      <c r="I1488" s="99"/>
      <c r="J1488" s="101"/>
      <c r="K1488" s="109"/>
      <c r="L1488" s="110"/>
      <c r="M1488" s="111"/>
      <c r="N1488" s="99"/>
      <c r="O1488" s="112"/>
      <c r="P1488" s="112"/>
      <c r="Q1488" s="104" t="str">
        <f t="shared" si="140"/>
        <v/>
      </c>
      <c r="R1488" s="104" t="str">
        <f t="shared" si="141"/>
        <v/>
      </c>
      <c r="S1488" s="104" t="str">
        <f t="shared" si="142"/>
        <v/>
      </c>
      <c r="T1488" s="104" t="str">
        <f t="shared" si="143"/>
        <v/>
      </c>
      <c r="U1488" s="104" t="str">
        <f t="shared" si="144"/>
        <v/>
      </c>
      <c r="V1488" s="104" t="str">
        <f t="shared" si="145"/>
        <v/>
      </c>
      <c r="W1488" s="105"/>
    </row>
    <row r="1489" spans="1:23" ht="15" customHeight="1">
      <c r="A1489" s="92">
        <v>30</v>
      </c>
      <c r="B1489" s="121" t="s">
        <v>428</v>
      </c>
      <c r="C1489" s="122"/>
      <c r="D1489" s="797">
        <v>6.4</v>
      </c>
      <c r="E1489" s="797"/>
      <c r="F1489" s="118"/>
      <c r="G1489" s="108">
        <v>0.25</v>
      </c>
      <c r="H1489" s="98">
        <v>10</v>
      </c>
      <c r="I1489" s="99">
        <v>1</v>
      </c>
      <c r="J1489" s="101">
        <f>ROUND(5.53/G1489+1,0)</f>
        <v>23</v>
      </c>
      <c r="K1489" s="109">
        <f>D1489</f>
        <v>6.4</v>
      </c>
      <c r="L1489" s="110" t="str">
        <f>IF(O1489&lt;12,"0",0.049*H1489)</f>
        <v>0</v>
      </c>
      <c r="M1489" s="111">
        <v>0</v>
      </c>
      <c r="N1489" s="99">
        <f>M1489*2*H1489/1000</f>
        <v>0</v>
      </c>
      <c r="O1489" s="112">
        <f>(D1489)-N1489</f>
        <v>6.4</v>
      </c>
      <c r="P1489" s="112">
        <f>(I1489*J1489*O1489)+L1489</f>
        <v>147.20000000000002</v>
      </c>
      <c r="Q1489" s="104" t="str">
        <f t="shared" si="140"/>
        <v/>
      </c>
      <c r="R1489" s="104">
        <f t="shared" si="141"/>
        <v>147.20000000000002</v>
      </c>
      <c r="S1489" s="104" t="str">
        <f t="shared" si="142"/>
        <v/>
      </c>
      <c r="T1489" s="104" t="str">
        <f t="shared" si="143"/>
        <v/>
      </c>
      <c r="U1489" s="104" t="str">
        <f t="shared" si="144"/>
        <v/>
      </c>
      <c r="V1489" s="104" t="str">
        <f t="shared" si="145"/>
        <v/>
      </c>
      <c r="W1489" s="105"/>
    </row>
    <row r="1490" spans="1:23">
      <c r="A1490" s="92"/>
      <c r="B1490" s="121" t="s">
        <v>358</v>
      </c>
      <c r="C1490" s="107"/>
      <c r="D1490" s="389"/>
      <c r="E1490" s="389"/>
      <c r="F1490" s="118"/>
      <c r="G1490" s="108"/>
      <c r="H1490" s="98"/>
      <c r="I1490" s="99"/>
      <c r="J1490" s="101"/>
      <c r="K1490" s="109"/>
      <c r="L1490" s="110"/>
      <c r="M1490" s="111"/>
      <c r="N1490" s="99"/>
      <c r="O1490" s="112"/>
      <c r="P1490" s="112"/>
      <c r="Q1490" s="104" t="str">
        <f t="shared" si="140"/>
        <v/>
      </c>
      <c r="R1490" s="104" t="str">
        <f t="shared" si="141"/>
        <v/>
      </c>
      <c r="S1490" s="104" t="str">
        <f t="shared" si="142"/>
        <v/>
      </c>
      <c r="T1490" s="104" t="str">
        <f t="shared" si="143"/>
        <v/>
      </c>
      <c r="U1490" s="104" t="str">
        <f t="shared" si="144"/>
        <v/>
      </c>
      <c r="V1490" s="104" t="str">
        <f t="shared" si="145"/>
        <v/>
      </c>
      <c r="W1490" s="105"/>
    </row>
    <row r="1491" spans="1:23">
      <c r="A1491" s="92"/>
      <c r="B1491" s="123"/>
      <c r="C1491" s="107"/>
      <c r="D1491" s="389"/>
      <c r="E1491" s="389"/>
      <c r="F1491" s="118"/>
      <c r="G1491" s="108"/>
      <c r="H1491" s="98"/>
      <c r="I1491" s="99"/>
      <c r="J1491" s="101"/>
      <c r="K1491" s="109"/>
      <c r="L1491" s="110"/>
      <c r="M1491" s="111"/>
      <c r="N1491" s="99"/>
      <c r="O1491" s="112"/>
      <c r="P1491" s="112"/>
      <c r="Q1491" s="104" t="str">
        <f t="shared" si="140"/>
        <v/>
      </c>
      <c r="R1491" s="104" t="str">
        <f t="shared" si="141"/>
        <v/>
      </c>
      <c r="S1491" s="104" t="str">
        <f t="shared" si="142"/>
        <v/>
      </c>
      <c r="T1491" s="104" t="str">
        <f t="shared" si="143"/>
        <v/>
      </c>
      <c r="U1491" s="104" t="str">
        <f t="shared" si="144"/>
        <v/>
      </c>
      <c r="V1491" s="104" t="str">
        <f t="shared" si="145"/>
        <v/>
      </c>
      <c r="W1491" s="105"/>
    </row>
    <row r="1492" spans="1:23" ht="15" customHeight="1">
      <c r="A1492" s="92">
        <v>31</v>
      </c>
      <c r="B1492" s="121" t="s">
        <v>429</v>
      </c>
      <c r="C1492" s="122"/>
      <c r="D1492" s="797">
        <v>5.53</v>
      </c>
      <c r="E1492" s="797"/>
      <c r="F1492" s="118"/>
      <c r="G1492" s="108">
        <v>0.25</v>
      </c>
      <c r="H1492" s="98">
        <v>16</v>
      </c>
      <c r="I1492" s="99">
        <v>1</v>
      </c>
      <c r="J1492" s="101">
        <f>ROUND(6.4/G1492+1,0)</f>
        <v>27</v>
      </c>
      <c r="K1492" s="109">
        <f>D1492</f>
        <v>5.53</v>
      </c>
      <c r="L1492" s="110" t="str">
        <f>IF(O1492&lt;12,"0",0.049*H1492)</f>
        <v>0</v>
      </c>
      <c r="M1492" s="111">
        <v>0</v>
      </c>
      <c r="N1492" s="99">
        <f>M1492*2*H1492/1000</f>
        <v>0</v>
      </c>
      <c r="O1492" s="112">
        <f>(D1492)-N1492</f>
        <v>5.53</v>
      </c>
      <c r="P1492" s="112">
        <f>(I1492*J1492*O1492)+L1492</f>
        <v>149.31</v>
      </c>
      <c r="Q1492" s="104" t="str">
        <f t="shared" si="140"/>
        <v/>
      </c>
      <c r="R1492" s="104" t="str">
        <f t="shared" si="141"/>
        <v/>
      </c>
      <c r="S1492" s="104" t="str">
        <f t="shared" si="142"/>
        <v/>
      </c>
      <c r="T1492" s="104">
        <f t="shared" si="143"/>
        <v>149.31</v>
      </c>
      <c r="U1492" s="104" t="str">
        <f t="shared" si="144"/>
        <v/>
      </c>
      <c r="V1492" s="104" t="str">
        <f t="shared" si="145"/>
        <v/>
      </c>
      <c r="W1492" s="105"/>
    </row>
    <row r="1493" spans="1:23">
      <c r="A1493" s="92"/>
      <c r="B1493" s="121" t="s">
        <v>358</v>
      </c>
      <c r="C1493" s="107"/>
      <c r="D1493" s="389"/>
      <c r="E1493" s="389"/>
      <c r="F1493" s="118"/>
      <c r="G1493" s="108"/>
      <c r="H1493" s="98"/>
      <c r="I1493" s="99"/>
      <c r="J1493" s="101"/>
      <c r="K1493" s="109"/>
      <c r="L1493" s="110"/>
      <c r="M1493" s="111"/>
      <c r="N1493" s="99"/>
      <c r="O1493" s="112"/>
      <c r="P1493" s="112"/>
      <c r="Q1493" s="104" t="str">
        <f t="shared" si="140"/>
        <v/>
      </c>
      <c r="R1493" s="104" t="str">
        <f t="shared" si="141"/>
        <v/>
      </c>
      <c r="S1493" s="104" t="str">
        <f t="shared" si="142"/>
        <v/>
      </c>
      <c r="T1493" s="104" t="str">
        <f t="shared" si="143"/>
        <v/>
      </c>
      <c r="U1493" s="104" t="str">
        <f t="shared" si="144"/>
        <v/>
      </c>
      <c r="V1493" s="104" t="str">
        <f t="shared" si="145"/>
        <v/>
      </c>
      <c r="W1493" s="105"/>
    </row>
    <row r="1494" spans="1:23">
      <c r="A1494" s="92"/>
      <c r="B1494" s="123"/>
      <c r="C1494" s="107"/>
      <c r="D1494" s="389"/>
      <c r="E1494" s="389"/>
      <c r="F1494" s="118"/>
      <c r="G1494" s="108"/>
      <c r="H1494" s="98"/>
      <c r="I1494" s="99"/>
      <c r="J1494" s="101"/>
      <c r="K1494" s="109"/>
      <c r="L1494" s="110"/>
      <c r="M1494" s="111"/>
      <c r="N1494" s="99"/>
      <c r="O1494" s="112"/>
      <c r="P1494" s="112"/>
      <c r="Q1494" s="104" t="str">
        <f t="shared" si="140"/>
        <v/>
      </c>
      <c r="R1494" s="104" t="str">
        <f t="shared" si="141"/>
        <v/>
      </c>
      <c r="S1494" s="104" t="str">
        <f t="shared" si="142"/>
        <v/>
      </c>
      <c r="T1494" s="104" t="str">
        <f t="shared" si="143"/>
        <v/>
      </c>
      <c r="U1494" s="104" t="str">
        <f t="shared" si="144"/>
        <v/>
      </c>
      <c r="V1494" s="104" t="str">
        <f t="shared" si="145"/>
        <v/>
      </c>
      <c r="W1494" s="105"/>
    </row>
    <row r="1495" spans="1:23" ht="15" customHeight="1">
      <c r="A1495" s="92">
        <v>32</v>
      </c>
      <c r="B1495" s="121" t="s">
        <v>428</v>
      </c>
      <c r="C1495" s="122"/>
      <c r="D1495" s="797">
        <v>3.8</v>
      </c>
      <c r="E1495" s="797"/>
      <c r="F1495" s="118"/>
      <c r="G1495" s="108">
        <v>0.25</v>
      </c>
      <c r="H1495" s="98">
        <v>12</v>
      </c>
      <c r="I1495" s="99">
        <v>1</v>
      </c>
      <c r="J1495" s="101">
        <f>ROUND(5.7/G1495+1,0)</f>
        <v>24</v>
      </c>
      <c r="K1495" s="109">
        <f>D1495</f>
        <v>3.8</v>
      </c>
      <c r="L1495" s="110" t="str">
        <f>IF(O1495&lt;12,"0",0.049*H1495)</f>
        <v>0</v>
      </c>
      <c r="M1495" s="111">
        <v>0</v>
      </c>
      <c r="N1495" s="99">
        <f>M1495*2*H1495/1000</f>
        <v>0</v>
      </c>
      <c r="O1495" s="112">
        <f>(D1495)-N1495</f>
        <v>3.8</v>
      </c>
      <c r="P1495" s="112">
        <f>(I1495*J1495*O1495)+L1495</f>
        <v>91.199999999999989</v>
      </c>
      <c r="Q1495" s="104" t="str">
        <f t="shared" si="140"/>
        <v/>
      </c>
      <c r="R1495" s="104" t="str">
        <f t="shared" si="141"/>
        <v/>
      </c>
      <c r="S1495" s="104">
        <f t="shared" si="142"/>
        <v>91.199999999999989</v>
      </c>
      <c r="T1495" s="104" t="str">
        <f t="shared" si="143"/>
        <v/>
      </c>
      <c r="U1495" s="104" t="str">
        <f t="shared" si="144"/>
        <v/>
      </c>
      <c r="V1495" s="104" t="str">
        <f t="shared" si="145"/>
        <v/>
      </c>
      <c r="W1495" s="105"/>
    </row>
    <row r="1496" spans="1:23">
      <c r="A1496" s="92"/>
      <c r="B1496" s="121" t="s">
        <v>359</v>
      </c>
      <c r="C1496" s="107"/>
      <c r="D1496" s="389"/>
      <c r="E1496" s="389"/>
      <c r="F1496" s="118"/>
      <c r="G1496" s="108"/>
      <c r="H1496" s="98"/>
      <c r="I1496" s="99"/>
      <c r="J1496" s="101"/>
      <c r="K1496" s="109"/>
      <c r="L1496" s="110"/>
      <c r="M1496" s="111"/>
      <c r="N1496" s="99"/>
      <c r="O1496" s="112"/>
      <c r="P1496" s="112"/>
      <c r="Q1496" s="104" t="str">
        <f t="shared" si="140"/>
        <v/>
      </c>
      <c r="R1496" s="104" t="str">
        <f t="shared" si="141"/>
        <v/>
      </c>
      <c r="S1496" s="104" t="str">
        <f t="shared" si="142"/>
        <v/>
      </c>
      <c r="T1496" s="104" t="str">
        <f t="shared" si="143"/>
        <v/>
      </c>
      <c r="U1496" s="104" t="str">
        <f t="shared" si="144"/>
        <v/>
      </c>
      <c r="V1496" s="104" t="str">
        <f t="shared" si="145"/>
        <v/>
      </c>
      <c r="W1496" s="105"/>
    </row>
    <row r="1497" spans="1:23">
      <c r="A1497" s="92"/>
      <c r="B1497" s="123"/>
      <c r="C1497" s="107"/>
      <c r="D1497" s="389"/>
      <c r="E1497" s="389"/>
      <c r="F1497" s="118"/>
      <c r="G1497" s="108"/>
      <c r="H1497" s="98"/>
      <c r="I1497" s="99"/>
      <c r="J1497" s="101"/>
      <c r="K1497" s="109"/>
      <c r="L1497" s="110"/>
      <c r="M1497" s="111"/>
      <c r="N1497" s="99"/>
      <c r="O1497" s="112"/>
      <c r="P1497" s="112"/>
      <c r="Q1497" s="104" t="str">
        <f t="shared" si="140"/>
        <v/>
      </c>
      <c r="R1497" s="104" t="str">
        <f t="shared" si="141"/>
        <v/>
      </c>
      <c r="S1497" s="104" t="str">
        <f t="shared" si="142"/>
        <v/>
      </c>
      <c r="T1497" s="104" t="str">
        <f t="shared" si="143"/>
        <v/>
      </c>
      <c r="U1497" s="104" t="str">
        <f t="shared" si="144"/>
        <v/>
      </c>
      <c r="V1497" s="104" t="str">
        <f t="shared" si="145"/>
        <v/>
      </c>
      <c r="W1497" s="105"/>
    </row>
    <row r="1498" spans="1:23" ht="15" customHeight="1">
      <c r="A1498" s="92">
        <v>33</v>
      </c>
      <c r="B1498" s="121" t="s">
        <v>429</v>
      </c>
      <c r="C1498" s="122"/>
      <c r="D1498" s="797">
        <v>5.7</v>
      </c>
      <c r="E1498" s="797"/>
      <c r="F1498" s="118"/>
      <c r="G1498" s="108">
        <v>0.25</v>
      </c>
      <c r="H1498" s="98">
        <v>20</v>
      </c>
      <c r="I1498" s="99">
        <v>1</v>
      </c>
      <c r="J1498" s="101">
        <f>ROUND(5.8/G1498+1,0)</f>
        <v>24</v>
      </c>
      <c r="K1498" s="109">
        <f>D1498</f>
        <v>5.7</v>
      </c>
      <c r="L1498" s="110" t="str">
        <f>IF(O1498&lt;12,"0",0.049*H1498)</f>
        <v>0</v>
      </c>
      <c r="M1498" s="111">
        <v>0</v>
      </c>
      <c r="N1498" s="99">
        <f>M1498*2*H1498/1000</f>
        <v>0</v>
      </c>
      <c r="O1498" s="112">
        <f>(D1498)-N1498</f>
        <v>5.7</v>
      </c>
      <c r="P1498" s="112">
        <f>(I1498*J1498*O1498)+L1498</f>
        <v>136.80000000000001</v>
      </c>
      <c r="Q1498" s="104" t="str">
        <f t="shared" si="140"/>
        <v/>
      </c>
      <c r="R1498" s="104" t="str">
        <f t="shared" si="141"/>
        <v/>
      </c>
      <c r="S1498" s="104" t="str">
        <f t="shared" si="142"/>
        <v/>
      </c>
      <c r="T1498" s="104" t="str">
        <f t="shared" si="143"/>
        <v/>
      </c>
      <c r="U1498" s="104">
        <f t="shared" si="144"/>
        <v>136.80000000000001</v>
      </c>
      <c r="V1498" s="104" t="str">
        <f t="shared" si="145"/>
        <v/>
      </c>
      <c r="W1498" s="105"/>
    </row>
    <row r="1499" spans="1:23">
      <c r="A1499" s="92"/>
      <c r="B1499" s="121" t="s">
        <v>359</v>
      </c>
      <c r="C1499" s="107"/>
      <c r="D1499" s="389"/>
      <c r="E1499" s="389"/>
      <c r="F1499" s="118"/>
      <c r="G1499" s="108"/>
      <c r="H1499" s="98"/>
      <c r="I1499" s="99"/>
      <c r="J1499" s="101"/>
      <c r="K1499" s="109"/>
      <c r="L1499" s="110"/>
      <c r="M1499" s="111"/>
      <c r="N1499" s="99"/>
      <c r="O1499" s="112"/>
      <c r="P1499" s="112"/>
      <c r="Q1499" s="104" t="str">
        <f t="shared" si="140"/>
        <v/>
      </c>
      <c r="R1499" s="104" t="str">
        <f t="shared" si="141"/>
        <v/>
      </c>
      <c r="S1499" s="104" t="str">
        <f t="shared" si="142"/>
        <v/>
      </c>
      <c r="T1499" s="104" t="str">
        <f t="shared" si="143"/>
        <v/>
      </c>
      <c r="U1499" s="104" t="str">
        <f t="shared" si="144"/>
        <v/>
      </c>
      <c r="V1499" s="104" t="str">
        <f t="shared" si="145"/>
        <v/>
      </c>
      <c r="W1499" s="105"/>
    </row>
    <row r="1500" spans="1:23">
      <c r="A1500" s="92"/>
      <c r="B1500" s="123"/>
      <c r="C1500" s="107"/>
      <c r="D1500" s="389"/>
      <c r="E1500" s="389"/>
      <c r="F1500" s="118"/>
      <c r="G1500" s="108"/>
      <c r="H1500" s="98"/>
      <c r="I1500" s="99"/>
      <c r="J1500" s="101"/>
      <c r="K1500" s="109"/>
      <c r="L1500" s="110"/>
      <c r="M1500" s="111"/>
      <c r="N1500" s="99"/>
      <c r="O1500" s="112"/>
      <c r="P1500" s="112"/>
      <c r="Q1500" s="104" t="str">
        <f t="shared" si="140"/>
        <v/>
      </c>
      <c r="R1500" s="104" t="str">
        <f t="shared" si="141"/>
        <v/>
      </c>
      <c r="S1500" s="104" t="str">
        <f t="shared" si="142"/>
        <v/>
      </c>
      <c r="T1500" s="104" t="str">
        <f t="shared" si="143"/>
        <v/>
      </c>
      <c r="U1500" s="104" t="str">
        <f t="shared" si="144"/>
        <v/>
      </c>
      <c r="V1500" s="104" t="str">
        <f t="shared" si="145"/>
        <v/>
      </c>
      <c r="W1500" s="105"/>
    </row>
    <row r="1501" spans="1:23" ht="15" customHeight="1">
      <c r="A1501" s="92">
        <v>34</v>
      </c>
      <c r="B1501" s="121" t="s">
        <v>429</v>
      </c>
      <c r="C1501" s="122"/>
      <c r="D1501" s="797">
        <v>5.7</v>
      </c>
      <c r="E1501" s="797"/>
      <c r="F1501" s="118"/>
      <c r="G1501" s="108">
        <v>0.25</v>
      </c>
      <c r="H1501" s="98">
        <v>16</v>
      </c>
      <c r="I1501" s="99">
        <v>1</v>
      </c>
      <c r="J1501" s="101">
        <f>ROUND(2.25/G1501+1,0)</f>
        <v>10</v>
      </c>
      <c r="K1501" s="109">
        <f>D1501</f>
        <v>5.7</v>
      </c>
      <c r="L1501" s="110" t="str">
        <f>IF(O1501&lt;12,"0",0.049*H1501)</f>
        <v>0</v>
      </c>
      <c r="M1501" s="111">
        <v>0</v>
      </c>
      <c r="N1501" s="99">
        <f>M1501*2*H1501/1000</f>
        <v>0</v>
      </c>
      <c r="O1501" s="112">
        <f>(D1501)-N1501</f>
        <v>5.7</v>
      </c>
      <c r="P1501" s="112">
        <f>(I1501*J1501*O1501)+L1501</f>
        <v>57</v>
      </c>
      <c r="Q1501" s="104" t="str">
        <f t="shared" si="140"/>
        <v/>
      </c>
      <c r="R1501" s="104" t="str">
        <f t="shared" si="141"/>
        <v/>
      </c>
      <c r="S1501" s="104" t="str">
        <f t="shared" si="142"/>
        <v/>
      </c>
      <c r="T1501" s="104">
        <f t="shared" si="143"/>
        <v>57</v>
      </c>
      <c r="U1501" s="104" t="str">
        <f t="shared" si="144"/>
        <v/>
      </c>
      <c r="V1501" s="104" t="str">
        <f t="shared" si="145"/>
        <v/>
      </c>
      <c r="W1501" s="105"/>
    </row>
    <row r="1502" spans="1:23">
      <c r="A1502" s="92"/>
      <c r="B1502" s="121" t="s">
        <v>359</v>
      </c>
      <c r="C1502" s="107"/>
      <c r="D1502" s="389"/>
      <c r="E1502" s="389"/>
      <c r="F1502" s="118"/>
      <c r="G1502" s="108"/>
      <c r="H1502" s="98"/>
      <c r="I1502" s="99"/>
      <c r="J1502" s="101"/>
      <c r="K1502" s="109"/>
      <c r="L1502" s="110"/>
      <c r="M1502" s="111"/>
      <c r="N1502" s="99"/>
      <c r="O1502" s="112"/>
      <c r="P1502" s="112"/>
      <c r="Q1502" s="104" t="str">
        <f t="shared" si="140"/>
        <v/>
      </c>
      <c r="R1502" s="104" t="str">
        <f t="shared" si="141"/>
        <v/>
      </c>
      <c r="S1502" s="104" t="str">
        <f t="shared" si="142"/>
        <v/>
      </c>
      <c r="T1502" s="104" t="str">
        <f t="shared" si="143"/>
        <v/>
      </c>
      <c r="U1502" s="104" t="str">
        <f t="shared" si="144"/>
        <v/>
      </c>
      <c r="V1502" s="104" t="str">
        <f t="shared" si="145"/>
        <v/>
      </c>
      <c r="W1502" s="105"/>
    </row>
    <row r="1503" spans="1:23">
      <c r="A1503" s="92"/>
      <c r="B1503" s="123"/>
      <c r="C1503" s="107"/>
      <c r="D1503" s="389"/>
      <c r="E1503" s="389"/>
      <c r="F1503" s="118"/>
      <c r="G1503" s="108"/>
      <c r="H1503" s="98"/>
      <c r="I1503" s="99"/>
      <c r="J1503" s="101"/>
      <c r="K1503" s="109"/>
      <c r="L1503" s="110"/>
      <c r="M1503" s="111"/>
      <c r="N1503" s="99"/>
      <c r="O1503" s="112"/>
      <c r="P1503" s="112"/>
      <c r="Q1503" s="104" t="str">
        <f t="shared" si="140"/>
        <v/>
      </c>
      <c r="R1503" s="104" t="str">
        <f t="shared" si="141"/>
        <v/>
      </c>
      <c r="S1503" s="104" t="str">
        <f t="shared" si="142"/>
        <v/>
      </c>
      <c r="T1503" s="104" t="str">
        <f t="shared" si="143"/>
        <v/>
      </c>
      <c r="U1503" s="104" t="str">
        <f t="shared" si="144"/>
        <v/>
      </c>
      <c r="V1503" s="104" t="str">
        <f t="shared" si="145"/>
        <v/>
      </c>
      <c r="W1503" s="105"/>
    </row>
    <row r="1504" spans="1:23" ht="15" customHeight="1">
      <c r="A1504" s="92">
        <v>35</v>
      </c>
      <c r="B1504" s="121" t="s">
        <v>428</v>
      </c>
      <c r="C1504" s="122"/>
      <c r="D1504" s="797">
        <v>5.7450000000000001</v>
      </c>
      <c r="E1504" s="797"/>
      <c r="F1504" s="118"/>
      <c r="G1504" s="108">
        <v>0.25</v>
      </c>
      <c r="H1504" s="98">
        <v>16</v>
      </c>
      <c r="I1504" s="99">
        <v>1</v>
      </c>
      <c r="J1504" s="101">
        <f>ROUND(3.46/G1504+1,0)</f>
        <v>15</v>
      </c>
      <c r="K1504" s="109">
        <f>D1504</f>
        <v>5.7450000000000001</v>
      </c>
      <c r="L1504" s="110" t="str">
        <f>IF(O1504&lt;12,"0",0.049*H1504)</f>
        <v>0</v>
      </c>
      <c r="M1504" s="111">
        <v>0</v>
      </c>
      <c r="N1504" s="99">
        <f>M1504*2*H1504/1000</f>
        <v>0</v>
      </c>
      <c r="O1504" s="112">
        <f>(D1504)-N1504</f>
        <v>5.7450000000000001</v>
      </c>
      <c r="P1504" s="112">
        <f>(I1504*J1504*O1504)+L1504</f>
        <v>86.174999999999997</v>
      </c>
      <c r="Q1504" s="104" t="str">
        <f t="shared" si="140"/>
        <v/>
      </c>
      <c r="R1504" s="104" t="str">
        <f t="shared" si="141"/>
        <v/>
      </c>
      <c r="S1504" s="104" t="str">
        <f t="shared" si="142"/>
        <v/>
      </c>
      <c r="T1504" s="104">
        <f t="shared" si="143"/>
        <v>86.174999999999997</v>
      </c>
      <c r="U1504" s="104" t="str">
        <f t="shared" si="144"/>
        <v/>
      </c>
      <c r="V1504" s="104" t="str">
        <f t="shared" si="145"/>
        <v/>
      </c>
      <c r="W1504" s="105"/>
    </row>
    <row r="1505" spans="1:23">
      <c r="A1505" s="92"/>
      <c r="B1505" s="121" t="s">
        <v>360</v>
      </c>
      <c r="C1505" s="107"/>
      <c r="D1505" s="389"/>
      <c r="E1505" s="389"/>
      <c r="F1505" s="118"/>
      <c r="G1505" s="108"/>
      <c r="H1505" s="98"/>
      <c r="I1505" s="99"/>
      <c r="J1505" s="101"/>
      <c r="K1505" s="109"/>
      <c r="L1505" s="110"/>
      <c r="M1505" s="111"/>
      <c r="N1505" s="99"/>
      <c r="O1505" s="112"/>
      <c r="P1505" s="112"/>
      <c r="Q1505" s="104" t="str">
        <f t="shared" si="140"/>
        <v/>
      </c>
      <c r="R1505" s="104" t="str">
        <f t="shared" si="141"/>
        <v/>
      </c>
      <c r="S1505" s="104" t="str">
        <f t="shared" si="142"/>
        <v/>
      </c>
      <c r="T1505" s="104" t="str">
        <f t="shared" si="143"/>
        <v/>
      </c>
      <c r="U1505" s="104" t="str">
        <f t="shared" si="144"/>
        <v/>
      </c>
      <c r="V1505" s="104" t="str">
        <f t="shared" si="145"/>
        <v/>
      </c>
      <c r="W1505" s="105"/>
    </row>
    <row r="1506" spans="1:23">
      <c r="A1506" s="92"/>
      <c r="B1506" s="123"/>
      <c r="C1506" s="107"/>
      <c r="D1506" s="389"/>
      <c r="E1506" s="389"/>
      <c r="F1506" s="118"/>
      <c r="G1506" s="108"/>
      <c r="H1506" s="98"/>
      <c r="I1506" s="99"/>
      <c r="J1506" s="101"/>
      <c r="K1506" s="109"/>
      <c r="L1506" s="110"/>
      <c r="M1506" s="111"/>
      <c r="N1506" s="99"/>
      <c r="O1506" s="112"/>
      <c r="P1506" s="112"/>
      <c r="Q1506" s="104" t="str">
        <f t="shared" si="140"/>
        <v/>
      </c>
      <c r="R1506" s="104" t="str">
        <f t="shared" si="141"/>
        <v/>
      </c>
      <c r="S1506" s="104" t="str">
        <f t="shared" si="142"/>
        <v/>
      </c>
      <c r="T1506" s="104" t="str">
        <f t="shared" si="143"/>
        <v/>
      </c>
      <c r="U1506" s="104" t="str">
        <f t="shared" si="144"/>
        <v/>
      </c>
      <c r="V1506" s="104" t="str">
        <f t="shared" si="145"/>
        <v/>
      </c>
      <c r="W1506" s="105"/>
    </row>
    <row r="1507" spans="1:23" ht="15" customHeight="1">
      <c r="A1507" s="92">
        <v>36</v>
      </c>
      <c r="B1507" s="121" t="s">
        <v>429</v>
      </c>
      <c r="C1507" s="122"/>
      <c r="D1507" s="797">
        <v>2.5</v>
      </c>
      <c r="E1507" s="797"/>
      <c r="F1507" s="118"/>
      <c r="G1507" s="108">
        <v>0.25</v>
      </c>
      <c r="H1507" s="98">
        <v>20</v>
      </c>
      <c r="I1507" s="99">
        <v>1</v>
      </c>
      <c r="J1507" s="101">
        <f>ROUND(3.165/G1507+1,0)</f>
        <v>14</v>
      </c>
      <c r="K1507" s="109">
        <f>D1507</f>
        <v>2.5</v>
      </c>
      <c r="L1507" s="110" t="str">
        <f>IF(O1507&lt;12,"0",0.049*H1507)</f>
        <v>0</v>
      </c>
      <c r="M1507" s="111">
        <v>0</v>
      </c>
      <c r="N1507" s="99">
        <f>M1507*2*H1507/1000</f>
        <v>0</v>
      </c>
      <c r="O1507" s="112">
        <f>(D1507)-N1507</f>
        <v>2.5</v>
      </c>
      <c r="P1507" s="112">
        <f>(I1507*J1507*O1507)+L1507</f>
        <v>35</v>
      </c>
      <c r="Q1507" s="104" t="str">
        <f t="shared" si="140"/>
        <v/>
      </c>
      <c r="R1507" s="104" t="str">
        <f t="shared" si="141"/>
        <v/>
      </c>
      <c r="S1507" s="104" t="str">
        <f t="shared" si="142"/>
        <v/>
      </c>
      <c r="T1507" s="104" t="str">
        <f t="shared" si="143"/>
        <v/>
      </c>
      <c r="U1507" s="104">
        <f t="shared" si="144"/>
        <v>35</v>
      </c>
      <c r="V1507" s="104" t="str">
        <f t="shared" si="145"/>
        <v/>
      </c>
      <c r="W1507" s="105"/>
    </row>
    <row r="1508" spans="1:23">
      <c r="A1508" s="92"/>
      <c r="B1508" s="121" t="s">
        <v>361</v>
      </c>
      <c r="C1508" s="107"/>
      <c r="D1508" s="389"/>
      <c r="E1508" s="389"/>
      <c r="F1508" s="118"/>
      <c r="G1508" s="108"/>
      <c r="H1508" s="98"/>
      <c r="I1508" s="99"/>
      <c r="J1508" s="101"/>
      <c r="K1508" s="109"/>
      <c r="L1508" s="110"/>
      <c r="M1508" s="111"/>
      <c r="N1508" s="99"/>
      <c r="O1508" s="112"/>
      <c r="P1508" s="112"/>
      <c r="Q1508" s="104" t="str">
        <f t="shared" si="140"/>
        <v/>
      </c>
      <c r="R1508" s="104" t="str">
        <f t="shared" si="141"/>
        <v/>
      </c>
      <c r="S1508" s="104" t="str">
        <f t="shared" si="142"/>
        <v/>
      </c>
      <c r="T1508" s="104" t="str">
        <f t="shared" si="143"/>
        <v/>
      </c>
      <c r="U1508" s="104" t="str">
        <f t="shared" si="144"/>
        <v/>
      </c>
      <c r="V1508" s="104" t="str">
        <f t="shared" si="145"/>
        <v/>
      </c>
      <c r="W1508" s="105"/>
    </row>
    <row r="1509" spans="1:23">
      <c r="A1509" s="92"/>
      <c r="B1509" s="123"/>
      <c r="C1509" s="107"/>
      <c r="D1509" s="389"/>
      <c r="E1509" s="389"/>
      <c r="F1509" s="118"/>
      <c r="G1509" s="108"/>
      <c r="H1509" s="98"/>
      <c r="I1509" s="99"/>
      <c r="J1509" s="101"/>
      <c r="K1509" s="109"/>
      <c r="L1509" s="110"/>
      <c r="M1509" s="111"/>
      <c r="N1509" s="99"/>
      <c r="O1509" s="112"/>
      <c r="P1509" s="112"/>
      <c r="Q1509" s="104" t="str">
        <f t="shared" si="140"/>
        <v/>
      </c>
      <c r="R1509" s="104" t="str">
        <f t="shared" si="141"/>
        <v/>
      </c>
      <c r="S1509" s="104" t="str">
        <f t="shared" si="142"/>
        <v/>
      </c>
      <c r="T1509" s="104" t="str">
        <f t="shared" si="143"/>
        <v/>
      </c>
      <c r="U1509" s="104" t="str">
        <f t="shared" si="144"/>
        <v/>
      </c>
      <c r="V1509" s="104" t="str">
        <f t="shared" si="145"/>
        <v/>
      </c>
      <c r="W1509" s="105"/>
    </row>
    <row r="1510" spans="1:23" ht="15" customHeight="1">
      <c r="A1510" s="92">
        <v>37</v>
      </c>
      <c r="B1510" s="121" t="s">
        <v>429</v>
      </c>
      <c r="C1510" s="122"/>
      <c r="D1510" s="797">
        <v>3.46</v>
      </c>
      <c r="E1510" s="797"/>
      <c r="F1510" s="118"/>
      <c r="G1510" s="108">
        <v>0.25</v>
      </c>
      <c r="H1510" s="98">
        <v>20</v>
      </c>
      <c r="I1510" s="99">
        <v>1</v>
      </c>
      <c r="J1510" s="101">
        <f>ROUND(5.745/G1510+1,0)</f>
        <v>24</v>
      </c>
      <c r="K1510" s="109">
        <f>D1510</f>
        <v>3.46</v>
      </c>
      <c r="L1510" s="110" t="str">
        <f>IF(O1510&lt;12,"0",0.049*H1510)</f>
        <v>0</v>
      </c>
      <c r="M1510" s="111">
        <v>0</v>
      </c>
      <c r="N1510" s="99">
        <f>M1510*2*H1510/1000</f>
        <v>0</v>
      </c>
      <c r="O1510" s="112">
        <f>(D1510)-N1510</f>
        <v>3.46</v>
      </c>
      <c r="P1510" s="112">
        <f>(I1510*J1510*O1510)+L1510</f>
        <v>83.039999999999992</v>
      </c>
      <c r="Q1510" s="104" t="str">
        <f t="shared" si="140"/>
        <v/>
      </c>
      <c r="R1510" s="104" t="str">
        <f t="shared" si="141"/>
        <v/>
      </c>
      <c r="S1510" s="104" t="str">
        <f t="shared" si="142"/>
        <v/>
      </c>
      <c r="T1510" s="104" t="str">
        <f t="shared" si="143"/>
        <v/>
      </c>
      <c r="U1510" s="104">
        <f t="shared" si="144"/>
        <v>83.039999999999992</v>
      </c>
      <c r="V1510" s="104" t="str">
        <f t="shared" si="145"/>
        <v/>
      </c>
      <c r="W1510" s="105"/>
    </row>
    <row r="1511" spans="1:23">
      <c r="A1511" s="92"/>
      <c r="B1511" s="121" t="s">
        <v>361</v>
      </c>
      <c r="C1511" s="107"/>
      <c r="D1511" s="389"/>
      <c r="E1511" s="389"/>
      <c r="F1511" s="118"/>
      <c r="G1511" s="108"/>
      <c r="H1511" s="98"/>
      <c r="I1511" s="99"/>
      <c r="J1511" s="101"/>
      <c r="K1511" s="109"/>
      <c r="L1511" s="110"/>
      <c r="M1511" s="111"/>
      <c r="N1511" s="99"/>
      <c r="O1511" s="112"/>
      <c r="P1511" s="112"/>
      <c r="Q1511" s="104" t="str">
        <f t="shared" si="140"/>
        <v/>
      </c>
      <c r="R1511" s="104" t="str">
        <f t="shared" si="141"/>
        <v/>
      </c>
      <c r="S1511" s="104" t="str">
        <f t="shared" si="142"/>
        <v/>
      </c>
      <c r="T1511" s="104" t="str">
        <f t="shared" si="143"/>
        <v/>
      </c>
      <c r="U1511" s="104" t="str">
        <f t="shared" si="144"/>
        <v/>
      </c>
      <c r="V1511" s="104" t="str">
        <f t="shared" si="145"/>
        <v/>
      </c>
      <c r="W1511" s="105"/>
    </row>
    <row r="1512" spans="1:23">
      <c r="A1512" s="92"/>
      <c r="B1512" s="123"/>
      <c r="C1512" s="107"/>
      <c r="D1512" s="389"/>
      <c r="E1512" s="389"/>
      <c r="F1512" s="118"/>
      <c r="G1512" s="108"/>
      <c r="H1512" s="98"/>
      <c r="I1512" s="99"/>
      <c r="J1512" s="101"/>
      <c r="K1512" s="109"/>
      <c r="L1512" s="110"/>
      <c r="M1512" s="111"/>
      <c r="N1512" s="99"/>
      <c r="O1512" s="112"/>
      <c r="P1512" s="112"/>
      <c r="Q1512" s="104" t="str">
        <f t="shared" si="140"/>
        <v/>
      </c>
      <c r="R1512" s="104" t="str">
        <f t="shared" si="141"/>
        <v/>
      </c>
      <c r="S1512" s="104" t="str">
        <f t="shared" si="142"/>
        <v/>
      </c>
      <c r="T1512" s="104" t="str">
        <f t="shared" si="143"/>
        <v/>
      </c>
      <c r="U1512" s="104" t="str">
        <f t="shared" si="144"/>
        <v/>
      </c>
      <c r="V1512" s="104" t="str">
        <f t="shared" si="145"/>
        <v/>
      </c>
      <c r="W1512" s="105"/>
    </row>
    <row r="1513" spans="1:23" ht="15" customHeight="1">
      <c r="A1513" s="92">
        <v>38</v>
      </c>
      <c r="B1513" s="121" t="s">
        <v>428</v>
      </c>
      <c r="C1513" s="122"/>
      <c r="D1513" s="797">
        <v>3.0449999999999999</v>
      </c>
      <c r="E1513" s="797"/>
      <c r="F1513" s="118"/>
      <c r="G1513" s="108">
        <v>0.25</v>
      </c>
      <c r="H1513" s="98">
        <v>20</v>
      </c>
      <c r="I1513" s="99">
        <v>1</v>
      </c>
      <c r="J1513" s="101">
        <f>ROUND(4.525/G1513+1,0)</f>
        <v>19</v>
      </c>
      <c r="K1513" s="109">
        <f>D1513</f>
        <v>3.0449999999999999</v>
      </c>
      <c r="L1513" s="110" t="str">
        <f>IF(O1513&lt;12,"0",0.049*H1513)</f>
        <v>0</v>
      </c>
      <c r="M1513" s="111">
        <v>0</v>
      </c>
      <c r="N1513" s="99">
        <f>M1513*2*H1513/1000</f>
        <v>0</v>
      </c>
      <c r="O1513" s="112">
        <f>(D1513)-N1513</f>
        <v>3.0449999999999999</v>
      </c>
      <c r="P1513" s="112">
        <f>(I1513*J1513*O1513)+L1513</f>
        <v>57.854999999999997</v>
      </c>
      <c r="Q1513" s="104" t="str">
        <f t="shared" si="140"/>
        <v/>
      </c>
      <c r="R1513" s="104" t="str">
        <f t="shared" si="141"/>
        <v/>
      </c>
      <c r="S1513" s="104" t="str">
        <f t="shared" si="142"/>
        <v/>
      </c>
      <c r="T1513" s="104" t="str">
        <f t="shared" si="143"/>
        <v/>
      </c>
      <c r="U1513" s="104">
        <f t="shared" si="144"/>
        <v>57.854999999999997</v>
      </c>
      <c r="V1513" s="104" t="str">
        <f t="shared" si="145"/>
        <v/>
      </c>
      <c r="W1513" s="105"/>
    </row>
    <row r="1514" spans="1:23">
      <c r="A1514" s="92"/>
      <c r="B1514" s="121" t="s">
        <v>362</v>
      </c>
      <c r="C1514" s="107"/>
      <c r="D1514" s="389"/>
      <c r="E1514" s="389"/>
      <c r="F1514" s="118"/>
      <c r="G1514" s="108"/>
      <c r="H1514" s="98"/>
      <c r="I1514" s="99"/>
      <c r="J1514" s="101"/>
      <c r="K1514" s="109"/>
      <c r="L1514" s="110"/>
      <c r="M1514" s="111"/>
      <c r="N1514" s="99"/>
      <c r="O1514" s="112"/>
      <c r="P1514" s="112"/>
      <c r="Q1514" s="104" t="str">
        <f t="shared" si="140"/>
        <v/>
      </c>
      <c r="R1514" s="104" t="str">
        <f t="shared" si="141"/>
        <v/>
      </c>
      <c r="S1514" s="104" t="str">
        <f t="shared" si="142"/>
        <v/>
      </c>
      <c r="T1514" s="104" t="str">
        <f t="shared" si="143"/>
        <v/>
      </c>
      <c r="U1514" s="104" t="str">
        <f t="shared" si="144"/>
        <v/>
      </c>
      <c r="V1514" s="104" t="str">
        <f t="shared" si="145"/>
        <v/>
      </c>
      <c r="W1514" s="105"/>
    </row>
    <row r="1515" spans="1:23">
      <c r="A1515" s="92"/>
      <c r="B1515" s="123"/>
      <c r="C1515" s="107"/>
      <c r="D1515" s="389"/>
      <c r="E1515" s="389"/>
      <c r="F1515" s="118"/>
      <c r="G1515" s="108"/>
      <c r="H1515" s="98"/>
      <c r="I1515" s="99"/>
      <c r="J1515" s="101"/>
      <c r="K1515" s="109"/>
      <c r="L1515" s="110"/>
      <c r="M1515" s="111"/>
      <c r="N1515" s="99"/>
      <c r="O1515" s="112"/>
      <c r="P1515" s="112"/>
      <c r="Q1515" s="104" t="str">
        <f t="shared" si="140"/>
        <v/>
      </c>
      <c r="R1515" s="104" t="str">
        <f t="shared" si="141"/>
        <v/>
      </c>
      <c r="S1515" s="104" t="str">
        <f t="shared" si="142"/>
        <v/>
      </c>
      <c r="T1515" s="104" t="str">
        <f t="shared" si="143"/>
        <v/>
      </c>
      <c r="U1515" s="104" t="str">
        <f t="shared" si="144"/>
        <v/>
      </c>
      <c r="V1515" s="104" t="str">
        <f t="shared" si="145"/>
        <v/>
      </c>
      <c r="W1515" s="105"/>
    </row>
    <row r="1516" spans="1:23" ht="15" customHeight="1">
      <c r="A1516" s="92">
        <v>39</v>
      </c>
      <c r="B1516" s="121" t="s">
        <v>429</v>
      </c>
      <c r="C1516" s="122"/>
      <c r="D1516" s="797">
        <v>4.5250000000000004</v>
      </c>
      <c r="E1516" s="797"/>
      <c r="F1516" s="118"/>
      <c r="G1516" s="108">
        <v>0.25</v>
      </c>
      <c r="H1516" s="98">
        <v>16</v>
      </c>
      <c r="I1516" s="99">
        <v>1</v>
      </c>
      <c r="J1516" s="101">
        <f>ROUND(3.045/G1516+1,0)</f>
        <v>13</v>
      </c>
      <c r="K1516" s="109">
        <f>D1516</f>
        <v>4.5250000000000004</v>
      </c>
      <c r="L1516" s="110" t="str">
        <f>IF(O1516&lt;12,"0",0.049*H1516)</f>
        <v>0</v>
      </c>
      <c r="M1516" s="111">
        <v>0</v>
      </c>
      <c r="N1516" s="99">
        <f>M1516*2*H1516/1000</f>
        <v>0</v>
      </c>
      <c r="O1516" s="112">
        <f>(D1516)-N1516</f>
        <v>4.5250000000000004</v>
      </c>
      <c r="P1516" s="112">
        <f>(I1516*J1516*O1516)+L1516</f>
        <v>58.825000000000003</v>
      </c>
      <c r="Q1516" s="104" t="str">
        <f t="shared" si="140"/>
        <v/>
      </c>
      <c r="R1516" s="104" t="str">
        <f t="shared" si="141"/>
        <v/>
      </c>
      <c r="S1516" s="104" t="str">
        <f t="shared" si="142"/>
        <v/>
      </c>
      <c r="T1516" s="104">
        <f t="shared" si="143"/>
        <v>58.825000000000003</v>
      </c>
      <c r="U1516" s="104" t="str">
        <f t="shared" si="144"/>
        <v/>
      </c>
      <c r="V1516" s="104" t="str">
        <f t="shared" si="145"/>
        <v/>
      </c>
      <c r="W1516" s="105"/>
    </row>
    <row r="1517" spans="1:23">
      <c r="A1517" s="92"/>
      <c r="B1517" s="121" t="s">
        <v>362</v>
      </c>
      <c r="C1517" s="107"/>
      <c r="D1517" s="389"/>
      <c r="E1517" s="389"/>
      <c r="F1517" s="118"/>
      <c r="G1517" s="108"/>
      <c r="H1517" s="98"/>
      <c r="I1517" s="99"/>
      <c r="J1517" s="101"/>
      <c r="K1517" s="109"/>
      <c r="L1517" s="110"/>
      <c r="M1517" s="111"/>
      <c r="N1517" s="99"/>
      <c r="O1517" s="112"/>
      <c r="P1517" s="112"/>
      <c r="Q1517" s="104" t="str">
        <f t="shared" si="140"/>
        <v/>
      </c>
      <c r="R1517" s="104" t="str">
        <f t="shared" si="141"/>
        <v/>
      </c>
      <c r="S1517" s="104" t="str">
        <f t="shared" si="142"/>
        <v/>
      </c>
      <c r="T1517" s="104" t="str">
        <f t="shared" si="143"/>
        <v/>
      </c>
      <c r="U1517" s="104" t="str">
        <f t="shared" si="144"/>
        <v/>
      </c>
      <c r="V1517" s="104" t="str">
        <f t="shared" si="145"/>
        <v/>
      </c>
      <c r="W1517" s="105"/>
    </row>
    <row r="1518" spans="1:23">
      <c r="A1518" s="92"/>
      <c r="B1518" s="123"/>
      <c r="C1518" s="107"/>
      <c r="D1518" s="389"/>
      <c r="E1518" s="389"/>
      <c r="F1518" s="118"/>
      <c r="G1518" s="108"/>
      <c r="H1518" s="98"/>
      <c r="I1518" s="99"/>
      <c r="J1518" s="101"/>
      <c r="K1518" s="109"/>
      <c r="L1518" s="110"/>
      <c r="M1518" s="111"/>
      <c r="N1518" s="99"/>
      <c r="O1518" s="112"/>
      <c r="P1518" s="112"/>
      <c r="Q1518" s="104" t="str">
        <f t="shared" si="140"/>
        <v/>
      </c>
      <c r="R1518" s="104" t="str">
        <f t="shared" si="141"/>
        <v/>
      </c>
      <c r="S1518" s="104" t="str">
        <f t="shared" si="142"/>
        <v/>
      </c>
      <c r="T1518" s="104" t="str">
        <f t="shared" si="143"/>
        <v/>
      </c>
      <c r="U1518" s="104" t="str">
        <f t="shared" si="144"/>
        <v/>
      </c>
      <c r="V1518" s="104" t="str">
        <f t="shared" si="145"/>
        <v/>
      </c>
      <c r="W1518" s="105"/>
    </row>
    <row r="1519" spans="1:23" ht="15" customHeight="1">
      <c r="A1519" s="92">
        <v>40</v>
      </c>
      <c r="B1519" s="121" t="s">
        <v>428</v>
      </c>
      <c r="C1519" s="122"/>
      <c r="D1519" s="797">
        <v>3.12</v>
      </c>
      <c r="E1519" s="797"/>
      <c r="F1519" s="118"/>
      <c r="G1519" s="108">
        <v>0.25</v>
      </c>
      <c r="H1519" s="98">
        <v>20</v>
      </c>
      <c r="I1519" s="99">
        <v>1</v>
      </c>
      <c r="J1519" s="101">
        <f>ROUND(3.165/G1519+1,0)</f>
        <v>14</v>
      </c>
      <c r="K1519" s="109">
        <f>D1519</f>
        <v>3.12</v>
      </c>
      <c r="L1519" s="110" t="str">
        <f>IF(O1519&lt;12,"0",0.049*H1519)</f>
        <v>0</v>
      </c>
      <c r="M1519" s="111">
        <v>0</v>
      </c>
      <c r="N1519" s="99">
        <f>M1519*2*H1519/1000</f>
        <v>0</v>
      </c>
      <c r="O1519" s="112">
        <f>(D1519)-N1519</f>
        <v>3.12</v>
      </c>
      <c r="P1519" s="112">
        <f>(I1519*J1519*O1519)+L1519</f>
        <v>43.68</v>
      </c>
      <c r="Q1519" s="104" t="str">
        <f t="shared" si="140"/>
        <v/>
      </c>
      <c r="R1519" s="104" t="str">
        <f t="shared" si="141"/>
        <v/>
      </c>
      <c r="S1519" s="104" t="str">
        <f t="shared" si="142"/>
        <v/>
      </c>
      <c r="T1519" s="104" t="str">
        <f t="shared" si="143"/>
        <v/>
      </c>
      <c r="U1519" s="104">
        <f t="shared" si="144"/>
        <v>43.68</v>
      </c>
      <c r="V1519" s="104" t="str">
        <f t="shared" si="145"/>
        <v/>
      </c>
      <c r="W1519" s="105"/>
    </row>
    <row r="1520" spans="1:23">
      <c r="A1520" s="92"/>
      <c r="B1520" s="121" t="s">
        <v>363</v>
      </c>
      <c r="C1520" s="107"/>
      <c r="D1520" s="389"/>
      <c r="E1520" s="389"/>
      <c r="F1520" s="118"/>
      <c r="G1520" s="108"/>
      <c r="H1520" s="98"/>
      <c r="I1520" s="99"/>
      <c r="J1520" s="101"/>
      <c r="K1520" s="109"/>
      <c r="L1520" s="110"/>
      <c r="M1520" s="111"/>
      <c r="N1520" s="99"/>
      <c r="O1520" s="112"/>
      <c r="P1520" s="112"/>
      <c r="Q1520" s="104" t="str">
        <f t="shared" si="140"/>
        <v/>
      </c>
      <c r="R1520" s="104" t="str">
        <f t="shared" si="141"/>
        <v/>
      </c>
      <c r="S1520" s="104" t="str">
        <f t="shared" si="142"/>
        <v/>
      </c>
      <c r="T1520" s="104" t="str">
        <f t="shared" si="143"/>
        <v/>
      </c>
      <c r="U1520" s="104" t="str">
        <f t="shared" si="144"/>
        <v/>
      </c>
      <c r="V1520" s="104" t="str">
        <f t="shared" si="145"/>
        <v/>
      </c>
      <c r="W1520" s="105"/>
    </row>
    <row r="1521" spans="1:23">
      <c r="A1521" s="92"/>
      <c r="B1521" s="123"/>
      <c r="C1521" s="107"/>
      <c r="D1521" s="389"/>
      <c r="E1521" s="389"/>
      <c r="F1521" s="118"/>
      <c r="G1521" s="108"/>
      <c r="H1521" s="98"/>
      <c r="I1521" s="99"/>
      <c r="J1521" s="101"/>
      <c r="K1521" s="109"/>
      <c r="L1521" s="110"/>
      <c r="M1521" s="111"/>
      <c r="N1521" s="99"/>
      <c r="O1521" s="112"/>
      <c r="P1521" s="112"/>
      <c r="Q1521" s="104" t="str">
        <f t="shared" si="140"/>
        <v/>
      </c>
      <c r="R1521" s="104" t="str">
        <f t="shared" si="141"/>
        <v/>
      </c>
      <c r="S1521" s="104" t="str">
        <f t="shared" si="142"/>
        <v/>
      </c>
      <c r="T1521" s="104" t="str">
        <f t="shared" si="143"/>
        <v/>
      </c>
      <c r="U1521" s="104" t="str">
        <f t="shared" si="144"/>
        <v/>
      </c>
      <c r="V1521" s="104" t="str">
        <f t="shared" si="145"/>
        <v/>
      </c>
      <c r="W1521" s="105"/>
    </row>
    <row r="1522" spans="1:23" ht="15" customHeight="1">
      <c r="A1522" s="92">
        <v>41</v>
      </c>
      <c r="B1522" s="121" t="s">
        <v>428</v>
      </c>
      <c r="C1522" s="122"/>
      <c r="D1522" s="797">
        <v>2.85</v>
      </c>
      <c r="E1522" s="797"/>
      <c r="F1522" s="118"/>
      <c r="G1522" s="108">
        <v>0.25</v>
      </c>
      <c r="H1522" s="98">
        <v>16</v>
      </c>
      <c r="I1522" s="99">
        <v>1</v>
      </c>
      <c r="J1522" s="101">
        <f>ROUND(5.47/G1522+1,0)</f>
        <v>23</v>
      </c>
      <c r="K1522" s="109">
        <f>D1522</f>
        <v>2.85</v>
      </c>
      <c r="L1522" s="110" t="str">
        <f>IF(O1522&lt;12,"0",0.049*H1522)</f>
        <v>0</v>
      </c>
      <c r="M1522" s="111">
        <v>0</v>
      </c>
      <c r="N1522" s="99">
        <f>M1522*2*H1522/1000</f>
        <v>0</v>
      </c>
      <c r="O1522" s="112">
        <f>(D1522)-N1522</f>
        <v>2.85</v>
      </c>
      <c r="P1522" s="112">
        <f>(I1522*J1522*O1522)+L1522</f>
        <v>65.55</v>
      </c>
      <c r="Q1522" s="104" t="str">
        <f t="shared" si="140"/>
        <v/>
      </c>
      <c r="R1522" s="104" t="str">
        <f t="shared" si="141"/>
        <v/>
      </c>
      <c r="S1522" s="104" t="str">
        <f t="shared" si="142"/>
        <v/>
      </c>
      <c r="T1522" s="104">
        <f t="shared" si="143"/>
        <v>65.55</v>
      </c>
      <c r="U1522" s="104" t="str">
        <f t="shared" si="144"/>
        <v/>
      </c>
      <c r="V1522" s="104" t="str">
        <f t="shared" si="145"/>
        <v/>
      </c>
      <c r="W1522" s="105"/>
    </row>
    <row r="1523" spans="1:23">
      <c r="A1523" s="92"/>
      <c r="B1523" s="121" t="s">
        <v>363</v>
      </c>
      <c r="C1523" s="107"/>
      <c r="D1523" s="389"/>
      <c r="E1523" s="389"/>
      <c r="F1523" s="118"/>
      <c r="G1523" s="108"/>
      <c r="H1523" s="98"/>
      <c r="I1523" s="99"/>
      <c r="J1523" s="101"/>
      <c r="K1523" s="109"/>
      <c r="L1523" s="110"/>
      <c r="M1523" s="111"/>
      <c r="N1523" s="99"/>
      <c r="O1523" s="112"/>
      <c r="P1523" s="112"/>
      <c r="Q1523" s="104" t="str">
        <f t="shared" si="140"/>
        <v/>
      </c>
      <c r="R1523" s="104" t="str">
        <f t="shared" si="141"/>
        <v/>
      </c>
      <c r="S1523" s="104" t="str">
        <f t="shared" si="142"/>
        <v/>
      </c>
      <c r="T1523" s="104" t="str">
        <f t="shared" si="143"/>
        <v/>
      </c>
      <c r="U1523" s="104" t="str">
        <f t="shared" si="144"/>
        <v/>
      </c>
      <c r="V1523" s="104" t="str">
        <f t="shared" si="145"/>
        <v/>
      </c>
      <c r="W1523" s="105"/>
    </row>
    <row r="1524" spans="1:23">
      <c r="A1524" s="92"/>
      <c r="B1524" s="123"/>
      <c r="C1524" s="107"/>
      <c r="D1524" s="389"/>
      <c r="E1524" s="389"/>
      <c r="F1524" s="118"/>
      <c r="G1524" s="108"/>
      <c r="H1524" s="98"/>
      <c r="I1524" s="99"/>
      <c r="J1524" s="101"/>
      <c r="K1524" s="109"/>
      <c r="L1524" s="110"/>
      <c r="M1524" s="111"/>
      <c r="N1524" s="99"/>
      <c r="O1524" s="112"/>
      <c r="P1524" s="112"/>
      <c r="Q1524" s="104" t="str">
        <f t="shared" si="140"/>
        <v/>
      </c>
      <c r="R1524" s="104" t="str">
        <f t="shared" si="141"/>
        <v/>
      </c>
      <c r="S1524" s="104" t="str">
        <f t="shared" si="142"/>
        <v/>
      </c>
      <c r="T1524" s="104" t="str">
        <f t="shared" si="143"/>
        <v/>
      </c>
      <c r="U1524" s="104" t="str">
        <f t="shared" si="144"/>
        <v/>
      </c>
      <c r="V1524" s="104" t="str">
        <f t="shared" si="145"/>
        <v/>
      </c>
      <c r="W1524" s="105"/>
    </row>
    <row r="1525" spans="1:23" ht="15" customHeight="1">
      <c r="A1525" s="92">
        <v>42</v>
      </c>
      <c r="B1525" s="121" t="s">
        <v>429</v>
      </c>
      <c r="C1525" s="122"/>
      <c r="D1525" s="797">
        <v>4.12</v>
      </c>
      <c r="E1525" s="797"/>
      <c r="F1525" s="118"/>
      <c r="G1525" s="108">
        <v>0.25</v>
      </c>
      <c r="H1525" s="98">
        <v>20</v>
      </c>
      <c r="I1525" s="99">
        <v>1</v>
      </c>
      <c r="J1525" s="101">
        <f>ROUND(8.16/G1525+1,0)</f>
        <v>34</v>
      </c>
      <c r="K1525" s="109">
        <f>D1525</f>
        <v>4.12</v>
      </c>
      <c r="L1525" s="110" t="str">
        <f>IF(O1525&lt;12,"0",0.049*H1525)</f>
        <v>0</v>
      </c>
      <c r="M1525" s="111">
        <v>0</v>
      </c>
      <c r="N1525" s="99">
        <f>M1525*2*H1525/1000</f>
        <v>0</v>
      </c>
      <c r="O1525" s="112">
        <f>(D1525)-N1525</f>
        <v>4.12</v>
      </c>
      <c r="P1525" s="112">
        <f>(I1525*J1525*O1525)+L1525</f>
        <v>140.08000000000001</v>
      </c>
      <c r="Q1525" s="104" t="str">
        <f t="shared" si="140"/>
        <v/>
      </c>
      <c r="R1525" s="104" t="str">
        <f t="shared" si="141"/>
        <v/>
      </c>
      <c r="S1525" s="104" t="str">
        <f t="shared" si="142"/>
        <v/>
      </c>
      <c r="T1525" s="104" t="str">
        <f t="shared" si="143"/>
        <v/>
      </c>
      <c r="U1525" s="104">
        <f t="shared" si="144"/>
        <v>140.08000000000001</v>
      </c>
      <c r="V1525" s="104" t="str">
        <f t="shared" si="145"/>
        <v/>
      </c>
      <c r="W1525" s="105"/>
    </row>
    <row r="1526" spans="1:23">
      <c r="A1526" s="92"/>
      <c r="B1526" s="121" t="s">
        <v>363</v>
      </c>
      <c r="C1526" s="107"/>
      <c r="D1526" s="389"/>
      <c r="E1526" s="389"/>
      <c r="F1526" s="118"/>
      <c r="G1526" s="108"/>
      <c r="H1526" s="98"/>
      <c r="I1526" s="99"/>
      <c r="J1526" s="101"/>
      <c r="K1526" s="109"/>
      <c r="L1526" s="110"/>
      <c r="M1526" s="111"/>
      <c r="N1526" s="99"/>
      <c r="O1526" s="112"/>
      <c r="P1526" s="112"/>
      <c r="Q1526" s="104" t="str">
        <f t="shared" si="140"/>
        <v/>
      </c>
      <c r="R1526" s="104" t="str">
        <f t="shared" si="141"/>
        <v/>
      </c>
      <c r="S1526" s="104" t="str">
        <f t="shared" si="142"/>
        <v/>
      </c>
      <c r="T1526" s="104" t="str">
        <f t="shared" si="143"/>
        <v/>
      </c>
      <c r="U1526" s="104" t="str">
        <f t="shared" si="144"/>
        <v/>
      </c>
      <c r="V1526" s="104" t="str">
        <f t="shared" si="145"/>
        <v/>
      </c>
      <c r="W1526" s="105"/>
    </row>
    <row r="1527" spans="1:23">
      <c r="A1527" s="92"/>
      <c r="B1527" s="123"/>
      <c r="C1527" s="107"/>
      <c r="D1527" s="389"/>
      <c r="E1527" s="389"/>
      <c r="F1527" s="118"/>
      <c r="G1527" s="108"/>
      <c r="H1527" s="98"/>
      <c r="I1527" s="99"/>
      <c r="J1527" s="101"/>
      <c r="K1527" s="109"/>
      <c r="L1527" s="110"/>
      <c r="M1527" s="111"/>
      <c r="N1527" s="99"/>
      <c r="O1527" s="112"/>
      <c r="P1527" s="112"/>
      <c r="Q1527" s="104" t="str">
        <f t="shared" si="140"/>
        <v/>
      </c>
      <c r="R1527" s="104" t="str">
        <f t="shared" si="141"/>
        <v/>
      </c>
      <c r="S1527" s="104" t="str">
        <f t="shared" si="142"/>
        <v/>
      </c>
      <c r="T1527" s="104" t="str">
        <f t="shared" si="143"/>
        <v/>
      </c>
      <c r="U1527" s="104" t="str">
        <f t="shared" si="144"/>
        <v/>
      </c>
      <c r="V1527" s="104" t="str">
        <f t="shared" si="145"/>
        <v/>
      </c>
      <c r="W1527" s="105"/>
    </row>
    <row r="1528" spans="1:23" ht="15" customHeight="1">
      <c r="A1528" s="92">
        <v>43</v>
      </c>
      <c r="B1528" s="121" t="s">
        <v>429</v>
      </c>
      <c r="C1528" s="122"/>
      <c r="D1528" s="797">
        <v>4.1900000000000004</v>
      </c>
      <c r="E1528" s="797"/>
      <c r="F1528" s="118"/>
      <c r="G1528" s="108">
        <v>0.25</v>
      </c>
      <c r="H1528" s="98">
        <v>12</v>
      </c>
      <c r="I1528" s="99">
        <v>1</v>
      </c>
      <c r="J1528" s="101">
        <f>ROUND(2.56/G1528+1,0)</f>
        <v>11</v>
      </c>
      <c r="K1528" s="109">
        <f>D1528</f>
        <v>4.1900000000000004</v>
      </c>
      <c r="L1528" s="110" t="str">
        <f>IF(O1528&lt;12,"0",0.049*H1528)</f>
        <v>0</v>
      </c>
      <c r="M1528" s="111">
        <v>0</v>
      </c>
      <c r="N1528" s="99">
        <f>M1528*2*H1528/1000</f>
        <v>0</v>
      </c>
      <c r="O1528" s="112">
        <f>(D1528)-N1528</f>
        <v>4.1900000000000004</v>
      </c>
      <c r="P1528" s="112">
        <f>(I1528*J1528*O1528)+L1528</f>
        <v>46.09</v>
      </c>
      <c r="Q1528" s="104" t="str">
        <f t="shared" si="140"/>
        <v/>
      </c>
      <c r="R1528" s="104" t="str">
        <f t="shared" si="141"/>
        <v/>
      </c>
      <c r="S1528" s="104">
        <f t="shared" si="142"/>
        <v>46.09</v>
      </c>
      <c r="T1528" s="104" t="str">
        <f t="shared" si="143"/>
        <v/>
      </c>
      <c r="U1528" s="104" t="str">
        <f t="shared" si="144"/>
        <v/>
      </c>
      <c r="V1528" s="104" t="str">
        <f t="shared" si="145"/>
        <v/>
      </c>
      <c r="W1528" s="105"/>
    </row>
    <row r="1529" spans="1:23">
      <c r="A1529" s="92"/>
      <c r="B1529" s="121" t="s">
        <v>363</v>
      </c>
      <c r="C1529" s="107"/>
      <c r="D1529" s="389"/>
      <c r="E1529" s="389"/>
      <c r="F1529" s="118"/>
      <c r="G1529" s="108"/>
      <c r="H1529" s="98"/>
      <c r="I1529" s="99"/>
      <c r="J1529" s="101"/>
      <c r="K1529" s="109"/>
      <c r="L1529" s="110"/>
      <c r="M1529" s="111"/>
      <c r="N1529" s="99"/>
      <c r="O1529" s="112"/>
      <c r="P1529" s="112"/>
      <c r="Q1529" s="104" t="str">
        <f t="shared" si="140"/>
        <v/>
      </c>
      <c r="R1529" s="104" t="str">
        <f t="shared" si="141"/>
        <v/>
      </c>
      <c r="S1529" s="104" t="str">
        <f t="shared" si="142"/>
        <v/>
      </c>
      <c r="T1529" s="104" t="str">
        <f t="shared" si="143"/>
        <v/>
      </c>
      <c r="U1529" s="104" t="str">
        <f t="shared" si="144"/>
        <v/>
      </c>
      <c r="V1529" s="104" t="str">
        <f t="shared" si="145"/>
        <v/>
      </c>
      <c r="W1529" s="105"/>
    </row>
    <row r="1530" spans="1:23">
      <c r="A1530" s="92"/>
      <c r="B1530" s="123"/>
      <c r="C1530" s="107"/>
      <c r="D1530" s="389"/>
      <c r="E1530" s="389"/>
      <c r="F1530" s="118"/>
      <c r="G1530" s="108"/>
      <c r="H1530" s="98"/>
      <c r="I1530" s="99"/>
      <c r="J1530" s="101"/>
      <c r="K1530" s="109"/>
      <c r="L1530" s="110"/>
      <c r="M1530" s="111"/>
      <c r="N1530" s="99"/>
      <c r="O1530" s="112"/>
      <c r="P1530" s="112"/>
      <c r="Q1530" s="104" t="str">
        <f t="shared" si="140"/>
        <v/>
      </c>
      <c r="R1530" s="104" t="str">
        <f t="shared" si="141"/>
        <v/>
      </c>
      <c r="S1530" s="104" t="str">
        <f t="shared" si="142"/>
        <v/>
      </c>
      <c r="T1530" s="104" t="str">
        <f t="shared" si="143"/>
        <v/>
      </c>
      <c r="U1530" s="104" t="str">
        <f t="shared" si="144"/>
        <v/>
      </c>
      <c r="V1530" s="104" t="str">
        <f t="shared" si="145"/>
        <v/>
      </c>
      <c r="W1530" s="105"/>
    </row>
    <row r="1531" spans="1:23" ht="15" customHeight="1">
      <c r="A1531" s="92">
        <v>44</v>
      </c>
      <c r="B1531" s="121" t="s">
        <v>429</v>
      </c>
      <c r="C1531" s="122"/>
      <c r="D1531" s="797">
        <v>7.68</v>
      </c>
      <c r="E1531" s="797"/>
      <c r="F1531" s="118"/>
      <c r="G1531" s="108">
        <v>0.25</v>
      </c>
      <c r="H1531" s="98">
        <v>12</v>
      </c>
      <c r="I1531" s="99">
        <v>1</v>
      </c>
      <c r="J1531" s="101">
        <f>ROUND(2.635/G1531+1,0)</f>
        <v>12</v>
      </c>
      <c r="K1531" s="109">
        <f>D1531</f>
        <v>7.68</v>
      </c>
      <c r="L1531" s="110" t="str">
        <f>IF(O1531&lt;12,"0",0.049*H1531)</f>
        <v>0</v>
      </c>
      <c r="M1531" s="111">
        <v>0</v>
      </c>
      <c r="N1531" s="99">
        <f>M1531*2*H1531/1000</f>
        <v>0</v>
      </c>
      <c r="O1531" s="112">
        <f>(D1531)-N1531</f>
        <v>7.68</v>
      </c>
      <c r="P1531" s="112">
        <f>(I1531*J1531*O1531)+L1531</f>
        <v>92.16</v>
      </c>
      <c r="Q1531" s="104" t="str">
        <f t="shared" si="140"/>
        <v/>
      </c>
      <c r="R1531" s="104" t="str">
        <f t="shared" si="141"/>
        <v/>
      </c>
      <c r="S1531" s="104">
        <f t="shared" si="142"/>
        <v>92.16</v>
      </c>
      <c r="T1531" s="104" t="str">
        <f t="shared" si="143"/>
        <v/>
      </c>
      <c r="U1531" s="104" t="str">
        <f t="shared" si="144"/>
        <v/>
      </c>
      <c r="V1531" s="104" t="str">
        <f t="shared" si="145"/>
        <v/>
      </c>
      <c r="W1531" s="105"/>
    </row>
    <row r="1532" spans="1:23">
      <c r="A1532" s="92"/>
      <c r="B1532" s="121" t="s">
        <v>363</v>
      </c>
      <c r="C1532" s="107"/>
      <c r="D1532" s="389"/>
      <c r="E1532" s="389"/>
      <c r="F1532" s="118"/>
      <c r="G1532" s="108"/>
      <c r="H1532" s="98"/>
      <c r="I1532" s="99"/>
      <c r="J1532" s="101"/>
      <c r="K1532" s="109"/>
      <c r="L1532" s="110"/>
      <c r="M1532" s="111"/>
      <c r="N1532" s="99"/>
      <c r="O1532" s="112"/>
      <c r="P1532" s="112"/>
      <c r="Q1532" s="104" t="str">
        <f t="shared" si="140"/>
        <v/>
      </c>
      <c r="R1532" s="104" t="str">
        <f t="shared" si="141"/>
        <v/>
      </c>
      <c r="S1532" s="104" t="str">
        <f t="shared" si="142"/>
        <v/>
      </c>
      <c r="T1532" s="104" t="str">
        <f t="shared" si="143"/>
        <v/>
      </c>
      <c r="U1532" s="104" t="str">
        <f t="shared" si="144"/>
        <v/>
      </c>
      <c r="V1532" s="104" t="str">
        <f t="shared" si="145"/>
        <v/>
      </c>
      <c r="W1532" s="105"/>
    </row>
    <row r="1533" spans="1:23">
      <c r="A1533" s="92"/>
      <c r="B1533" s="123"/>
      <c r="C1533" s="107"/>
      <c r="D1533" s="389"/>
      <c r="E1533" s="389"/>
      <c r="F1533" s="118"/>
      <c r="G1533" s="108"/>
      <c r="H1533" s="98"/>
      <c r="I1533" s="99"/>
      <c r="J1533" s="101"/>
      <c r="K1533" s="109"/>
      <c r="L1533" s="110"/>
      <c r="M1533" s="111"/>
      <c r="N1533" s="99"/>
      <c r="O1533" s="112"/>
      <c r="P1533" s="112"/>
      <c r="Q1533" s="104" t="str">
        <f t="shared" si="140"/>
        <v/>
      </c>
      <c r="R1533" s="104" t="str">
        <f t="shared" si="141"/>
        <v/>
      </c>
      <c r="S1533" s="104" t="str">
        <f t="shared" si="142"/>
        <v/>
      </c>
      <c r="T1533" s="104" t="str">
        <f t="shared" si="143"/>
        <v/>
      </c>
      <c r="U1533" s="104" t="str">
        <f t="shared" si="144"/>
        <v/>
      </c>
      <c r="V1533" s="104" t="str">
        <f t="shared" si="145"/>
        <v/>
      </c>
      <c r="W1533" s="105"/>
    </row>
    <row r="1534" spans="1:23" ht="15" customHeight="1">
      <c r="A1534" s="92">
        <v>45</v>
      </c>
      <c r="B1534" s="121" t="s">
        <v>429</v>
      </c>
      <c r="C1534" s="122"/>
      <c r="D1534" s="797">
        <v>3.915</v>
      </c>
      <c r="E1534" s="797"/>
      <c r="F1534" s="118"/>
      <c r="G1534" s="108">
        <v>0.25</v>
      </c>
      <c r="H1534" s="98">
        <v>20</v>
      </c>
      <c r="I1534" s="99">
        <v>1</v>
      </c>
      <c r="J1534" s="101">
        <f>ROUND(4.5/G1534+1,0)</f>
        <v>19</v>
      </c>
      <c r="K1534" s="109">
        <f>D1534</f>
        <v>3.915</v>
      </c>
      <c r="L1534" s="110" t="str">
        <f>IF(O1534&lt;12,"0",0.049*H1534)</f>
        <v>0</v>
      </c>
      <c r="M1534" s="111">
        <v>0</v>
      </c>
      <c r="N1534" s="99">
        <f>M1534*2*H1534/1000</f>
        <v>0</v>
      </c>
      <c r="O1534" s="112">
        <f>(D1534)-N1534</f>
        <v>3.915</v>
      </c>
      <c r="P1534" s="112">
        <f>(I1534*J1534*O1534)+L1534</f>
        <v>74.385000000000005</v>
      </c>
      <c r="Q1534" s="104" t="str">
        <f t="shared" si="140"/>
        <v/>
      </c>
      <c r="R1534" s="104" t="str">
        <f t="shared" si="141"/>
        <v/>
      </c>
      <c r="S1534" s="104" t="str">
        <f t="shared" si="142"/>
        <v/>
      </c>
      <c r="T1534" s="104" t="str">
        <f t="shared" si="143"/>
        <v/>
      </c>
      <c r="U1534" s="104">
        <f t="shared" si="144"/>
        <v>74.385000000000005</v>
      </c>
      <c r="V1534" s="104" t="str">
        <f t="shared" si="145"/>
        <v/>
      </c>
      <c r="W1534" s="105"/>
    </row>
    <row r="1535" spans="1:23">
      <c r="A1535" s="92"/>
      <c r="B1535" s="121" t="s">
        <v>364</v>
      </c>
      <c r="C1535" s="107"/>
      <c r="D1535" s="389"/>
      <c r="E1535" s="389"/>
      <c r="F1535" s="118"/>
      <c r="G1535" s="108"/>
      <c r="H1535" s="98"/>
      <c r="I1535" s="99"/>
      <c r="J1535" s="101"/>
      <c r="K1535" s="109"/>
      <c r="L1535" s="110"/>
      <c r="M1535" s="111"/>
      <c r="N1535" s="99"/>
      <c r="O1535" s="112"/>
      <c r="P1535" s="112"/>
      <c r="Q1535" s="104" t="str">
        <f t="shared" ref="Q1535:Q1568" si="146">IF($H1535=8,$P1535,"")</f>
        <v/>
      </c>
      <c r="R1535" s="104" t="str">
        <f t="shared" ref="R1535:R1568" si="147">IF($H1535=10,$P1535,"")</f>
        <v/>
      </c>
      <c r="S1535" s="104" t="str">
        <f t="shared" ref="S1535:S1568" si="148">IF($H1535=12,$P1535,"")</f>
        <v/>
      </c>
      <c r="T1535" s="104" t="str">
        <f t="shared" ref="T1535:T1568" si="149">IF($H1535=16,$P1535,"")</f>
        <v/>
      </c>
      <c r="U1535" s="104" t="str">
        <f t="shared" ref="U1535:U1568" si="150">IF($H1535=20,$P1535,"")</f>
        <v/>
      </c>
      <c r="V1535" s="104" t="str">
        <f t="shared" ref="V1535:V1568" si="151">IF($H1535=25,$P1535,"")</f>
        <v/>
      </c>
      <c r="W1535" s="105"/>
    </row>
    <row r="1536" spans="1:23">
      <c r="A1536" s="92"/>
      <c r="B1536" s="123"/>
      <c r="C1536" s="107"/>
      <c r="D1536" s="389"/>
      <c r="E1536" s="389"/>
      <c r="F1536" s="118"/>
      <c r="G1536" s="108"/>
      <c r="H1536" s="98"/>
      <c r="I1536" s="99"/>
      <c r="J1536" s="101"/>
      <c r="K1536" s="109"/>
      <c r="L1536" s="110"/>
      <c r="M1536" s="111"/>
      <c r="N1536" s="99"/>
      <c r="O1536" s="112"/>
      <c r="P1536" s="112"/>
      <c r="Q1536" s="104" t="str">
        <f t="shared" si="146"/>
        <v/>
      </c>
      <c r="R1536" s="104" t="str">
        <f t="shared" si="147"/>
        <v/>
      </c>
      <c r="S1536" s="104" t="str">
        <f t="shared" si="148"/>
        <v/>
      </c>
      <c r="T1536" s="104" t="str">
        <f t="shared" si="149"/>
        <v/>
      </c>
      <c r="U1536" s="104" t="str">
        <f t="shared" si="150"/>
        <v/>
      </c>
      <c r="V1536" s="104" t="str">
        <f t="shared" si="151"/>
        <v/>
      </c>
      <c r="W1536" s="105"/>
    </row>
    <row r="1537" spans="1:23" ht="15" customHeight="1">
      <c r="A1537" s="92">
        <v>46</v>
      </c>
      <c r="B1537" s="121" t="s">
        <v>429</v>
      </c>
      <c r="C1537" s="122"/>
      <c r="D1537" s="797">
        <v>4.5</v>
      </c>
      <c r="E1537" s="797"/>
      <c r="F1537" s="118"/>
      <c r="G1537" s="108">
        <v>0.25</v>
      </c>
      <c r="H1537" s="98">
        <v>16</v>
      </c>
      <c r="I1537" s="99">
        <v>1</v>
      </c>
      <c r="J1537" s="101">
        <f>ROUND(3.915/G1537+1,0)</f>
        <v>17</v>
      </c>
      <c r="K1537" s="109">
        <f>D1537</f>
        <v>4.5</v>
      </c>
      <c r="L1537" s="110" t="str">
        <f>IF(O1537&lt;12,"0",0.049*H1537)</f>
        <v>0</v>
      </c>
      <c r="M1537" s="111">
        <v>0</v>
      </c>
      <c r="N1537" s="99">
        <f>M1537*2*H1537/1000</f>
        <v>0</v>
      </c>
      <c r="O1537" s="112">
        <f>(D1537)-N1537</f>
        <v>4.5</v>
      </c>
      <c r="P1537" s="112">
        <f>(I1537*J1537*O1537)+L1537</f>
        <v>76.5</v>
      </c>
      <c r="Q1537" s="104" t="str">
        <f t="shared" si="146"/>
        <v/>
      </c>
      <c r="R1537" s="104" t="str">
        <f t="shared" si="147"/>
        <v/>
      </c>
      <c r="S1537" s="104" t="str">
        <f t="shared" si="148"/>
        <v/>
      </c>
      <c r="T1537" s="104">
        <f t="shared" si="149"/>
        <v>76.5</v>
      </c>
      <c r="U1537" s="104" t="str">
        <f t="shared" si="150"/>
        <v/>
      </c>
      <c r="V1537" s="104" t="str">
        <f t="shared" si="151"/>
        <v/>
      </c>
      <c r="W1537" s="105"/>
    </row>
    <row r="1538" spans="1:23">
      <c r="A1538" s="92"/>
      <c r="B1538" s="121" t="s">
        <v>364</v>
      </c>
      <c r="C1538" s="107"/>
      <c r="D1538" s="389"/>
      <c r="E1538" s="389"/>
      <c r="F1538" s="118"/>
      <c r="G1538" s="108"/>
      <c r="H1538" s="98"/>
      <c r="I1538" s="99"/>
      <c r="J1538" s="101"/>
      <c r="K1538" s="109"/>
      <c r="L1538" s="110"/>
      <c r="M1538" s="111"/>
      <c r="N1538" s="99"/>
      <c r="O1538" s="112"/>
      <c r="P1538" s="112"/>
      <c r="Q1538" s="104" t="str">
        <f t="shared" si="146"/>
        <v/>
      </c>
      <c r="R1538" s="104" t="str">
        <f t="shared" si="147"/>
        <v/>
      </c>
      <c r="S1538" s="104" t="str">
        <f t="shared" si="148"/>
        <v/>
      </c>
      <c r="T1538" s="104" t="str">
        <f t="shared" si="149"/>
        <v/>
      </c>
      <c r="U1538" s="104" t="str">
        <f t="shared" si="150"/>
        <v/>
      </c>
      <c r="V1538" s="104" t="str">
        <f t="shared" si="151"/>
        <v/>
      </c>
      <c r="W1538" s="105"/>
    </row>
    <row r="1539" spans="1:23">
      <c r="A1539" s="92"/>
      <c r="B1539" s="123"/>
      <c r="C1539" s="107"/>
      <c r="D1539" s="389"/>
      <c r="E1539" s="389"/>
      <c r="F1539" s="118"/>
      <c r="G1539" s="108"/>
      <c r="H1539" s="98"/>
      <c r="I1539" s="99"/>
      <c r="J1539" s="101"/>
      <c r="K1539" s="109"/>
      <c r="L1539" s="110"/>
      <c r="M1539" s="111"/>
      <c r="N1539" s="99"/>
      <c r="O1539" s="112"/>
      <c r="P1539" s="112"/>
      <c r="Q1539" s="104" t="str">
        <f t="shared" si="146"/>
        <v/>
      </c>
      <c r="R1539" s="104" t="str">
        <f t="shared" si="147"/>
        <v/>
      </c>
      <c r="S1539" s="104" t="str">
        <f t="shared" si="148"/>
        <v/>
      </c>
      <c r="T1539" s="104" t="str">
        <f t="shared" si="149"/>
        <v/>
      </c>
      <c r="U1539" s="104" t="str">
        <f t="shared" si="150"/>
        <v/>
      </c>
      <c r="V1539" s="104" t="str">
        <f t="shared" si="151"/>
        <v/>
      </c>
      <c r="W1539" s="105"/>
    </row>
    <row r="1540" spans="1:23" ht="15" customHeight="1">
      <c r="A1540" s="92">
        <v>47</v>
      </c>
      <c r="B1540" s="121" t="s">
        <v>429</v>
      </c>
      <c r="C1540" s="122"/>
      <c r="D1540" s="797">
        <v>4.55</v>
      </c>
      <c r="E1540" s="797"/>
      <c r="F1540" s="118"/>
      <c r="G1540" s="108">
        <v>0.25</v>
      </c>
      <c r="H1540" s="98">
        <v>10</v>
      </c>
      <c r="I1540" s="99">
        <v>1</v>
      </c>
      <c r="J1540" s="101">
        <f>ROUND(4.5/G1540+1,0)</f>
        <v>19</v>
      </c>
      <c r="K1540" s="109">
        <f>D1540</f>
        <v>4.55</v>
      </c>
      <c r="L1540" s="110" t="str">
        <f>IF(O1540&lt;12,"0",0.049*H1540)</f>
        <v>0</v>
      </c>
      <c r="M1540" s="111">
        <v>0</v>
      </c>
      <c r="N1540" s="99">
        <f>M1540*2*H1540/1000</f>
        <v>0</v>
      </c>
      <c r="O1540" s="112">
        <f>(D1540)-N1540</f>
        <v>4.55</v>
      </c>
      <c r="P1540" s="112">
        <f>(I1540*J1540*O1540)+L1540</f>
        <v>86.45</v>
      </c>
      <c r="Q1540" s="104" t="str">
        <f t="shared" si="146"/>
        <v/>
      </c>
      <c r="R1540" s="104">
        <f t="shared" si="147"/>
        <v>86.45</v>
      </c>
      <c r="S1540" s="104" t="str">
        <f t="shared" si="148"/>
        <v/>
      </c>
      <c r="T1540" s="104" t="str">
        <f t="shared" si="149"/>
        <v/>
      </c>
      <c r="U1540" s="104" t="str">
        <f t="shared" si="150"/>
        <v/>
      </c>
      <c r="V1540" s="104" t="str">
        <f t="shared" si="151"/>
        <v/>
      </c>
      <c r="W1540" s="105"/>
    </row>
    <row r="1541" spans="1:23">
      <c r="A1541" s="92"/>
      <c r="B1541" s="121" t="s">
        <v>365</v>
      </c>
      <c r="C1541" s="107"/>
      <c r="D1541" s="389"/>
      <c r="E1541" s="389"/>
      <c r="F1541" s="118"/>
      <c r="G1541" s="108"/>
      <c r="H1541" s="98"/>
      <c r="I1541" s="99"/>
      <c r="J1541" s="101"/>
      <c r="K1541" s="109"/>
      <c r="L1541" s="110"/>
      <c r="M1541" s="111"/>
      <c r="N1541" s="99"/>
      <c r="O1541" s="112"/>
      <c r="P1541" s="112"/>
      <c r="Q1541" s="104" t="str">
        <f t="shared" si="146"/>
        <v/>
      </c>
      <c r="R1541" s="104" t="str">
        <f t="shared" si="147"/>
        <v/>
      </c>
      <c r="S1541" s="104" t="str">
        <f t="shared" si="148"/>
        <v/>
      </c>
      <c r="T1541" s="104" t="str">
        <f t="shared" si="149"/>
        <v/>
      </c>
      <c r="U1541" s="104" t="str">
        <f t="shared" si="150"/>
        <v/>
      </c>
      <c r="V1541" s="104" t="str">
        <f t="shared" si="151"/>
        <v/>
      </c>
      <c r="W1541" s="105"/>
    </row>
    <row r="1542" spans="1:23">
      <c r="A1542" s="92"/>
      <c r="B1542" s="123"/>
      <c r="C1542" s="107"/>
      <c r="D1542" s="389"/>
      <c r="E1542" s="389"/>
      <c r="F1542" s="118"/>
      <c r="G1542" s="108"/>
      <c r="H1542" s="98"/>
      <c r="I1542" s="99"/>
      <c r="J1542" s="101"/>
      <c r="K1542" s="109"/>
      <c r="L1542" s="110"/>
      <c r="M1542" s="111"/>
      <c r="N1542" s="99"/>
      <c r="O1542" s="112"/>
      <c r="P1542" s="112"/>
      <c r="Q1542" s="104" t="str">
        <f t="shared" si="146"/>
        <v/>
      </c>
      <c r="R1542" s="104" t="str">
        <f t="shared" si="147"/>
        <v/>
      </c>
      <c r="S1542" s="104" t="str">
        <f t="shared" si="148"/>
        <v/>
      </c>
      <c r="T1542" s="104" t="str">
        <f t="shared" si="149"/>
        <v/>
      </c>
      <c r="U1542" s="104" t="str">
        <f t="shared" si="150"/>
        <v/>
      </c>
      <c r="V1542" s="104" t="str">
        <f t="shared" si="151"/>
        <v/>
      </c>
      <c r="W1542" s="105"/>
    </row>
    <row r="1543" spans="1:23" ht="15" customHeight="1">
      <c r="A1543" s="92">
        <v>48</v>
      </c>
      <c r="B1543" s="121" t="s">
        <v>428</v>
      </c>
      <c r="C1543" s="122"/>
      <c r="D1543" s="797">
        <v>3.9750000000000001</v>
      </c>
      <c r="E1543" s="797"/>
      <c r="F1543" s="118"/>
      <c r="G1543" s="108">
        <v>0.25</v>
      </c>
      <c r="H1543" s="98">
        <v>25</v>
      </c>
      <c r="I1543" s="99">
        <v>1</v>
      </c>
      <c r="J1543" s="101">
        <f>ROUND(6.08/G1543+1,0)</f>
        <v>25</v>
      </c>
      <c r="K1543" s="109">
        <f>D1543</f>
        <v>3.9750000000000001</v>
      </c>
      <c r="L1543" s="110" t="str">
        <f>IF(O1543&lt;12,"0",0.049*H1543)</f>
        <v>0</v>
      </c>
      <c r="M1543" s="111">
        <v>0</v>
      </c>
      <c r="N1543" s="99">
        <f>M1543*2*H1543/1000</f>
        <v>0</v>
      </c>
      <c r="O1543" s="112">
        <f>(D1543)-N1543</f>
        <v>3.9750000000000001</v>
      </c>
      <c r="P1543" s="112">
        <f>(I1543*J1543*O1543)+L1543</f>
        <v>99.375</v>
      </c>
      <c r="Q1543" s="104" t="str">
        <f t="shared" si="146"/>
        <v/>
      </c>
      <c r="R1543" s="104" t="str">
        <f t="shared" si="147"/>
        <v/>
      </c>
      <c r="S1543" s="104" t="str">
        <f t="shared" si="148"/>
        <v/>
      </c>
      <c r="T1543" s="104" t="str">
        <f t="shared" si="149"/>
        <v/>
      </c>
      <c r="U1543" s="104" t="str">
        <f t="shared" si="150"/>
        <v/>
      </c>
      <c r="V1543" s="104">
        <f t="shared" si="151"/>
        <v>99.375</v>
      </c>
      <c r="W1543" s="105"/>
    </row>
    <row r="1544" spans="1:23">
      <c r="A1544" s="92"/>
      <c r="B1544" s="121" t="s">
        <v>366</v>
      </c>
      <c r="C1544" s="107"/>
      <c r="D1544" s="389"/>
      <c r="E1544" s="389"/>
      <c r="F1544" s="118"/>
      <c r="G1544" s="108"/>
      <c r="H1544" s="98"/>
      <c r="I1544" s="99"/>
      <c r="J1544" s="101"/>
      <c r="K1544" s="109"/>
      <c r="L1544" s="110"/>
      <c r="M1544" s="111"/>
      <c r="N1544" s="99"/>
      <c r="O1544" s="112"/>
      <c r="P1544" s="112"/>
      <c r="Q1544" s="104" t="str">
        <f t="shared" si="146"/>
        <v/>
      </c>
      <c r="R1544" s="104" t="str">
        <f t="shared" si="147"/>
        <v/>
      </c>
      <c r="S1544" s="104" t="str">
        <f t="shared" si="148"/>
        <v/>
      </c>
      <c r="T1544" s="104" t="str">
        <f t="shared" si="149"/>
        <v/>
      </c>
      <c r="U1544" s="104" t="str">
        <f t="shared" si="150"/>
        <v/>
      </c>
      <c r="V1544" s="104" t="str">
        <f t="shared" si="151"/>
        <v/>
      </c>
      <c r="W1544" s="105"/>
    </row>
    <row r="1545" spans="1:23">
      <c r="A1545" s="92"/>
      <c r="B1545" s="123"/>
      <c r="C1545" s="107"/>
      <c r="D1545" s="389"/>
      <c r="E1545" s="389"/>
      <c r="F1545" s="118"/>
      <c r="G1545" s="108"/>
      <c r="H1545" s="98"/>
      <c r="I1545" s="99"/>
      <c r="J1545" s="101"/>
      <c r="K1545" s="109"/>
      <c r="L1545" s="110"/>
      <c r="M1545" s="111"/>
      <c r="N1545" s="99"/>
      <c r="O1545" s="112"/>
      <c r="P1545" s="112"/>
      <c r="Q1545" s="104" t="str">
        <f t="shared" si="146"/>
        <v/>
      </c>
      <c r="R1545" s="104" t="str">
        <f t="shared" si="147"/>
        <v/>
      </c>
      <c r="S1545" s="104" t="str">
        <f t="shared" si="148"/>
        <v/>
      </c>
      <c r="T1545" s="104" t="str">
        <f t="shared" si="149"/>
        <v/>
      </c>
      <c r="U1545" s="104" t="str">
        <f t="shared" si="150"/>
        <v/>
      </c>
      <c r="V1545" s="104" t="str">
        <f t="shared" si="151"/>
        <v/>
      </c>
      <c r="W1545" s="105"/>
    </row>
    <row r="1546" spans="1:23" ht="15" customHeight="1">
      <c r="A1546" s="92">
        <v>49</v>
      </c>
      <c r="B1546" s="121" t="s">
        <v>429</v>
      </c>
      <c r="C1546" s="122"/>
      <c r="D1546" s="797">
        <v>6.08</v>
      </c>
      <c r="E1546" s="797"/>
      <c r="F1546" s="118"/>
      <c r="G1546" s="108">
        <v>0.25</v>
      </c>
      <c r="H1546" s="98">
        <v>16</v>
      </c>
      <c r="I1546" s="99">
        <v>1</v>
      </c>
      <c r="J1546" s="101">
        <f>ROUND(3.975/G1546+1,0)</f>
        <v>17</v>
      </c>
      <c r="K1546" s="109">
        <f>D1546</f>
        <v>6.08</v>
      </c>
      <c r="L1546" s="110" t="str">
        <f>IF(O1546&lt;12,"0",0.049*H1546)</f>
        <v>0</v>
      </c>
      <c r="M1546" s="111">
        <v>0</v>
      </c>
      <c r="N1546" s="99">
        <f>M1546*2*H1546/1000</f>
        <v>0</v>
      </c>
      <c r="O1546" s="112">
        <f>(D1546)-N1546</f>
        <v>6.08</v>
      </c>
      <c r="P1546" s="112">
        <f>(I1546*J1546*O1546)+L1546</f>
        <v>103.36</v>
      </c>
      <c r="Q1546" s="104" t="str">
        <f t="shared" si="146"/>
        <v/>
      </c>
      <c r="R1546" s="104" t="str">
        <f t="shared" si="147"/>
        <v/>
      </c>
      <c r="S1546" s="104" t="str">
        <f t="shared" si="148"/>
        <v/>
      </c>
      <c r="T1546" s="104">
        <f t="shared" si="149"/>
        <v>103.36</v>
      </c>
      <c r="U1546" s="104" t="str">
        <f t="shared" si="150"/>
        <v/>
      </c>
      <c r="V1546" s="104" t="str">
        <f t="shared" si="151"/>
        <v/>
      </c>
      <c r="W1546" s="105"/>
    </row>
    <row r="1547" spans="1:23">
      <c r="A1547" s="92"/>
      <c r="B1547" s="121" t="s">
        <v>366</v>
      </c>
      <c r="C1547" s="107"/>
      <c r="D1547" s="389"/>
      <c r="E1547" s="389"/>
      <c r="F1547" s="118"/>
      <c r="G1547" s="108"/>
      <c r="H1547" s="98"/>
      <c r="I1547" s="99"/>
      <c r="J1547" s="101"/>
      <c r="K1547" s="109"/>
      <c r="L1547" s="110"/>
      <c r="M1547" s="111"/>
      <c r="N1547" s="99"/>
      <c r="O1547" s="112"/>
      <c r="P1547" s="112"/>
      <c r="Q1547" s="104" t="str">
        <f t="shared" si="146"/>
        <v/>
      </c>
      <c r="R1547" s="104" t="str">
        <f t="shared" si="147"/>
        <v/>
      </c>
      <c r="S1547" s="104" t="str">
        <f t="shared" si="148"/>
        <v/>
      </c>
      <c r="T1547" s="104" t="str">
        <f t="shared" si="149"/>
        <v/>
      </c>
      <c r="U1547" s="104" t="str">
        <f t="shared" si="150"/>
        <v/>
      </c>
      <c r="V1547" s="104" t="str">
        <f t="shared" si="151"/>
        <v/>
      </c>
      <c r="W1547" s="105"/>
    </row>
    <row r="1548" spans="1:23">
      <c r="A1548" s="92"/>
      <c r="B1548" s="123"/>
      <c r="C1548" s="107"/>
      <c r="D1548" s="389"/>
      <c r="E1548" s="389"/>
      <c r="F1548" s="118"/>
      <c r="G1548" s="108"/>
      <c r="H1548" s="98"/>
      <c r="I1548" s="99"/>
      <c r="J1548" s="101"/>
      <c r="K1548" s="109"/>
      <c r="L1548" s="110"/>
      <c r="M1548" s="111"/>
      <c r="N1548" s="99"/>
      <c r="O1548" s="112"/>
      <c r="P1548" s="112"/>
      <c r="Q1548" s="104" t="str">
        <f t="shared" si="146"/>
        <v/>
      </c>
      <c r="R1548" s="104" t="str">
        <f t="shared" si="147"/>
        <v/>
      </c>
      <c r="S1548" s="104" t="str">
        <f t="shared" si="148"/>
        <v/>
      </c>
      <c r="T1548" s="104" t="str">
        <f t="shared" si="149"/>
        <v/>
      </c>
      <c r="U1548" s="104" t="str">
        <f t="shared" si="150"/>
        <v/>
      </c>
      <c r="V1548" s="104" t="str">
        <f t="shared" si="151"/>
        <v/>
      </c>
      <c r="W1548" s="105"/>
    </row>
    <row r="1549" spans="1:23" ht="15" customHeight="1">
      <c r="A1549" s="92">
        <v>50</v>
      </c>
      <c r="B1549" s="121" t="s">
        <v>428</v>
      </c>
      <c r="C1549" s="122"/>
      <c r="D1549" s="797">
        <v>1.95</v>
      </c>
      <c r="E1549" s="797"/>
      <c r="F1549" s="118"/>
      <c r="G1549" s="108">
        <v>0.25</v>
      </c>
      <c r="H1549" s="98">
        <v>12</v>
      </c>
      <c r="I1549" s="99">
        <v>1</v>
      </c>
      <c r="J1549" s="101">
        <f>ROUND(6.08/G1549+1,0)</f>
        <v>25</v>
      </c>
      <c r="K1549" s="109">
        <f>D1549</f>
        <v>1.95</v>
      </c>
      <c r="L1549" s="110" t="str">
        <f>IF(O1549&lt;12,"0",0.049*H1549)</f>
        <v>0</v>
      </c>
      <c r="M1549" s="111">
        <v>0</v>
      </c>
      <c r="N1549" s="99">
        <f>M1549*2*H1549/1000</f>
        <v>0</v>
      </c>
      <c r="O1549" s="112">
        <f>(D1549)-N1549</f>
        <v>1.95</v>
      </c>
      <c r="P1549" s="112">
        <f>(I1549*J1549*O1549)+L1549</f>
        <v>48.75</v>
      </c>
      <c r="Q1549" s="104" t="str">
        <f t="shared" si="146"/>
        <v/>
      </c>
      <c r="R1549" s="104" t="str">
        <f t="shared" si="147"/>
        <v/>
      </c>
      <c r="S1549" s="104">
        <f t="shared" si="148"/>
        <v>48.75</v>
      </c>
      <c r="T1549" s="104" t="str">
        <f t="shared" si="149"/>
        <v/>
      </c>
      <c r="U1549" s="104" t="str">
        <f t="shared" si="150"/>
        <v/>
      </c>
      <c r="V1549" s="104" t="str">
        <f t="shared" si="151"/>
        <v/>
      </c>
      <c r="W1549" s="105"/>
    </row>
    <row r="1550" spans="1:23">
      <c r="A1550" s="92"/>
      <c r="B1550" s="121" t="s">
        <v>367</v>
      </c>
      <c r="C1550" s="107"/>
      <c r="D1550" s="389"/>
      <c r="E1550" s="389"/>
      <c r="F1550" s="118"/>
      <c r="G1550" s="108"/>
      <c r="H1550" s="98"/>
      <c r="I1550" s="99"/>
      <c r="J1550" s="101"/>
      <c r="K1550" s="109"/>
      <c r="L1550" s="110"/>
      <c r="M1550" s="111"/>
      <c r="N1550" s="99"/>
      <c r="O1550" s="112"/>
      <c r="P1550" s="112"/>
      <c r="Q1550" s="104" t="str">
        <f t="shared" si="146"/>
        <v/>
      </c>
      <c r="R1550" s="104" t="str">
        <f t="shared" si="147"/>
        <v/>
      </c>
      <c r="S1550" s="104" t="str">
        <f t="shared" si="148"/>
        <v/>
      </c>
      <c r="T1550" s="104" t="str">
        <f t="shared" si="149"/>
        <v/>
      </c>
      <c r="U1550" s="104" t="str">
        <f t="shared" si="150"/>
        <v/>
      </c>
      <c r="V1550" s="104" t="str">
        <f t="shared" si="151"/>
        <v/>
      </c>
      <c r="W1550" s="105"/>
    </row>
    <row r="1551" spans="1:23">
      <c r="A1551" s="92"/>
      <c r="B1551" s="123"/>
      <c r="C1551" s="107"/>
      <c r="D1551" s="389"/>
      <c r="E1551" s="389"/>
      <c r="F1551" s="118"/>
      <c r="G1551" s="108"/>
      <c r="H1551" s="98"/>
      <c r="I1551" s="99"/>
      <c r="J1551" s="101"/>
      <c r="K1551" s="109"/>
      <c r="L1551" s="110"/>
      <c r="M1551" s="111"/>
      <c r="N1551" s="99"/>
      <c r="O1551" s="112"/>
      <c r="P1551" s="112"/>
      <c r="Q1551" s="104" t="str">
        <f t="shared" si="146"/>
        <v/>
      </c>
      <c r="R1551" s="104" t="str">
        <f t="shared" si="147"/>
        <v/>
      </c>
      <c r="S1551" s="104" t="str">
        <f t="shared" si="148"/>
        <v/>
      </c>
      <c r="T1551" s="104" t="str">
        <f t="shared" si="149"/>
        <v/>
      </c>
      <c r="U1551" s="104" t="str">
        <f t="shared" si="150"/>
        <v/>
      </c>
      <c r="V1551" s="104" t="str">
        <f t="shared" si="151"/>
        <v/>
      </c>
      <c r="W1551" s="105"/>
    </row>
    <row r="1552" spans="1:23" ht="15" customHeight="1">
      <c r="A1552" s="92">
        <v>51</v>
      </c>
      <c r="B1552" s="121" t="s">
        <v>429</v>
      </c>
      <c r="C1552" s="122"/>
      <c r="D1552" s="797">
        <v>6.08</v>
      </c>
      <c r="E1552" s="797"/>
      <c r="F1552" s="118"/>
      <c r="G1552" s="108">
        <v>0.25</v>
      </c>
      <c r="H1552" s="98">
        <v>12</v>
      </c>
      <c r="I1552" s="99">
        <v>1</v>
      </c>
      <c r="J1552" s="101">
        <f>ROUND(1.95/G1552+1,0)</f>
        <v>9</v>
      </c>
      <c r="K1552" s="109">
        <f>D1552</f>
        <v>6.08</v>
      </c>
      <c r="L1552" s="110" t="str">
        <f>IF(O1552&lt;12,"0",0.049*H1552)</f>
        <v>0</v>
      </c>
      <c r="M1552" s="111">
        <v>0</v>
      </c>
      <c r="N1552" s="99">
        <f>M1552*2*H1552/1000</f>
        <v>0</v>
      </c>
      <c r="O1552" s="112">
        <f>(D1552)-N1552</f>
        <v>6.08</v>
      </c>
      <c r="P1552" s="112">
        <f>(I1552*J1552*O1552)+L1552</f>
        <v>54.72</v>
      </c>
      <c r="Q1552" s="104" t="str">
        <f t="shared" si="146"/>
        <v/>
      </c>
      <c r="R1552" s="104" t="str">
        <f t="shared" si="147"/>
        <v/>
      </c>
      <c r="S1552" s="104">
        <f t="shared" si="148"/>
        <v>54.72</v>
      </c>
      <c r="T1552" s="104" t="str">
        <f t="shared" si="149"/>
        <v/>
      </c>
      <c r="U1552" s="104" t="str">
        <f t="shared" si="150"/>
        <v/>
      </c>
      <c r="V1552" s="104" t="str">
        <f t="shared" si="151"/>
        <v/>
      </c>
      <c r="W1552" s="105"/>
    </row>
    <row r="1553" spans="1:23">
      <c r="A1553" s="92"/>
      <c r="B1553" s="121" t="s">
        <v>367</v>
      </c>
      <c r="C1553" s="107"/>
      <c r="D1553" s="389"/>
      <c r="E1553" s="389"/>
      <c r="F1553" s="118"/>
      <c r="G1553" s="108"/>
      <c r="H1553" s="98"/>
      <c r="I1553" s="99"/>
      <c r="J1553" s="101"/>
      <c r="K1553" s="109"/>
      <c r="L1553" s="110"/>
      <c r="M1553" s="111"/>
      <c r="N1553" s="99"/>
      <c r="O1553" s="112"/>
      <c r="P1553" s="112"/>
      <c r="Q1553" s="104" t="str">
        <f t="shared" si="146"/>
        <v/>
      </c>
      <c r="R1553" s="104" t="str">
        <f t="shared" si="147"/>
        <v/>
      </c>
      <c r="S1553" s="104" t="str">
        <f t="shared" si="148"/>
        <v/>
      </c>
      <c r="T1553" s="104" t="str">
        <f t="shared" si="149"/>
        <v/>
      </c>
      <c r="U1553" s="104" t="str">
        <f t="shared" si="150"/>
        <v/>
      </c>
      <c r="V1553" s="104" t="str">
        <f t="shared" si="151"/>
        <v/>
      </c>
      <c r="W1553" s="105"/>
    </row>
    <row r="1554" spans="1:23">
      <c r="A1554" s="92"/>
      <c r="B1554" s="123"/>
      <c r="C1554" s="107"/>
      <c r="D1554" s="389"/>
      <c r="E1554" s="389"/>
      <c r="F1554" s="118"/>
      <c r="G1554" s="108"/>
      <c r="H1554" s="98"/>
      <c r="I1554" s="99"/>
      <c r="J1554" s="101"/>
      <c r="K1554" s="109"/>
      <c r="L1554" s="110"/>
      <c r="M1554" s="111"/>
      <c r="N1554" s="99"/>
      <c r="O1554" s="112"/>
      <c r="P1554" s="112"/>
      <c r="Q1554" s="104" t="str">
        <f t="shared" si="146"/>
        <v/>
      </c>
      <c r="R1554" s="104" t="str">
        <f t="shared" si="147"/>
        <v/>
      </c>
      <c r="S1554" s="104" t="str">
        <f t="shared" si="148"/>
        <v/>
      </c>
      <c r="T1554" s="104" t="str">
        <f t="shared" si="149"/>
        <v/>
      </c>
      <c r="U1554" s="104" t="str">
        <f t="shared" si="150"/>
        <v/>
      </c>
      <c r="V1554" s="104" t="str">
        <f t="shared" si="151"/>
        <v/>
      </c>
      <c r="W1554" s="105"/>
    </row>
    <row r="1555" spans="1:23" ht="15" customHeight="1">
      <c r="A1555" s="92">
        <v>52</v>
      </c>
      <c r="B1555" s="121" t="s">
        <v>429</v>
      </c>
      <c r="C1555" s="122"/>
      <c r="D1555" s="797">
        <v>7.71</v>
      </c>
      <c r="E1555" s="797"/>
      <c r="F1555" s="118"/>
      <c r="G1555" s="108">
        <v>0.25</v>
      </c>
      <c r="H1555" s="98">
        <v>12</v>
      </c>
      <c r="I1555" s="99">
        <v>1</v>
      </c>
      <c r="J1555" s="101">
        <f>ROUND(2.635/G1555+1,0)</f>
        <v>12</v>
      </c>
      <c r="K1555" s="109">
        <f>D1555</f>
        <v>7.71</v>
      </c>
      <c r="L1555" s="110" t="str">
        <f>IF(O1555&lt;12,"0",0.049*H1555)</f>
        <v>0</v>
      </c>
      <c r="M1555" s="111">
        <v>0</v>
      </c>
      <c r="N1555" s="99">
        <f>M1555*2*H1555/1000</f>
        <v>0</v>
      </c>
      <c r="O1555" s="112">
        <f>(D1555)-N1555</f>
        <v>7.71</v>
      </c>
      <c r="P1555" s="112">
        <f>(I1555*J1555*O1555)+L1555</f>
        <v>92.52</v>
      </c>
      <c r="Q1555" s="104" t="str">
        <f t="shared" si="146"/>
        <v/>
      </c>
      <c r="R1555" s="104" t="str">
        <f t="shared" si="147"/>
        <v/>
      </c>
      <c r="S1555" s="104">
        <f t="shared" si="148"/>
        <v>92.52</v>
      </c>
      <c r="T1555" s="104" t="str">
        <f t="shared" si="149"/>
        <v/>
      </c>
      <c r="U1555" s="104" t="str">
        <f t="shared" si="150"/>
        <v/>
      </c>
      <c r="V1555" s="104" t="str">
        <f t="shared" si="151"/>
        <v/>
      </c>
      <c r="W1555" s="105"/>
    </row>
    <row r="1556" spans="1:23">
      <c r="A1556" s="92"/>
      <c r="B1556" s="121" t="s">
        <v>368</v>
      </c>
      <c r="C1556" s="107"/>
      <c r="D1556" s="389"/>
      <c r="E1556" s="389"/>
      <c r="F1556" s="118"/>
      <c r="G1556" s="108"/>
      <c r="H1556" s="98"/>
      <c r="I1556" s="99"/>
      <c r="J1556" s="101"/>
      <c r="K1556" s="109"/>
      <c r="L1556" s="110"/>
      <c r="M1556" s="111"/>
      <c r="N1556" s="99"/>
      <c r="O1556" s="112"/>
      <c r="P1556" s="112"/>
      <c r="Q1556" s="104" t="str">
        <f t="shared" si="146"/>
        <v/>
      </c>
      <c r="R1556" s="104" t="str">
        <f t="shared" si="147"/>
        <v/>
      </c>
      <c r="S1556" s="104" t="str">
        <f t="shared" si="148"/>
        <v/>
      </c>
      <c r="T1556" s="104" t="str">
        <f t="shared" si="149"/>
        <v/>
      </c>
      <c r="U1556" s="104" t="str">
        <f t="shared" si="150"/>
        <v/>
      </c>
      <c r="V1556" s="104" t="str">
        <f t="shared" si="151"/>
        <v/>
      </c>
      <c r="W1556" s="105"/>
    </row>
    <row r="1557" spans="1:23">
      <c r="A1557" s="92"/>
      <c r="B1557" s="123"/>
      <c r="C1557" s="107"/>
      <c r="D1557" s="389"/>
      <c r="E1557" s="389"/>
      <c r="F1557" s="118"/>
      <c r="G1557" s="108"/>
      <c r="H1557" s="98"/>
      <c r="I1557" s="99"/>
      <c r="J1557" s="101"/>
      <c r="K1557" s="109"/>
      <c r="L1557" s="110"/>
      <c r="M1557" s="111"/>
      <c r="N1557" s="99"/>
      <c r="O1557" s="112"/>
      <c r="P1557" s="112"/>
      <c r="Q1557" s="104" t="str">
        <f t="shared" si="146"/>
        <v/>
      </c>
      <c r="R1557" s="104" t="str">
        <f t="shared" si="147"/>
        <v/>
      </c>
      <c r="S1557" s="104" t="str">
        <f t="shared" si="148"/>
        <v/>
      </c>
      <c r="T1557" s="104" t="str">
        <f t="shared" si="149"/>
        <v/>
      </c>
      <c r="U1557" s="104" t="str">
        <f t="shared" si="150"/>
        <v/>
      </c>
      <c r="V1557" s="104" t="str">
        <f t="shared" si="151"/>
        <v/>
      </c>
      <c r="W1557" s="105"/>
    </row>
    <row r="1558" spans="1:23" ht="15" customHeight="1">
      <c r="A1558" s="92">
        <v>53</v>
      </c>
      <c r="B1558" s="121" t="s">
        <v>428</v>
      </c>
      <c r="C1558" s="122"/>
      <c r="D1558" s="797">
        <v>2.85</v>
      </c>
      <c r="E1558" s="797"/>
      <c r="F1558" s="118"/>
      <c r="G1558" s="108">
        <v>0.25</v>
      </c>
      <c r="H1558" s="98">
        <v>10</v>
      </c>
      <c r="I1558" s="99">
        <v>1</v>
      </c>
      <c r="J1558" s="101">
        <f>ROUND(4.12/G1558+1,0)</f>
        <v>17</v>
      </c>
      <c r="K1558" s="109">
        <f>D1558</f>
        <v>2.85</v>
      </c>
      <c r="L1558" s="110" t="str">
        <f>IF(O1558&lt;12,"0",0.049*H1558)</f>
        <v>0</v>
      </c>
      <c r="M1558" s="111">
        <v>0</v>
      </c>
      <c r="N1558" s="99">
        <f>M1558*2*H1558/1000</f>
        <v>0</v>
      </c>
      <c r="O1558" s="112">
        <f>(D1558)-N1558</f>
        <v>2.85</v>
      </c>
      <c r="P1558" s="112">
        <f>(I1558*J1558*O1558)+L1558</f>
        <v>48.45</v>
      </c>
      <c r="Q1558" s="104" t="str">
        <f t="shared" si="146"/>
        <v/>
      </c>
      <c r="R1558" s="104">
        <f t="shared" si="147"/>
        <v>48.45</v>
      </c>
      <c r="S1558" s="104" t="str">
        <f t="shared" si="148"/>
        <v/>
      </c>
      <c r="T1558" s="104" t="str">
        <f t="shared" si="149"/>
        <v/>
      </c>
      <c r="U1558" s="104" t="str">
        <f t="shared" si="150"/>
        <v/>
      </c>
      <c r="V1558" s="104" t="str">
        <f t="shared" si="151"/>
        <v/>
      </c>
      <c r="W1558" s="105"/>
    </row>
    <row r="1559" spans="1:23">
      <c r="A1559" s="92"/>
      <c r="B1559" s="121" t="s">
        <v>369</v>
      </c>
      <c r="C1559" s="107"/>
      <c r="D1559" s="389"/>
      <c r="E1559" s="389"/>
      <c r="F1559" s="118"/>
      <c r="G1559" s="108"/>
      <c r="H1559" s="98"/>
      <c r="I1559" s="99"/>
      <c r="J1559" s="101"/>
      <c r="K1559" s="109"/>
      <c r="L1559" s="110"/>
      <c r="M1559" s="111"/>
      <c r="N1559" s="99"/>
      <c r="O1559" s="112"/>
      <c r="P1559" s="112"/>
      <c r="Q1559" s="104" t="str">
        <f t="shared" si="146"/>
        <v/>
      </c>
      <c r="R1559" s="104" t="str">
        <f t="shared" si="147"/>
        <v/>
      </c>
      <c r="S1559" s="104" t="str">
        <f t="shared" si="148"/>
        <v/>
      </c>
      <c r="T1559" s="104" t="str">
        <f t="shared" si="149"/>
        <v/>
      </c>
      <c r="U1559" s="104" t="str">
        <f t="shared" si="150"/>
        <v/>
      </c>
      <c r="V1559" s="104" t="str">
        <f t="shared" si="151"/>
        <v/>
      </c>
      <c r="W1559" s="105"/>
    </row>
    <row r="1560" spans="1:23">
      <c r="A1560" s="92"/>
      <c r="B1560" s="123"/>
      <c r="C1560" s="107"/>
      <c r="D1560" s="389"/>
      <c r="E1560" s="389"/>
      <c r="F1560" s="118"/>
      <c r="G1560" s="108"/>
      <c r="H1560" s="98"/>
      <c r="I1560" s="99"/>
      <c r="J1560" s="101"/>
      <c r="K1560" s="109"/>
      <c r="L1560" s="110"/>
      <c r="M1560" s="111"/>
      <c r="N1560" s="99"/>
      <c r="O1560" s="112"/>
      <c r="P1560" s="112"/>
      <c r="Q1560" s="104" t="str">
        <f t="shared" si="146"/>
        <v/>
      </c>
      <c r="R1560" s="104" t="str">
        <f t="shared" si="147"/>
        <v/>
      </c>
      <c r="S1560" s="104" t="str">
        <f t="shared" si="148"/>
        <v/>
      </c>
      <c r="T1560" s="104" t="str">
        <f t="shared" si="149"/>
        <v/>
      </c>
      <c r="U1560" s="104" t="str">
        <f t="shared" si="150"/>
        <v/>
      </c>
      <c r="V1560" s="104" t="str">
        <f t="shared" si="151"/>
        <v/>
      </c>
      <c r="W1560" s="105"/>
    </row>
    <row r="1561" spans="1:23" ht="15" customHeight="1">
      <c r="A1561" s="92">
        <v>54</v>
      </c>
      <c r="B1561" s="121" t="s">
        <v>429</v>
      </c>
      <c r="C1561" s="122"/>
      <c r="D1561" s="797">
        <v>5.47</v>
      </c>
      <c r="E1561" s="797"/>
      <c r="F1561" s="118"/>
      <c r="G1561" s="108">
        <v>0.25</v>
      </c>
      <c r="H1561" s="98">
        <v>20</v>
      </c>
      <c r="I1561" s="99">
        <v>1</v>
      </c>
      <c r="J1561" s="101">
        <f>ROUND(8.16/G1561+1,0)</f>
        <v>34</v>
      </c>
      <c r="K1561" s="109">
        <f>D1561</f>
        <v>5.47</v>
      </c>
      <c r="L1561" s="110" t="str">
        <f>IF(O1561&lt;12,"0",0.049*H1561)</f>
        <v>0</v>
      </c>
      <c r="M1561" s="111">
        <v>0</v>
      </c>
      <c r="N1561" s="99">
        <f>M1561*2*H1561/1000</f>
        <v>0</v>
      </c>
      <c r="O1561" s="112">
        <f>(D1561)-N1561</f>
        <v>5.47</v>
      </c>
      <c r="P1561" s="112">
        <f>(I1561*J1561*O1561)+L1561</f>
        <v>185.98</v>
      </c>
      <c r="Q1561" s="104" t="str">
        <f t="shared" si="146"/>
        <v/>
      </c>
      <c r="R1561" s="104" t="str">
        <f t="shared" si="147"/>
        <v/>
      </c>
      <c r="S1561" s="104" t="str">
        <f t="shared" si="148"/>
        <v/>
      </c>
      <c r="T1561" s="104" t="str">
        <f t="shared" si="149"/>
        <v/>
      </c>
      <c r="U1561" s="104">
        <f t="shared" si="150"/>
        <v>185.98</v>
      </c>
      <c r="V1561" s="104" t="str">
        <f t="shared" si="151"/>
        <v/>
      </c>
      <c r="W1561" s="105"/>
    </row>
    <row r="1562" spans="1:23">
      <c r="A1562" s="92"/>
      <c r="B1562" s="121" t="s">
        <v>369</v>
      </c>
      <c r="C1562" s="107"/>
      <c r="D1562" s="389"/>
      <c r="E1562" s="389"/>
      <c r="F1562" s="118"/>
      <c r="G1562" s="108"/>
      <c r="H1562" s="98"/>
      <c r="I1562" s="99"/>
      <c r="J1562" s="101"/>
      <c r="K1562" s="109"/>
      <c r="L1562" s="110"/>
      <c r="M1562" s="111"/>
      <c r="N1562" s="99"/>
      <c r="O1562" s="112"/>
      <c r="P1562" s="112"/>
      <c r="Q1562" s="104" t="str">
        <f t="shared" si="146"/>
        <v/>
      </c>
      <c r="R1562" s="104" t="str">
        <f t="shared" si="147"/>
        <v/>
      </c>
      <c r="S1562" s="104" t="str">
        <f t="shared" si="148"/>
        <v/>
      </c>
      <c r="T1562" s="104" t="str">
        <f t="shared" si="149"/>
        <v/>
      </c>
      <c r="U1562" s="104" t="str">
        <f t="shared" si="150"/>
        <v/>
      </c>
      <c r="V1562" s="104" t="str">
        <f t="shared" si="151"/>
        <v/>
      </c>
      <c r="W1562" s="105"/>
    </row>
    <row r="1563" spans="1:23">
      <c r="A1563" s="92"/>
      <c r="B1563" s="123"/>
      <c r="C1563" s="107"/>
      <c r="D1563" s="389"/>
      <c r="E1563" s="389"/>
      <c r="F1563" s="118"/>
      <c r="G1563" s="108"/>
      <c r="H1563" s="98"/>
      <c r="I1563" s="99"/>
      <c r="J1563" s="101"/>
      <c r="K1563" s="109"/>
      <c r="L1563" s="110"/>
      <c r="M1563" s="111"/>
      <c r="N1563" s="99"/>
      <c r="O1563" s="112"/>
      <c r="P1563" s="112"/>
      <c r="Q1563" s="104" t="str">
        <f t="shared" si="146"/>
        <v/>
      </c>
      <c r="R1563" s="104" t="str">
        <f t="shared" si="147"/>
        <v/>
      </c>
      <c r="S1563" s="104" t="str">
        <f t="shared" si="148"/>
        <v/>
      </c>
      <c r="T1563" s="104" t="str">
        <f t="shared" si="149"/>
        <v/>
      </c>
      <c r="U1563" s="104" t="str">
        <f t="shared" si="150"/>
        <v/>
      </c>
      <c r="V1563" s="104" t="str">
        <f t="shared" si="151"/>
        <v/>
      </c>
      <c r="W1563" s="105"/>
    </row>
    <row r="1564" spans="1:23" ht="15" customHeight="1">
      <c r="A1564" s="92">
        <v>55</v>
      </c>
      <c r="B1564" s="121" t="s">
        <v>429</v>
      </c>
      <c r="C1564" s="122"/>
      <c r="D1564" s="797">
        <v>4.1900000000000004</v>
      </c>
      <c r="E1564" s="797"/>
      <c r="F1564" s="118"/>
      <c r="G1564" s="108">
        <v>0.25</v>
      </c>
      <c r="H1564" s="98">
        <v>16</v>
      </c>
      <c r="I1564" s="99">
        <v>1</v>
      </c>
      <c r="J1564" s="101">
        <f>ROUND(2.56/G1564+1,0)</f>
        <v>11</v>
      </c>
      <c r="K1564" s="109">
        <f>D1564</f>
        <v>4.1900000000000004</v>
      </c>
      <c r="L1564" s="110" t="str">
        <f>IF(O1564&lt;12,"0",0.049*H1564)</f>
        <v>0</v>
      </c>
      <c r="M1564" s="111">
        <v>0</v>
      </c>
      <c r="N1564" s="99">
        <f>M1564*2*H1564/1000</f>
        <v>0</v>
      </c>
      <c r="O1564" s="112">
        <f>(D1564)-N1564</f>
        <v>4.1900000000000004</v>
      </c>
      <c r="P1564" s="112">
        <f>(I1564*J1564*O1564)+L1564</f>
        <v>46.09</v>
      </c>
      <c r="Q1564" s="104" t="str">
        <f t="shared" si="146"/>
        <v/>
      </c>
      <c r="R1564" s="104" t="str">
        <f t="shared" si="147"/>
        <v/>
      </c>
      <c r="S1564" s="104" t="str">
        <f t="shared" si="148"/>
        <v/>
      </c>
      <c r="T1564" s="104">
        <f t="shared" si="149"/>
        <v>46.09</v>
      </c>
      <c r="U1564" s="104" t="str">
        <f t="shared" si="150"/>
        <v/>
      </c>
      <c r="V1564" s="104" t="str">
        <f t="shared" si="151"/>
        <v/>
      </c>
      <c r="W1564" s="105"/>
    </row>
    <row r="1565" spans="1:23">
      <c r="A1565" s="92"/>
      <c r="B1565" s="121" t="s">
        <v>369</v>
      </c>
      <c r="C1565" s="107"/>
      <c r="D1565" s="389"/>
      <c r="E1565" s="389"/>
      <c r="F1565" s="118"/>
      <c r="G1565" s="108"/>
      <c r="H1565" s="98"/>
      <c r="I1565" s="99"/>
      <c r="J1565" s="101"/>
      <c r="K1565" s="109"/>
      <c r="L1565" s="110"/>
      <c r="M1565" s="111"/>
      <c r="N1565" s="99"/>
      <c r="O1565" s="112"/>
      <c r="P1565" s="112"/>
      <c r="Q1565" s="104" t="str">
        <f t="shared" si="146"/>
        <v/>
      </c>
      <c r="R1565" s="104" t="str">
        <f t="shared" si="147"/>
        <v/>
      </c>
      <c r="S1565" s="104" t="str">
        <f t="shared" si="148"/>
        <v/>
      </c>
      <c r="T1565" s="104" t="str">
        <f t="shared" si="149"/>
        <v/>
      </c>
      <c r="U1565" s="104" t="str">
        <f t="shared" si="150"/>
        <v/>
      </c>
      <c r="V1565" s="104" t="str">
        <f t="shared" si="151"/>
        <v/>
      </c>
      <c r="W1565" s="105"/>
    </row>
    <row r="1566" spans="1:23">
      <c r="A1566" s="92"/>
      <c r="B1566" s="123"/>
      <c r="C1566" s="107"/>
      <c r="D1566" s="389"/>
      <c r="E1566" s="389"/>
      <c r="F1566" s="118"/>
      <c r="G1566" s="108"/>
      <c r="H1566" s="98"/>
      <c r="I1566" s="99"/>
      <c r="J1566" s="101"/>
      <c r="K1566" s="109"/>
      <c r="L1566" s="110"/>
      <c r="M1566" s="111"/>
      <c r="N1566" s="99"/>
      <c r="O1566" s="112"/>
      <c r="P1566" s="112"/>
      <c r="Q1566" s="104" t="str">
        <f t="shared" si="146"/>
        <v/>
      </c>
      <c r="R1566" s="104" t="str">
        <f t="shared" si="147"/>
        <v/>
      </c>
      <c r="S1566" s="104" t="str">
        <f t="shared" si="148"/>
        <v/>
      </c>
      <c r="T1566" s="104" t="str">
        <f t="shared" si="149"/>
        <v/>
      </c>
      <c r="U1566" s="104" t="str">
        <f t="shared" si="150"/>
        <v/>
      </c>
      <c r="V1566" s="104" t="str">
        <f t="shared" si="151"/>
        <v/>
      </c>
      <c r="W1566" s="105"/>
    </row>
    <row r="1567" spans="1:23">
      <c r="A1567" s="92"/>
      <c r="B1567" s="121"/>
      <c r="C1567" s="107"/>
      <c r="D1567" s="389"/>
      <c r="E1567" s="389"/>
      <c r="F1567" s="118"/>
      <c r="G1567" s="108"/>
      <c r="H1567" s="98"/>
      <c r="I1567" s="99"/>
      <c r="J1567" s="101"/>
      <c r="K1567" s="109"/>
      <c r="L1567" s="110"/>
      <c r="M1567" s="111"/>
      <c r="N1567" s="99"/>
      <c r="O1567" s="112"/>
      <c r="P1567" s="112"/>
      <c r="Q1567" s="104" t="str">
        <f t="shared" si="146"/>
        <v/>
      </c>
      <c r="R1567" s="104" t="str">
        <f t="shared" si="147"/>
        <v/>
      </c>
      <c r="S1567" s="104" t="str">
        <f t="shared" si="148"/>
        <v/>
      </c>
      <c r="T1567" s="104" t="str">
        <f t="shared" si="149"/>
        <v/>
      </c>
      <c r="U1567" s="104" t="str">
        <f t="shared" si="150"/>
        <v/>
      </c>
      <c r="V1567" s="104" t="str">
        <f t="shared" si="151"/>
        <v/>
      </c>
      <c r="W1567" s="105"/>
    </row>
    <row r="1568" spans="1:23">
      <c r="A1568" s="92"/>
      <c r="B1568" s="106"/>
      <c r="C1568" s="107"/>
      <c r="D1568" s="389"/>
      <c r="E1568" s="389"/>
      <c r="F1568" s="118"/>
      <c r="G1568" s="108"/>
      <c r="H1568" s="98"/>
      <c r="I1568" s="99"/>
      <c r="J1568" s="101"/>
      <c r="K1568" s="109"/>
      <c r="L1568" s="110"/>
      <c r="M1568" s="111"/>
      <c r="N1568" s="99"/>
      <c r="O1568" s="112"/>
      <c r="P1568" s="112"/>
      <c r="Q1568" s="104" t="str">
        <f t="shared" si="146"/>
        <v/>
      </c>
      <c r="R1568" s="104" t="str">
        <f t="shared" si="147"/>
        <v/>
      </c>
      <c r="S1568" s="104" t="str">
        <f t="shared" si="148"/>
        <v/>
      </c>
      <c r="T1568" s="104" t="str">
        <f t="shared" si="149"/>
        <v/>
      </c>
      <c r="U1568" s="104" t="str">
        <f t="shared" si="150"/>
        <v/>
      </c>
      <c r="V1568" s="104" t="str">
        <f t="shared" si="151"/>
        <v/>
      </c>
      <c r="W1568" s="105"/>
    </row>
    <row r="1569" spans="1:24">
      <c r="A1569" s="92"/>
      <c r="B1569" s="113"/>
      <c r="C1569" s="94"/>
      <c r="D1569" s="95"/>
      <c r="E1569" s="95"/>
      <c r="F1569" s="96"/>
      <c r="G1569" s="97"/>
      <c r="H1569" s="98"/>
      <c r="I1569" s="99"/>
      <c r="J1569" s="99"/>
      <c r="K1569" s="100"/>
      <c r="L1569" s="99"/>
      <c r="M1569" s="99"/>
      <c r="N1569" s="99"/>
      <c r="O1569" s="99"/>
      <c r="P1569" s="101"/>
      <c r="Q1569" s="104" t="str">
        <f t="shared" ref="Q1569" si="152">IF($H1569=8,$P1569,"")</f>
        <v/>
      </c>
      <c r="R1569" s="104" t="str">
        <f t="shared" ref="R1569" si="153">IF($H1569=10,$P1569,"")</f>
        <v/>
      </c>
      <c r="S1569" s="104" t="str">
        <f t="shared" ref="S1569" si="154">IF($H1569=12,$P1569,"")</f>
        <v/>
      </c>
      <c r="T1569" s="104" t="str">
        <f t="shared" ref="T1569" si="155">IF($H1569=16,$P1569,"")</f>
        <v/>
      </c>
      <c r="U1569" s="104" t="str">
        <f t="shared" ref="U1569" si="156">IF($H1569=20,$P1569,"")</f>
        <v/>
      </c>
      <c r="V1569" s="104" t="str">
        <f t="shared" ref="V1569" si="157">IF($H1569=25,$P1569,"")</f>
        <v/>
      </c>
      <c r="W1569" s="105"/>
    </row>
    <row r="1570" spans="1:24">
      <c r="A1570" s="390"/>
      <c r="B1570" s="126" t="s">
        <v>370</v>
      </c>
      <c r="C1570" s="787"/>
      <c r="D1570" s="788"/>
      <c r="E1570" s="788"/>
      <c r="F1570" s="789"/>
      <c r="G1570" s="127"/>
      <c r="H1570" s="127"/>
      <c r="I1570" s="391"/>
      <c r="J1570" s="391"/>
      <c r="K1570" s="394"/>
      <c r="L1570" s="391"/>
      <c r="M1570" s="391"/>
      <c r="N1570" s="391"/>
      <c r="O1570" s="391"/>
      <c r="P1570" s="391"/>
      <c r="Q1570" s="130">
        <f t="shared" ref="Q1570:V1570" si="158">SUM(Q790:Q1569)</f>
        <v>0</v>
      </c>
      <c r="R1570" s="130">
        <f t="shared" si="158"/>
        <v>930.71000000000015</v>
      </c>
      <c r="S1570" s="130">
        <f t="shared" si="158"/>
        <v>1298.1789999999999</v>
      </c>
      <c r="T1570" s="130">
        <f t="shared" si="158"/>
        <v>16128.449000000001</v>
      </c>
      <c r="U1570" s="130">
        <f t="shared" si="158"/>
        <v>6380.6249999999973</v>
      </c>
      <c r="V1570" s="130">
        <f t="shared" si="158"/>
        <v>2199.06</v>
      </c>
      <c r="W1570" s="131"/>
    </row>
    <row r="1571" spans="1:24">
      <c r="A1571" s="390"/>
      <c r="B1571" s="126" t="s">
        <v>371</v>
      </c>
      <c r="C1571" s="790"/>
      <c r="D1571" s="790"/>
      <c r="E1571" s="790"/>
      <c r="F1571" s="790"/>
      <c r="G1571" s="127"/>
      <c r="H1571" s="127"/>
      <c r="I1571" s="391"/>
      <c r="J1571" s="391"/>
      <c r="K1571" s="394"/>
      <c r="L1571" s="391"/>
      <c r="M1571" s="391"/>
      <c r="N1571" s="391"/>
      <c r="O1571" s="391"/>
      <c r="P1571" s="391"/>
      <c r="Q1571" s="391">
        <v>0.39500000000000002</v>
      </c>
      <c r="R1571" s="391">
        <v>0.61699999999999999</v>
      </c>
      <c r="S1571" s="391">
        <v>0.88800000000000001</v>
      </c>
      <c r="T1571" s="391">
        <v>1.58</v>
      </c>
      <c r="U1571" s="391">
        <v>2.4689999999999999</v>
      </c>
      <c r="V1571" s="391">
        <v>3.8580000000000001</v>
      </c>
      <c r="W1571" s="131"/>
    </row>
    <row r="1572" spans="1:24">
      <c r="A1572" s="390"/>
      <c r="B1572" s="126" t="s">
        <v>372</v>
      </c>
      <c r="C1572" s="790"/>
      <c r="D1572" s="790"/>
      <c r="E1572" s="790"/>
      <c r="F1572" s="790"/>
      <c r="G1572" s="127"/>
      <c r="H1572" s="127"/>
      <c r="I1572" s="391"/>
      <c r="J1572" s="391"/>
      <c r="K1572" s="394"/>
      <c r="L1572" s="391"/>
      <c r="M1572" s="391"/>
      <c r="N1572" s="391"/>
      <c r="O1572" s="391"/>
      <c r="P1572" s="391"/>
      <c r="Q1572" s="132">
        <f t="shared" ref="Q1572" si="159">Q1570*Q1571</f>
        <v>0</v>
      </c>
      <c r="R1572" s="132">
        <f>R1570*R1571</f>
        <v>574.2480700000001</v>
      </c>
      <c r="S1572" s="132">
        <f t="shared" ref="S1572:V1572" si="160">S1570*S1571</f>
        <v>1152.7829519999998</v>
      </c>
      <c r="T1572" s="132">
        <f t="shared" si="160"/>
        <v>25482.949420000001</v>
      </c>
      <c r="U1572" s="132">
        <f t="shared" si="160"/>
        <v>15753.763124999992</v>
      </c>
      <c r="V1572" s="132">
        <f t="shared" si="160"/>
        <v>8483.9734800000006</v>
      </c>
      <c r="W1572" s="131">
        <f>SUM(Q1572:V1572)</f>
        <v>51447.717046999991</v>
      </c>
      <c r="X1572" s="121" t="s">
        <v>59</v>
      </c>
    </row>
    <row r="1575" spans="1:24" ht="15.75">
      <c r="A1575" s="791" t="s">
        <v>654</v>
      </c>
      <c r="B1575" s="792"/>
      <c r="C1575" s="792"/>
      <c r="D1575" s="792"/>
      <c r="E1575" s="792"/>
      <c r="F1575" s="792"/>
      <c r="G1575" s="792"/>
      <c r="H1575" s="792"/>
      <c r="I1575" s="792"/>
      <c r="J1575" s="792"/>
      <c r="K1575" s="792"/>
      <c r="L1575" s="792"/>
      <c r="M1575" s="792"/>
      <c r="N1575" s="792"/>
      <c r="O1575" s="792"/>
      <c r="P1575" s="792"/>
      <c r="Q1575" s="792"/>
      <c r="R1575" s="792"/>
      <c r="S1575" s="792"/>
      <c r="T1575" s="792"/>
      <c r="U1575" s="792"/>
      <c r="V1575" s="792"/>
      <c r="W1575" s="793"/>
    </row>
    <row r="1576" spans="1:24">
      <c r="A1576" s="167"/>
      <c r="B1576" s="167"/>
      <c r="C1576" s="714"/>
      <c r="D1576" s="759"/>
      <c r="E1576" s="759"/>
      <c r="F1576" s="715"/>
      <c r="G1576" s="167"/>
      <c r="H1576" s="167"/>
      <c r="I1576" s="167"/>
      <c r="J1576" s="167"/>
      <c r="K1576" s="432"/>
      <c r="L1576" s="167"/>
      <c r="M1576" s="167"/>
      <c r="N1576" s="167"/>
      <c r="O1576" s="167"/>
      <c r="P1576" s="167"/>
      <c r="Q1576" s="167"/>
      <c r="R1576" s="167"/>
      <c r="S1576" s="167"/>
      <c r="T1576" s="167"/>
      <c r="U1576" s="167"/>
      <c r="V1576" s="167"/>
      <c r="W1576" s="167"/>
    </row>
    <row r="1577" spans="1:24">
      <c r="A1577" s="92" t="s">
        <v>229</v>
      </c>
      <c r="B1577" s="93" t="s">
        <v>230</v>
      </c>
      <c r="C1577" s="94"/>
      <c r="D1577" s="95"/>
      <c r="E1577" s="95"/>
      <c r="F1577" s="96"/>
      <c r="G1577" s="97"/>
      <c r="H1577" s="98"/>
      <c r="I1577" s="99"/>
      <c r="J1577" s="99"/>
      <c r="K1577" s="100"/>
      <c r="L1577" s="99"/>
      <c r="M1577" s="99"/>
      <c r="N1577" s="99"/>
      <c r="O1577" s="99"/>
      <c r="P1577" s="101"/>
      <c r="Q1577" s="102" t="s">
        <v>231</v>
      </c>
      <c r="R1577" s="102" t="s">
        <v>232</v>
      </c>
      <c r="S1577" s="102" t="s">
        <v>233</v>
      </c>
      <c r="T1577" s="102" t="s">
        <v>234</v>
      </c>
      <c r="U1577" s="102" t="s">
        <v>235</v>
      </c>
      <c r="V1577" s="102" t="s">
        <v>236</v>
      </c>
      <c r="W1577" s="102"/>
    </row>
    <row r="1578" spans="1:24">
      <c r="A1578" s="92">
        <v>1</v>
      </c>
      <c r="B1578" s="106" t="s">
        <v>619</v>
      </c>
      <c r="C1578" s="94"/>
      <c r="D1578" s="95"/>
      <c r="E1578" s="95"/>
      <c r="F1578" s="96"/>
      <c r="G1578" s="97"/>
      <c r="H1578" s="98"/>
      <c r="I1578" s="99"/>
      <c r="J1578" s="99"/>
      <c r="K1578" s="100"/>
      <c r="L1578" s="99"/>
      <c r="M1578" s="99"/>
      <c r="N1578" s="99"/>
      <c r="O1578" s="99"/>
      <c r="P1578" s="101"/>
      <c r="Q1578" s="104" t="str">
        <f t="shared" ref="Q1578:Q1589" si="161">IF($H1578=8,$P1578,"")</f>
        <v/>
      </c>
      <c r="R1578" s="104" t="str">
        <f t="shared" ref="R1578:R1589" si="162">IF($H1578=10,$P1578,"")</f>
        <v/>
      </c>
      <c r="S1578" s="104" t="str">
        <f t="shared" ref="S1578:S1589" si="163">IF($H1578=12,$P1578,"")</f>
        <v/>
      </c>
      <c r="T1578" s="104" t="str">
        <f t="shared" ref="T1578:T1589" si="164">IF($H1578=16,$P1578,"")</f>
        <v/>
      </c>
      <c r="U1578" s="104" t="str">
        <f t="shared" ref="U1578:U1589" si="165">IF($H1578=20,$P1578,"")</f>
        <v/>
      </c>
      <c r="V1578" s="104" t="str">
        <f t="shared" ref="V1578:V1589" si="166">IF($H1578=25,$P1578,"")</f>
        <v/>
      </c>
      <c r="W1578" s="105"/>
    </row>
    <row r="1579" spans="1:24">
      <c r="A1579" s="92"/>
      <c r="B1579" s="27" t="s">
        <v>239</v>
      </c>
      <c r="C1579" s="107"/>
      <c r="D1579" s="786">
        <v>0.9</v>
      </c>
      <c r="E1579" s="786"/>
      <c r="F1579" s="118"/>
      <c r="G1579" s="108">
        <v>0.25</v>
      </c>
      <c r="H1579" s="98">
        <v>16</v>
      </c>
      <c r="I1579" s="99">
        <v>1</v>
      </c>
      <c r="J1579" s="101">
        <f>ROUNDDOWN(25.8/G1579/2+1,0)/2</f>
        <v>26</v>
      </c>
      <c r="K1579" s="109">
        <f>D1579</f>
        <v>0.9</v>
      </c>
      <c r="L1579" s="110">
        <v>0</v>
      </c>
      <c r="M1579" s="111">
        <v>2</v>
      </c>
      <c r="N1579" s="99">
        <f>M1579*2*H1579/1000</f>
        <v>6.4000000000000001E-2</v>
      </c>
      <c r="O1579" s="112">
        <f>(D1579+C1579+F1579)-N1579</f>
        <v>0.83600000000000008</v>
      </c>
      <c r="P1579" s="112">
        <f>(I1579*J1579*O1579)+L1579</f>
        <v>21.736000000000001</v>
      </c>
      <c r="Q1579" s="104" t="str">
        <f t="shared" si="161"/>
        <v/>
      </c>
      <c r="R1579" s="104" t="str">
        <f t="shared" si="162"/>
        <v/>
      </c>
      <c r="S1579" s="104" t="str">
        <f t="shared" si="163"/>
        <v/>
      </c>
      <c r="T1579" s="104">
        <f t="shared" si="164"/>
        <v>21.736000000000001</v>
      </c>
      <c r="U1579" s="104" t="str">
        <f t="shared" si="165"/>
        <v/>
      </c>
      <c r="V1579" s="104" t="str">
        <f t="shared" si="166"/>
        <v/>
      </c>
      <c r="W1579" s="105"/>
    </row>
    <row r="1580" spans="1:24">
      <c r="A1580" s="92"/>
      <c r="B1580" s="105"/>
      <c r="C1580" s="94"/>
      <c r="D1580" s="95"/>
      <c r="E1580" s="95"/>
      <c r="F1580" s="96"/>
      <c r="G1580" s="97"/>
      <c r="H1580" s="98"/>
      <c r="I1580" s="99"/>
      <c r="J1580" s="99"/>
      <c r="K1580" s="109"/>
      <c r="L1580" s="112"/>
      <c r="M1580" s="112"/>
      <c r="N1580" s="99"/>
      <c r="O1580" s="112"/>
      <c r="P1580" s="112"/>
      <c r="Q1580" s="104" t="str">
        <f t="shared" si="161"/>
        <v/>
      </c>
      <c r="R1580" s="104" t="str">
        <f t="shared" si="162"/>
        <v/>
      </c>
      <c r="S1580" s="104" t="str">
        <f t="shared" si="163"/>
        <v/>
      </c>
      <c r="T1580" s="104" t="str">
        <f t="shared" si="164"/>
        <v/>
      </c>
      <c r="U1580" s="104" t="str">
        <f t="shared" si="165"/>
        <v/>
      </c>
      <c r="V1580" s="104" t="str">
        <f t="shared" si="166"/>
        <v/>
      </c>
      <c r="W1580" s="105"/>
    </row>
    <row r="1581" spans="1:24">
      <c r="A1581" s="92">
        <v>2</v>
      </c>
      <c r="B1581" s="106" t="s">
        <v>619</v>
      </c>
      <c r="C1581" s="94"/>
      <c r="D1581" s="95"/>
      <c r="E1581" s="95"/>
      <c r="F1581" s="96"/>
      <c r="G1581" s="97"/>
      <c r="H1581" s="98"/>
      <c r="I1581" s="99"/>
      <c r="J1581" s="99"/>
      <c r="K1581" s="100"/>
      <c r="L1581" s="99"/>
      <c r="M1581" s="99"/>
      <c r="N1581" s="99"/>
      <c r="O1581" s="99"/>
      <c r="P1581" s="101"/>
      <c r="Q1581" s="104" t="str">
        <f t="shared" si="161"/>
        <v/>
      </c>
      <c r="R1581" s="104" t="str">
        <f t="shared" si="162"/>
        <v/>
      </c>
      <c r="S1581" s="104" t="str">
        <f t="shared" si="163"/>
        <v/>
      </c>
      <c r="T1581" s="104" t="str">
        <f t="shared" si="164"/>
        <v/>
      </c>
      <c r="U1581" s="104" t="str">
        <f t="shared" si="165"/>
        <v/>
      </c>
      <c r="V1581" s="104" t="str">
        <f t="shared" si="166"/>
        <v/>
      </c>
      <c r="W1581" s="105"/>
    </row>
    <row r="1582" spans="1:24">
      <c r="A1582" s="92"/>
      <c r="B1582" s="27" t="s">
        <v>239</v>
      </c>
      <c r="C1582" s="107"/>
      <c r="D1582" s="786">
        <v>0.9</v>
      </c>
      <c r="E1582" s="786"/>
      <c r="F1582" s="118"/>
      <c r="G1582" s="108">
        <v>0.25</v>
      </c>
      <c r="H1582" s="98">
        <v>16</v>
      </c>
      <c r="I1582" s="99">
        <v>1</v>
      </c>
      <c r="J1582" s="101">
        <f>ROUNDDOWN(25.8/G1582/2+1,0)/2</f>
        <v>26</v>
      </c>
      <c r="K1582" s="109">
        <f>D1582</f>
        <v>0.9</v>
      </c>
      <c r="L1582" s="110">
        <f>H1582*0.049</f>
        <v>0.78400000000000003</v>
      </c>
      <c r="M1582" s="111">
        <v>2</v>
      </c>
      <c r="N1582" s="99">
        <f>M1582*2*H1582/1000</f>
        <v>6.4000000000000001E-2</v>
      </c>
      <c r="O1582" s="112">
        <f>(D1582+C1582+F1582)-N1582</f>
        <v>0.83600000000000008</v>
      </c>
      <c r="P1582" s="112">
        <f>(I1582*J1582*O1582)+L1582</f>
        <v>22.52</v>
      </c>
      <c r="Q1582" s="104" t="str">
        <f t="shared" si="161"/>
        <v/>
      </c>
      <c r="R1582" s="104" t="str">
        <f t="shared" si="162"/>
        <v/>
      </c>
      <c r="S1582" s="104" t="str">
        <f t="shared" si="163"/>
        <v/>
      </c>
      <c r="T1582" s="104">
        <f t="shared" si="164"/>
        <v>22.52</v>
      </c>
      <c r="U1582" s="104" t="str">
        <f t="shared" si="165"/>
        <v/>
      </c>
      <c r="V1582" s="104" t="str">
        <f t="shared" si="166"/>
        <v/>
      </c>
      <c r="W1582" s="105"/>
    </row>
    <row r="1583" spans="1:24">
      <c r="A1583" s="92"/>
      <c r="B1583" s="105"/>
      <c r="C1583" s="94"/>
      <c r="D1583" s="95"/>
      <c r="E1583" s="95"/>
      <c r="F1583" s="96"/>
      <c r="G1583" s="97"/>
      <c r="H1583" s="98"/>
      <c r="I1583" s="99"/>
      <c r="J1583" s="99"/>
      <c r="K1583" s="109"/>
      <c r="L1583" s="112"/>
      <c r="M1583" s="112"/>
      <c r="N1583" s="99"/>
      <c r="O1583" s="112"/>
      <c r="P1583" s="112"/>
      <c r="Q1583" s="104" t="str">
        <f t="shared" si="161"/>
        <v/>
      </c>
      <c r="R1583" s="104" t="str">
        <f t="shared" si="162"/>
        <v/>
      </c>
      <c r="S1583" s="104" t="str">
        <f t="shared" si="163"/>
        <v/>
      </c>
      <c r="T1583" s="104" t="str">
        <f t="shared" si="164"/>
        <v/>
      </c>
      <c r="U1583" s="104" t="str">
        <f t="shared" si="165"/>
        <v/>
      </c>
      <c r="V1583" s="104" t="str">
        <f t="shared" si="166"/>
        <v/>
      </c>
      <c r="W1583" s="105"/>
    </row>
    <row r="1584" spans="1:24">
      <c r="A1584" s="92">
        <v>1</v>
      </c>
      <c r="B1584" s="106" t="s">
        <v>619</v>
      </c>
      <c r="C1584" s="94"/>
      <c r="D1584" s="95"/>
      <c r="E1584" s="95"/>
      <c r="F1584" s="96"/>
      <c r="G1584" s="97"/>
      <c r="H1584" s="98"/>
      <c r="I1584" s="99"/>
      <c r="J1584" s="99"/>
      <c r="K1584" s="100"/>
      <c r="L1584" s="99"/>
      <c r="M1584" s="99"/>
      <c r="N1584" s="99"/>
      <c r="O1584" s="99"/>
      <c r="P1584" s="101"/>
      <c r="Q1584" s="104" t="str">
        <f t="shared" si="161"/>
        <v/>
      </c>
      <c r="R1584" s="104" t="str">
        <f t="shared" si="162"/>
        <v/>
      </c>
      <c r="S1584" s="104" t="str">
        <f t="shared" si="163"/>
        <v/>
      </c>
      <c r="T1584" s="104" t="str">
        <f t="shared" si="164"/>
        <v/>
      </c>
      <c r="U1584" s="104" t="str">
        <f t="shared" si="165"/>
        <v/>
      </c>
      <c r="V1584" s="104" t="str">
        <f t="shared" si="166"/>
        <v/>
      </c>
      <c r="W1584" s="105"/>
    </row>
    <row r="1585" spans="1:24">
      <c r="A1585" s="92"/>
      <c r="B1585" s="27" t="s">
        <v>653</v>
      </c>
      <c r="C1585" s="107"/>
      <c r="D1585" s="786">
        <v>0.9</v>
      </c>
      <c r="E1585" s="786"/>
      <c r="F1585" s="118"/>
      <c r="G1585" s="108">
        <v>0.25</v>
      </c>
      <c r="H1585" s="98">
        <v>16</v>
      </c>
      <c r="I1585" s="99">
        <v>1</v>
      </c>
      <c r="J1585" s="101">
        <f>ROUNDDOWN(25.8/G1585/2+1,0)/2</f>
        <v>26</v>
      </c>
      <c r="K1585" s="109">
        <f>D1585</f>
        <v>0.9</v>
      </c>
      <c r="L1585" s="110">
        <v>0</v>
      </c>
      <c r="M1585" s="111">
        <v>2</v>
      </c>
      <c r="N1585" s="99">
        <f>M1585*2*H1585/1000</f>
        <v>6.4000000000000001E-2</v>
      </c>
      <c r="O1585" s="112">
        <f>(D1585+C1585+F1585)-N1585</f>
        <v>0.83600000000000008</v>
      </c>
      <c r="P1585" s="112">
        <f>(I1585*J1585*O1585)+L1585</f>
        <v>21.736000000000001</v>
      </c>
      <c r="Q1585" s="104" t="str">
        <f t="shared" si="161"/>
        <v/>
      </c>
      <c r="R1585" s="104" t="str">
        <f t="shared" si="162"/>
        <v/>
      </c>
      <c r="S1585" s="104" t="str">
        <f t="shared" si="163"/>
        <v/>
      </c>
      <c r="T1585" s="104">
        <f t="shared" si="164"/>
        <v>21.736000000000001</v>
      </c>
      <c r="U1585" s="104" t="str">
        <f t="shared" si="165"/>
        <v/>
      </c>
      <c r="V1585" s="104" t="str">
        <f t="shared" si="166"/>
        <v/>
      </c>
      <c r="W1585" s="105"/>
    </row>
    <row r="1586" spans="1:24">
      <c r="A1586" s="92"/>
      <c r="B1586" s="105"/>
      <c r="C1586" s="94"/>
      <c r="D1586" s="95"/>
      <c r="E1586" s="95"/>
      <c r="F1586" s="96"/>
      <c r="G1586" s="97"/>
      <c r="H1586" s="98"/>
      <c r="I1586" s="99"/>
      <c r="J1586" s="99"/>
      <c r="K1586" s="109"/>
      <c r="L1586" s="112"/>
      <c r="M1586" s="112"/>
      <c r="N1586" s="99"/>
      <c r="O1586" s="112"/>
      <c r="P1586" s="112"/>
      <c r="Q1586" s="104" t="str">
        <f t="shared" si="161"/>
        <v/>
      </c>
      <c r="R1586" s="104" t="str">
        <f t="shared" si="162"/>
        <v/>
      </c>
      <c r="S1586" s="104" t="str">
        <f t="shared" si="163"/>
        <v/>
      </c>
      <c r="T1586" s="104" t="str">
        <f t="shared" si="164"/>
        <v/>
      </c>
      <c r="U1586" s="104" t="str">
        <f t="shared" si="165"/>
        <v/>
      </c>
      <c r="V1586" s="104" t="str">
        <f t="shared" si="166"/>
        <v/>
      </c>
      <c r="W1586" s="105"/>
    </row>
    <row r="1587" spans="1:24">
      <c r="A1587" s="92">
        <v>2</v>
      </c>
      <c r="B1587" s="106" t="s">
        <v>619</v>
      </c>
      <c r="C1587" s="94"/>
      <c r="D1587" s="95"/>
      <c r="E1587" s="95"/>
      <c r="F1587" s="96"/>
      <c r="G1587" s="97"/>
      <c r="H1587" s="98"/>
      <c r="I1587" s="99"/>
      <c r="J1587" s="99"/>
      <c r="K1587" s="100"/>
      <c r="L1587" s="99"/>
      <c r="M1587" s="99"/>
      <c r="N1587" s="99"/>
      <c r="O1587" s="99"/>
      <c r="P1587" s="101"/>
      <c r="Q1587" s="104" t="str">
        <f t="shared" si="161"/>
        <v/>
      </c>
      <c r="R1587" s="104" t="str">
        <f t="shared" si="162"/>
        <v/>
      </c>
      <c r="S1587" s="104" t="str">
        <f t="shared" si="163"/>
        <v/>
      </c>
      <c r="T1587" s="104" t="str">
        <f t="shared" si="164"/>
        <v/>
      </c>
      <c r="U1587" s="104" t="str">
        <f t="shared" si="165"/>
        <v/>
      </c>
      <c r="V1587" s="104" t="str">
        <f t="shared" si="166"/>
        <v/>
      </c>
      <c r="W1587" s="105"/>
    </row>
    <row r="1588" spans="1:24">
      <c r="A1588" s="92"/>
      <c r="B1588" s="27" t="s">
        <v>653</v>
      </c>
      <c r="C1588" s="107"/>
      <c r="D1588" s="786">
        <v>0.9</v>
      </c>
      <c r="E1588" s="786"/>
      <c r="F1588" s="118"/>
      <c r="G1588" s="108">
        <v>0.25</v>
      </c>
      <c r="H1588" s="98">
        <v>16</v>
      </c>
      <c r="I1588" s="99">
        <v>1</v>
      </c>
      <c r="J1588" s="101">
        <f>ROUNDDOWN(25.8/G1588/2+1,0)/2</f>
        <v>26</v>
      </c>
      <c r="K1588" s="109">
        <f>D1588</f>
        <v>0.9</v>
      </c>
      <c r="L1588" s="110">
        <f>H1588*0.049</f>
        <v>0.78400000000000003</v>
      </c>
      <c r="M1588" s="111">
        <v>2</v>
      </c>
      <c r="N1588" s="99">
        <f>M1588*2*H1588/1000</f>
        <v>6.4000000000000001E-2</v>
      </c>
      <c r="O1588" s="112">
        <f>(D1588+C1588+F1588)-N1588</f>
        <v>0.83600000000000008</v>
      </c>
      <c r="P1588" s="112">
        <f>(I1588*J1588*O1588)+L1588</f>
        <v>22.52</v>
      </c>
      <c r="Q1588" s="104" t="str">
        <f t="shared" si="161"/>
        <v/>
      </c>
      <c r="R1588" s="104" t="str">
        <f t="shared" si="162"/>
        <v/>
      </c>
      <c r="S1588" s="104" t="str">
        <f t="shared" si="163"/>
        <v/>
      </c>
      <c r="T1588" s="104">
        <f t="shared" si="164"/>
        <v>22.52</v>
      </c>
      <c r="U1588" s="104" t="str">
        <f t="shared" si="165"/>
        <v/>
      </c>
      <c r="V1588" s="104" t="str">
        <f t="shared" si="166"/>
        <v/>
      </c>
      <c r="W1588" s="105"/>
    </row>
    <row r="1589" spans="1:24">
      <c r="A1589" s="92"/>
      <c r="B1589" s="105"/>
      <c r="C1589" s="94"/>
      <c r="D1589" s="95"/>
      <c r="E1589" s="95"/>
      <c r="F1589" s="96"/>
      <c r="G1589" s="97"/>
      <c r="H1589" s="98"/>
      <c r="I1589" s="99"/>
      <c r="J1589" s="99"/>
      <c r="K1589" s="109"/>
      <c r="L1589" s="112"/>
      <c r="M1589" s="112"/>
      <c r="N1589" s="99"/>
      <c r="O1589" s="112"/>
      <c r="P1589" s="112"/>
      <c r="Q1589" s="104" t="str">
        <f t="shared" si="161"/>
        <v/>
      </c>
      <c r="R1589" s="104" t="str">
        <f t="shared" si="162"/>
        <v/>
      </c>
      <c r="S1589" s="104" t="str">
        <f t="shared" si="163"/>
        <v/>
      </c>
      <c r="T1589" s="104" t="str">
        <f t="shared" si="164"/>
        <v/>
      </c>
      <c r="U1589" s="104" t="str">
        <f t="shared" si="165"/>
        <v/>
      </c>
      <c r="V1589" s="104" t="str">
        <f t="shared" si="166"/>
        <v/>
      </c>
      <c r="W1589" s="105"/>
    </row>
    <row r="1590" spans="1:24">
      <c r="A1590" s="94"/>
      <c r="B1590" s="27"/>
      <c r="C1590" s="27"/>
      <c r="D1590" s="27"/>
      <c r="E1590" s="27"/>
      <c r="F1590" s="27"/>
      <c r="G1590" s="27"/>
      <c r="H1590" s="27"/>
      <c r="I1590" s="27"/>
      <c r="J1590" s="27"/>
      <c r="K1590" s="430"/>
      <c r="L1590" s="27"/>
      <c r="M1590" s="27"/>
      <c r="N1590" s="27"/>
      <c r="O1590" s="27"/>
      <c r="P1590" s="27"/>
      <c r="Q1590" s="27"/>
      <c r="R1590" s="27"/>
      <c r="S1590" s="27"/>
      <c r="T1590" s="27"/>
      <c r="U1590" s="27"/>
      <c r="V1590" s="27"/>
      <c r="W1590" s="431"/>
    </row>
    <row r="1591" spans="1:24">
      <c r="A1591" s="427"/>
      <c r="B1591" s="126" t="s">
        <v>370</v>
      </c>
      <c r="C1591" s="787"/>
      <c r="D1591" s="788"/>
      <c r="E1591" s="788"/>
      <c r="F1591" s="789"/>
      <c r="G1591" s="127"/>
      <c r="H1591" s="127"/>
      <c r="I1591" s="426"/>
      <c r="J1591" s="426"/>
      <c r="K1591" s="428"/>
      <c r="L1591" s="426"/>
      <c r="M1591" s="426"/>
      <c r="N1591" s="426"/>
      <c r="O1591" s="426"/>
      <c r="P1591" s="426"/>
      <c r="Q1591" s="130">
        <f t="shared" ref="Q1591:V1591" si="167">SUM(Q1578:Q1590)</f>
        <v>0</v>
      </c>
      <c r="R1591" s="130">
        <f t="shared" si="167"/>
        <v>0</v>
      </c>
      <c r="S1591" s="130">
        <f t="shared" si="167"/>
        <v>0</v>
      </c>
      <c r="T1591" s="130">
        <f t="shared" si="167"/>
        <v>88.512</v>
      </c>
      <c r="U1591" s="130">
        <f t="shared" si="167"/>
        <v>0</v>
      </c>
      <c r="V1591" s="130">
        <f t="shared" si="167"/>
        <v>0</v>
      </c>
      <c r="W1591" s="131"/>
    </row>
    <row r="1592" spans="1:24">
      <c r="A1592" s="427"/>
      <c r="B1592" s="126" t="s">
        <v>371</v>
      </c>
      <c r="C1592" s="790"/>
      <c r="D1592" s="790"/>
      <c r="E1592" s="790"/>
      <c r="F1592" s="790"/>
      <c r="G1592" s="127"/>
      <c r="H1592" s="127"/>
      <c r="I1592" s="426"/>
      <c r="J1592" s="426"/>
      <c r="K1592" s="428"/>
      <c r="L1592" s="426"/>
      <c r="M1592" s="426"/>
      <c r="N1592" s="426"/>
      <c r="O1592" s="426"/>
      <c r="P1592" s="426"/>
      <c r="Q1592" s="426">
        <v>0.39500000000000002</v>
      </c>
      <c r="R1592" s="426">
        <v>0.61699999999999999</v>
      </c>
      <c r="S1592" s="426">
        <v>0.88800000000000001</v>
      </c>
      <c r="T1592" s="426">
        <v>1.58</v>
      </c>
      <c r="U1592" s="426">
        <v>2.4689999999999999</v>
      </c>
      <c r="V1592" s="426">
        <v>3.8580000000000001</v>
      </c>
      <c r="W1592" s="131"/>
    </row>
    <row r="1593" spans="1:24">
      <c r="A1593" s="427"/>
      <c r="B1593" s="126" t="s">
        <v>372</v>
      </c>
      <c r="C1593" s="790"/>
      <c r="D1593" s="790"/>
      <c r="E1593" s="790"/>
      <c r="F1593" s="790"/>
      <c r="G1593" s="127"/>
      <c r="H1593" s="127"/>
      <c r="I1593" s="426"/>
      <c r="J1593" s="426"/>
      <c r="K1593" s="428"/>
      <c r="L1593" s="426"/>
      <c r="M1593" s="426"/>
      <c r="N1593" s="426"/>
      <c r="O1593" s="426"/>
      <c r="P1593" s="426"/>
      <c r="Q1593" s="132">
        <f t="shared" ref="Q1593:V1593" si="168">Q1591*Q1592</f>
        <v>0</v>
      </c>
      <c r="R1593" s="132">
        <f t="shared" si="168"/>
        <v>0</v>
      </c>
      <c r="S1593" s="132">
        <f t="shared" si="168"/>
        <v>0</v>
      </c>
      <c r="T1593" s="132">
        <f t="shared" si="168"/>
        <v>139.84896000000001</v>
      </c>
      <c r="U1593" s="132">
        <f t="shared" si="168"/>
        <v>0</v>
      </c>
      <c r="V1593" s="132">
        <f t="shared" si="168"/>
        <v>0</v>
      </c>
      <c r="W1593" s="453">
        <f>SUM(Q1593:V1593)</f>
        <v>139.84896000000001</v>
      </c>
      <c r="X1593" s="121" t="s">
        <v>59</v>
      </c>
    </row>
    <row r="1595" spans="1:24" ht="15.75">
      <c r="A1595" s="791" t="s">
        <v>664</v>
      </c>
      <c r="B1595" s="792"/>
      <c r="C1595" s="792"/>
      <c r="D1595" s="792"/>
      <c r="E1595" s="792"/>
      <c r="F1595" s="792"/>
      <c r="G1595" s="792"/>
      <c r="H1595" s="792"/>
      <c r="I1595" s="792"/>
      <c r="J1595" s="792"/>
      <c r="K1595" s="792"/>
      <c r="L1595" s="792"/>
      <c r="M1595" s="792"/>
      <c r="N1595" s="792"/>
      <c r="O1595" s="792"/>
      <c r="P1595" s="792"/>
      <c r="Q1595" s="792"/>
      <c r="R1595" s="792"/>
      <c r="S1595" s="792"/>
      <c r="T1595" s="792"/>
      <c r="U1595" s="792"/>
      <c r="V1595" s="792"/>
      <c r="W1595" s="793"/>
    </row>
    <row r="1596" spans="1:24">
      <c r="A1596" s="167"/>
      <c r="B1596" s="167"/>
      <c r="C1596" s="714"/>
      <c r="D1596" s="759"/>
      <c r="E1596" s="759"/>
      <c r="F1596" s="715"/>
      <c r="G1596" s="167"/>
      <c r="H1596" s="167"/>
      <c r="I1596" s="167"/>
      <c r="J1596" s="167"/>
      <c r="K1596" s="432"/>
      <c r="L1596" s="167"/>
      <c r="M1596" s="167"/>
      <c r="N1596" s="167"/>
      <c r="O1596" s="167"/>
      <c r="P1596" s="167"/>
      <c r="Q1596" s="167"/>
      <c r="R1596" s="167"/>
      <c r="S1596" s="167"/>
      <c r="T1596" s="167"/>
      <c r="U1596" s="167"/>
      <c r="V1596" s="167"/>
      <c r="W1596" s="167"/>
    </row>
    <row r="1597" spans="1:24">
      <c r="A1597" s="92" t="s">
        <v>229</v>
      </c>
      <c r="B1597" s="93" t="s">
        <v>663</v>
      </c>
      <c r="C1597" s="94"/>
      <c r="D1597" s="95"/>
      <c r="E1597" s="95"/>
      <c r="F1597" s="96"/>
      <c r="G1597" s="97"/>
      <c r="H1597" s="98"/>
      <c r="I1597" s="99"/>
      <c r="J1597" s="99"/>
      <c r="K1597" s="100"/>
      <c r="L1597" s="99"/>
      <c r="M1597" s="99"/>
      <c r="N1597" s="99"/>
      <c r="O1597" s="99"/>
      <c r="P1597" s="101"/>
      <c r="Q1597" s="102" t="s">
        <v>231</v>
      </c>
      <c r="R1597" s="102" t="s">
        <v>232</v>
      </c>
      <c r="S1597" s="102" t="s">
        <v>233</v>
      </c>
      <c r="T1597" s="102" t="s">
        <v>234</v>
      </c>
      <c r="U1597" s="102" t="s">
        <v>235</v>
      </c>
      <c r="V1597" s="102" t="s">
        <v>236</v>
      </c>
      <c r="W1597" s="102"/>
    </row>
    <row r="1598" spans="1:24">
      <c r="A1598" s="92">
        <v>1</v>
      </c>
      <c r="B1598" s="106" t="s">
        <v>619</v>
      </c>
      <c r="C1598" s="94"/>
      <c r="D1598" s="95"/>
      <c r="E1598" s="95"/>
      <c r="F1598" s="96"/>
      <c r="G1598" s="97"/>
      <c r="H1598" s="98"/>
      <c r="I1598" s="99"/>
      <c r="J1598" s="99"/>
      <c r="K1598" s="100"/>
      <c r="L1598" s="99"/>
      <c r="M1598" s="99"/>
      <c r="N1598" s="99"/>
      <c r="O1598" s="99"/>
      <c r="P1598" s="101"/>
      <c r="Q1598" s="104" t="str">
        <f t="shared" ref="Q1598:Q1603" si="169">IF($H1598=8,$P1598,"")</f>
        <v/>
      </c>
      <c r="R1598" s="104" t="str">
        <f t="shared" ref="R1598:R1603" si="170">IF($H1598=10,$P1598,"")</f>
        <v/>
      </c>
      <c r="S1598" s="104" t="str">
        <f t="shared" ref="S1598:S1603" si="171">IF($H1598=12,$P1598,"")</f>
        <v/>
      </c>
      <c r="T1598" s="104" t="str">
        <f t="shared" ref="T1598:T1603" si="172">IF($H1598=16,$P1598,"")</f>
        <v/>
      </c>
      <c r="U1598" s="104" t="str">
        <f t="shared" ref="U1598:U1603" si="173">IF($H1598=20,$P1598,"")</f>
        <v/>
      </c>
      <c r="V1598" s="104" t="str">
        <f t="shared" ref="V1598:V1603" si="174">IF($H1598=25,$P1598,"")</f>
        <v/>
      </c>
      <c r="W1598" s="105"/>
    </row>
    <row r="1599" spans="1:24">
      <c r="A1599" s="92"/>
      <c r="B1599" s="27" t="s">
        <v>239</v>
      </c>
      <c r="C1599" s="107"/>
      <c r="D1599" s="786">
        <v>0.04</v>
      </c>
      <c r="E1599" s="786"/>
      <c r="F1599" s="118"/>
      <c r="G1599" s="108"/>
      <c r="H1599" s="98">
        <f>4*2</f>
        <v>8</v>
      </c>
      <c r="I1599" s="99">
        <v>143</v>
      </c>
      <c r="J1599" s="101">
        <v>8</v>
      </c>
      <c r="K1599" s="109">
        <f>D1599</f>
        <v>0.04</v>
      </c>
      <c r="L1599" s="110">
        <v>0</v>
      </c>
      <c r="M1599" s="111"/>
      <c r="N1599" s="99">
        <f>M1599*2*H1599/1000</f>
        <v>0</v>
      </c>
      <c r="O1599" s="112">
        <f>(D1599+C1599+F1599)-N1599</f>
        <v>0.04</v>
      </c>
      <c r="P1599" s="112">
        <f>(I1599*J1599*O1599)+L1599</f>
        <v>45.76</v>
      </c>
      <c r="Q1599" s="104">
        <f t="shared" si="169"/>
        <v>45.76</v>
      </c>
      <c r="R1599" s="104" t="str">
        <f t="shared" si="170"/>
        <v/>
      </c>
      <c r="S1599" s="104" t="str">
        <f t="shared" si="171"/>
        <v/>
      </c>
      <c r="T1599" s="104" t="str">
        <f t="shared" si="172"/>
        <v/>
      </c>
      <c r="U1599" s="104" t="str">
        <f t="shared" si="173"/>
        <v/>
      </c>
      <c r="V1599" s="104" t="str">
        <f t="shared" si="174"/>
        <v/>
      </c>
      <c r="W1599" s="105"/>
    </row>
    <row r="1600" spans="1:24">
      <c r="A1600" s="92"/>
      <c r="B1600" s="27"/>
      <c r="C1600" s="107"/>
      <c r="D1600" s="437"/>
      <c r="E1600" s="437"/>
      <c r="F1600" s="118"/>
      <c r="G1600" s="108"/>
      <c r="H1600" s="98"/>
      <c r="I1600" s="99"/>
      <c r="J1600" s="101"/>
      <c r="K1600" s="109"/>
      <c r="L1600" s="110"/>
      <c r="M1600" s="111"/>
      <c r="N1600" s="99"/>
      <c r="O1600" s="112"/>
      <c r="P1600" s="112"/>
      <c r="Q1600" s="104"/>
      <c r="R1600" s="104"/>
      <c r="S1600" s="104"/>
      <c r="T1600" s="104"/>
      <c r="U1600" s="104"/>
      <c r="V1600" s="104"/>
      <c r="W1600" s="105"/>
    </row>
    <row r="1601" spans="1:24">
      <c r="A1601" s="92"/>
      <c r="B1601" s="27"/>
      <c r="C1601" s="107"/>
      <c r="D1601" s="437"/>
      <c r="E1601" s="437"/>
      <c r="F1601" s="118"/>
      <c r="G1601" s="108"/>
      <c r="H1601" s="98"/>
      <c r="I1601" s="99"/>
      <c r="J1601" s="101"/>
      <c r="K1601" s="109"/>
      <c r="L1601" s="110"/>
      <c r="M1601" s="111"/>
      <c r="N1601" s="99"/>
      <c r="O1601" s="112"/>
      <c r="P1601" s="112"/>
      <c r="Q1601" s="104"/>
      <c r="R1601" s="104"/>
      <c r="S1601" s="104"/>
      <c r="T1601" s="104"/>
      <c r="U1601" s="104"/>
      <c r="V1601" s="104"/>
      <c r="W1601" s="105"/>
    </row>
    <row r="1602" spans="1:24">
      <c r="A1602" s="92"/>
      <c r="B1602" s="27"/>
      <c r="C1602" s="107"/>
      <c r="D1602" s="437"/>
      <c r="E1602" s="437"/>
      <c r="F1602" s="118"/>
      <c r="G1602" s="108"/>
      <c r="H1602" s="98"/>
      <c r="I1602" s="99"/>
      <c r="J1602" s="101"/>
      <c r="K1602" s="109"/>
      <c r="L1602" s="110"/>
      <c r="M1602" s="111"/>
      <c r="N1602" s="99"/>
      <c r="O1602" s="112"/>
      <c r="P1602" s="112"/>
      <c r="Q1602" s="104"/>
      <c r="R1602" s="104"/>
      <c r="S1602" s="104"/>
      <c r="T1602" s="104"/>
      <c r="U1602" s="104"/>
      <c r="V1602" s="104"/>
      <c r="W1602" s="105"/>
    </row>
    <row r="1603" spans="1:24">
      <c r="A1603" s="92"/>
      <c r="B1603" s="105"/>
      <c r="C1603" s="94"/>
      <c r="D1603" s="95"/>
      <c r="E1603" s="95"/>
      <c r="F1603" s="96"/>
      <c r="G1603" s="97"/>
      <c r="H1603" s="98"/>
      <c r="I1603" s="99"/>
      <c r="J1603" s="99"/>
      <c r="K1603" s="109"/>
      <c r="L1603" s="112"/>
      <c r="M1603" s="112"/>
      <c r="N1603" s="99"/>
      <c r="O1603" s="112"/>
      <c r="P1603" s="112"/>
      <c r="Q1603" s="104" t="str">
        <f t="shared" si="169"/>
        <v/>
      </c>
      <c r="R1603" s="104" t="str">
        <f t="shared" si="170"/>
        <v/>
      </c>
      <c r="S1603" s="104" t="str">
        <f t="shared" si="171"/>
        <v/>
      </c>
      <c r="T1603" s="104" t="str">
        <f t="shared" si="172"/>
        <v/>
      </c>
      <c r="U1603" s="104" t="str">
        <f t="shared" si="173"/>
        <v/>
      </c>
      <c r="V1603" s="104" t="str">
        <f t="shared" si="174"/>
        <v/>
      </c>
      <c r="W1603" s="105"/>
    </row>
    <row r="1604" spans="1:24">
      <c r="A1604" s="94"/>
      <c r="B1604" s="27"/>
      <c r="C1604" s="27"/>
      <c r="D1604" s="27"/>
      <c r="E1604" s="27"/>
      <c r="F1604" s="27"/>
      <c r="G1604" s="27"/>
      <c r="H1604" s="27"/>
      <c r="I1604" s="27"/>
      <c r="J1604" s="27"/>
      <c r="K1604" s="430"/>
      <c r="L1604" s="27"/>
      <c r="M1604" s="27"/>
      <c r="N1604" s="27"/>
      <c r="O1604" s="27"/>
      <c r="P1604" s="27"/>
      <c r="Q1604" s="27"/>
      <c r="R1604" s="27"/>
      <c r="S1604" s="27"/>
      <c r="T1604" s="27"/>
      <c r="U1604" s="27"/>
      <c r="V1604" s="27"/>
      <c r="W1604" s="431"/>
    </row>
    <row r="1605" spans="1:24">
      <c r="A1605" s="438"/>
      <c r="B1605" s="126" t="s">
        <v>370</v>
      </c>
      <c r="C1605" s="787"/>
      <c r="D1605" s="788"/>
      <c r="E1605" s="788"/>
      <c r="F1605" s="789"/>
      <c r="G1605" s="127"/>
      <c r="H1605" s="127"/>
      <c r="I1605" s="436"/>
      <c r="J1605" s="436"/>
      <c r="K1605" s="439"/>
      <c r="L1605" s="436"/>
      <c r="M1605" s="436"/>
      <c r="N1605" s="436"/>
      <c r="O1605" s="436"/>
      <c r="P1605" s="436"/>
      <c r="Q1605" s="130">
        <f t="shared" ref="Q1605:V1605" si="175">SUM(Q1598:Q1604)</f>
        <v>45.76</v>
      </c>
      <c r="R1605" s="130">
        <f t="shared" si="175"/>
        <v>0</v>
      </c>
      <c r="S1605" s="130">
        <f t="shared" si="175"/>
        <v>0</v>
      </c>
      <c r="T1605" s="130">
        <f t="shared" si="175"/>
        <v>0</v>
      </c>
      <c r="U1605" s="130">
        <f t="shared" si="175"/>
        <v>0</v>
      </c>
      <c r="V1605" s="130">
        <f t="shared" si="175"/>
        <v>0</v>
      </c>
      <c r="W1605" s="131"/>
    </row>
    <row r="1606" spans="1:24">
      <c r="A1606" s="438"/>
      <c r="B1606" s="126" t="s">
        <v>371</v>
      </c>
      <c r="C1606" s="790"/>
      <c r="D1606" s="790"/>
      <c r="E1606" s="790"/>
      <c r="F1606" s="790"/>
      <c r="G1606" s="127"/>
      <c r="H1606" s="127"/>
      <c r="I1606" s="436"/>
      <c r="J1606" s="436"/>
      <c r="K1606" s="439"/>
      <c r="L1606" s="436"/>
      <c r="M1606" s="436"/>
      <c r="N1606" s="436"/>
      <c r="O1606" s="436"/>
      <c r="P1606" s="436"/>
      <c r="Q1606" s="436">
        <v>0.39500000000000002</v>
      </c>
      <c r="R1606" s="436">
        <v>0.61699999999999999</v>
      </c>
      <c r="S1606" s="436">
        <v>0.88800000000000001</v>
      </c>
      <c r="T1606" s="436">
        <v>1.58</v>
      </c>
      <c r="U1606" s="436">
        <v>2.4689999999999999</v>
      </c>
      <c r="V1606" s="436">
        <v>3.8580000000000001</v>
      </c>
      <c r="W1606" s="131"/>
    </row>
    <row r="1607" spans="1:24">
      <c r="A1607" s="438"/>
      <c r="B1607" s="126" t="s">
        <v>372</v>
      </c>
      <c r="C1607" s="790"/>
      <c r="D1607" s="790"/>
      <c r="E1607" s="790"/>
      <c r="F1607" s="790"/>
      <c r="G1607" s="127"/>
      <c r="H1607" s="127"/>
      <c r="I1607" s="436"/>
      <c r="J1607" s="436"/>
      <c r="K1607" s="439"/>
      <c r="L1607" s="436"/>
      <c r="M1607" s="436"/>
      <c r="N1607" s="436"/>
      <c r="O1607" s="436"/>
      <c r="P1607" s="436"/>
      <c r="Q1607" s="132">
        <f t="shared" ref="Q1607:V1607" si="176">Q1605*Q1606</f>
        <v>18.075199999999999</v>
      </c>
      <c r="R1607" s="132">
        <f t="shared" si="176"/>
        <v>0</v>
      </c>
      <c r="S1607" s="132">
        <f t="shared" si="176"/>
        <v>0</v>
      </c>
      <c r="T1607" s="132">
        <f t="shared" si="176"/>
        <v>0</v>
      </c>
      <c r="U1607" s="132">
        <f t="shared" si="176"/>
        <v>0</v>
      </c>
      <c r="V1607" s="132">
        <f t="shared" si="176"/>
        <v>0</v>
      </c>
      <c r="W1607" s="453">
        <f>SUM(Q1607:V1607)</f>
        <v>18.075199999999999</v>
      </c>
      <c r="X1607" s="121" t="s">
        <v>59</v>
      </c>
    </row>
  </sheetData>
  <mergeCells count="544">
    <mergeCell ref="C1606:F1606"/>
    <mergeCell ref="C1607:F1607"/>
    <mergeCell ref="A1595:W1595"/>
    <mergeCell ref="C1596:F1596"/>
    <mergeCell ref="D1599:E1599"/>
    <mergeCell ref="C1605:F1605"/>
    <mergeCell ref="D772:E772"/>
    <mergeCell ref="D775:E775"/>
    <mergeCell ref="D778:E778"/>
    <mergeCell ref="C784:F784"/>
    <mergeCell ref="C785:F785"/>
    <mergeCell ref="C786:F786"/>
    <mergeCell ref="D796:E796"/>
    <mergeCell ref="D799:E799"/>
    <mergeCell ref="D802:E802"/>
    <mergeCell ref="D805:E805"/>
    <mergeCell ref="D808:E808"/>
    <mergeCell ref="D811:E811"/>
    <mergeCell ref="D814:E814"/>
    <mergeCell ref="D817:E817"/>
    <mergeCell ref="D820:E820"/>
    <mergeCell ref="D823:E823"/>
    <mergeCell ref="D826:E826"/>
    <mergeCell ref="D829:E829"/>
    <mergeCell ref="D754:E754"/>
    <mergeCell ref="D757:E757"/>
    <mergeCell ref="D760:E760"/>
    <mergeCell ref="D763:E763"/>
    <mergeCell ref="D766:E766"/>
    <mergeCell ref="D769:E769"/>
    <mergeCell ref="D736:E736"/>
    <mergeCell ref="D739:E739"/>
    <mergeCell ref="D742:E742"/>
    <mergeCell ref="D745:E745"/>
    <mergeCell ref="D748:E748"/>
    <mergeCell ref="D751:E751"/>
    <mergeCell ref="D718:E718"/>
    <mergeCell ref="D721:E721"/>
    <mergeCell ref="D724:E724"/>
    <mergeCell ref="D727:E727"/>
    <mergeCell ref="D730:E730"/>
    <mergeCell ref="D733:E733"/>
    <mergeCell ref="D700:E700"/>
    <mergeCell ref="D703:E703"/>
    <mergeCell ref="D706:E706"/>
    <mergeCell ref="D709:E709"/>
    <mergeCell ref="D712:E712"/>
    <mergeCell ref="D715:E715"/>
    <mergeCell ref="D682:E682"/>
    <mergeCell ref="D685:E685"/>
    <mergeCell ref="D688:E688"/>
    <mergeCell ref="D691:E691"/>
    <mergeCell ref="D694:E694"/>
    <mergeCell ref="D697:E697"/>
    <mergeCell ref="D664:E664"/>
    <mergeCell ref="D667:E667"/>
    <mergeCell ref="D670:E670"/>
    <mergeCell ref="D673:E673"/>
    <mergeCell ref="D676:E676"/>
    <mergeCell ref="D679:E679"/>
    <mergeCell ref="D646:E646"/>
    <mergeCell ref="D649:E649"/>
    <mergeCell ref="D652:E652"/>
    <mergeCell ref="D655:E655"/>
    <mergeCell ref="D658:E658"/>
    <mergeCell ref="D661:E661"/>
    <mergeCell ref="D628:E628"/>
    <mergeCell ref="D631:E631"/>
    <mergeCell ref="D634:E634"/>
    <mergeCell ref="D637:E637"/>
    <mergeCell ref="D640:E640"/>
    <mergeCell ref="D643:E643"/>
    <mergeCell ref="D609:E609"/>
    <mergeCell ref="D612:E612"/>
    <mergeCell ref="D616:E616"/>
    <mergeCell ref="D619:E619"/>
    <mergeCell ref="D622:E622"/>
    <mergeCell ref="D625:E625"/>
    <mergeCell ref="D591:E591"/>
    <mergeCell ref="D594:E594"/>
    <mergeCell ref="D597:E597"/>
    <mergeCell ref="D600:E600"/>
    <mergeCell ref="D603:E603"/>
    <mergeCell ref="D606:E606"/>
    <mergeCell ref="D573:E573"/>
    <mergeCell ref="D576:E576"/>
    <mergeCell ref="D579:E579"/>
    <mergeCell ref="D582:E582"/>
    <mergeCell ref="D585:E585"/>
    <mergeCell ref="D588:E588"/>
    <mergeCell ref="D555:E555"/>
    <mergeCell ref="D558:E558"/>
    <mergeCell ref="D561:E561"/>
    <mergeCell ref="D564:E564"/>
    <mergeCell ref="D567:E567"/>
    <mergeCell ref="D570:E570"/>
    <mergeCell ref="D537:E537"/>
    <mergeCell ref="D540:E540"/>
    <mergeCell ref="D543:E543"/>
    <mergeCell ref="D546:E546"/>
    <mergeCell ref="D549:E549"/>
    <mergeCell ref="D552:E552"/>
    <mergeCell ref="D519:E519"/>
    <mergeCell ref="D522:E522"/>
    <mergeCell ref="D525:E525"/>
    <mergeCell ref="D528:E528"/>
    <mergeCell ref="D531:E531"/>
    <mergeCell ref="D534:E534"/>
    <mergeCell ref="D501:E501"/>
    <mergeCell ref="D504:E504"/>
    <mergeCell ref="D507:E507"/>
    <mergeCell ref="D510:E510"/>
    <mergeCell ref="D513:E513"/>
    <mergeCell ref="D516:E516"/>
    <mergeCell ref="D483:E483"/>
    <mergeCell ref="D486:E486"/>
    <mergeCell ref="D489:E489"/>
    <mergeCell ref="D492:E492"/>
    <mergeCell ref="D495:E495"/>
    <mergeCell ref="D498:E498"/>
    <mergeCell ref="D465:E465"/>
    <mergeCell ref="D468:E468"/>
    <mergeCell ref="D471:E471"/>
    <mergeCell ref="D474:E474"/>
    <mergeCell ref="D477:E477"/>
    <mergeCell ref="D480:E480"/>
    <mergeCell ref="D447:E447"/>
    <mergeCell ref="D450:E450"/>
    <mergeCell ref="D453:E453"/>
    <mergeCell ref="D456:E456"/>
    <mergeCell ref="D459:E459"/>
    <mergeCell ref="D462:E462"/>
    <mergeCell ref="D429:E429"/>
    <mergeCell ref="D432:E432"/>
    <mergeCell ref="D435:E435"/>
    <mergeCell ref="D438:E438"/>
    <mergeCell ref="D441:E441"/>
    <mergeCell ref="D444:E444"/>
    <mergeCell ref="D411:E411"/>
    <mergeCell ref="D414:E414"/>
    <mergeCell ref="D417:E417"/>
    <mergeCell ref="D420:E420"/>
    <mergeCell ref="D423:E423"/>
    <mergeCell ref="D426:E426"/>
    <mergeCell ref="D393:E393"/>
    <mergeCell ref="D396:E396"/>
    <mergeCell ref="D399:E399"/>
    <mergeCell ref="D402:E402"/>
    <mergeCell ref="D405:E405"/>
    <mergeCell ref="D408:E408"/>
    <mergeCell ref="D375:E375"/>
    <mergeCell ref="D378:E378"/>
    <mergeCell ref="D381:E381"/>
    <mergeCell ref="D384:E384"/>
    <mergeCell ref="D387:E387"/>
    <mergeCell ref="D390:E390"/>
    <mergeCell ref="D357:E357"/>
    <mergeCell ref="D360:E360"/>
    <mergeCell ref="D363:E363"/>
    <mergeCell ref="D366:E366"/>
    <mergeCell ref="D369:E369"/>
    <mergeCell ref="D372:E372"/>
    <mergeCell ref="D339:E339"/>
    <mergeCell ref="D342:E342"/>
    <mergeCell ref="D345:E345"/>
    <mergeCell ref="D348:E348"/>
    <mergeCell ref="D351:E351"/>
    <mergeCell ref="D354:E354"/>
    <mergeCell ref="D321:E321"/>
    <mergeCell ref="D324:E324"/>
    <mergeCell ref="D327:E327"/>
    <mergeCell ref="D330:E330"/>
    <mergeCell ref="D333:E333"/>
    <mergeCell ref="D336:E336"/>
    <mergeCell ref="D303:E303"/>
    <mergeCell ref="D306:E306"/>
    <mergeCell ref="D309:E309"/>
    <mergeCell ref="D312:E312"/>
    <mergeCell ref="D315:E315"/>
    <mergeCell ref="D318:E318"/>
    <mergeCell ref="D285:E285"/>
    <mergeCell ref="D288:E288"/>
    <mergeCell ref="D291:E291"/>
    <mergeCell ref="D294:E294"/>
    <mergeCell ref="D297:E297"/>
    <mergeCell ref="D300:E300"/>
    <mergeCell ref="D267:E267"/>
    <mergeCell ref="D270:E270"/>
    <mergeCell ref="D273:E273"/>
    <mergeCell ref="D276:E276"/>
    <mergeCell ref="D279:E279"/>
    <mergeCell ref="D282:E282"/>
    <mergeCell ref="D249:E249"/>
    <mergeCell ref="D252:E252"/>
    <mergeCell ref="D255:E255"/>
    <mergeCell ref="D258:E258"/>
    <mergeCell ref="D261:E261"/>
    <mergeCell ref="D264:E264"/>
    <mergeCell ref="D231:E231"/>
    <mergeCell ref="D234:E234"/>
    <mergeCell ref="D237:E237"/>
    <mergeCell ref="D240:E240"/>
    <mergeCell ref="D243:E243"/>
    <mergeCell ref="D246:E246"/>
    <mergeCell ref="D213:E213"/>
    <mergeCell ref="D216:E216"/>
    <mergeCell ref="D219:E219"/>
    <mergeCell ref="D222:E222"/>
    <mergeCell ref="D225:E225"/>
    <mergeCell ref="D228:E228"/>
    <mergeCell ref="D195:E195"/>
    <mergeCell ref="D198:E198"/>
    <mergeCell ref="D201:E201"/>
    <mergeCell ref="D204:E204"/>
    <mergeCell ref="D207:E207"/>
    <mergeCell ref="D210:E210"/>
    <mergeCell ref="D177:E177"/>
    <mergeCell ref="D180:E180"/>
    <mergeCell ref="D183:E183"/>
    <mergeCell ref="D186:E186"/>
    <mergeCell ref="D189:E189"/>
    <mergeCell ref="D192:E192"/>
    <mergeCell ref="D156:E156"/>
    <mergeCell ref="D158:E158"/>
    <mergeCell ref="D162:E162"/>
    <mergeCell ref="D168:E168"/>
    <mergeCell ref="D171:E171"/>
    <mergeCell ref="D174:E174"/>
    <mergeCell ref="D144:E144"/>
    <mergeCell ref="D146:E146"/>
    <mergeCell ref="D148:E148"/>
    <mergeCell ref="D150:E150"/>
    <mergeCell ref="D152:E152"/>
    <mergeCell ref="D154:E154"/>
    <mergeCell ref="D130:E130"/>
    <mergeCell ref="D134:E134"/>
    <mergeCell ref="D136:E136"/>
    <mergeCell ref="D138:E138"/>
    <mergeCell ref="D140:E140"/>
    <mergeCell ref="D142:E142"/>
    <mergeCell ref="D112:E112"/>
    <mergeCell ref="D115:E115"/>
    <mergeCell ref="D118:E118"/>
    <mergeCell ref="D121:E121"/>
    <mergeCell ref="D124:E124"/>
    <mergeCell ref="D127:E127"/>
    <mergeCell ref="D92:E92"/>
    <mergeCell ref="D95:E95"/>
    <mergeCell ref="D98:E98"/>
    <mergeCell ref="D101:E101"/>
    <mergeCell ref="D104:E104"/>
    <mergeCell ref="D107:E107"/>
    <mergeCell ref="D83:E83"/>
    <mergeCell ref="D86:E86"/>
    <mergeCell ref="D89:E89"/>
    <mergeCell ref="D54:E54"/>
    <mergeCell ref="D57:E57"/>
    <mergeCell ref="D60:E60"/>
    <mergeCell ref="D63:E63"/>
    <mergeCell ref="D66:E66"/>
    <mergeCell ref="D71:E71"/>
    <mergeCell ref="A1:B1"/>
    <mergeCell ref="C3:F3"/>
    <mergeCell ref="Q3:V3"/>
    <mergeCell ref="D7:E7"/>
    <mergeCell ref="D10:E10"/>
    <mergeCell ref="D13:E13"/>
    <mergeCell ref="C789:F789"/>
    <mergeCell ref="Q789:V789"/>
    <mergeCell ref="D793:E793"/>
    <mergeCell ref="D34:E34"/>
    <mergeCell ref="D37:E37"/>
    <mergeCell ref="D40:E40"/>
    <mergeCell ref="D43:E43"/>
    <mergeCell ref="D48:E48"/>
    <mergeCell ref="D51:E51"/>
    <mergeCell ref="D16:E16"/>
    <mergeCell ref="D19:E19"/>
    <mergeCell ref="D22:E22"/>
    <mergeCell ref="D25:E25"/>
    <mergeCell ref="D28:E28"/>
    <mergeCell ref="D31:E31"/>
    <mergeCell ref="D74:E74"/>
    <mergeCell ref="D77:E77"/>
    <mergeCell ref="D80:E80"/>
    <mergeCell ref="D834:E834"/>
    <mergeCell ref="D837:E837"/>
    <mergeCell ref="D840:E840"/>
    <mergeCell ref="D843:E843"/>
    <mergeCell ref="D846:E846"/>
    <mergeCell ref="D849:E849"/>
    <mergeCell ref="D852:E852"/>
    <mergeCell ref="D857:E857"/>
    <mergeCell ref="D860:E860"/>
    <mergeCell ref="D863:E863"/>
    <mergeCell ref="D866:E866"/>
    <mergeCell ref="D869:E869"/>
    <mergeCell ref="D872:E872"/>
    <mergeCell ref="D875:E875"/>
    <mergeCell ref="D878:E878"/>
    <mergeCell ref="D881:E881"/>
    <mergeCell ref="D884:E884"/>
    <mergeCell ref="D887:E887"/>
    <mergeCell ref="D890:E890"/>
    <mergeCell ref="D893:E893"/>
    <mergeCell ref="D898:E898"/>
    <mergeCell ref="D901:E901"/>
    <mergeCell ref="D904:E904"/>
    <mergeCell ref="D907:E907"/>
    <mergeCell ref="D910:E910"/>
    <mergeCell ref="D913:E913"/>
    <mergeCell ref="D916:E916"/>
    <mergeCell ref="D920:E920"/>
    <mergeCell ref="D922:E922"/>
    <mergeCell ref="D924:E924"/>
    <mergeCell ref="D926:E926"/>
    <mergeCell ref="D928:E928"/>
    <mergeCell ref="D930:E930"/>
    <mergeCell ref="D932:E932"/>
    <mergeCell ref="D934:E934"/>
    <mergeCell ref="D936:E936"/>
    <mergeCell ref="D938:E938"/>
    <mergeCell ref="D940:E940"/>
    <mergeCell ref="D942:E942"/>
    <mergeCell ref="D944:E944"/>
    <mergeCell ref="D948:E948"/>
    <mergeCell ref="D954:E954"/>
    <mergeCell ref="D957:E957"/>
    <mergeCell ref="D960:E960"/>
    <mergeCell ref="D963:E963"/>
    <mergeCell ref="D966:E966"/>
    <mergeCell ref="D969:E969"/>
    <mergeCell ref="D972:E972"/>
    <mergeCell ref="D975:E975"/>
    <mergeCell ref="D978:E978"/>
    <mergeCell ref="D981:E981"/>
    <mergeCell ref="D984:E984"/>
    <mergeCell ref="D987:E987"/>
    <mergeCell ref="D990:E990"/>
    <mergeCell ref="D993:E993"/>
    <mergeCell ref="D996:E996"/>
    <mergeCell ref="D999:E999"/>
    <mergeCell ref="D1002:E1002"/>
    <mergeCell ref="D1005:E1005"/>
    <mergeCell ref="D1008:E1008"/>
    <mergeCell ref="D1011:E1011"/>
    <mergeCell ref="D1014:E1014"/>
    <mergeCell ref="D1017:E1017"/>
    <mergeCell ref="D1020:E1020"/>
    <mergeCell ref="D1023:E1023"/>
    <mergeCell ref="D1026:E1026"/>
    <mergeCell ref="D1029:E1029"/>
    <mergeCell ref="D1032:E1032"/>
    <mergeCell ref="D1035:E1035"/>
    <mergeCell ref="D1038:E1038"/>
    <mergeCell ref="D1041:E1041"/>
    <mergeCell ref="D1044:E1044"/>
    <mergeCell ref="D1047:E1047"/>
    <mergeCell ref="D1050:E1050"/>
    <mergeCell ref="D1053:E1053"/>
    <mergeCell ref="D1056:E1056"/>
    <mergeCell ref="D1059:E1059"/>
    <mergeCell ref="D1062:E1062"/>
    <mergeCell ref="D1065:E1065"/>
    <mergeCell ref="D1068:E1068"/>
    <mergeCell ref="D1071:E1071"/>
    <mergeCell ref="D1074:E1074"/>
    <mergeCell ref="D1077:E1077"/>
    <mergeCell ref="D1080:E1080"/>
    <mergeCell ref="D1083:E1083"/>
    <mergeCell ref="D1086:E1086"/>
    <mergeCell ref="D1089:E1089"/>
    <mergeCell ref="D1092:E1092"/>
    <mergeCell ref="D1095:E1095"/>
    <mergeCell ref="D1098:E1098"/>
    <mergeCell ref="D1101:E1101"/>
    <mergeCell ref="D1104:E1104"/>
    <mergeCell ref="D1107:E1107"/>
    <mergeCell ref="D1110:E1110"/>
    <mergeCell ref="D1113:E1113"/>
    <mergeCell ref="D1116:E1116"/>
    <mergeCell ref="D1119:E1119"/>
    <mergeCell ref="D1122:E1122"/>
    <mergeCell ref="D1125:E1125"/>
    <mergeCell ref="D1128:E1128"/>
    <mergeCell ref="D1131:E1131"/>
    <mergeCell ref="D1134:E1134"/>
    <mergeCell ref="D1137:E1137"/>
    <mergeCell ref="D1140:E1140"/>
    <mergeCell ref="D1143:E1143"/>
    <mergeCell ref="D1146:E1146"/>
    <mergeCell ref="D1149:E1149"/>
    <mergeCell ref="D1152:E1152"/>
    <mergeCell ref="D1155:E1155"/>
    <mergeCell ref="D1158:E1158"/>
    <mergeCell ref="D1161:E1161"/>
    <mergeCell ref="D1164:E1164"/>
    <mergeCell ref="D1167:E1167"/>
    <mergeCell ref="D1170:E1170"/>
    <mergeCell ref="D1173:E1173"/>
    <mergeCell ref="D1176:E1176"/>
    <mergeCell ref="D1179:E1179"/>
    <mergeCell ref="D1182:E1182"/>
    <mergeCell ref="D1185:E1185"/>
    <mergeCell ref="D1188:E1188"/>
    <mergeCell ref="D1191:E1191"/>
    <mergeCell ref="D1194:E1194"/>
    <mergeCell ref="D1197:E1197"/>
    <mergeCell ref="D1200:E1200"/>
    <mergeCell ref="D1203:E1203"/>
    <mergeCell ref="D1206:E1206"/>
    <mergeCell ref="D1209:E1209"/>
    <mergeCell ref="D1212:E1212"/>
    <mergeCell ref="D1215:E1215"/>
    <mergeCell ref="D1218:E1218"/>
    <mergeCell ref="D1221:E1221"/>
    <mergeCell ref="D1224:E1224"/>
    <mergeCell ref="D1227:E1227"/>
    <mergeCell ref="D1230:E1230"/>
    <mergeCell ref="D1233:E1233"/>
    <mergeCell ref="D1236:E1236"/>
    <mergeCell ref="D1239:E1239"/>
    <mergeCell ref="D1242:E1242"/>
    <mergeCell ref="D1245:E1245"/>
    <mergeCell ref="D1248:E1248"/>
    <mergeCell ref="D1251:E1251"/>
    <mergeCell ref="D1254:E1254"/>
    <mergeCell ref="D1257:E1257"/>
    <mergeCell ref="D1260:E1260"/>
    <mergeCell ref="D1263:E1263"/>
    <mergeCell ref="D1266:E1266"/>
    <mergeCell ref="D1269:E1269"/>
    <mergeCell ref="D1272:E1272"/>
    <mergeCell ref="D1275:E1275"/>
    <mergeCell ref="D1278:E1278"/>
    <mergeCell ref="D1281:E1281"/>
    <mergeCell ref="D1284:E1284"/>
    <mergeCell ref="D1287:E1287"/>
    <mergeCell ref="D1290:E1290"/>
    <mergeCell ref="D1293:E1293"/>
    <mergeCell ref="D1296:E1296"/>
    <mergeCell ref="D1299:E1299"/>
    <mergeCell ref="D1302:E1302"/>
    <mergeCell ref="D1305:E1305"/>
    <mergeCell ref="D1308:E1308"/>
    <mergeCell ref="D1311:E1311"/>
    <mergeCell ref="D1314:E1314"/>
    <mergeCell ref="D1317:E1317"/>
    <mergeCell ref="D1320:E1320"/>
    <mergeCell ref="D1323:E1323"/>
    <mergeCell ref="D1326:E1326"/>
    <mergeCell ref="D1329:E1329"/>
    <mergeCell ref="D1332:E1332"/>
    <mergeCell ref="D1335:E1335"/>
    <mergeCell ref="D1338:E1338"/>
    <mergeCell ref="D1341:E1341"/>
    <mergeCell ref="D1344:E1344"/>
    <mergeCell ref="D1347:E1347"/>
    <mergeCell ref="D1350:E1350"/>
    <mergeCell ref="D1353:E1353"/>
    <mergeCell ref="D1356:E1356"/>
    <mergeCell ref="D1359:E1359"/>
    <mergeCell ref="D1362:E1362"/>
    <mergeCell ref="D1365:E1365"/>
    <mergeCell ref="D1368:E1368"/>
    <mergeCell ref="D1371:E1371"/>
    <mergeCell ref="D1374:E1374"/>
    <mergeCell ref="D1377:E1377"/>
    <mergeCell ref="D1380:E1380"/>
    <mergeCell ref="D1383:E1383"/>
    <mergeCell ref="D1386:E1386"/>
    <mergeCell ref="D1389:E1389"/>
    <mergeCell ref="D1392:E1392"/>
    <mergeCell ref="D1395:E1395"/>
    <mergeCell ref="D1398:E1398"/>
    <mergeCell ref="D1402:E1402"/>
    <mergeCell ref="D1405:E1405"/>
    <mergeCell ref="D1408:E1408"/>
    <mergeCell ref="D1411:E1411"/>
    <mergeCell ref="D1414:E1414"/>
    <mergeCell ref="D1417:E1417"/>
    <mergeCell ref="D1420:E1420"/>
    <mergeCell ref="D1423:E1423"/>
    <mergeCell ref="D1426:E1426"/>
    <mergeCell ref="D1429:E1429"/>
    <mergeCell ref="D1432:E1432"/>
    <mergeCell ref="D1435:E1435"/>
    <mergeCell ref="D1438:E1438"/>
    <mergeCell ref="D1441:E1441"/>
    <mergeCell ref="D1444:E1444"/>
    <mergeCell ref="D1447:E1447"/>
    <mergeCell ref="D1450:E1450"/>
    <mergeCell ref="D1453:E1453"/>
    <mergeCell ref="D1456:E1456"/>
    <mergeCell ref="D1459:E1459"/>
    <mergeCell ref="D1495:E1495"/>
    <mergeCell ref="D1498:E1498"/>
    <mergeCell ref="D1501:E1501"/>
    <mergeCell ref="D1504:E1504"/>
    <mergeCell ref="D1507:E1507"/>
    <mergeCell ref="D1510:E1510"/>
    <mergeCell ref="D1513:E1513"/>
    <mergeCell ref="D1462:E1462"/>
    <mergeCell ref="D1465:E1465"/>
    <mergeCell ref="D1468:E1468"/>
    <mergeCell ref="D1471:E1471"/>
    <mergeCell ref="D1474:E1474"/>
    <mergeCell ref="D1477:E1477"/>
    <mergeCell ref="D1480:E1480"/>
    <mergeCell ref="D1483:E1483"/>
    <mergeCell ref="D1486:E1486"/>
    <mergeCell ref="C1571:F1571"/>
    <mergeCell ref="C1572:F1572"/>
    <mergeCell ref="A788:W788"/>
    <mergeCell ref="A2:W2"/>
    <mergeCell ref="D1543:E1543"/>
    <mergeCell ref="D1546:E1546"/>
    <mergeCell ref="D1549:E1549"/>
    <mergeCell ref="D1552:E1552"/>
    <mergeCell ref="D1555:E1555"/>
    <mergeCell ref="D1558:E1558"/>
    <mergeCell ref="D1561:E1561"/>
    <mergeCell ref="D1564:E1564"/>
    <mergeCell ref="C1570:F1570"/>
    <mergeCell ref="D1516:E1516"/>
    <mergeCell ref="D1519:E1519"/>
    <mergeCell ref="D1522:E1522"/>
    <mergeCell ref="D1525:E1525"/>
    <mergeCell ref="D1528:E1528"/>
    <mergeCell ref="D1531:E1531"/>
    <mergeCell ref="D1534:E1534"/>
    <mergeCell ref="D1537:E1537"/>
    <mergeCell ref="D1540:E1540"/>
    <mergeCell ref="D1489:E1489"/>
    <mergeCell ref="D1492:E1492"/>
    <mergeCell ref="D1579:E1579"/>
    <mergeCell ref="C1591:F1591"/>
    <mergeCell ref="C1592:F1592"/>
    <mergeCell ref="C1593:F1593"/>
    <mergeCell ref="A1575:W1575"/>
    <mergeCell ref="D1582:E1582"/>
    <mergeCell ref="D1585:E1585"/>
    <mergeCell ref="D1588:E1588"/>
    <mergeCell ref="C1576:F1576"/>
  </mergeCells>
  <pageMargins left="0.70866141732283472" right="0.70866141732283472" top="0.74803149606299213" bottom="0.74803149606299213" header="0.31496062992125984" footer="0.31496062992125984"/>
  <pageSetup scale="38"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87"/>
  <sheetViews>
    <sheetView zoomScale="85" zoomScaleNormal="85" workbookViewId="0">
      <pane ySplit="4" topLeftCell="A5" activePane="bottomLeft" state="frozen"/>
      <selection pane="bottomLeft" activeCell="K584" sqref="K584"/>
    </sheetView>
  </sheetViews>
  <sheetFormatPr defaultColWidth="9.140625" defaultRowHeight="15"/>
  <cols>
    <col min="1" max="1" width="7" style="135" customWidth="1"/>
    <col min="2" max="2" width="24" style="86" customWidth="1"/>
    <col min="3" max="4" width="10.7109375" style="159" customWidth="1"/>
    <col min="5" max="5" width="11.5703125" style="159" customWidth="1"/>
    <col min="6" max="6" width="8" style="160" customWidth="1"/>
    <col min="7" max="7" width="9.140625" style="160"/>
    <col min="8" max="8" width="9" style="134" customWidth="1"/>
    <col min="9" max="9" width="9.140625" style="134"/>
    <col min="10" max="10" width="9.140625" style="159"/>
    <col min="11" max="11" width="6.7109375" style="134" customWidth="1"/>
    <col min="12" max="12" width="8.5703125" style="134" customWidth="1"/>
    <col min="13" max="13" width="10.28515625" style="134" customWidth="1"/>
    <col min="14" max="14" width="9.140625" style="134"/>
    <col min="15" max="15" width="12.140625" style="134" customWidth="1"/>
    <col min="16" max="21" width="9.42578125" style="134" customWidth="1"/>
    <col min="22" max="22" width="9.28515625" style="134" customWidth="1"/>
    <col min="23" max="16384" width="9.140625" style="134"/>
  </cols>
  <sheetData>
    <row r="1" spans="1:22" ht="18.75">
      <c r="A1" s="800" t="s">
        <v>373</v>
      </c>
      <c r="B1" s="800"/>
      <c r="C1" s="800"/>
      <c r="D1" s="800"/>
      <c r="E1" s="800"/>
      <c r="F1" s="800"/>
      <c r="G1" s="800"/>
      <c r="H1" s="800"/>
      <c r="I1" s="800"/>
      <c r="J1" s="800"/>
      <c r="K1" s="800"/>
      <c r="L1" s="800"/>
      <c r="M1" s="800"/>
      <c r="N1" s="800"/>
      <c r="O1" s="800"/>
      <c r="P1" s="800"/>
      <c r="Q1" s="800"/>
      <c r="R1" s="800"/>
      <c r="S1" s="800"/>
      <c r="T1" s="800"/>
      <c r="U1" s="800"/>
      <c r="V1" s="800"/>
    </row>
    <row r="2" spans="1:22" ht="15.75">
      <c r="A2" s="89"/>
      <c r="B2" s="89"/>
      <c r="C2" s="135"/>
      <c r="D2" s="135"/>
      <c r="E2" s="135"/>
      <c r="F2" s="135"/>
      <c r="G2" s="89"/>
      <c r="H2" s="89"/>
      <c r="I2" s="89"/>
      <c r="J2" s="89"/>
      <c r="K2" s="89"/>
      <c r="L2" s="89"/>
      <c r="M2" s="89"/>
      <c r="N2" s="89"/>
      <c r="O2" s="89"/>
      <c r="P2" s="89"/>
      <c r="Q2" s="89"/>
      <c r="R2" s="89"/>
      <c r="S2" s="89"/>
      <c r="T2" s="89"/>
      <c r="U2" s="89"/>
      <c r="V2" s="89"/>
    </row>
    <row r="3" spans="1:22" ht="15" customHeight="1">
      <c r="A3" s="801" t="s">
        <v>50</v>
      </c>
      <c r="B3" s="801" t="s">
        <v>51</v>
      </c>
      <c r="C3" s="805" t="s">
        <v>216</v>
      </c>
      <c r="D3" s="806"/>
      <c r="E3" s="807"/>
      <c r="F3" s="811" t="s">
        <v>217</v>
      </c>
      <c r="G3" s="812" t="s">
        <v>218</v>
      </c>
      <c r="H3" s="813" t="s">
        <v>374</v>
      </c>
      <c r="I3" s="812" t="s">
        <v>375</v>
      </c>
      <c r="J3" s="812" t="s">
        <v>221</v>
      </c>
      <c r="K3" s="801" t="s">
        <v>222</v>
      </c>
      <c r="L3" s="813" t="s">
        <v>223</v>
      </c>
      <c r="M3" s="801" t="s">
        <v>376</v>
      </c>
      <c r="N3" s="812" t="s">
        <v>225</v>
      </c>
      <c r="O3" s="815" t="s">
        <v>226</v>
      </c>
      <c r="P3" s="802" t="s">
        <v>227</v>
      </c>
      <c r="Q3" s="803"/>
      <c r="R3" s="803"/>
      <c r="S3" s="803"/>
      <c r="T3" s="803"/>
      <c r="U3" s="803"/>
      <c r="V3" s="801" t="s">
        <v>228</v>
      </c>
    </row>
    <row r="4" spans="1:22">
      <c r="A4" s="801"/>
      <c r="B4" s="801"/>
      <c r="C4" s="808"/>
      <c r="D4" s="809"/>
      <c r="E4" s="810"/>
      <c r="F4" s="811"/>
      <c r="G4" s="812"/>
      <c r="H4" s="814"/>
      <c r="I4" s="812"/>
      <c r="J4" s="812"/>
      <c r="K4" s="801"/>
      <c r="L4" s="814"/>
      <c r="M4" s="801"/>
      <c r="N4" s="812"/>
      <c r="O4" s="816"/>
      <c r="P4" s="125" t="s">
        <v>231</v>
      </c>
      <c r="Q4" s="125" t="s">
        <v>232</v>
      </c>
      <c r="R4" s="125" t="s">
        <v>233</v>
      </c>
      <c r="S4" s="125" t="s">
        <v>234</v>
      </c>
      <c r="T4" s="125" t="s">
        <v>235</v>
      </c>
      <c r="U4" s="125" t="s">
        <v>236</v>
      </c>
      <c r="V4" s="801"/>
    </row>
    <row r="5" spans="1:22" ht="25.5" customHeight="1">
      <c r="A5" s="92"/>
      <c r="B5" s="92"/>
      <c r="C5" s="136"/>
      <c r="D5" s="137"/>
      <c r="E5" s="138"/>
      <c r="F5" s="139"/>
      <c r="G5" s="98"/>
      <c r="H5" s="99"/>
      <c r="I5" s="99"/>
      <c r="J5" s="100"/>
      <c r="K5" s="99"/>
      <c r="L5" s="99"/>
      <c r="M5" s="99"/>
      <c r="N5" s="99"/>
      <c r="O5" s="101"/>
      <c r="P5" s="140" t="str">
        <f>IF($G5=8,$O5,"")</f>
        <v/>
      </c>
      <c r="Q5" s="140" t="str">
        <f>IF($G5=10,$O5,"")</f>
        <v/>
      </c>
      <c r="R5" s="140" t="str">
        <f>IF($G5=12,$O5,"")</f>
        <v/>
      </c>
      <c r="S5" s="140" t="str">
        <f>IF($G5=16,$O5,"")</f>
        <v/>
      </c>
      <c r="T5" s="140" t="str">
        <f>IF($G5=20,$O5,"")</f>
        <v/>
      </c>
      <c r="U5" s="140" t="str">
        <f>IF($G5=25,$O5,"")</f>
        <v/>
      </c>
      <c r="V5" s="99"/>
    </row>
    <row r="6" spans="1:22">
      <c r="A6" s="92">
        <v>1</v>
      </c>
      <c r="B6" s="92" t="s">
        <v>377</v>
      </c>
      <c r="C6" s="136"/>
      <c r="D6" s="137"/>
      <c r="E6" s="138"/>
      <c r="F6" s="139"/>
      <c r="G6" s="98"/>
      <c r="H6" s="99"/>
      <c r="I6" s="99"/>
      <c r="J6" s="109"/>
      <c r="K6" s="112"/>
      <c r="L6" s="112"/>
      <c r="M6" s="99"/>
      <c r="N6" s="112"/>
      <c r="O6" s="112"/>
      <c r="P6" s="140" t="str">
        <f>IF($G6=8,$O6,"")</f>
        <v/>
      </c>
      <c r="Q6" s="140" t="str">
        <f>IF($G6=10,$O6,"")</f>
        <v/>
      </c>
      <c r="R6" s="140" t="str">
        <f>IF($G6=12,$O6,"")</f>
        <v/>
      </c>
      <c r="S6" s="140" t="str">
        <f>IF($G6=16,$O6,"")</f>
        <v/>
      </c>
      <c r="T6" s="140" t="str">
        <f>IF($G6=20,$O6,"")</f>
        <v/>
      </c>
      <c r="U6" s="140" t="str">
        <f>IF($G6=25,$O6,"")</f>
        <v/>
      </c>
      <c r="V6" s="99"/>
    </row>
    <row r="7" spans="1:22">
      <c r="A7" s="92"/>
      <c r="B7" s="141" t="s">
        <v>378</v>
      </c>
      <c r="C7" s="136"/>
      <c r="D7" s="142">
        <f>0.85-0.075-2*0.016</f>
        <v>0.74299999999999999</v>
      </c>
      <c r="E7" s="138"/>
      <c r="F7" s="139"/>
      <c r="G7" s="98">
        <v>16</v>
      </c>
      <c r="H7" s="99">
        <v>16</v>
      </c>
      <c r="I7" s="99">
        <v>4</v>
      </c>
      <c r="J7" s="109">
        <f>D7</f>
        <v>0.74299999999999999</v>
      </c>
      <c r="K7" s="110" t="str">
        <f>IF(N7&lt;12,"0",0.049*G7)</f>
        <v>0</v>
      </c>
      <c r="L7" s="111">
        <v>1</v>
      </c>
      <c r="M7" s="99">
        <f>2*G7*L7/1000</f>
        <v>3.2000000000000001E-2</v>
      </c>
      <c r="N7" s="112">
        <f>J7+E9-M7</f>
        <v>1.0109999999999999</v>
      </c>
      <c r="O7" s="112">
        <f>H7*I7*N7</f>
        <v>64.703999999999994</v>
      </c>
      <c r="P7" s="140" t="str">
        <f t="shared" ref="P7:P282" si="0">IF($G7=8,$O7,"")</f>
        <v/>
      </c>
      <c r="Q7" s="140" t="str">
        <f t="shared" ref="Q7:Q282" si="1">IF($G7=10,$O7,"")</f>
        <v/>
      </c>
      <c r="R7" s="140" t="str">
        <f t="shared" ref="R7:R282" si="2">IF($G7=12,$O7,"")</f>
        <v/>
      </c>
      <c r="S7" s="140">
        <f t="shared" ref="S7:S282" si="3">IF($G7=16,$O7,"")</f>
        <v>64.703999999999994</v>
      </c>
      <c r="T7" s="140" t="str">
        <f t="shared" ref="T7:T282" si="4">IF($G7=20,$O7,"")</f>
        <v/>
      </c>
      <c r="U7" s="140" t="str">
        <f t="shared" ref="U7:U282" si="5">IF($G7=25,$O7,"")</f>
        <v/>
      </c>
      <c r="V7" s="99"/>
    </row>
    <row r="8" spans="1:22">
      <c r="A8" s="92"/>
      <c r="B8" s="141" t="s">
        <v>379</v>
      </c>
      <c r="C8" s="136"/>
      <c r="D8" s="137"/>
      <c r="E8" s="138"/>
      <c r="F8" s="139"/>
      <c r="G8" s="98">
        <v>12</v>
      </c>
      <c r="H8" s="99">
        <v>16</v>
      </c>
      <c r="I8" s="99">
        <v>2</v>
      </c>
      <c r="J8" s="109">
        <f>D7</f>
        <v>0.74299999999999999</v>
      </c>
      <c r="K8" s="110" t="str">
        <f t="shared" ref="K8:K10" si="6">IF(N8&lt;12,"0",0.049*G8)</f>
        <v>0</v>
      </c>
      <c r="L8" s="111">
        <v>1</v>
      </c>
      <c r="M8" s="99">
        <f t="shared" ref="M8:M9" si="7">2*G8*L8/1000</f>
        <v>2.4E-2</v>
      </c>
      <c r="N8" s="112">
        <f>J8+E9-M8</f>
        <v>1.0189999999999999</v>
      </c>
      <c r="O8" s="112">
        <f>H8*I8*N8</f>
        <v>32.607999999999997</v>
      </c>
      <c r="P8" s="140" t="str">
        <f t="shared" si="0"/>
        <v/>
      </c>
      <c r="Q8" s="140" t="str">
        <f t="shared" si="1"/>
        <v/>
      </c>
      <c r="R8" s="140">
        <f t="shared" si="2"/>
        <v>32.607999999999997</v>
      </c>
      <c r="S8" s="140" t="str">
        <f t="shared" si="3"/>
        <v/>
      </c>
      <c r="T8" s="140" t="str">
        <f t="shared" si="4"/>
        <v/>
      </c>
      <c r="U8" s="140" t="str">
        <f t="shared" si="5"/>
        <v/>
      </c>
      <c r="V8" s="99"/>
    </row>
    <row r="9" spans="1:22">
      <c r="A9" s="92"/>
      <c r="B9" s="141" t="s">
        <v>380</v>
      </c>
      <c r="C9" s="143"/>
      <c r="D9" s="142"/>
      <c r="E9" s="144">
        <v>0.3</v>
      </c>
      <c r="F9" s="139"/>
      <c r="G9" s="98">
        <v>16</v>
      </c>
      <c r="H9" s="99">
        <v>16</v>
      </c>
      <c r="I9" s="99">
        <v>4</v>
      </c>
      <c r="J9" s="109">
        <f>D7</f>
        <v>0.74299999999999999</v>
      </c>
      <c r="K9" s="110" t="str">
        <f t="shared" si="6"/>
        <v>0</v>
      </c>
      <c r="L9" s="111">
        <v>1</v>
      </c>
      <c r="M9" s="99">
        <f t="shared" si="7"/>
        <v>3.2000000000000001E-2</v>
      </c>
      <c r="N9" s="112">
        <f>J9+E9-M9</f>
        <v>1.0109999999999999</v>
      </c>
      <c r="O9" s="112">
        <f>H9*I9*N9</f>
        <v>64.703999999999994</v>
      </c>
      <c r="P9" s="140" t="str">
        <f t="shared" si="0"/>
        <v/>
      </c>
      <c r="Q9" s="140" t="str">
        <f t="shared" si="1"/>
        <v/>
      </c>
      <c r="R9" s="140" t="str">
        <f t="shared" si="2"/>
        <v/>
      </c>
      <c r="S9" s="140">
        <f t="shared" si="3"/>
        <v>64.703999999999994</v>
      </c>
      <c r="T9" s="140" t="str">
        <f t="shared" si="4"/>
        <v/>
      </c>
      <c r="U9" s="140" t="str">
        <f t="shared" si="5"/>
        <v/>
      </c>
      <c r="V9" s="99"/>
    </row>
    <row r="10" spans="1:22">
      <c r="A10" s="92"/>
      <c r="B10" s="141" t="s">
        <v>381</v>
      </c>
      <c r="C10" s="136"/>
      <c r="D10" s="137"/>
      <c r="E10" s="138"/>
      <c r="F10" s="139"/>
      <c r="G10" s="98">
        <v>12</v>
      </c>
      <c r="H10" s="99">
        <v>16</v>
      </c>
      <c r="I10" s="99">
        <v>4</v>
      </c>
      <c r="J10" s="109">
        <f>D7</f>
        <v>0.74299999999999999</v>
      </c>
      <c r="K10" s="110" t="str">
        <f t="shared" si="6"/>
        <v>0</v>
      </c>
      <c r="L10" s="111">
        <v>1</v>
      </c>
      <c r="M10" s="99">
        <f>2*G10*L10/1000</f>
        <v>2.4E-2</v>
      </c>
      <c r="N10" s="112">
        <f>J10+E9-M10</f>
        <v>1.0189999999999999</v>
      </c>
      <c r="O10" s="112">
        <f>H10*I10*N10</f>
        <v>65.215999999999994</v>
      </c>
      <c r="P10" s="140" t="str">
        <f t="shared" si="0"/>
        <v/>
      </c>
      <c r="Q10" s="140" t="str">
        <f t="shared" si="1"/>
        <v/>
      </c>
      <c r="R10" s="140">
        <f t="shared" si="2"/>
        <v>65.215999999999994</v>
      </c>
      <c r="S10" s="140" t="str">
        <f t="shared" si="3"/>
        <v/>
      </c>
      <c r="T10" s="140" t="str">
        <f t="shared" si="4"/>
        <v/>
      </c>
      <c r="U10" s="140" t="str">
        <f t="shared" si="5"/>
        <v/>
      </c>
      <c r="V10" s="99"/>
    </row>
    <row r="11" spans="1:22">
      <c r="A11" s="92"/>
      <c r="B11" s="141"/>
      <c r="C11" s="136"/>
      <c r="D11" s="137"/>
      <c r="E11" s="138"/>
      <c r="F11" s="139"/>
      <c r="G11" s="98"/>
      <c r="H11" s="99"/>
      <c r="I11" s="99"/>
      <c r="J11" s="100"/>
      <c r="K11" s="99"/>
      <c r="L11" s="99"/>
      <c r="M11" s="99"/>
      <c r="N11" s="99"/>
      <c r="O11" s="101"/>
      <c r="P11" s="140" t="str">
        <f t="shared" si="0"/>
        <v/>
      </c>
      <c r="Q11" s="140" t="str">
        <f t="shared" si="1"/>
        <v/>
      </c>
      <c r="R11" s="140" t="str">
        <f t="shared" si="2"/>
        <v/>
      </c>
      <c r="S11" s="140" t="str">
        <f t="shared" si="3"/>
        <v/>
      </c>
      <c r="T11" s="140" t="str">
        <f t="shared" si="4"/>
        <v/>
      </c>
      <c r="U11" s="140" t="str">
        <f t="shared" si="5"/>
        <v/>
      </c>
      <c r="V11" s="99"/>
    </row>
    <row r="12" spans="1:22">
      <c r="A12" s="92"/>
      <c r="B12" s="92"/>
      <c r="C12" s="145">
        <v>0.08</v>
      </c>
      <c r="D12" s="137"/>
      <c r="E12" s="138"/>
      <c r="F12" s="139"/>
      <c r="G12" s="98"/>
      <c r="H12" s="99"/>
      <c r="I12" s="99"/>
      <c r="J12" s="100"/>
      <c r="K12" s="99"/>
      <c r="L12" s="99"/>
      <c r="M12" s="99"/>
      <c r="N12" s="99"/>
      <c r="O12" s="101"/>
      <c r="P12" s="140" t="str">
        <f t="shared" si="0"/>
        <v/>
      </c>
      <c r="Q12" s="140" t="str">
        <f t="shared" si="1"/>
        <v/>
      </c>
      <c r="R12" s="140" t="str">
        <f t="shared" si="2"/>
        <v/>
      </c>
      <c r="S12" s="140" t="str">
        <f t="shared" si="3"/>
        <v/>
      </c>
      <c r="T12" s="140" t="str">
        <f t="shared" si="4"/>
        <v/>
      </c>
      <c r="U12" s="140" t="str">
        <f t="shared" si="5"/>
        <v/>
      </c>
      <c r="V12" s="99"/>
    </row>
    <row r="13" spans="1:22">
      <c r="A13" s="92"/>
      <c r="B13" s="146" t="s">
        <v>382</v>
      </c>
      <c r="C13" s="147"/>
      <c r="D13" s="137"/>
      <c r="E13" s="148">
        <f>0.6-0.08</f>
        <v>0.52</v>
      </c>
      <c r="F13" s="139"/>
      <c r="G13" s="98">
        <v>10</v>
      </c>
      <c r="H13" s="99">
        <v>16</v>
      </c>
      <c r="I13" s="99">
        <v>4</v>
      </c>
      <c r="J13" s="149">
        <f>2*(D15+E13)+2*8*G13/1000</f>
        <v>1.64</v>
      </c>
      <c r="K13" s="99"/>
      <c r="L13" s="99">
        <v>5</v>
      </c>
      <c r="M13" s="112">
        <f>2*G13*L13/1000</f>
        <v>0.1</v>
      </c>
      <c r="N13" s="112">
        <f>(J13+K13-M13)+0.02</f>
        <v>1.5599999999999998</v>
      </c>
      <c r="O13" s="112">
        <f>(H13*I13*N13)</f>
        <v>99.839999999999989</v>
      </c>
      <c r="P13" s="140" t="str">
        <f t="shared" si="0"/>
        <v/>
      </c>
      <c r="Q13" s="140">
        <f t="shared" si="1"/>
        <v>99.839999999999989</v>
      </c>
      <c r="R13" s="140" t="str">
        <f t="shared" si="2"/>
        <v/>
      </c>
      <c r="S13" s="140" t="str">
        <f t="shared" si="3"/>
        <v/>
      </c>
      <c r="T13" s="140" t="str">
        <f t="shared" si="4"/>
        <v/>
      </c>
      <c r="U13" s="140" t="str">
        <f t="shared" si="5"/>
        <v/>
      </c>
      <c r="V13" s="99"/>
    </row>
    <row r="14" spans="1:22">
      <c r="A14" s="92"/>
      <c r="B14" s="146"/>
      <c r="C14" s="136"/>
      <c r="D14" s="137"/>
      <c r="E14" s="150"/>
      <c r="F14" s="139"/>
      <c r="G14" s="98"/>
      <c r="H14" s="99"/>
      <c r="I14" s="99"/>
      <c r="J14" s="100"/>
      <c r="K14" s="99"/>
      <c r="L14" s="99"/>
      <c r="M14" s="99"/>
      <c r="N14" s="99"/>
      <c r="O14" s="112"/>
      <c r="P14" s="140" t="str">
        <f t="shared" si="0"/>
        <v/>
      </c>
      <c r="Q14" s="140" t="str">
        <f t="shared" si="1"/>
        <v/>
      </c>
      <c r="R14" s="140" t="str">
        <f t="shared" si="2"/>
        <v/>
      </c>
      <c r="S14" s="140" t="str">
        <f t="shared" si="3"/>
        <v/>
      </c>
      <c r="T14" s="140" t="str">
        <f t="shared" si="4"/>
        <v/>
      </c>
      <c r="U14" s="140" t="str">
        <f t="shared" si="5"/>
        <v/>
      </c>
      <c r="V14" s="99"/>
    </row>
    <row r="15" spans="1:22">
      <c r="A15" s="92"/>
      <c r="B15" s="146"/>
      <c r="C15" s="136"/>
      <c r="D15" s="109">
        <f>0.3-0.08</f>
        <v>0.21999999999999997</v>
      </c>
      <c r="E15" s="138"/>
      <c r="F15" s="139"/>
      <c r="G15" s="98"/>
      <c r="H15" s="99"/>
      <c r="I15" s="99"/>
      <c r="J15" s="100"/>
      <c r="K15" s="99"/>
      <c r="L15" s="99"/>
      <c r="M15" s="99"/>
      <c r="N15" s="99"/>
      <c r="O15" s="112"/>
      <c r="P15" s="140" t="str">
        <f t="shared" si="0"/>
        <v/>
      </c>
      <c r="Q15" s="140" t="str">
        <f t="shared" si="1"/>
        <v/>
      </c>
      <c r="R15" s="140" t="str">
        <f t="shared" si="2"/>
        <v/>
      </c>
      <c r="S15" s="140" t="str">
        <f t="shared" si="3"/>
        <v/>
      </c>
      <c r="T15" s="140" t="str">
        <f t="shared" si="4"/>
        <v/>
      </c>
      <c r="U15" s="140" t="str">
        <f t="shared" si="5"/>
        <v/>
      </c>
      <c r="V15" s="99"/>
    </row>
    <row r="16" spans="1:22">
      <c r="A16" s="92"/>
      <c r="B16" s="141"/>
      <c r="C16" s="136"/>
      <c r="D16" s="137"/>
      <c r="E16" s="138"/>
      <c r="F16" s="139"/>
      <c r="G16" s="98"/>
      <c r="H16" s="99"/>
      <c r="I16" s="99"/>
      <c r="J16" s="100"/>
      <c r="K16" s="99"/>
      <c r="L16" s="99"/>
      <c r="M16" s="99"/>
      <c r="N16" s="99"/>
      <c r="O16" s="112"/>
      <c r="P16" s="140" t="str">
        <f t="shared" si="0"/>
        <v/>
      </c>
      <c r="Q16" s="140" t="str">
        <f t="shared" si="1"/>
        <v/>
      </c>
      <c r="R16" s="140" t="str">
        <f t="shared" si="2"/>
        <v/>
      </c>
      <c r="S16" s="140" t="str">
        <f t="shared" si="3"/>
        <v/>
      </c>
      <c r="T16" s="140" t="str">
        <f t="shared" si="4"/>
        <v/>
      </c>
      <c r="U16" s="140" t="str">
        <f t="shared" si="5"/>
        <v/>
      </c>
      <c r="V16" s="99"/>
    </row>
    <row r="17" spans="1:22">
      <c r="A17" s="92"/>
      <c r="B17" s="92"/>
      <c r="C17" s="145">
        <v>0.08</v>
      </c>
      <c r="D17" s="137"/>
      <c r="E17" s="138"/>
      <c r="F17" s="139"/>
      <c r="G17" s="98"/>
      <c r="H17" s="99"/>
      <c r="I17" s="99"/>
      <c r="J17" s="100"/>
      <c r="K17" s="99"/>
      <c r="L17" s="99"/>
      <c r="M17" s="99"/>
      <c r="N17" s="99"/>
      <c r="O17" s="112"/>
      <c r="P17" s="140" t="str">
        <f t="shared" si="0"/>
        <v/>
      </c>
      <c r="Q17" s="140" t="str">
        <f t="shared" si="1"/>
        <v/>
      </c>
      <c r="R17" s="140" t="str">
        <f t="shared" si="2"/>
        <v/>
      </c>
      <c r="S17" s="140" t="str">
        <f t="shared" si="3"/>
        <v/>
      </c>
      <c r="T17" s="140" t="str">
        <f t="shared" si="4"/>
        <v/>
      </c>
      <c r="U17" s="140" t="str">
        <f t="shared" si="5"/>
        <v/>
      </c>
      <c r="V17" s="99"/>
    </row>
    <row r="18" spans="1:22">
      <c r="A18" s="92"/>
      <c r="B18" s="146" t="s">
        <v>383</v>
      </c>
      <c r="C18" s="147"/>
      <c r="D18" s="137"/>
      <c r="E18" s="148">
        <f>((0.6-0.08-0.016)/5)+0.012+0.02</f>
        <v>0.1328</v>
      </c>
      <c r="F18" s="139"/>
      <c r="G18" s="98">
        <v>10</v>
      </c>
      <c r="H18" s="99">
        <v>16</v>
      </c>
      <c r="I18" s="99">
        <v>1</v>
      </c>
      <c r="J18" s="149">
        <f>2*(D20+E18)+2*8*G18/1000</f>
        <v>0.86560000000000004</v>
      </c>
      <c r="K18" s="99"/>
      <c r="L18" s="99">
        <v>5</v>
      </c>
      <c r="M18" s="112">
        <f>2*G18*L18/1000</f>
        <v>0.1</v>
      </c>
      <c r="N18" s="112">
        <f>(J18+K18-M18)+0.02</f>
        <v>0.78560000000000008</v>
      </c>
      <c r="O18" s="112">
        <f>(H18*I18*N18)</f>
        <v>12.569600000000001</v>
      </c>
      <c r="P18" s="140" t="str">
        <f t="shared" si="0"/>
        <v/>
      </c>
      <c r="Q18" s="140">
        <f t="shared" si="1"/>
        <v>12.569600000000001</v>
      </c>
      <c r="R18" s="140" t="str">
        <f t="shared" si="2"/>
        <v/>
      </c>
      <c r="S18" s="140" t="str">
        <f t="shared" si="3"/>
        <v/>
      </c>
      <c r="T18" s="140" t="str">
        <f t="shared" si="4"/>
        <v/>
      </c>
      <c r="U18" s="140" t="str">
        <f t="shared" si="5"/>
        <v/>
      </c>
      <c r="V18" s="99"/>
    </row>
    <row r="19" spans="1:22">
      <c r="A19" s="92"/>
      <c r="B19" s="146"/>
      <c r="C19" s="136"/>
      <c r="D19" s="137"/>
      <c r="E19" s="150"/>
      <c r="F19" s="139"/>
      <c r="G19" s="98"/>
      <c r="H19" s="99"/>
      <c r="I19" s="99"/>
      <c r="J19" s="100"/>
      <c r="K19" s="99"/>
      <c r="L19" s="99"/>
      <c r="M19" s="99"/>
      <c r="N19" s="99"/>
      <c r="O19" s="112"/>
      <c r="P19" s="140" t="str">
        <f t="shared" si="0"/>
        <v/>
      </c>
      <c r="Q19" s="140" t="str">
        <f t="shared" si="1"/>
        <v/>
      </c>
      <c r="R19" s="140" t="str">
        <f t="shared" si="2"/>
        <v/>
      </c>
      <c r="S19" s="140" t="str">
        <f t="shared" si="3"/>
        <v/>
      </c>
      <c r="T19" s="140" t="str">
        <f t="shared" si="4"/>
        <v/>
      </c>
      <c r="U19" s="140" t="str">
        <f t="shared" si="5"/>
        <v/>
      </c>
      <c r="V19" s="99"/>
    </row>
    <row r="20" spans="1:22">
      <c r="A20" s="92"/>
      <c r="B20" s="146"/>
      <c r="C20" s="136"/>
      <c r="D20" s="109">
        <f>0.3-0.08</f>
        <v>0.21999999999999997</v>
      </c>
      <c r="E20" s="138"/>
      <c r="F20" s="139"/>
      <c r="G20" s="98"/>
      <c r="H20" s="99"/>
      <c r="I20" s="99"/>
      <c r="J20" s="100"/>
      <c r="K20" s="99"/>
      <c r="L20" s="99"/>
      <c r="M20" s="99"/>
      <c r="N20" s="99"/>
      <c r="O20" s="112"/>
      <c r="P20" s="140" t="str">
        <f t="shared" si="0"/>
        <v/>
      </c>
      <c r="Q20" s="140" t="str">
        <f t="shared" si="1"/>
        <v/>
      </c>
      <c r="R20" s="140" t="str">
        <f t="shared" si="2"/>
        <v/>
      </c>
      <c r="S20" s="140" t="str">
        <f t="shared" si="3"/>
        <v/>
      </c>
      <c r="T20" s="140" t="str">
        <f t="shared" si="4"/>
        <v/>
      </c>
      <c r="U20" s="140" t="str">
        <f t="shared" si="5"/>
        <v/>
      </c>
      <c r="V20" s="99"/>
    </row>
    <row r="21" spans="1:22">
      <c r="A21" s="92"/>
      <c r="B21" s="146"/>
      <c r="C21" s="136"/>
      <c r="D21" s="137"/>
      <c r="E21" s="138"/>
      <c r="F21" s="139"/>
      <c r="G21" s="98"/>
      <c r="H21" s="99"/>
      <c r="I21" s="99"/>
      <c r="J21" s="100"/>
      <c r="K21" s="99"/>
      <c r="L21" s="99"/>
      <c r="M21" s="99"/>
      <c r="N21" s="99"/>
      <c r="O21" s="112"/>
      <c r="P21" s="140" t="str">
        <f t="shared" si="0"/>
        <v/>
      </c>
      <c r="Q21" s="140" t="str">
        <f t="shared" si="1"/>
        <v/>
      </c>
      <c r="R21" s="140" t="str">
        <f t="shared" si="2"/>
        <v/>
      </c>
      <c r="S21" s="140" t="str">
        <f t="shared" si="3"/>
        <v/>
      </c>
      <c r="T21" s="140" t="str">
        <f t="shared" si="4"/>
        <v/>
      </c>
      <c r="U21" s="140" t="str">
        <f t="shared" si="5"/>
        <v/>
      </c>
      <c r="V21" s="99"/>
    </row>
    <row r="22" spans="1:22">
      <c r="A22" s="92"/>
      <c r="B22" s="146" t="s">
        <v>384</v>
      </c>
      <c r="C22" s="136"/>
      <c r="D22" s="142"/>
      <c r="E22" s="138"/>
      <c r="F22" s="139"/>
      <c r="G22" s="98">
        <v>10</v>
      </c>
      <c r="H22" s="99">
        <v>16</v>
      </c>
      <c r="I22" s="99">
        <v>1</v>
      </c>
      <c r="J22" s="149">
        <f>C23+D25+E23+2*8*G22/1000</f>
        <v>0.73</v>
      </c>
      <c r="K22" s="99"/>
      <c r="L22" s="99">
        <v>4</v>
      </c>
      <c r="M22" s="112">
        <f>2*G22*L22/1000</f>
        <v>0.08</v>
      </c>
      <c r="N22" s="112">
        <f>(J22+K22-M22)</f>
        <v>0.65</v>
      </c>
      <c r="O22" s="112">
        <f>(H22*I22*N22)</f>
        <v>10.4</v>
      </c>
      <c r="P22" s="140" t="str">
        <f t="shared" si="0"/>
        <v/>
      </c>
      <c r="Q22" s="140">
        <f t="shared" si="1"/>
        <v>10.4</v>
      </c>
      <c r="R22" s="140" t="str">
        <f t="shared" si="2"/>
        <v/>
      </c>
      <c r="S22" s="140" t="str">
        <f t="shared" si="3"/>
        <v/>
      </c>
      <c r="T22" s="140" t="str">
        <f t="shared" si="4"/>
        <v/>
      </c>
      <c r="U22" s="140" t="str">
        <f t="shared" si="5"/>
        <v/>
      </c>
      <c r="V22" s="99"/>
    </row>
    <row r="23" spans="1:22">
      <c r="A23" s="92"/>
      <c r="B23" s="146"/>
      <c r="C23" s="151">
        <v>0.17499999999999999</v>
      </c>
      <c r="D23" s="137"/>
      <c r="E23" s="138">
        <v>0.17499999999999999</v>
      </c>
      <c r="F23" s="139"/>
      <c r="G23" s="98"/>
      <c r="H23" s="99"/>
      <c r="I23" s="99"/>
      <c r="J23" s="100"/>
      <c r="K23" s="99"/>
      <c r="L23" s="99"/>
      <c r="M23" s="99"/>
      <c r="N23" s="99"/>
      <c r="O23" s="112"/>
      <c r="P23" s="140" t="str">
        <f>IF($G23=8,$O23,"")</f>
        <v/>
      </c>
      <c r="Q23" s="140" t="str">
        <f>IF($G23=10,$O23,"")</f>
        <v/>
      </c>
      <c r="R23" s="140" t="str">
        <f>IF($G23=12,$O23,"")</f>
        <v/>
      </c>
      <c r="S23" s="140" t="str">
        <f>IF($G23=16,$O23,"")</f>
        <v/>
      </c>
      <c r="T23" s="140" t="str">
        <f>IF($G23=20,$O23,"")</f>
        <v/>
      </c>
      <c r="U23" s="140" t="str">
        <f>IF($G23=25,$O23,"")</f>
        <v/>
      </c>
      <c r="V23" s="99"/>
    </row>
    <row r="24" spans="1:22">
      <c r="A24" s="92"/>
      <c r="B24" s="146"/>
      <c r="C24" s="136"/>
      <c r="D24" s="137"/>
      <c r="E24" s="138"/>
      <c r="F24" s="139"/>
      <c r="G24" s="98"/>
      <c r="H24" s="99"/>
      <c r="I24" s="99"/>
      <c r="J24" s="100"/>
      <c r="K24" s="99"/>
      <c r="L24" s="99"/>
      <c r="M24" s="99"/>
      <c r="N24" s="99"/>
      <c r="O24" s="112"/>
      <c r="P24" s="140" t="str">
        <f t="shared" si="0"/>
        <v/>
      </c>
      <c r="Q24" s="140" t="str">
        <f t="shared" si="1"/>
        <v/>
      </c>
      <c r="R24" s="140" t="str">
        <f t="shared" si="2"/>
        <v/>
      </c>
      <c r="S24" s="140" t="str">
        <f t="shared" si="3"/>
        <v/>
      </c>
      <c r="T24" s="140" t="str">
        <f t="shared" si="4"/>
        <v/>
      </c>
      <c r="U24" s="140" t="str">
        <f t="shared" si="5"/>
        <v/>
      </c>
      <c r="V24" s="99"/>
    </row>
    <row r="25" spans="1:22">
      <c r="A25" s="92"/>
      <c r="B25" s="146"/>
      <c r="C25" s="136"/>
      <c r="D25" s="109">
        <f>0.3-0.08</f>
        <v>0.21999999999999997</v>
      </c>
      <c r="E25" s="138"/>
      <c r="F25" s="139"/>
      <c r="G25" s="98"/>
      <c r="H25" s="99"/>
      <c r="I25" s="99"/>
      <c r="J25" s="100"/>
      <c r="K25" s="99"/>
      <c r="L25" s="99"/>
      <c r="M25" s="99"/>
      <c r="N25" s="99"/>
      <c r="O25" s="112"/>
      <c r="P25" s="140" t="str">
        <f t="shared" si="0"/>
        <v/>
      </c>
      <c r="Q25" s="140" t="str">
        <f t="shared" si="1"/>
        <v/>
      </c>
      <c r="R25" s="140" t="str">
        <f t="shared" si="2"/>
        <v/>
      </c>
      <c r="S25" s="140" t="str">
        <f t="shared" si="3"/>
        <v/>
      </c>
      <c r="T25" s="140" t="str">
        <f t="shared" si="4"/>
        <v/>
      </c>
      <c r="U25" s="140" t="str">
        <f t="shared" si="5"/>
        <v/>
      </c>
      <c r="V25" s="99"/>
    </row>
    <row r="26" spans="1:22">
      <c r="A26" s="92"/>
      <c r="B26" s="146"/>
      <c r="C26" s="136"/>
      <c r="D26" s="137"/>
      <c r="E26" s="138"/>
      <c r="F26" s="139"/>
      <c r="G26" s="98"/>
      <c r="H26" s="99"/>
      <c r="I26" s="99"/>
      <c r="J26" s="100"/>
      <c r="K26" s="99"/>
      <c r="L26" s="99"/>
      <c r="M26" s="99"/>
      <c r="N26" s="99"/>
      <c r="O26" s="112"/>
      <c r="P26" s="140" t="str">
        <f t="shared" si="0"/>
        <v/>
      </c>
      <c r="Q26" s="140" t="str">
        <f t="shared" si="1"/>
        <v/>
      </c>
      <c r="R26" s="140" t="str">
        <f t="shared" si="2"/>
        <v/>
      </c>
      <c r="S26" s="140" t="str">
        <f t="shared" si="3"/>
        <v/>
      </c>
      <c r="T26" s="140" t="str">
        <f t="shared" si="4"/>
        <v/>
      </c>
      <c r="U26" s="140" t="str">
        <f t="shared" si="5"/>
        <v/>
      </c>
      <c r="V26" s="99"/>
    </row>
    <row r="27" spans="1:22">
      <c r="A27" s="92"/>
      <c r="B27" s="146" t="s">
        <v>385</v>
      </c>
      <c r="C27" s="136"/>
      <c r="D27" s="142"/>
      <c r="E27" s="138"/>
      <c r="F27" s="139"/>
      <c r="G27" s="98">
        <v>10</v>
      </c>
      <c r="H27" s="99">
        <v>16</v>
      </c>
      <c r="I27" s="99">
        <v>1</v>
      </c>
      <c r="J27" s="149">
        <f>C28+D30+E28+2*8*G27/1000</f>
        <v>0.73</v>
      </c>
      <c r="K27" s="99"/>
      <c r="L27" s="99">
        <v>4</v>
      </c>
      <c r="M27" s="112">
        <f>2*G27*L27/1000</f>
        <v>0.08</v>
      </c>
      <c r="N27" s="112">
        <f>(J27+K27-M27)</f>
        <v>0.65</v>
      </c>
      <c r="O27" s="112">
        <f>(H27*I27*N27)</f>
        <v>10.4</v>
      </c>
      <c r="P27" s="140" t="str">
        <f t="shared" si="0"/>
        <v/>
      </c>
      <c r="Q27" s="140">
        <f t="shared" si="1"/>
        <v>10.4</v>
      </c>
      <c r="R27" s="140" t="str">
        <f t="shared" si="2"/>
        <v/>
      </c>
      <c r="S27" s="140" t="str">
        <f t="shared" si="3"/>
        <v/>
      </c>
      <c r="T27" s="140" t="str">
        <f t="shared" si="4"/>
        <v/>
      </c>
      <c r="U27" s="140" t="str">
        <f t="shared" si="5"/>
        <v/>
      </c>
      <c r="V27" s="99"/>
    </row>
    <row r="28" spans="1:22">
      <c r="A28" s="92"/>
      <c r="B28" s="146"/>
      <c r="C28" s="151">
        <v>0.17499999999999999</v>
      </c>
      <c r="D28" s="137"/>
      <c r="E28" s="138">
        <v>0.17499999999999999</v>
      </c>
      <c r="F28" s="139"/>
      <c r="G28" s="98"/>
      <c r="H28" s="99"/>
      <c r="I28" s="99"/>
      <c r="J28" s="100"/>
      <c r="K28" s="99"/>
      <c r="L28" s="99"/>
      <c r="M28" s="99"/>
      <c r="N28" s="99"/>
      <c r="O28" s="112"/>
      <c r="P28" s="140" t="str">
        <f>IF($G28=8,$O28,"")</f>
        <v/>
      </c>
      <c r="Q28" s="140" t="str">
        <f>IF($G28=10,$O28,"")</f>
        <v/>
      </c>
      <c r="R28" s="140" t="str">
        <f>IF($G28=12,$O28,"")</f>
        <v/>
      </c>
      <c r="S28" s="140" t="str">
        <f>IF($G28=16,$O28,"")</f>
        <v/>
      </c>
      <c r="T28" s="140" t="str">
        <f>IF($G28=20,$O28,"")</f>
        <v/>
      </c>
      <c r="U28" s="140" t="str">
        <f>IF($G28=25,$O28,"")</f>
        <v/>
      </c>
      <c r="V28" s="99"/>
    </row>
    <row r="29" spans="1:22">
      <c r="A29" s="92"/>
      <c r="B29" s="146"/>
      <c r="C29" s="136"/>
      <c r="D29" s="137"/>
      <c r="E29" s="138"/>
      <c r="F29" s="139"/>
      <c r="G29" s="98"/>
      <c r="H29" s="99"/>
      <c r="I29" s="99"/>
      <c r="J29" s="100"/>
      <c r="K29" s="99"/>
      <c r="L29" s="99"/>
      <c r="M29" s="99"/>
      <c r="N29" s="99"/>
      <c r="O29" s="101"/>
      <c r="P29" s="140" t="str">
        <f t="shared" si="0"/>
        <v/>
      </c>
      <c r="Q29" s="140" t="str">
        <f t="shared" si="1"/>
        <v/>
      </c>
      <c r="R29" s="140" t="str">
        <f t="shared" si="2"/>
        <v/>
      </c>
      <c r="S29" s="140" t="str">
        <f t="shared" si="3"/>
        <v/>
      </c>
      <c r="T29" s="140" t="str">
        <f t="shared" si="4"/>
        <v/>
      </c>
      <c r="U29" s="140" t="str">
        <f t="shared" si="5"/>
        <v/>
      </c>
      <c r="V29" s="99"/>
    </row>
    <row r="30" spans="1:22">
      <c r="A30" s="92"/>
      <c r="B30" s="146"/>
      <c r="C30" s="136"/>
      <c r="D30" s="109">
        <f>0.3-0.08</f>
        <v>0.21999999999999997</v>
      </c>
      <c r="E30" s="138"/>
      <c r="F30" s="139"/>
      <c r="G30" s="98"/>
      <c r="H30" s="99"/>
      <c r="I30" s="99"/>
      <c r="J30" s="100"/>
      <c r="K30" s="99"/>
      <c r="L30" s="99"/>
      <c r="M30" s="99"/>
      <c r="N30" s="99"/>
      <c r="O30" s="101"/>
      <c r="P30" s="140" t="str">
        <f t="shared" si="0"/>
        <v/>
      </c>
      <c r="Q30" s="140" t="str">
        <f t="shared" si="1"/>
        <v/>
      </c>
      <c r="R30" s="140" t="str">
        <f t="shared" si="2"/>
        <v/>
      </c>
      <c r="S30" s="140" t="str">
        <f t="shared" si="3"/>
        <v/>
      </c>
      <c r="T30" s="140" t="str">
        <f t="shared" si="4"/>
        <v/>
      </c>
      <c r="U30" s="140" t="str">
        <f t="shared" si="5"/>
        <v/>
      </c>
      <c r="V30" s="99"/>
    </row>
    <row r="31" spans="1:22">
      <c r="A31" s="92"/>
      <c r="B31" s="141"/>
      <c r="C31" s="136"/>
      <c r="D31" s="137"/>
      <c r="E31" s="138"/>
      <c r="F31" s="139"/>
      <c r="G31" s="98"/>
      <c r="H31" s="99"/>
      <c r="I31" s="99"/>
      <c r="J31" s="100"/>
      <c r="K31" s="99"/>
      <c r="L31" s="99"/>
      <c r="M31" s="99"/>
      <c r="N31" s="99"/>
      <c r="O31" s="101"/>
      <c r="P31" s="140" t="str">
        <f t="shared" si="0"/>
        <v/>
      </c>
      <c r="Q31" s="140" t="str">
        <f t="shared" si="1"/>
        <v/>
      </c>
      <c r="R31" s="140" t="str">
        <f t="shared" si="2"/>
        <v/>
      </c>
      <c r="S31" s="140" t="str">
        <f t="shared" si="3"/>
        <v/>
      </c>
      <c r="T31" s="140" t="str">
        <f t="shared" si="4"/>
        <v/>
      </c>
      <c r="U31" s="140" t="str">
        <f t="shared" si="5"/>
        <v/>
      </c>
      <c r="V31" s="99"/>
    </row>
    <row r="32" spans="1:22">
      <c r="A32" s="92">
        <v>2</v>
      </c>
      <c r="B32" s="92" t="s">
        <v>386</v>
      </c>
      <c r="C32" s="136"/>
      <c r="D32" s="137"/>
      <c r="E32" s="138"/>
      <c r="F32" s="139"/>
      <c r="G32" s="98"/>
      <c r="H32" s="99"/>
      <c r="I32" s="99"/>
      <c r="J32" s="109"/>
      <c r="K32" s="112"/>
      <c r="L32" s="112"/>
      <c r="M32" s="99"/>
      <c r="N32" s="112"/>
      <c r="O32" s="112"/>
      <c r="P32" s="140" t="str">
        <f>IF($G32=8,$O32,"")</f>
        <v/>
      </c>
      <c r="Q32" s="140" t="str">
        <f>IF($G32=10,$O32,"")</f>
        <v/>
      </c>
      <c r="R32" s="140" t="str">
        <f>IF($G32=12,$O32,"")</f>
        <v/>
      </c>
      <c r="S32" s="140" t="str">
        <f>IF($G32=16,$O32,"")</f>
        <v/>
      </c>
      <c r="T32" s="140" t="str">
        <f>IF($G32=20,$O32,"")</f>
        <v/>
      </c>
      <c r="U32" s="140" t="str">
        <f>IF($G32=25,$O32,"")</f>
        <v/>
      </c>
      <c r="V32" s="99"/>
    </row>
    <row r="33" spans="1:22">
      <c r="A33" s="92"/>
      <c r="B33" s="141" t="s">
        <v>378</v>
      </c>
      <c r="C33" s="136"/>
      <c r="D33" s="142">
        <f>0.85-0.075-2*0.016</f>
        <v>0.74299999999999999</v>
      </c>
      <c r="E33" s="138"/>
      <c r="F33" s="139"/>
      <c r="G33" s="98">
        <v>20</v>
      </c>
      <c r="H33" s="99">
        <v>11</v>
      </c>
      <c r="I33" s="99">
        <v>4</v>
      </c>
      <c r="J33" s="109">
        <f>D33</f>
        <v>0.74299999999999999</v>
      </c>
      <c r="K33" s="110" t="str">
        <f>IF(N33&lt;12,"0",0.049*G33)</f>
        <v>0</v>
      </c>
      <c r="L33" s="111">
        <v>1</v>
      </c>
      <c r="M33" s="99">
        <f>2*G33*L33/1000</f>
        <v>0.04</v>
      </c>
      <c r="N33" s="112">
        <f>J33+E35-M33</f>
        <v>1.0029999999999999</v>
      </c>
      <c r="O33" s="112">
        <f>H33*I33*N33</f>
        <v>44.131999999999998</v>
      </c>
      <c r="P33" s="140" t="str">
        <f t="shared" si="0"/>
        <v/>
      </c>
      <c r="Q33" s="140" t="str">
        <f t="shared" si="1"/>
        <v/>
      </c>
      <c r="R33" s="140" t="str">
        <f t="shared" si="2"/>
        <v/>
      </c>
      <c r="S33" s="140" t="str">
        <f t="shared" si="3"/>
        <v/>
      </c>
      <c r="T33" s="140">
        <f t="shared" si="4"/>
        <v>44.131999999999998</v>
      </c>
      <c r="U33" s="140" t="str">
        <f t="shared" si="5"/>
        <v/>
      </c>
      <c r="V33" s="99"/>
    </row>
    <row r="34" spans="1:22">
      <c r="A34" s="92"/>
      <c r="B34" s="141" t="s">
        <v>379</v>
      </c>
      <c r="C34" s="136"/>
      <c r="D34" s="137"/>
      <c r="E34" s="138"/>
      <c r="F34" s="139"/>
      <c r="G34" s="98">
        <v>20</v>
      </c>
      <c r="H34" s="99">
        <v>11</v>
      </c>
      <c r="I34" s="99">
        <v>2</v>
      </c>
      <c r="J34" s="109">
        <f>D33</f>
        <v>0.74299999999999999</v>
      </c>
      <c r="K34" s="110" t="str">
        <f t="shared" ref="K34:K36" si="8">IF(N34&lt;12,"0",0.049*G34)</f>
        <v>0</v>
      </c>
      <c r="L34" s="111">
        <v>1</v>
      </c>
      <c r="M34" s="99">
        <f t="shared" ref="M34:M36" si="9">2*G34*L34/1000</f>
        <v>0.04</v>
      </c>
      <c r="N34" s="112">
        <f>J34+E35-M34</f>
        <v>1.0029999999999999</v>
      </c>
      <c r="O34" s="112">
        <f>H34*I34*N34</f>
        <v>22.065999999999999</v>
      </c>
      <c r="P34" s="140" t="str">
        <f t="shared" si="0"/>
        <v/>
      </c>
      <c r="Q34" s="140" t="str">
        <f t="shared" si="1"/>
        <v/>
      </c>
      <c r="R34" s="140" t="str">
        <f t="shared" si="2"/>
        <v/>
      </c>
      <c r="S34" s="140" t="str">
        <f t="shared" si="3"/>
        <v/>
      </c>
      <c r="T34" s="140">
        <f t="shared" si="4"/>
        <v>22.065999999999999</v>
      </c>
      <c r="U34" s="140" t="str">
        <f t="shared" si="5"/>
        <v/>
      </c>
      <c r="V34" s="99"/>
    </row>
    <row r="35" spans="1:22">
      <c r="A35" s="92"/>
      <c r="B35" s="141" t="s">
        <v>380</v>
      </c>
      <c r="C35" s="143"/>
      <c r="D35" s="142"/>
      <c r="E35" s="144">
        <v>0.3</v>
      </c>
      <c r="F35" s="139"/>
      <c r="G35" s="98">
        <v>16</v>
      </c>
      <c r="H35" s="99">
        <v>11</v>
      </c>
      <c r="I35" s="99">
        <v>4</v>
      </c>
      <c r="J35" s="109">
        <f>D33</f>
        <v>0.74299999999999999</v>
      </c>
      <c r="K35" s="110" t="str">
        <f t="shared" si="8"/>
        <v>0</v>
      </c>
      <c r="L35" s="111">
        <v>1</v>
      </c>
      <c r="M35" s="99">
        <f t="shared" si="9"/>
        <v>3.2000000000000001E-2</v>
      </c>
      <c r="N35" s="112">
        <f>J35+E35-M35</f>
        <v>1.0109999999999999</v>
      </c>
      <c r="O35" s="112">
        <f>H35*I35*N35</f>
        <v>44.483999999999995</v>
      </c>
      <c r="P35" s="140" t="str">
        <f t="shared" si="0"/>
        <v/>
      </c>
      <c r="Q35" s="140" t="str">
        <f t="shared" si="1"/>
        <v/>
      </c>
      <c r="R35" s="140" t="str">
        <f t="shared" si="2"/>
        <v/>
      </c>
      <c r="S35" s="140">
        <f t="shared" si="3"/>
        <v>44.483999999999995</v>
      </c>
      <c r="T35" s="140" t="str">
        <f t="shared" si="4"/>
        <v/>
      </c>
      <c r="U35" s="140" t="str">
        <f t="shared" si="5"/>
        <v/>
      </c>
      <c r="V35" s="99"/>
    </row>
    <row r="36" spans="1:22">
      <c r="A36" s="92"/>
      <c r="B36" s="141" t="s">
        <v>381</v>
      </c>
      <c r="C36" s="136"/>
      <c r="D36" s="137"/>
      <c r="E36" s="138"/>
      <c r="F36" s="139"/>
      <c r="G36" s="98">
        <v>16</v>
      </c>
      <c r="H36" s="99">
        <v>11</v>
      </c>
      <c r="I36" s="99">
        <v>4</v>
      </c>
      <c r="J36" s="109">
        <f>D33</f>
        <v>0.74299999999999999</v>
      </c>
      <c r="K36" s="110" t="str">
        <f t="shared" si="8"/>
        <v>0</v>
      </c>
      <c r="L36" s="111">
        <v>1</v>
      </c>
      <c r="M36" s="99">
        <f t="shared" si="9"/>
        <v>3.2000000000000001E-2</v>
      </c>
      <c r="N36" s="112">
        <f>J36+E35-M36</f>
        <v>1.0109999999999999</v>
      </c>
      <c r="O36" s="112">
        <f>H36*I36*N36</f>
        <v>44.483999999999995</v>
      </c>
      <c r="P36" s="140" t="str">
        <f t="shared" si="0"/>
        <v/>
      </c>
      <c r="Q36" s="140" t="str">
        <f t="shared" si="1"/>
        <v/>
      </c>
      <c r="R36" s="140" t="str">
        <f t="shared" si="2"/>
        <v/>
      </c>
      <c r="S36" s="140">
        <f t="shared" si="3"/>
        <v>44.483999999999995</v>
      </c>
      <c r="T36" s="140" t="str">
        <f t="shared" si="4"/>
        <v/>
      </c>
      <c r="U36" s="140" t="str">
        <f t="shared" si="5"/>
        <v/>
      </c>
      <c r="V36" s="99"/>
    </row>
    <row r="37" spans="1:22">
      <c r="A37" s="92"/>
      <c r="B37" s="141"/>
      <c r="C37" s="136"/>
      <c r="D37" s="137"/>
      <c r="E37" s="138"/>
      <c r="F37" s="139"/>
      <c r="G37" s="98"/>
      <c r="H37" s="99"/>
      <c r="I37" s="99"/>
      <c r="J37" s="100"/>
      <c r="K37" s="99"/>
      <c r="L37" s="99"/>
      <c r="M37" s="99"/>
      <c r="N37" s="99"/>
      <c r="O37" s="101"/>
      <c r="P37" s="140" t="str">
        <f t="shared" si="0"/>
        <v/>
      </c>
      <c r="Q37" s="140" t="str">
        <f t="shared" si="1"/>
        <v/>
      </c>
      <c r="R37" s="140" t="str">
        <f t="shared" si="2"/>
        <v/>
      </c>
      <c r="S37" s="140" t="str">
        <f t="shared" si="3"/>
        <v/>
      </c>
      <c r="T37" s="140" t="str">
        <f t="shared" si="4"/>
        <v/>
      </c>
      <c r="U37" s="140" t="str">
        <f t="shared" si="5"/>
        <v/>
      </c>
      <c r="V37" s="99"/>
    </row>
    <row r="38" spans="1:22">
      <c r="A38" s="92"/>
      <c r="B38" s="92"/>
      <c r="C38" s="145">
        <v>0.08</v>
      </c>
      <c r="D38" s="137"/>
      <c r="E38" s="138"/>
      <c r="F38" s="139"/>
      <c r="G38" s="98"/>
      <c r="H38" s="99"/>
      <c r="I38" s="99"/>
      <c r="J38" s="100"/>
      <c r="K38" s="99"/>
      <c r="L38" s="99"/>
      <c r="M38" s="99"/>
      <c r="N38" s="99"/>
      <c r="O38" s="101"/>
      <c r="P38" s="140" t="str">
        <f t="shared" si="0"/>
        <v/>
      </c>
      <c r="Q38" s="140" t="str">
        <f t="shared" si="1"/>
        <v/>
      </c>
      <c r="R38" s="140" t="str">
        <f t="shared" si="2"/>
        <v/>
      </c>
      <c r="S38" s="140" t="str">
        <f t="shared" si="3"/>
        <v/>
      </c>
      <c r="T38" s="140" t="str">
        <f t="shared" si="4"/>
        <v/>
      </c>
      <c r="U38" s="140" t="str">
        <f t="shared" si="5"/>
        <v/>
      </c>
      <c r="V38" s="99"/>
    </row>
    <row r="39" spans="1:22">
      <c r="A39" s="92"/>
      <c r="B39" s="146" t="s">
        <v>382</v>
      </c>
      <c r="C39" s="147"/>
      <c r="D39" s="137"/>
      <c r="E39" s="148">
        <f>0.6-0.08</f>
        <v>0.52</v>
      </c>
      <c r="F39" s="139"/>
      <c r="G39" s="98">
        <v>10</v>
      </c>
      <c r="H39" s="99">
        <v>11</v>
      </c>
      <c r="I39" s="99">
        <v>4</v>
      </c>
      <c r="J39" s="149">
        <f>2*(D41+E39)+2*8*G39/1000</f>
        <v>1.64</v>
      </c>
      <c r="K39" s="99"/>
      <c r="L39" s="99">
        <v>5</v>
      </c>
      <c r="M39" s="112">
        <f>2*G39*L39/1000</f>
        <v>0.1</v>
      </c>
      <c r="N39" s="112">
        <f>(J39+K39-M39)</f>
        <v>1.5399999999999998</v>
      </c>
      <c r="O39" s="112">
        <f>(H39*I39*N39)</f>
        <v>67.759999999999991</v>
      </c>
      <c r="P39" s="140" t="str">
        <f t="shared" si="0"/>
        <v/>
      </c>
      <c r="Q39" s="140">
        <f t="shared" si="1"/>
        <v>67.759999999999991</v>
      </c>
      <c r="R39" s="140" t="str">
        <f t="shared" si="2"/>
        <v/>
      </c>
      <c r="S39" s="140" t="str">
        <f t="shared" si="3"/>
        <v/>
      </c>
      <c r="T39" s="140" t="str">
        <f t="shared" si="4"/>
        <v/>
      </c>
      <c r="U39" s="140" t="str">
        <f t="shared" si="5"/>
        <v/>
      </c>
      <c r="V39" s="99"/>
    </row>
    <row r="40" spans="1:22">
      <c r="A40" s="92"/>
      <c r="B40" s="146"/>
      <c r="C40" s="136"/>
      <c r="D40" s="137"/>
      <c r="E40" s="150"/>
      <c r="F40" s="139"/>
      <c r="G40" s="98"/>
      <c r="H40" s="99"/>
      <c r="I40" s="99"/>
      <c r="J40" s="100"/>
      <c r="K40" s="99"/>
      <c r="L40" s="99"/>
      <c r="M40" s="99"/>
      <c r="N40" s="99"/>
      <c r="O40" s="112"/>
      <c r="P40" s="140" t="str">
        <f t="shared" si="0"/>
        <v/>
      </c>
      <c r="Q40" s="140" t="str">
        <f t="shared" si="1"/>
        <v/>
      </c>
      <c r="R40" s="140" t="str">
        <f t="shared" si="2"/>
        <v/>
      </c>
      <c r="S40" s="140" t="str">
        <f t="shared" si="3"/>
        <v/>
      </c>
      <c r="T40" s="140" t="str">
        <f t="shared" si="4"/>
        <v/>
      </c>
      <c r="U40" s="140" t="str">
        <f t="shared" si="5"/>
        <v/>
      </c>
      <c r="V40" s="99"/>
    </row>
    <row r="41" spans="1:22">
      <c r="A41" s="92"/>
      <c r="B41" s="146"/>
      <c r="C41" s="136"/>
      <c r="D41" s="109">
        <f>0.3-0.08</f>
        <v>0.21999999999999997</v>
      </c>
      <c r="E41" s="138"/>
      <c r="F41" s="139"/>
      <c r="G41" s="98"/>
      <c r="H41" s="99"/>
      <c r="I41" s="99"/>
      <c r="J41" s="100"/>
      <c r="K41" s="99"/>
      <c r="L41" s="99"/>
      <c r="M41" s="99"/>
      <c r="N41" s="99"/>
      <c r="O41" s="112"/>
      <c r="P41" s="140" t="str">
        <f t="shared" si="0"/>
        <v/>
      </c>
      <c r="Q41" s="140" t="str">
        <f t="shared" si="1"/>
        <v/>
      </c>
      <c r="R41" s="140" t="str">
        <f t="shared" si="2"/>
        <v/>
      </c>
      <c r="S41" s="140" t="str">
        <f t="shared" si="3"/>
        <v/>
      </c>
      <c r="T41" s="140" t="str">
        <f t="shared" si="4"/>
        <v/>
      </c>
      <c r="U41" s="140" t="str">
        <f t="shared" si="5"/>
        <v/>
      </c>
      <c r="V41" s="99"/>
    </row>
    <row r="42" spans="1:22">
      <c r="A42" s="92"/>
      <c r="B42" s="141"/>
      <c r="C42" s="136"/>
      <c r="D42" s="137"/>
      <c r="E42" s="138"/>
      <c r="F42" s="139"/>
      <c r="G42" s="98"/>
      <c r="H42" s="99"/>
      <c r="I42" s="99"/>
      <c r="J42" s="100"/>
      <c r="K42" s="99"/>
      <c r="L42" s="99"/>
      <c r="M42" s="99"/>
      <c r="N42" s="99"/>
      <c r="O42" s="112"/>
      <c r="P42" s="140" t="str">
        <f t="shared" si="0"/>
        <v/>
      </c>
      <c r="Q42" s="140" t="str">
        <f t="shared" si="1"/>
        <v/>
      </c>
      <c r="R42" s="140" t="str">
        <f t="shared" si="2"/>
        <v/>
      </c>
      <c r="S42" s="140" t="str">
        <f t="shared" si="3"/>
        <v/>
      </c>
      <c r="T42" s="140" t="str">
        <f t="shared" si="4"/>
        <v/>
      </c>
      <c r="U42" s="140" t="str">
        <f t="shared" si="5"/>
        <v/>
      </c>
      <c r="V42" s="99"/>
    </row>
    <row r="43" spans="1:22">
      <c r="A43" s="92"/>
      <c r="B43" s="92"/>
      <c r="C43" s="145">
        <v>0.08</v>
      </c>
      <c r="D43" s="137"/>
      <c r="E43" s="138"/>
      <c r="F43" s="139"/>
      <c r="G43" s="98"/>
      <c r="H43" s="99"/>
      <c r="I43" s="99"/>
      <c r="J43" s="100"/>
      <c r="K43" s="99"/>
      <c r="L43" s="99"/>
      <c r="M43" s="99"/>
      <c r="N43" s="99"/>
      <c r="O43" s="112"/>
      <c r="P43" s="140" t="str">
        <f t="shared" si="0"/>
        <v/>
      </c>
      <c r="Q43" s="140" t="str">
        <f t="shared" si="1"/>
        <v/>
      </c>
      <c r="R43" s="140" t="str">
        <f t="shared" si="2"/>
        <v/>
      </c>
      <c r="S43" s="140" t="str">
        <f t="shared" si="3"/>
        <v/>
      </c>
      <c r="T43" s="140" t="str">
        <f t="shared" si="4"/>
        <v/>
      </c>
      <c r="U43" s="140" t="str">
        <f t="shared" si="5"/>
        <v/>
      </c>
      <c r="V43" s="99"/>
    </row>
    <row r="44" spans="1:22">
      <c r="A44" s="92"/>
      <c r="B44" s="146" t="s">
        <v>383</v>
      </c>
      <c r="C44" s="147"/>
      <c r="D44" s="137"/>
      <c r="E44" s="148">
        <f>((0.6-0.08-0.016)/5)+0.012+0.02</f>
        <v>0.1328</v>
      </c>
      <c r="F44" s="139"/>
      <c r="G44" s="98">
        <v>10</v>
      </c>
      <c r="H44" s="99">
        <v>11</v>
      </c>
      <c r="I44" s="99">
        <v>1</v>
      </c>
      <c r="J44" s="149">
        <f>2*(D46+E44)+2*8*G44/1000</f>
        <v>0.86560000000000004</v>
      </c>
      <c r="K44" s="99"/>
      <c r="L44" s="99">
        <v>5</v>
      </c>
      <c r="M44" s="112">
        <f>2*G44*L44/1000</f>
        <v>0.1</v>
      </c>
      <c r="N44" s="112">
        <f>(J44+K44-M44)</f>
        <v>0.76560000000000006</v>
      </c>
      <c r="O44" s="112">
        <f>(H44*I44*N44)</f>
        <v>8.4216000000000015</v>
      </c>
      <c r="P44" s="140" t="str">
        <f t="shared" si="0"/>
        <v/>
      </c>
      <c r="Q44" s="140">
        <f t="shared" si="1"/>
        <v>8.4216000000000015</v>
      </c>
      <c r="R44" s="140" t="str">
        <f t="shared" si="2"/>
        <v/>
      </c>
      <c r="S44" s="140" t="str">
        <f t="shared" si="3"/>
        <v/>
      </c>
      <c r="T44" s="140" t="str">
        <f t="shared" si="4"/>
        <v/>
      </c>
      <c r="U44" s="140" t="str">
        <f t="shared" si="5"/>
        <v/>
      </c>
      <c r="V44" s="99"/>
    </row>
    <row r="45" spans="1:22">
      <c r="A45" s="92"/>
      <c r="B45" s="146"/>
      <c r="C45" s="136"/>
      <c r="D45" s="137"/>
      <c r="E45" s="150"/>
      <c r="F45" s="139"/>
      <c r="G45" s="98"/>
      <c r="H45" s="99"/>
      <c r="I45" s="99"/>
      <c r="J45" s="100"/>
      <c r="K45" s="99"/>
      <c r="L45" s="99"/>
      <c r="M45" s="99"/>
      <c r="N45" s="99"/>
      <c r="O45" s="112"/>
      <c r="P45" s="140" t="str">
        <f t="shared" si="0"/>
        <v/>
      </c>
      <c r="Q45" s="140" t="str">
        <f t="shared" si="1"/>
        <v/>
      </c>
      <c r="R45" s="140" t="str">
        <f t="shared" si="2"/>
        <v/>
      </c>
      <c r="S45" s="140" t="str">
        <f t="shared" si="3"/>
        <v/>
      </c>
      <c r="T45" s="140" t="str">
        <f t="shared" si="4"/>
        <v/>
      </c>
      <c r="U45" s="140" t="str">
        <f t="shared" si="5"/>
        <v/>
      </c>
      <c r="V45" s="99"/>
    </row>
    <row r="46" spans="1:22">
      <c r="A46" s="92"/>
      <c r="B46" s="146"/>
      <c r="C46" s="136"/>
      <c r="D46" s="109">
        <f>0.3-0.08</f>
        <v>0.21999999999999997</v>
      </c>
      <c r="E46" s="138"/>
      <c r="F46" s="139"/>
      <c r="G46" s="98"/>
      <c r="H46" s="99"/>
      <c r="I46" s="99"/>
      <c r="J46" s="100"/>
      <c r="K46" s="99"/>
      <c r="L46" s="99"/>
      <c r="M46" s="99"/>
      <c r="N46" s="99"/>
      <c r="O46" s="112"/>
      <c r="P46" s="140" t="str">
        <f t="shared" si="0"/>
        <v/>
      </c>
      <c r="Q46" s="140" t="str">
        <f t="shared" si="1"/>
        <v/>
      </c>
      <c r="R46" s="140" t="str">
        <f t="shared" si="2"/>
        <v/>
      </c>
      <c r="S46" s="140" t="str">
        <f t="shared" si="3"/>
        <v/>
      </c>
      <c r="T46" s="140" t="str">
        <f t="shared" si="4"/>
        <v/>
      </c>
      <c r="U46" s="140" t="str">
        <f t="shared" si="5"/>
        <v/>
      </c>
      <c r="V46" s="99"/>
    </row>
    <row r="47" spans="1:22">
      <c r="A47" s="92"/>
      <c r="B47" s="146"/>
      <c r="C47" s="136"/>
      <c r="D47" s="137"/>
      <c r="E47" s="138"/>
      <c r="F47" s="139"/>
      <c r="G47" s="98"/>
      <c r="H47" s="99"/>
      <c r="I47" s="99"/>
      <c r="J47" s="100"/>
      <c r="K47" s="99"/>
      <c r="L47" s="99"/>
      <c r="M47" s="99"/>
      <c r="N47" s="99"/>
      <c r="O47" s="112"/>
      <c r="P47" s="140" t="str">
        <f t="shared" si="0"/>
        <v/>
      </c>
      <c r="Q47" s="140" t="str">
        <f t="shared" si="1"/>
        <v/>
      </c>
      <c r="R47" s="140" t="str">
        <f t="shared" si="2"/>
        <v/>
      </c>
      <c r="S47" s="140" t="str">
        <f t="shared" si="3"/>
        <v/>
      </c>
      <c r="T47" s="140" t="str">
        <f t="shared" si="4"/>
        <v/>
      </c>
      <c r="U47" s="140" t="str">
        <f t="shared" si="5"/>
        <v/>
      </c>
      <c r="V47" s="99"/>
    </row>
    <row r="48" spans="1:22">
      <c r="A48" s="92"/>
      <c r="B48" s="146" t="s">
        <v>384</v>
      </c>
      <c r="C48" s="136"/>
      <c r="D48" s="142"/>
      <c r="E48" s="138"/>
      <c r="F48" s="139"/>
      <c r="G48" s="98">
        <v>10</v>
      </c>
      <c r="H48" s="99">
        <v>11</v>
      </c>
      <c r="I48" s="99">
        <v>1</v>
      </c>
      <c r="J48" s="149">
        <f>C49+D51+E49+2*8*G48/1000</f>
        <v>0.73</v>
      </c>
      <c r="K48" s="99"/>
      <c r="L48" s="99">
        <v>4</v>
      </c>
      <c r="M48" s="112">
        <f>2*G48*L48/1000</f>
        <v>0.08</v>
      </c>
      <c r="N48" s="112">
        <f>(J48+K48-M48)</f>
        <v>0.65</v>
      </c>
      <c r="O48" s="112">
        <f>(H48*I48*N48)</f>
        <v>7.15</v>
      </c>
      <c r="P48" s="140" t="str">
        <f t="shared" si="0"/>
        <v/>
      </c>
      <c r="Q48" s="140">
        <f t="shared" si="1"/>
        <v>7.15</v>
      </c>
      <c r="R48" s="140" t="str">
        <f t="shared" si="2"/>
        <v/>
      </c>
      <c r="S48" s="140" t="str">
        <f t="shared" si="3"/>
        <v/>
      </c>
      <c r="T48" s="140" t="str">
        <f t="shared" si="4"/>
        <v/>
      </c>
      <c r="U48" s="140" t="str">
        <f t="shared" si="5"/>
        <v/>
      </c>
      <c r="V48" s="99"/>
    </row>
    <row r="49" spans="1:22">
      <c r="A49" s="92"/>
      <c r="B49" s="146"/>
      <c r="C49" s="151">
        <v>0.17499999999999999</v>
      </c>
      <c r="D49" s="137"/>
      <c r="E49" s="138">
        <v>0.17499999999999999</v>
      </c>
      <c r="F49" s="139"/>
      <c r="G49" s="98"/>
      <c r="H49" s="99"/>
      <c r="I49" s="99"/>
      <c r="J49" s="100"/>
      <c r="K49" s="99"/>
      <c r="L49" s="99"/>
      <c r="M49" s="99"/>
      <c r="N49" s="99"/>
      <c r="O49" s="112"/>
      <c r="P49" s="140" t="str">
        <f>IF($G49=8,$O49,"")</f>
        <v/>
      </c>
      <c r="Q49" s="140" t="str">
        <f>IF($G49=10,$O49,"")</f>
        <v/>
      </c>
      <c r="R49" s="140" t="str">
        <f>IF($G49=12,$O49,"")</f>
        <v/>
      </c>
      <c r="S49" s="140" t="str">
        <f>IF($G49=16,$O49,"")</f>
        <v/>
      </c>
      <c r="T49" s="140" t="str">
        <f>IF($G49=20,$O49,"")</f>
        <v/>
      </c>
      <c r="U49" s="140" t="str">
        <f>IF($G49=25,$O49,"")</f>
        <v/>
      </c>
      <c r="V49" s="99"/>
    </row>
    <row r="50" spans="1:22">
      <c r="A50" s="92"/>
      <c r="B50" s="146"/>
      <c r="C50" s="136"/>
      <c r="D50" s="137"/>
      <c r="E50" s="138"/>
      <c r="F50" s="139"/>
      <c r="G50" s="98"/>
      <c r="H50" s="99"/>
      <c r="I50" s="99"/>
      <c r="J50" s="100"/>
      <c r="K50" s="99"/>
      <c r="L50" s="99"/>
      <c r="M50" s="99"/>
      <c r="N50" s="99"/>
      <c r="O50" s="112"/>
      <c r="P50" s="140" t="str">
        <f t="shared" si="0"/>
        <v/>
      </c>
      <c r="Q50" s="140" t="str">
        <f t="shared" si="1"/>
        <v/>
      </c>
      <c r="R50" s="140" t="str">
        <f t="shared" si="2"/>
        <v/>
      </c>
      <c r="S50" s="140" t="str">
        <f t="shared" si="3"/>
        <v/>
      </c>
      <c r="T50" s="140" t="str">
        <f t="shared" si="4"/>
        <v/>
      </c>
      <c r="U50" s="140" t="str">
        <f t="shared" si="5"/>
        <v/>
      </c>
      <c r="V50" s="99"/>
    </row>
    <row r="51" spans="1:22">
      <c r="A51" s="92"/>
      <c r="B51" s="146"/>
      <c r="C51" s="136"/>
      <c r="D51" s="109">
        <f>0.3-0.08</f>
        <v>0.21999999999999997</v>
      </c>
      <c r="E51" s="138"/>
      <c r="F51" s="139"/>
      <c r="G51" s="98"/>
      <c r="H51" s="99"/>
      <c r="I51" s="99"/>
      <c r="J51" s="100"/>
      <c r="K51" s="99"/>
      <c r="L51" s="99"/>
      <c r="M51" s="99"/>
      <c r="N51" s="99"/>
      <c r="O51" s="112"/>
      <c r="P51" s="140" t="str">
        <f t="shared" si="0"/>
        <v/>
      </c>
      <c r="Q51" s="140" t="str">
        <f t="shared" si="1"/>
        <v/>
      </c>
      <c r="R51" s="140" t="str">
        <f t="shared" si="2"/>
        <v/>
      </c>
      <c r="S51" s="140" t="str">
        <f t="shared" si="3"/>
        <v/>
      </c>
      <c r="T51" s="140" t="str">
        <f t="shared" si="4"/>
        <v/>
      </c>
      <c r="U51" s="140" t="str">
        <f t="shared" si="5"/>
        <v/>
      </c>
      <c r="V51" s="99"/>
    </row>
    <row r="52" spans="1:22">
      <c r="A52" s="92"/>
      <c r="B52" s="146"/>
      <c r="C52" s="136"/>
      <c r="D52" s="137"/>
      <c r="E52" s="138"/>
      <c r="F52" s="139"/>
      <c r="G52" s="98"/>
      <c r="H52" s="99"/>
      <c r="I52" s="99"/>
      <c r="J52" s="100"/>
      <c r="K52" s="99"/>
      <c r="L52" s="99"/>
      <c r="M52" s="99"/>
      <c r="N52" s="99"/>
      <c r="O52" s="112"/>
      <c r="P52" s="140" t="str">
        <f t="shared" si="0"/>
        <v/>
      </c>
      <c r="Q52" s="140" t="str">
        <f t="shared" si="1"/>
        <v/>
      </c>
      <c r="R52" s="140" t="str">
        <f t="shared" si="2"/>
        <v/>
      </c>
      <c r="S52" s="140" t="str">
        <f t="shared" si="3"/>
        <v/>
      </c>
      <c r="T52" s="140" t="str">
        <f t="shared" si="4"/>
        <v/>
      </c>
      <c r="U52" s="140" t="str">
        <f t="shared" si="5"/>
        <v/>
      </c>
      <c r="V52" s="99"/>
    </row>
    <row r="53" spans="1:22">
      <c r="A53" s="92"/>
      <c r="B53" s="146" t="s">
        <v>385</v>
      </c>
      <c r="C53" s="136"/>
      <c r="D53" s="142"/>
      <c r="E53" s="138"/>
      <c r="F53" s="139"/>
      <c r="G53" s="98">
        <v>10</v>
      </c>
      <c r="H53" s="99">
        <v>11</v>
      </c>
      <c r="I53" s="99">
        <v>1</v>
      </c>
      <c r="J53" s="149">
        <f>C54+D56+E54+2*8*G53/1000</f>
        <v>0.73</v>
      </c>
      <c r="K53" s="99"/>
      <c r="L53" s="99">
        <v>4</v>
      </c>
      <c r="M53" s="112">
        <f>2*G53*L53/1000</f>
        <v>0.08</v>
      </c>
      <c r="N53" s="112">
        <f>(J53+K53-M53)</f>
        <v>0.65</v>
      </c>
      <c r="O53" s="112">
        <f>(H53*I53*N53)</f>
        <v>7.15</v>
      </c>
      <c r="P53" s="140" t="str">
        <f t="shared" si="0"/>
        <v/>
      </c>
      <c r="Q53" s="140">
        <f t="shared" si="1"/>
        <v>7.15</v>
      </c>
      <c r="R53" s="140" t="str">
        <f t="shared" si="2"/>
        <v/>
      </c>
      <c r="S53" s="140" t="str">
        <f t="shared" si="3"/>
        <v/>
      </c>
      <c r="T53" s="140" t="str">
        <f t="shared" si="4"/>
        <v/>
      </c>
      <c r="U53" s="140" t="str">
        <f t="shared" si="5"/>
        <v/>
      </c>
      <c r="V53" s="99"/>
    </row>
    <row r="54" spans="1:22">
      <c r="A54" s="92"/>
      <c r="B54" s="146"/>
      <c r="C54" s="151">
        <v>0.17499999999999999</v>
      </c>
      <c r="D54" s="137"/>
      <c r="E54" s="138">
        <v>0.17499999999999999</v>
      </c>
      <c r="F54" s="139"/>
      <c r="G54" s="98"/>
      <c r="H54" s="99"/>
      <c r="I54" s="99"/>
      <c r="J54" s="100"/>
      <c r="K54" s="99"/>
      <c r="L54" s="99"/>
      <c r="M54" s="99"/>
      <c r="N54" s="99"/>
      <c r="O54" s="112"/>
      <c r="P54" s="140" t="str">
        <f>IF($G54=8,$O54,"")</f>
        <v/>
      </c>
      <c r="Q54" s="140" t="str">
        <f>IF($G54=10,$O54,"")</f>
        <v/>
      </c>
      <c r="R54" s="140" t="str">
        <f>IF($G54=12,$O54,"")</f>
        <v/>
      </c>
      <c r="S54" s="140" t="str">
        <f>IF($G54=16,$O54,"")</f>
        <v/>
      </c>
      <c r="T54" s="140" t="str">
        <f>IF($G54=20,$O54,"")</f>
        <v/>
      </c>
      <c r="U54" s="140" t="str">
        <f>IF($G54=25,$O54,"")</f>
        <v/>
      </c>
      <c r="V54" s="99"/>
    </row>
    <row r="55" spans="1:22">
      <c r="A55" s="92"/>
      <c r="B55" s="146"/>
      <c r="C55" s="136"/>
      <c r="D55" s="137"/>
      <c r="E55" s="138"/>
      <c r="F55" s="139"/>
      <c r="G55" s="98"/>
      <c r="H55" s="99"/>
      <c r="I55" s="99"/>
      <c r="J55" s="100"/>
      <c r="K55" s="99"/>
      <c r="L55" s="99"/>
      <c r="M55" s="99"/>
      <c r="N55" s="99"/>
      <c r="O55" s="101"/>
      <c r="P55" s="140" t="str">
        <f t="shared" si="0"/>
        <v/>
      </c>
      <c r="Q55" s="140" t="str">
        <f t="shared" si="1"/>
        <v/>
      </c>
      <c r="R55" s="140" t="str">
        <f t="shared" si="2"/>
        <v/>
      </c>
      <c r="S55" s="140" t="str">
        <f t="shared" si="3"/>
        <v/>
      </c>
      <c r="T55" s="140" t="str">
        <f t="shared" si="4"/>
        <v/>
      </c>
      <c r="U55" s="140" t="str">
        <f t="shared" si="5"/>
        <v/>
      </c>
      <c r="V55" s="99"/>
    </row>
    <row r="56" spans="1:22">
      <c r="A56" s="92"/>
      <c r="B56" s="146"/>
      <c r="C56" s="136"/>
      <c r="D56" s="109">
        <f>0.3-0.08</f>
        <v>0.21999999999999997</v>
      </c>
      <c r="E56" s="138"/>
      <c r="F56" s="139"/>
      <c r="G56" s="98"/>
      <c r="H56" s="99"/>
      <c r="I56" s="99"/>
      <c r="J56" s="100"/>
      <c r="K56" s="99"/>
      <c r="L56" s="99"/>
      <c r="M56" s="99"/>
      <c r="N56" s="99"/>
      <c r="O56" s="101"/>
      <c r="P56" s="140" t="str">
        <f t="shared" si="0"/>
        <v/>
      </c>
      <c r="Q56" s="140" t="str">
        <f t="shared" si="1"/>
        <v/>
      </c>
      <c r="R56" s="140" t="str">
        <f t="shared" si="2"/>
        <v/>
      </c>
      <c r="S56" s="140" t="str">
        <f t="shared" si="3"/>
        <v/>
      </c>
      <c r="T56" s="140" t="str">
        <f t="shared" si="4"/>
        <v/>
      </c>
      <c r="U56" s="140" t="str">
        <f t="shared" si="5"/>
        <v/>
      </c>
      <c r="V56" s="99"/>
    </row>
    <row r="57" spans="1:22">
      <c r="A57" s="92"/>
      <c r="B57" s="141"/>
      <c r="C57" s="136"/>
      <c r="D57" s="137"/>
      <c r="E57" s="138"/>
      <c r="F57" s="139"/>
      <c r="G57" s="98"/>
      <c r="H57" s="99"/>
      <c r="I57" s="99"/>
      <c r="J57" s="100"/>
      <c r="K57" s="99"/>
      <c r="L57" s="99"/>
      <c r="M57" s="99"/>
      <c r="N57" s="99"/>
      <c r="O57" s="101"/>
      <c r="P57" s="140" t="str">
        <f t="shared" si="0"/>
        <v/>
      </c>
      <c r="Q57" s="140" t="str">
        <f t="shared" si="1"/>
        <v/>
      </c>
      <c r="R57" s="140" t="str">
        <f t="shared" si="2"/>
        <v/>
      </c>
      <c r="S57" s="140" t="str">
        <f t="shared" si="3"/>
        <v/>
      </c>
      <c r="T57" s="140" t="str">
        <f t="shared" si="4"/>
        <v/>
      </c>
      <c r="U57" s="140" t="str">
        <f t="shared" si="5"/>
        <v/>
      </c>
      <c r="V57" s="99"/>
    </row>
    <row r="58" spans="1:22">
      <c r="A58" s="92">
        <v>3</v>
      </c>
      <c r="B58" s="92" t="s">
        <v>387</v>
      </c>
      <c r="C58" s="136"/>
      <c r="D58" s="137"/>
      <c r="E58" s="138"/>
      <c r="F58" s="139"/>
      <c r="G58" s="98"/>
      <c r="H58" s="99"/>
      <c r="I58" s="99"/>
      <c r="J58" s="109"/>
      <c r="K58" s="112"/>
      <c r="L58" s="112"/>
      <c r="M58" s="99"/>
      <c r="N58" s="112"/>
      <c r="O58" s="112"/>
      <c r="P58" s="140" t="str">
        <f>IF($G58=8,$O58,"")</f>
        <v/>
      </c>
      <c r="Q58" s="140" t="str">
        <f>IF($G58=10,$O58,"")</f>
        <v/>
      </c>
      <c r="R58" s="140" t="str">
        <f>IF($G58=12,$O58,"")</f>
        <v/>
      </c>
      <c r="S58" s="140" t="str">
        <f>IF($G58=16,$O58,"")</f>
        <v/>
      </c>
      <c r="T58" s="140" t="str">
        <f>IF($G58=20,$O58,"")</f>
        <v/>
      </c>
      <c r="U58" s="140" t="str">
        <f>IF($G58=25,$O58,"")</f>
        <v/>
      </c>
      <c r="V58" s="99"/>
    </row>
    <row r="59" spans="1:22">
      <c r="A59" s="92"/>
      <c r="B59" s="141" t="s">
        <v>378</v>
      </c>
      <c r="C59" s="136"/>
      <c r="D59" s="142">
        <f>0.85-0.075-2*0.016</f>
        <v>0.74299999999999999</v>
      </c>
      <c r="E59" s="138"/>
      <c r="F59" s="139"/>
      <c r="G59" s="98">
        <v>25</v>
      </c>
      <c r="H59" s="99">
        <v>2</v>
      </c>
      <c r="I59" s="99">
        <v>4</v>
      </c>
      <c r="J59" s="109">
        <f>D59</f>
        <v>0.74299999999999999</v>
      </c>
      <c r="K59" s="110" t="str">
        <f>IF(N59&lt;12,"0",0.049*G59)</f>
        <v>0</v>
      </c>
      <c r="L59" s="111">
        <v>1</v>
      </c>
      <c r="M59" s="99">
        <f>2*G59*L59/1000</f>
        <v>0.05</v>
      </c>
      <c r="N59" s="112">
        <f>J59+E$61-M59</f>
        <v>0.99299999999999988</v>
      </c>
      <c r="O59" s="112">
        <f>H59*I59*N59</f>
        <v>7.9439999999999991</v>
      </c>
      <c r="P59" s="140" t="str">
        <f t="shared" si="0"/>
        <v/>
      </c>
      <c r="Q59" s="140" t="str">
        <f t="shared" si="1"/>
        <v/>
      </c>
      <c r="R59" s="140" t="str">
        <f t="shared" si="2"/>
        <v/>
      </c>
      <c r="S59" s="140" t="str">
        <f t="shared" si="3"/>
        <v/>
      </c>
      <c r="T59" s="140" t="str">
        <f t="shared" si="4"/>
        <v/>
      </c>
      <c r="U59" s="140">
        <f t="shared" si="5"/>
        <v>7.9439999999999991</v>
      </c>
      <c r="V59" s="99"/>
    </row>
    <row r="60" spans="1:22">
      <c r="A60" s="92"/>
      <c r="B60" s="141" t="s">
        <v>379</v>
      </c>
      <c r="C60" s="136"/>
      <c r="D60" s="137"/>
      <c r="E60" s="138"/>
      <c r="F60" s="139"/>
      <c r="G60" s="98">
        <v>25</v>
      </c>
      <c r="H60" s="99">
        <v>2</v>
      </c>
      <c r="I60" s="99">
        <v>2</v>
      </c>
      <c r="J60" s="109">
        <f>D59</f>
        <v>0.74299999999999999</v>
      </c>
      <c r="K60" s="110" t="str">
        <f t="shared" ref="K60:K62" si="10">IF(N60&lt;12,"0",0.049*G60)</f>
        <v>0</v>
      </c>
      <c r="L60" s="111">
        <v>1</v>
      </c>
      <c r="M60" s="99">
        <f t="shared" ref="M60:M62" si="11">2*G60*L60/1000</f>
        <v>0.05</v>
      </c>
      <c r="N60" s="112">
        <f t="shared" ref="N60:N62" si="12">J60+E$61-M60</f>
        <v>0.99299999999999988</v>
      </c>
      <c r="O60" s="112">
        <f>H60*I60*N60</f>
        <v>3.9719999999999995</v>
      </c>
      <c r="P60" s="140" t="str">
        <f t="shared" si="0"/>
        <v/>
      </c>
      <c r="Q60" s="140" t="str">
        <f t="shared" si="1"/>
        <v/>
      </c>
      <c r="R60" s="140" t="str">
        <f t="shared" si="2"/>
        <v/>
      </c>
      <c r="S60" s="140" t="str">
        <f t="shared" si="3"/>
        <v/>
      </c>
      <c r="T60" s="140" t="str">
        <f t="shared" si="4"/>
        <v/>
      </c>
      <c r="U60" s="140">
        <f t="shared" si="5"/>
        <v>3.9719999999999995</v>
      </c>
      <c r="V60" s="99"/>
    </row>
    <row r="61" spans="1:22">
      <c r="A61" s="92"/>
      <c r="B61" s="141" t="s">
        <v>380</v>
      </c>
      <c r="C61" s="143"/>
      <c r="D61" s="142"/>
      <c r="E61" s="144">
        <v>0.3</v>
      </c>
      <c r="F61" s="139"/>
      <c r="G61" s="98">
        <v>25</v>
      </c>
      <c r="H61" s="99">
        <v>2</v>
      </c>
      <c r="I61" s="99">
        <v>4</v>
      </c>
      <c r="J61" s="109">
        <f>D59</f>
        <v>0.74299999999999999</v>
      </c>
      <c r="K61" s="110" t="str">
        <f t="shared" si="10"/>
        <v>0</v>
      </c>
      <c r="L61" s="111">
        <v>1</v>
      </c>
      <c r="M61" s="99">
        <f t="shared" si="11"/>
        <v>0.05</v>
      </c>
      <c r="N61" s="112">
        <f t="shared" si="12"/>
        <v>0.99299999999999988</v>
      </c>
      <c r="O61" s="112">
        <f>H61*I61*N61</f>
        <v>7.9439999999999991</v>
      </c>
      <c r="P61" s="140" t="str">
        <f t="shared" si="0"/>
        <v/>
      </c>
      <c r="Q61" s="140" t="str">
        <f t="shared" si="1"/>
        <v/>
      </c>
      <c r="R61" s="140" t="str">
        <f t="shared" si="2"/>
        <v/>
      </c>
      <c r="S61" s="140" t="str">
        <f t="shared" si="3"/>
        <v/>
      </c>
      <c r="T61" s="140" t="str">
        <f t="shared" si="4"/>
        <v/>
      </c>
      <c r="U61" s="140">
        <f t="shared" si="5"/>
        <v>7.9439999999999991</v>
      </c>
      <c r="V61" s="99"/>
    </row>
    <row r="62" spans="1:22">
      <c r="A62" s="92"/>
      <c r="B62" s="141" t="s">
        <v>381</v>
      </c>
      <c r="C62" s="136"/>
      <c r="D62" s="137"/>
      <c r="E62" s="138"/>
      <c r="F62" s="139"/>
      <c r="G62" s="98">
        <v>20</v>
      </c>
      <c r="H62" s="99">
        <v>2</v>
      </c>
      <c r="I62" s="99">
        <v>4</v>
      </c>
      <c r="J62" s="109">
        <f>D59</f>
        <v>0.74299999999999999</v>
      </c>
      <c r="K62" s="110" t="str">
        <f t="shared" si="10"/>
        <v>0</v>
      </c>
      <c r="L62" s="111">
        <v>1</v>
      </c>
      <c r="M62" s="99">
        <f t="shared" si="11"/>
        <v>0.04</v>
      </c>
      <c r="N62" s="112">
        <f t="shared" si="12"/>
        <v>1.0029999999999999</v>
      </c>
      <c r="O62" s="112">
        <f>H62*I62*N62</f>
        <v>8.0239999999999991</v>
      </c>
      <c r="P62" s="140" t="str">
        <f t="shared" si="0"/>
        <v/>
      </c>
      <c r="Q62" s="140" t="str">
        <f t="shared" si="1"/>
        <v/>
      </c>
      <c r="R62" s="140" t="str">
        <f t="shared" si="2"/>
        <v/>
      </c>
      <c r="S62" s="140" t="str">
        <f t="shared" si="3"/>
        <v/>
      </c>
      <c r="T62" s="140">
        <f t="shared" si="4"/>
        <v>8.0239999999999991</v>
      </c>
      <c r="U62" s="140" t="str">
        <f t="shared" si="5"/>
        <v/>
      </c>
      <c r="V62" s="99"/>
    </row>
    <row r="63" spans="1:22">
      <c r="A63" s="92"/>
      <c r="B63" s="141"/>
      <c r="C63" s="136"/>
      <c r="D63" s="137"/>
      <c r="E63" s="138"/>
      <c r="F63" s="139"/>
      <c r="G63" s="98"/>
      <c r="H63" s="99"/>
      <c r="I63" s="99"/>
      <c r="J63" s="100"/>
      <c r="K63" s="99"/>
      <c r="L63" s="99"/>
      <c r="M63" s="99"/>
      <c r="N63" s="99"/>
      <c r="O63" s="101"/>
      <c r="P63" s="140" t="str">
        <f t="shared" si="0"/>
        <v/>
      </c>
      <c r="Q63" s="140" t="str">
        <f t="shared" si="1"/>
        <v/>
      </c>
      <c r="R63" s="140" t="str">
        <f t="shared" si="2"/>
        <v/>
      </c>
      <c r="S63" s="140" t="str">
        <f t="shared" si="3"/>
        <v/>
      </c>
      <c r="T63" s="140" t="str">
        <f t="shared" si="4"/>
        <v/>
      </c>
      <c r="U63" s="140" t="str">
        <f t="shared" si="5"/>
        <v/>
      </c>
      <c r="V63" s="99"/>
    </row>
    <row r="64" spans="1:22">
      <c r="A64" s="92"/>
      <c r="B64" s="92"/>
      <c r="C64" s="145">
        <v>0.08</v>
      </c>
      <c r="D64" s="137"/>
      <c r="E64" s="138"/>
      <c r="F64" s="139"/>
      <c r="G64" s="98"/>
      <c r="H64" s="99"/>
      <c r="I64" s="99"/>
      <c r="J64" s="100"/>
      <c r="K64" s="99"/>
      <c r="L64" s="99"/>
      <c r="M64" s="99"/>
      <c r="N64" s="99"/>
      <c r="O64" s="101"/>
      <c r="P64" s="140" t="str">
        <f t="shared" si="0"/>
        <v/>
      </c>
      <c r="Q64" s="140" t="str">
        <f t="shared" si="1"/>
        <v/>
      </c>
      <c r="R64" s="140" t="str">
        <f t="shared" si="2"/>
        <v/>
      </c>
      <c r="S64" s="140" t="str">
        <f t="shared" si="3"/>
        <v/>
      </c>
      <c r="T64" s="140" t="str">
        <f t="shared" si="4"/>
        <v/>
      </c>
      <c r="U64" s="140" t="str">
        <f t="shared" si="5"/>
        <v/>
      </c>
      <c r="V64" s="99"/>
    </row>
    <row r="65" spans="1:22">
      <c r="A65" s="92"/>
      <c r="B65" s="146" t="s">
        <v>382</v>
      </c>
      <c r="C65" s="147"/>
      <c r="D65" s="137"/>
      <c r="E65" s="148">
        <f>0.6-0.08</f>
        <v>0.52</v>
      </c>
      <c r="F65" s="139"/>
      <c r="G65" s="98">
        <v>10</v>
      </c>
      <c r="H65" s="99">
        <v>2</v>
      </c>
      <c r="I65" s="99">
        <v>4</v>
      </c>
      <c r="J65" s="149">
        <f>2*(D67+E65)+2*8*G65/1000</f>
        <v>1.64</v>
      </c>
      <c r="K65" s="99"/>
      <c r="L65" s="99">
        <v>5</v>
      </c>
      <c r="M65" s="112">
        <f>2*G65*L65/1000</f>
        <v>0.1</v>
      </c>
      <c r="N65" s="112">
        <f>(J65+K65-M65)</f>
        <v>1.5399999999999998</v>
      </c>
      <c r="O65" s="112">
        <f>(H65*I65*N65)</f>
        <v>12.319999999999999</v>
      </c>
      <c r="P65" s="140" t="str">
        <f t="shared" si="0"/>
        <v/>
      </c>
      <c r="Q65" s="140">
        <f t="shared" si="1"/>
        <v>12.319999999999999</v>
      </c>
      <c r="R65" s="140" t="str">
        <f t="shared" si="2"/>
        <v/>
      </c>
      <c r="S65" s="140" t="str">
        <f t="shared" si="3"/>
        <v/>
      </c>
      <c r="T65" s="140" t="str">
        <f t="shared" si="4"/>
        <v/>
      </c>
      <c r="U65" s="140" t="str">
        <f t="shared" si="5"/>
        <v/>
      </c>
      <c r="V65" s="99"/>
    </row>
    <row r="66" spans="1:22">
      <c r="A66" s="92"/>
      <c r="B66" s="146"/>
      <c r="C66" s="136"/>
      <c r="D66" s="137"/>
      <c r="E66" s="150"/>
      <c r="F66" s="139"/>
      <c r="G66" s="98"/>
      <c r="H66" s="99"/>
      <c r="I66" s="99"/>
      <c r="J66" s="100"/>
      <c r="K66" s="99"/>
      <c r="L66" s="99"/>
      <c r="M66" s="99"/>
      <c r="N66" s="99"/>
      <c r="O66" s="112"/>
      <c r="P66" s="140" t="str">
        <f t="shared" si="0"/>
        <v/>
      </c>
      <c r="Q66" s="140" t="str">
        <f t="shared" si="1"/>
        <v/>
      </c>
      <c r="R66" s="140" t="str">
        <f t="shared" si="2"/>
        <v/>
      </c>
      <c r="S66" s="140" t="str">
        <f t="shared" si="3"/>
        <v/>
      </c>
      <c r="T66" s="140" t="str">
        <f t="shared" si="4"/>
        <v/>
      </c>
      <c r="U66" s="140" t="str">
        <f t="shared" si="5"/>
        <v/>
      </c>
      <c r="V66" s="99"/>
    </row>
    <row r="67" spans="1:22">
      <c r="A67" s="92"/>
      <c r="B67" s="146"/>
      <c r="C67" s="136"/>
      <c r="D67" s="109">
        <f>0.3-0.08</f>
        <v>0.21999999999999997</v>
      </c>
      <c r="E67" s="138"/>
      <c r="F67" s="139"/>
      <c r="G67" s="98"/>
      <c r="H67" s="99"/>
      <c r="I67" s="99"/>
      <c r="J67" s="100"/>
      <c r="K67" s="99"/>
      <c r="L67" s="99"/>
      <c r="M67" s="99"/>
      <c r="N67" s="99"/>
      <c r="O67" s="112"/>
      <c r="P67" s="140" t="str">
        <f t="shared" si="0"/>
        <v/>
      </c>
      <c r="Q67" s="140" t="str">
        <f t="shared" si="1"/>
        <v/>
      </c>
      <c r="R67" s="140" t="str">
        <f t="shared" si="2"/>
        <v/>
      </c>
      <c r="S67" s="140" t="str">
        <f t="shared" si="3"/>
        <v/>
      </c>
      <c r="T67" s="140" t="str">
        <f t="shared" si="4"/>
        <v/>
      </c>
      <c r="U67" s="140" t="str">
        <f t="shared" si="5"/>
        <v/>
      </c>
      <c r="V67" s="99"/>
    </row>
    <row r="68" spans="1:22">
      <c r="A68" s="92"/>
      <c r="B68" s="141"/>
      <c r="C68" s="136"/>
      <c r="D68" s="137"/>
      <c r="E68" s="138"/>
      <c r="F68" s="139"/>
      <c r="G68" s="98"/>
      <c r="H68" s="99"/>
      <c r="I68" s="99"/>
      <c r="J68" s="100"/>
      <c r="K68" s="99"/>
      <c r="L68" s="99"/>
      <c r="M68" s="99"/>
      <c r="N68" s="99"/>
      <c r="O68" s="112"/>
      <c r="P68" s="140" t="str">
        <f t="shared" si="0"/>
        <v/>
      </c>
      <c r="Q68" s="140" t="str">
        <f t="shared" si="1"/>
        <v/>
      </c>
      <c r="R68" s="140" t="str">
        <f t="shared" si="2"/>
        <v/>
      </c>
      <c r="S68" s="140" t="str">
        <f t="shared" si="3"/>
        <v/>
      </c>
      <c r="T68" s="140" t="str">
        <f t="shared" si="4"/>
        <v/>
      </c>
      <c r="U68" s="140" t="str">
        <f t="shared" si="5"/>
        <v/>
      </c>
      <c r="V68" s="99"/>
    </row>
    <row r="69" spans="1:22">
      <c r="A69" s="92"/>
      <c r="B69" s="92"/>
      <c r="C69" s="145">
        <v>0.08</v>
      </c>
      <c r="D69" s="137"/>
      <c r="E69" s="138"/>
      <c r="F69" s="139"/>
      <c r="G69" s="98"/>
      <c r="H69" s="99"/>
      <c r="I69" s="99"/>
      <c r="J69" s="100"/>
      <c r="K69" s="99"/>
      <c r="L69" s="99"/>
      <c r="M69" s="99"/>
      <c r="N69" s="99"/>
      <c r="O69" s="112"/>
      <c r="P69" s="140" t="str">
        <f t="shared" si="0"/>
        <v/>
      </c>
      <c r="Q69" s="140" t="str">
        <f t="shared" si="1"/>
        <v/>
      </c>
      <c r="R69" s="140" t="str">
        <f t="shared" si="2"/>
        <v/>
      </c>
      <c r="S69" s="140" t="str">
        <f t="shared" si="3"/>
        <v/>
      </c>
      <c r="T69" s="140" t="str">
        <f t="shared" si="4"/>
        <v/>
      </c>
      <c r="U69" s="140" t="str">
        <f t="shared" si="5"/>
        <v/>
      </c>
      <c r="V69" s="99"/>
    </row>
    <row r="70" spans="1:22">
      <c r="A70" s="92"/>
      <c r="B70" s="146" t="s">
        <v>383</v>
      </c>
      <c r="C70" s="147"/>
      <c r="D70" s="137"/>
      <c r="E70" s="148">
        <f>((0.6-0.08-0.016)/5)+0.012+0.02</f>
        <v>0.1328</v>
      </c>
      <c r="F70" s="139"/>
      <c r="G70" s="98">
        <v>10</v>
      </c>
      <c r="H70" s="99">
        <v>2</v>
      </c>
      <c r="I70" s="99">
        <v>1</v>
      </c>
      <c r="J70" s="149">
        <f>2*(D72+E70)+2*8*G70/1000</f>
        <v>0.86560000000000004</v>
      </c>
      <c r="K70" s="99"/>
      <c r="L70" s="99">
        <v>5</v>
      </c>
      <c r="M70" s="112">
        <f>2*G70*L70/1000</f>
        <v>0.1</v>
      </c>
      <c r="N70" s="112">
        <f>(J70+K70-M70)</f>
        <v>0.76560000000000006</v>
      </c>
      <c r="O70" s="112">
        <f>(H70*I70*N70)</f>
        <v>1.5312000000000001</v>
      </c>
      <c r="P70" s="140" t="str">
        <f t="shared" si="0"/>
        <v/>
      </c>
      <c r="Q70" s="140">
        <f t="shared" si="1"/>
        <v>1.5312000000000001</v>
      </c>
      <c r="R70" s="140" t="str">
        <f t="shared" si="2"/>
        <v/>
      </c>
      <c r="S70" s="140" t="str">
        <f t="shared" si="3"/>
        <v/>
      </c>
      <c r="T70" s="140" t="str">
        <f t="shared" si="4"/>
        <v/>
      </c>
      <c r="U70" s="140" t="str">
        <f t="shared" si="5"/>
        <v/>
      </c>
      <c r="V70" s="99"/>
    </row>
    <row r="71" spans="1:22">
      <c r="A71" s="92"/>
      <c r="B71" s="146"/>
      <c r="C71" s="136"/>
      <c r="D71" s="137"/>
      <c r="E71" s="150"/>
      <c r="F71" s="139"/>
      <c r="G71" s="98"/>
      <c r="H71" s="99"/>
      <c r="I71" s="99"/>
      <c r="J71" s="100"/>
      <c r="K71" s="99"/>
      <c r="L71" s="99"/>
      <c r="M71" s="99"/>
      <c r="N71" s="99"/>
      <c r="O71" s="112"/>
      <c r="P71" s="140" t="str">
        <f t="shared" si="0"/>
        <v/>
      </c>
      <c r="Q71" s="140" t="str">
        <f t="shared" si="1"/>
        <v/>
      </c>
      <c r="R71" s="140" t="str">
        <f t="shared" si="2"/>
        <v/>
      </c>
      <c r="S71" s="140" t="str">
        <f t="shared" si="3"/>
        <v/>
      </c>
      <c r="T71" s="140" t="str">
        <f t="shared" si="4"/>
        <v/>
      </c>
      <c r="U71" s="140" t="str">
        <f t="shared" si="5"/>
        <v/>
      </c>
      <c r="V71" s="99"/>
    </row>
    <row r="72" spans="1:22">
      <c r="A72" s="92"/>
      <c r="B72" s="146"/>
      <c r="C72" s="136"/>
      <c r="D72" s="109">
        <f>0.3-0.08</f>
        <v>0.21999999999999997</v>
      </c>
      <c r="E72" s="138"/>
      <c r="F72" s="139"/>
      <c r="G72" s="98"/>
      <c r="H72" s="99"/>
      <c r="I72" s="99"/>
      <c r="J72" s="100"/>
      <c r="K72" s="99"/>
      <c r="L72" s="99"/>
      <c r="M72" s="99"/>
      <c r="N72" s="99"/>
      <c r="O72" s="112"/>
      <c r="P72" s="140" t="str">
        <f t="shared" si="0"/>
        <v/>
      </c>
      <c r="Q72" s="140" t="str">
        <f t="shared" si="1"/>
        <v/>
      </c>
      <c r="R72" s="140" t="str">
        <f t="shared" si="2"/>
        <v/>
      </c>
      <c r="S72" s="140" t="str">
        <f t="shared" si="3"/>
        <v/>
      </c>
      <c r="T72" s="140" t="str">
        <f t="shared" si="4"/>
        <v/>
      </c>
      <c r="U72" s="140" t="str">
        <f t="shared" si="5"/>
        <v/>
      </c>
      <c r="V72" s="99"/>
    </row>
    <row r="73" spans="1:22">
      <c r="A73" s="92"/>
      <c r="B73" s="146"/>
      <c r="C73" s="136"/>
      <c r="D73" s="137"/>
      <c r="E73" s="138"/>
      <c r="F73" s="139"/>
      <c r="G73" s="98"/>
      <c r="H73" s="99"/>
      <c r="I73" s="99"/>
      <c r="J73" s="100"/>
      <c r="K73" s="99"/>
      <c r="L73" s="99"/>
      <c r="M73" s="99"/>
      <c r="N73" s="99"/>
      <c r="O73" s="112"/>
      <c r="P73" s="140" t="str">
        <f t="shared" si="0"/>
        <v/>
      </c>
      <c r="Q73" s="140" t="str">
        <f t="shared" si="1"/>
        <v/>
      </c>
      <c r="R73" s="140" t="str">
        <f t="shared" si="2"/>
        <v/>
      </c>
      <c r="S73" s="140" t="str">
        <f t="shared" si="3"/>
        <v/>
      </c>
      <c r="T73" s="140" t="str">
        <f t="shared" si="4"/>
        <v/>
      </c>
      <c r="U73" s="140" t="str">
        <f t="shared" si="5"/>
        <v/>
      </c>
      <c r="V73" s="99"/>
    </row>
    <row r="74" spans="1:22">
      <c r="A74" s="92"/>
      <c r="B74" s="146" t="s">
        <v>384</v>
      </c>
      <c r="C74" s="136"/>
      <c r="D74" s="142"/>
      <c r="E74" s="138"/>
      <c r="F74" s="139"/>
      <c r="G74" s="98">
        <v>10</v>
      </c>
      <c r="H74" s="99">
        <v>2</v>
      </c>
      <c r="I74" s="99">
        <v>1</v>
      </c>
      <c r="J74" s="149">
        <f>C75+D77+E75+2*8*G74/1000</f>
        <v>0.73</v>
      </c>
      <c r="K74" s="99"/>
      <c r="L74" s="99">
        <v>4</v>
      </c>
      <c r="M74" s="112">
        <f>2*G74*L74/1000</f>
        <v>0.08</v>
      </c>
      <c r="N74" s="112">
        <f>(J74+K74-M74)</f>
        <v>0.65</v>
      </c>
      <c r="O74" s="112">
        <f>(H74*I74*N74)</f>
        <v>1.3</v>
      </c>
      <c r="P74" s="140" t="str">
        <f t="shared" si="0"/>
        <v/>
      </c>
      <c r="Q74" s="140">
        <f t="shared" si="1"/>
        <v>1.3</v>
      </c>
      <c r="R74" s="140" t="str">
        <f t="shared" si="2"/>
        <v/>
      </c>
      <c r="S74" s="140" t="str">
        <f t="shared" si="3"/>
        <v/>
      </c>
      <c r="T74" s="140" t="str">
        <f t="shared" si="4"/>
        <v/>
      </c>
      <c r="U74" s="140" t="str">
        <f t="shared" si="5"/>
        <v/>
      </c>
      <c r="V74" s="99"/>
    </row>
    <row r="75" spans="1:22">
      <c r="A75" s="92"/>
      <c r="B75" s="146"/>
      <c r="C75" s="151">
        <v>0.17499999999999999</v>
      </c>
      <c r="D75" s="137"/>
      <c r="E75" s="138">
        <v>0.17499999999999999</v>
      </c>
      <c r="F75" s="139"/>
      <c r="G75" s="98"/>
      <c r="H75" s="99"/>
      <c r="I75" s="99"/>
      <c r="J75" s="100"/>
      <c r="K75" s="99"/>
      <c r="L75" s="99"/>
      <c r="M75" s="99"/>
      <c r="N75" s="99"/>
      <c r="O75" s="112"/>
      <c r="P75" s="140" t="str">
        <f>IF($G75=8,$O75,"")</f>
        <v/>
      </c>
      <c r="Q75" s="140" t="str">
        <f>IF($G75=10,$O75,"")</f>
        <v/>
      </c>
      <c r="R75" s="140" t="str">
        <f>IF($G75=12,$O75,"")</f>
        <v/>
      </c>
      <c r="S75" s="140" t="str">
        <f>IF($G75=16,$O75,"")</f>
        <v/>
      </c>
      <c r="T75" s="140" t="str">
        <f>IF($G75=20,$O75,"")</f>
        <v/>
      </c>
      <c r="U75" s="140" t="str">
        <f>IF($G75=25,$O75,"")</f>
        <v/>
      </c>
      <c r="V75" s="99"/>
    </row>
    <row r="76" spans="1:22">
      <c r="A76" s="92"/>
      <c r="B76" s="146"/>
      <c r="C76" s="136"/>
      <c r="D76" s="137"/>
      <c r="E76" s="138"/>
      <c r="F76" s="139"/>
      <c r="G76" s="98"/>
      <c r="H76" s="99"/>
      <c r="I76" s="99"/>
      <c r="J76" s="100"/>
      <c r="K76" s="99"/>
      <c r="L76" s="99"/>
      <c r="M76" s="99"/>
      <c r="N76" s="99"/>
      <c r="O76" s="112"/>
      <c r="P76" s="140" t="str">
        <f t="shared" si="0"/>
        <v/>
      </c>
      <c r="Q76" s="140" t="str">
        <f t="shared" si="1"/>
        <v/>
      </c>
      <c r="R76" s="140" t="str">
        <f t="shared" si="2"/>
        <v/>
      </c>
      <c r="S76" s="140" t="str">
        <f t="shared" si="3"/>
        <v/>
      </c>
      <c r="T76" s="140" t="str">
        <f t="shared" si="4"/>
        <v/>
      </c>
      <c r="U76" s="140" t="str">
        <f t="shared" si="5"/>
        <v/>
      </c>
      <c r="V76" s="99"/>
    </row>
    <row r="77" spans="1:22">
      <c r="A77" s="92"/>
      <c r="B77" s="146"/>
      <c r="C77" s="136"/>
      <c r="D77" s="109">
        <f>0.3-0.08</f>
        <v>0.21999999999999997</v>
      </c>
      <c r="E77" s="138"/>
      <c r="F77" s="139"/>
      <c r="G77" s="98"/>
      <c r="H77" s="99"/>
      <c r="I77" s="99"/>
      <c r="J77" s="100"/>
      <c r="K77" s="99"/>
      <c r="L77" s="99"/>
      <c r="M77" s="99"/>
      <c r="N77" s="99"/>
      <c r="O77" s="112"/>
      <c r="P77" s="140" t="str">
        <f t="shared" si="0"/>
        <v/>
      </c>
      <c r="Q77" s="140" t="str">
        <f t="shared" si="1"/>
        <v/>
      </c>
      <c r="R77" s="140" t="str">
        <f t="shared" si="2"/>
        <v/>
      </c>
      <c r="S77" s="140" t="str">
        <f t="shared" si="3"/>
        <v/>
      </c>
      <c r="T77" s="140" t="str">
        <f t="shared" si="4"/>
        <v/>
      </c>
      <c r="U77" s="140" t="str">
        <f t="shared" si="5"/>
        <v/>
      </c>
      <c r="V77" s="99"/>
    </row>
    <row r="78" spans="1:22">
      <c r="A78" s="92"/>
      <c r="B78" s="146"/>
      <c r="C78" s="136"/>
      <c r="D78" s="137"/>
      <c r="E78" s="138"/>
      <c r="F78" s="139"/>
      <c r="G78" s="98"/>
      <c r="H78" s="99"/>
      <c r="I78" s="99"/>
      <c r="J78" s="100"/>
      <c r="K78" s="99"/>
      <c r="L78" s="99"/>
      <c r="M78" s="99"/>
      <c r="N78" s="99"/>
      <c r="O78" s="112"/>
      <c r="P78" s="140" t="str">
        <f t="shared" si="0"/>
        <v/>
      </c>
      <c r="Q78" s="140" t="str">
        <f t="shared" si="1"/>
        <v/>
      </c>
      <c r="R78" s="140" t="str">
        <f t="shared" si="2"/>
        <v/>
      </c>
      <c r="S78" s="140" t="str">
        <f t="shared" si="3"/>
        <v/>
      </c>
      <c r="T78" s="140" t="str">
        <f t="shared" si="4"/>
        <v/>
      </c>
      <c r="U78" s="140" t="str">
        <f t="shared" si="5"/>
        <v/>
      </c>
      <c r="V78" s="99"/>
    </row>
    <row r="79" spans="1:22">
      <c r="A79" s="92"/>
      <c r="B79" s="146" t="s">
        <v>385</v>
      </c>
      <c r="C79" s="136"/>
      <c r="D79" s="142"/>
      <c r="E79" s="138"/>
      <c r="F79" s="139"/>
      <c r="G79" s="98">
        <v>10</v>
      </c>
      <c r="H79" s="99">
        <v>2</v>
      </c>
      <c r="I79" s="99">
        <v>1</v>
      </c>
      <c r="J79" s="149">
        <f>C80+D82+E80+2*8*G79/1000</f>
        <v>0.73</v>
      </c>
      <c r="K79" s="99"/>
      <c r="L79" s="99">
        <v>4</v>
      </c>
      <c r="M79" s="112">
        <f>2*G79*L79/1000</f>
        <v>0.08</v>
      </c>
      <c r="N79" s="112">
        <f>(J79+K79-M79)</f>
        <v>0.65</v>
      </c>
      <c r="O79" s="112">
        <f>(H79*I79*N79)</f>
        <v>1.3</v>
      </c>
      <c r="P79" s="140" t="str">
        <f t="shared" si="0"/>
        <v/>
      </c>
      <c r="Q79" s="140">
        <f t="shared" si="1"/>
        <v>1.3</v>
      </c>
      <c r="R79" s="140" t="str">
        <f t="shared" si="2"/>
        <v/>
      </c>
      <c r="S79" s="140" t="str">
        <f t="shared" si="3"/>
        <v/>
      </c>
      <c r="T79" s="140" t="str">
        <f t="shared" si="4"/>
        <v/>
      </c>
      <c r="U79" s="140" t="str">
        <f t="shared" si="5"/>
        <v/>
      </c>
      <c r="V79" s="99"/>
    </row>
    <row r="80" spans="1:22">
      <c r="A80" s="92"/>
      <c r="B80" s="146"/>
      <c r="C80" s="151">
        <v>0.17499999999999999</v>
      </c>
      <c r="D80" s="137"/>
      <c r="E80" s="138">
        <v>0.17499999999999999</v>
      </c>
      <c r="F80" s="139"/>
      <c r="G80" s="98"/>
      <c r="H80" s="99"/>
      <c r="I80" s="99"/>
      <c r="J80" s="100"/>
      <c r="K80" s="99"/>
      <c r="L80" s="99"/>
      <c r="M80" s="99"/>
      <c r="N80" s="99"/>
      <c r="O80" s="112"/>
      <c r="P80" s="140" t="str">
        <f>IF($G80=8,$O80,"")</f>
        <v/>
      </c>
      <c r="Q80" s="140" t="str">
        <f>IF($G80=10,$O80,"")</f>
        <v/>
      </c>
      <c r="R80" s="140" t="str">
        <f>IF($G80=12,$O80,"")</f>
        <v/>
      </c>
      <c r="S80" s="140" t="str">
        <f>IF($G80=16,$O80,"")</f>
        <v/>
      </c>
      <c r="T80" s="140" t="str">
        <f>IF($G80=20,$O80,"")</f>
        <v/>
      </c>
      <c r="U80" s="140" t="str">
        <f>IF($G80=25,$O80,"")</f>
        <v/>
      </c>
      <c r="V80" s="99"/>
    </row>
    <row r="81" spans="1:22">
      <c r="A81" s="92"/>
      <c r="B81" s="146"/>
      <c r="C81" s="136"/>
      <c r="D81" s="137"/>
      <c r="E81" s="138"/>
      <c r="F81" s="139"/>
      <c r="G81" s="98"/>
      <c r="H81" s="99"/>
      <c r="I81" s="99"/>
      <c r="J81" s="100"/>
      <c r="K81" s="99"/>
      <c r="L81" s="99"/>
      <c r="M81" s="99"/>
      <c r="N81" s="99"/>
      <c r="O81" s="101"/>
      <c r="P81" s="140" t="str">
        <f t="shared" si="0"/>
        <v/>
      </c>
      <c r="Q81" s="140" t="str">
        <f t="shared" si="1"/>
        <v/>
      </c>
      <c r="R81" s="140" t="str">
        <f t="shared" si="2"/>
        <v/>
      </c>
      <c r="S81" s="140" t="str">
        <f t="shared" si="3"/>
        <v/>
      </c>
      <c r="T81" s="140" t="str">
        <f t="shared" si="4"/>
        <v/>
      </c>
      <c r="U81" s="140" t="str">
        <f t="shared" si="5"/>
        <v/>
      </c>
      <c r="V81" s="99"/>
    </row>
    <row r="82" spans="1:22">
      <c r="A82" s="92"/>
      <c r="B82" s="146"/>
      <c r="C82" s="136"/>
      <c r="D82" s="109">
        <f>0.3-0.08</f>
        <v>0.21999999999999997</v>
      </c>
      <c r="E82" s="138"/>
      <c r="F82" s="139"/>
      <c r="G82" s="98"/>
      <c r="H82" s="99"/>
      <c r="I82" s="99"/>
      <c r="J82" s="100"/>
      <c r="K82" s="99"/>
      <c r="L82" s="99"/>
      <c r="M82" s="99"/>
      <c r="N82" s="99"/>
      <c r="O82" s="101"/>
      <c r="P82" s="140" t="str">
        <f t="shared" si="0"/>
        <v/>
      </c>
      <c r="Q82" s="140" t="str">
        <f t="shared" si="1"/>
        <v/>
      </c>
      <c r="R82" s="140" t="str">
        <f t="shared" si="2"/>
        <v/>
      </c>
      <c r="S82" s="140" t="str">
        <f t="shared" si="3"/>
        <v/>
      </c>
      <c r="T82" s="140" t="str">
        <f t="shared" si="4"/>
        <v/>
      </c>
      <c r="U82" s="140" t="str">
        <f t="shared" si="5"/>
        <v/>
      </c>
      <c r="V82" s="99"/>
    </row>
    <row r="83" spans="1:22">
      <c r="A83" s="92"/>
      <c r="B83" s="141"/>
      <c r="C83" s="136"/>
      <c r="D83" s="137"/>
      <c r="E83" s="138"/>
      <c r="F83" s="139"/>
      <c r="G83" s="98"/>
      <c r="H83" s="99"/>
      <c r="I83" s="99"/>
      <c r="J83" s="100"/>
      <c r="K83" s="99"/>
      <c r="L83" s="99"/>
      <c r="M83" s="99"/>
      <c r="N83" s="99"/>
      <c r="O83" s="101"/>
      <c r="P83" s="140" t="str">
        <f t="shared" si="0"/>
        <v/>
      </c>
      <c r="Q83" s="140" t="str">
        <f t="shared" si="1"/>
        <v/>
      </c>
      <c r="R83" s="140" t="str">
        <f t="shared" si="2"/>
        <v/>
      </c>
      <c r="S83" s="140" t="str">
        <f t="shared" si="3"/>
        <v/>
      </c>
      <c r="T83" s="140" t="str">
        <f t="shared" si="4"/>
        <v/>
      </c>
      <c r="U83" s="140" t="str">
        <f t="shared" si="5"/>
        <v/>
      </c>
      <c r="V83" s="99"/>
    </row>
    <row r="84" spans="1:22">
      <c r="A84" s="92">
        <v>4</v>
      </c>
      <c r="B84" s="92" t="s">
        <v>388</v>
      </c>
      <c r="C84" s="136"/>
      <c r="D84" s="137"/>
      <c r="E84" s="138"/>
      <c r="F84" s="139"/>
      <c r="G84" s="98"/>
      <c r="H84" s="99"/>
      <c r="I84" s="99"/>
      <c r="J84" s="109"/>
      <c r="K84" s="112"/>
      <c r="L84" s="112"/>
      <c r="M84" s="99"/>
      <c r="N84" s="112"/>
      <c r="O84" s="112"/>
      <c r="P84" s="140" t="str">
        <f>IF($G84=8,$O84,"")</f>
        <v/>
      </c>
      <c r="Q84" s="140" t="str">
        <f>IF($G84=10,$O84,"")</f>
        <v/>
      </c>
      <c r="R84" s="140" t="str">
        <f>IF($G84=12,$O84,"")</f>
        <v/>
      </c>
      <c r="S84" s="140" t="str">
        <f>IF($G84=16,$O84,"")</f>
        <v/>
      </c>
      <c r="T84" s="140" t="str">
        <f>IF($G84=20,$O84,"")</f>
        <v/>
      </c>
      <c r="U84" s="140" t="str">
        <f>IF($G84=25,$O84,"")</f>
        <v/>
      </c>
      <c r="V84" s="99"/>
    </row>
    <row r="85" spans="1:22">
      <c r="A85" s="92"/>
      <c r="B85" s="141" t="s">
        <v>378</v>
      </c>
      <c r="C85" s="136"/>
      <c r="D85" s="142">
        <f>0.85-0.075-2*0.016</f>
        <v>0.74299999999999999</v>
      </c>
      <c r="E85" s="138"/>
      <c r="F85" s="139"/>
      <c r="G85" s="98">
        <v>20</v>
      </c>
      <c r="H85" s="99">
        <v>8</v>
      </c>
      <c r="I85" s="99">
        <v>4</v>
      </c>
      <c r="J85" s="109">
        <f>D85</f>
        <v>0.74299999999999999</v>
      </c>
      <c r="K85" s="110" t="str">
        <f>IF(N85&lt;12,"0",0.049*G85)</f>
        <v>0</v>
      </c>
      <c r="L85" s="111">
        <v>1</v>
      </c>
      <c r="M85" s="99">
        <f>2*G85*L85/1000</f>
        <v>0.04</v>
      </c>
      <c r="N85" s="112">
        <f>J85+E$87-M85</f>
        <v>1.0029999999999999</v>
      </c>
      <c r="O85" s="112">
        <f>H85*I85*N85</f>
        <v>32.095999999999997</v>
      </c>
      <c r="P85" s="140" t="str">
        <f t="shared" si="0"/>
        <v/>
      </c>
      <c r="Q85" s="140" t="str">
        <f t="shared" si="1"/>
        <v/>
      </c>
      <c r="R85" s="140" t="str">
        <f t="shared" si="2"/>
        <v/>
      </c>
      <c r="S85" s="140" t="str">
        <f t="shared" si="3"/>
        <v/>
      </c>
      <c r="T85" s="140">
        <f t="shared" si="4"/>
        <v>32.095999999999997</v>
      </c>
      <c r="U85" s="140" t="str">
        <f t="shared" si="5"/>
        <v/>
      </c>
      <c r="V85" s="99"/>
    </row>
    <row r="86" spans="1:22">
      <c r="A86" s="92"/>
      <c r="B86" s="141" t="s">
        <v>379</v>
      </c>
      <c r="C86" s="136"/>
      <c r="D86" s="137"/>
      <c r="E86" s="138"/>
      <c r="F86" s="139"/>
      <c r="G86" s="98">
        <v>20</v>
      </c>
      <c r="H86" s="99">
        <v>8</v>
      </c>
      <c r="I86" s="99">
        <v>2</v>
      </c>
      <c r="J86" s="109">
        <f>D85</f>
        <v>0.74299999999999999</v>
      </c>
      <c r="K86" s="110" t="str">
        <f t="shared" ref="K86:K89" si="13">IF(N86&lt;12,"0",0.049*G86)</f>
        <v>0</v>
      </c>
      <c r="L86" s="111">
        <v>1</v>
      </c>
      <c r="M86" s="99">
        <f t="shared" ref="M86:M89" si="14">2*G86*L86/1000</f>
        <v>0.04</v>
      </c>
      <c r="N86" s="112">
        <f t="shared" ref="N86:N88" si="15">J86+E$87-M86</f>
        <v>1.0029999999999999</v>
      </c>
      <c r="O86" s="112">
        <f>H86*I86*N86</f>
        <v>16.047999999999998</v>
      </c>
      <c r="P86" s="140" t="str">
        <f t="shared" si="0"/>
        <v/>
      </c>
      <c r="Q86" s="140" t="str">
        <f t="shared" si="1"/>
        <v/>
      </c>
      <c r="R86" s="140" t="str">
        <f t="shared" si="2"/>
        <v/>
      </c>
      <c r="S86" s="140" t="str">
        <f t="shared" si="3"/>
        <v/>
      </c>
      <c r="T86" s="140">
        <f t="shared" si="4"/>
        <v>16.047999999999998</v>
      </c>
      <c r="U86" s="140" t="str">
        <f t="shared" si="5"/>
        <v/>
      </c>
      <c r="V86" s="99"/>
    </row>
    <row r="87" spans="1:22">
      <c r="A87" s="92"/>
      <c r="B87" s="141" t="s">
        <v>380</v>
      </c>
      <c r="C87" s="143"/>
      <c r="D87" s="142"/>
      <c r="E87" s="144">
        <v>0.3</v>
      </c>
      <c r="F87" s="139"/>
      <c r="G87" s="98">
        <v>20</v>
      </c>
      <c r="H87" s="99">
        <v>8</v>
      </c>
      <c r="I87" s="99">
        <v>4</v>
      </c>
      <c r="J87" s="109">
        <f>D85</f>
        <v>0.74299999999999999</v>
      </c>
      <c r="K87" s="110" t="str">
        <f t="shared" si="13"/>
        <v>0</v>
      </c>
      <c r="L87" s="111">
        <v>1</v>
      </c>
      <c r="M87" s="99">
        <f t="shared" si="14"/>
        <v>0.04</v>
      </c>
      <c r="N87" s="112">
        <f t="shared" si="15"/>
        <v>1.0029999999999999</v>
      </c>
      <c r="O87" s="112">
        <f>H87*I87*N87</f>
        <v>32.095999999999997</v>
      </c>
      <c r="P87" s="140" t="str">
        <f t="shared" si="0"/>
        <v/>
      </c>
      <c r="Q87" s="140" t="str">
        <f t="shared" si="1"/>
        <v/>
      </c>
      <c r="R87" s="140" t="str">
        <f t="shared" si="2"/>
        <v/>
      </c>
      <c r="S87" s="140" t="str">
        <f t="shared" si="3"/>
        <v/>
      </c>
      <c r="T87" s="140">
        <f t="shared" si="4"/>
        <v>32.095999999999997</v>
      </c>
      <c r="U87" s="140" t="str">
        <f t="shared" si="5"/>
        <v/>
      </c>
      <c r="V87" s="99"/>
    </row>
    <row r="88" spans="1:22">
      <c r="A88" s="92"/>
      <c r="B88" s="141" t="s">
        <v>381</v>
      </c>
      <c r="C88" s="136"/>
      <c r="D88" s="137"/>
      <c r="E88" s="138"/>
      <c r="F88" s="139"/>
      <c r="G88" s="98">
        <v>20</v>
      </c>
      <c r="H88" s="99">
        <v>8</v>
      </c>
      <c r="I88" s="99">
        <v>4</v>
      </c>
      <c r="J88" s="109">
        <f>D85</f>
        <v>0.74299999999999999</v>
      </c>
      <c r="K88" s="110" t="str">
        <f t="shared" si="13"/>
        <v>0</v>
      </c>
      <c r="L88" s="111">
        <v>1</v>
      </c>
      <c r="M88" s="99">
        <f t="shared" si="14"/>
        <v>0.04</v>
      </c>
      <c r="N88" s="112">
        <f t="shared" si="15"/>
        <v>1.0029999999999999</v>
      </c>
      <c r="O88" s="112">
        <f>H88*I88*N88</f>
        <v>32.095999999999997</v>
      </c>
      <c r="P88" s="140" t="str">
        <f t="shared" si="0"/>
        <v/>
      </c>
      <c r="Q88" s="140" t="str">
        <f t="shared" si="1"/>
        <v/>
      </c>
      <c r="R88" s="140" t="str">
        <f t="shared" si="2"/>
        <v/>
      </c>
      <c r="S88" s="140" t="str">
        <f t="shared" si="3"/>
        <v/>
      </c>
      <c r="T88" s="140">
        <f t="shared" si="4"/>
        <v>32.095999999999997</v>
      </c>
      <c r="U88" s="140" t="str">
        <f t="shared" si="5"/>
        <v/>
      </c>
      <c r="V88" s="99"/>
    </row>
    <row r="89" spans="1:22">
      <c r="A89" s="92"/>
      <c r="B89" s="141" t="s">
        <v>389</v>
      </c>
      <c r="C89" s="136"/>
      <c r="D89" s="137"/>
      <c r="E89" s="138"/>
      <c r="F89" s="139"/>
      <c r="G89" s="98">
        <v>20</v>
      </c>
      <c r="H89" s="99">
        <v>8</v>
      </c>
      <c r="I89" s="99">
        <v>2</v>
      </c>
      <c r="J89" s="109">
        <f>D85</f>
        <v>0.74299999999999999</v>
      </c>
      <c r="K89" s="110" t="str">
        <f t="shared" si="13"/>
        <v>0</v>
      </c>
      <c r="L89" s="111">
        <v>1</v>
      </c>
      <c r="M89" s="99">
        <f t="shared" si="14"/>
        <v>0.04</v>
      </c>
      <c r="N89" s="112">
        <f>J89+E$87-M89</f>
        <v>1.0029999999999999</v>
      </c>
      <c r="O89" s="112">
        <f>H89*I89*N89</f>
        <v>16.047999999999998</v>
      </c>
      <c r="P89" s="140" t="str">
        <f t="shared" si="0"/>
        <v/>
      </c>
      <c r="Q89" s="140" t="str">
        <f t="shared" si="1"/>
        <v/>
      </c>
      <c r="R89" s="140" t="str">
        <f t="shared" si="2"/>
        <v/>
      </c>
      <c r="S89" s="140" t="str">
        <f t="shared" si="3"/>
        <v/>
      </c>
      <c r="T89" s="140">
        <f t="shared" si="4"/>
        <v>16.047999999999998</v>
      </c>
      <c r="U89" s="140" t="str">
        <f t="shared" si="5"/>
        <v/>
      </c>
      <c r="V89" s="99"/>
    </row>
    <row r="90" spans="1:22">
      <c r="A90" s="92"/>
      <c r="B90" s="141"/>
      <c r="C90" s="136"/>
      <c r="D90" s="137"/>
      <c r="E90" s="138"/>
      <c r="F90" s="139"/>
      <c r="G90" s="98"/>
      <c r="H90" s="99"/>
      <c r="I90" s="99"/>
      <c r="J90" s="100"/>
      <c r="K90" s="99"/>
      <c r="L90" s="99"/>
      <c r="M90" s="99"/>
      <c r="N90" s="99"/>
      <c r="O90" s="101"/>
      <c r="P90" s="140" t="str">
        <f t="shared" si="0"/>
        <v/>
      </c>
      <c r="Q90" s="140" t="str">
        <f t="shared" si="1"/>
        <v/>
      </c>
      <c r="R90" s="140" t="str">
        <f t="shared" si="2"/>
        <v/>
      </c>
      <c r="S90" s="140" t="str">
        <f t="shared" si="3"/>
        <v/>
      </c>
      <c r="T90" s="140" t="str">
        <f t="shared" si="4"/>
        <v/>
      </c>
      <c r="U90" s="140" t="str">
        <f t="shared" si="5"/>
        <v/>
      </c>
      <c r="V90" s="99"/>
    </row>
    <row r="91" spans="1:22">
      <c r="A91" s="92"/>
      <c r="B91" s="92"/>
      <c r="C91" s="145">
        <v>0.08</v>
      </c>
      <c r="D91" s="137"/>
      <c r="E91" s="138"/>
      <c r="F91" s="139"/>
      <c r="G91" s="98"/>
      <c r="H91" s="99"/>
      <c r="I91" s="99"/>
      <c r="J91" s="100"/>
      <c r="K91" s="99"/>
      <c r="L91" s="99"/>
      <c r="M91" s="99"/>
      <c r="N91" s="99"/>
      <c r="O91" s="101"/>
      <c r="P91" s="140" t="str">
        <f t="shared" si="0"/>
        <v/>
      </c>
      <c r="Q91" s="140" t="str">
        <f t="shared" si="1"/>
        <v/>
      </c>
      <c r="R91" s="140" t="str">
        <f t="shared" si="2"/>
        <v/>
      </c>
      <c r="S91" s="140" t="str">
        <f t="shared" si="3"/>
        <v/>
      </c>
      <c r="T91" s="140" t="str">
        <f t="shared" si="4"/>
        <v/>
      </c>
      <c r="U91" s="140" t="str">
        <f t="shared" si="5"/>
        <v/>
      </c>
      <c r="V91" s="99"/>
    </row>
    <row r="92" spans="1:22">
      <c r="A92" s="92"/>
      <c r="B92" s="146" t="s">
        <v>382</v>
      </c>
      <c r="C92" s="147"/>
      <c r="D92" s="137"/>
      <c r="E92" s="148">
        <f>0.75-0.08</f>
        <v>0.67</v>
      </c>
      <c r="F92" s="139"/>
      <c r="G92" s="98">
        <v>10</v>
      </c>
      <c r="H92" s="99">
        <v>8</v>
      </c>
      <c r="I92" s="99">
        <v>4</v>
      </c>
      <c r="J92" s="149">
        <f>2*(D94+E92)+2*8*G92/1000</f>
        <v>1.94</v>
      </c>
      <c r="K92" s="99"/>
      <c r="L92" s="99">
        <v>5</v>
      </c>
      <c r="M92" s="112">
        <f>2*G92*L92/1000</f>
        <v>0.1</v>
      </c>
      <c r="N92" s="112">
        <f>(J92+K92-M92)</f>
        <v>1.8399999999999999</v>
      </c>
      <c r="O92" s="112">
        <f>(H92*I92*N92)</f>
        <v>58.879999999999995</v>
      </c>
      <c r="P92" s="140" t="str">
        <f t="shared" si="0"/>
        <v/>
      </c>
      <c r="Q92" s="140">
        <f t="shared" si="1"/>
        <v>58.879999999999995</v>
      </c>
      <c r="R92" s="140" t="str">
        <f t="shared" si="2"/>
        <v/>
      </c>
      <c r="S92" s="140" t="str">
        <f t="shared" si="3"/>
        <v/>
      </c>
      <c r="T92" s="140" t="str">
        <f t="shared" si="4"/>
        <v/>
      </c>
      <c r="U92" s="140" t="str">
        <f t="shared" si="5"/>
        <v/>
      </c>
      <c r="V92" s="99"/>
    </row>
    <row r="93" spans="1:22">
      <c r="A93" s="92"/>
      <c r="B93" s="146"/>
      <c r="C93" s="136"/>
      <c r="D93" s="137"/>
      <c r="E93" s="150"/>
      <c r="F93" s="139"/>
      <c r="G93" s="98"/>
      <c r="H93" s="99"/>
      <c r="I93" s="99"/>
      <c r="J93" s="100"/>
      <c r="K93" s="99"/>
      <c r="L93" s="99"/>
      <c r="M93" s="99"/>
      <c r="N93" s="99"/>
      <c r="O93" s="112"/>
      <c r="P93" s="140" t="str">
        <f t="shared" si="0"/>
        <v/>
      </c>
      <c r="Q93" s="140" t="str">
        <f t="shared" si="1"/>
        <v/>
      </c>
      <c r="R93" s="140" t="str">
        <f t="shared" si="2"/>
        <v/>
      </c>
      <c r="S93" s="140" t="str">
        <f t="shared" si="3"/>
        <v/>
      </c>
      <c r="T93" s="140" t="str">
        <f t="shared" si="4"/>
        <v/>
      </c>
      <c r="U93" s="140" t="str">
        <f t="shared" si="5"/>
        <v/>
      </c>
      <c r="V93" s="99"/>
    </row>
    <row r="94" spans="1:22">
      <c r="A94" s="92"/>
      <c r="B94" s="146"/>
      <c r="C94" s="136"/>
      <c r="D94" s="109">
        <f>0.3-0.08</f>
        <v>0.21999999999999997</v>
      </c>
      <c r="E94" s="138"/>
      <c r="F94" s="139"/>
      <c r="G94" s="98"/>
      <c r="H94" s="99"/>
      <c r="I94" s="99"/>
      <c r="J94" s="100"/>
      <c r="K94" s="99"/>
      <c r="L94" s="99"/>
      <c r="M94" s="99"/>
      <c r="N94" s="99"/>
      <c r="O94" s="112"/>
      <c r="P94" s="140" t="str">
        <f t="shared" si="0"/>
        <v/>
      </c>
      <c r="Q94" s="140" t="str">
        <f t="shared" si="1"/>
        <v/>
      </c>
      <c r="R94" s="140" t="str">
        <f t="shared" si="2"/>
        <v/>
      </c>
      <c r="S94" s="140" t="str">
        <f t="shared" si="3"/>
        <v/>
      </c>
      <c r="T94" s="140" t="str">
        <f t="shared" si="4"/>
        <v/>
      </c>
      <c r="U94" s="140" t="str">
        <f t="shared" si="5"/>
        <v/>
      </c>
      <c r="V94" s="99"/>
    </row>
    <row r="95" spans="1:22">
      <c r="A95" s="92"/>
      <c r="B95" s="141"/>
      <c r="C95" s="136"/>
      <c r="D95" s="137"/>
      <c r="E95" s="138"/>
      <c r="F95" s="139"/>
      <c r="G95" s="98"/>
      <c r="H95" s="99"/>
      <c r="I95" s="99"/>
      <c r="J95" s="100"/>
      <c r="K95" s="99"/>
      <c r="L95" s="99"/>
      <c r="M95" s="99"/>
      <c r="N95" s="99"/>
      <c r="O95" s="112"/>
      <c r="P95" s="140" t="str">
        <f t="shared" si="0"/>
        <v/>
      </c>
      <c r="Q95" s="140" t="str">
        <f t="shared" si="1"/>
        <v/>
      </c>
      <c r="R95" s="140" t="str">
        <f t="shared" si="2"/>
        <v/>
      </c>
      <c r="S95" s="140" t="str">
        <f t="shared" si="3"/>
        <v/>
      </c>
      <c r="T95" s="140" t="str">
        <f t="shared" si="4"/>
        <v/>
      </c>
      <c r="U95" s="140" t="str">
        <f t="shared" si="5"/>
        <v/>
      </c>
      <c r="V95" s="99"/>
    </row>
    <row r="96" spans="1:22">
      <c r="A96" s="92"/>
      <c r="B96" s="92"/>
      <c r="C96" s="145">
        <v>0.08</v>
      </c>
      <c r="D96" s="137"/>
      <c r="E96" s="138"/>
      <c r="F96" s="139"/>
      <c r="G96" s="98"/>
      <c r="H96" s="99"/>
      <c r="I96" s="99"/>
      <c r="J96" s="100"/>
      <c r="K96" s="99"/>
      <c r="L96" s="99"/>
      <c r="M96" s="99"/>
      <c r="N96" s="99"/>
      <c r="O96" s="112"/>
      <c r="P96" s="140" t="str">
        <f t="shared" si="0"/>
        <v/>
      </c>
      <c r="Q96" s="140" t="str">
        <f t="shared" si="1"/>
        <v/>
      </c>
      <c r="R96" s="140" t="str">
        <f t="shared" si="2"/>
        <v/>
      </c>
      <c r="S96" s="140" t="str">
        <f t="shared" si="3"/>
        <v/>
      </c>
      <c r="T96" s="140" t="str">
        <f t="shared" si="4"/>
        <v/>
      </c>
      <c r="U96" s="140" t="str">
        <f t="shared" si="5"/>
        <v/>
      </c>
      <c r="V96" s="99"/>
    </row>
    <row r="97" spans="1:22">
      <c r="A97" s="92"/>
      <c r="B97" s="146" t="s">
        <v>383</v>
      </c>
      <c r="C97" s="147"/>
      <c r="D97" s="137"/>
      <c r="E97" s="148">
        <f>(2*((0.75-0.08-0.016)/6))+0.012+0.02</f>
        <v>0.25</v>
      </c>
      <c r="F97" s="139"/>
      <c r="G97" s="98">
        <v>10</v>
      </c>
      <c r="H97" s="99">
        <v>8</v>
      </c>
      <c r="I97" s="99">
        <v>1</v>
      </c>
      <c r="J97" s="149">
        <f>2*(D99+E97)+2*8*G97/1000</f>
        <v>1.0999999999999999</v>
      </c>
      <c r="K97" s="99"/>
      <c r="L97" s="99">
        <v>5</v>
      </c>
      <c r="M97" s="112">
        <f>2*G97*L97/1000</f>
        <v>0.1</v>
      </c>
      <c r="N97" s="112">
        <f>(J97+K97-M97)</f>
        <v>0.99999999999999989</v>
      </c>
      <c r="O97" s="112">
        <f>(H97*I97*N97)</f>
        <v>7.9999999999999991</v>
      </c>
      <c r="P97" s="140" t="str">
        <f t="shared" si="0"/>
        <v/>
      </c>
      <c r="Q97" s="140">
        <f t="shared" si="1"/>
        <v>7.9999999999999991</v>
      </c>
      <c r="R97" s="140" t="str">
        <f t="shared" si="2"/>
        <v/>
      </c>
      <c r="S97" s="140" t="str">
        <f t="shared" si="3"/>
        <v/>
      </c>
      <c r="T97" s="140" t="str">
        <f t="shared" si="4"/>
        <v/>
      </c>
      <c r="U97" s="140" t="str">
        <f t="shared" si="5"/>
        <v/>
      </c>
      <c r="V97" s="99"/>
    </row>
    <row r="98" spans="1:22">
      <c r="A98" s="92"/>
      <c r="B98" s="146"/>
      <c r="C98" s="136"/>
      <c r="D98" s="137"/>
      <c r="E98" s="150"/>
      <c r="F98" s="139"/>
      <c r="G98" s="98"/>
      <c r="H98" s="99"/>
      <c r="I98" s="99"/>
      <c r="J98" s="100"/>
      <c r="K98" s="99"/>
      <c r="L98" s="99"/>
      <c r="M98" s="99"/>
      <c r="N98" s="99"/>
      <c r="O98" s="112"/>
      <c r="P98" s="140" t="str">
        <f t="shared" si="0"/>
        <v/>
      </c>
      <c r="Q98" s="140" t="str">
        <f t="shared" si="1"/>
        <v/>
      </c>
      <c r="R98" s="140" t="str">
        <f t="shared" si="2"/>
        <v/>
      </c>
      <c r="S98" s="140" t="str">
        <f t="shared" si="3"/>
        <v/>
      </c>
      <c r="T98" s="140" t="str">
        <f t="shared" si="4"/>
        <v/>
      </c>
      <c r="U98" s="140" t="str">
        <f t="shared" si="5"/>
        <v/>
      </c>
      <c r="V98" s="99"/>
    </row>
    <row r="99" spans="1:22">
      <c r="A99" s="92"/>
      <c r="B99" s="146"/>
      <c r="C99" s="136"/>
      <c r="D99" s="109">
        <f>0.3-0.08</f>
        <v>0.21999999999999997</v>
      </c>
      <c r="E99" s="138"/>
      <c r="F99" s="139"/>
      <c r="G99" s="98"/>
      <c r="H99" s="99"/>
      <c r="I99" s="99"/>
      <c r="J99" s="100"/>
      <c r="K99" s="99"/>
      <c r="L99" s="99"/>
      <c r="M99" s="99"/>
      <c r="N99" s="99"/>
      <c r="O99" s="112"/>
      <c r="P99" s="140" t="str">
        <f t="shared" si="0"/>
        <v/>
      </c>
      <c r="Q99" s="140" t="str">
        <f t="shared" si="1"/>
        <v/>
      </c>
      <c r="R99" s="140" t="str">
        <f t="shared" si="2"/>
        <v/>
      </c>
      <c r="S99" s="140" t="str">
        <f t="shared" si="3"/>
        <v/>
      </c>
      <c r="T99" s="140" t="str">
        <f t="shared" si="4"/>
        <v/>
      </c>
      <c r="U99" s="140" t="str">
        <f t="shared" si="5"/>
        <v/>
      </c>
      <c r="V99" s="99"/>
    </row>
    <row r="100" spans="1:22">
      <c r="A100" s="92"/>
      <c r="B100" s="146"/>
      <c r="C100" s="136"/>
      <c r="D100" s="137"/>
      <c r="E100" s="138"/>
      <c r="F100" s="139"/>
      <c r="G100" s="98"/>
      <c r="H100" s="99"/>
      <c r="I100" s="99"/>
      <c r="J100" s="100"/>
      <c r="K100" s="99"/>
      <c r="L100" s="99"/>
      <c r="M100" s="99"/>
      <c r="N100" s="99"/>
      <c r="O100" s="112"/>
      <c r="P100" s="140" t="str">
        <f t="shared" si="0"/>
        <v/>
      </c>
      <c r="Q100" s="140" t="str">
        <f t="shared" si="1"/>
        <v/>
      </c>
      <c r="R100" s="140" t="str">
        <f t="shared" si="2"/>
        <v/>
      </c>
      <c r="S100" s="140" t="str">
        <f t="shared" si="3"/>
        <v/>
      </c>
      <c r="T100" s="140" t="str">
        <f t="shared" si="4"/>
        <v/>
      </c>
      <c r="U100" s="140" t="str">
        <f t="shared" si="5"/>
        <v/>
      </c>
      <c r="V100" s="99"/>
    </row>
    <row r="101" spans="1:22">
      <c r="A101" s="92"/>
      <c r="B101" s="146" t="s">
        <v>384</v>
      </c>
      <c r="C101" s="136"/>
      <c r="D101" s="142"/>
      <c r="E101" s="138"/>
      <c r="F101" s="139"/>
      <c r="G101" s="98">
        <v>10</v>
      </c>
      <c r="H101" s="99">
        <v>8</v>
      </c>
      <c r="I101" s="99">
        <v>1</v>
      </c>
      <c r="J101" s="149">
        <f>C102+D104+E102+2*8*G101/1000</f>
        <v>0.73</v>
      </c>
      <c r="K101" s="99"/>
      <c r="L101" s="99">
        <v>4</v>
      </c>
      <c r="M101" s="112">
        <f>2*G101*L101/1000</f>
        <v>0.08</v>
      </c>
      <c r="N101" s="112">
        <f>(J101+K101-M101)</f>
        <v>0.65</v>
      </c>
      <c r="O101" s="112">
        <f>(H101*I101*N101)</f>
        <v>5.2</v>
      </c>
      <c r="P101" s="140" t="str">
        <f t="shared" si="0"/>
        <v/>
      </c>
      <c r="Q101" s="140">
        <f t="shared" si="1"/>
        <v>5.2</v>
      </c>
      <c r="R101" s="140" t="str">
        <f t="shared" si="2"/>
        <v/>
      </c>
      <c r="S101" s="140" t="str">
        <f t="shared" si="3"/>
        <v/>
      </c>
      <c r="T101" s="140" t="str">
        <f t="shared" si="4"/>
        <v/>
      </c>
      <c r="U101" s="140" t="str">
        <f t="shared" si="5"/>
        <v/>
      </c>
      <c r="V101" s="99"/>
    </row>
    <row r="102" spans="1:22">
      <c r="A102" s="92"/>
      <c r="B102" s="146"/>
      <c r="C102" s="151">
        <v>0.17499999999999999</v>
      </c>
      <c r="D102" s="137"/>
      <c r="E102" s="138">
        <v>0.17499999999999999</v>
      </c>
      <c r="F102" s="139"/>
      <c r="G102" s="98"/>
      <c r="H102" s="99"/>
      <c r="I102" s="99"/>
      <c r="J102" s="100"/>
      <c r="K102" s="99"/>
      <c r="L102" s="99"/>
      <c r="M102" s="99"/>
      <c r="N102" s="99"/>
      <c r="O102" s="112"/>
      <c r="P102" s="140" t="str">
        <f>IF($G102=8,$O102,"")</f>
        <v/>
      </c>
      <c r="Q102" s="140" t="str">
        <f>IF($G102=10,$O102,"")</f>
        <v/>
      </c>
      <c r="R102" s="140" t="str">
        <f>IF($G102=12,$O102,"")</f>
        <v/>
      </c>
      <c r="S102" s="140" t="str">
        <f>IF($G102=16,$O102,"")</f>
        <v/>
      </c>
      <c r="T102" s="140" t="str">
        <f>IF($G102=20,$O102,"")</f>
        <v/>
      </c>
      <c r="U102" s="140" t="str">
        <f>IF($G102=25,$O102,"")</f>
        <v/>
      </c>
      <c r="V102" s="99"/>
    </row>
    <row r="103" spans="1:22">
      <c r="A103" s="92"/>
      <c r="B103" s="146"/>
      <c r="C103" s="136"/>
      <c r="D103" s="137"/>
      <c r="E103" s="138"/>
      <c r="F103" s="139"/>
      <c r="G103" s="98"/>
      <c r="H103" s="99"/>
      <c r="I103" s="99"/>
      <c r="J103" s="100"/>
      <c r="K103" s="99"/>
      <c r="L103" s="99"/>
      <c r="M103" s="99"/>
      <c r="N103" s="99"/>
      <c r="O103" s="112"/>
      <c r="P103" s="140" t="str">
        <f t="shared" si="0"/>
        <v/>
      </c>
      <c r="Q103" s="140" t="str">
        <f t="shared" si="1"/>
        <v/>
      </c>
      <c r="R103" s="140" t="str">
        <f t="shared" si="2"/>
        <v/>
      </c>
      <c r="S103" s="140" t="str">
        <f t="shared" si="3"/>
        <v/>
      </c>
      <c r="T103" s="140" t="str">
        <f t="shared" si="4"/>
        <v/>
      </c>
      <c r="U103" s="140" t="str">
        <f t="shared" si="5"/>
        <v/>
      </c>
      <c r="V103" s="99"/>
    </row>
    <row r="104" spans="1:22">
      <c r="A104" s="92"/>
      <c r="B104" s="146"/>
      <c r="C104" s="136"/>
      <c r="D104" s="109">
        <f>0.3-0.08</f>
        <v>0.21999999999999997</v>
      </c>
      <c r="E104" s="138"/>
      <c r="F104" s="139"/>
      <c r="G104" s="98"/>
      <c r="H104" s="99"/>
      <c r="I104" s="99"/>
      <c r="J104" s="100"/>
      <c r="K104" s="99"/>
      <c r="L104" s="99"/>
      <c r="M104" s="99"/>
      <c r="N104" s="99"/>
      <c r="O104" s="112"/>
      <c r="P104" s="140" t="str">
        <f t="shared" si="0"/>
        <v/>
      </c>
      <c r="Q104" s="140" t="str">
        <f t="shared" si="1"/>
        <v/>
      </c>
      <c r="R104" s="140" t="str">
        <f t="shared" si="2"/>
        <v/>
      </c>
      <c r="S104" s="140" t="str">
        <f t="shared" si="3"/>
        <v/>
      </c>
      <c r="T104" s="140" t="str">
        <f t="shared" si="4"/>
        <v/>
      </c>
      <c r="U104" s="140" t="str">
        <f t="shared" si="5"/>
        <v/>
      </c>
      <c r="V104" s="99"/>
    </row>
    <row r="105" spans="1:22">
      <c r="A105" s="92"/>
      <c r="B105" s="146"/>
      <c r="C105" s="136"/>
      <c r="D105" s="137"/>
      <c r="E105" s="138"/>
      <c r="F105" s="139"/>
      <c r="G105" s="98"/>
      <c r="H105" s="99"/>
      <c r="I105" s="99"/>
      <c r="J105" s="100"/>
      <c r="K105" s="99"/>
      <c r="L105" s="99"/>
      <c r="M105" s="99"/>
      <c r="N105" s="99"/>
      <c r="O105" s="112"/>
      <c r="P105" s="140" t="str">
        <f t="shared" si="0"/>
        <v/>
      </c>
      <c r="Q105" s="140" t="str">
        <f t="shared" si="1"/>
        <v/>
      </c>
      <c r="R105" s="140" t="str">
        <f t="shared" si="2"/>
        <v/>
      </c>
      <c r="S105" s="140" t="str">
        <f t="shared" si="3"/>
        <v/>
      </c>
      <c r="T105" s="140" t="str">
        <f t="shared" si="4"/>
        <v/>
      </c>
      <c r="U105" s="140" t="str">
        <f t="shared" si="5"/>
        <v/>
      </c>
      <c r="V105" s="99"/>
    </row>
    <row r="106" spans="1:22">
      <c r="A106" s="92"/>
      <c r="B106" s="146" t="s">
        <v>385</v>
      </c>
      <c r="C106" s="136"/>
      <c r="D106" s="142"/>
      <c r="E106" s="138"/>
      <c r="F106" s="139"/>
      <c r="G106" s="98">
        <v>10</v>
      </c>
      <c r="H106" s="99">
        <v>8</v>
      </c>
      <c r="I106" s="99">
        <v>1</v>
      </c>
      <c r="J106" s="149">
        <f>C107+D109+E107+2*8*G106/1000</f>
        <v>0.73</v>
      </c>
      <c r="K106" s="99"/>
      <c r="L106" s="99">
        <v>4</v>
      </c>
      <c r="M106" s="112">
        <f>2*G106*L106/1000</f>
        <v>0.08</v>
      </c>
      <c r="N106" s="112">
        <f>(J106+K106-M106)</f>
        <v>0.65</v>
      </c>
      <c r="O106" s="112">
        <f>(H106*I106*N106)</f>
        <v>5.2</v>
      </c>
      <c r="P106" s="140" t="str">
        <f t="shared" si="0"/>
        <v/>
      </c>
      <c r="Q106" s="140">
        <f t="shared" si="1"/>
        <v>5.2</v>
      </c>
      <c r="R106" s="140" t="str">
        <f t="shared" si="2"/>
        <v/>
      </c>
      <c r="S106" s="140" t="str">
        <f t="shared" si="3"/>
        <v/>
      </c>
      <c r="T106" s="140" t="str">
        <f t="shared" si="4"/>
        <v/>
      </c>
      <c r="U106" s="140" t="str">
        <f t="shared" si="5"/>
        <v/>
      </c>
      <c r="V106" s="99"/>
    </row>
    <row r="107" spans="1:22">
      <c r="A107" s="92"/>
      <c r="B107" s="146"/>
      <c r="C107" s="151">
        <v>0.17499999999999999</v>
      </c>
      <c r="D107" s="137"/>
      <c r="E107" s="138">
        <v>0.17499999999999999</v>
      </c>
      <c r="F107" s="139"/>
      <c r="G107" s="98"/>
      <c r="H107" s="99"/>
      <c r="I107" s="99"/>
      <c r="J107" s="100"/>
      <c r="K107" s="99"/>
      <c r="L107" s="99"/>
      <c r="M107" s="99"/>
      <c r="N107" s="99"/>
      <c r="O107" s="112"/>
      <c r="P107" s="140" t="str">
        <f t="shared" si="0"/>
        <v/>
      </c>
      <c r="Q107" s="140" t="str">
        <f t="shared" si="1"/>
        <v/>
      </c>
      <c r="R107" s="140" t="str">
        <f t="shared" si="2"/>
        <v/>
      </c>
      <c r="S107" s="140" t="str">
        <f t="shared" si="3"/>
        <v/>
      </c>
      <c r="T107" s="140" t="str">
        <f t="shared" si="4"/>
        <v/>
      </c>
      <c r="U107" s="140" t="str">
        <f t="shared" si="5"/>
        <v/>
      </c>
      <c r="V107" s="99"/>
    </row>
    <row r="108" spans="1:22">
      <c r="A108" s="92"/>
      <c r="B108" s="146"/>
      <c r="C108" s="136"/>
      <c r="D108" s="137"/>
      <c r="E108" s="138"/>
      <c r="F108" s="139"/>
      <c r="G108" s="98"/>
      <c r="H108" s="99"/>
      <c r="I108" s="99"/>
      <c r="J108" s="100"/>
      <c r="K108" s="99"/>
      <c r="L108" s="99"/>
      <c r="M108" s="99"/>
      <c r="N108" s="99"/>
      <c r="O108" s="101"/>
      <c r="P108" s="140" t="str">
        <f t="shared" si="0"/>
        <v/>
      </c>
      <c r="Q108" s="140" t="str">
        <f t="shared" si="1"/>
        <v/>
      </c>
      <c r="R108" s="140" t="str">
        <f t="shared" si="2"/>
        <v/>
      </c>
      <c r="S108" s="140" t="str">
        <f t="shared" si="3"/>
        <v/>
      </c>
      <c r="T108" s="140" t="str">
        <f t="shared" si="4"/>
        <v/>
      </c>
      <c r="U108" s="140" t="str">
        <f t="shared" si="5"/>
        <v/>
      </c>
      <c r="V108" s="99"/>
    </row>
    <row r="109" spans="1:22">
      <c r="A109" s="92"/>
      <c r="B109" s="146"/>
      <c r="C109" s="136"/>
      <c r="D109" s="109">
        <f>0.3-0.08</f>
        <v>0.21999999999999997</v>
      </c>
      <c r="E109" s="138"/>
      <c r="F109" s="139"/>
      <c r="G109" s="98"/>
      <c r="H109" s="99"/>
      <c r="I109" s="99"/>
      <c r="J109" s="100"/>
      <c r="K109" s="99"/>
      <c r="L109" s="99"/>
      <c r="M109" s="99"/>
      <c r="N109" s="99"/>
      <c r="O109" s="101"/>
      <c r="P109" s="140" t="str">
        <f t="shared" si="0"/>
        <v/>
      </c>
      <c r="Q109" s="140" t="str">
        <f t="shared" si="1"/>
        <v/>
      </c>
      <c r="R109" s="140" t="str">
        <f t="shared" si="2"/>
        <v/>
      </c>
      <c r="S109" s="140" t="str">
        <f t="shared" si="3"/>
        <v/>
      </c>
      <c r="T109" s="140" t="str">
        <f t="shared" si="4"/>
        <v/>
      </c>
      <c r="U109" s="140" t="str">
        <f t="shared" si="5"/>
        <v/>
      </c>
      <c r="V109" s="99"/>
    </row>
    <row r="110" spans="1:22">
      <c r="A110" s="92"/>
      <c r="B110" s="141"/>
      <c r="C110" s="136"/>
      <c r="D110" s="137"/>
      <c r="E110" s="138"/>
      <c r="F110" s="139"/>
      <c r="G110" s="98"/>
      <c r="H110" s="99"/>
      <c r="I110" s="99"/>
      <c r="J110" s="100"/>
      <c r="K110" s="99"/>
      <c r="L110" s="99"/>
      <c r="M110" s="99"/>
      <c r="N110" s="99"/>
      <c r="O110" s="101"/>
      <c r="P110" s="140" t="str">
        <f t="shared" si="0"/>
        <v/>
      </c>
      <c r="Q110" s="140" t="str">
        <f t="shared" si="1"/>
        <v/>
      </c>
      <c r="R110" s="140" t="str">
        <f t="shared" si="2"/>
        <v/>
      </c>
      <c r="S110" s="140" t="str">
        <f t="shared" si="3"/>
        <v/>
      </c>
      <c r="T110" s="140" t="str">
        <f t="shared" si="4"/>
        <v/>
      </c>
      <c r="U110" s="140" t="str">
        <f t="shared" si="5"/>
        <v/>
      </c>
      <c r="V110" s="99"/>
    </row>
    <row r="111" spans="1:22">
      <c r="A111" s="92"/>
      <c r="B111" s="141"/>
      <c r="C111" s="136"/>
      <c r="D111" s="137"/>
      <c r="E111" s="144">
        <v>0.08</v>
      </c>
      <c r="F111" s="139"/>
      <c r="G111" s="98"/>
      <c r="H111" s="99"/>
      <c r="I111" s="99"/>
      <c r="J111" s="100"/>
      <c r="K111" s="99"/>
      <c r="L111" s="99"/>
      <c r="M111" s="99"/>
      <c r="N111" s="99"/>
      <c r="O111" s="101"/>
      <c r="P111" s="140" t="str">
        <f t="shared" si="0"/>
        <v/>
      </c>
      <c r="Q111" s="140" t="str">
        <f t="shared" si="1"/>
        <v/>
      </c>
      <c r="R111" s="140" t="str">
        <f t="shared" si="2"/>
        <v/>
      </c>
      <c r="S111" s="140" t="str">
        <f t="shared" si="3"/>
        <v/>
      </c>
      <c r="T111" s="140" t="str">
        <f t="shared" si="4"/>
        <v/>
      </c>
      <c r="U111" s="140" t="str">
        <f t="shared" si="5"/>
        <v/>
      </c>
      <c r="V111" s="99"/>
    </row>
    <row r="112" spans="1:22">
      <c r="A112" s="92"/>
      <c r="B112" s="146" t="s">
        <v>390</v>
      </c>
      <c r="C112" s="136"/>
      <c r="D112" s="142">
        <f>0.3-0.08</f>
        <v>0.21999999999999997</v>
      </c>
      <c r="E112" s="144"/>
      <c r="F112" s="139"/>
      <c r="G112" s="98">
        <v>10</v>
      </c>
      <c r="H112" s="99">
        <v>8</v>
      </c>
      <c r="I112" s="99">
        <v>1</v>
      </c>
      <c r="J112" s="149">
        <f>D112+E111+E113</f>
        <v>0.38</v>
      </c>
      <c r="K112" s="99"/>
      <c r="L112" s="99">
        <v>2</v>
      </c>
      <c r="M112" s="112">
        <f>2*G112*L112/1000</f>
        <v>0.04</v>
      </c>
      <c r="N112" s="112">
        <f>(J112+K112-M112)</f>
        <v>0.34</v>
      </c>
      <c r="O112" s="112">
        <f>(H112*I112*N112)</f>
        <v>2.72</v>
      </c>
      <c r="P112" s="140" t="str">
        <f t="shared" si="0"/>
        <v/>
      </c>
      <c r="Q112" s="140">
        <f t="shared" si="1"/>
        <v>2.72</v>
      </c>
      <c r="R112" s="140" t="str">
        <f t="shared" si="2"/>
        <v/>
      </c>
      <c r="S112" s="140" t="str">
        <f t="shared" si="3"/>
        <v/>
      </c>
      <c r="T112" s="140" t="str">
        <f t="shared" si="4"/>
        <v/>
      </c>
      <c r="U112" s="140" t="str">
        <f t="shared" si="5"/>
        <v/>
      </c>
      <c r="V112" s="99"/>
    </row>
    <row r="113" spans="1:22">
      <c r="A113" s="92"/>
      <c r="B113" s="141"/>
      <c r="C113" s="136"/>
      <c r="D113" s="137"/>
      <c r="E113" s="144">
        <v>0.08</v>
      </c>
      <c r="F113" s="139"/>
      <c r="G113" s="98"/>
      <c r="H113" s="99"/>
      <c r="I113" s="99"/>
      <c r="J113" s="100"/>
      <c r="K113" s="99"/>
      <c r="L113" s="99"/>
      <c r="M113" s="99"/>
      <c r="N113" s="99"/>
      <c r="O113" s="101"/>
      <c r="P113" s="140" t="str">
        <f t="shared" si="0"/>
        <v/>
      </c>
      <c r="Q113" s="140" t="str">
        <f t="shared" si="1"/>
        <v/>
      </c>
      <c r="R113" s="140" t="str">
        <f t="shared" si="2"/>
        <v/>
      </c>
      <c r="S113" s="140" t="str">
        <f t="shared" si="3"/>
        <v/>
      </c>
      <c r="T113" s="140" t="str">
        <f t="shared" si="4"/>
        <v/>
      </c>
      <c r="U113" s="140" t="str">
        <f t="shared" si="5"/>
        <v/>
      </c>
      <c r="V113" s="99"/>
    </row>
    <row r="114" spans="1:22">
      <c r="A114" s="92"/>
      <c r="B114" s="146"/>
      <c r="C114" s="136"/>
      <c r="D114" s="152"/>
      <c r="E114" s="138"/>
      <c r="F114" s="139"/>
      <c r="G114" s="98"/>
      <c r="H114" s="99"/>
      <c r="I114" s="99"/>
      <c r="J114" s="100"/>
      <c r="K114" s="99"/>
      <c r="L114" s="99"/>
      <c r="M114" s="99"/>
      <c r="N114" s="99"/>
      <c r="O114" s="101"/>
      <c r="P114" s="140" t="str">
        <f t="shared" si="0"/>
        <v/>
      </c>
      <c r="Q114" s="140" t="str">
        <f t="shared" si="1"/>
        <v/>
      </c>
      <c r="R114" s="140" t="str">
        <f t="shared" si="2"/>
        <v/>
      </c>
      <c r="S114" s="140" t="str">
        <f t="shared" si="3"/>
        <v/>
      </c>
      <c r="T114" s="140" t="str">
        <f t="shared" si="4"/>
        <v/>
      </c>
      <c r="U114" s="140" t="str">
        <f t="shared" si="5"/>
        <v/>
      </c>
      <c r="V114" s="99"/>
    </row>
    <row r="115" spans="1:22">
      <c r="A115" s="92"/>
      <c r="B115" s="141"/>
      <c r="C115" s="136"/>
      <c r="D115" s="137"/>
      <c r="E115" s="138"/>
      <c r="F115" s="139"/>
      <c r="G115" s="98"/>
      <c r="H115" s="99"/>
      <c r="I115" s="99"/>
      <c r="J115" s="100"/>
      <c r="K115" s="99"/>
      <c r="L115" s="99"/>
      <c r="M115" s="99"/>
      <c r="N115" s="99"/>
      <c r="O115" s="101"/>
      <c r="P115" s="140" t="str">
        <f t="shared" si="0"/>
        <v/>
      </c>
      <c r="Q115" s="140" t="str">
        <f t="shared" si="1"/>
        <v/>
      </c>
      <c r="R115" s="140" t="str">
        <f t="shared" si="2"/>
        <v/>
      </c>
      <c r="S115" s="140" t="str">
        <f t="shared" si="3"/>
        <v/>
      </c>
      <c r="T115" s="140" t="str">
        <f t="shared" si="4"/>
        <v/>
      </c>
      <c r="U115" s="140" t="str">
        <f t="shared" si="5"/>
        <v/>
      </c>
      <c r="V115" s="99"/>
    </row>
    <row r="116" spans="1:22">
      <c r="A116" s="92">
        <v>5</v>
      </c>
      <c r="B116" s="92" t="s">
        <v>391</v>
      </c>
      <c r="C116" s="136"/>
      <c r="D116" s="137"/>
      <c r="E116" s="138"/>
      <c r="F116" s="139"/>
      <c r="G116" s="98"/>
      <c r="H116" s="99"/>
      <c r="I116" s="99"/>
      <c r="J116" s="109"/>
      <c r="K116" s="112"/>
      <c r="L116" s="112"/>
      <c r="M116" s="99"/>
      <c r="N116" s="112"/>
      <c r="O116" s="112"/>
      <c r="P116" s="140" t="str">
        <f>IF($G116=8,$O116,"")</f>
        <v/>
      </c>
      <c r="Q116" s="140" t="str">
        <f>IF($G116=10,$O116,"")</f>
        <v/>
      </c>
      <c r="R116" s="140" t="str">
        <f>IF($G116=12,$O116,"")</f>
        <v/>
      </c>
      <c r="S116" s="140" t="str">
        <f>IF($G116=16,$O116,"")</f>
        <v/>
      </c>
      <c r="T116" s="140" t="str">
        <f>IF($G116=20,$O116,"")</f>
        <v/>
      </c>
      <c r="U116" s="140" t="str">
        <f>IF($G116=25,$O116,"")</f>
        <v/>
      </c>
      <c r="V116" s="99"/>
    </row>
    <row r="117" spans="1:22">
      <c r="A117" s="92"/>
      <c r="B117" s="141" t="s">
        <v>378</v>
      </c>
      <c r="C117" s="136"/>
      <c r="D117" s="142">
        <f>0.85-0.075-2*0.016</f>
        <v>0.74299999999999999</v>
      </c>
      <c r="E117" s="138"/>
      <c r="F117" s="139"/>
      <c r="G117" s="98">
        <v>20</v>
      </c>
      <c r="H117" s="99">
        <v>7</v>
      </c>
      <c r="I117" s="99">
        <v>4</v>
      </c>
      <c r="J117" s="109">
        <f>D117</f>
        <v>0.74299999999999999</v>
      </c>
      <c r="K117" s="110" t="str">
        <f>IF(N117&lt;12,"0",0.049*G117)</f>
        <v>0</v>
      </c>
      <c r="L117" s="111">
        <v>1</v>
      </c>
      <c r="M117" s="99">
        <f>2*G117*L117/1000</f>
        <v>0.04</v>
      </c>
      <c r="N117" s="112">
        <f>J117+E$119-M117</f>
        <v>1.0029999999999999</v>
      </c>
      <c r="O117" s="112">
        <f>H117*I117*N117</f>
        <v>28.083999999999996</v>
      </c>
      <c r="P117" s="140" t="str">
        <f t="shared" si="0"/>
        <v/>
      </c>
      <c r="Q117" s="140" t="str">
        <f t="shared" si="1"/>
        <v/>
      </c>
      <c r="R117" s="140" t="str">
        <f t="shared" si="2"/>
        <v/>
      </c>
      <c r="S117" s="140" t="str">
        <f t="shared" si="3"/>
        <v/>
      </c>
      <c r="T117" s="140">
        <f t="shared" si="4"/>
        <v>28.083999999999996</v>
      </c>
      <c r="U117" s="140" t="str">
        <f t="shared" si="5"/>
        <v/>
      </c>
      <c r="V117" s="99"/>
    </row>
    <row r="118" spans="1:22">
      <c r="A118" s="92"/>
      <c r="B118" s="141" t="s">
        <v>379</v>
      </c>
      <c r="C118" s="136"/>
      <c r="D118" s="137"/>
      <c r="E118" s="138"/>
      <c r="F118" s="139"/>
      <c r="G118" s="98">
        <v>16</v>
      </c>
      <c r="H118" s="99">
        <v>7</v>
      </c>
      <c r="I118" s="99">
        <v>2</v>
      </c>
      <c r="J118" s="109">
        <f>D117</f>
        <v>0.74299999999999999</v>
      </c>
      <c r="K118" s="110" t="str">
        <f t="shared" ref="K118:K121" si="16">IF(N118&lt;12,"0",0.049*G118)</f>
        <v>0</v>
      </c>
      <c r="L118" s="111">
        <v>1</v>
      </c>
      <c r="M118" s="99">
        <f t="shared" ref="M118:M121" si="17">2*G118*L118/1000</f>
        <v>3.2000000000000001E-2</v>
      </c>
      <c r="N118" s="112">
        <f t="shared" ref="N118:N121" si="18">J118+E$119-M118</f>
        <v>1.0109999999999999</v>
      </c>
      <c r="O118" s="112">
        <f>H118*I118*N118</f>
        <v>14.153999999999998</v>
      </c>
      <c r="P118" s="140" t="str">
        <f t="shared" si="0"/>
        <v/>
      </c>
      <c r="Q118" s="140" t="str">
        <f t="shared" si="1"/>
        <v/>
      </c>
      <c r="R118" s="140" t="str">
        <f t="shared" si="2"/>
        <v/>
      </c>
      <c r="S118" s="140">
        <f t="shared" si="3"/>
        <v>14.153999999999998</v>
      </c>
      <c r="T118" s="140" t="str">
        <f t="shared" si="4"/>
        <v/>
      </c>
      <c r="U118" s="140" t="str">
        <f t="shared" si="5"/>
        <v/>
      </c>
      <c r="V118" s="99"/>
    </row>
    <row r="119" spans="1:22">
      <c r="A119" s="92"/>
      <c r="B119" s="141" t="s">
        <v>380</v>
      </c>
      <c r="C119" s="143"/>
      <c r="D119" s="142"/>
      <c r="E119" s="144">
        <v>0.3</v>
      </c>
      <c r="F119" s="139"/>
      <c r="G119" s="98">
        <v>16</v>
      </c>
      <c r="H119" s="99">
        <v>7</v>
      </c>
      <c r="I119" s="99">
        <v>4</v>
      </c>
      <c r="J119" s="109">
        <f>D117</f>
        <v>0.74299999999999999</v>
      </c>
      <c r="K119" s="110" t="str">
        <f t="shared" si="16"/>
        <v>0</v>
      </c>
      <c r="L119" s="111">
        <v>1</v>
      </c>
      <c r="M119" s="99">
        <f t="shared" si="17"/>
        <v>3.2000000000000001E-2</v>
      </c>
      <c r="N119" s="112">
        <f t="shared" si="18"/>
        <v>1.0109999999999999</v>
      </c>
      <c r="O119" s="112">
        <f>H119*I119*N119</f>
        <v>28.307999999999996</v>
      </c>
      <c r="P119" s="140" t="str">
        <f t="shared" si="0"/>
        <v/>
      </c>
      <c r="Q119" s="140" t="str">
        <f t="shared" si="1"/>
        <v/>
      </c>
      <c r="R119" s="140" t="str">
        <f t="shared" si="2"/>
        <v/>
      </c>
      <c r="S119" s="140">
        <f t="shared" si="3"/>
        <v>28.307999999999996</v>
      </c>
      <c r="T119" s="140" t="str">
        <f t="shared" si="4"/>
        <v/>
      </c>
      <c r="U119" s="140" t="str">
        <f t="shared" si="5"/>
        <v/>
      </c>
      <c r="V119" s="99"/>
    </row>
    <row r="120" spans="1:22">
      <c r="A120" s="92"/>
      <c r="B120" s="141" t="s">
        <v>381</v>
      </c>
      <c r="C120" s="136"/>
      <c r="D120" s="137"/>
      <c r="E120" s="138"/>
      <c r="F120" s="139"/>
      <c r="G120" s="98">
        <v>16</v>
      </c>
      <c r="H120" s="99">
        <v>7</v>
      </c>
      <c r="I120" s="99">
        <v>4</v>
      </c>
      <c r="J120" s="109">
        <f>D117</f>
        <v>0.74299999999999999</v>
      </c>
      <c r="K120" s="110" t="str">
        <f t="shared" si="16"/>
        <v>0</v>
      </c>
      <c r="L120" s="111">
        <v>1</v>
      </c>
      <c r="M120" s="99">
        <f t="shared" si="17"/>
        <v>3.2000000000000001E-2</v>
      </c>
      <c r="N120" s="112">
        <f t="shared" si="18"/>
        <v>1.0109999999999999</v>
      </c>
      <c r="O120" s="112">
        <f>H120*I120*N120</f>
        <v>28.307999999999996</v>
      </c>
      <c r="P120" s="140" t="str">
        <f t="shared" si="0"/>
        <v/>
      </c>
      <c r="Q120" s="140" t="str">
        <f t="shared" si="1"/>
        <v/>
      </c>
      <c r="R120" s="140" t="str">
        <f t="shared" si="2"/>
        <v/>
      </c>
      <c r="S120" s="140">
        <f t="shared" si="3"/>
        <v>28.307999999999996</v>
      </c>
      <c r="T120" s="140" t="str">
        <f t="shared" si="4"/>
        <v/>
      </c>
      <c r="U120" s="140" t="str">
        <f t="shared" si="5"/>
        <v/>
      </c>
      <c r="V120" s="99"/>
    </row>
    <row r="121" spans="1:22">
      <c r="A121" s="92"/>
      <c r="B121" s="141" t="s">
        <v>389</v>
      </c>
      <c r="C121" s="136"/>
      <c r="D121" s="137"/>
      <c r="E121" s="138"/>
      <c r="F121" s="139"/>
      <c r="G121" s="98">
        <v>16</v>
      </c>
      <c r="H121" s="99">
        <v>7</v>
      </c>
      <c r="I121" s="99">
        <v>2</v>
      </c>
      <c r="J121" s="109">
        <f>D117</f>
        <v>0.74299999999999999</v>
      </c>
      <c r="K121" s="110" t="str">
        <f t="shared" si="16"/>
        <v>0</v>
      </c>
      <c r="L121" s="111">
        <v>1</v>
      </c>
      <c r="M121" s="99">
        <f t="shared" si="17"/>
        <v>3.2000000000000001E-2</v>
      </c>
      <c r="N121" s="112">
        <f t="shared" si="18"/>
        <v>1.0109999999999999</v>
      </c>
      <c r="O121" s="112">
        <f>H121*I121*N121</f>
        <v>14.153999999999998</v>
      </c>
      <c r="P121" s="140" t="str">
        <f t="shared" si="0"/>
        <v/>
      </c>
      <c r="Q121" s="140" t="str">
        <f t="shared" si="1"/>
        <v/>
      </c>
      <c r="R121" s="140" t="str">
        <f t="shared" si="2"/>
        <v/>
      </c>
      <c r="S121" s="140">
        <f t="shared" si="3"/>
        <v>14.153999999999998</v>
      </c>
      <c r="T121" s="140" t="str">
        <f t="shared" si="4"/>
        <v/>
      </c>
      <c r="U121" s="140" t="str">
        <f t="shared" si="5"/>
        <v/>
      </c>
      <c r="V121" s="99"/>
    </row>
    <row r="122" spans="1:22">
      <c r="A122" s="92"/>
      <c r="B122" s="141"/>
      <c r="C122" s="136"/>
      <c r="D122" s="137"/>
      <c r="E122" s="138"/>
      <c r="F122" s="139"/>
      <c r="G122" s="98"/>
      <c r="H122" s="99"/>
      <c r="I122" s="99"/>
      <c r="J122" s="100"/>
      <c r="K122" s="99"/>
      <c r="L122" s="99"/>
      <c r="M122" s="99"/>
      <c r="N122" s="99"/>
      <c r="O122" s="101"/>
      <c r="P122" s="140" t="str">
        <f t="shared" si="0"/>
        <v/>
      </c>
      <c r="Q122" s="140" t="str">
        <f t="shared" si="1"/>
        <v/>
      </c>
      <c r="R122" s="140" t="str">
        <f t="shared" si="2"/>
        <v/>
      </c>
      <c r="S122" s="140" t="str">
        <f t="shared" si="3"/>
        <v/>
      </c>
      <c r="T122" s="140" t="str">
        <f t="shared" si="4"/>
        <v/>
      </c>
      <c r="U122" s="140" t="str">
        <f t="shared" si="5"/>
        <v/>
      </c>
      <c r="V122" s="99"/>
    </row>
    <row r="123" spans="1:22">
      <c r="A123" s="92"/>
      <c r="B123" s="92"/>
      <c r="C123" s="145">
        <v>0.08</v>
      </c>
      <c r="D123" s="137"/>
      <c r="E123" s="138"/>
      <c r="F123" s="139"/>
      <c r="G123" s="98"/>
      <c r="H123" s="99"/>
      <c r="I123" s="99"/>
      <c r="J123" s="100"/>
      <c r="K123" s="99"/>
      <c r="L123" s="99"/>
      <c r="M123" s="99"/>
      <c r="N123" s="99"/>
      <c r="O123" s="101"/>
      <c r="P123" s="140" t="str">
        <f t="shared" si="0"/>
        <v/>
      </c>
      <c r="Q123" s="140" t="str">
        <f t="shared" si="1"/>
        <v/>
      </c>
      <c r="R123" s="140" t="str">
        <f t="shared" si="2"/>
        <v/>
      </c>
      <c r="S123" s="140" t="str">
        <f t="shared" si="3"/>
        <v/>
      </c>
      <c r="T123" s="140" t="str">
        <f t="shared" si="4"/>
        <v/>
      </c>
      <c r="U123" s="140" t="str">
        <f t="shared" si="5"/>
        <v/>
      </c>
      <c r="V123" s="99"/>
    </row>
    <row r="124" spans="1:22">
      <c r="A124" s="92"/>
      <c r="B124" s="146" t="s">
        <v>382</v>
      </c>
      <c r="C124" s="147"/>
      <c r="D124" s="137"/>
      <c r="E124" s="148">
        <f>0.75-0.08</f>
        <v>0.67</v>
      </c>
      <c r="F124" s="139"/>
      <c r="G124" s="98">
        <v>10</v>
      </c>
      <c r="H124" s="99">
        <v>7</v>
      </c>
      <c r="I124" s="99">
        <v>4</v>
      </c>
      <c r="J124" s="149">
        <f>2*(D126+E124)+2*8*G124/1000</f>
        <v>1.94</v>
      </c>
      <c r="K124" s="99"/>
      <c r="L124" s="99">
        <v>5</v>
      </c>
      <c r="M124" s="112">
        <f>2*G124*L124/1000</f>
        <v>0.1</v>
      </c>
      <c r="N124" s="112">
        <f>(J124+K124-M124)</f>
        <v>1.8399999999999999</v>
      </c>
      <c r="O124" s="112">
        <f>(H124*I124*N124)</f>
        <v>51.519999999999996</v>
      </c>
      <c r="P124" s="140" t="str">
        <f t="shared" si="0"/>
        <v/>
      </c>
      <c r="Q124" s="140">
        <f t="shared" si="1"/>
        <v>51.519999999999996</v>
      </c>
      <c r="R124" s="140" t="str">
        <f t="shared" si="2"/>
        <v/>
      </c>
      <c r="S124" s="140" t="str">
        <f t="shared" si="3"/>
        <v/>
      </c>
      <c r="T124" s="140" t="str">
        <f t="shared" si="4"/>
        <v/>
      </c>
      <c r="U124" s="140" t="str">
        <f t="shared" si="5"/>
        <v/>
      </c>
      <c r="V124" s="99"/>
    </row>
    <row r="125" spans="1:22">
      <c r="A125" s="92"/>
      <c r="B125" s="146"/>
      <c r="C125" s="136"/>
      <c r="D125" s="137"/>
      <c r="E125" s="150"/>
      <c r="F125" s="139"/>
      <c r="G125" s="98"/>
      <c r="H125" s="99"/>
      <c r="I125" s="99"/>
      <c r="J125" s="100"/>
      <c r="K125" s="99"/>
      <c r="L125" s="99"/>
      <c r="M125" s="99"/>
      <c r="N125" s="99"/>
      <c r="O125" s="112"/>
      <c r="P125" s="140" t="str">
        <f t="shared" si="0"/>
        <v/>
      </c>
      <c r="Q125" s="140" t="str">
        <f t="shared" si="1"/>
        <v/>
      </c>
      <c r="R125" s="140" t="str">
        <f t="shared" si="2"/>
        <v/>
      </c>
      <c r="S125" s="140" t="str">
        <f t="shared" si="3"/>
        <v/>
      </c>
      <c r="T125" s="140" t="str">
        <f t="shared" si="4"/>
        <v/>
      </c>
      <c r="U125" s="140" t="str">
        <f t="shared" si="5"/>
        <v/>
      </c>
      <c r="V125" s="99"/>
    </row>
    <row r="126" spans="1:22">
      <c r="A126" s="92"/>
      <c r="B126" s="146"/>
      <c r="C126" s="136"/>
      <c r="D126" s="109">
        <f>0.3-0.08</f>
        <v>0.21999999999999997</v>
      </c>
      <c r="E126" s="138"/>
      <c r="F126" s="139"/>
      <c r="G126" s="98"/>
      <c r="H126" s="99"/>
      <c r="I126" s="99"/>
      <c r="J126" s="100"/>
      <c r="K126" s="99"/>
      <c r="L126" s="99"/>
      <c r="M126" s="99"/>
      <c r="N126" s="99"/>
      <c r="O126" s="112"/>
      <c r="P126" s="140" t="str">
        <f t="shared" si="0"/>
        <v/>
      </c>
      <c r="Q126" s="140" t="str">
        <f t="shared" si="1"/>
        <v/>
      </c>
      <c r="R126" s="140" t="str">
        <f t="shared" si="2"/>
        <v/>
      </c>
      <c r="S126" s="140" t="str">
        <f t="shared" si="3"/>
        <v/>
      </c>
      <c r="T126" s="140" t="str">
        <f t="shared" si="4"/>
        <v/>
      </c>
      <c r="U126" s="140" t="str">
        <f t="shared" si="5"/>
        <v/>
      </c>
      <c r="V126" s="99"/>
    </row>
    <row r="127" spans="1:22">
      <c r="A127" s="92"/>
      <c r="B127" s="141"/>
      <c r="C127" s="136"/>
      <c r="D127" s="137"/>
      <c r="E127" s="138"/>
      <c r="F127" s="139"/>
      <c r="G127" s="98"/>
      <c r="H127" s="99"/>
      <c r="I127" s="99"/>
      <c r="J127" s="100"/>
      <c r="K127" s="99"/>
      <c r="L127" s="99"/>
      <c r="M127" s="99"/>
      <c r="N127" s="99"/>
      <c r="O127" s="112"/>
      <c r="P127" s="140" t="str">
        <f t="shared" si="0"/>
        <v/>
      </c>
      <c r="Q127" s="140" t="str">
        <f t="shared" si="1"/>
        <v/>
      </c>
      <c r="R127" s="140" t="str">
        <f t="shared" si="2"/>
        <v/>
      </c>
      <c r="S127" s="140" t="str">
        <f t="shared" si="3"/>
        <v/>
      </c>
      <c r="T127" s="140" t="str">
        <f t="shared" si="4"/>
        <v/>
      </c>
      <c r="U127" s="140" t="str">
        <f t="shared" si="5"/>
        <v/>
      </c>
      <c r="V127" s="99"/>
    </row>
    <row r="128" spans="1:22">
      <c r="A128" s="92"/>
      <c r="B128" s="92"/>
      <c r="C128" s="145">
        <v>0.08</v>
      </c>
      <c r="D128" s="137"/>
      <c r="E128" s="138"/>
      <c r="F128" s="139"/>
      <c r="G128" s="98"/>
      <c r="H128" s="99"/>
      <c r="I128" s="99"/>
      <c r="J128" s="100"/>
      <c r="K128" s="99"/>
      <c r="L128" s="99"/>
      <c r="M128" s="99"/>
      <c r="N128" s="99"/>
      <c r="O128" s="112"/>
      <c r="P128" s="140" t="str">
        <f t="shared" si="0"/>
        <v/>
      </c>
      <c r="Q128" s="140" t="str">
        <f t="shared" si="1"/>
        <v/>
      </c>
      <c r="R128" s="140" t="str">
        <f t="shared" si="2"/>
        <v/>
      </c>
      <c r="S128" s="140" t="str">
        <f t="shared" si="3"/>
        <v/>
      </c>
      <c r="T128" s="140" t="str">
        <f t="shared" si="4"/>
        <v/>
      </c>
      <c r="U128" s="140" t="str">
        <f t="shared" si="5"/>
        <v/>
      </c>
      <c r="V128" s="99"/>
    </row>
    <row r="129" spans="1:22">
      <c r="A129" s="92"/>
      <c r="B129" s="146" t="s">
        <v>383</v>
      </c>
      <c r="C129" s="147"/>
      <c r="D129" s="137"/>
      <c r="E129" s="148">
        <f>(2*((0.75-0.08-0.016)/6))+0.012+0.02</f>
        <v>0.25</v>
      </c>
      <c r="F129" s="139"/>
      <c r="G129" s="98">
        <v>10</v>
      </c>
      <c r="H129" s="99">
        <v>7</v>
      </c>
      <c r="I129" s="99">
        <v>1</v>
      </c>
      <c r="J129" s="149">
        <f>2*(D131+E129)+2*8*G129/1000</f>
        <v>1.0999999999999999</v>
      </c>
      <c r="K129" s="99"/>
      <c r="L129" s="99">
        <v>5</v>
      </c>
      <c r="M129" s="112">
        <f>2*G129*L129/1000</f>
        <v>0.1</v>
      </c>
      <c r="N129" s="112">
        <f>(J129+K129-M129)</f>
        <v>0.99999999999999989</v>
      </c>
      <c r="O129" s="112">
        <f>(H129*I129*N129)</f>
        <v>6.9999999999999991</v>
      </c>
      <c r="P129" s="140" t="str">
        <f t="shared" si="0"/>
        <v/>
      </c>
      <c r="Q129" s="140">
        <f t="shared" si="1"/>
        <v>6.9999999999999991</v>
      </c>
      <c r="R129" s="140" t="str">
        <f t="shared" si="2"/>
        <v/>
      </c>
      <c r="S129" s="140" t="str">
        <f t="shared" si="3"/>
        <v/>
      </c>
      <c r="T129" s="140" t="str">
        <f t="shared" si="4"/>
        <v/>
      </c>
      <c r="U129" s="140" t="str">
        <f t="shared" si="5"/>
        <v/>
      </c>
      <c r="V129" s="99"/>
    </row>
    <row r="130" spans="1:22">
      <c r="A130" s="92"/>
      <c r="B130" s="146"/>
      <c r="C130" s="136"/>
      <c r="D130" s="137"/>
      <c r="E130" s="150"/>
      <c r="F130" s="139"/>
      <c r="G130" s="98"/>
      <c r="H130" s="99"/>
      <c r="I130" s="99"/>
      <c r="J130" s="100"/>
      <c r="K130" s="99"/>
      <c r="L130" s="99"/>
      <c r="M130" s="99"/>
      <c r="N130" s="99"/>
      <c r="O130" s="112"/>
      <c r="P130" s="140" t="str">
        <f t="shared" si="0"/>
        <v/>
      </c>
      <c r="Q130" s="140" t="str">
        <f t="shared" si="1"/>
        <v/>
      </c>
      <c r="R130" s="140" t="str">
        <f t="shared" si="2"/>
        <v/>
      </c>
      <c r="S130" s="140" t="str">
        <f t="shared" si="3"/>
        <v/>
      </c>
      <c r="T130" s="140" t="str">
        <f t="shared" si="4"/>
        <v/>
      </c>
      <c r="U130" s="140" t="str">
        <f t="shared" si="5"/>
        <v/>
      </c>
      <c r="V130" s="99"/>
    </row>
    <row r="131" spans="1:22">
      <c r="A131" s="92"/>
      <c r="B131" s="146"/>
      <c r="C131" s="136"/>
      <c r="D131" s="109">
        <f>0.3-0.08</f>
        <v>0.21999999999999997</v>
      </c>
      <c r="E131" s="138"/>
      <c r="F131" s="139"/>
      <c r="G131" s="98"/>
      <c r="H131" s="99"/>
      <c r="I131" s="99"/>
      <c r="J131" s="100"/>
      <c r="K131" s="99"/>
      <c r="L131" s="99"/>
      <c r="M131" s="99"/>
      <c r="N131" s="99"/>
      <c r="O131" s="112"/>
      <c r="P131" s="140" t="str">
        <f t="shared" si="0"/>
        <v/>
      </c>
      <c r="Q131" s="140" t="str">
        <f t="shared" si="1"/>
        <v/>
      </c>
      <c r="R131" s="140" t="str">
        <f t="shared" si="2"/>
        <v/>
      </c>
      <c r="S131" s="140" t="str">
        <f t="shared" si="3"/>
        <v/>
      </c>
      <c r="T131" s="140" t="str">
        <f t="shared" si="4"/>
        <v/>
      </c>
      <c r="U131" s="140" t="str">
        <f t="shared" si="5"/>
        <v/>
      </c>
      <c r="V131" s="99"/>
    </row>
    <row r="132" spans="1:22">
      <c r="A132" s="92"/>
      <c r="B132" s="146"/>
      <c r="C132" s="136"/>
      <c r="D132" s="137"/>
      <c r="E132" s="138"/>
      <c r="F132" s="139"/>
      <c r="G132" s="98"/>
      <c r="H132" s="99"/>
      <c r="I132" s="99"/>
      <c r="J132" s="100"/>
      <c r="K132" s="99"/>
      <c r="L132" s="99"/>
      <c r="M132" s="99"/>
      <c r="N132" s="99"/>
      <c r="O132" s="112"/>
      <c r="P132" s="140" t="str">
        <f t="shared" si="0"/>
        <v/>
      </c>
      <c r="Q132" s="140" t="str">
        <f t="shared" si="1"/>
        <v/>
      </c>
      <c r="R132" s="140" t="str">
        <f t="shared" si="2"/>
        <v/>
      </c>
      <c r="S132" s="140" t="str">
        <f t="shared" si="3"/>
        <v/>
      </c>
      <c r="T132" s="140" t="str">
        <f t="shared" si="4"/>
        <v/>
      </c>
      <c r="U132" s="140" t="str">
        <f t="shared" si="5"/>
        <v/>
      </c>
      <c r="V132" s="99"/>
    </row>
    <row r="133" spans="1:22">
      <c r="A133" s="92"/>
      <c r="B133" s="146" t="s">
        <v>384</v>
      </c>
      <c r="C133" s="136"/>
      <c r="D133" s="142"/>
      <c r="E133" s="138"/>
      <c r="F133" s="139"/>
      <c r="G133" s="98">
        <v>10</v>
      </c>
      <c r="H133" s="99">
        <v>7</v>
      </c>
      <c r="I133" s="99">
        <v>1</v>
      </c>
      <c r="J133" s="149">
        <f>C134+D136+E134+2*8*G133/1000</f>
        <v>0.73</v>
      </c>
      <c r="K133" s="99"/>
      <c r="L133" s="99">
        <v>4</v>
      </c>
      <c r="M133" s="112">
        <f>2*G133*L133/1000</f>
        <v>0.08</v>
      </c>
      <c r="N133" s="112">
        <f>(J133+K133-M133)</f>
        <v>0.65</v>
      </c>
      <c r="O133" s="112">
        <f>(H133*I133*N133)</f>
        <v>4.55</v>
      </c>
      <c r="P133" s="140" t="str">
        <f t="shared" si="0"/>
        <v/>
      </c>
      <c r="Q133" s="140">
        <f t="shared" si="1"/>
        <v>4.55</v>
      </c>
      <c r="R133" s="140" t="str">
        <f t="shared" si="2"/>
        <v/>
      </c>
      <c r="S133" s="140" t="str">
        <f t="shared" si="3"/>
        <v/>
      </c>
      <c r="T133" s="140" t="str">
        <f t="shared" si="4"/>
        <v/>
      </c>
      <c r="U133" s="140" t="str">
        <f t="shared" si="5"/>
        <v/>
      </c>
      <c r="V133" s="99"/>
    </row>
    <row r="134" spans="1:22">
      <c r="A134" s="92"/>
      <c r="B134" s="146"/>
      <c r="C134" s="151">
        <v>0.17499999999999999</v>
      </c>
      <c r="D134" s="137"/>
      <c r="E134" s="138">
        <v>0.17499999999999999</v>
      </c>
      <c r="F134" s="139"/>
      <c r="G134" s="98"/>
      <c r="H134" s="99"/>
      <c r="I134" s="99"/>
      <c r="J134" s="100"/>
      <c r="K134" s="99"/>
      <c r="L134" s="99"/>
      <c r="M134" s="99"/>
      <c r="N134" s="99"/>
      <c r="O134" s="112"/>
      <c r="P134" s="140" t="str">
        <f>IF($G134=8,$O134,"")</f>
        <v/>
      </c>
      <c r="Q134" s="140" t="str">
        <f>IF($G134=10,$O134,"")</f>
        <v/>
      </c>
      <c r="R134" s="140" t="str">
        <f>IF($G134=12,$O134,"")</f>
        <v/>
      </c>
      <c r="S134" s="140" t="str">
        <f>IF($G134=16,$O134,"")</f>
        <v/>
      </c>
      <c r="T134" s="140" t="str">
        <f>IF($G134=20,$O134,"")</f>
        <v/>
      </c>
      <c r="U134" s="140" t="str">
        <f>IF($G134=25,$O134,"")</f>
        <v/>
      </c>
      <c r="V134" s="99"/>
    </row>
    <row r="135" spans="1:22">
      <c r="A135" s="92"/>
      <c r="B135" s="146"/>
      <c r="C135" s="136"/>
      <c r="D135" s="137"/>
      <c r="E135" s="138"/>
      <c r="F135" s="139"/>
      <c r="G135" s="98"/>
      <c r="H135" s="99"/>
      <c r="I135" s="99"/>
      <c r="J135" s="100"/>
      <c r="K135" s="99"/>
      <c r="L135" s="99"/>
      <c r="M135" s="99"/>
      <c r="N135" s="99"/>
      <c r="O135" s="112"/>
      <c r="P135" s="140" t="str">
        <f t="shared" si="0"/>
        <v/>
      </c>
      <c r="Q135" s="140" t="str">
        <f t="shared" si="1"/>
        <v/>
      </c>
      <c r="R135" s="140" t="str">
        <f t="shared" si="2"/>
        <v/>
      </c>
      <c r="S135" s="140" t="str">
        <f t="shared" si="3"/>
        <v/>
      </c>
      <c r="T135" s="140" t="str">
        <f t="shared" si="4"/>
        <v/>
      </c>
      <c r="U135" s="140" t="str">
        <f t="shared" si="5"/>
        <v/>
      </c>
      <c r="V135" s="99"/>
    </row>
    <row r="136" spans="1:22">
      <c r="A136" s="92"/>
      <c r="B136" s="146"/>
      <c r="C136" s="136"/>
      <c r="D136" s="109">
        <f>0.3-0.08</f>
        <v>0.21999999999999997</v>
      </c>
      <c r="E136" s="138"/>
      <c r="F136" s="139"/>
      <c r="G136" s="98"/>
      <c r="H136" s="99"/>
      <c r="I136" s="99"/>
      <c r="J136" s="100"/>
      <c r="K136" s="99"/>
      <c r="L136" s="99"/>
      <c r="M136" s="99"/>
      <c r="N136" s="99"/>
      <c r="O136" s="112"/>
      <c r="P136" s="140" t="str">
        <f t="shared" si="0"/>
        <v/>
      </c>
      <c r="Q136" s="140" t="str">
        <f t="shared" si="1"/>
        <v/>
      </c>
      <c r="R136" s="140" t="str">
        <f t="shared" si="2"/>
        <v/>
      </c>
      <c r="S136" s="140" t="str">
        <f t="shared" si="3"/>
        <v/>
      </c>
      <c r="T136" s="140" t="str">
        <f t="shared" si="4"/>
        <v/>
      </c>
      <c r="U136" s="140" t="str">
        <f t="shared" si="5"/>
        <v/>
      </c>
      <c r="V136" s="99"/>
    </row>
    <row r="137" spans="1:22">
      <c r="A137" s="92"/>
      <c r="B137" s="146"/>
      <c r="C137" s="136"/>
      <c r="D137" s="137"/>
      <c r="E137" s="138"/>
      <c r="F137" s="139"/>
      <c r="G137" s="98"/>
      <c r="H137" s="99"/>
      <c r="I137" s="99"/>
      <c r="J137" s="100"/>
      <c r="K137" s="99"/>
      <c r="L137" s="99"/>
      <c r="M137" s="99"/>
      <c r="N137" s="99"/>
      <c r="O137" s="112"/>
      <c r="P137" s="140" t="str">
        <f t="shared" si="0"/>
        <v/>
      </c>
      <c r="Q137" s="140" t="str">
        <f t="shared" si="1"/>
        <v/>
      </c>
      <c r="R137" s="140" t="str">
        <f t="shared" si="2"/>
        <v/>
      </c>
      <c r="S137" s="140" t="str">
        <f t="shared" si="3"/>
        <v/>
      </c>
      <c r="T137" s="140" t="str">
        <f t="shared" si="4"/>
        <v/>
      </c>
      <c r="U137" s="140" t="str">
        <f t="shared" si="5"/>
        <v/>
      </c>
      <c r="V137" s="99"/>
    </row>
    <row r="138" spans="1:22">
      <c r="A138" s="92"/>
      <c r="B138" s="146" t="s">
        <v>385</v>
      </c>
      <c r="C138" s="136"/>
      <c r="D138" s="142"/>
      <c r="E138" s="138"/>
      <c r="F138" s="139"/>
      <c r="G138" s="98">
        <v>10</v>
      </c>
      <c r="H138" s="99">
        <v>7</v>
      </c>
      <c r="I138" s="99">
        <v>1</v>
      </c>
      <c r="J138" s="149">
        <f>C139+D141+E139+2*8*G138/1000</f>
        <v>0.73</v>
      </c>
      <c r="K138" s="99"/>
      <c r="L138" s="99">
        <v>4</v>
      </c>
      <c r="M138" s="112">
        <f>2*G138*L138/1000</f>
        <v>0.08</v>
      </c>
      <c r="N138" s="112">
        <f>(J138+K138-M138)</f>
        <v>0.65</v>
      </c>
      <c r="O138" s="112">
        <f>(H138*I138*N138)</f>
        <v>4.55</v>
      </c>
      <c r="P138" s="140" t="str">
        <f t="shared" si="0"/>
        <v/>
      </c>
      <c r="Q138" s="140">
        <f t="shared" si="1"/>
        <v>4.55</v>
      </c>
      <c r="R138" s="140" t="str">
        <f t="shared" si="2"/>
        <v/>
      </c>
      <c r="S138" s="140" t="str">
        <f t="shared" si="3"/>
        <v/>
      </c>
      <c r="T138" s="140" t="str">
        <f t="shared" si="4"/>
        <v/>
      </c>
      <c r="U138" s="140" t="str">
        <f t="shared" si="5"/>
        <v/>
      </c>
      <c r="V138" s="99"/>
    </row>
    <row r="139" spans="1:22">
      <c r="A139" s="92"/>
      <c r="B139" s="146"/>
      <c r="C139" s="151">
        <v>0.17499999999999999</v>
      </c>
      <c r="D139" s="137"/>
      <c r="E139" s="138">
        <v>0.17499999999999999</v>
      </c>
      <c r="F139" s="139"/>
      <c r="G139" s="98"/>
      <c r="H139" s="99"/>
      <c r="I139" s="99"/>
      <c r="J139" s="100"/>
      <c r="K139" s="99"/>
      <c r="L139" s="99"/>
      <c r="M139" s="99"/>
      <c r="N139" s="99"/>
      <c r="O139" s="112"/>
      <c r="P139" s="140" t="str">
        <f t="shared" si="0"/>
        <v/>
      </c>
      <c r="Q139" s="140" t="str">
        <f t="shared" si="1"/>
        <v/>
      </c>
      <c r="R139" s="140" t="str">
        <f t="shared" si="2"/>
        <v/>
      </c>
      <c r="S139" s="140" t="str">
        <f t="shared" si="3"/>
        <v/>
      </c>
      <c r="T139" s="140" t="str">
        <f t="shared" si="4"/>
        <v/>
      </c>
      <c r="U139" s="140" t="str">
        <f t="shared" si="5"/>
        <v/>
      </c>
      <c r="V139" s="99"/>
    </row>
    <row r="140" spans="1:22">
      <c r="A140" s="92"/>
      <c r="B140" s="146"/>
      <c r="C140" s="136"/>
      <c r="D140" s="137"/>
      <c r="E140" s="138"/>
      <c r="F140" s="139"/>
      <c r="G140" s="98"/>
      <c r="H140" s="99"/>
      <c r="I140" s="99"/>
      <c r="J140" s="100"/>
      <c r="K140" s="99"/>
      <c r="L140" s="99"/>
      <c r="M140" s="99"/>
      <c r="N140" s="99"/>
      <c r="O140" s="101"/>
      <c r="P140" s="140" t="str">
        <f t="shared" si="0"/>
        <v/>
      </c>
      <c r="Q140" s="140" t="str">
        <f t="shared" si="1"/>
        <v/>
      </c>
      <c r="R140" s="140" t="str">
        <f t="shared" si="2"/>
        <v/>
      </c>
      <c r="S140" s="140" t="str">
        <f t="shared" si="3"/>
        <v/>
      </c>
      <c r="T140" s="140" t="str">
        <f t="shared" si="4"/>
        <v/>
      </c>
      <c r="U140" s="140" t="str">
        <f t="shared" si="5"/>
        <v/>
      </c>
      <c r="V140" s="99"/>
    </row>
    <row r="141" spans="1:22">
      <c r="A141" s="92"/>
      <c r="B141" s="146"/>
      <c r="C141" s="136"/>
      <c r="D141" s="109">
        <f>0.3-0.08</f>
        <v>0.21999999999999997</v>
      </c>
      <c r="E141" s="138"/>
      <c r="F141" s="139"/>
      <c r="G141" s="98"/>
      <c r="H141" s="99"/>
      <c r="I141" s="99"/>
      <c r="J141" s="100"/>
      <c r="K141" s="99"/>
      <c r="L141" s="99"/>
      <c r="M141" s="99"/>
      <c r="N141" s="99"/>
      <c r="O141" s="101"/>
      <c r="P141" s="140" t="str">
        <f t="shared" si="0"/>
        <v/>
      </c>
      <c r="Q141" s="140" t="str">
        <f t="shared" si="1"/>
        <v/>
      </c>
      <c r="R141" s="140" t="str">
        <f t="shared" si="2"/>
        <v/>
      </c>
      <c r="S141" s="140" t="str">
        <f t="shared" si="3"/>
        <v/>
      </c>
      <c r="T141" s="140" t="str">
        <f t="shared" si="4"/>
        <v/>
      </c>
      <c r="U141" s="140" t="str">
        <f t="shared" si="5"/>
        <v/>
      </c>
      <c r="V141" s="99"/>
    </row>
    <row r="142" spans="1:22">
      <c r="A142" s="92"/>
      <c r="B142" s="141"/>
      <c r="C142" s="136"/>
      <c r="D142" s="137"/>
      <c r="E142" s="138"/>
      <c r="F142" s="139"/>
      <c r="G142" s="98"/>
      <c r="H142" s="99"/>
      <c r="I142" s="99"/>
      <c r="J142" s="100"/>
      <c r="K142" s="99"/>
      <c r="L142" s="99"/>
      <c r="M142" s="99"/>
      <c r="N142" s="99"/>
      <c r="O142" s="101"/>
      <c r="P142" s="140" t="str">
        <f t="shared" si="0"/>
        <v/>
      </c>
      <c r="Q142" s="140" t="str">
        <f t="shared" si="1"/>
        <v/>
      </c>
      <c r="R142" s="140" t="str">
        <f t="shared" si="2"/>
        <v/>
      </c>
      <c r="S142" s="140" t="str">
        <f t="shared" si="3"/>
        <v/>
      </c>
      <c r="T142" s="140" t="str">
        <f t="shared" si="4"/>
        <v/>
      </c>
      <c r="U142" s="140" t="str">
        <f t="shared" si="5"/>
        <v/>
      </c>
      <c r="V142" s="99"/>
    </row>
    <row r="143" spans="1:22">
      <c r="A143" s="92"/>
      <c r="B143" s="141"/>
      <c r="C143" s="136"/>
      <c r="D143" s="137"/>
      <c r="E143" s="144">
        <v>0.08</v>
      </c>
      <c r="F143" s="139"/>
      <c r="G143" s="98"/>
      <c r="H143" s="99"/>
      <c r="I143" s="99"/>
      <c r="J143" s="100"/>
      <c r="K143" s="99"/>
      <c r="L143" s="99"/>
      <c r="M143" s="99"/>
      <c r="N143" s="99"/>
      <c r="O143" s="101"/>
      <c r="P143" s="140" t="str">
        <f t="shared" si="0"/>
        <v/>
      </c>
      <c r="Q143" s="140" t="str">
        <f t="shared" si="1"/>
        <v/>
      </c>
      <c r="R143" s="140" t="str">
        <f t="shared" si="2"/>
        <v/>
      </c>
      <c r="S143" s="140" t="str">
        <f t="shared" si="3"/>
        <v/>
      </c>
      <c r="T143" s="140" t="str">
        <f t="shared" si="4"/>
        <v/>
      </c>
      <c r="U143" s="140" t="str">
        <f t="shared" si="5"/>
        <v/>
      </c>
      <c r="V143" s="99"/>
    </row>
    <row r="144" spans="1:22">
      <c r="A144" s="92"/>
      <c r="B144" s="146" t="s">
        <v>390</v>
      </c>
      <c r="C144" s="136"/>
      <c r="D144" s="142">
        <f>0.3-0.08</f>
        <v>0.21999999999999997</v>
      </c>
      <c r="E144" s="144"/>
      <c r="F144" s="139"/>
      <c r="G144" s="98">
        <v>10</v>
      </c>
      <c r="H144" s="99">
        <v>7</v>
      </c>
      <c r="I144" s="99">
        <v>1</v>
      </c>
      <c r="J144" s="149">
        <f>D144+E143+E145</f>
        <v>0.38</v>
      </c>
      <c r="K144" s="99"/>
      <c r="L144" s="99">
        <v>2</v>
      </c>
      <c r="M144" s="112">
        <f>2*G144*L144/1000</f>
        <v>0.04</v>
      </c>
      <c r="N144" s="112">
        <f>(J144+K144-M144)</f>
        <v>0.34</v>
      </c>
      <c r="O144" s="112">
        <f>(H144*I144*N144)</f>
        <v>2.3800000000000003</v>
      </c>
      <c r="P144" s="140" t="str">
        <f t="shared" si="0"/>
        <v/>
      </c>
      <c r="Q144" s="140">
        <f t="shared" si="1"/>
        <v>2.3800000000000003</v>
      </c>
      <c r="R144" s="140" t="str">
        <f t="shared" si="2"/>
        <v/>
      </c>
      <c r="S144" s="140" t="str">
        <f t="shared" si="3"/>
        <v/>
      </c>
      <c r="T144" s="140" t="str">
        <f t="shared" si="4"/>
        <v/>
      </c>
      <c r="U144" s="140" t="str">
        <f t="shared" si="5"/>
        <v/>
      </c>
      <c r="V144" s="99"/>
    </row>
    <row r="145" spans="1:22">
      <c r="A145" s="92"/>
      <c r="B145" s="141"/>
      <c r="C145" s="136"/>
      <c r="D145" s="137"/>
      <c r="E145" s="144">
        <v>0.08</v>
      </c>
      <c r="F145" s="139"/>
      <c r="G145" s="98"/>
      <c r="H145" s="99"/>
      <c r="I145" s="99"/>
      <c r="J145" s="100"/>
      <c r="K145" s="99"/>
      <c r="L145" s="99"/>
      <c r="M145" s="99"/>
      <c r="N145" s="99"/>
      <c r="O145" s="101"/>
      <c r="P145" s="140" t="str">
        <f t="shared" si="0"/>
        <v/>
      </c>
      <c r="Q145" s="140" t="str">
        <f t="shared" si="1"/>
        <v/>
      </c>
      <c r="R145" s="140" t="str">
        <f t="shared" si="2"/>
        <v/>
      </c>
      <c r="S145" s="140" t="str">
        <f t="shared" si="3"/>
        <v/>
      </c>
      <c r="T145" s="140" t="str">
        <f t="shared" si="4"/>
        <v/>
      </c>
      <c r="U145" s="140" t="str">
        <f t="shared" si="5"/>
        <v/>
      </c>
      <c r="V145" s="99"/>
    </row>
    <row r="146" spans="1:22">
      <c r="A146" s="92"/>
      <c r="B146" s="146"/>
      <c r="C146" s="136"/>
      <c r="D146" s="152"/>
      <c r="E146" s="138"/>
      <c r="F146" s="139"/>
      <c r="G146" s="98"/>
      <c r="H146" s="99"/>
      <c r="I146" s="99"/>
      <c r="J146" s="100"/>
      <c r="K146" s="99"/>
      <c r="L146" s="99"/>
      <c r="M146" s="99"/>
      <c r="N146" s="99"/>
      <c r="O146" s="101"/>
      <c r="P146" s="140" t="str">
        <f t="shared" si="0"/>
        <v/>
      </c>
      <c r="Q146" s="140" t="str">
        <f t="shared" si="1"/>
        <v/>
      </c>
      <c r="R146" s="140" t="str">
        <f t="shared" si="2"/>
        <v/>
      </c>
      <c r="S146" s="140" t="str">
        <f t="shared" si="3"/>
        <v/>
      </c>
      <c r="T146" s="140" t="str">
        <f t="shared" si="4"/>
        <v/>
      </c>
      <c r="U146" s="140" t="str">
        <f t="shared" si="5"/>
        <v/>
      </c>
      <c r="V146" s="99"/>
    </row>
    <row r="147" spans="1:22">
      <c r="A147" s="92">
        <v>6</v>
      </c>
      <c r="B147" s="92" t="s">
        <v>392</v>
      </c>
      <c r="C147" s="136"/>
      <c r="D147" s="137"/>
      <c r="E147" s="138"/>
      <c r="F147" s="139"/>
      <c r="G147" s="98"/>
      <c r="H147" s="99"/>
      <c r="I147" s="99"/>
      <c r="J147" s="109"/>
      <c r="K147" s="112"/>
      <c r="L147" s="112"/>
      <c r="M147" s="99"/>
      <c r="N147" s="112"/>
      <c r="O147" s="112"/>
      <c r="P147" s="140" t="str">
        <f>IF($G147=8,$O147,"")</f>
        <v/>
      </c>
      <c r="Q147" s="140" t="str">
        <f>IF($G147=10,$O147,"")</f>
        <v/>
      </c>
      <c r="R147" s="140" t="str">
        <f>IF($G147=12,$O147,"")</f>
        <v/>
      </c>
      <c r="S147" s="140" t="str">
        <f>IF($G147=16,$O147,"")</f>
        <v/>
      </c>
      <c r="T147" s="140" t="str">
        <f>IF($G147=20,$O147,"")</f>
        <v/>
      </c>
      <c r="U147" s="140" t="str">
        <f>IF($G147=25,$O147,"")</f>
        <v/>
      </c>
      <c r="V147" s="99"/>
    </row>
    <row r="148" spans="1:22">
      <c r="A148" s="92"/>
      <c r="B148" s="141" t="s">
        <v>378</v>
      </c>
      <c r="C148" s="136"/>
      <c r="D148" s="142">
        <f>0.85-0.075-2*0.016</f>
        <v>0.74299999999999999</v>
      </c>
      <c r="E148" s="138"/>
      <c r="F148" s="139"/>
      <c r="G148" s="98">
        <v>16</v>
      </c>
      <c r="H148" s="99">
        <v>7</v>
      </c>
      <c r="I148" s="99">
        <v>4</v>
      </c>
      <c r="J148" s="109">
        <f>D148</f>
        <v>0.74299999999999999</v>
      </c>
      <c r="K148" s="110" t="str">
        <f>IF(N148&lt;12,"0",0.049*G148)</f>
        <v>0</v>
      </c>
      <c r="L148" s="111">
        <v>1</v>
      </c>
      <c r="M148" s="99">
        <f>2*G148*L148/1000</f>
        <v>3.2000000000000001E-2</v>
      </c>
      <c r="N148" s="112">
        <f>J148+E$150-M148</f>
        <v>1.0109999999999999</v>
      </c>
      <c r="O148" s="112">
        <f>H148*I148*N148</f>
        <v>28.307999999999996</v>
      </c>
      <c r="P148" s="140" t="str">
        <f t="shared" si="0"/>
        <v/>
      </c>
      <c r="Q148" s="140" t="str">
        <f t="shared" si="1"/>
        <v/>
      </c>
      <c r="R148" s="140" t="str">
        <f t="shared" si="2"/>
        <v/>
      </c>
      <c r="S148" s="140">
        <f t="shared" si="3"/>
        <v>28.307999999999996</v>
      </c>
      <c r="T148" s="140" t="str">
        <f t="shared" si="4"/>
        <v/>
      </c>
      <c r="U148" s="140" t="str">
        <f t="shared" si="5"/>
        <v/>
      </c>
      <c r="V148" s="99"/>
    </row>
    <row r="149" spans="1:22">
      <c r="A149" s="92"/>
      <c r="B149" s="141" t="s">
        <v>379</v>
      </c>
      <c r="C149" s="136"/>
      <c r="D149" s="137"/>
      <c r="E149" s="138"/>
      <c r="F149" s="139"/>
      <c r="G149" s="98">
        <v>12</v>
      </c>
      <c r="H149" s="99">
        <v>7</v>
      </c>
      <c r="I149" s="99">
        <v>2</v>
      </c>
      <c r="J149" s="109">
        <f>D148</f>
        <v>0.74299999999999999</v>
      </c>
      <c r="K149" s="110" t="str">
        <f t="shared" ref="K149:K152" si="19">IF(N149&lt;12,"0",0.049*G149)</f>
        <v>0</v>
      </c>
      <c r="L149" s="111">
        <v>1</v>
      </c>
      <c r="M149" s="99">
        <f t="shared" ref="M149:M152" si="20">2*G149*L149/1000</f>
        <v>2.4E-2</v>
      </c>
      <c r="N149" s="112">
        <f t="shared" ref="N149:N152" si="21">J149+E$150-M149</f>
        <v>1.0189999999999999</v>
      </c>
      <c r="O149" s="112">
        <f>H149*I149*N149</f>
        <v>14.265999999999998</v>
      </c>
      <c r="P149" s="140" t="str">
        <f t="shared" si="0"/>
        <v/>
      </c>
      <c r="Q149" s="140" t="str">
        <f t="shared" si="1"/>
        <v/>
      </c>
      <c r="R149" s="140">
        <f t="shared" si="2"/>
        <v>14.265999999999998</v>
      </c>
      <c r="S149" s="140" t="str">
        <f t="shared" si="3"/>
        <v/>
      </c>
      <c r="T149" s="140" t="str">
        <f t="shared" si="4"/>
        <v/>
      </c>
      <c r="U149" s="140" t="str">
        <f t="shared" si="5"/>
        <v/>
      </c>
      <c r="V149" s="99"/>
    </row>
    <row r="150" spans="1:22">
      <c r="A150" s="92"/>
      <c r="B150" s="141" t="s">
        <v>380</v>
      </c>
      <c r="C150" s="143"/>
      <c r="D150" s="142"/>
      <c r="E150" s="144">
        <v>0.3</v>
      </c>
      <c r="F150" s="139"/>
      <c r="G150" s="98">
        <v>12</v>
      </c>
      <c r="H150" s="99">
        <v>7</v>
      </c>
      <c r="I150" s="99">
        <v>4</v>
      </c>
      <c r="J150" s="109">
        <f>D148</f>
        <v>0.74299999999999999</v>
      </c>
      <c r="K150" s="110" t="str">
        <f t="shared" si="19"/>
        <v>0</v>
      </c>
      <c r="L150" s="111">
        <v>1</v>
      </c>
      <c r="M150" s="99">
        <f t="shared" si="20"/>
        <v>2.4E-2</v>
      </c>
      <c r="N150" s="112">
        <f t="shared" si="21"/>
        <v>1.0189999999999999</v>
      </c>
      <c r="O150" s="112">
        <f>H150*I150*N150</f>
        <v>28.531999999999996</v>
      </c>
      <c r="P150" s="140" t="str">
        <f t="shared" si="0"/>
        <v/>
      </c>
      <c r="Q150" s="140" t="str">
        <f t="shared" si="1"/>
        <v/>
      </c>
      <c r="R150" s="140">
        <f t="shared" si="2"/>
        <v>28.531999999999996</v>
      </c>
      <c r="S150" s="140" t="str">
        <f t="shared" si="3"/>
        <v/>
      </c>
      <c r="T150" s="140" t="str">
        <f t="shared" si="4"/>
        <v/>
      </c>
      <c r="U150" s="140" t="str">
        <f t="shared" si="5"/>
        <v/>
      </c>
      <c r="V150" s="99"/>
    </row>
    <row r="151" spans="1:22">
      <c r="A151" s="92"/>
      <c r="B151" s="141" t="s">
        <v>381</v>
      </c>
      <c r="C151" s="136"/>
      <c r="D151" s="137"/>
      <c r="E151" s="138"/>
      <c r="F151" s="139"/>
      <c r="G151" s="98">
        <v>12</v>
      </c>
      <c r="H151" s="99">
        <v>7</v>
      </c>
      <c r="I151" s="99">
        <v>4</v>
      </c>
      <c r="J151" s="109">
        <f>D148</f>
        <v>0.74299999999999999</v>
      </c>
      <c r="K151" s="110" t="str">
        <f t="shared" si="19"/>
        <v>0</v>
      </c>
      <c r="L151" s="111">
        <v>1</v>
      </c>
      <c r="M151" s="99">
        <f t="shared" si="20"/>
        <v>2.4E-2</v>
      </c>
      <c r="N151" s="112">
        <f t="shared" si="21"/>
        <v>1.0189999999999999</v>
      </c>
      <c r="O151" s="112">
        <f>H151*I151*N151</f>
        <v>28.531999999999996</v>
      </c>
      <c r="P151" s="140" t="str">
        <f t="shared" si="0"/>
        <v/>
      </c>
      <c r="Q151" s="140" t="str">
        <f t="shared" si="1"/>
        <v/>
      </c>
      <c r="R151" s="140">
        <f t="shared" si="2"/>
        <v>28.531999999999996</v>
      </c>
      <c r="S151" s="140" t="str">
        <f t="shared" si="3"/>
        <v/>
      </c>
      <c r="T151" s="140" t="str">
        <f t="shared" si="4"/>
        <v/>
      </c>
      <c r="U151" s="140" t="str">
        <f t="shared" si="5"/>
        <v/>
      </c>
      <c r="V151" s="99"/>
    </row>
    <row r="152" spans="1:22">
      <c r="A152" s="92"/>
      <c r="B152" s="141" t="s">
        <v>389</v>
      </c>
      <c r="C152" s="136"/>
      <c r="D152" s="137"/>
      <c r="E152" s="138"/>
      <c r="F152" s="139"/>
      <c r="G152" s="98">
        <v>12</v>
      </c>
      <c r="H152" s="99">
        <v>7</v>
      </c>
      <c r="I152" s="99">
        <v>2</v>
      </c>
      <c r="J152" s="109">
        <f>D148</f>
        <v>0.74299999999999999</v>
      </c>
      <c r="K152" s="110" t="str">
        <f t="shared" si="19"/>
        <v>0</v>
      </c>
      <c r="L152" s="111">
        <v>1</v>
      </c>
      <c r="M152" s="99">
        <f t="shared" si="20"/>
        <v>2.4E-2</v>
      </c>
      <c r="N152" s="112">
        <f t="shared" si="21"/>
        <v>1.0189999999999999</v>
      </c>
      <c r="O152" s="112">
        <f>H152*I152*N152</f>
        <v>14.265999999999998</v>
      </c>
      <c r="P152" s="140" t="str">
        <f t="shared" si="0"/>
        <v/>
      </c>
      <c r="Q152" s="140" t="str">
        <f t="shared" si="1"/>
        <v/>
      </c>
      <c r="R152" s="140">
        <f t="shared" si="2"/>
        <v>14.265999999999998</v>
      </c>
      <c r="S152" s="140" t="str">
        <f t="shared" si="3"/>
        <v/>
      </c>
      <c r="T152" s="140" t="str">
        <f t="shared" si="4"/>
        <v/>
      </c>
      <c r="U152" s="140" t="str">
        <f t="shared" si="5"/>
        <v/>
      </c>
      <c r="V152" s="99"/>
    </row>
    <row r="153" spans="1:22">
      <c r="A153" s="92"/>
      <c r="B153" s="141"/>
      <c r="C153" s="136"/>
      <c r="D153" s="137"/>
      <c r="E153" s="138"/>
      <c r="F153" s="139"/>
      <c r="G153" s="98"/>
      <c r="H153" s="99"/>
      <c r="I153" s="99"/>
      <c r="J153" s="100"/>
      <c r="K153" s="99"/>
      <c r="L153" s="99"/>
      <c r="M153" s="99"/>
      <c r="N153" s="99"/>
      <c r="O153" s="101"/>
      <c r="P153" s="140" t="str">
        <f t="shared" si="0"/>
        <v/>
      </c>
      <c r="Q153" s="140" t="str">
        <f t="shared" si="1"/>
        <v/>
      </c>
      <c r="R153" s="140" t="str">
        <f t="shared" si="2"/>
        <v/>
      </c>
      <c r="S153" s="140" t="str">
        <f t="shared" si="3"/>
        <v/>
      </c>
      <c r="T153" s="140" t="str">
        <f t="shared" si="4"/>
        <v/>
      </c>
      <c r="U153" s="140" t="str">
        <f t="shared" si="5"/>
        <v/>
      </c>
      <c r="V153" s="99"/>
    </row>
    <row r="154" spans="1:22">
      <c r="A154" s="92"/>
      <c r="B154" s="92"/>
      <c r="C154" s="145">
        <v>0.08</v>
      </c>
      <c r="D154" s="137"/>
      <c r="E154" s="138"/>
      <c r="F154" s="139"/>
      <c r="G154" s="98"/>
      <c r="H154" s="99"/>
      <c r="I154" s="99"/>
      <c r="J154" s="100"/>
      <c r="K154" s="99"/>
      <c r="L154" s="99"/>
      <c r="M154" s="99"/>
      <c r="N154" s="99"/>
      <c r="O154" s="101"/>
      <c r="P154" s="140" t="str">
        <f t="shared" si="0"/>
        <v/>
      </c>
      <c r="Q154" s="140" t="str">
        <f t="shared" si="1"/>
        <v/>
      </c>
      <c r="R154" s="140" t="str">
        <f t="shared" si="2"/>
        <v/>
      </c>
      <c r="S154" s="140" t="str">
        <f t="shared" si="3"/>
        <v/>
      </c>
      <c r="T154" s="140" t="str">
        <f t="shared" si="4"/>
        <v/>
      </c>
      <c r="U154" s="140" t="str">
        <f t="shared" si="5"/>
        <v/>
      </c>
      <c r="V154" s="99"/>
    </row>
    <row r="155" spans="1:22">
      <c r="A155" s="92"/>
      <c r="B155" s="146" t="s">
        <v>382</v>
      </c>
      <c r="C155" s="147"/>
      <c r="D155" s="137"/>
      <c r="E155" s="148">
        <f>0.715-0.08</f>
        <v>0.63500000000000001</v>
      </c>
      <c r="F155" s="139"/>
      <c r="G155" s="98">
        <v>10</v>
      </c>
      <c r="H155" s="99">
        <v>7</v>
      </c>
      <c r="I155" s="99">
        <v>4</v>
      </c>
      <c r="J155" s="149">
        <f>2*(D157+E155)+2*8*G155/1000</f>
        <v>1.8699999999999999</v>
      </c>
      <c r="K155" s="99"/>
      <c r="L155" s="99">
        <v>5</v>
      </c>
      <c r="M155" s="112">
        <f>2*G155*L155/1000</f>
        <v>0.1</v>
      </c>
      <c r="N155" s="112">
        <f>(J155+K155-M155)</f>
        <v>1.7699999999999998</v>
      </c>
      <c r="O155" s="112">
        <f>(H155*I155*N155)</f>
        <v>49.559999999999995</v>
      </c>
      <c r="P155" s="140" t="str">
        <f t="shared" si="0"/>
        <v/>
      </c>
      <c r="Q155" s="140">
        <f t="shared" si="1"/>
        <v>49.559999999999995</v>
      </c>
      <c r="R155" s="140" t="str">
        <f t="shared" si="2"/>
        <v/>
      </c>
      <c r="S155" s="140" t="str">
        <f t="shared" si="3"/>
        <v/>
      </c>
      <c r="T155" s="140" t="str">
        <f t="shared" si="4"/>
        <v/>
      </c>
      <c r="U155" s="140" t="str">
        <f t="shared" si="5"/>
        <v/>
      </c>
      <c r="V155" s="99"/>
    </row>
    <row r="156" spans="1:22">
      <c r="A156" s="92"/>
      <c r="B156" s="146"/>
      <c r="C156" s="136"/>
      <c r="D156" s="137"/>
      <c r="E156" s="150"/>
      <c r="F156" s="139"/>
      <c r="G156" s="98"/>
      <c r="H156" s="99"/>
      <c r="I156" s="99"/>
      <c r="J156" s="100"/>
      <c r="K156" s="99"/>
      <c r="L156" s="99"/>
      <c r="M156" s="99"/>
      <c r="N156" s="99"/>
      <c r="O156" s="112"/>
      <c r="P156" s="140" t="str">
        <f t="shared" si="0"/>
        <v/>
      </c>
      <c r="Q156" s="140" t="str">
        <f t="shared" si="1"/>
        <v/>
      </c>
      <c r="R156" s="140" t="str">
        <f t="shared" si="2"/>
        <v/>
      </c>
      <c r="S156" s="140" t="str">
        <f t="shared" si="3"/>
        <v/>
      </c>
      <c r="T156" s="140" t="str">
        <f t="shared" si="4"/>
        <v/>
      </c>
      <c r="U156" s="140" t="str">
        <f t="shared" si="5"/>
        <v/>
      </c>
      <c r="V156" s="99"/>
    </row>
    <row r="157" spans="1:22">
      <c r="A157" s="92"/>
      <c r="B157" s="146"/>
      <c r="C157" s="136"/>
      <c r="D157" s="109">
        <f>0.3-0.08</f>
        <v>0.21999999999999997</v>
      </c>
      <c r="E157" s="138"/>
      <c r="F157" s="139"/>
      <c r="G157" s="98"/>
      <c r="H157" s="99"/>
      <c r="I157" s="99"/>
      <c r="J157" s="100"/>
      <c r="K157" s="99"/>
      <c r="L157" s="99"/>
      <c r="M157" s="99"/>
      <c r="N157" s="99"/>
      <c r="O157" s="112"/>
      <c r="P157" s="140" t="str">
        <f t="shared" si="0"/>
        <v/>
      </c>
      <c r="Q157" s="140" t="str">
        <f t="shared" si="1"/>
        <v/>
      </c>
      <c r="R157" s="140" t="str">
        <f t="shared" si="2"/>
        <v/>
      </c>
      <c r="S157" s="140" t="str">
        <f t="shared" si="3"/>
        <v/>
      </c>
      <c r="T157" s="140" t="str">
        <f t="shared" si="4"/>
        <v/>
      </c>
      <c r="U157" s="140" t="str">
        <f t="shared" si="5"/>
        <v/>
      </c>
      <c r="V157" s="99"/>
    </row>
    <row r="158" spans="1:22">
      <c r="A158" s="92"/>
      <c r="B158" s="141"/>
      <c r="C158" s="136"/>
      <c r="D158" s="137"/>
      <c r="E158" s="138"/>
      <c r="F158" s="139"/>
      <c r="G158" s="98"/>
      <c r="H158" s="99"/>
      <c r="I158" s="99"/>
      <c r="J158" s="100"/>
      <c r="K158" s="99"/>
      <c r="L158" s="99"/>
      <c r="M158" s="99"/>
      <c r="N158" s="99"/>
      <c r="O158" s="112"/>
      <c r="P158" s="140" t="str">
        <f t="shared" si="0"/>
        <v/>
      </c>
      <c r="Q158" s="140" t="str">
        <f t="shared" si="1"/>
        <v/>
      </c>
      <c r="R158" s="140" t="str">
        <f t="shared" si="2"/>
        <v/>
      </c>
      <c r="S158" s="140" t="str">
        <f t="shared" si="3"/>
        <v/>
      </c>
      <c r="T158" s="140" t="str">
        <f t="shared" si="4"/>
        <v/>
      </c>
      <c r="U158" s="140" t="str">
        <f t="shared" si="5"/>
        <v/>
      </c>
      <c r="V158" s="99"/>
    </row>
    <row r="159" spans="1:22">
      <c r="A159" s="92"/>
      <c r="B159" s="92"/>
      <c r="C159" s="145">
        <v>0.08</v>
      </c>
      <c r="D159" s="137"/>
      <c r="E159" s="138"/>
      <c r="F159" s="139"/>
      <c r="G159" s="98"/>
      <c r="H159" s="99"/>
      <c r="I159" s="99"/>
      <c r="J159" s="100"/>
      <c r="K159" s="99"/>
      <c r="L159" s="99"/>
      <c r="M159" s="99"/>
      <c r="N159" s="99"/>
      <c r="O159" s="112"/>
      <c r="P159" s="140" t="str">
        <f t="shared" si="0"/>
        <v/>
      </c>
      <c r="Q159" s="140" t="str">
        <f t="shared" si="1"/>
        <v/>
      </c>
      <c r="R159" s="140" t="str">
        <f t="shared" si="2"/>
        <v/>
      </c>
      <c r="S159" s="140" t="str">
        <f t="shared" si="3"/>
        <v/>
      </c>
      <c r="T159" s="140" t="str">
        <f t="shared" si="4"/>
        <v/>
      </c>
      <c r="U159" s="140" t="str">
        <f t="shared" si="5"/>
        <v/>
      </c>
      <c r="V159" s="99"/>
    </row>
    <row r="160" spans="1:22">
      <c r="A160" s="92"/>
      <c r="B160" s="146" t="s">
        <v>383</v>
      </c>
      <c r="C160" s="147"/>
      <c r="D160" s="137"/>
      <c r="E160" s="148">
        <f>(2*((0.715-0.08-0.016)/6))+0.012+0.02</f>
        <v>0.23833333333333334</v>
      </c>
      <c r="F160" s="139"/>
      <c r="G160" s="98">
        <v>10</v>
      </c>
      <c r="H160" s="99">
        <v>7</v>
      </c>
      <c r="I160" s="99">
        <v>1</v>
      </c>
      <c r="J160" s="149">
        <f>2*(D162+E160)+2*8*G160/1000</f>
        <v>1.0766666666666667</v>
      </c>
      <c r="K160" s="99"/>
      <c r="L160" s="99">
        <v>5</v>
      </c>
      <c r="M160" s="112">
        <f>2*G160*L160/1000</f>
        <v>0.1</v>
      </c>
      <c r="N160" s="112">
        <f>(J160+K160-M160)</f>
        <v>0.97666666666666668</v>
      </c>
      <c r="O160" s="112">
        <f>(H160*I160*N160)</f>
        <v>6.8366666666666669</v>
      </c>
      <c r="P160" s="140" t="str">
        <f t="shared" si="0"/>
        <v/>
      </c>
      <c r="Q160" s="140">
        <f t="shared" si="1"/>
        <v>6.8366666666666669</v>
      </c>
      <c r="R160" s="140" t="str">
        <f t="shared" si="2"/>
        <v/>
      </c>
      <c r="S160" s="140" t="str">
        <f t="shared" si="3"/>
        <v/>
      </c>
      <c r="T160" s="140" t="str">
        <f t="shared" si="4"/>
        <v/>
      </c>
      <c r="U160" s="140" t="str">
        <f t="shared" si="5"/>
        <v/>
      </c>
      <c r="V160" s="99"/>
    </row>
    <row r="161" spans="1:22">
      <c r="A161" s="92"/>
      <c r="B161" s="146"/>
      <c r="C161" s="136"/>
      <c r="D161" s="137"/>
      <c r="E161" s="150"/>
      <c r="F161" s="139"/>
      <c r="G161" s="98"/>
      <c r="H161" s="99"/>
      <c r="I161" s="99"/>
      <c r="J161" s="100"/>
      <c r="K161" s="99"/>
      <c r="L161" s="99"/>
      <c r="M161" s="99"/>
      <c r="N161" s="99"/>
      <c r="O161" s="112"/>
      <c r="P161" s="140" t="str">
        <f t="shared" si="0"/>
        <v/>
      </c>
      <c r="Q161" s="140" t="str">
        <f t="shared" si="1"/>
        <v/>
      </c>
      <c r="R161" s="140" t="str">
        <f t="shared" si="2"/>
        <v/>
      </c>
      <c r="S161" s="140" t="str">
        <f t="shared" si="3"/>
        <v/>
      </c>
      <c r="T161" s="140" t="str">
        <f t="shared" si="4"/>
        <v/>
      </c>
      <c r="U161" s="140" t="str">
        <f t="shared" si="5"/>
        <v/>
      </c>
      <c r="V161" s="99"/>
    </row>
    <row r="162" spans="1:22">
      <c r="A162" s="92"/>
      <c r="B162" s="146"/>
      <c r="C162" s="136"/>
      <c r="D162" s="109">
        <f>0.3-0.08</f>
        <v>0.21999999999999997</v>
      </c>
      <c r="E162" s="138"/>
      <c r="F162" s="139"/>
      <c r="G162" s="98"/>
      <c r="H162" s="99"/>
      <c r="I162" s="99"/>
      <c r="J162" s="100"/>
      <c r="K162" s="99"/>
      <c r="L162" s="99"/>
      <c r="M162" s="99"/>
      <c r="N162" s="99"/>
      <c r="O162" s="112"/>
      <c r="P162" s="140" t="str">
        <f t="shared" si="0"/>
        <v/>
      </c>
      <c r="Q162" s="140" t="str">
        <f t="shared" si="1"/>
        <v/>
      </c>
      <c r="R162" s="140" t="str">
        <f t="shared" si="2"/>
        <v/>
      </c>
      <c r="S162" s="140" t="str">
        <f t="shared" si="3"/>
        <v/>
      </c>
      <c r="T162" s="140" t="str">
        <f t="shared" si="4"/>
        <v/>
      </c>
      <c r="U162" s="140" t="str">
        <f t="shared" si="5"/>
        <v/>
      </c>
      <c r="V162" s="99"/>
    </row>
    <row r="163" spans="1:22">
      <c r="A163" s="92"/>
      <c r="B163" s="146"/>
      <c r="C163" s="136"/>
      <c r="D163" s="137"/>
      <c r="E163" s="138"/>
      <c r="F163" s="139"/>
      <c r="G163" s="98"/>
      <c r="H163" s="99"/>
      <c r="I163" s="99"/>
      <c r="J163" s="100"/>
      <c r="K163" s="99"/>
      <c r="L163" s="99"/>
      <c r="M163" s="99"/>
      <c r="N163" s="99"/>
      <c r="O163" s="112"/>
      <c r="P163" s="140" t="str">
        <f t="shared" si="0"/>
        <v/>
      </c>
      <c r="Q163" s="140" t="str">
        <f t="shared" si="1"/>
        <v/>
      </c>
      <c r="R163" s="140" t="str">
        <f t="shared" si="2"/>
        <v/>
      </c>
      <c r="S163" s="140" t="str">
        <f t="shared" si="3"/>
        <v/>
      </c>
      <c r="T163" s="140" t="str">
        <f t="shared" si="4"/>
        <v/>
      </c>
      <c r="U163" s="140" t="str">
        <f t="shared" si="5"/>
        <v/>
      </c>
      <c r="V163" s="99"/>
    </row>
    <row r="164" spans="1:22">
      <c r="A164" s="92"/>
      <c r="B164" s="146" t="s">
        <v>384</v>
      </c>
      <c r="C164" s="136"/>
      <c r="D164" s="142"/>
      <c r="E164" s="138"/>
      <c r="F164" s="139"/>
      <c r="G164" s="98">
        <v>10</v>
      </c>
      <c r="H164" s="99">
        <v>7</v>
      </c>
      <c r="I164" s="99">
        <v>1</v>
      </c>
      <c r="J164" s="149">
        <f>C165+D167+E165+2*8*G164/1000</f>
        <v>0.73</v>
      </c>
      <c r="K164" s="99"/>
      <c r="L164" s="99">
        <v>4</v>
      </c>
      <c r="M164" s="112">
        <f>2*G164*L164/1000</f>
        <v>0.08</v>
      </c>
      <c r="N164" s="112">
        <f>(J164+K164-M164)</f>
        <v>0.65</v>
      </c>
      <c r="O164" s="112">
        <f>(H164*I164*N164)</f>
        <v>4.55</v>
      </c>
      <c r="P164" s="140" t="str">
        <f t="shared" si="0"/>
        <v/>
      </c>
      <c r="Q164" s="140">
        <f t="shared" si="1"/>
        <v>4.55</v>
      </c>
      <c r="R164" s="140" t="str">
        <f t="shared" si="2"/>
        <v/>
      </c>
      <c r="S164" s="140" t="str">
        <f t="shared" si="3"/>
        <v/>
      </c>
      <c r="T164" s="140" t="str">
        <f t="shared" si="4"/>
        <v/>
      </c>
      <c r="U164" s="140" t="str">
        <f t="shared" si="5"/>
        <v/>
      </c>
      <c r="V164" s="99"/>
    </row>
    <row r="165" spans="1:22">
      <c r="A165" s="92"/>
      <c r="B165" s="146"/>
      <c r="C165" s="151">
        <v>0.17499999999999999</v>
      </c>
      <c r="D165" s="137"/>
      <c r="E165" s="138">
        <v>0.17499999999999999</v>
      </c>
      <c r="F165" s="139"/>
      <c r="G165" s="98"/>
      <c r="H165" s="99"/>
      <c r="I165" s="99"/>
      <c r="J165" s="100"/>
      <c r="K165" s="99"/>
      <c r="L165" s="99"/>
      <c r="M165" s="99"/>
      <c r="N165" s="99"/>
      <c r="O165" s="112"/>
      <c r="P165" s="140" t="str">
        <f>IF($G165=8,$O165,"")</f>
        <v/>
      </c>
      <c r="Q165" s="140" t="str">
        <f>IF($G165=10,$O165,"")</f>
        <v/>
      </c>
      <c r="R165" s="140" t="str">
        <f>IF($G165=12,$O165,"")</f>
        <v/>
      </c>
      <c r="S165" s="140" t="str">
        <f>IF($G165=16,$O165,"")</f>
        <v/>
      </c>
      <c r="T165" s="140" t="str">
        <f>IF($G165=20,$O165,"")</f>
        <v/>
      </c>
      <c r="U165" s="140" t="str">
        <f>IF($G165=25,$O165,"")</f>
        <v/>
      </c>
      <c r="V165" s="99"/>
    </row>
    <row r="166" spans="1:22">
      <c r="A166" s="92"/>
      <c r="B166" s="146"/>
      <c r="C166" s="136"/>
      <c r="D166" s="137"/>
      <c r="E166" s="138"/>
      <c r="F166" s="139"/>
      <c r="G166" s="98"/>
      <c r="H166" s="99"/>
      <c r="I166" s="99"/>
      <c r="J166" s="100"/>
      <c r="K166" s="99"/>
      <c r="L166" s="99"/>
      <c r="M166" s="99"/>
      <c r="N166" s="99"/>
      <c r="O166" s="112"/>
      <c r="P166" s="140" t="str">
        <f t="shared" si="0"/>
        <v/>
      </c>
      <c r="Q166" s="140" t="str">
        <f t="shared" si="1"/>
        <v/>
      </c>
      <c r="R166" s="140" t="str">
        <f t="shared" si="2"/>
        <v/>
      </c>
      <c r="S166" s="140" t="str">
        <f t="shared" si="3"/>
        <v/>
      </c>
      <c r="T166" s="140" t="str">
        <f t="shared" si="4"/>
        <v/>
      </c>
      <c r="U166" s="140" t="str">
        <f t="shared" si="5"/>
        <v/>
      </c>
      <c r="V166" s="99"/>
    </row>
    <row r="167" spans="1:22">
      <c r="A167" s="92"/>
      <c r="B167" s="146"/>
      <c r="C167" s="136"/>
      <c r="D167" s="109">
        <f>0.3-0.08</f>
        <v>0.21999999999999997</v>
      </c>
      <c r="E167" s="138"/>
      <c r="F167" s="139"/>
      <c r="G167" s="98"/>
      <c r="H167" s="99"/>
      <c r="I167" s="99"/>
      <c r="J167" s="100"/>
      <c r="K167" s="99"/>
      <c r="L167" s="99"/>
      <c r="M167" s="99"/>
      <c r="N167" s="99"/>
      <c r="O167" s="112"/>
      <c r="P167" s="140" t="str">
        <f t="shared" si="0"/>
        <v/>
      </c>
      <c r="Q167" s="140" t="str">
        <f t="shared" si="1"/>
        <v/>
      </c>
      <c r="R167" s="140" t="str">
        <f t="shared" si="2"/>
        <v/>
      </c>
      <c r="S167" s="140" t="str">
        <f t="shared" si="3"/>
        <v/>
      </c>
      <c r="T167" s="140" t="str">
        <f t="shared" si="4"/>
        <v/>
      </c>
      <c r="U167" s="140" t="str">
        <f t="shared" si="5"/>
        <v/>
      </c>
      <c r="V167" s="99"/>
    </row>
    <row r="168" spans="1:22">
      <c r="A168" s="92"/>
      <c r="B168" s="146"/>
      <c r="C168" s="136"/>
      <c r="D168" s="137"/>
      <c r="E168" s="138"/>
      <c r="F168" s="139"/>
      <c r="G168" s="98"/>
      <c r="H168" s="99"/>
      <c r="I168" s="99"/>
      <c r="J168" s="100"/>
      <c r="K168" s="99"/>
      <c r="L168" s="99"/>
      <c r="M168" s="99"/>
      <c r="N168" s="99"/>
      <c r="O168" s="112"/>
      <c r="P168" s="140" t="str">
        <f t="shared" si="0"/>
        <v/>
      </c>
      <c r="Q168" s="140" t="str">
        <f t="shared" si="1"/>
        <v/>
      </c>
      <c r="R168" s="140" t="str">
        <f t="shared" si="2"/>
        <v/>
      </c>
      <c r="S168" s="140" t="str">
        <f t="shared" si="3"/>
        <v/>
      </c>
      <c r="T168" s="140" t="str">
        <f t="shared" si="4"/>
        <v/>
      </c>
      <c r="U168" s="140" t="str">
        <f t="shared" si="5"/>
        <v/>
      </c>
      <c r="V168" s="99"/>
    </row>
    <row r="169" spans="1:22">
      <c r="A169" s="92"/>
      <c r="B169" s="146" t="s">
        <v>385</v>
      </c>
      <c r="C169" s="136"/>
      <c r="D169" s="142"/>
      <c r="E169" s="138"/>
      <c r="F169" s="139"/>
      <c r="G169" s="98">
        <v>10</v>
      </c>
      <c r="H169" s="99">
        <v>7</v>
      </c>
      <c r="I169" s="99">
        <v>1</v>
      </c>
      <c r="J169" s="149">
        <f>C170+D172+E170+2*8*G169/1000</f>
        <v>0.73</v>
      </c>
      <c r="K169" s="99"/>
      <c r="L169" s="99">
        <v>4</v>
      </c>
      <c r="M169" s="112">
        <f>2*G169*L169/1000</f>
        <v>0.08</v>
      </c>
      <c r="N169" s="112">
        <f>(J169+K169-M169)</f>
        <v>0.65</v>
      </c>
      <c r="O169" s="112">
        <f>(H169*I169*N169)</f>
        <v>4.55</v>
      </c>
      <c r="P169" s="140" t="str">
        <f t="shared" si="0"/>
        <v/>
      </c>
      <c r="Q169" s="140">
        <f t="shared" si="1"/>
        <v>4.55</v>
      </c>
      <c r="R169" s="140" t="str">
        <f t="shared" si="2"/>
        <v/>
      </c>
      <c r="S169" s="140" t="str">
        <f t="shared" si="3"/>
        <v/>
      </c>
      <c r="T169" s="140" t="str">
        <f t="shared" si="4"/>
        <v/>
      </c>
      <c r="U169" s="140" t="str">
        <f t="shared" si="5"/>
        <v/>
      </c>
      <c r="V169" s="99"/>
    </row>
    <row r="170" spans="1:22">
      <c r="A170" s="92"/>
      <c r="B170" s="146"/>
      <c r="C170" s="151">
        <v>0.17499999999999999</v>
      </c>
      <c r="D170" s="137"/>
      <c r="E170" s="138">
        <v>0.17499999999999999</v>
      </c>
      <c r="F170" s="139"/>
      <c r="G170" s="98"/>
      <c r="H170" s="99"/>
      <c r="I170" s="99"/>
      <c r="J170" s="100"/>
      <c r="K170" s="99"/>
      <c r="L170" s="99"/>
      <c r="M170" s="99"/>
      <c r="N170" s="99"/>
      <c r="O170" s="112"/>
      <c r="P170" s="140" t="str">
        <f t="shared" si="0"/>
        <v/>
      </c>
      <c r="Q170" s="140" t="str">
        <f t="shared" si="1"/>
        <v/>
      </c>
      <c r="R170" s="140" t="str">
        <f t="shared" si="2"/>
        <v/>
      </c>
      <c r="S170" s="140" t="str">
        <f t="shared" si="3"/>
        <v/>
      </c>
      <c r="T170" s="140" t="str">
        <f t="shared" si="4"/>
        <v/>
      </c>
      <c r="U170" s="140" t="str">
        <f t="shared" si="5"/>
        <v/>
      </c>
      <c r="V170" s="99"/>
    </row>
    <row r="171" spans="1:22">
      <c r="A171" s="92"/>
      <c r="B171" s="146"/>
      <c r="C171" s="136"/>
      <c r="D171" s="137"/>
      <c r="E171" s="138"/>
      <c r="F171" s="139"/>
      <c r="G171" s="98"/>
      <c r="H171" s="99"/>
      <c r="I171" s="99"/>
      <c r="J171" s="100"/>
      <c r="K171" s="99"/>
      <c r="L171" s="99"/>
      <c r="M171" s="99"/>
      <c r="N171" s="99"/>
      <c r="O171" s="101"/>
      <c r="P171" s="140" t="str">
        <f t="shared" si="0"/>
        <v/>
      </c>
      <c r="Q171" s="140" t="str">
        <f t="shared" si="1"/>
        <v/>
      </c>
      <c r="R171" s="140" t="str">
        <f t="shared" si="2"/>
        <v/>
      </c>
      <c r="S171" s="140" t="str">
        <f t="shared" si="3"/>
        <v/>
      </c>
      <c r="T171" s="140" t="str">
        <f t="shared" si="4"/>
        <v/>
      </c>
      <c r="U171" s="140" t="str">
        <f t="shared" si="5"/>
        <v/>
      </c>
      <c r="V171" s="99"/>
    </row>
    <row r="172" spans="1:22">
      <c r="A172" s="92"/>
      <c r="B172" s="146"/>
      <c r="C172" s="136"/>
      <c r="D172" s="109">
        <f>0.3-0.08</f>
        <v>0.21999999999999997</v>
      </c>
      <c r="E172" s="138"/>
      <c r="F172" s="139"/>
      <c r="G172" s="98"/>
      <c r="H172" s="99"/>
      <c r="I172" s="99"/>
      <c r="J172" s="100"/>
      <c r="K172" s="99"/>
      <c r="L172" s="99"/>
      <c r="M172" s="99"/>
      <c r="N172" s="99"/>
      <c r="O172" s="101"/>
      <c r="P172" s="140" t="str">
        <f t="shared" si="0"/>
        <v/>
      </c>
      <c r="Q172" s="140" t="str">
        <f t="shared" si="1"/>
        <v/>
      </c>
      <c r="R172" s="140" t="str">
        <f t="shared" si="2"/>
        <v/>
      </c>
      <c r="S172" s="140" t="str">
        <f t="shared" si="3"/>
        <v/>
      </c>
      <c r="T172" s="140" t="str">
        <f t="shared" si="4"/>
        <v/>
      </c>
      <c r="U172" s="140" t="str">
        <f t="shared" si="5"/>
        <v/>
      </c>
      <c r="V172" s="99"/>
    </row>
    <row r="173" spans="1:22">
      <c r="A173" s="92"/>
      <c r="B173" s="141"/>
      <c r="C173" s="136"/>
      <c r="D173" s="137"/>
      <c r="E173" s="138"/>
      <c r="F173" s="139"/>
      <c r="G173" s="98"/>
      <c r="H173" s="99"/>
      <c r="I173" s="99"/>
      <c r="J173" s="100"/>
      <c r="K173" s="99"/>
      <c r="L173" s="99"/>
      <c r="M173" s="99"/>
      <c r="N173" s="99"/>
      <c r="O173" s="101"/>
      <c r="P173" s="140" t="str">
        <f t="shared" si="0"/>
        <v/>
      </c>
      <c r="Q173" s="140" t="str">
        <f t="shared" si="1"/>
        <v/>
      </c>
      <c r="R173" s="140" t="str">
        <f t="shared" si="2"/>
        <v/>
      </c>
      <c r="S173" s="140" t="str">
        <f t="shared" si="3"/>
        <v/>
      </c>
      <c r="T173" s="140" t="str">
        <f t="shared" si="4"/>
        <v/>
      </c>
      <c r="U173" s="140" t="str">
        <f t="shared" si="5"/>
        <v/>
      </c>
      <c r="V173" s="99"/>
    </row>
    <row r="174" spans="1:22">
      <c r="A174" s="92"/>
      <c r="B174" s="141"/>
      <c r="C174" s="136"/>
      <c r="D174" s="137"/>
      <c r="E174" s="144">
        <v>0.08</v>
      </c>
      <c r="F174" s="139"/>
      <c r="G174" s="98"/>
      <c r="H174" s="99"/>
      <c r="I174" s="99"/>
      <c r="J174" s="100"/>
      <c r="K174" s="99"/>
      <c r="L174" s="99"/>
      <c r="M174" s="99"/>
      <c r="N174" s="99"/>
      <c r="O174" s="101"/>
      <c r="P174" s="140" t="str">
        <f t="shared" si="0"/>
        <v/>
      </c>
      <c r="Q174" s="140" t="str">
        <f t="shared" si="1"/>
        <v/>
      </c>
      <c r="R174" s="140" t="str">
        <f t="shared" si="2"/>
        <v/>
      </c>
      <c r="S174" s="140" t="str">
        <f t="shared" si="3"/>
        <v/>
      </c>
      <c r="T174" s="140" t="str">
        <f t="shared" si="4"/>
        <v/>
      </c>
      <c r="U174" s="140" t="str">
        <f t="shared" si="5"/>
        <v/>
      </c>
      <c r="V174" s="99"/>
    </row>
    <row r="175" spans="1:22">
      <c r="A175" s="92"/>
      <c r="B175" s="146" t="s">
        <v>390</v>
      </c>
      <c r="C175" s="136"/>
      <c r="D175" s="142">
        <f>0.3-0.08</f>
        <v>0.21999999999999997</v>
      </c>
      <c r="E175" s="144"/>
      <c r="F175" s="139"/>
      <c r="G175" s="98">
        <v>10</v>
      </c>
      <c r="H175" s="99">
        <v>7</v>
      </c>
      <c r="I175" s="99">
        <v>1</v>
      </c>
      <c r="J175" s="149">
        <f>D175+E174+E176</f>
        <v>0.38</v>
      </c>
      <c r="K175" s="99"/>
      <c r="L175" s="99">
        <v>2</v>
      </c>
      <c r="M175" s="112">
        <f>2*G175*L175/1000</f>
        <v>0.04</v>
      </c>
      <c r="N175" s="112">
        <f>(J175+K175-M175)</f>
        <v>0.34</v>
      </c>
      <c r="O175" s="112">
        <f>(H175*I175*N175)</f>
        <v>2.3800000000000003</v>
      </c>
      <c r="P175" s="140" t="str">
        <f t="shared" si="0"/>
        <v/>
      </c>
      <c r="Q175" s="140">
        <f t="shared" si="1"/>
        <v>2.3800000000000003</v>
      </c>
      <c r="R175" s="140" t="str">
        <f t="shared" si="2"/>
        <v/>
      </c>
      <c r="S175" s="140" t="str">
        <f t="shared" si="3"/>
        <v/>
      </c>
      <c r="T175" s="140" t="str">
        <f t="shared" si="4"/>
        <v/>
      </c>
      <c r="U175" s="140" t="str">
        <f t="shared" si="5"/>
        <v/>
      </c>
      <c r="V175" s="99"/>
    </row>
    <row r="176" spans="1:22">
      <c r="A176" s="92"/>
      <c r="B176" s="141"/>
      <c r="C176" s="136"/>
      <c r="D176" s="137"/>
      <c r="E176" s="144">
        <v>0.08</v>
      </c>
      <c r="F176" s="139"/>
      <c r="G176" s="98"/>
      <c r="H176" s="99"/>
      <c r="I176" s="99"/>
      <c r="J176" s="100"/>
      <c r="K176" s="99"/>
      <c r="L176" s="99"/>
      <c r="M176" s="99"/>
      <c r="N176" s="99"/>
      <c r="O176" s="101"/>
      <c r="P176" s="140" t="str">
        <f t="shared" si="0"/>
        <v/>
      </c>
      <c r="Q176" s="140" t="str">
        <f t="shared" si="1"/>
        <v/>
      </c>
      <c r="R176" s="140" t="str">
        <f t="shared" si="2"/>
        <v/>
      </c>
      <c r="S176" s="140" t="str">
        <f t="shared" si="3"/>
        <v/>
      </c>
      <c r="T176" s="140" t="str">
        <f t="shared" si="4"/>
        <v/>
      </c>
      <c r="U176" s="140" t="str">
        <f t="shared" si="5"/>
        <v/>
      </c>
      <c r="V176" s="99"/>
    </row>
    <row r="177" spans="1:22">
      <c r="A177" s="92"/>
      <c r="B177" s="146"/>
      <c r="C177" s="136"/>
      <c r="D177" s="152"/>
      <c r="E177" s="138"/>
      <c r="F177" s="139"/>
      <c r="G177" s="98"/>
      <c r="H177" s="99"/>
      <c r="I177" s="99"/>
      <c r="J177" s="100"/>
      <c r="K177" s="99"/>
      <c r="L177" s="99"/>
      <c r="M177" s="99"/>
      <c r="N177" s="99"/>
      <c r="O177" s="101"/>
      <c r="P177" s="140" t="str">
        <f t="shared" si="0"/>
        <v/>
      </c>
      <c r="Q177" s="140" t="str">
        <f t="shared" si="1"/>
        <v/>
      </c>
      <c r="R177" s="140" t="str">
        <f t="shared" si="2"/>
        <v/>
      </c>
      <c r="S177" s="140" t="str">
        <f t="shared" si="3"/>
        <v/>
      </c>
      <c r="T177" s="140" t="str">
        <f t="shared" si="4"/>
        <v/>
      </c>
      <c r="U177" s="140" t="str">
        <f t="shared" si="5"/>
        <v/>
      </c>
      <c r="V177" s="99"/>
    </row>
    <row r="178" spans="1:22">
      <c r="A178" s="92">
        <v>7</v>
      </c>
      <c r="B178" s="92" t="s">
        <v>393</v>
      </c>
      <c r="C178" s="136"/>
      <c r="D178" s="137"/>
      <c r="E178" s="138"/>
      <c r="F178" s="139"/>
      <c r="G178" s="98"/>
      <c r="H178" s="99"/>
      <c r="I178" s="99"/>
      <c r="J178" s="109"/>
      <c r="K178" s="112"/>
      <c r="L178" s="112"/>
      <c r="M178" s="99"/>
      <c r="N178" s="112"/>
      <c r="O178" s="112"/>
      <c r="P178" s="140" t="str">
        <f>IF($G178=8,$O178,"")</f>
        <v/>
      </c>
      <c r="Q178" s="140" t="str">
        <f>IF($G178=10,$O178,"")</f>
        <v/>
      </c>
      <c r="R178" s="140" t="str">
        <f>IF($G178=12,$O178,"")</f>
        <v/>
      </c>
      <c r="S178" s="140" t="str">
        <f>IF($G178=16,$O178,"")</f>
        <v/>
      </c>
      <c r="T178" s="140" t="str">
        <f>IF($G178=20,$O178,"")</f>
        <v/>
      </c>
      <c r="U178" s="140" t="str">
        <f>IF($G178=25,$O178,"")</f>
        <v/>
      </c>
      <c r="V178" s="99"/>
    </row>
    <row r="179" spans="1:22">
      <c r="A179" s="92"/>
      <c r="B179" s="141" t="s">
        <v>378</v>
      </c>
      <c r="C179" s="136"/>
      <c r="D179" s="142">
        <f>0.85-0.075-2*0.016</f>
        <v>0.74299999999999999</v>
      </c>
      <c r="E179" s="138"/>
      <c r="F179" s="139"/>
      <c r="G179" s="98">
        <v>16</v>
      </c>
      <c r="H179" s="99">
        <v>2</v>
      </c>
      <c r="I179" s="99">
        <v>4</v>
      </c>
      <c r="J179" s="109">
        <f>D179</f>
        <v>0.74299999999999999</v>
      </c>
      <c r="K179" s="110" t="str">
        <f>IF(N179&lt;12,"0",0.049*G179)</f>
        <v>0</v>
      </c>
      <c r="L179" s="111">
        <v>1</v>
      </c>
      <c r="M179" s="99">
        <f>2*G179*L179/1000</f>
        <v>3.2000000000000001E-2</v>
      </c>
      <c r="N179" s="112">
        <f>J179+E$181-M179</f>
        <v>1.0109999999999999</v>
      </c>
      <c r="O179" s="112">
        <f>H179*I179*N179</f>
        <v>8.0879999999999992</v>
      </c>
      <c r="P179" s="140" t="str">
        <f t="shared" si="0"/>
        <v/>
      </c>
      <c r="Q179" s="140" t="str">
        <f t="shared" si="1"/>
        <v/>
      </c>
      <c r="R179" s="140" t="str">
        <f t="shared" si="2"/>
        <v/>
      </c>
      <c r="S179" s="140">
        <f t="shared" si="3"/>
        <v>8.0879999999999992</v>
      </c>
      <c r="T179" s="140" t="str">
        <f t="shared" si="4"/>
        <v/>
      </c>
      <c r="U179" s="140" t="str">
        <f t="shared" si="5"/>
        <v/>
      </c>
      <c r="V179" s="99"/>
    </row>
    <row r="180" spans="1:22">
      <c r="A180" s="92"/>
      <c r="B180" s="141" t="s">
        <v>379</v>
      </c>
      <c r="C180" s="136"/>
      <c r="D180" s="137"/>
      <c r="E180" s="138"/>
      <c r="F180" s="139"/>
      <c r="G180" s="98">
        <v>12</v>
      </c>
      <c r="H180" s="99">
        <v>2</v>
      </c>
      <c r="I180" s="99">
        <v>2</v>
      </c>
      <c r="J180" s="109">
        <f>D179</f>
        <v>0.74299999999999999</v>
      </c>
      <c r="K180" s="110" t="str">
        <f t="shared" ref="K180:K183" si="22">IF(N180&lt;12,"0",0.049*G180)</f>
        <v>0</v>
      </c>
      <c r="L180" s="111">
        <v>1</v>
      </c>
      <c r="M180" s="99">
        <f t="shared" ref="M180:M183" si="23">2*G180*L180/1000</f>
        <v>2.4E-2</v>
      </c>
      <c r="N180" s="112">
        <f t="shared" ref="N180:N183" si="24">J180+E$181-M180</f>
        <v>1.0189999999999999</v>
      </c>
      <c r="O180" s="112">
        <f>H180*I180*N180</f>
        <v>4.0759999999999996</v>
      </c>
      <c r="P180" s="140" t="str">
        <f t="shared" si="0"/>
        <v/>
      </c>
      <c r="Q180" s="140" t="str">
        <f t="shared" si="1"/>
        <v/>
      </c>
      <c r="R180" s="140">
        <f t="shared" si="2"/>
        <v>4.0759999999999996</v>
      </c>
      <c r="S180" s="140" t="str">
        <f t="shared" si="3"/>
        <v/>
      </c>
      <c r="T180" s="140" t="str">
        <f t="shared" si="4"/>
        <v/>
      </c>
      <c r="U180" s="140" t="str">
        <f t="shared" si="5"/>
        <v/>
      </c>
      <c r="V180" s="99"/>
    </row>
    <row r="181" spans="1:22">
      <c r="A181" s="92"/>
      <c r="B181" s="141" t="s">
        <v>380</v>
      </c>
      <c r="C181" s="143"/>
      <c r="D181" s="142"/>
      <c r="E181" s="144">
        <v>0.3</v>
      </c>
      <c r="F181" s="139"/>
      <c r="G181" s="98">
        <v>12</v>
      </c>
      <c r="H181" s="99">
        <v>2</v>
      </c>
      <c r="I181" s="99">
        <v>4</v>
      </c>
      <c r="J181" s="109">
        <f>D179</f>
        <v>0.74299999999999999</v>
      </c>
      <c r="K181" s="110" t="str">
        <f t="shared" si="22"/>
        <v>0</v>
      </c>
      <c r="L181" s="111">
        <v>1</v>
      </c>
      <c r="M181" s="99">
        <f t="shared" si="23"/>
        <v>2.4E-2</v>
      </c>
      <c r="N181" s="112">
        <f t="shared" si="24"/>
        <v>1.0189999999999999</v>
      </c>
      <c r="O181" s="112">
        <f>H181*I181*N181</f>
        <v>8.1519999999999992</v>
      </c>
      <c r="P181" s="140" t="str">
        <f t="shared" si="0"/>
        <v/>
      </c>
      <c r="Q181" s="140" t="str">
        <f t="shared" si="1"/>
        <v/>
      </c>
      <c r="R181" s="140">
        <f t="shared" si="2"/>
        <v>8.1519999999999992</v>
      </c>
      <c r="S181" s="140" t="str">
        <f t="shared" si="3"/>
        <v/>
      </c>
      <c r="T181" s="140" t="str">
        <f t="shared" si="4"/>
        <v/>
      </c>
      <c r="U181" s="140" t="str">
        <f t="shared" si="5"/>
        <v/>
      </c>
      <c r="V181" s="99"/>
    </row>
    <row r="182" spans="1:22">
      <c r="A182" s="92"/>
      <c r="B182" s="141" t="s">
        <v>381</v>
      </c>
      <c r="C182" s="136"/>
      <c r="D182" s="137"/>
      <c r="E182" s="138"/>
      <c r="F182" s="139"/>
      <c r="G182" s="98">
        <v>12</v>
      </c>
      <c r="H182" s="99">
        <v>2</v>
      </c>
      <c r="I182" s="99">
        <v>4</v>
      </c>
      <c r="J182" s="109">
        <f>D179</f>
        <v>0.74299999999999999</v>
      </c>
      <c r="K182" s="110" t="str">
        <f t="shared" si="22"/>
        <v>0</v>
      </c>
      <c r="L182" s="111">
        <v>1</v>
      </c>
      <c r="M182" s="99">
        <f t="shared" si="23"/>
        <v>2.4E-2</v>
      </c>
      <c r="N182" s="112">
        <f t="shared" si="24"/>
        <v>1.0189999999999999</v>
      </c>
      <c r="O182" s="112">
        <f>H182*I182*N182</f>
        <v>8.1519999999999992</v>
      </c>
      <c r="P182" s="140" t="str">
        <f t="shared" si="0"/>
        <v/>
      </c>
      <c r="Q182" s="140" t="str">
        <f t="shared" si="1"/>
        <v/>
      </c>
      <c r="R182" s="140">
        <f t="shared" si="2"/>
        <v>8.1519999999999992</v>
      </c>
      <c r="S182" s="140" t="str">
        <f t="shared" si="3"/>
        <v/>
      </c>
      <c r="T182" s="140" t="str">
        <f t="shared" si="4"/>
        <v/>
      </c>
      <c r="U182" s="140" t="str">
        <f t="shared" si="5"/>
        <v/>
      </c>
      <c r="V182" s="99"/>
    </row>
    <row r="183" spans="1:22">
      <c r="A183" s="92"/>
      <c r="B183" s="141" t="s">
        <v>389</v>
      </c>
      <c r="C183" s="136"/>
      <c r="D183" s="137"/>
      <c r="E183" s="138"/>
      <c r="F183" s="139"/>
      <c r="G183" s="98">
        <v>12</v>
      </c>
      <c r="H183" s="99">
        <v>2</v>
      </c>
      <c r="I183" s="99">
        <v>4</v>
      </c>
      <c r="J183" s="109">
        <f>D179</f>
        <v>0.74299999999999999</v>
      </c>
      <c r="K183" s="110" t="str">
        <f t="shared" si="22"/>
        <v>0</v>
      </c>
      <c r="L183" s="111">
        <v>1</v>
      </c>
      <c r="M183" s="99">
        <f t="shared" si="23"/>
        <v>2.4E-2</v>
      </c>
      <c r="N183" s="112">
        <f t="shared" si="24"/>
        <v>1.0189999999999999</v>
      </c>
      <c r="O183" s="112">
        <f>H183*I183*N183</f>
        <v>8.1519999999999992</v>
      </c>
      <c r="P183" s="140" t="str">
        <f t="shared" si="0"/>
        <v/>
      </c>
      <c r="Q183" s="140" t="str">
        <f t="shared" si="1"/>
        <v/>
      </c>
      <c r="R183" s="140">
        <f t="shared" si="2"/>
        <v>8.1519999999999992</v>
      </c>
      <c r="S183" s="140" t="str">
        <f t="shared" si="3"/>
        <v/>
      </c>
      <c r="T183" s="140" t="str">
        <f t="shared" si="4"/>
        <v/>
      </c>
      <c r="U183" s="140" t="str">
        <f t="shared" si="5"/>
        <v/>
      </c>
      <c r="V183" s="99"/>
    </row>
    <row r="184" spans="1:22">
      <c r="A184" s="92"/>
      <c r="B184" s="141"/>
      <c r="C184" s="136"/>
      <c r="D184" s="137"/>
      <c r="E184" s="138"/>
      <c r="F184" s="139"/>
      <c r="G184" s="98"/>
      <c r="H184" s="99"/>
      <c r="I184" s="99"/>
      <c r="J184" s="100"/>
      <c r="K184" s="99"/>
      <c r="L184" s="99"/>
      <c r="M184" s="99"/>
      <c r="N184" s="99"/>
      <c r="O184" s="101"/>
      <c r="P184" s="140" t="str">
        <f t="shared" si="0"/>
        <v/>
      </c>
      <c r="Q184" s="140" t="str">
        <f t="shared" si="1"/>
        <v/>
      </c>
      <c r="R184" s="140" t="str">
        <f t="shared" si="2"/>
        <v/>
      </c>
      <c r="S184" s="140" t="str">
        <f t="shared" si="3"/>
        <v/>
      </c>
      <c r="T184" s="140" t="str">
        <f t="shared" si="4"/>
        <v/>
      </c>
      <c r="U184" s="140" t="str">
        <f t="shared" si="5"/>
        <v/>
      </c>
      <c r="V184" s="99"/>
    </row>
    <row r="185" spans="1:22">
      <c r="A185" s="92"/>
      <c r="B185" s="92"/>
      <c r="C185" s="145">
        <v>0.08</v>
      </c>
      <c r="D185" s="137"/>
      <c r="E185" s="138"/>
      <c r="F185" s="139"/>
      <c r="G185" s="98"/>
      <c r="H185" s="99"/>
      <c r="I185" s="99"/>
      <c r="J185" s="100"/>
      <c r="K185" s="99"/>
      <c r="L185" s="99"/>
      <c r="M185" s="99"/>
      <c r="N185" s="99"/>
      <c r="O185" s="101"/>
      <c r="P185" s="140" t="str">
        <f t="shared" si="0"/>
        <v/>
      </c>
      <c r="Q185" s="140" t="str">
        <f t="shared" si="1"/>
        <v/>
      </c>
      <c r="R185" s="140" t="str">
        <f t="shared" si="2"/>
        <v/>
      </c>
      <c r="S185" s="140" t="str">
        <f t="shared" si="3"/>
        <v/>
      </c>
      <c r="T185" s="140" t="str">
        <f t="shared" si="4"/>
        <v/>
      </c>
      <c r="U185" s="140" t="str">
        <f t="shared" si="5"/>
        <v/>
      </c>
      <c r="V185" s="99"/>
    </row>
    <row r="186" spans="1:22">
      <c r="A186" s="92"/>
      <c r="B186" s="146" t="s">
        <v>382</v>
      </c>
      <c r="C186" s="147"/>
      <c r="D186" s="137"/>
      <c r="E186" s="148">
        <f>0.8-0.08</f>
        <v>0.72000000000000008</v>
      </c>
      <c r="F186" s="139"/>
      <c r="G186" s="98">
        <v>10</v>
      </c>
      <c r="H186" s="99">
        <v>2</v>
      </c>
      <c r="I186" s="99">
        <v>4</v>
      </c>
      <c r="J186" s="149">
        <f>2*(D188+E186)+2*8*G186/1000</f>
        <v>2.04</v>
      </c>
      <c r="K186" s="99"/>
      <c r="L186" s="99">
        <v>5</v>
      </c>
      <c r="M186" s="112">
        <f>2*G186*L186/1000</f>
        <v>0.1</v>
      </c>
      <c r="N186" s="112">
        <f>(J186+K186-M186)</f>
        <v>1.94</v>
      </c>
      <c r="O186" s="112">
        <f>(H186*I186*N186)</f>
        <v>15.52</v>
      </c>
      <c r="P186" s="140" t="str">
        <f t="shared" si="0"/>
        <v/>
      </c>
      <c r="Q186" s="140">
        <f t="shared" si="1"/>
        <v>15.52</v>
      </c>
      <c r="R186" s="140" t="str">
        <f t="shared" si="2"/>
        <v/>
      </c>
      <c r="S186" s="140" t="str">
        <f t="shared" si="3"/>
        <v/>
      </c>
      <c r="T186" s="140" t="str">
        <f t="shared" si="4"/>
        <v/>
      </c>
      <c r="U186" s="140" t="str">
        <f t="shared" si="5"/>
        <v/>
      </c>
      <c r="V186" s="99"/>
    </row>
    <row r="187" spans="1:22">
      <c r="A187" s="92"/>
      <c r="B187" s="146"/>
      <c r="C187" s="136"/>
      <c r="D187" s="137"/>
      <c r="E187" s="150"/>
      <c r="F187" s="139"/>
      <c r="G187" s="98"/>
      <c r="H187" s="99"/>
      <c r="I187" s="99"/>
      <c r="J187" s="100"/>
      <c r="K187" s="99"/>
      <c r="L187" s="99"/>
      <c r="M187" s="99"/>
      <c r="N187" s="99"/>
      <c r="O187" s="112"/>
      <c r="P187" s="140" t="str">
        <f t="shared" si="0"/>
        <v/>
      </c>
      <c r="Q187" s="140" t="str">
        <f t="shared" si="1"/>
        <v/>
      </c>
      <c r="R187" s="140" t="str">
        <f t="shared" si="2"/>
        <v/>
      </c>
      <c r="S187" s="140" t="str">
        <f t="shared" si="3"/>
        <v/>
      </c>
      <c r="T187" s="140" t="str">
        <f t="shared" si="4"/>
        <v/>
      </c>
      <c r="U187" s="140" t="str">
        <f t="shared" si="5"/>
        <v/>
      </c>
      <c r="V187" s="99"/>
    </row>
    <row r="188" spans="1:22">
      <c r="A188" s="92"/>
      <c r="B188" s="146"/>
      <c r="C188" s="136"/>
      <c r="D188" s="109">
        <f>0.3-0.08</f>
        <v>0.21999999999999997</v>
      </c>
      <c r="E188" s="138"/>
      <c r="F188" s="139"/>
      <c r="G188" s="98"/>
      <c r="H188" s="99"/>
      <c r="I188" s="99"/>
      <c r="J188" s="100"/>
      <c r="K188" s="99"/>
      <c r="L188" s="99"/>
      <c r="M188" s="99"/>
      <c r="N188" s="99"/>
      <c r="O188" s="112"/>
      <c r="P188" s="140" t="str">
        <f t="shared" si="0"/>
        <v/>
      </c>
      <c r="Q188" s="140" t="str">
        <f t="shared" si="1"/>
        <v/>
      </c>
      <c r="R188" s="140" t="str">
        <f t="shared" si="2"/>
        <v/>
      </c>
      <c r="S188" s="140" t="str">
        <f t="shared" si="3"/>
        <v/>
      </c>
      <c r="T188" s="140" t="str">
        <f t="shared" si="4"/>
        <v/>
      </c>
      <c r="U188" s="140" t="str">
        <f t="shared" si="5"/>
        <v/>
      </c>
      <c r="V188" s="99"/>
    </row>
    <row r="189" spans="1:22">
      <c r="A189" s="92"/>
      <c r="B189" s="141"/>
      <c r="C189" s="136"/>
      <c r="D189" s="137"/>
      <c r="E189" s="138"/>
      <c r="F189" s="139"/>
      <c r="G189" s="98"/>
      <c r="H189" s="99"/>
      <c r="I189" s="99"/>
      <c r="J189" s="100"/>
      <c r="K189" s="99"/>
      <c r="L189" s="99"/>
      <c r="M189" s="99"/>
      <c r="N189" s="99"/>
      <c r="O189" s="112"/>
      <c r="P189" s="140" t="str">
        <f t="shared" si="0"/>
        <v/>
      </c>
      <c r="Q189" s="140" t="str">
        <f t="shared" si="1"/>
        <v/>
      </c>
      <c r="R189" s="140" t="str">
        <f t="shared" si="2"/>
        <v/>
      </c>
      <c r="S189" s="140" t="str">
        <f t="shared" si="3"/>
        <v/>
      </c>
      <c r="T189" s="140" t="str">
        <f t="shared" si="4"/>
        <v/>
      </c>
      <c r="U189" s="140" t="str">
        <f t="shared" si="5"/>
        <v/>
      </c>
      <c r="V189" s="99"/>
    </row>
    <row r="190" spans="1:22">
      <c r="A190" s="92"/>
      <c r="B190" s="92"/>
      <c r="C190" s="145">
        <v>0.08</v>
      </c>
      <c r="D190" s="137"/>
      <c r="E190" s="138"/>
      <c r="F190" s="139"/>
      <c r="G190" s="98"/>
      <c r="H190" s="99"/>
      <c r="I190" s="99"/>
      <c r="J190" s="100"/>
      <c r="K190" s="99"/>
      <c r="L190" s="99"/>
      <c r="M190" s="99"/>
      <c r="N190" s="99"/>
      <c r="O190" s="112"/>
      <c r="P190" s="140" t="str">
        <f t="shared" si="0"/>
        <v/>
      </c>
      <c r="Q190" s="140" t="str">
        <f t="shared" si="1"/>
        <v/>
      </c>
      <c r="R190" s="140" t="str">
        <f t="shared" si="2"/>
        <v/>
      </c>
      <c r="S190" s="140" t="str">
        <f t="shared" si="3"/>
        <v/>
      </c>
      <c r="T190" s="140" t="str">
        <f t="shared" si="4"/>
        <v/>
      </c>
      <c r="U190" s="140" t="str">
        <f t="shared" si="5"/>
        <v/>
      </c>
      <c r="V190" s="99"/>
    </row>
    <row r="191" spans="1:22">
      <c r="A191" s="92"/>
      <c r="B191" s="146" t="s">
        <v>383</v>
      </c>
      <c r="C191" s="147"/>
      <c r="D191" s="137"/>
      <c r="E191" s="148">
        <f>((0.8-0.08-0.016)/7)+0.012+0.02</f>
        <v>0.13257142857142856</v>
      </c>
      <c r="F191" s="139"/>
      <c r="G191" s="98">
        <v>10</v>
      </c>
      <c r="H191" s="99">
        <v>2</v>
      </c>
      <c r="I191" s="99">
        <v>1</v>
      </c>
      <c r="J191" s="149">
        <f>2*(D193+E191)+2*8*G191/1000</f>
        <v>0.8651428571428571</v>
      </c>
      <c r="K191" s="99"/>
      <c r="L191" s="99">
        <v>5</v>
      </c>
      <c r="M191" s="112">
        <f>2*G191*L191/1000</f>
        <v>0.1</v>
      </c>
      <c r="N191" s="112">
        <f>(J191+K191-M191)</f>
        <v>0.76514285714285712</v>
      </c>
      <c r="O191" s="112">
        <f>(H191*I191*N191)</f>
        <v>1.5302857142857142</v>
      </c>
      <c r="P191" s="140" t="str">
        <f t="shared" si="0"/>
        <v/>
      </c>
      <c r="Q191" s="140">
        <f t="shared" si="1"/>
        <v>1.5302857142857142</v>
      </c>
      <c r="R191" s="140" t="str">
        <f t="shared" si="2"/>
        <v/>
      </c>
      <c r="S191" s="140" t="str">
        <f t="shared" si="3"/>
        <v/>
      </c>
      <c r="T191" s="140" t="str">
        <f t="shared" si="4"/>
        <v/>
      </c>
      <c r="U191" s="140" t="str">
        <f t="shared" si="5"/>
        <v/>
      </c>
      <c r="V191" s="99"/>
    </row>
    <row r="192" spans="1:22">
      <c r="A192" s="92"/>
      <c r="B192" s="146"/>
      <c r="C192" s="136"/>
      <c r="D192" s="137"/>
      <c r="E192" s="150"/>
      <c r="F192" s="139"/>
      <c r="G192" s="98"/>
      <c r="H192" s="99"/>
      <c r="I192" s="99"/>
      <c r="J192" s="100"/>
      <c r="K192" s="99"/>
      <c r="L192" s="99"/>
      <c r="M192" s="99"/>
      <c r="N192" s="99"/>
      <c r="O192" s="112"/>
      <c r="P192" s="140" t="str">
        <f t="shared" si="0"/>
        <v/>
      </c>
      <c r="Q192" s="140" t="str">
        <f t="shared" si="1"/>
        <v/>
      </c>
      <c r="R192" s="140" t="str">
        <f t="shared" si="2"/>
        <v/>
      </c>
      <c r="S192" s="140" t="str">
        <f t="shared" si="3"/>
        <v/>
      </c>
      <c r="T192" s="140" t="str">
        <f t="shared" si="4"/>
        <v/>
      </c>
      <c r="U192" s="140" t="str">
        <f t="shared" si="5"/>
        <v/>
      </c>
      <c r="V192" s="99"/>
    </row>
    <row r="193" spans="1:22">
      <c r="A193" s="92"/>
      <c r="B193" s="146"/>
      <c r="C193" s="136"/>
      <c r="D193" s="109">
        <f>0.3-0.08</f>
        <v>0.21999999999999997</v>
      </c>
      <c r="E193" s="138"/>
      <c r="F193" s="139"/>
      <c r="G193" s="98"/>
      <c r="H193" s="99"/>
      <c r="I193" s="99"/>
      <c r="J193" s="100"/>
      <c r="K193" s="99"/>
      <c r="L193" s="99"/>
      <c r="M193" s="99"/>
      <c r="N193" s="99"/>
      <c r="O193" s="112"/>
      <c r="P193" s="140" t="str">
        <f t="shared" si="0"/>
        <v/>
      </c>
      <c r="Q193" s="140" t="str">
        <f t="shared" si="1"/>
        <v/>
      </c>
      <c r="R193" s="140" t="str">
        <f t="shared" si="2"/>
        <v/>
      </c>
      <c r="S193" s="140" t="str">
        <f t="shared" si="3"/>
        <v/>
      </c>
      <c r="T193" s="140" t="str">
        <f t="shared" si="4"/>
        <v/>
      </c>
      <c r="U193" s="140" t="str">
        <f t="shared" si="5"/>
        <v/>
      </c>
      <c r="V193" s="99"/>
    </row>
    <row r="194" spans="1:22">
      <c r="A194" s="92"/>
      <c r="B194" s="141"/>
      <c r="C194" s="136"/>
      <c r="D194" s="137"/>
      <c r="E194" s="138"/>
      <c r="F194" s="139"/>
      <c r="G194" s="98"/>
      <c r="H194" s="99"/>
      <c r="I194" s="99"/>
      <c r="J194" s="100"/>
      <c r="K194" s="99"/>
      <c r="L194" s="99"/>
      <c r="M194" s="99"/>
      <c r="N194" s="99"/>
      <c r="O194" s="112"/>
      <c r="P194" s="140" t="str">
        <f t="shared" si="0"/>
        <v/>
      </c>
      <c r="Q194" s="140" t="str">
        <f t="shared" si="1"/>
        <v/>
      </c>
      <c r="R194" s="140" t="str">
        <f t="shared" si="2"/>
        <v/>
      </c>
      <c r="S194" s="140" t="str">
        <f t="shared" si="3"/>
        <v/>
      </c>
      <c r="T194" s="140" t="str">
        <f t="shared" si="4"/>
        <v/>
      </c>
      <c r="U194" s="140" t="str">
        <f t="shared" si="5"/>
        <v/>
      </c>
      <c r="V194" s="99"/>
    </row>
    <row r="195" spans="1:22">
      <c r="A195" s="92"/>
      <c r="B195" s="92"/>
      <c r="C195" s="145">
        <v>0.08</v>
      </c>
      <c r="D195" s="137"/>
      <c r="E195" s="138"/>
      <c r="F195" s="139"/>
      <c r="G195" s="98"/>
      <c r="H195" s="99"/>
      <c r="I195" s="99"/>
      <c r="J195" s="100"/>
      <c r="K195" s="99"/>
      <c r="L195" s="99"/>
      <c r="M195" s="99"/>
      <c r="N195" s="99"/>
      <c r="O195" s="112"/>
      <c r="P195" s="140" t="str">
        <f t="shared" si="0"/>
        <v/>
      </c>
      <c r="Q195" s="140" t="str">
        <f t="shared" si="1"/>
        <v/>
      </c>
      <c r="R195" s="140" t="str">
        <f t="shared" si="2"/>
        <v/>
      </c>
      <c r="S195" s="140" t="str">
        <f t="shared" si="3"/>
        <v/>
      </c>
      <c r="T195" s="140" t="str">
        <f t="shared" si="4"/>
        <v/>
      </c>
      <c r="U195" s="140" t="str">
        <f t="shared" si="5"/>
        <v/>
      </c>
      <c r="V195" s="99"/>
    </row>
    <row r="196" spans="1:22">
      <c r="A196" s="92"/>
      <c r="B196" s="146" t="s">
        <v>384</v>
      </c>
      <c r="C196" s="147"/>
      <c r="D196" s="137"/>
      <c r="E196" s="148">
        <f>((0.8-0.08-0.016)/7)+0.012+0.02</f>
        <v>0.13257142857142856</v>
      </c>
      <c r="F196" s="139"/>
      <c r="G196" s="98">
        <v>10</v>
      </c>
      <c r="H196" s="99">
        <v>2</v>
      </c>
      <c r="I196" s="99">
        <v>1</v>
      </c>
      <c r="J196" s="149">
        <f>2*(D198+E196)+2*8*G196/1000</f>
        <v>0.8651428571428571</v>
      </c>
      <c r="K196" s="99"/>
      <c r="L196" s="99">
        <v>5</v>
      </c>
      <c r="M196" s="112">
        <f>2*G196*L196/1000</f>
        <v>0.1</v>
      </c>
      <c r="N196" s="112">
        <f>(J196+K196-M196)</f>
        <v>0.76514285714285712</v>
      </c>
      <c r="O196" s="112">
        <f>(H196*I196*N196)</f>
        <v>1.5302857142857142</v>
      </c>
      <c r="P196" s="140" t="str">
        <f t="shared" si="0"/>
        <v/>
      </c>
      <c r="Q196" s="140">
        <f t="shared" si="1"/>
        <v>1.5302857142857142</v>
      </c>
      <c r="R196" s="140" t="str">
        <f t="shared" si="2"/>
        <v/>
      </c>
      <c r="S196" s="140" t="str">
        <f t="shared" si="3"/>
        <v/>
      </c>
      <c r="T196" s="140" t="str">
        <f t="shared" si="4"/>
        <v/>
      </c>
      <c r="U196" s="140" t="str">
        <f t="shared" si="5"/>
        <v/>
      </c>
      <c r="V196" s="99"/>
    </row>
    <row r="197" spans="1:22">
      <c r="A197" s="92"/>
      <c r="B197" s="146"/>
      <c r="C197" s="136"/>
      <c r="D197" s="137"/>
      <c r="E197" s="150"/>
      <c r="F197" s="139"/>
      <c r="G197" s="98"/>
      <c r="H197" s="99"/>
      <c r="I197" s="99"/>
      <c r="J197" s="100"/>
      <c r="K197" s="99"/>
      <c r="L197" s="99"/>
      <c r="M197" s="99"/>
      <c r="N197" s="99"/>
      <c r="O197" s="112"/>
      <c r="P197" s="140" t="str">
        <f t="shared" si="0"/>
        <v/>
      </c>
      <c r="Q197" s="140" t="str">
        <f t="shared" si="1"/>
        <v/>
      </c>
      <c r="R197" s="140" t="str">
        <f t="shared" si="2"/>
        <v/>
      </c>
      <c r="S197" s="140" t="str">
        <f t="shared" si="3"/>
        <v/>
      </c>
      <c r="T197" s="140" t="str">
        <f t="shared" si="4"/>
        <v/>
      </c>
      <c r="U197" s="140" t="str">
        <f t="shared" si="5"/>
        <v/>
      </c>
      <c r="V197" s="99"/>
    </row>
    <row r="198" spans="1:22">
      <c r="A198" s="92"/>
      <c r="B198" s="146"/>
      <c r="C198" s="136"/>
      <c r="D198" s="109">
        <f>0.3-0.08</f>
        <v>0.21999999999999997</v>
      </c>
      <c r="E198" s="138"/>
      <c r="F198" s="139"/>
      <c r="G198" s="98"/>
      <c r="H198" s="99"/>
      <c r="I198" s="99"/>
      <c r="J198" s="100"/>
      <c r="K198" s="99"/>
      <c r="L198" s="99"/>
      <c r="M198" s="99"/>
      <c r="N198" s="99"/>
      <c r="O198" s="112"/>
      <c r="P198" s="140" t="str">
        <f t="shared" si="0"/>
        <v/>
      </c>
      <c r="Q198" s="140" t="str">
        <f t="shared" si="1"/>
        <v/>
      </c>
      <c r="R198" s="140" t="str">
        <f t="shared" si="2"/>
        <v/>
      </c>
      <c r="S198" s="140" t="str">
        <f t="shared" si="3"/>
        <v/>
      </c>
      <c r="T198" s="140" t="str">
        <f t="shared" si="4"/>
        <v/>
      </c>
      <c r="U198" s="140" t="str">
        <f t="shared" si="5"/>
        <v/>
      </c>
      <c r="V198" s="99"/>
    </row>
    <row r="199" spans="1:22">
      <c r="A199" s="92"/>
      <c r="B199" s="146"/>
      <c r="C199" s="136"/>
      <c r="D199" s="137"/>
      <c r="E199" s="138"/>
      <c r="F199" s="139"/>
      <c r="G199" s="98"/>
      <c r="H199" s="99"/>
      <c r="I199" s="99"/>
      <c r="J199" s="100"/>
      <c r="K199" s="99"/>
      <c r="L199" s="99"/>
      <c r="M199" s="99"/>
      <c r="N199" s="99"/>
      <c r="O199" s="112"/>
      <c r="P199" s="140" t="str">
        <f t="shared" si="0"/>
        <v/>
      </c>
      <c r="Q199" s="140" t="str">
        <f t="shared" si="1"/>
        <v/>
      </c>
      <c r="R199" s="140" t="str">
        <f t="shared" si="2"/>
        <v/>
      </c>
      <c r="S199" s="140" t="str">
        <f t="shared" si="3"/>
        <v/>
      </c>
      <c r="T199" s="140" t="str">
        <f t="shared" si="4"/>
        <v/>
      </c>
      <c r="U199" s="140" t="str">
        <f t="shared" si="5"/>
        <v/>
      </c>
      <c r="V199" s="99"/>
    </row>
    <row r="200" spans="1:22">
      <c r="A200" s="92"/>
      <c r="B200" s="146" t="s">
        <v>385</v>
      </c>
      <c r="C200" s="136"/>
      <c r="D200" s="142"/>
      <c r="E200" s="138"/>
      <c r="F200" s="139"/>
      <c r="G200" s="98">
        <v>10</v>
      </c>
      <c r="H200" s="99">
        <v>2</v>
      </c>
      <c r="I200" s="99">
        <v>1</v>
      </c>
      <c r="J200" s="149">
        <f>C201+D203+E201+2*8*G200/1000</f>
        <v>0.73</v>
      </c>
      <c r="K200" s="99"/>
      <c r="L200" s="99">
        <v>4</v>
      </c>
      <c r="M200" s="112">
        <f>2*G200*L200/1000</f>
        <v>0.08</v>
      </c>
      <c r="N200" s="112">
        <f>(J200+K200-M200)</f>
        <v>0.65</v>
      </c>
      <c r="O200" s="112">
        <f>(H200*I200*N200)</f>
        <v>1.3</v>
      </c>
      <c r="P200" s="140" t="str">
        <f t="shared" si="0"/>
        <v/>
      </c>
      <c r="Q200" s="140">
        <f t="shared" si="1"/>
        <v>1.3</v>
      </c>
      <c r="R200" s="140" t="str">
        <f t="shared" si="2"/>
        <v/>
      </c>
      <c r="S200" s="140" t="str">
        <f t="shared" si="3"/>
        <v/>
      </c>
      <c r="T200" s="140" t="str">
        <f t="shared" si="4"/>
        <v/>
      </c>
      <c r="U200" s="140" t="str">
        <f t="shared" si="5"/>
        <v/>
      </c>
      <c r="V200" s="99"/>
    </row>
    <row r="201" spans="1:22">
      <c r="A201" s="92"/>
      <c r="B201" s="146"/>
      <c r="C201" s="151">
        <v>0.17499999999999999</v>
      </c>
      <c r="D201" s="137"/>
      <c r="E201" s="138">
        <v>0.17499999999999999</v>
      </c>
      <c r="F201" s="139"/>
      <c r="G201" s="98"/>
      <c r="H201" s="99"/>
      <c r="I201" s="99"/>
      <c r="J201" s="100"/>
      <c r="K201" s="99"/>
      <c r="L201" s="99"/>
      <c r="M201" s="99"/>
      <c r="N201" s="99"/>
      <c r="O201" s="112"/>
      <c r="P201" s="140" t="str">
        <f>IF($G201=8,$O201,"")</f>
        <v/>
      </c>
      <c r="Q201" s="140" t="str">
        <f>IF($G201=10,$O201,"")</f>
        <v/>
      </c>
      <c r="R201" s="140" t="str">
        <f>IF($G201=12,$O201,"")</f>
        <v/>
      </c>
      <c r="S201" s="140" t="str">
        <f>IF($G201=16,$O201,"")</f>
        <v/>
      </c>
      <c r="T201" s="140" t="str">
        <f>IF($G201=20,$O201,"")</f>
        <v/>
      </c>
      <c r="U201" s="140" t="str">
        <f>IF($G201=25,$O201,"")</f>
        <v/>
      </c>
      <c r="V201" s="99"/>
    </row>
    <row r="202" spans="1:22">
      <c r="A202" s="92"/>
      <c r="B202" s="146"/>
      <c r="C202" s="136"/>
      <c r="D202" s="137"/>
      <c r="E202" s="138"/>
      <c r="F202" s="139"/>
      <c r="G202" s="98"/>
      <c r="H202" s="99"/>
      <c r="I202" s="99"/>
      <c r="J202" s="100"/>
      <c r="K202" s="99"/>
      <c r="L202" s="99"/>
      <c r="M202" s="99"/>
      <c r="N202" s="99"/>
      <c r="O202" s="112"/>
      <c r="P202" s="140" t="str">
        <f t="shared" si="0"/>
        <v/>
      </c>
      <c r="Q202" s="140" t="str">
        <f t="shared" si="1"/>
        <v/>
      </c>
      <c r="R202" s="140" t="str">
        <f t="shared" si="2"/>
        <v/>
      </c>
      <c r="S202" s="140" t="str">
        <f t="shared" si="3"/>
        <v/>
      </c>
      <c r="T202" s="140" t="str">
        <f t="shared" si="4"/>
        <v/>
      </c>
      <c r="U202" s="140" t="str">
        <f t="shared" si="5"/>
        <v/>
      </c>
      <c r="V202" s="99"/>
    </row>
    <row r="203" spans="1:22">
      <c r="A203" s="92"/>
      <c r="B203" s="146"/>
      <c r="C203" s="136"/>
      <c r="D203" s="109">
        <f>0.3-0.08</f>
        <v>0.21999999999999997</v>
      </c>
      <c r="E203" s="138"/>
      <c r="F203" s="139"/>
      <c r="G203" s="98"/>
      <c r="H203" s="99"/>
      <c r="I203" s="99"/>
      <c r="J203" s="100"/>
      <c r="K203" s="99"/>
      <c r="L203" s="99"/>
      <c r="M203" s="99"/>
      <c r="N203" s="99"/>
      <c r="O203" s="112"/>
      <c r="P203" s="140" t="str">
        <f t="shared" si="0"/>
        <v/>
      </c>
      <c r="Q203" s="140" t="str">
        <f t="shared" si="1"/>
        <v/>
      </c>
      <c r="R203" s="140" t="str">
        <f t="shared" si="2"/>
        <v/>
      </c>
      <c r="S203" s="140" t="str">
        <f t="shared" si="3"/>
        <v/>
      </c>
      <c r="T203" s="140" t="str">
        <f t="shared" si="4"/>
        <v/>
      </c>
      <c r="U203" s="140" t="str">
        <f t="shared" si="5"/>
        <v/>
      </c>
      <c r="V203" s="99"/>
    </row>
    <row r="204" spans="1:22">
      <c r="A204" s="92"/>
      <c r="B204" s="146"/>
      <c r="C204" s="136"/>
      <c r="D204" s="137"/>
      <c r="E204" s="138"/>
      <c r="F204" s="139"/>
      <c r="G204" s="98"/>
      <c r="H204" s="99"/>
      <c r="I204" s="99"/>
      <c r="J204" s="100"/>
      <c r="K204" s="99"/>
      <c r="L204" s="99"/>
      <c r="M204" s="99"/>
      <c r="N204" s="99"/>
      <c r="O204" s="112"/>
      <c r="P204" s="140" t="str">
        <f t="shared" si="0"/>
        <v/>
      </c>
      <c r="Q204" s="140" t="str">
        <f t="shared" si="1"/>
        <v/>
      </c>
      <c r="R204" s="140" t="str">
        <f t="shared" si="2"/>
        <v/>
      </c>
      <c r="S204" s="140" t="str">
        <f t="shared" si="3"/>
        <v/>
      </c>
      <c r="T204" s="140" t="str">
        <f t="shared" si="4"/>
        <v/>
      </c>
      <c r="U204" s="140" t="str">
        <f t="shared" si="5"/>
        <v/>
      </c>
      <c r="V204" s="99"/>
    </row>
    <row r="205" spans="1:22">
      <c r="A205" s="92"/>
      <c r="B205" s="146" t="s">
        <v>390</v>
      </c>
      <c r="C205" s="136"/>
      <c r="D205" s="142"/>
      <c r="E205" s="138"/>
      <c r="F205" s="139"/>
      <c r="G205" s="98">
        <v>10</v>
      </c>
      <c r="H205" s="99">
        <v>2</v>
      </c>
      <c r="I205" s="99">
        <v>1</v>
      </c>
      <c r="J205" s="149">
        <f>C206+D208+E206+2*8*G205/1000</f>
        <v>0.73</v>
      </c>
      <c r="K205" s="99"/>
      <c r="L205" s="99">
        <v>4</v>
      </c>
      <c r="M205" s="112">
        <f>2*G205*L205/1000</f>
        <v>0.08</v>
      </c>
      <c r="N205" s="112">
        <f>(J205+K205-M205)</f>
        <v>0.65</v>
      </c>
      <c r="O205" s="112">
        <f>(H205*I205*N205)</f>
        <v>1.3</v>
      </c>
      <c r="P205" s="140" t="str">
        <f t="shared" si="0"/>
        <v/>
      </c>
      <c r="Q205" s="140">
        <f t="shared" si="1"/>
        <v>1.3</v>
      </c>
      <c r="R205" s="140" t="str">
        <f t="shared" si="2"/>
        <v/>
      </c>
      <c r="S205" s="140" t="str">
        <f t="shared" si="3"/>
        <v/>
      </c>
      <c r="T205" s="140" t="str">
        <f t="shared" si="4"/>
        <v/>
      </c>
      <c r="U205" s="140" t="str">
        <f t="shared" si="5"/>
        <v/>
      </c>
      <c r="V205" s="99"/>
    </row>
    <row r="206" spans="1:22">
      <c r="A206" s="92"/>
      <c r="B206" s="146"/>
      <c r="C206" s="151">
        <v>0.17499999999999999</v>
      </c>
      <c r="D206" s="137"/>
      <c r="E206" s="138">
        <v>0.17499999999999999</v>
      </c>
      <c r="F206" s="139"/>
      <c r="G206" s="98"/>
      <c r="H206" s="99"/>
      <c r="I206" s="99"/>
      <c r="J206" s="100"/>
      <c r="K206" s="99"/>
      <c r="L206" s="99"/>
      <c r="M206" s="99"/>
      <c r="N206" s="99"/>
      <c r="O206" s="112"/>
      <c r="P206" s="140" t="str">
        <f t="shared" si="0"/>
        <v/>
      </c>
      <c r="Q206" s="140" t="str">
        <f t="shared" si="1"/>
        <v/>
      </c>
      <c r="R206" s="140" t="str">
        <f t="shared" si="2"/>
        <v/>
      </c>
      <c r="S206" s="140" t="str">
        <f t="shared" si="3"/>
        <v/>
      </c>
      <c r="T206" s="140" t="str">
        <f t="shared" si="4"/>
        <v/>
      </c>
      <c r="U206" s="140" t="str">
        <f t="shared" si="5"/>
        <v/>
      </c>
      <c r="V206" s="99"/>
    </row>
    <row r="207" spans="1:22">
      <c r="A207" s="92"/>
      <c r="B207" s="146"/>
      <c r="C207" s="136"/>
      <c r="D207" s="137"/>
      <c r="E207" s="138"/>
      <c r="F207" s="139"/>
      <c r="G207" s="98"/>
      <c r="H207" s="99"/>
      <c r="I207" s="99"/>
      <c r="J207" s="100"/>
      <c r="K207" s="99"/>
      <c r="L207" s="99"/>
      <c r="M207" s="99"/>
      <c r="N207" s="99"/>
      <c r="O207" s="101"/>
      <c r="P207" s="140" t="str">
        <f t="shared" si="0"/>
        <v/>
      </c>
      <c r="Q207" s="140" t="str">
        <f t="shared" si="1"/>
        <v/>
      </c>
      <c r="R207" s="140" t="str">
        <f t="shared" si="2"/>
        <v/>
      </c>
      <c r="S207" s="140" t="str">
        <f t="shared" si="3"/>
        <v/>
      </c>
      <c r="T207" s="140" t="str">
        <f t="shared" si="4"/>
        <v/>
      </c>
      <c r="U207" s="140" t="str">
        <f t="shared" si="5"/>
        <v/>
      </c>
      <c r="V207" s="99"/>
    </row>
    <row r="208" spans="1:22">
      <c r="A208" s="92"/>
      <c r="B208" s="146"/>
      <c r="C208" s="136"/>
      <c r="D208" s="109">
        <f>0.3-0.08</f>
        <v>0.21999999999999997</v>
      </c>
      <c r="E208" s="138"/>
      <c r="F208" s="139"/>
      <c r="G208" s="98"/>
      <c r="H208" s="99"/>
      <c r="I208" s="99"/>
      <c r="J208" s="100"/>
      <c r="K208" s="99"/>
      <c r="L208" s="99"/>
      <c r="M208" s="99"/>
      <c r="N208" s="99"/>
      <c r="O208" s="101"/>
      <c r="P208" s="140" t="str">
        <f t="shared" si="0"/>
        <v/>
      </c>
      <c r="Q208" s="140" t="str">
        <f t="shared" si="1"/>
        <v/>
      </c>
      <c r="R208" s="140" t="str">
        <f t="shared" si="2"/>
        <v/>
      </c>
      <c r="S208" s="140" t="str">
        <f t="shared" si="3"/>
        <v/>
      </c>
      <c r="T208" s="140" t="str">
        <f t="shared" si="4"/>
        <v/>
      </c>
      <c r="U208" s="140" t="str">
        <f t="shared" si="5"/>
        <v/>
      </c>
      <c r="V208" s="99"/>
    </row>
    <row r="209" spans="1:22">
      <c r="A209" s="92"/>
      <c r="B209" s="146"/>
      <c r="C209" s="136"/>
      <c r="D209" s="152"/>
      <c r="E209" s="138"/>
      <c r="F209" s="139"/>
      <c r="G209" s="98"/>
      <c r="H209" s="99"/>
      <c r="I209" s="99"/>
      <c r="J209" s="100"/>
      <c r="K209" s="99"/>
      <c r="L209" s="99"/>
      <c r="M209" s="99"/>
      <c r="N209" s="99"/>
      <c r="O209" s="101"/>
      <c r="P209" s="140" t="str">
        <f t="shared" si="0"/>
        <v/>
      </c>
      <c r="Q209" s="140" t="str">
        <f t="shared" si="1"/>
        <v/>
      </c>
      <c r="R209" s="140" t="str">
        <f t="shared" si="2"/>
        <v/>
      </c>
      <c r="S209" s="140" t="str">
        <f t="shared" si="3"/>
        <v/>
      </c>
      <c r="T209" s="140" t="str">
        <f t="shared" si="4"/>
        <v/>
      </c>
      <c r="U209" s="140" t="str">
        <f t="shared" si="5"/>
        <v/>
      </c>
      <c r="V209" s="99"/>
    </row>
    <row r="210" spans="1:22">
      <c r="A210" s="92">
        <v>8</v>
      </c>
      <c r="B210" s="92" t="s">
        <v>394</v>
      </c>
      <c r="C210" s="136"/>
      <c r="D210" s="137"/>
      <c r="E210" s="138"/>
      <c r="F210" s="139"/>
      <c r="G210" s="98"/>
      <c r="H210" s="99"/>
      <c r="I210" s="99"/>
      <c r="J210" s="109"/>
      <c r="K210" s="112"/>
      <c r="L210" s="112"/>
      <c r="M210" s="99"/>
      <c r="N210" s="112"/>
      <c r="O210" s="112"/>
      <c r="P210" s="140" t="str">
        <f>IF($G210=8,$O210,"")</f>
        <v/>
      </c>
      <c r="Q210" s="140" t="str">
        <f>IF($G210=10,$O210,"")</f>
        <v/>
      </c>
      <c r="R210" s="140" t="str">
        <f>IF($G210=12,$O210,"")</f>
        <v/>
      </c>
      <c r="S210" s="140" t="str">
        <f>IF($G210=16,$O210,"")</f>
        <v/>
      </c>
      <c r="T210" s="140" t="str">
        <f>IF($G210=20,$O210,"")</f>
        <v/>
      </c>
      <c r="U210" s="140" t="str">
        <f>IF($G210=25,$O210,"")</f>
        <v/>
      </c>
      <c r="V210" s="99"/>
    </row>
    <row r="211" spans="1:22">
      <c r="A211" s="92"/>
      <c r="B211" s="141" t="s">
        <v>378</v>
      </c>
      <c r="C211" s="136"/>
      <c r="D211" s="142">
        <f>0.85-0.075-2*0.016</f>
        <v>0.74299999999999999</v>
      </c>
      <c r="E211" s="138"/>
      <c r="F211" s="139"/>
      <c r="G211" s="98">
        <v>20</v>
      </c>
      <c r="H211" s="99">
        <v>2</v>
      </c>
      <c r="I211" s="99">
        <v>4</v>
      </c>
      <c r="J211" s="109">
        <f>D211</f>
        <v>0.74299999999999999</v>
      </c>
      <c r="K211" s="110" t="str">
        <f>IF(N211&lt;12,"0",0.049*G211)</f>
        <v>0</v>
      </c>
      <c r="L211" s="111">
        <v>1</v>
      </c>
      <c r="M211" s="99">
        <f>2*G211*L211/1000</f>
        <v>0.04</v>
      </c>
      <c r="N211" s="112">
        <f>J211+E213-M211</f>
        <v>1.0029999999999999</v>
      </c>
      <c r="O211" s="112">
        <f>H211*I211*N211</f>
        <v>8.0239999999999991</v>
      </c>
      <c r="P211" s="140" t="str">
        <f t="shared" si="0"/>
        <v/>
      </c>
      <c r="Q211" s="140" t="str">
        <f t="shared" si="1"/>
        <v/>
      </c>
      <c r="R211" s="140" t="str">
        <f t="shared" si="2"/>
        <v/>
      </c>
      <c r="S211" s="140" t="str">
        <f t="shared" si="3"/>
        <v/>
      </c>
      <c r="T211" s="140">
        <f t="shared" si="4"/>
        <v>8.0239999999999991</v>
      </c>
      <c r="U211" s="140" t="str">
        <f t="shared" si="5"/>
        <v/>
      </c>
      <c r="V211" s="99"/>
    </row>
    <row r="212" spans="1:22">
      <c r="A212" s="92"/>
      <c r="B212" s="141" t="s">
        <v>379</v>
      </c>
      <c r="C212" s="136"/>
      <c r="D212" s="137"/>
      <c r="E212" s="138"/>
      <c r="F212" s="139"/>
      <c r="G212" s="98">
        <v>20</v>
      </c>
      <c r="H212" s="99">
        <v>2</v>
      </c>
      <c r="I212" s="99">
        <v>2</v>
      </c>
      <c r="J212" s="109">
        <f>D211</f>
        <v>0.74299999999999999</v>
      </c>
      <c r="K212" s="110" t="str">
        <f t="shared" ref="K212:K214" si="25">IF(N212&lt;12,"0",0.049*G212)</f>
        <v>0</v>
      </c>
      <c r="L212" s="111">
        <v>1</v>
      </c>
      <c r="M212" s="99">
        <f t="shared" ref="M212:M214" si="26">2*G212*L212/1000</f>
        <v>0.04</v>
      </c>
      <c r="N212" s="112">
        <f>J212+E213-M212</f>
        <v>1.0029999999999999</v>
      </c>
      <c r="O212" s="112">
        <f>H212*I212*N212</f>
        <v>4.0119999999999996</v>
      </c>
      <c r="P212" s="140" t="str">
        <f t="shared" si="0"/>
        <v/>
      </c>
      <c r="Q212" s="140" t="str">
        <f t="shared" si="1"/>
        <v/>
      </c>
      <c r="R212" s="140" t="str">
        <f t="shared" si="2"/>
        <v/>
      </c>
      <c r="S212" s="140" t="str">
        <f t="shared" si="3"/>
        <v/>
      </c>
      <c r="T212" s="140">
        <f t="shared" si="4"/>
        <v>4.0119999999999996</v>
      </c>
      <c r="U212" s="140" t="str">
        <f t="shared" si="5"/>
        <v/>
      </c>
      <c r="V212" s="99"/>
    </row>
    <row r="213" spans="1:22">
      <c r="A213" s="92"/>
      <c r="B213" s="141" t="s">
        <v>380</v>
      </c>
      <c r="C213" s="143"/>
      <c r="D213" s="142"/>
      <c r="E213" s="144">
        <v>0.3</v>
      </c>
      <c r="F213" s="139"/>
      <c r="G213" s="98">
        <v>20</v>
      </c>
      <c r="H213" s="99">
        <v>2</v>
      </c>
      <c r="I213" s="99">
        <v>4</v>
      </c>
      <c r="J213" s="109">
        <f>D211</f>
        <v>0.74299999999999999</v>
      </c>
      <c r="K213" s="110" t="str">
        <f t="shared" si="25"/>
        <v>0</v>
      </c>
      <c r="L213" s="111">
        <v>1</v>
      </c>
      <c r="M213" s="99">
        <f t="shared" si="26"/>
        <v>0.04</v>
      </c>
      <c r="N213" s="112">
        <f>J213+E213-M213</f>
        <v>1.0029999999999999</v>
      </c>
      <c r="O213" s="112">
        <f>H213*I213*N213</f>
        <v>8.0239999999999991</v>
      </c>
      <c r="P213" s="140" t="str">
        <f t="shared" si="0"/>
        <v/>
      </c>
      <c r="Q213" s="140" t="str">
        <f t="shared" si="1"/>
        <v/>
      </c>
      <c r="R213" s="140" t="str">
        <f t="shared" si="2"/>
        <v/>
      </c>
      <c r="S213" s="140" t="str">
        <f t="shared" si="3"/>
        <v/>
      </c>
      <c r="T213" s="140">
        <f t="shared" si="4"/>
        <v>8.0239999999999991</v>
      </c>
      <c r="U213" s="140" t="str">
        <f t="shared" si="5"/>
        <v/>
      </c>
      <c r="V213" s="99"/>
    </row>
    <row r="214" spans="1:22">
      <c r="A214" s="92"/>
      <c r="B214" s="141" t="s">
        <v>381</v>
      </c>
      <c r="C214" s="136"/>
      <c r="D214" s="137"/>
      <c r="E214" s="138"/>
      <c r="F214" s="139"/>
      <c r="G214" s="98">
        <v>20</v>
      </c>
      <c r="H214" s="99">
        <v>2</v>
      </c>
      <c r="I214" s="99">
        <v>4</v>
      </c>
      <c r="J214" s="109">
        <f>D211</f>
        <v>0.74299999999999999</v>
      </c>
      <c r="K214" s="110" t="str">
        <f t="shared" si="25"/>
        <v>0</v>
      </c>
      <c r="L214" s="111">
        <v>1</v>
      </c>
      <c r="M214" s="99">
        <f t="shared" si="26"/>
        <v>0.04</v>
      </c>
      <c r="N214" s="112">
        <f>J214+E213-M214</f>
        <v>1.0029999999999999</v>
      </c>
      <c r="O214" s="112">
        <f>H214*I214*N214</f>
        <v>8.0239999999999991</v>
      </c>
      <c r="P214" s="140" t="str">
        <f t="shared" si="0"/>
        <v/>
      </c>
      <c r="Q214" s="140" t="str">
        <f t="shared" si="1"/>
        <v/>
      </c>
      <c r="R214" s="140" t="str">
        <f t="shared" si="2"/>
        <v/>
      </c>
      <c r="S214" s="140" t="str">
        <f t="shared" si="3"/>
        <v/>
      </c>
      <c r="T214" s="140">
        <f t="shared" si="4"/>
        <v>8.0239999999999991</v>
      </c>
      <c r="U214" s="140" t="str">
        <f t="shared" si="5"/>
        <v/>
      </c>
      <c r="V214" s="99"/>
    </row>
    <row r="215" spans="1:22">
      <c r="A215" s="92"/>
      <c r="B215" s="141"/>
      <c r="C215" s="136"/>
      <c r="D215" s="137"/>
      <c r="E215" s="138"/>
      <c r="F215" s="139"/>
      <c r="G215" s="98"/>
      <c r="H215" s="99"/>
      <c r="I215" s="99"/>
      <c r="J215" s="100"/>
      <c r="K215" s="99"/>
      <c r="L215" s="99"/>
      <c r="M215" s="99"/>
      <c r="N215" s="99"/>
      <c r="O215" s="101"/>
      <c r="P215" s="140" t="str">
        <f t="shared" si="0"/>
        <v/>
      </c>
      <c r="Q215" s="140" t="str">
        <f t="shared" si="1"/>
        <v/>
      </c>
      <c r="R215" s="140" t="str">
        <f t="shared" si="2"/>
        <v/>
      </c>
      <c r="S215" s="140" t="str">
        <f t="shared" si="3"/>
        <v/>
      </c>
      <c r="T215" s="140" t="str">
        <f t="shared" si="4"/>
        <v/>
      </c>
      <c r="U215" s="140" t="str">
        <f t="shared" si="5"/>
        <v/>
      </c>
      <c r="V215" s="99"/>
    </row>
    <row r="216" spans="1:22">
      <c r="A216" s="92"/>
      <c r="B216" s="92"/>
      <c r="C216" s="145">
        <v>0.08</v>
      </c>
      <c r="D216" s="137"/>
      <c r="E216" s="138"/>
      <c r="F216" s="139"/>
      <c r="G216" s="98"/>
      <c r="H216" s="99"/>
      <c r="I216" s="99"/>
      <c r="J216" s="100"/>
      <c r="K216" s="99"/>
      <c r="L216" s="99"/>
      <c r="M216" s="99"/>
      <c r="N216" s="99"/>
      <c r="O216" s="101"/>
      <c r="P216" s="140" t="str">
        <f t="shared" si="0"/>
        <v/>
      </c>
      <c r="Q216" s="140" t="str">
        <f t="shared" si="1"/>
        <v/>
      </c>
      <c r="R216" s="140" t="str">
        <f t="shared" si="2"/>
        <v/>
      </c>
      <c r="S216" s="140" t="str">
        <f t="shared" si="3"/>
        <v/>
      </c>
      <c r="T216" s="140" t="str">
        <f t="shared" si="4"/>
        <v/>
      </c>
      <c r="U216" s="140" t="str">
        <f t="shared" si="5"/>
        <v/>
      </c>
      <c r="V216" s="99"/>
    </row>
    <row r="217" spans="1:22">
      <c r="A217" s="92"/>
      <c r="B217" s="146" t="s">
        <v>382</v>
      </c>
      <c r="C217" s="147"/>
      <c r="D217" s="137"/>
      <c r="E217" s="148">
        <f>0.6-0.08</f>
        <v>0.52</v>
      </c>
      <c r="F217" s="139"/>
      <c r="G217" s="98">
        <v>10</v>
      </c>
      <c r="H217" s="99">
        <v>2</v>
      </c>
      <c r="I217" s="99">
        <v>4</v>
      </c>
      <c r="J217" s="149">
        <f>2*(D219+E217)+2*8*G217/1000</f>
        <v>1.64</v>
      </c>
      <c r="K217" s="99"/>
      <c r="L217" s="99">
        <v>5</v>
      </c>
      <c r="M217" s="112">
        <f>2*G217*L217/1000</f>
        <v>0.1</v>
      </c>
      <c r="N217" s="112">
        <f>(J217+K217-M217)</f>
        <v>1.5399999999999998</v>
      </c>
      <c r="O217" s="112">
        <f>(H217*I217*N217)</f>
        <v>12.319999999999999</v>
      </c>
      <c r="P217" s="140" t="str">
        <f t="shared" si="0"/>
        <v/>
      </c>
      <c r="Q217" s="140">
        <f t="shared" si="1"/>
        <v>12.319999999999999</v>
      </c>
      <c r="R217" s="140" t="str">
        <f t="shared" si="2"/>
        <v/>
      </c>
      <c r="S217" s="140" t="str">
        <f t="shared" si="3"/>
        <v/>
      </c>
      <c r="T217" s="140" t="str">
        <f t="shared" si="4"/>
        <v/>
      </c>
      <c r="U217" s="140" t="str">
        <f t="shared" si="5"/>
        <v/>
      </c>
      <c r="V217" s="99"/>
    </row>
    <row r="218" spans="1:22">
      <c r="A218" s="92"/>
      <c r="B218" s="146"/>
      <c r="C218" s="136"/>
      <c r="D218" s="137"/>
      <c r="E218" s="150"/>
      <c r="F218" s="139"/>
      <c r="G218" s="98"/>
      <c r="H218" s="99"/>
      <c r="I218" s="99"/>
      <c r="J218" s="100"/>
      <c r="K218" s="99"/>
      <c r="L218" s="99"/>
      <c r="M218" s="99"/>
      <c r="N218" s="99"/>
      <c r="O218" s="112"/>
      <c r="P218" s="140" t="str">
        <f t="shared" si="0"/>
        <v/>
      </c>
      <c r="Q218" s="140" t="str">
        <f t="shared" si="1"/>
        <v/>
      </c>
      <c r="R218" s="140" t="str">
        <f t="shared" si="2"/>
        <v/>
      </c>
      <c r="S218" s="140" t="str">
        <f t="shared" si="3"/>
        <v/>
      </c>
      <c r="T218" s="140" t="str">
        <f t="shared" si="4"/>
        <v/>
      </c>
      <c r="U218" s="140" t="str">
        <f t="shared" si="5"/>
        <v/>
      </c>
      <c r="V218" s="99"/>
    </row>
    <row r="219" spans="1:22">
      <c r="A219" s="92"/>
      <c r="B219" s="146"/>
      <c r="C219" s="136"/>
      <c r="D219" s="109">
        <f>0.3-0.08</f>
        <v>0.21999999999999997</v>
      </c>
      <c r="E219" s="138"/>
      <c r="F219" s="139"/>
      <c r="G219" s="98"/>
      <c r="H219" s="99"/>
      <c r="I219" s="99"/>
      <c r="J219" s="100"/>
      <c r="K219" s="99"/>
      <c r="L219" s="99"/>
      <c r="M219" s="99"/>
      <c r="N219" s="99"/>
      <c r="O219" s="112"/>
      <c r="P219" s="140" t="str">
        <f t="shared" si="0"/>
        <v/>
      </c>
      <c r="Q219" s="140" t="str">
        <f t="shared" si="1"/>
        <v/>
      </c>
      <c r="R219" s="140" t="str">
        <f t="shared" si="2"/>
        <v/>
      </c>
      <c r="S219" s="140" t="str">
        <f t="shared" si="3"/>
        <v/>
      </c>
      <c r="T219" s="140" t="str">
        <f t="shared" si="4"/>
        <v/>
      </c>
      <c r="U219" s="140" t="str">
        <f t="shared" si="5"/>
        <v/>
      </c>
      <c r="V219" s="99"/>
    </row>
    <row r="220" spans="1:22">
      <c r="A220" s="92"/>
      <c r="B220" s="141"/>
      <c r="C220" s="136"/>
      <c r="D220" s="137"/>
      <c r="E220" s="138"/>
      <c r="F220" s="139"/>
      <c r="G220" s="98"/>
      <c r="H220" s="99"/>
      <c r="I220" s="99"/>
      <c r="J220" s="100"/>
      <c r="K220" s="99"/>
      <c r="L220" s="99"/>
      <c r="M220" s="99"/>
      <c r="N220" s="99"/>
      <c r="O220" s="112"/>
      <c r="P220" s="140" t="str">
        <f t="shared" si="0"/>
        <v/>
      </c>
      <c r="Q220" s="140" t="str">
        <f t="shared" si="1"/>
        <v/>
      </c>
      <c r="R220" s="140" t="str">
        <f t="shared" si="2"/>
        <v/>
      </c>
      <c r="S220" s="140" t="str">
        <f t="shared" si="3"/>
        <v/>
      </c>
      <c r="T220" s="140" t="str">
        <f t="shared" si="4"/>
        <v/>
      </c>
      <c r="U220" s="140" t="str">
        <f t="shared" si="5"/>
        <v/>
      </c>
      <c r="V220" s="99"/>
    </row>
    <row r="221" spans="1:22">
      <c r="A221" s="92"/>
      <c r="B221" s="92"/>
      <c r="C221" s="145">
        <v>0.08</v>
      </c>
      <c r="D221" s="137"/>
      <c r="E221" s="138"/>
      <c r="F221" s="139"/>
      <c r="G221" s="98"/>
      <c r="H221" s="99"/>
      <c r="I221" s="99"/>
      <c r="J221" s="100"/>
      <c r="K221" s="99"/>
      <c r="L221" s="99"/>
      <c r="M221" s="99"/>
      <c r="N221" s="99"/>
      <c r="O221" s="112"/>
      <c r="P221" s="140" t="str">
        <f t="shared" si="0"/>
        <v/>
      </c>
      <c r="Q221" s="140" t="str">
        <f t="shared" si="1"/>
        <v/>
      </c>
      <c r="R221" s="140" t="str">
        <f t="shared" si="2"/>
        <v/>
      </c>
      <c r="S221" s="140" t="str">
        <f t="shared" si="3"/>
        <v/>
      </c>
      <c r="T221" s="140" t="str">
        <f t="shared" si="4"/>
        <v/>
      </c>
      <c r="U221" s="140" t="str">
        <f t="shared" si="5"/>
        <v/>
      </c>
      <c r="V221" s="99"/>
    </row>
    <row r="222" spans="1:22">
      <c r="A222" s="92"/>
      <c r="B222" s="146" t="s">
        <v>383</v>
      </c>
      <c r="C222" s="147"/>
      <c r="D222" s="137"/>
      <c r="E222" s="148">
        <f>((0.6-0.08-0.016)/5)+0.012+0.02</f>
        <v>0.1328</v>
      </c>
      <c r="F222" s="139"/>
      <c r="G222" s="98">
        <v>10</v>
      </c>
      <c r="H222" s="99">
        <v>2</v>
      </c>
      <c r="I222" s="99">
        <v>1</v>
      </c>
      <c r="J222" s="149">
        <f>2*(D224+E222)+2*8*G222/1000</f>
        <v>0.86560000000000004</v>
      </c>
      <c r="K222" s="99"/>
      <c r="L222" s="99">
        <v>5</v>
      </c>
      <c r="M222" s="112">
        <f>2*G222*L222/1000</f>
        <v>0.1</v>
      </c>
      <c r="N222" s="112">
        <f>(J222+K222-M222)</f>
        <v>0.76560000000000006</v>
      </c>
      <c r="O222" s="112">
        <f>(H222*I222*N222)</f>
        <v>1.5312000000000001</v>
      </c>
      <c r="P222" s="140" t="str">
        <f t="shared" si="0"/>
        <v/>
      </c>
      <c r="Q222" s="140">
        <f t="shared" si="1"/>
        <v>1.5312000000000001</v>
      </c>
      <c r="R222" s="140" t="str">
        <f t="shared" si="2"/>
        <v/>
      </c>
      <c r="S222" s="140" t="str">
        <f t="shared" si="3"/>
        <v/>
      </c>
      <c r="T222" s="140" t="str">
        <f t="shared" si="4"/>
        <v/>
      </c>
      <c r="U222" s="140" t="str">
        <f t="shared" si="5"/>
        <v/>
      </c>
      <c r="V222" s="99"/>
    </row>
    <row r="223" spans="1:22">
      <c r="A223" s="92"/>
      <c r="B223" s="146"/>
      <c r="C223" s="136"/>
      <c r="D223" s="137"/>
      <c r="E223" s="150"/>
      <c r="F223" s="139"/>
      <c r="G223" s="98"/>
      <c r="H223" s="99"/>
      <c r="I223" s="99"/>
      <c r="J223" s="100"/>
      <c r="K223" s="99"/>
      <c r="L223" s="99"/>
      <c r="M223" s="99"/>
      <c r="N223" s="99"/>
      <c r="O223" s="112"/>
      <c r="P223" s="140" t="str">
        <f t="shared" si="0"/>
        <v/>
      </c>
      <c r="Q223" s="140" t="str">
        <f t="shared" si="1"/>
        <v/>
      </c>
      <c r="R223" s="140" t="str">
        <f t="shared" si="2"/>
        <v/>
      </c>
      <c r="S223" s="140" t="str">
        <f t="shared" si="3"/>
        <v/>
      </c>
      <c r="T223" s="140" t="str">
        <f t="shared" si="4"/>
        <v/>
      </c>
      <c r="U223" s="140" t="str">
        <f t="shared" si="5"/>
        <v/>
      </c>
      <c r="V223" s="99"/>
    </row>
    <row r="224" spans="1:22">
      <c r="A224" s="92"/>
      <c r="B224" s="146"/>
      <c r="C224" s="136"/>
      <c r="D224" s="109">
        <f>0.3-0.08</f>
        <v>0.21999999999999997</v>
      </c>
      <c r="E224" s="138"/>
      <c r="F224" s="139"/>
      <c r="G224" s="98"/>
      <c r="H224" s="99"/>
      <c r="I224" s="99"/>
      <c r="J224" s="100"/>
      <c r="K224" s="99"/>
      <c r="L224" s="99"/>
      <c r="M224" s="99"/>
      <c r="N224" s="99"/>
      <c r="O224" s="112"/>
      <c r="P224" s="140" t="str">
        <f t="shared" si="0"/>
        <v/>
      </c>
      <c r="Q224" s="140" t="str">
        <f t="shared" si="1"/>
        <v/>
      </c>
      <c r="R224" s="140" t="str">
        <f t="shared" si="2"/>
        <v/>
      </c>
      <c r="S224" s="140" t="str">
        <f t="shared" si="3"/>
        <v/>
      </c>
      <c r="T224" s="140" t="str">
        <f t="shared" si="4"/>
        <v/>
      </c>
      <c r="U224" s="140" t="str">
        <f t="shared" si="5"/>
        <v/>
      </c>
      <c r="V224" s="99"/>
    </row>
    <row r="225" spans="1:22">
      <c r="A225" s="92"/>
      <c r="B225" s="146"/>
      <c r="C225" s="136"/>
      <c r="D225" s="137"/>
      <c r="E225" s="138"/>
      <c r="F225" s="139"/>
      <c r="G225" s="98"/>
      <c r="H225" s="99"/>
      <c r="I225" s="99"/>
      <c r="J225" s="100"/>
      <c r="K225" s="99"/>
      <c r="L225" s="99"/>
      <c r="M225" s="99"/>
      <c r="N225" s="99"/>
      <c r="O225" s="112"/>
      <c r="P225" s="140" t="str">
        <f t="shared" si="0"/>
        <v/>
      </c>
      <c r="Q225" s="140" t="str">
        <f t="shared" si="1"/>
        <v/>
      </c>
      <c r="R225" s="140" t="str">
        <f t="shared" si="2"/>
        <v/>
      </c>
      <c r="S225" s="140" t="str">
        <f t="shared" si="3"/>
        <v/>
      </c>
      <c r="T225" s="140" t="str">
        <f t="shared" si="4"/>
        <v/>
      </c>
      <c r="U225" s="140" t="str">
        <f t="shared" si="5"/>
        <v/>
      </c>
      <c r="V225" s="99"/>
    </row>
    <row r="226" spans="1:22">
      <c r="A226" s="92"/>
      <c r="B226" s="146" t="s">
        <v>384</v>
      </c>
      <c r="C226" s="136"/>
      <c r="D226" s="142"/>
      <c r="E226" s="138"/>
      <c r="F226" s="139"/>
      <c r="G226" s="98">
        <v>10</v>
      </c>
      <c r="H226" s="99">
        <v>2</v>
      </c>
      <c r="I226" s="99">
        <v>1</v>
      </c>
      <c r="J226" s="149">
        <f>C227+D229+E227+2*8*G226/1000</f>
        <v>0.73</v>
      </c>
      <c r="K226" s="99"/>
      <c r="L226" s="99">
        <v>4</v>
      </c>
      <c r="M226" s="112">
        <f>2*G226*L226/1000</f>
        <v>0.08</v>
      </c>
      <c r="N226" s="112">
        <f>(J226+K226-M226)</f>
        <v>0.65</v>
      </c>
      <c r="O226" s="112">
        <f>(H226*I226*N226)</f>
        <v>1.3</v>
      </c>
      <c r="P226" s="140" t="str">
        <f t="shared" si="0"/>
        <v/>
      </c>
      <c r="Q226" s="140">
        <f t="shared" si="1"/>
        <v>1.3</v>
      </c>
      <c r="R226" s="140" t="str">
        <f t="shared" si="2"/>
        <v/>
      </c>
      <c r="S226" s="140" t="str">
        <f t="shared" si="3"/>
        <v/>
      </c>
      <c r="T226" s="140" t="str">
        <f t="shared" si="4"/>
        <v/>
      </c>
      <c r="U226" s="140" t="str">
        <f t="shared" si="5"/>
        <v/>
      </c>
      <c r="V226" s="99"/>
    </row>
    <row r="227" spans="1:22">
      <c r="A227" s="92"/>
      <c r="B227" s="146"/>
      <c r="C227" s="151">
        <v>0.17499999999999999</v>
      </c>
      <c r="D227" s="137"/>
      <c r="E227" s="138">
        <v>0.17499999999999999</v>
      </c>
      <c r="F227" s="139"/>
      <c r="G227" s="98"/>
      <c r="H227" s="99"/>
      <c r="I227" s="99"/>
      <c r="J227" s="100"/>
      <c r="K227" s="99"/>
      <c r="L227" s="99"/>
      <c r="M227" s="99"/>
      <c r="N227" s="99"/>
      <c r="O227" s="112"/>
      <c r="P227" s="140" t="str">
        <f>IF($G227=8,$O227,"")</f>
        <v/>
      </c>
      <c r="Q227" s="140" t="str">
        <f>IF($G227=10,$O227,"")</f>
        <v/>
      </c>
      <c r="R227" s="140" t="str">
        <f>IF($G227=12,$O227,"")</f>
        <v/>
      </c>
      <c r="S227" s="140" t="str">
        <f>IF($G227=16,$O227,"")</f>
        <v/>
      </c>
      <c r="T227" s="140" t="str">
        <f>IF($G227=20,$O227,"")</f>
        <v/>
      </c>
      <c r="U227" s="140" t="str">
        <f>IF($G227=25,$O227,"")</f>
        <v/>
      </c>
      <c r="V227" s="99"/>
    </row>
    <row r="228" spans="1:22">
      <c r="A228" s="92"/>
      <c r="B228" s="146"/>
      <c r="C228" s="136"/>
      <c r="D228" s="137"/>
      <c r="E228" s="138"/>
      <c r="F228" s="139"/>
      <c r="G228" s="98"/>
      <c r="H228" s="99"/>
      <c r="I228" s="99"/>
      <c r="J228" s="100"/>
      <c r="K228" s="99"/>
      <c r="L228" s="99"/>
      <c r="M228" s="99"/>
      <c r="N228" s="99"/>
      <c r="O228" s="112"/>
      <c r="P228" s="140" t="str">
        <f t="shared" si="0"/>
        <v/>
      </c>
      <c r="Q228" s="140" t="str">
        <f t="shared" si="1"/>
        <v/>
      </c>
      <c r="R228" s="140" t="str">
        <f t="shared" si="2"/>
        <v/>
      </c>
      <c r="S228" s="140" t="str">
        <f t="shared" si="3"/>
        <v/>
      </c>
      <c r="T228" s="140" t="str">
        <f t="shared" si="4"/>
        <v/>
      </c>
      <c r="U228" s="140" t="str">
        <f t="shared" si="5"/>
        <v/>
      </c>
      <c r="V228" s="99"/>
    </row>
    <row r="229" spans="1:22">
      <c r="A229" s="92"/>
      <c r="B229" s="146"/>
      <c r="C229" s="136"/>
      <c r="D229" s="109">
        <f>0.3-0.08</f>
        <v>0.21999999999999997</v>
      </c>
      <c r="E229" s="138"/>
      <c r="F229" s="139"/>
      <c r="G229" s="98"/>
      <c r="H229" s="99"/>
      <c r="I229" s="99"/>
      <c r="J229" s="100"/>
      <c r="K229" s="99"/>
      <c r="L229" s="99"/>
      <c r="M229" s="99"/>
      <c r="N229" s="99"/>
      <c r="O229" s="112"/>
      <c r="P229" s="140" t="str">
        <f t="shared" si="0"/>
        <v/>
      </c>
      <c r="Q229" s="140" t="str">
        <f t="shared" si="1"/>
        <v/>
      </c>
      <c r="R229" s="140" t="str">
        <f t="shared" si="2"/>
        <v/>
      </c>
      <c r="S229" s="140" t="str">
        <f t="shared" si="3"/>
        <v/>
      </c>
      <c r="T229" s="140" t="str">
        <f t="shared" si="4"/>
        <v/>
      </c>
      <c r="U229" s="140" t="str">
        <f t="shared" si="5"/>
        <v/>
      </c>
      <c r="V229" s="99"/>
    </row>
    <row r="230" spans="1:22">
      <c r="A230" s="92"/>
      <c r="B230" s="146"/>
      <c r="C230" s="136"/>
      <c r="D230" s="137"/>
      <c r="E230" s="138"/>
      <c r="F230" s="139"/>
      <c r="G230" s="98"/>
      <c r="H230" s="99"/>
      <c r="I230" s="99"/>
      <c r="J230" s="100"/>
      <c r="K230" s="99"/>
      <c r="L230" s="99"/>
      <c r="M230" s="99"/>
      <c r="N230" s="99"/>
      <c r="O230" s="112"/>
      <c r="P230" s="140" t="str">
        <f t="shared" si="0"/>
        <v/>
      </c>
      <c r="Q230" s="140" t="str">
        <f t="shared" si="1"/>
        <v/>
      </c>
      <c r="R230" s="140" t="str">
        <f t="shared" si="2"/>
        <v/>
      </c>
      <c r="S230" s="140" t="str">
        <f t="shared" si="3"/>
        <v/>
      </c>
      <c r="T230" s="140" t="str">
        <f t="shared" si="4"/>
        <v/>
      </c>
      <c r="U230" s="140" t="str">
        <f t="shared" si="5"/>
        <v/>
      </c>
      <c r="V230" s="99"/>
    </row>
    <row r="231" spans="1:22">
      <c r="A231" s="92"/>
      <c r="B231" s="146" t="s">
        <v>385</v>
      </c>
      <c r="C231" s="136"/>
      <c r="D231" s="142"/>
      <c r="E231" s="138"/>
      <c r="F231" s="139"/>
      <c r="G231" s="98">
        <v>10</v>
      </c>
      <c r="H231" s="99">
        <v>2</v>
      </c>
      <c r="I231" s="99">
        <v>1</v>
      </c>
      <c r="J231" s="149">
        <f>C232+D234+E232+2*8*G231/1000</f>
        <v>0.73</v>
      </c>
      <c r="K231" s="99"/>
      <c r="L231" s="99">
        <v>4</v>
      </c>
      <c r="M231" s="112">
        <f>2*G231*L231/1000</f>
        <v>0.08</v>
      </c>
      <c r="N231" s="112">
        <f>(J231+K231-M231)</f>
        <v>0.65</v>
      </c>
      <c r="O231" s="112">
        <f>(H231*I231*N231)</f>
        <v>1.3</v>
      </c>
      <c r="P231" s="140" t="str">
        <f t="shared" si="0"/>
        <v/>
      </c>
      <c r="Q231" s="140">
        <f t="shared" si="1"/>
        <v>1.3</v>
      </c>
      <c r="R231" s="140" t="str">
        <f t="shared" si="2"/>
        <v/>
      </c>
      <c r="S231" s="140" t="str">
        <f t="shared" si="3"/>
        <v/>
      </c>
      <c r="T231" s="140" t="str">
        <f t="shared" si="4"/>
        <v/>
      </c>
      <c r="U231" s="140" t="str">
        <f t="shared" si="5"/>
        <v/>
      </c>
      <c r="V231" s="99"/>
    </row>
    <row r="232" spans="1:22">
      <c r="A232" s="92"/>
      <c r="B232" s="146"/>
      <c r="C232" s="151">
        <v>0.17499999999999999</v>
      </c>
      <c r="D232" s="137"/>
      <c r="E232" s="138">
        <v>0.17499999999999999</v>
      </c>
      <c r="F232" s="139"/>
      <c r="G232" s="98"/>
      <c r="H232" s="99"/>
      <c r="I232" s="99"/>
      <c r="J232" s="100"/>
      <c r="K232" s="99"/>
      <c r="L232" s="99"/>
      <c r="M232" s="99"/>
      <c r="N232" s="99"/>
      <c r="O232" s="112"/>
      <c r="P232" s="140" t="str">
        <f>IF($G232=8,$O232,"")</f>
        <v/>
      </c>
      <c r="Q232" s="140" t="str">
        <f>IF($G232=10,$O232,"")</f>
        <v/>
      </c>
      <c r="R232" s="140" t="str">
        <f>IF($G232=12,$O232,"")</f>
        <v/>
      </c>
      <c r="S232" s="140" t="str">
        <f>IF($G232=16,$O232,"")</f>
        <v/>
      </c>
      <c r="T232" s="140" t="str">
        <f>IF($G232=20,$O232,"")</f>
        <v/>
      </c>
      <c r="U232" s="140" t="str">
        <f>IF($G232=25,$O232,"")</f>
        <v/>
      </c>
      <c r="V232" s="99"/>
    </row>
    <row r="233" spans="1:22">
      <c r="A233" s="92"/>
      <c r="B233" s="146"/>
      <c r="C233" s="136"/>
      <c r="D233" s="137"/>
      <c r="E233" s="138"/>
      <c r="F233" s="139"/>
      <c r="G233" s="98"/>
      <c r="H233" s="99"/>
      <c r="I233" s="99"/>
      <c r="J233" s="100"/>
      <c r="K233" s="99"/>
      <c r="L233" s="99"/>
      <c r="M233" s="99"/>
      <c r="N233" s="99"/>
      <c r="O233" s="101"/>
      <c r="P233" s="140" t="str">
        <f t="shared" si="0"/>
        <v/>
      </c>
      <c r="Q233" s="140" t="str">
        <f t="shared" si="1"/>
        <v/>
      </c>
      <c r="R233" s="140" t="str">
        <f t="shared" si="2"/>
        <v/>
      </c>
      <c r="S233" s="140" t="str">
        <f t="shared" si="3"/>
        <v/>
      </c>
      <c r="T233" s="140" t="str">
        <f t="shared" si="4"/>
        <v/>
      </c>
      <c r="U233" s="140" t="str">
        <f t="shared" si="5"/>
        <v/>
      </c>
      <c r="V233" s="99"/>
    </row>
    <row r="234" spans="1:22">
      <c r="A234" s="92"/>
      <c r="B234" s="146"/>
      <c r="C234" s="136"/>
      <c r="D234" s="109">
        <f>0.3-0.08</f>
        <v>0.21999999999999997</v>
      </c>
      <c r="E234" s="138"/>
      <c r="F234" s="139"/>
      <c r="G234" s="98"/>
      <c r="H234" s="99"/>
      <c r="I234" s="99"/>
      <c r="J234" s="100"/>
      <c r="K234" s="99"/>
      <c r="L234" s="99"/>
      <c r="M234" s="99"/>
      <c r="N234" s="99"/>
      <c r="O234" s="101"/>
      <c r="P234" s="140" t="str">
        <f t="shared" si="0"/>
        <v/>
      </c>
      <c r="Q234" s="140" t="str">
        <f t="shared" si="1"/>
        <v/>
      </c>
      <c r="R234" s="140" t="str">
        <f t="shared" si="2"/>
        <v/>
      </c>
      <c r="S234" s="140" t="str">
        <f t="shared" si="3"/>
        <v/>
      </c>
      <c r="T234" s="140" t="str">
        <f t="shared" si="4"/>
        <v/>
      </c>
      <c r="U234" s="140" t="str">
        <f t="shared" si="5"/>
        <v/>
      </c>
      <c r="V234" s="99"/>
    </row>
    <row r="235" spans="1:22">
      <c r="A235" s="92"/>
      <c r="B235" s="146"/>
      <c r="C235" s="136"/>
      <c r="D235" s="152"/>
      <c r="E235" s="138"/>
      <c r="F235" s="139"/>
      <c r="G235" s="98"/>
      <c r="H235" s="99"/>
      <c r="I235" s="99"/>
      <c r="J235" s="100"/>
      <c r="K235" s="99"/>
      <c r="L235" s="99"/>
      <c r="M235" s="99"/>
      <c r="N235" s="99"/>
      <c r="O235" s="101"/>
      <c r="P235" s="140" t="str">
        <f t="shared" si="0"/>
        <v/>
      </c>
      <c r="Q235" s="140" t="str">
        <f t="shared" si="1"/>
        <v/>
      </c>
      <c r="R235" s="140" t="str">
        <f t="shared" si="2"/>
        <v/>
      </c>
      <c r="S235" s="140" t="str">
        <f t="shared" si="3"/>
        <v/>
      </c>
      <c r="T235" s="140" t="str">
        <f t="shared" si="4"/>
        <v/>
      </c>
      <c r="U235" s="140" t="str">
        <f t="shared" si="5"/>
        <v/>
      </c>
      <c r="V235" s="99"/>
    </row>
    <row r="236" spans="1:22">
      <c r="A236" s="92">
        <v>9</v>
      </c>
      <c r="B236" s="92" t="s">
        <v>395</v>
      </c>
      <c r="C236" s="136"/>
      <c r="D236" s="137"/>
      <c r="E236" s="138"/>
      <c r="F236" s="139"/>
      <c r="G236" s="98"/>
      <c r="H236" s="99"/>
      <c r="I236" s="99"/>
      <c r="J236" s="109"/>
      <c r="K236" s="112"/>
      <c r="L236" s="112"/>
      <c r="M236" s="99"/>
      <c r="N236" s="112"/>
      <c r="O236" s="112"/>
      <c r="P236" s="140" t="str">
        <f>IF($G236=8,$O236,"")</f>
        <v/>
      </c>
      <c r="Q236" s="140" t="str">
        <f>IF($G236=10,$O236,"")</f>
        <v/>
      </c>
      <c r="R236" s="140" t="str">
        <f>IF($G236=12,$O236,"")</f>
        <v/>
      </c>
      <c r="S236" s="140" t="str">
        <f>IF($G236=16,$O236,"")</f>
        <v/>
      </c>
      <c r="T236" s="140" t="str">
        <f>IF($G236=20,$O236,"")</f>
        <v/>
      </c>
      <c r="U236" s="140" t="str">
        <f>IF($G236=25,$O236,"")</f>
        <v/>
      </c>
      <c r="V236" s="99"/>
    </row>
    <row r="237" spans="1:22">
      <c r="A237" s="92"/>
      <c r="B237" s="141" t="s">
        <v>378</v>
      </c>
      <c r="C237" s="136"/>
      <c r="D237" s="142">
        <f>0.85-0.075-2*0.016</f>
        <v>0.74299999999999999</v>
      </c>
      <c r="E237" s="138"/>
      <c r="F237" s="139"/>
      <c r="G237" s="98">
        <v>16</v>
      </c>
      <c r="H237" s="99">
        <v>1</v>
      </c>
      <c r="I237" s="99">
        <v>8</v>
      </c>
      <c r="J237" s="109">
        <f>D237</f>
        <v>0.74299999999999999</v>
      </c>
      <c r="K237" s="110" t="str">
        <f>IF(N237&lt;12,"0",0.049*G237)</f>
        <v>0</v>
      </c>
      <c r="L237" s="111">
        <v>1</v>
      </c>
      <c r="M237" s="99">
        <f>2*G237*L237/1000</f>
        <v>3.2000000000000001E-2</v>
      </c>
      <c r="N237" s="112">
        <f>J237+E239-M237</f>
        <v>1.0109999999999999</v>
      </c>
      <c r="O237" s="112">
        <f>H237*I237*N237</f>
        <v>8.0879999999999992</v>
      </c>
      <c r="P237" s="140" t="str">
        <f t="shared" si="0"/>
        <v/>
      </c>
      <c r="Q237" s="140" t="str">
        <f t="shared" si="1"/>
        <v/>
      </c>
      <c r="R237" s="140" t="str">
        <f t="shared" si="2"/>
        <v/>
      </c>
      <c r="S237" s="140">
        <f t="shared" si="3"/>
        <v>8.0879999999999992</v>
      </c>
      <c r="T237" s="140" t="str">
        <f t="shared" si="4"/>
        <v/>
      </c>
      <c r="U237" s="140" t="str">
        <f t="shared" si="5"/>
        <v/>
      </c>
      <c r="V237" s="99"/>
    </row>
    <row r="238" spans="1:22">
      <c r="A238" s="92"/>
      <c r="B238" s="141" t="s">
        <v>379</v>
      </c>
      <c r="C238" s="136"/>
      <c r="D238" s="137"/>
      <c r="E238" s="138"/>
      <c r="F238" s="139"/>
      <c r="G238" s="98">
        <v>12</v>
      </c>
      <c r="H238" s="99">
        <v>1</v>
      </c>
      <c r="I238" s="99">
        <v>16</v>
      </c>
      <c r="J238" s="109">
        <f>D237</f>
        <v>0.74299999999999999</v>
      </c>
      <c r="K238" s="110" t="str">
        <f t="shared" ref="K238:K239" si="27">IF(N238&lt;12,"0",0.049*G238)</f>
        <v>0</v>
      </c>
      <c r="L238" s="111">
        <v>1</v>
      </c>
      <c r="M238" s="99">
        <f t="shared" ref="M238:M239" si="28">2*G238*L238/1000</f>
        <v>2.4E-2</v>
      </c>
      <c r="N238" s="112">
        <f>J238+E239-M238</f>
        <v>1.0189999999999999</v>
      </c>
      <c r="O238" s="112">
        <f>H238*I238*N238</f>
        <v>16.303999999999998</v>
      </c>
      <c r="P238" s="140" t="str">
        <f t="shared" si="0"/>
        <v/>
      </c>
      <c r="Q238" s="140" t="str">
        <f t="shared" si="1"/>
        <v/>
      </c>
      <c r="R238" s="140">
        <f t="shared" si="2"/>
        <v>16.303999999999998</v>
      </c>
      <c r="S238" s="140" t="str">
        <f t="shared" si="3"/>
        <v/>
      </c>
      <c r="T238" s="140" t="str">
        <f t="shared" si="4"/>
        <v/>
      </c>
      <c r="U238" s="140" t="str">
        <f t="shared" si="5"/>
        <v/>
      </c>
      <c r="V238" s="99"/>
    </row>
    <row r="239" spans="1:22">
      <c r="A239" s="92"/>
      <c r="B239" s="141" t="s">
        <v>380</v>
      </c>
      <c r="C239" s="143"/>
      <c r="D239" s="142"/>
      <c r="E239" s="144">
        <v>0.3</v>
      </c>
      <c r="F239" s="139"/>
      <c r="G239" s="98">
        <v>10</v>
      </c>
      <c r="H239" s="99">
        <v>1</v>
      </c>
      <c r="I239" s="99">
        <v>8</v>
      </c>
      <c r="J239" s="109">
        <f>D237</f>
        <v>0.74299999999999999</v>
      </c>
      <c r="K239" s="110" t="str">
        <f t="shared" si="27"/>
        <v>0</v>
      </c>
      <c r="L239" s="111">
        <v>1</v>
      </c>
      <c r="M239" s="99">
        <f t="shared" si="28"/>
        <v>0.02</v>
      </c>
      <c r="N239" s="112">
        <f>J239+E239-M239</f>
        <v>1.0229999999999999</v>
      </c>
      <c r="O239" s="112">
        <f>H239*I239*N239</f>
        <v>8.1839999999999993</v>
      </c>
      <c r="P239" s="140" t="str">
        <f t="shared" si="0"/>
        <v/>
      </c>
      <c r="Q239" s="140">
        <f t="shared" si="1"/>
        <v>8.1839999999999993</v>
      </c>
      <c r="R239" s="140" t="str">
        <f t="shared" si="2"/>
        <v/>
      </c>
      <c r="S239" s="140" t="str">
        <f t="shared" si="3"/>
        <v/>
      </c>
      <c r="T239" s="140" t="str">
        <f t="shared" si="4"/>
        <v/>
      </c>
      <c r="U239" s="140" t="str">
        <f t="shared" si="5"/>
        <v/>
      </c>
      <c r="V239" s="99"/>
    </row>
    <row r="240" spans="1:22">
      <c r="A240" s="92"/>
      <c r="B240" s="141"/>
      <c r="C240" s="136"/>
      <c r="D240" s="137"/>
      <c r="E240" s="138"/>
      <c r="F240" s="139"/>
      <c r="G240" s="98"/>
      <c r="H240" s="99"/>
      <c r="I240" s="99"/>
      <c r="J240" s="109"/>
      <c r="K240" s="110"/>
      <c r="L240" s="111"/>
      <c r="M240" s="99"/>
      <c r="N240" s="112"/>
      <c r="O240" s="112"/>
      <c r="P240" s="140" t="str">
        <f t="shared" si="0"/>
        <v/>
      </c>
      <c r="Q240" s="140" t="str">
        <f t="shared" si="1"/>
        <v/>
      </c>
      <c r="R240" s="140" t="str">
        <f t="shared" si="2"/>
        <v/>
      </c>
      <c r="S240" s="140" t="str">
        <f t="shared" si="3"/>
        <v/>
      </c>
      <c r="T240" s="140" t="str">
        <f t="shared" si="4"/>
        <v/>
      </c>
      <c r="U240" s="140" t="str">
        <f t="shared" si="5"/>
        <v/>
      </c>
      <c r="V240" s="99"/>
    </row>
    <row r="241" spans="1:22">
      <c r="A241" s="92"/>
      <c r="B241" s="141"/>
      <c r="C241" s="136"/>
      <c r="D241" s="137"/>
      <c r="E241" s="138"/>
      <c r="F241" s="139"/>
      <c r="G241" s="98"/>
      <c r="H241" s="99"/>
      <c r="I241" s="99"/>
      <c r="J241" s="100"/>
      <c r="K241" s="99"/>
      <c r="L241" s="99"/>
      <c r="M241" s="99"/>
      <c r="N241" s="99"/>
      <c r="O241" s="101"/>
      <c r="P241" s="140" t="str">
        <f t="shared" si="0"/>
        <v/>
      </c>
      <c r="Q241" s="140" t="str">
        <f t="shared" si="1"/>
        <v/>
      </c>
      <c r="R241" s="140" t="str">
        <f t="shared" si="2"/>
        <v/>
      </c>
      <c r="S241" s="140" t="str">
        <f t="shared" si="3"/>
        <v/>
      </c>
      <c r="T241" s="140" t="str">
        <f t="shared" si="4"/>
        <v/>
      </c>
      <c r="U241" s="140" t="str">
        <f t="shared" si="5"/>
        <v/>
      </c>
      <c r="V241" s="99"/>
    </row>
    <row r="242" spans="1:22">
      <c r="A242" s="92"/>
      <c r="B242" s="92"/>
      <c r="C242" s="145">
        <v>0.08</v>
      </c>
      <c r="D242" s="137"/>
      <c r="E242" s="138"/>
      <c r="F242" s="139"/>
      <c r="G242" s="98"/>
      <c r="H242" s="99"/>
      <c r="I242" s="99"/>
      <c r="J242" s="100"/>
      <c r="K242" s="99"/>
      <c r="L242" s="99"/>
      <c r="M242" s="99"/>
      <c r="N242" s="99"/>
      <c r="O242" s="101"/>
      <c r="P242" s="140" t="str">
        <f t="shared" si="0"/>
        <v/>
      </c>
      <c r="Q242" s="140" t="str">
        <f t="shared" si="1"/>
        <v/>
      </c>
      <c r="R242" s="140" t="str">
        <f t="shared" si="2"/>
        <v/>
      </c>
      <c r="S242" s="140" t="str">
        <f t="shared" si="3"/>
        <v/>
      </c>
      <c r="T242" s="140" t="str">
        <f t="shared" si="4"/>
        <v/>
      </c>
      <c r="U242" s="140" t="str">
        <f t="shared" si="5"/>
        <v/>
      </c>
      <c r="V242" s="99"/>
    </row>
    <row r="243" spans="1:22">
      <c r="A243" s="92"/>
      <c r="B243" s="146" t="s">
        <v>382</v>
      </c>
      <c r="C243" s="147"/>
      <c r="D243" s="137"/>
      <c r="E243" s="148">
        <f>0.65-0.05</f>
        <v>0.6</v>
      </c>
      <c r="F243" s="139"/>
      <c r="G243" s="98">
        <v>10</v>
      </c>
      <c r="H243" s="99">
        <v>1</v>
      </c>
      <c r="I243" s="99">
        <v>4</v>
      </c>
      <c r="J243" s="149">
        <f>2*(D245+E243)+2*8*G243/1000</f>
        <v>1.72</v>
      </c>
      <c r="K243" s="99"/>
      <c r="L243" s="99">
        <v>5</v>
      </c>
      <c r="M243" s="112">
        <f>2*G243*L243/1000</f>
        <v>0.1</v>
      </c>
      <c r="N243" s="112">
        <f>(J243+K243-M243)</f>
        <v>1.6199999999999999</v>
      </c>
      <c r="O243" s="112">
        <f>(H243*I243*N243)</f>
        <v>6.4799999999999995</v>
      </c>
      <c r="P243" s="140" t="str">
        <f t="shared" si="0"/>
        <v/>
      </c>
      <c r="Q243" s="140">
        <f t="shared" si="1"/>
        <v>6.4799999999999995</v>
      </c>
      <c r="R243" s="140" t="str">
        <f t="shared" si="2"/>
        <v/>
      </c>
      <c r="S243" s="140" t="str">
        <f t="shared" si="3"/>
        <v/>
      </c>
      <c r="T243" s="140" t="str">
        <f t="shared" si="4"/>
        <v/>
      </c>
      <c r="U243" s="140" t="str">
        <f t="shared" si="5"/>
        <v/>
      </c>
      <c r="V243" s="99"/>
    </row>
    <row r="244" spans="1:22">
      <c r="A244" s="92"/>
      <c r="B244" s="146"/>
      <c r="C244" s="136"/>
      <c r="D244" s="137"/>
      <c r="E244" s="150"/>
      <c r="F244" s="139"/>
      <c r="G244" s="98"/>
      <c r="H244" s="99"/>
      <c r="I244" s="99"/>
      <c r="J244" s="100"/>
      <c r="K244" s="99"/>
      <c r="L244" s="99"/>
      <c r="M244" s="99"/>
      <c r="N244" s="99"/>
      <c r="O244" s="112"/>
      <c r="P244" s="140" t="str">
        <f t="shared" si="0"/>
        <v/>
      </c>
      <c r="Q244" s="140" t="str">
        <f t="shared" si="1"/>
        <v/>
      </c>
      <c r="R244" s="140" t="str">
        <f t="shared" si="2"/>
        <v/>
      </c>
      <c r="S244" s="140" t="str">
        <f t="shared" si="3"/>
        <v/>
      </c>
      <c r="T244" s="140" t="str">
        <f t="shared" si="4"/>
        <v/>
      </c>
      <c r="U244" s="140" t="str">
        <f t="shared" si="5"/>
        <v/>
      </c>
      <c r="V244" s="99"/>
    </row>
    <row r="245" spans="1:22">
      <c r="A245" s="92"/>
      <c r="B245" s="146"/>
      <c r="C245" s="136"/>
      <c r="D245" s="109">
        <f>0.23-0.05</f>
        <v>0.18</v>
      </c>
      <c r="E245" s="138"/>
      <c r="F245" s="139"/>
      <c r="G245" s="98"/>
      <c r="H245" s="99"/>
      <c r="I245" s="99"/>
      <c r="J245" s="100"/>
      <c r="K245" s="99"/>
      <c r="L245" s="99"/>
      <c r="M245" s="99"/>
      <c r="N245" s="99"/>
      <c r="O245" s="112"/>
      <c r="P245" s="140" t="str">
        <f t="shared" si="0"/>
        <v/>
      </c>
      <c r="Q245" s="140" t="str">
        <f t="shared" si="1"/>
        <v/>
      </c>
      <c r="R245" s="140" t="str">
        <f t="shared" si="2"/>
        <v/>
      </c>
      <c r="S245" s="140" t="str">
        <f t="shared" si="3"/>
        <v/>
      </c>
      <c r="T245" s="140" t="str">
        <f t="shared" si="4"/>
        <v/>
      </c>
      <c r="U245" s="140" t="str">
        <f t="shared" si="5"/>
        <v/>
      </c>
      <c r="V245" s="99"/>
    </row>
    <row r="246" spans="1:22">
      <c r="A246" s="92"/>
      <c r="B246" s="141"/>
      <c r="C246" s="136"/>
      <c r="D246" s="137"/>
      <c r="E246" s="138"/>
      <c r="F246" s="139"/>
      <c r="G246" s="98"/>
      <c r="H246" s="99"/>
      <c r="I246" s="99"/>
      <c r="J246" s="100"/>
      <c r="K246" s="99"/>
      <c r="L246" s="99"/>
      <c r="M246" s="99"/>
      <c r="N246" s="99"/>
      <c r="O246" s="101"/>
      <c r="P246" s="140" t="str">
        <f t="shared" si="0"/>
        <v/>
      </c>
      <c r="Q246" s="140" t="str">
        <f t="shared" si="1"/>
        <v/>
      </c>
      <c r="R246" s="140" t="str">
        <f t="shared" si="2"/>
        <v/>
      </c>
      <c r="S246" s="140" t="str">
        <f t="shared" si="3"/>
        <v/>
      </c>
      <c r="T246" s="140" t="str">
        <f t="shared" si="4"/>
        <v/>
      </c>
      <c r="U246" s="140" t="str">
        <f t="shared" si="5"/>
        <v/>
      </c>
      <c r="V246" s="99"/>
    </row>
    <row r="247" spans="1:22">
      <c r="A247" s="92"/>
      <c r="B247" s="92"/>
      <c r="C247" s="145">
        <v>0.08</v>
      </c>
      <c r="D247" s="137"/>
      <c r="E247" s="138"/>
      <c r="F247" s="139"/>
      <c r="G247" s="98"/>
      <c r="H247" s="99"/>
      <c r="I247" s="99"/>
      <c r="J247" s="100"/>
      <c r="K247" s="99"/>
      <c r="L247" s="99"/>
      <c r="M247" s="99"/>
      <c r="N247" s="99"/>
      <c r="O247" s="101"/>
      <c r="P247" s="140" t="str">
        <f t="shared" si="0"/>
        <v/>
      </c>
      <c r="Q247" s="140" t="str">
        <f t="shared" si="1"/>
        <v/>
      </c>
      <c r="R247" s="140" t="str">
        <f t="shared" si="2"/>
        <v/>
      </c>
      <c r="S247" s="140" t="str">
        <f t="shared" si="3"/>
        <v/>
      </c>
      <c r="T247" s="140" t="str">
        <f t="shared" si="4"/>
        <v/>
      </c>
      <c r="U247" s="140" t="str">
        <f t="shared" si="5"/>
        <v/>
      </c>
      <c r="V247" s="99"/>
    </row>
    <row r="248" spans="1:22">
      <c r="A248" s="92"/>
      <c r="B248" s="146" t="s">
        <v>383</v>
      </c>
      <c r="C248" s="147"/>
      <c r="D248" s="137"/>
      <c r="E248" s="148">
        <f>1.65-0.05</f>
        <v>1.5999999999999999</v>
      </c>
      <c r="F248" s="139"/>
      <c r="G248" s="98">
        <v>10</v>
      </c>
      <c r="H248" s="99">
        <v>1</v>
      </c>
      <c r="I248" s="99">
        <v>4</v>
      </c>
      <c r="J248" s="149">
        <f>2*(D250+E248)+2*8*G248/1000</f>
        <v>3.7199999999999998</v>
      </c>
      <c r="K248" s="99"/>
      <c r="L248" s="99">
        <v>5</v>
      </c>
      <c r="M248" s="112">
        <f>2*G248*L248/1000</f>
        <v>0.1</v>
      </c>
      <c r="N248" s="112">
        <f>(J248+K248-M248)</f>
        <v>3.6199999999999997</v>
      </c>
      <c r="O248" s="112">
        <f>(H248*I248*N248)</f>
        <v>14.479999999999999</v>
      </c>
      <c r="P248" s="140" t="str">
        <f t="shared" si="0"/>
        <v/>
      </c>
      <c r="Q248" s="140">
        <f t="shared" si="1"/>
        <v>14.479999999999999</v>
      </c>
      <c r="R248" s="140" t="str">
        <f t="shared" si="2"/>
        <v/>
      </c>
      <c r="S248" s="140" t="str">
        <f t="shared" si="3"/>
        <v/>
      </c>
      <c r="T248" s="140" t="str">
        <f t="shared" si="4"/>
        <v/>
      </c>
      <c r="U248" s="140" t="str">
        <f t="shared" si="5"/>
        <v/>
      </c>
      <c r="V248" s="99"/>
    </row>
    <row r="249" spans="1:22">
      <c r="A249" s="92"/>
      <c r="B249" s="146"/>
      <c r="C249" s="136"/>
      <c r="D249" s="137"/>
      <c r="E249" s="150"/>
      <c r="F249" s="139"/>
      <c r="G249" s="98"/>
      <c r="H249" s="99"/>
      <c r="I249" s="99"/>
      <c r="J249" s="100"/>
      <c r="K249" s="99"/>
      <c r="L249" s="99"/>
      <c r="M249" s="99"/>
      <c r="N249" s="99"/>
      <c r="O249" s="112"/>
      <c r="P249" s="140" t="str">
        <f t="shared" si="0"/>
        <v/>
      </c>
      <c r="Q249" s="140" t="str">
        <f t="shared" si="1"/>
        <v/>
      </c>
      <c r="R249" s="140" t="str">
        <f t="shared" si="2"/>
        <v/>
      </c>
      <c r="S249" s="140" t="str">
        <f t="shared" si="3"/>
        <v/>
      </c>
      <c r="T249" s="140" t="str">
        <f t="shared" si="4"/>
        <v/>
      </c>
      <c r="U249" s="140" t="str">
        <f t="shared" si="5"/>
        <v/>
      </c>
      <c r="V249" s="99"/>
    </row>
    <row r="250" spans="1:22">
      <c r="A250" s="92"/>
      <c r="B250" s="146"/>
      <c r="C250" s="136"/>
      <c r="D250" s="109">
        <f>0.23-0.05</f>
        <v>0.18</v>
      </c>
      <c r="E250" s="138"/>
      <c r="F250" s="139"/>
      <c r="G250" s="98"/>
      <c r="H250" s="99"/>
      <c r="I250" s="99"/>
      <c r="J250" s="100"/>
      <c r="K250" s="99"/>
      <c r="L250" s="99"/>
      <c r="M250" s="99"/>
      <c r="N250" s="99"/>
      <c r="O250" s="112"/>
      <c r="P250" s="140" t="str">
        <f t="shared" si="0"/>
        <v/>
      </c>
      <c r="Q250" s="140" t="str">
        <f t="shared" si="1"/>
        <v/>
      </c>
      <c r="R250" s="140" t="str">
        <f t="shared" si="2"/>
        <v/>
      </c>
      <c r="S250" s="140" t="str">
        <f t="shared" si="3"/>
        <v/>
      </c>
      <c r="T250" s="140" t="str">
        <f t="shared" si="4"/>
        <v/>
      </c>
      <c r="U250" s="140" t="str">
        <f t="shared" si="5"/>
        <v/>
      </c>
      <c r="V250" s="99"/>
    </row>
    <row r="251" spans="1:22">
      <c r="A251" s="92"/>
      <c r="B251" s="141"/>
      <c r="C251" s="136"/>
      <c r="D251" s="137"/>
      <c r="E251" s="138"/>
      <c r="F251" s="139"/>
      <c r="G251" s="98"/>
      <c r="H251" s="99"/>
      <c r="I251" s="99"/>
      <c r="J251" s="100"/>
      <c r="K251" s="99"/>
      <c r="L251" s="99"/>
      <c r="M251" s="99"/>
      <c r="N251" s="99"/>
      <c r="O251" s="112"/>
      <c r="P251" s="140" t="str">
        <f t="shared" si="0"/>
        <v/>
      </c>
      <c r="Q251" s="140" t="str">
        <f t="shared" si="1"/>
        <v/>
      </c>
      <c r="R251" s="140" t="str">
        <f t="shared" si="2"/>
        <v/>
      </c>
      <c r="S251" s="140" t="str">
        <f t="shared" si="3"/>
        <v/>
      </c>
      <c r="T251" s="140" t="str">
        <f t="shared" si="4"/>
        <v/>
      </c>
      <c r="U251" s="140" t="str">
        <f t="shared" si="5"/>
        <v/>
      </c>
      <c r="V251" s="99"/>
    </row>
    <row r="252" spans="1:22">
      <c r="A252" s="92"/>
      <c r="B252" s="92"/>
      <c r="C252" s="145">
        <v>0.08</v>
      </c>
      <c r="D252" s="137"/>
      <c r="E252" s="138"/>
      <c r="F252" s="139"/>
      <c r="G252" s="98"/>
      <c r="H252" s="99"/>
      <c r="I252" s="99"/>
      <c r="J252" s="100"/>
      <c r="K252" s="99"/>
      <c r="L252" s="99"/>
      <c r="M252" s="99"/>
      <c r="N252" s="99"/>
      <c r="O252" s="112"/>
      <c r="P252" s="140" t="str">
        <f t="shared" si="0"/>
        <v/>
      </c>
      <c r="Q252" s="140" t="str">
        <f t="shared" si="1"/>
        <v/>
      </c>
      <c r="R252" s="140" t="str">
        <f t="shared" si="2"/>
        <v/>
      </c>
      <c r="S252" s="140" t="str">
        <f t="shared" si="3"/>
        <v/>
      </c>
      <c r="T252" s="140" t="str">
        <f t="shared" si="4"/>
        <v/>
      </c>
      <c r="U252" s="140" t="str">
        <f t="shared" si="5"/>
        <v/>
      </c>
      <c r="V252" s="99"/>
    </row>
    <row r="253" spans="1:22">
      <c r="A253" s="92"/>
      <c r="B253" s="146" t="s">
        <v>384</v>
      </c>
      <c r="C253" s="147"/>
      <c r="D253" s="137"/>
      <c r="E253" s="148">
        <f>((0.65-0.05-0.016)/5)*2+0.012+0.02</f>
        <v>0.2656</v>
      </c>
      <c r="F253" s="139"/>
      <c r="G253" s="98">
        <v>10</v>
      </c>
      <c r="H253" s="99">
        <v>1</v>
      </c>
      <c r="I253" s="99">
        <v>1</v>
      </c>
      <c r="J253" s="149">
        <f>2*(D255+E253)+2*8*G253/1000</f>
        <v>1.0511999999999999</v>
      </c>
      <c r="K253" s="99"/>
      <c r="L253" s="99">
        <v>5</v>
      </c>
      <c r="M253" s="112">
        <f>2*G253*L253/1000</f>
        <v>0.1</v>
      </c>
      <c r="N253" s="112">
        <f>(J253+K253-M253)</f>
        <v>0.95119999999999993</v>
      </c>
      <c r="O253" s="112">
        <f>(H253*I253*N253)</f>
        <v>0.95119999999999993</v>
      </c>
      <c r="P253" s="140" t="str">
        <f t="shared" si="0"/>
        <v/>
      </c>
      <c r="Q253" s="140">
        <f t="shared" si="1"/>
        <v>0.95119999999999993</v>
      </c>
      <c r="R253" s="140" t="str">
        <f t="shared" si="2"/>
        <v/>
      </c>
      <c r="S253" s="140" t="str">
        <f t="shared" si="3"/>
        <v/>
      </c>
      <c r="T253" s="140" t="str">
        <f t="shared" si="4"/>
        <v/>
      </c>
      <c r="U253" s="140" t="str">
        <f t="shared" si="5"/>
        <v/>
      </c>
      <c r="V253" s="99"/>
    </row>
    <row r="254" spans="1:22">
      <c r="A254" s="92"/>
      <c r="B254" s="146"/>
      <c r="C254" s="136"/>
      <c r="D254" s="137"/>
      <c r="E254" s="150"/>
      <c r="F254" s="139"/>
      <c r="G254" s="98"/>
      <c r="H254" s="99"/>
      <c r="I254" s="99"/>
      <c r="J254" s="100"/>
      <c r="K254" s="99"/>
      <c r="L254" s="99"/>
      <c r="M254" s="99"/>
      <c r="N254" s="99"/>
      <c r="O254" s="112"/>
      <c r="P254" s="140" t="str">
        <f t="shared" si="0"/>
        <v/>
      </c>
      <c r="Q254" s="140" t="str">
        <f t="shared" si="1"/>
        <v/>
      </c>
      <c r="R254" s="140" t="str">
        <f t="shared" si="2"/>
        <v/>
      </c>
      <c r="S254" s="140" t="str">
        <f t="shared" si="3"/>
        <v/>
      </c>
      <c r="T254" s="140" t="str">
        <f t="shared" si="4"/>
        <v/>
      </c>
      <c r="U254" s="140" t="str">
        <f t="shared" si="5"/>
        <v/>
      </c>
      <c r="V254" s="99"/>
    </row>
    <row r="255" spans="1:22">
      <c r="A255" s="92"/>
      <c r="B255" s="146"/>
      <c r="C255" s="136"/>
      <c r="D255" s="109">
        <f>0.23-0.05</f>
        <v>0.18</v>
      </c>
      <c r="E255" s="138"/>
      <c r="F255" s="139"/>
      <c r="G255" s="98"/>
      <c r="H255" s="99"/>
      <c r="I255" s="99"/>
      <c r="J255" s="100"/>
      <c r="K255" s="99"/>
      <c r="L255" s="99"/>
      <c r="M255" s="99"/>
      <c r="N255" s="99"/>
      <c r="O255" s="112"/>
      <c r="P255" s="140" t="str">
        <f t="shared" si="0"/>
        <v/>
      </c>
      <c r="Q255" s="140" t="str">
        <f t="shared" si="1"/>
        <v/>
      </c>
      <c r="R255" s="140" t="str">
        <f t="shared" si="2"/>
        <v/>
      </c>
      <c r="S255" s="140" t="str">
        <f t="shared" si="3"/>
        <v/>
      </c>
      <c r="T255" s="140" t="str">
        <f t="shared" si="4"/>
        <v/>
      </c>
      <c r="U255" s="140" t="str">
        <f t="shared" si="5"/>
        <v/>
      </c>
      <c r="V255" s="99"/>
    </row>
    <row r="256" spans="1:22">
      <c r="A256" s="92"/>
      <c r="B256" s="141"/>
      <c r="C256" s="136"/>
      <c r="D256" s="137"/>
      <c r="E256" s="138"/>
      <c r="F256" s="139"/>
      <c r="G256" s="98"/>
      <c r="H256" s="99"/>
      <c r="I256" s="99"/>
      <c r="J256" s="100"/>
      <c r="K256" s="99"/>
      <c r="L256" s="99"/>
      <c r="M256" s="99"/>
      <c r="N256" s="99"/>
      <c r="O256" s="101"/>
      <c r="P256" s="140" t="str">
        <f t="shared" si="0"/>
        <v/>
      </c>
      <c r="Q256" s="140" t="str">
        <f t="shared" si="1"/>
        <v/>
      </c>
      <c r="R256" s="140" t="str">
        <f t="shared" si="2"/>
        <v/>
      </c>
      <c r="S256" s="140" t="str">
        <f t="shared" si="3"/>
        <v/>
      </c>
      <c r="T256" s="140" t="str">
        <f t="shared" si="4"/>
        <v/>
      </c>
      <c r="U256" s="140" t="str">
        <f t="shared" si="5"/>
        <v/>
      </c>
      <c r="V256" s="99"/>
    </row>
    <row r="257" spans="1:22">
      <c r="A257" s="92"/>
      <c r="B257" s="92"/>
      <c r="C257" s="145">
        <v>0.08</v>
      </c>
      <c r="D257" s="137"/>
      <c r="E257" s="138"/>
      <c r="F257" s="139"/>
      <c r="G257" s="98"/>
      <c r="H257" s="99"/>
      <c r="I257" s="99"/>
      <c r="J257" s="100"/>
      <c r="K257" s="99"/>
      <c r="L257" s="99"/>
      <c r="M257" s="99"/>
      <c r="N257" s="99"/>
      <c r="O257" s="101"/>
      <c r="P257" s="140" t="str">
        <f t="shared" si="0"/>
        <v/>
      </c>
      <c r="Q257" s="140" t="str">
        <f t="shared" si="1"/>
        <v/>
      </c>
      <c r="R257" s="140" t="str">
        <f t="shared" si="2"/>
        <v/>
      </c>
      <c r="S257" s="140" t="str">
        <f t="shared" si="3"/>
        <v/>
      </c>
      <c r="T257" s="140" t="str">
        <f t="shared" si="4"/>
        <v/>
      </c>
      <c r="U257" s="140" t="str">
        <f t="shared" si="5"/>
        <v/>
      </c>
      <c r="V257" s="99"/>
    </row>
    <row r="258" spans="1:22">
      <c r="A258" s="92"/>
      <c r="B258" s="146" t="s">
        <v>385</v>
      </c>
      <c r="C258" s="147"/>
      <c r="D258" s="137"/>
      <c r="E258" s="148">
        <f>((1.65-0.05-0.014)/11)*3+0.014+0.02</f>
        <v>0.46654545454545449</v>
      </c>
      <c r="F258" s="139"/>
      <c r="G258" s="98">
        <v>10</v>
      </c>
      <c r="H258" s="99">
        <v>1</v>
      </c>
      <c r="I258" s="99">
        <v>1</v>
      </c>
      <c r="J258" s="149">
        <f>2*(D260+E258)+2*8*G258/1000</f>
        <v>1.453090909090909</v>
      </c>
      <c r="K258" s="99"/>
      <c r="L258" s="99">
        <v>5</v>
      </c>
      <c r="M258" s="112">
        <f>2*G258*L258/1000</f>
        <v>0.1</v>
      </c>
      <c r="N258" s="112">
        <f>(J258+K258-M258)</f>
        <v>1.3530909090909089</v>
      </c>
      <c r="O258" s="112">
        <f>(H258*I258*N258)</f>
        <v>1.3530909090909089</v>
      </c>
      <c r="P258" s="140" t="str">
        <f t="shared" si="0"/>
        <v/>
      </c>
      <c r="Q258" s="140">
        <f t="shared" si="1"/>
        <v>1.3530909090909089</v>
      </c>
      <c r="R258" s="140" t="str">
        <f t="shared" si="2"/>
        <v/>
      </c>
      <c r="S258" s="140" t="str">
        <f t="shared" si="3"/>
        <v/>
      </c>
      <c r="T258" s="140" t="str">
        <f t="shared" si="4"/>
        <v/>
      </c>
      <c r="U258" s="140" t="str">
        <f t="shared" si="5"/>
        <v/>
      </c>
      <c r="V258" s="99"/>
    </row>
    <row r="259" spans="1:22">
      <c r="A259" s="92"/>
      <c r="B259" s="146"/>
      <c r="C259" s="136"/>
      <c r="D259" s="137"/>
      <c r="E259" s="150"/>
      <c r="F259" s="139"/>
      <c r="G259" s="98"/>
      <c r="H259" s="99"/>
      <c r="I259" s="99"/>
      <c r="J259" s="100"/>
      <c r="K259" s="99"/>
      <c r="L259" s="99"/>
      <c r="M259" s="99"/>
      <c r="N259" s="99"/>
      <c r="O259" s="112"/>
      <c r="P259" s="140" t="str">
        <f t="shared" si="0"/>
        <v/>
      </c>
      <c r="Q259" s="140" t="str">
        <f t="shared" si="1"/>
        <v/>
      </c>
      <c r="R259" s="140" t="str">
        <f t="shared" si="2"/>
        <v/>
      </c>
      <c r="S259" s="140" t="str">
        <f t="shared" si="3"/>
        <v/>
      </c>
      <c r="T259" s="140" t="str">
        <f t="shared" si="4"/>
        <v/>
      </c>
      <c r="U259" s="140" t="str">
        <f t="shared" si="5"/>
        <v/>
      </c>
      <c r="V259" s="99"/>
    </row>
    <row r="260" spans="1:22">
      <c r="A260" s="92"/>
      <c r="B260" s="146"/>
      <c r="C260" s="136"/>
      <c r="D260" s="109">
        <f>0.23-0.05</f>
        <v>0.18</v>
      </c>
      <c r="E260" s="138"/>
      <c r="F260" s="139"/>
      <c r="G260" s="98"/>
      <c r="H260" s="99"/>
      <c r="I260" s="99"/>
      <c r="J260" s="100"/>
      <c r="K260" s="99"/>
      <c r="L260" s="99"/>
      <c r="M260" s="99"/>
      <c r="N260" s="99"/>
      <c r="O260" s="112"/>
      <c r="P260" s="140" t="str">
        <f t="shared" si="0"/>
        <v/>
      </c>
      <c r="Q260" s="140" t="str">
        <f t="shared" si="1"/>
        <v/>
      </c>
      <c r="R260" s="140" t="str">
        <f t="shared" si="2"/>
        <v/>
      </c>
      <c r="S260" s="140" t="str">
        <f t="shared" si="3"/>
        <v/>
      </c>
      <c r="T260" s="140" t="str">
        <f t="shared" si="4"/>
        <v/>
      </c>
      <c r="U260" s="140" t="str">
        <f t="shared" si="5"/>
        <v/>
      </c>
      <c r="V260" s="99"/>
    </row>
    <row r="261" spans="1:22">
      <c r="A261" s="92"/>
      <c r="B261" s="141"/>
      <c r="C261" s="136"/>
      <c r="D261" s="137"/>
      <c r="E261" s="138"/>
      <c r="F261" s="139"/>
      <c r="G261" s="98"/>
      <c r="H261" s="99"/>
      <c r="I261" s="99"/>
      <c r="J261" s="100"/>
      <c r="K261" s="99"/>
      <c r="L261" s="99"/>
      <c r="M261" s="99"/>
      <c r="N261" s="99"/>
      <c r="O261" s="101"/>
      <c r="P261" s="140" t="str">
        <f t="shared" si="0"/>
        <v/>
      </c>
      <c r="Q261" s="140" t="str">
        <f t="shared" si="1"/>
        <v/>
      </c>
      <c r="R261" s="140" t="str">
        <f t="shared" si="2"/>
        <v/>
      </c>
      <c r="S261" s="140" t="str">
        <f t="shared" si="3"/>
        <v/>
      </c>
      <c r="T261" s="140" t="str">
        <f t="shared" si="4"/>
        <v/>
      </c>
      <c r="U261" s="140" t="str">
        <f t="shared" si="5"/>
        <v/>
      </c>
      <c r="V261" s="99"/>
    </row>
    <row r="262" spans="1:22">
      <c r="A262" s="92"/>
      <c r="B262" s="92"/>
      <c r="C262" s="145">
        <v>0.08</v>
      </c>
      <c r="D262" s="137"/>
      <c r="E262" s="138"/>
      <c r="F262" s="139"/>
      <c r="G262" s="98"/>
      <c r="H262" s="99"/>
      <c r="I262" s="99"/>
      <c r="J262" s="100"/>
      <c r="K262" s="99"/>
      <c r="L262" s="99"/>
      <c r="M262" s="99"/>
      <c r="N262" s="99"/>
      <c r="O262" s="101"/>
      <c r="P262" s="140" t="str">
        <f t="shared" si="0"/>
        <v/>
      </c>
      <c r="Q262" s="140" t="str">
        <f t="shared" si="1"/>
        <v/>
      </c>
      <c r="R262" s="140" t="str">
        <f t="shared" si="2"/>
        <v/>
      </c>
      <c r="S262" s="140" t="str">
        <f t="shared" si="3"/>
        <v/>
      </c>
      <c r="T262" s="140" t="str">
        <f t="shared" si="4"/>
        <v/>
      </c>
      <c r="U262" s="140" t="str">
        <f t="shared" si="5"/>
        <v/>
      </c>
      <c r="V262" s="99"/>
    </row>
    <row r="263" spans="1:22">
      <c r="A263" s="92"/>
      <c r="B263" s="146" t="s">
        <v>390</v>
      </c>
      <c r="C263" s="147"/>
      <c r="D263" s="137"/>
      <c r="E263" s="148">
        <f>((1.65-0.05-0.014)/11)*5+0.01+0.02</f>
        <v>0.75090909090909086</v>
      </c>
      <c r="F263" s="139"/>
      <c r="G263" s="98">
        <v>10</v>
      </c>
      <c r="H263" s="99">
        <v>1</v>
      </c>
      <c r="I263" s="99">
        <v>1</v>
      </c>
      <c r="J263" s="149">
        <f>2*(D265+E263)+2*8*G263/1000</f>
        <v>2.021818181818182</v>
      </c>
      <c r="K263" s="99"/>
      <c r="L263" s="99">
        <v>5</v>
      </c>
      <c r="M263" s="112">
        <f>2*G263*L263/1000</f>
        <v>0.1</v>
      </c>
      <c r="N263" s="112">
        <f>(J263+K263-M263)</f>
        <v>1.9218181818181819</v>
      </c>
      <c r="O263" s="112">
        <f>(H263*I263*N263)</f>
        <v>1.9218181818181819</v>
      </c>
      <c r="P263" s="140" t="str">
        <f t="shared" si="0"/>
        <v/>
      </c>
      <c r="Q263" s="140">
        <f t="shared" si="1"/>
        <v>1.9218181818181819</v>
      </c>
      <c r="R263" s="140" t="str">
        <f t="shared" si="2"/>
        <v/>
      </c>
      <c r="S263" s="140" t="str">
        <f t="shared" si="3"/>
        <v/>
      </c>
      <c r="T263" s="140" t="str">
        <f t="shared" si="4"/>
        <v/>
      </c>
      <c r="U263" s="140" t="str">
        <f t="shared" si="5"/>
        <v/>
      </c>
      <c r="V263" s="99"/>
    </row>
    <row r="264" spans="1:22">
      <c r="A264" s="92"/>
      <c r="B264" s="146"/>
      <c r="C264" s="136"/>
      <c r="D264" s="137"/>
      <c r="E264" s="150"/>
      <c r="F264" s="139"/>
      <c r="G264" s="98"/>
      <c r="H264" s="99"/>
      <c r="I264" s="99"/>
      <c r="J264" s="100"/>
      <c r="K264" s="99"/>
      <c r="L264" s="99"/>
      <c r="M264" s="99"/>
      <c r="N264" s="99"/>
      <c r="O264" s="112"/>
      <c r="P264" s="140" t="str">
        <f t="shared" si="0"/>
        <v/>
      </c>
      <c r="Q264" s="140" t="str">
        <f t="shared" si="1"/>
        <v/>
      </c>
      <c r="R264" s="140" t="str">
        <f t="shared" si="2"/>
        <v/>
      </c>
      <c r="S264" s="140" t="str">
        <f t="shared" si="3"/>
        <v/>
      </c>
      <c r="T264" s="140" t="str">
        <f t="shared" si="4"/>
        <v/>
      </c>
      <c r="U264" s="140" t="str">
        <f t="shared" si="5"/>
        <v/>
      </c>
      <c r="V264" s="99"/>
    </row>
    <row r="265" spans="1:22">
      <c r="A265" s="92"/>
      <c r="B265" s="146"/>
      <c r="C265" s="136"/>
      <c r="D265" s="109">
        <f>0.23-0.05</f>
        <v>0.18</v>
      </c>
      <c r="E265" s="138"/>
      <c r="F265" s="139"/>
      <c r="G265" s="98"/>
      <c r="H265" s="99"/>
      <c r="I265" s="99"/>
      <c r="J265" s="100"/>
      <c r="K265" s="99"/>
      <c r="L265" s="99"/>
      <c r="M265" s="99"/>
      <c r="N265" s="99"/>
      <c r="O265" s="112"/>
      <c r="P265" s="140" t="str">
        <f t="shared" si="0"/>
        <v/>
      </c>
      <c r="Q265" s="140" t="str">
        <f t="shared" si="1"/>
        <v/>
      </c>
      <c r="R265" s="140" t="str">
        <f t="shared" si="2"/>
        <v/>
      </c>
      <c r="S265" s="140" t="str">
        <f t="shared" si="3"/>
        <v/>
      </c>
      <c r="T265" s="140" t="str">
        <f t="shared" si="4"/>
        <v/>
      </c>
      <c r="U265" s="140" t="str">
        <f t="shared" si="5"/>
        <v/>
      </c>
      <c r="V265" s="99"/>
    </row>
    <row r="266" spans="1:22">
      <c r="A266" s="92"/>
      <c r="B266" s="141"/>
      <c r="C266" s="136"/>
      <c r="D266" s="137"/>
      <c r="E266" s="138"/>
      <c r="F266" s="139"/>
      <c r="G266" s="98"/>
      <c r="H266" s="99"/>
      <c r="I266" s="99"/>
      <c r="J266" s="100"/>
      <c r="K266" s="99"/>
      <c r="L266" s="99"/>
      <c r="M266" s="99"/>
      <c r="N266" s="99"/>
      <c r="O266" s="101"/>
      <c r="P266" s="140" t="str">
        <f t="shared" si="0"/>
        <v/>
      </c>
      <c r="Q266" s="140" t="str">
        <f t="shared" si="1"/>
        <v/>
      </c>
      <c r="R266" s="140" t="str">
        <f t="shared" si="2"/>
        <v/>
      </c>
      <c r="S266" s="140" t="str">
        <f t="shared" si="3"/>
        <v/>
      </c>
      <c r="T266" s="140" t="str">
        <f t="shared" si="4"/>
        <v/>
      </c>
      <c r="U266" s="140" t="str">
        <f t="shared" si="5"/>
        <v/>
      </c>
      <c r="V266" s="99"/>
    </row>
    <row r="267" spans="1:22">
      <c r="A267" s="92"/>
      <c r="B267" s="141"/>
      <c r="C267" s="145">
        <v>0.08</v>
      </c>
      <c r="D267" s="137"/>
      <c r="E267" s="138"/>
      <c r="F267" s="139"/>
      <c r="G267" s="98"/>
      <c r="H267" s="99"/>
      <c r="I267" s="99"/>
      <c r="J267" s="100"/>
      <c r="K267" s="99"/>
      <c r="L267" s="99"/>
      <c r="M267" s="99"/>
      <c r="N267" s="99"/>
      <c r="O267" s="101"/>
      <c r="P267" s="140" t="str">
        <f t="shared" si="0"/>
        <v/>
      </c>
      <c r="Q267" s="140" t="str">
        <f t="shared" si="1"/>
        <v/>
      </c>
      <c r="R267" s="140" t="str">
        <f t="shared" si="2"/>
        <v/>
      </c>
      <c r="S267" s="140" t="str">
        <f t="shared" si="3"/>
        <v/>
      </c>
      <c r="T267" s="140" t="str">
        <f t="shared" si="4"/>
        <v/>
      </c>
      <c r="U267" s="140" t="str">
        <f t="shared" si="5"/>
        <v/>
      </c>
      <c r="V267" s="99"/>
    </row>
    <row r="268" spans="1:22">
      <c r="A268" s="92"/>
      <c r="B268" s="146" t="s">
        <v>396</v>
      </c>
      <c r="C268" s="147"/>
      <c r="D268" s="137"/>
      <c r="E268" s="148">
        <f>((1.65-0.05-0.014)/11)*1+0.012+0.02</f>
        <v>0.17618181818181816</v>
      </c>
      <c r="F268" s="139"/>
      <c r="G268" s="98">
        <v>10</v>
      </c>
      <c r="H268" s="99">
        <v>1</v>
      </c>
      <c r="I268" s="99">
        <v>1</v>
      </c>
      <c r="J268" s="149">
        <f>2*(D270+E268)+2*8*G268/1000</f>
        <v>0.87236363636363634</v>
      </c>
      <c r="K268" s="99"/>
      <c r="L268" s="99">
        <v>5</v>
      </c>
      <c r="M268" s="112">
        <f>2*G268*L268/1000</f>
        <v>0.1</v>
      </c>
      <c r="N268" s="112">
        <f>(J268+K268-M268)</f>
        <v>0.77236363636363636</v>
      </c>
      <c r="O268" s="112">
        <f>(H268*I268*N268)</f>
        <v>0.77236363636363636</v>
      </c>
      <c r="P268" s="140" t="str">
        <f t="shared" si="0"/>
        <v/>
      </c>
      <c r="Q268" s="140">
        <f t="shared" si="1"/>
        <v>0.77236363636363636</v>
      </c>
      <c r="R268" s="140" t="str">
        <f t="shared" si="2"/>
        <v/>
      </c>
      <c r="S268" s="140" t="str">
        <f t="shared" si="3"/>
        <v/>
      </c>
      <c r="T268" s="140" t="str">
        <f t="shared" si="4"/>
        <v/>
      </c>
      <c r="U268" s="140" t="str">
        <f t="shared" si="5"/>
        <v/>
      </c>
      <c r="V268" s="99"/>
    </row>
    <row r="269" spans="1:22">
      <c r="A269" s="92"/>
      <c r="B269" s="146"/>
      <c r="C269" s="136"/>
      <c r="D269" s="137"/>
      <c r="E269" s="150"/>
      <c r="F269" s="139"/>
      <c r="G269" s="98"/>
      <c r="H269" s="99"/>
      <c r="I269" s="99"/>
      <c r="J269" s="100"/>
      <c r="K269" s="99"/>
      <c r="L269" s="99"/>
      <c r="M269" s="99"/>
      <c r="N269" s="99"/>
      <c r="O269" s="112"/>
      <c r="P269" s="140" t="str">
        <f t="shared" si="0"/>
        <v/>
      </c>
      <c r="Q269" s="140" t="str">
        <f t="shared" si="1"/>
        <v/>
      </c>
      <c r="R269" s="140" t="str">
        <f t="shared" si="2"/>
        <v/>
      </c>
      <c r="S269" s="140" t="str">
        <f t="shared" si="3"/>
        <v/>
      </c>
      <c r="T269" s="140" t="str">
        <f t="shared" si="4"/>
        <v/>
      </c>
      <c r="U269" s="140" t="str">
        <f t="shared" si="5"/>
        <v/>
      </c>
      <c r="V269" s="99"/>
    </row>
    <row r="270" spans="1:22">
      <c r="A270" s="92"/>
      <c r="B270" s="146"/>
      <c r="C270" s="136"/>
      <c r="D270" s="109">
        <f>0.23-0.05</f>
        <v>0.18</v>
      </c>
      <c r="E270" s="138"/>
      <c r="F270" s="139"/>
      <c r="G270" s="98"/>
      <c r="H270" s="99"/>
      <c r="I270" s="99"/>
      <c r="J270" s="100"/>
      <c r="K270" s="99"/>
      <c r="L270" s="99"/>
      <c r="M270" s="99"/>
      <c r="N270" s="99"/>
      <c r="O270" s="112"/>
      <c r="P270" s="140" t="str">
        <f t="shared" si="0"/>
        <v/>
      </c>
      <c r="Q270" s="140" t="str">
        <f t="shared" si="1"/>
        <v/>
      </c>
      <c r="R270" s="140" t="str">
        <f t="shared" si="2"/>
        <v/>
      </c>
      <c r="S270" s="140" t="str">
        <f t="shared" si="3"/>
        <v/>
      </c>
      <c r="T270" s="140" t="str">
        <f t="shared" si="4"/>
        <v/>
      </c>
      <c r="U270" s="140" t="str">
        <f t="shared" si="5"/>
        <v/>
      </c>
      <c r="V270" s="99"/>
    </row>
    <row r="271" spans="1:22">
      <c r="A271" s="92"/>
      <c r="B271" s="141"/>
      <c r="C271" s="136"/>
      <c r="D271" s="137"/>
      <c r="E271" s="138"/>
      <c r="F271" s="139"/>
      <c r="G271" s="98"/>
      <c r="H271" s="99"/>
      <c r="I271" s="99"/>
      <c r="J271" s="100"/>
      <c r="K271" s="99"/>
      <c r="L271" s="99"/>
      <c r="M271" s="99"/>
      <c r="N271" s="99"/>
      <c r="O271" s="101"/>
      <c r="P271" s="140" t="str">
        <f t="shared" si="0"/>
        <v/>
      </c>
      <c r="Q271" s="140" t="str">
        <f t="shared" si="1"/>
        <v/>
      </c>
      <c r="R271" s="140" t="str">
        <f t="shared" si="2"/>
        <v/>
      </c>
      <c r="S271" s="140" t="str">
        <f t="shared" si="3"/>
        <v/>
      </c>
      <c r="T271" s="140" t="str">
        <f t="shared" si="4"/>
        <v/>
      </c>
      <c r="U271" s="140" t="str">
        <f t="shared" si="5"/>
        <v/>
      </c>
      <c r="V271" s="99"/>
    </row>
    <row r="272" spans="1:22">
      <c r="A272" s="92"/>
      <c r="B272" s="141"/>
      <c r="C272" s="136"/>
      <c r="D272" s="137"/>
      <c r="E272" s="144">
        <v>0.08</v>
      </c>
      <c r="F272" s="139"/>
      <c r="G272" s="98"/>
      <c r="H272" s="99"/>
      <c r="I272" s="99"/>
      <c r="J272" s="100"/>
      <c r="K272" s="99"/>
      <c r="L272" s="99"/>
      <c r="M272" s="99"/>
      <c r="N272" s="99"/>
      <c r="O272" s="101"/>
      <c r="P272" s="140" t="str">
        <f t="shared" si="0"/>
        <v/>
      </c>
      <c r="Q272" s="140" t="str">
        <f t="shared" si="1"/>
        <v/>
      </c>
      <c r="R272" s="140" t="str">
        <f t="shared" si="2"/>
        <v/>
      </c>
      <c r="S272" s="140" t="str">
        <f t="shared" si="3"/>
        <v/>
      </c>
      <c r="T272" s="140" t="str">
        <f t="shared" si="4"/>
        <v/>
      </c>
      <c r="U272" s="140" t="str">
        <f t="shared" si="5"/>
        <v/>
      </c>
      <c r="V272" s="99"/>
    </row>
    <row r="273" spans="1:22">
      <c r="A273" s="92"/>
      <c r="B273" s="146" t="s">
        <v>397</v>
      </c>
      <c r="C273" s="136"/>
      <c r="D273" s="142">
        <f>0.23-0.05</f>
        <v>0.18</v>
      </c>
      <c r="E273" s="144"/>
      <c r="F273" s="139"/>
      <c r="G273" s="98">
        <v>10</v>
      </c>
      <c r="H273" s="99">
        <v>1</v>
      </c>
      <c r="I273" s="99">
        <v>4</v>
      </c>
      <c r="J273" s="149">
        <f>D273+E272+E274</f>
        <v>0.34</v>
      </c>
      <c r="K273" s="99"/>
      <c r="L273" s="99">
        <v>2</v>
      </c>
      <c r="M273" s="112">
        <f>2*G273*L273/1000</f>
        <v>0.04</v>
      </c>
      <c r="N273" s="112">
        <f>(J273+K273-M273)</f>
        <v>0.30000000000000004</v>
      </c>
      <c r="O273" s="112">
        <f>(H273*I273*N273)</f>
        <v>1.2000000000000002</v>
      </c>
      <c r="P273" s="140" t="str">
        <f t="shared" si="0"/>
        <v/>
      </c>
      <c r="Q273" s="140">
        <f t="shared" si="1"/>
        <v>1.2000000000000002</v>
      </c>
      <c r="R273" s="140" t="str">
        <f t="shared" si="2"/>
        <v/>
      </c>
      <c r="S273" s="140" t="str">
        <f t="shared" si="3"/>
        <v/>
      </c>
      <c r="T273" s="140" t="str">
        <f t="shared" si="4"/>
        <v/>
      </c>
      <c r="U273" s="140" t="str">
        <f t="shared" si="5"/>
        <v/>
      </c>
      <c r="V273" s="99"/>
    </row>
    <row r="274" spans="1:22">
      <c r="A274" s="92"/>
      <c r="B274" s="141"/>
      <c r="C274" s="136"/>
      <c r="D274" s="137"/>
      <c r="E274" s="144">
        <v>0.08</v>
      </c>
      <c r="F274" s="139"/>
      <c r="G274" s="98"/>
      <c r="H274" s="99"/>
      <c r="I274" s="99"/>
      <c r="J274" s="100"/>
      <c r="K274" s="99"/>
      <c r="L274" s="99"/>
      <c r="M274" s="99"/>
      <c r="N274" s="99"/>
      <c r="O274" s="101"/>
      <c r="P274" s="140" t="str">
        <f t="shared" si="0"/>
        <v/>
      </c>
      <c r="Q274" s="140" t="str">
        <f t="shared" si="1"/>
        <v/>
      </c>
      <c r="R274" s="140" t="str">
        <f t="shared" si="2"/>
        <v/>
      </c>
      <c r="S274" s="140" t="str">
        <f t="shared" si="3"/>
        <v/>
      </c>
      <c r="T274" s="140" t="str">
        <f t="shared" si="4"/>
        <v/>
      </c>
      <c r="U274" s="140" t="str">
        <f t="shared" si="5"/>
        <v/>
      </c>
      <c r="V274" s="99"/>
    </row>
    <row r="275" spans="1:22">
      <c r="A275" s="92"/>
      <c r="B275" s="146"/>
      <c r="C275" s="136"/>
      <c r="D275" s="152"/>
      <c r="E275" s="138"/>
      <c r="F275" s="139"/>
      <c r="G275" s="98"/>
      <c r="H275" s="99"/>
      <c r="I275" s="99"/>
      <c r="J275" s="100"/>
      <c r="K275" s="99"/>
      <c r="L275" s="99"/>
      <c r="M275" s="99"/>
      <c r="N275" s="99"/>
      <c r="O275" s="101"/>
      <c r="P275" s="140" t="str">
        <f t="shared" si="0"/>
        <v/>
      </c>
      <c r="Q275" s="140" t="str">
        <f t="shared" si="1"/>
        <v/>
      </c>
      <c r="R275" s="140" t="str">
        <f t="shared" si="2"/>
        <v/>
      </c>
      <c r="S275" s="140" t="str">
        <f t="shared" si="3"/>
        <v/>
      </c>
      <c r="T275" s="140" t="str">
        <f t="shared" si="4"/>
        <v/>
      </c>
      <c r="U275" s="140" t="str">
        <f t="shared" si="5"/>
        <v/>
      </c>
      <c r="V275" s="99"/>
    </row>
    <row r="276" spans="1:22">
      <c r="A276" s="92">
        <v>10</v>
      </c>
      <c r="B276" s="92" t="s">
        <v>398</v>
      </c>
      <c r="C276" s="136"/>
      <c r="D276" s="137"/>
      <c r="E276" s="138"/>
      <c r="F276" s="139"/>
      <c r="G276" s="98"/>
      <c r="H276" s="99"/>
      <c r="I276" s="99"/>
      <c r="J276" s="109"/>
      <c r="K276" s="112"/>
      <c r="L276" s="112"/>
      <c r="M276" s="99"/>
      <c r="N276" s="112"/>
      <c r="O276" s="112"/>
      <c r="P276" s="140" t="str">
        <f>IF($G276=8,$O276,"")</f>
        <v/>
      </c>
      <c r="Q276" s="140" t="str">
        <f>IF($G276=10,$O276,"")</f>
        <v/>
      </c>
      <c r="R276" s="140" t="str">
        <f>IF($G276=12,$O276,"")</f>
        <v/>
      </c>
      <c r="S276" s="140" t="str">
        <f>IF($G276=16,$O276,"")</f>
        <v/>
      </c>
      <c r="T276" s="140" t="str">
        <f>IF($G276=20,$O276,"")</f>
        <v/>
      </c>
      <c r="U276" s="140" t="str">
        <f>IF($G276=25,$O276,"")</f>
        <v/>
      </c>
      <c r="V276" s="99"/>
    </row>
    <row r="277" spans="1:22">
      <c r="A277" s="92"/>
      <c r="B277" s="141" t="s">
        <v>378</v>
      </c>
      <c r="C277" s="136"/>
      <c r="D277" s="142">
        <f>0.85-0.075-2*0.016</f>
        <v>0.74299999999999999</v>
      </c>
      <c r="E277" s="138"/>
      <c r="F277" s="139"/>
      <c r="G277" s="98">
        <v>16</v>
      </c>
      <c r="H277" s="99">
        <v>1</v>
      </c>
      <c r="I277" s="99">
        <v>8</v>
      </c>
      <c r="J277" s="109">
        <f>D277</f>
        <v>0.74299999999999999</v>
      </c>
      <c r="K277" s="110" t="str">
        <f>IF(N277&lt;12,"0",0.049*G277)</f>
        <v>0</v>
      </c>
      <c r="L277" s="111">
        <v>1</v>
      </c>
      <c r="M277" s="99">
        <f>2*G277*L277/1000</f>
        <v>3.2000000000000001E-2</v>
      </c>
      <c r="N277" s="112">
        <f>J277+E279-M277</f>
        <v>1.0109999999999999</v>
      </c>
      <c r="O277" s="112">
        <f>H277*I277*N277</f>
        <v>8.0879999999999992</v>
      </c>
      <c r="P277" s="140" t="str">
        <f t="shared" si="0"/>
        <v/>
      </c>
      <c r="Q277" s="140" t="str">
        <f t="shared" si="1"/>
        <v/>
      </c>
      <c r="R277" s="140" t="str">
        <f t="shared" si="2"/>
        <v/>
      </c>
      <c r="S277" s="140">
        <f t="shared" si="3"/>
        <v>8.0879999999999992</v>
      </c>
      <c r="T277" s="140" t="str">
        <f t="shared" si="4"/>
        <v/>
      </c>
      <c r="U277" s="140" t="str">
        <f t="shared" si="5"/>
        <v/>
      </c>
      <c r="V277" s="99"/>
    </row>
    <row r="278" spans="1:22">
      <c r="A278" s="92"/>
      <c r="B278" s="141" t="s">
        <v>379</v>
      </c>
      <c r="C278" s="136"/>
      <c r="D278" s="137"/>
      <c r="E278" s="138"/>
      <c r="F278" s="139"/>
      <c r="G278" s="98">
        <v>12</v>
      </c>
      <c r="H278" s="99">
        <v>1</v>
      </c>
      <c r="I278" s="99">
        <v>16</v>
      </c>
      <c r="J278" s="109">
        <f>D277</f>
        <v>0.74299999999999999</v>
      </c>
      <c r="K278" s="110" t="str">
        <f t="shared" ref="K278:K279" si="29">IF(N278&lt;12,"0",0.049*G278)</f>
        <v>0</v>
      </c>
      <c r="L278" s="111">
        <v>1</v>
      </c>
      <c r="M278" s="99">
        <f t="shared" ref="M278:M279" si="30">2*G278*L278/1000</f>
        <v>2.4E-2</v>
      </c>
      <c r="N278" s="112">
        <f>J278+E279-M278</f>
        <v>1.0189999999999999</v>
      </c>
      <c r="O278" s="112">
        <f>H278*I278*N278</f>
        <v>16.303999999999998</v>
      </c>
      <c r="P278" s="140" t="str">
        <f t="shared" si="0"/>
        <v/>
      </c>
      <c r="Q278" s="140" t="str">
        <f t="shared" si="1"/>
        <v/>
      </c>
      <c r="R278" s="140">
        <f t="shared" si="2"/>
        <v>16.303999999999998</v>
      </c>
      <c r="S278" s="140" t="str">
        <f t="shared" si="3"/>
        <v/>
      </c>
      <c r="T278" s="140" t="str">
        <f t="shared" si="4"/>
        <v/>
      </c>
      <c r="U278" s="140" t="str">
        <f t="shared" si="5"/>
        <v/>
      </c>
      <c r="V278" s="99"/>
    </row>
    <row r="279" spans="1:22">
      <c r="A279" s="92"/>
      <c r="B279" s="141" t="s">
        <v>380</v>
      </c>
      <c r="C279" s="143"/>
      <c r="D279" s="142"/>
      <c r="E279" s="144">
        <v>0.3</v>
      </c>
      <c r="F279" s="139"/>
      <c r="G279" s="98">
        <v>10</v>
      </c>
      <c r="H279" s="99">
        <v>1</v>
      </c>
      <c r="I279" s="99">
        <v>10</v>
      </c>
      <c r="J279" s="109">
        <f>D277</f>
        <v>0.74299999999999999</v>
      </c>
      <c r="K279" s="110" t="str">
        <f t="shared" si="29"/>
        <v>0</v>
      </c>
      <c r="L279" s="111">
        <v>1</v>
      </c>
      <c r="M279" s="99">
        <f t="shared" si="30"/>
        <v>0.02</v>
      </c>
      <c r="N279" s="112">
        <f>J279+E279-M279</f>
        <v>1.0229999999999999</v>
      </c>
      <c r="O279" s="112">
        <f>H279*I279*N279</f>
        <v>10.229999999999999</v>
      </c>
      <c r="P279" s="140" t="str">
        <f t="shared" si="0"/>
        <v/>
      </c>
      <c r="Q279" s="140">
        <f t="shared" si="1"/>
        <v>10.229999999999999</v>
      </c>
      <c r="R279" s="140" t="str">
        <f t="shared" si="2"/>
        <v/>
      </c>
      <c r="S279" s="140" t="str">
        <f t="shared" si="3"/>
        <v/>
      </c>
      <c r="T279" s="140" t="str">
        <f t="shared" si="4"/>
        <v/>
      </c>
      <c r="U279" s="140" t="str">
        <f t="shared" si="5"/>
        <v/>
      </c>
      <c r="V279" s="99"/>
    </row>
    <row r="280" spans="1:22">
      <c r="A280" s="92"/>
      <c r="B280" s="141"/>
      <c r="C280" s="136"/>
      <c r="D280" s="137"/>
      <c r="E280" s="138"/>
      <c r="F280" s="139"/>
      <c r="G280" s="98"/>
      <c r="H280" s="99"/>
      <c r="I280" s="99"/>
      <c r="J280" s="109"/>
      <c r="K280" s="110"/>
      <c r="L280" s="111"/>
      <c r="M280" s="99"/>
      <c r="N280" s="112"/>
      <c r="O280" s="112"/>
      <c r="P280" s="140" t="str">
        <f t="shared" si="0"/>
        <v/>
      </c>
      <c r="Q280" s="140" t="str">
        <f t="shared" si="1"/>
        <v/>
      </c>
      <c r="R280" s="140" t="str">
        <f t="shared" si="2"/>
        <v/>
      </c>
      <c r="S280" s="140" t="str">
        <f t="shared" si="3"/>
        <v/>
      </c>
      <c r="T280" s="140" t="str">
        <f t="shared" si="4"/>
        <v/>
      </c>
      <c r="U280" s="140" t="str">
        <f t="shared" si="5"/>
        <v/>
      </c>
      <c r="V280" s="99"/>
    </row>
    <row r="281" spans="1:22">
      <c r="A281" s="92"/>
      <c r="B281" s="141"/>
      <c r="C281" s="136"/>
      <c r="D281" s="137"/>
      <c r="E281" s="138"/>
      <c r="F281" s="139"/>
      <c r="G281" s="98"/>
      <c r="H281" s="99"/>
      <c r="I281" s="99"/>
      <c r="J281" s="100"/>
      <c r="K281" s="99"/>
      <c r="L281" s="99"/>
      <c r="M281" s="99"/>
      <c r="N281" s="99"/>
      <c r="O281" s="101"/>
      <c r="P281" s="140" t="str">
        <f t="shared" si="0"/>
        <v/>
      </c>
      <c r="Q281" s="140" t="str">
        <f t="shared" si="1"/>
        <v/>
      </c>
      <c r="R281" s="140" t="str">
        <f t="shared" si="2"/>
        <v/>
      </c>
      <c r="S281" s="140" t="str">
        <f t="shared" si="3"/>
        <v/>
      </c>
      <c r="T281" s="140" t="str">
        <f t="shared" si="4"/>
        <v/>
      </c>
      <c r="U281" s="140" t="str">
        <f t="shared" si="5"/>
        <v/>
      </c>
      <c r="V281" s="99"/>
    </row>
    <row r="282" spans="1:22">
      <c r="A282" s="92"/>
      <c r="B282" s="92"/>
      <c r="C282" s="145">
        <v>0.08</v>
      </c>
      <c r="D282" s="137"/>
      <c r="E282" s="138"/>
      <c r="F282" s="139"/>
      <c r="G282" s="98"/>
      <c r="H282" s="99"/>
      <c r="I282" s="99"/>
      <c r="J282" s="100"/>
      <c r="K282" s="99"/>
      <c r="L282" s="99"/>
      <c r="M282" s="99"/>
      <c r="N282" s="99"/>
      <c r="O282" s="101"/>
      <c r="P282" s="140" t="str">
        <f t="shared" si="0"/>
        <v/>
      </c>
      <c r="Q282" s="140" t="str">
        <f t="shared" si="1"/>
        <v/>
      </c>
      <c r="R282" s="140" t="str">
        <f t="shared" si="2"/>
        <v/>
      </c>
      <c r="S282" s="140" t="str">
        <f t="shared" si="3"/>
        <v/>
      </c>
      <c r="T282" s="140" t="str">
        <f t="shared" si="4"/>
        <v/>
      </c>
      <c r="U282" s="140" t="str">
        <f t="shared" si="5"/>
        <v/>
      </c>
      <c r="V282" s="99"/>
    </row>
    <row r="283" spans="1:22">
      <c r="A283" s="92"/>
      <c r="B283" s="146" t="s">
        <v>382</v>
      </c>
      <c r="C283" s="147"/>
      <c r="D283" s="137"/>
      <c r="E283" s="148">
        <f>0.65-0.05</f>
        <v>0.6</v>
      </c>
      <c r="F283" s="139"/>
      <c r="G283" s="98">
        <v>10</v>
      </c>
      <c r="H283" s="99">
        <v>1</v>
      </c>
      <c r="I283" s="99">
        <v>4</v>
      </c>
      <c r="J283" s="149">
        <f>2*(D285+E283)+2*8*G283/1000</f>
        <v>1.72</v>
      </c>
      <c r="K283" s="99"/>
      <c r="L283" s="99">
        <v>5</v>
      </c>
      <c r="M283" s="112">
        <f>2*G283*L283/1000</f>
        <v>0.1</v>
      </c>
      <c r="N283" s="112">
        <f>(J283+K283-M283)</f>
        <v>1.6199999999999999</v>
      </c>
      <c r="O283" s="112">
        <f>(H283*I283*N283)</f>
        <v>6.4799999999999995</v>
      </c>
      <c r="P283" s="140" t="str">
        <f t="shared" ref="P283:P346" si="31">IF($G283=8,$O283,"")</f>
        <v/>
      </c>
      <c r="Q283" s="140">
        <f t="shared" ref="Q283:Q346" si="32">IF($G283=10,$O283,"")</f>
        <v>6.4799999999999995</v>
      </c>
      <c r="R283" s="140" t="str">
        <f t="shared" ref="R283:R346" si="33">IF($G283=12,$O283,"")</f>
        <v/>
      </c>
      <c r="S283" s="140" t="str">
        <f t="shared" ref="S283:S346" si="34">IF($G283=16,$O283,"")</f>
        <v/>
      </c>
      <c r="T283" s="140" t="str">
        <f t="shared" ref="T283:T346" si="35">IF($G283=20,$O283,"")</f>
        <v/>
      </c>
      <c r="U283" s="140" t="str">
        <f t="shared" ref="U283:U346" si="36">IF($G283=25,$O283,"")</f>
        <v/>
      </c>
      <c r="V283" s="99"/>
    </row>
    <row r="284" spans="1:22">
      <c r="A284" s="92"/>
      <c r="B284" s="146"/>
      <c r="C284" s="136"/>
      <c r="D284" s="137"/>
      <c r="E284" s="150"/>
      <c r="F284" s="139"/>
      <c r="G284" s="98"/>
      <c r="H284" s="99"/>
      <c r="I284" s="99"/>
      <c r="J284" s="100"/>
      <c r="K284" s="99"/>
      <c r="L284" s="99"/>
      <c r="M284" s="99"/>
      <c r="N284" s="99"/>
      <c r="O284" s="112"/>
      <c r="P284" s="140" t="str">
        <f t="shared" si="31"/>
        <v/>
      </c>
      <c r="Q284" s="140" t="str">
        <f t="shared" si="32"/>
        <v/>
      </c>
      <c r="R284" s="140" t="str">
        <f t="shared" si="33"/>
        <v/>
      </c>
      <c r="S284" s="140" t="str">
        <f t="shared" si="34"/>
        <v/>
      </c>
      <c r="T284" s="140" t="str">
        <f t="shared" si="35"/>
        <v/>
      </c>
      <c r="U284" s="140" t="str">
        <f t="shared" si="36"/>
        <v/>
      </c>
      <c r="V284" s="99"/>
    </row>
    <row r="285" spans="1:22">
      <c r="A285" s="92"/>
      <c r="B285" s="146"/>
      <c r="C285" s="136"/>
      <c r="D285" s="109">
        <f>0.23-0.05</f>
        <v>0.18</v>
      </c>
      <c r="E285" s="138"/>
      <c r="F285" s="139"/>
      <c r="G285" s="98"/>
      <c r="H285" s="99"/>
      <c r="I285" s="99"/>
      <c r="J285" s="100"/>
      <c r="K285" s="99"/>
      <c r="L285" s="99"/>
      <c r="M285" s="99"/>
      <c r="N285" s="99"/>
      <c r="O285" s="112"/>
      <c r="P285" s="140" t="str">
        <f t="shared" si="31"/>
        <v/>
      </c>
      <c r="Q285" s="140" t="str">
        <f t="shared" si="32"/>
        <v/>
      </c>
      <c r="R285" s="140" t="str">
        <f t="shared" si="33"/>
        <v/>
      </c>
      <c r="S285" s="140" t="str">
        <f t="shared" si="34"/>
        <v/>
      </c>
      <c r="T285" s="140" t="str">
        <f t="shared" si="35"/>
        <v/>
      </c>
      <c r="U285" s="140" t="str">
        <f t="shared" si="36"/>
        <v/>
      </c>
      <c r="V285" s="99"/>
    </row>
    <row r="286" spans="1:22">
      <c r="A286" s="92"/>
      <c r="B286" s="141"/>
      <c r="C286" s="136"/>
      <c r="D286" s="137"/>
      <c r="E286" s="138"/>
      <c r="F286" s="139"/>
      <c r="G286" s="98"/>
      <c r="H286" s="99"/>
      <c r="I286" s="99"/>
      <c r="J286" s="100"/>
      <c r="K286" s="99"/>
      <c r="L286" s="99"/>
      <c r="M286" s="99"/>
      <c r="N286" s="99"/>
      <c r="O286" s="101"/>
      <c r="P286" s="140" t="str">
        <f t="shared" si="31"/>
        <v/>
      </c>
      <c r="Q286" s="140" t="str">
        <f t="shared" si="32"/>
        <v/>
      </c>
      <c r="R286" s="140" t="str">
        <f t="shared" si="33"/>
        <v/>
      </c>
      <c r="S286" s="140" t="str">
        <f t="shared" si="34"/>
        <v/>
      </c>
      <c r="T286" s="140" t="str">
        <f t="shared" si="35"/>
        <v/>
      </c>
      <c r="U286" s="140" t="str">
        <f t="shared" si="36"/>
        <v/>
      </c>
      <c r="V286" s="99"/>
    </row>
    <row r="287" spans="1:22">
      <c r="A287" s="92"/>
      <c r="B287" s="92"/>
      <c r="C287" s="145">
        <v>0.08</v>
      </c>
      <c r="D287" s="137"/>
      <c r="E287" s="138"/>
      <c r="F287" s="139"/>
      <c r="G287" s="98"/>
      <c r="H287" s="99"/>
      <c r="I287" s="99"/>
      <c r="J287" s="100"/>
      <c r="K287" s="99"/>
      <c r="L287" s="99"/>
      <c r="M287" s="99"/>
      <c r="N287" s="99"/>
      <c r="O287" s="101"/>
      <c r="P287" s="140" t="str">
        <f t="shared" si="31"/>
        <v/>
      </c>
      <c r="Q287" s="140" t="str">
        <f t="shared" si="32"/>
        <v/>
      </c>
      <c r="R287" s="140" t="str">
        <f t="shared" si="33"/>
        <v/>
      </c>
      <c r="S287" s="140" t="str">
        <f t="shared" si="34"/>
        <v/>
      </c>
      <c r="T287" s="140" t="str">
        <f t="shared" si="35"/>
        <v/>
      </c>
      <c r="U287" s="140" t="str">
        <f t="shared" si="36"/>
        <v/>
      </c>
      <c r="V287" s="99"/>
    </row>
    <row r="288" spans="1:22">
      <c r="A288" s="92"/>
      <c r="B288" s="146" t="s">
        <v>383</v>
      </c>
      <c r="C288" s="147"/>
      <c r="D288" s="137"/>
      <c r="E288" s="148">
        <f>1.85-0.05</f>
        <v>1.8</v>
      </c>
      <c r="F288" s="139"/>
      <c r="G288" s="98">
        <v>10</v>
      </c>
      <c r="H288" s="99">
        <v>1</v>
      </c>
      <c r="I288" s="99">
        <v>4</v>
      </c>
      <c r="J288" s="149">
        <f>2*(D290+E288)+2*8*G288/1000</f>
        <v>4.12</v>
      </c>
      <c r="K288" s="99"/>
      <c r="L288" s="99">
        <v>5</v>
      </c>
      <c r="M288" s="112">
        <f>2*G288*L288/1000</f>
        <v>0.1</v>
      </c>
      <c r="N288" s="112">
        <f>(J288+K288-M288)</f>
        <v>4.0200000000000005</v>
      </c>
      <c r="O288" s="112">
        <f>(H288*I288*N288)</f>
        <v>16.080000000000002</v>
      </c>
      <c r="P288" s="140" t="str">
        <f t="shared" si="31"/>
        <v/>
      </c>
      <c r="Q288" s="140">
        <f t="shared" si="32"/>
        <v>16.080000000000002</v>
      </c>
      <c r="R288" s="140" t="str">
        <f t="shared" si="33"/>
        <v/>
      </c>
      <c r="S288" s="140" t="str">
        <f t="shared" si="34"/>
        <v/>
      </c>
      <c r="T288" s="140" t="str">
        <f t="shared" si="35"/>
        <v/>
      </c>
      <c r="U288" s="140" t="str">
        <f t="shared" si="36"/>
        <v/>
      </c>
      <c r="V288" s="99"/>
    </row>
    <row r="289" spans="1:22">
      <c r="A289" s="92"/>
      <c r="B289" s="146"/>
      <c r="C289" s="136"/>
      <c r="D289" s="137"/>
      <c r="E289" s="150"/>
      <c r="F289" s="139"/>
      <c r="G289" s="98"/>
      <c r="H289" s="99"/>
      <c r="I289" s="99"/>
      <c r="J289" s="100"/>
      <c r="K289" s="99"/>
      <c r="L289" s="99"/>
      <c r="M289" s="99"/>
      <c r="N289" s="99"/>
      <c r="O289" s="112"/>
      <c r="P289" s="140" t="str">
        <f t="shared" si="31"/>
        <v/>
      </c>
      <c r="Q289" s="140" t="str">
        <f t="shared" si="32"/>
        <v/>
      </c>
      <c r="R289" s="140" t="str">
        <f t="shared" si="33"/>
        <v/>
      </c>
      <c r="S289" s="140" t="str">
        <f t="shared" si="34"/>
        <v/>
      </c>
      <c r="T289" s="140" t="str">
        <f t="shared" si="35"/>
        <v/>
      </c>
      <c r="U289" s="140" t="str">
        <f t="shared" si="36"/>
        <v/>
      </c>
      <c r="V289" s="99"/>
    </row>
    <row r="290" spans="1:22">
      <c r="A290" s="92"/>
      <c r="B290" s="146"/>
      <c r="C290" s="136"/>
      <c r="D290" s="109">
        <f>0.23-0.05</f>
        <v>0.18</v>
      </c>
      <c r="E290" s="138"/>
      <c r="F290" s="139"/>
      <c r="G290" s="98"/>
      <c r="H290" s="99"/>
      <c r="I290" s="99"/>
      <c r="J290" s="100"/>
      <c r="K290" s="99"/>
      <c r="L290" s="99"/>
      <c r="M290" s="99"/>
      <c r="N290" s="99"/>
      <c r="O290" s="112"/>
      <c r="P290" s="140" t="str">
        <f t="shared" si="31"/>
        <v/>
      </c>
      <c r="Q290" s="140" t="str">
        <f t="shared" si="32"/>
        <v/>
      </c>
      <c r="R290" s="140" t="str">
        <f t="shared" si="33"/>
        <v/>
      </c>
      <c r="S290" s="140" t="str">
        <f t="shared" si="34"/>
        <v/>
      </c>
      <c r="T290" s="140" t="str">
        <f t="shared" si="35"/>
        <v/>
      </c>
      <c r="U290" s="140" t="str">
        <f t="shared" si="36"/>
        <v/>
      </c>
      <c r="V290" s="99"/>
    </row>
    <row r="291" spans="1:22">
      <c r="A291" s="92"/>
      <c r="B291" s="141"/>
      <c r="C291" s="136"/>
      <c r="D291" s="137"/>
      <c r="E291" s="138"/>
      <c r="F291" s="139"/>
      <c r="G291" s="98"/>
      <c r="H291" s="99"/>
      <c r="I291" s="99"/>
      <c r="J291" s="100"/>
      <c r="K291" s="99"/>
      <c r="L291" s="99"/>
      <c r="M291" s="99"/>
      <c r="N291" s="99"/>
      <c r="O291" s="112"/>
      <c r="P291" s="140" t="str">
        <f t="shared" si="31"/>
        <v/>
      </c>
      <c r="Q291" s="140" t="str">
        <f t="shared" si="32"/>
        <v/>
      </c>
      <c r="R291" s="140" t="str">
        <f t="shared" si="33"/>
        <v/>
      </c>
      <c r="S291" s="140" t="str">
        <f t="shared" si="34"/>
        <v/>
      </c>
      <c r="T291" s="140" t="str">
        <f t="shared" si="35"/>
        <v/>
      </c>
      <c r="U291" s="140" t="str">
        <f t="shared" si="36"/>
        <v/>
      </c>
      <c r="V291" s="99"/>
    </row>
    <row r="292" spans="1:22">
      <c r="A292" s="92"/>
      <c r="B292" s="92"/>
      <c r="C292" s="145">
        <v>0.08</v>
      </c>
      <c r="D292" s="137"/>
      <c r="E292" s="138"/>
      <c r="F292" s="139"/>
      <c r="G292" s="98"/>
      <c r="H292" s="99"/>
      <c r="I292" s="99"/>
      <c r="J292" s="100"/>
      <c r="K292" s="99"/>
      <c r="L292" s="99"/>
      <c r="M292" s="99"/>
      <c r="N292" s="99"/>
      <c r="O292" s="112"/>
      <c r="P292" s="140" t="str">
        <f t="shared" si="31"/>
        <v/>
      </c>
      <c r="Q292" s="140" t="str">
        <f t="shared" si="32"/>
        <v/>
      </c>
      <c r="R292" s="140" t="str">
        <f t="shared" si="33"/>
        <v/>
      </c>
      <c r="S292" s="140" t="str">
        <f t="shared" si="34"/>
        <v/>
      </c>
      <c r="T292" s="140" t="str">
        <f t="shared" si="35"/>
        <v/>
      </c>
      <c r="U292" s="140" t="str">
        <f t="shared" si="36"/>
        <v/>
      </c>
      <c r="V292" s="99"/>
    </row>
    <row r="293" spans="1:22">
      <c r="A293" s="92"/>
      <c r="B293" s="146" t="s">
        <v>384</v>
      </c>
      <c r="C293" s="147"/>
      <c r="D293" s="137"/>
      <c r="E293" s="148">
        <f>((0.65-0.05-0.016)/5)*2+0.012+0.02</f>
        <v>0.2656</v>
      </c>
      <c r="F293" s="139"/>
      <c r="G293" s="98">
        <v>10</v>
      </c>
      <c r="H293" s="99">
        <v>1</v>
      </c>
      <c r="I293" s="99">
        <v>1</v>
      </c>
      <c r="J293" s="149">
        <f>2*(D295+E293)+2*8*G293/1000</f>
        <v>1.0511999999999999</v>
      </c>
      <c r="K293" s="99"/>
      <c r="L293" s="99">
        <v>5</v>
      </c>
      <c r="M293" s="112">
        <f>2*G293*L293/1000</f>
        <v>0.1</v>
      </c>
      <c r="N293" s="112">
        <f>(J293+K293-M293)</f>
        <v>0.95119999999999993</v>
      </c>
      <c r="O293" s="112">
        <f>(H293*I293*N293)</f>
        <v>0.95119999999999993</v>
      </c>
      <c r="P293" s="140" t="str">
        <f t="shared" si="31"/>
        <v/>
      </c>
      <c r="Q293" s="140">
        <f t="shared" si="32"/>
        <v>0.95119999999999993</v>
      </c>
      <c r="R293" s="140" t="str">
        <f t="shared" si="33"/>
        <v/>
      </c>
      <c r="S293" s="140" t="str">
        <f t="shared" si="34"/>
        <v/>
      </c>
      <c r="T293" s="140" t="str">
        <f t="shared" si="35"/>
        <v/>
      </c>
      <c r="U293" s="140" t="str">
        <f t="shared" si="36"/>
        <v/>
      </c>
      <c r="V293" s="99"/>
    </row>
    <row r="294" spans="1:22">
      <c r="A294" s="92"/>
      <c r="B294" s="146"/>
      <c r="C294" s="136"/>
      <c r="D294" s="137"/>
      <c r="E294" s="150"/>
      <c r="F294" s="139"/>
      <c r="G294" s="98"/>
      <c r="H294" s="99"/>
      <c r="I294" s="99"/>
      <c r="J294" s="100"/>
      <c r="K294" s="99"/>
      <c r="L294" s="99"/>
      <c r="M294" s="99"/>
      <c r="N294" s="99"/>
      <c r="O294" s="112"/>
      <c r="P294" s="140" t="str">
        <f t="shared" si="31"/>
        <v/>
      </c>
      <c r="Q294" s="140" t="str">
        <f t="shared" si="32"/>
        <v/>
      </c>
      <c r="R294" s="140" t="str">
        <f t="shared" si="33"/>
        <v/>
      </c>
      <c r="S294" s="140" t="str">
        <f t="shared" si="34"/>
        <v/>
      </c>
      <c r="T294" s="140" t="str">
        <f t="shared" si="35"/>
        <v/>
      </c>
      <c r="U294" s="140" t="str">
        <f t="shared" si="36"/>
        <v/>
      </c>
      <c r="V294" s="99"/>
    </row>
    <row r="295" spans="1:22">
      <c r="A295" s="92"/>
      <c r="B295" s="146"/>
      <c r="C295" s="136"/>
      <c r="D295" s="109">
        <f>0.23-0.05</f>
        <v>0.18</v>
      </c>
      <c r="E295" s="138"/>
      <c r="F295" s="139"/>
      <c r="G295" s="98"/>
      <c r="H295" s="99"/>
      <c r="I295" s="99"/>
      <c r="J295" s="100"/>
      <c r="K295" s="99"/>
      <c r="L295" s="99"/>
      <c r="M295" s="99"/>
      <c r="N295" s="99"/>
      <c r="O295" s="112"/>
      <c r="P295" s="140" t="str">
        <f t="shared" si="31"/>
        <v/>
      </c>
      <c r="Q295" s="140" t="str">
        <f t="shared" si="32"/>
        <v/>
      </c>
      <c r="R295" s="140" t="str">
        <f t="shared" si="33"/>
        <v/>
      </c>
      <c r="S295" s="140" t="str">
        <f t="shared" si="34"/>
        <v/>
      </c>
      <c r="T295" s="140" t="str">
        <f t="shared" si="35"/>
        <v/>
      </c>
      <c r="U295" s="140" t="str">
        <f t="shared" si="36"/>
        <v/>
      </c>
      <c r="V295" s="99"/>
    </row>
    <row r="296" spans="1:22">
      <c r="A296" s="92"/>
      <c r="B296" s="141"/>
      <c r="C296" s="136"/>
      <c r="D296" s="137"/>
      <c r="E296" s="138"/>
      <c r="F296" s="139"/>
      <c r="G296" s="98"/>
      <c r="H296" s="99"/>
      <c r="I296" s="99"/>
      <c r="J296" s="100"/>
      <c r="K296" s="99"/>
      <c r="L296" s="99"/>
      <c r="M296" s="99"/>
      <c r="N296" s="99"/>
      <c r="O296" s="101"/>
      <c r="P296" s="140" t="str">
        <f t="shared" si="31"/>
        <v/>
      </c>
      <c r="Q296" s="140" t="str">
        <f t="shared" si="32"/>
        <v/>
      </c>
      <c r="R296" s="140" t="str">
        <f t="shared" si="33"/>
        <v/>
      </c>
      <c r="S296" s="140" t="str">
        <f t="shared" si="34"/>
        <v/>
      </c>
      <c r="T296" s="140" t="str">
        <f t="shared" si="35"/>
        <v/>
      </c>
      <c r="U296" s="140" t="str">
        <f t="shared" si="36"/>
        <v/>
      </c>
      <c r="V296" s="99"/>
    </row>
    <row r="297" spans="1:22">
      <c r="A297" s="92"/>
      <c r="B297" s="92"/>
      <c r="C297" s="145">
        <v>0.08</v>
      </c>
      <c r="D297" s="137"/>
      <c r="E297" s="138"/>
      <c r="F297" s="139"/>
      <c r="G297" s="98"/>
      <c r="H297" s="99"/>
      <c r="I297" s="99"/>
      <c r="J297" s="100"/>
      <c r="K297" s="99"/>
      <c r="L297" s="99"/>
      <c r="M297" s="99"/>
      <c r="N297" s="99"/>
      <c r="O297" s="101"/>
      <c r="P297" s="140" t="str">
        <f t="shared" si="31"/>
        <v/>
      </c>
      <c r="Q297" s="140" t="str">
        <f t="shared" si="32"/>
        <v/>
      </c>
      <c r="R297" s="140" t="str">
        <f t="shared" si="33"/>
        <v/>
      </c>
      <c r="S297" s="140" t="str">
        <f t="shared" si="34"/>
        <v/>
      </c>
      <c r="T297" s="140" t="str">
        <f t="shared" si="35"/>
        <v/>
      </c>
      <c r="U297" s="140" t="str">
        <f t="shared" si="36"/>
        <v/>
      </c>
      <c r="V297" s="99"/>
    </row>
    <row r="298" spans="1:22">
      <c r="A298" s="92"/>
      <c r="B298" s="146" t="s">
        <v>385</v>
      </c>
      <c r="C298" s="147"/>
      <c r="D298" s="137"/>
      <c r="E298" s="148">
        <f>((1.8-0.05-0.014)/12)*3+0.014+0.02</f>
        <v>0.46800000000000003</v>
      </c>
      <c r="F298" s="139"/>
      <c r="G298" s="98">
        <v>10</v>
      </c>
      <c r="H298" s="99">
        <v>1</v>
      </c>
      <c r="I298" s="99">
        <v>1</v>
      </c>
      <c r="J298" s="149">
        <f>2*(D300+E298)+2*8*G298/1000</f>
        <v>1.456</v>
      </c>
      <c r="K298" s="99"/>
      <c r="L298" s="99">
        <v>5</v>
      </c>
      <c r="M298" s="112">
        <f>2*G298*L298/1000</f>
        <v>0.1</v>
      </c>
      <c r="N298" s="112">
        <f>(J298+K298-M298)</f>
        <v>1.3559999999999999</v>
      </c>
      <c r="O298" s="112">
        <f>(H298*I298*N298)</f>
        <v>1.3559999999999999</v>
      </c>
      <c r="P298" s="140" t="str">
        <f t="shared" si="31"/>
        <v/>
      </c>
      <c r="Q298" s="140">
        <f t="shared" si="32"/>
        <v>1.3559999999999999</v>
      </c>
      <c r="R298" s="140" t="str">
        <f t="shared" si="33"/>
        <v/>
      </c>
      <c r="S298" s="140" t="str">
        <f t="shared" si="34"/>
        <v/>
      </c>
      <c r="T298" s="140" t="str">
        <f t="shared" si="35"/>
        <v/>
      </c>
      <c r="U298" s="140" t="str">
        <f t="shared" si="36"/>
        <v/>
      </c>
      <c r="V298" s="99"/>
    </row>
    <row r="299" spans="1:22">
      <c r="A299" s="92"/>
      <c r="B299" s="146"/>
      <c r="C299" s="136"/>
      <c r="D299" s="137"/>
      <c r="E299" s="150"/>
      <c r="F299" s="139"/>
      <c r="G299" s="98"/>
      <c r="H299" s="99"/>
      <c r="I299" s="99"/>
      <c r="J299" s="100"/>
      <c r="K299" s="99"/>
      <c r="L299" s="99"/>
      <c r="M299" s="99"/>
      <c r="N299" s="99"/>
      <c r="O299" s="112"/>
      <c r="P299" s="140" t="str">
        <f t="shared" si="31"/>
        <v/>
      </c>
      <c r="Q299" s="140" t="str">
        <f t="shared" si="32"/>
        <v/>
      </c>
      <c r="R299" s="140" t="str">
        <f t="shared" si="33"/>
        <v/>
      </c>
      <c r="S299" s="140" t="str">
        <f t="shared" si="34"/>
        <v/>
      </c>
      <c r="T299" s="140" t="str">
        <f t="shared" si="35"/>
        <v/>
      </c>
      <c r="U299" s="140" t="str">
        <f t="shared" si="36"/>
        <v/>
      </c>
      <c r="V299" s="99"/>
    </row>
    <row r="300" spans="1:22">
      <c r="A300" s="92"/>
      <c r="B300" s="146"/>
      <c r="C300" s="136"/>
      <c r="D300" s="109">
        <f>0.23-0.05</f>
        <v>0.18</v>
      </c>
      <c r="E300" s="138"/>
      <c r="F300" s="139"/>
      <c r="G300" s="98"/>
      <c r="H300" s="99"/>
      <c r="I300" s="99"/>
      <c r="J300" s="100"/>
      <c r="K300" s="99"/>
      <c r="L300" s="99"/>
      <c r="M300" s="99"/>
      <c r="N300" s="99"/>
      <c r="O300" s="112"/>
      <c r="P300" s="140" t="str">
        <f t="shared" si="31"/>
        <v/>
      </c>
      <c r="Q300" s="140" t="str">
        <f t="shared" si="32"/>
        <v/>
      </c>
      <c r="R300" s="140" t="str">
        <f t="shared" si="33"/>
        <v/>
      </c>
      <c r="S300" s="140" t="str">
        <f t="shared" si="34"/>
        <v/>
      </c>
      <c r="T300" s="140" t="str">
        <f t="shared" si="35"/>
        <v/>
      </c>
      <c r="U300" s="140" t="str">
        <f t="shared" si="36"/>
        <v/>
      </c>
      <c r="V300" s="99"/>
    </row>
    <row r="301" spans="1:22">
      <c r="A301" s="92"/>
      <c r="B301" s="141"/>
      <c r="C301" s="136"/>
      <c r="D301" s="137"/>
      <c r="E301" s="138"/>
      <c r="F301" s="139"/>
      <c r="G301" s="98"/>
      <c r="H301" s="99"/>
      <c r="I301" s="99"/>
      <c r="J301" s="100"/>
      <c r="K301" s="99"/>
      <c r="L301" s="99"/>
      <c r="M301" s="99"/>
      <c r="N301" s="99"/>
      <c r="O301" s="101"/>
      <c r="P301" s="140" t="str">
        <f t="shared" si="31"/>
        <v/>
      </c>
      <c r="Q301" s="140" t="str">
        <f t="shared" si="32"/>
        <v/>
      </c>
      <c r="R301" s="140" t="str">
        <f t="shared" si="33"/>
        <v/>
      </c>
      <c r="S301" s="140" t="str">
        <f t="shared" si="34"/>
        <v/>
      </c>
      <c r="T301" s="140" t="str">
        <f t="shared" si="35"/>
        <v/>
      </c>
      <c r="U301" s="140" t="str">
        <f t="shared" si="36"/>
        <v/>
      </c>
      <c r="V301" s="99"/>
    </row>
    <row r="302" spans="1:22">
      <c r="A302" s="92"/>
      <c r="B302" s="92"/>
      <c r="C302" s="145">
        <v>0.08</v>
      </c>
      <c r="D302" s="137"/>
      <c r="E302" s="138"/>
      <c r="F302" s="139"/>
      <c r="G302" s="98"/>
      <c r="H302" s="99"/>
      <c r="I302" s="99"/>
      <c r="J302" s="100"/>
      <c r="K302" s="99"/>
      <c r="L302" s="99"/>
      <c r="M302" s="99"/>
      <c r="N302" s="99"/>
      <c r="O302" s="101"/>
      <c r="P302" s="140" t="str">
        <f t="shared" si="31"/>
        <v/>
      </c>
      <c r="Q302" s="140" t="str">
        <f t="shared" si="32"/>
        <v/>
      </c>
      <c r="R302" s="140" t="str">
        <f t="shared" si="33"/>
        <v/>
      </c>
      <c r="S302" s="140" t="str">
        <f t="shared" si="34"/>
        <v/>
      </c>
      <c r="T302" s="140" t="str">
        <f t="shared" si="35"/>
        <v/>
      </c>
      <c r="U302" s="140" t="str">
        <f t="shared" si="36"/>
        <v/>
      </c>
      <c r="V302" s="99"/>
    </row>
    <row r="303" spans="1:22">
      <c r="A303" s="92"/>
      <c r="B303" s="146" t="s">
        <v>390</v>
      </c>
      <c r="C303" s="147"/>
      <c r="D303" s="137"/>
      <c r="E303" s="148">
        <f>((1.8-0.05-0.014)/12)*5+0.01+0.02</f>
        <v>0.75333333333333341</v>
      </c>
      <c r="F303" s="139"/>
      <c r="G303" s="98">
        <v>10</v>
      </c>
      <c r="H303" s="99">
        <v>1</v>
      </c>
      <c r="I303" s="99">
        <v>1</v>
      </c>
      <c r="J303" s="149">
        <f>2*(D305+E303)+2*8*G303/1000</f>
        <v>2.0266666666666668</v>
      </c>
      <c r="K303" s="99"/>
      <c r="L303" s="99">
        <v>5</v>
      </c>
      <c r="M303" s="112">
        <f>2*G303*L303/1000</f>
        <v>0.1</v>
      </c>
      <c r="N303" s="112">
        <f>(J303+K303-M303)</f>
        <v>1.9266666666666667</v>
      </c>
      <c r="O303" s="112">
        <f>(H303*I303*N303)</f>
        <v>1.9266666666666667</v>
      </c>
      <c r="P303" s="140" t="str">
        <f t="shared" si="31"/>
        <v/>
      </c>
      <c r="Q303" s="140">
        <f t="shared" si="32"/>
        <v>1.9266666666666667</v>
      </c>
      <c r="R303" s="140" t="str">
        <f t="shared" si="33"/>
        <v/>
      </c>
      <c r="S303" s="140" t="str">
        <f t="shared" si="34"/>
        <v/>
      </c>
      <c r="T303" s="140" t="str">
        <f t="shared" si="35"/>
        <v/>
      </c>
      <c r="U303" s="140" t="str">
        <f t="shared" si="36"/>
        <v/>
      </c>
      <c r="V303" s="99"/>
    </row>
    <row r="304" spans="1:22">
      <c r="A304" s="92"/>
      <c r="B304" s="146"/>
      <c r="C304" s="136"/>
      <c r="D304" s="137"/>
      <c r="E304" s="150"/>
      <c r="F304" s="139"/>
      <c r="G304" s="98"/>
      <c r="H304" s="99"/>
      <c r="I304" s="99"/>
      <c r="J304" s="100"/>
      <c r="K304" s="99"/>
      <c r="L304" s="99"/>
      <c r="M304" s="99"/>
      <c r="N304" s="99"/>
      <c r="O304" s="112"/>
      <c r="P304" s="140" t="str">
        <f t="shared" si="31"/>
        <v/>
      </c>
      <c r="Q304" s="140" t="str">
        <f t="shared" si="32"/>
        <v/>
      </c>
      <c r="R304" s="140" t="str">
        <f t="shared" si="33"/>
        <v/>
      </c>
      <c r="S304" s="140" t="str">
        <f t="shared" si="34"/>
        <v/>
      </c>
      <c r="T304" s="140" t="str">
        <f t="shared" si="35"/>
        <v/>
      </c>
      <c r="U304" s="140" t="str">
        <f t="shared" si="36"/>
        <v/>
      </c>
      <c r="V304" s="99"/>
    </row>
    <row r="305" spans="1:22">
      <c r="A305" s="92"/>
      <c r="B305" s="146"/>
      <c r="C305" s="136"/>
      <c r="D305" s="109">
        <f>0.23-0.05</f>
        <v>0.18</v>
      </c>
      <c r="E305" s="138"/>
      <c r="F305" s="139"/>
      <c r="G305" s="98"/>
      <c r="H305" s="99"/>
      <c r="I305" s="99"/>
      <c r="J305" s="100"/>
      <c r="K305" s="99"/>
      <c r="L305" s="99"/>
      <c r="M305" s="99"/>
      <c r="N305" s="99"/>
      <c r="O305" s="112"/>
      <c r="P305" s="140" t="str">
        <f t="shared" si="31"/>
        <v/>
      </c>
      <c r="Q305" s="140" t="str">
        <f t="shared" si="32"/>
        <v/>
      </c>
      <c r="R305" s="140" t="str">
        <f t="shared" si="33"/>
        <v/>
      </c>
      <c r="S305" s="140" t="str">
        <f t="shared" si="34"/>
        <v/>
      </c>
      <c r="T305" s="140" t="str">
        <f t="shared" si="35"/>
        <v/>
      </c>
      <c r="U305" s="140" t="str">
        <f t="shared" si="36"/>
        <v/>
      </c>
      <c r="V305" s="99"/>
    </row>
    <row r="306" spans="1:22">
      <c r="A306" s="92"/>
      <c r="B306" s="141"/>
      <c r="C306" s="136"/>
      <c r="D306" s="137"/>
      <c r="E306" s="138"/>
      <c r="F306" s="139"/>
      <c r="G306" s="98"/>
      <c r="H306" s="99"/>
      <c r="I306" s="99"/>
      <c r="J306" s="100"/>
      <c r="K306" s="99"/>
      <c r="L306" s="99"/>
      <c r="M306" s="99"/>
      <c r="N306" s="99"/>
      <c r="O306" s="101"/>
      <c r="P306" s="140" t="str">
        <f t="shared" si="31"/>
        <v/>
      </c>
      <c r="Q306" s="140" t="str">
        <f t="shared" si="32"/>
        <v/>
      </c>
      <c r="R306" s="140" t="str">
        <f t="shared" si="33"/>
        <v/>
      </c>
      <c r="S306" s="140" t="str">
        <f t="shared" si="34"/>
        <v/>
      </c>
      <c r="T306" s="140" t="str">
        <f t="shared" si="35"/>
        <v/>
      </c>
      <c r="U306" s="140" t="str">
        <f t="shared" si="36"/>
        <v/>
      </c>
      <c r="V306" s="99"/>
    </row>
    <row r="307" spans="1:22">
      <c r="A307" s="92"/>
      <c r="B307" s="141"/>
      <c r="C307" s="145">
        <v>0.08</v>
      </c>
      <c r="D307" s="137"/>
      <c r="E307" s="138"/>
      <c r="F307" s="139"/>
      <c r="G307" s="98"/>
      <c r="H307" s="99"/>
      <c r="I307" s="99"/>
      <c r="J307" s="100"/>
      <c r="K307" s="99"/>
      <c r="L307" s="99"/>
      <c r="M307" s="99"/>
      <c r="N307" s="99"/>
      <c r="O307" s="101"/>
      <c r="P307" s="140" t="str">
        <f t="shared" si="31"/>
        <v/>
      </c>
      <c r="Q307" s="140" t="str">
        <f t="shared" si="32"/>
        <v/>
      </c>
      <c r="R307" s="140" t="str">
        <f t="shared" si="33"/>
        <v/>
      </c>
      <c r="S307" s="140" t="str">
        <f t="shared" si="34"/>
        <v/>
      </c>
      <c r="T307" s="140" t="str">
        <f t="shared" si="35"/>
        <v/>
      </c>
      <c r="U307" s="140" t="str">
        <f t="shared" si="36"/>
        <v/>
      </c>
      <c r="V307" s="99"/>
    </row>
    <row r="308" spans="1:22">
      <c r="A308" s="92"/>
      <c r="B308" s="146" t="s">
        <v>396</v>
      </c>
      <c r="C308" s="147"/>
      <c r="D308" s="137"/>
      <c r="E308" s="148">
        <f>((1.8-0.05-0.014)/12)*1+0.012+0.02</f>
        <v>0.17666666666666667</v>
      </c>
      <c r="F308" s="139"/>
      <c r="G308" s="98">
        <v>10</v>
      </c>
      <c r="H308" s="99">
        <v>1</v>
      </c>
      <c r="I308" s="99">
        <v>1</v>
      </c>
      <c r="J308" s="149">
        <f>2*(D310+E308)+2*8*G308/1000</f>
        <v>0.87333333333333341</v>
      </c>
      <c r="K308" s="99"/>
      <c r="L308" s="99">
        <v>5</v>
      </c>
      <c r="M308" s="112">
        <f>2*G308*L308/1000</f>
        <v>0.1</v>
      </c>
      <c r="N308" s="112">
        <f>(J308+K308-M308)</f>
        <v>0.77333333333333343</v>
      </c>
      <c r="O308" s="112">
        <f>(H308*I308*N308)</f>
        <v>0.77333333333333343</v>
      </c>
      <c r="P308" s="140" t="str">
        <f t="shared" si="31"/>
        <v/>
      </c>
      <c r="Q308" s="140">
        <f t="shared" si="32"/>
        <v>0.77333333333333343</v>
      </c>
      <c r="R308" s="140" t="str">
        <f t="shared" si="33"/>
        <v/>
      </c>
      <c r="S308" s="140" t="str">
        <f t="shared" si="34"/>
        <v/>
      </c>
      <c r="T308" s="140" t="str">
        <f t="shared" si="35"/>
        <v/>
      </c>
      <c r="U308" s="140" t="str">
        <f t="shared" si="36"/>
        <v/>
      </c>
      <c r="V308" s="99"/>
    </row>
    <row r="309" spans="1:22">
      <c r="A309" s="92"/>
      <c r="B309" s="146"/>
      <c r="C309" s="136"/>
      <c r="D309" s="137"/>
      <c r="E309" s="150"/>
      <c r="F309" s="139"/>
      <c r="G309" s="98"/>
      <c r="H309" s="99"/>
      <c r="I309" s="99"/>
      <c r="J309" s="100"/>
      <c r="K309" s="99"/>
      <c r="L309" s="99"/>
      <c r="M309" s="99"/>
      <c r="N309" s="99"/>
      <c r="O309" s="112"/>
      <c r="P309" s="140" t="str">
        <f t="shared" si="31"/>
        <v/>
      </c>
      <c r="Q309" s="140" t="str">
        <f t="shared" si="32"/>
        <v/>
      </c>
      <c r="R309" s="140" t="str">
        <f t="shared" si="33"/>
        <v/>
      </c>
      <c r="S309" s="140" t="str">
        <f t="shared" si="34"/>
        <v/>
      </c>
      <c r="T309" s="140" t="str">
        <f t="shared" si="35"/>
        <v/>
      </c>
      <c r="U309" s="140" t="str">
        <f t="shared" si="36"/>
        <v/>
      </c>
      <c r="V309" s="99"/>
    </row>
    <row r="310" spans="1:22">
      <c r="A310" s="92"/>
      <c r="B310" s="146"/>
      <c r="C310" s="136"/>
      <c r="D310" s="109">
        <f>0.23-0.05</f>
        <v>0.18</v>
      </c>
      <c r="E310" s="138"/>
      <c r="F310" s="139"/>
      <c r="G310" s="98"/>
      <c r="H310" s="99"/>
      <c r="I310" s="99"/>
      <c r="J310" s="100"/>
      <c r="K310" s="99"/>
      <c r="L310" s="99"/>
      <c r="M310" s="99"/>
      <c r="N310" s="99"/>
      <c r="O310" s="112"/>
      <c r="P310" s="140" t="str">
        <f t="shared" si="31"/>
        <v/>
      </c>
      <c r="Q310" s="140" t="str">
        <f t="shared" si="32"/>
        <v/>
      </c>
      <c r="R310" s="140" t="str">
        <f t="shared" si="33"/>
        <v/>
      </c>
      <c r="S310" s="140" t="str">
        <f t="shared" si="34"/>
        <v/>
      </c>
      <c r="T310" s="140" t="str">
        <f t="shared" si="35"/>
        <v/>
      </c>
      <c r="U310" s="140" t="str">
        <f t="shared" si="36"/>
        <v/>
      </c>
      <c r="V310" s="99"/>
    </row>
    <row r="311" spans="1:22">
      <c r="A311" s="92"/>
      <c r="B311" s="141"/>
      <c r="C311" s="136"/>
      <c r="D311" s="137"/>
      <c r="E311" s="138"/>
      <c r="F311" s="139"/>
      <c r="G311" s="98"/>
      <c r="H311" s="99"/>
      <c r="I311" s="99"/>
      <c r="J311" s="100"/>
      <c r="K311" s="99"/>
      <c r="L311" s="99"/>
      <c r="M311" s="99"/>
      <c r="N311" s="99"/>
      <c r="O311" s="101"/>
      <c r="P311" s="140" t="str">
        <f t="shared" si="31"/>
        <v/>
      </c>
      <c r="Q311" s="140" t="str">
        <f t="shared" si="32"/>
        <v/>
      </c>
      <c r="R311" s="140" t="str">
        <f t="shared" si="33"/>
        <v/>
      </c>
      <c r="S311" s="140" t="str">
        <f t="shared" si="34"/>
        <v/>
      </c>
      <c r="T311" s="140" t="str">
        <f t="shared" si="35"/>
        <v/>
      </c>
      <c r="U311" s="140" t="str">
        <f t="shared" si="36"/>
        <v/>
      </c>
      <c r="V311" s="99"/>
    </row>
    <row r="312" spans="1:22">
      <c r="A312" s="92"/>
      <c r="B312" s="141"/>
      <c r="C312" s="136"/>
      <c r="D312" s="137"/>
      <c r="E312" s="144">
        <v>0.08</v>
      </c>
      <c r="F312" s="139"/>
      <c r="G312" s="98"/>
      <c r="H312" s="99"/>
      <c r="I312" s="99"/>
      <c r="J312" s="100"/>
      <c r="K312" s="99"/>
      <c r="L312" s="99"/>
      <c r="M312" s="99"/>
      <c r="N312" s="99"/>
      <c r="O312" s="101"/>
      <c r="P312" s="140" t="str">
        <f t="shared" si="31"/>
        <v/>
      </c>
      <c r="Q312" s="140" t="str">
        <f t="shared" si="32"/>
        <v/>
      </c>
      <c r="R312" s="140" t="str">
        <f t="shared" si="33"/>
        <v/>
      </c>
      <c r="S312" s="140" t="str">
        <f t="shared" si="34"/>
        <v/>
      </c>
      <c r="T312" s="140" t="str">
        <f t="shared" si="35"/>
        <v/>
      </c>
      <c r="U312" s="140" t="str">
        <f t="shared" si="36"/>
        <v/>
      </c>
      <c r="V312" s="99"/>
    </row>
    <row r="313" spans="1:22">
      <c r="A313" s="92"/>
      <c r="B313" s="146" t="s">
        <v>397</v>
      </c>
      <c r="C313" s="136"/>
      <c r="D313" s="142">
        <f>0.23-0.05</f>
        <v>0.18</v>
      </c>
      <c r="E313" s="144"/>
      <c r="F313" s="139"/>
      <c r="G313" s="98">
        <v>10</v>
      </c>
      <c r="H313" s="99">
        <v>1</v>
      </c>
      <c r="I313" s="99">
        <v>4</v>
      </c>
      <c r="J313" s="149">
        <f>D313+E312+E314</f>
        <v>0.34</v>
      </c>
      <c r="K313" s="99"/>
      <c r="L313" s="99">
        <v>2</v>
      </c>
      <c r="M313" s="112">
        <f>2*G313*L313/1000</f>
        <v>0.04</v>
      </c>
      <c r="N313" s="112">
        <f>(J313+K313-M313)</f>
        <v>0.30000000000000004</v>
      </c>
      <c r="O313" s="112">
        <f>(H313*I313*N313)</f>
        <v>1.2000000000000002</v>
      </c>
      <c r="P313" s="140" t="str">
        <f t="shared" si="31"/>
        <v/>
      </c>
      <c r="Q313" s="140">
        <f t="shared" si="32"/>
        <v>1.2000000000000002</v>
      </c>
      <c r="R313" s="140" t="str">
        <f t="shared" si="33"/>
        <v/>
      </c>
      <c r="S313" s="140" t="str">
        <f t="shared" si="34"/>
        <v/>
      </c>
      <c r="T313" s="140" t="str">
        <f t="shared" si="35"/>
        <v/>
      </c>
      <c r="U313" s="140" t="str">
        <f t="shared" si="36"/>
        <v/>
      </c>
      <c r="V313" s="99"/>
    </row>
    <row r="314" spans="1:22">
      <c r="A314" s="92"/>
      <c r="B314" s="141"/>
      <c r="C314" s="136"/>
      <c r="D314" s="137"/>
      <c r="E314" s="144">
        <v>0.08</v>
      </c>
      <c r="F314" s="139"/>
      <c r="G314" s="98"/>
      <c r="H314" s="99"/>
      <c r="I314" s="99"/>
      <c r="J314" s="100"/>
      <c r="K314" s="99"/>
      <c r="L314" s="99"/>
      <c r="M314" s="99"/>
      <c r="N314" s="99"/>
      <c r="O314" s="101"/>
      <c r="P314" s="140" t="str">
        <f t="shared" si="31"/>
        <v/>
      </c>
      <c r="Q314" s="140" t="str">
        <f t="shared" si="32"/>
        <v/>
      </c>
      <c r="R314" s="140" t="str">
        <f t="shared" si="33"/>
        <v/>
      </c>
      <c r="S314" s="140" t="str">
        <f t="shared" si="34"/>
        <v/>
      </c>
      <c r="T314" s="140" t="str">
        <f t="shared" si="35"/>
        <v/>
      </c>
      <c r="U314" s="140" t="str">
        <f t="shared" si="36"/>
        <v/>
      </c>
      <c r="V314" s="99"/>
    </row>
    <row r="315" spans="1:22">
      <c r="A315" s="92"/>
      <c r="B315" s="146"/>
      <c r="C315" s="136"/>
      <c r="D315" s="152"/>
      <c r="E315" s="144"/>
      <c r="F315" s="139"/>
      <c r="G315" s="98"/>
      <c r="H315" s="99"/>
      <c r="I315" s="99"/>
      <c r="J315" s="100"/>
      <c r="K315" s="99"/>
      <c r="L315" s="99"/>
      <c r="M315" s="99"/>
      <c r="N315" s="99"/>
      <c r="O315" s="101"/>
      <c r="P315" s="140" t="str">
        <f t="shared" si="31"/>
        <v/>
      </c>
      <c r="Q315" s="140" t="str">
        <f t="shared" si="32"/>
        <v/>
      </c>
      <c r="R315" s="140" t="str">
        <f t="shared" si="33"/>
        <v/>
      </c>
      <c r="S315" s="140" t="str">
        <f t="shared" si="34"/>
        <v/>
      </c>
      <c r="T315" s="140" t="str">
        <f t="shared" si="35"/>
        <v/>
      </c>
      <c r="U315" s="140" t="str">
        <f t="shared" si="36"/>
        <v/>
      </c>
      <c r="V315" s="99"/>
    </row>
    <row r="316" spans="1:22">
      <c r="A316" s="92">
        <v>11</v>
      </c>
      <c r="B316" s="92" t="s">
        <v>399</v>
      </c>
      <c r="C316" s="136"/>
      <c r="D316" s="137"/>
      <c r="E316" s="138"/>
      <c r="F316" s="139"/>
      <c r="G316" s="98"/>
      <c r="H316" s="99"/>
      <c r="I316" s="99"/>
      <c r="J316" s="109"/>
      <c r="K316" s="112"/>
      <c r="L316" s="112"/>
      <c r="M316" s="99"/>
      <c r="N316" s="112"/>
      <c r="O316" s="112"/>
      <c r="P316" s="140" t="str">
        <f>IF($G316=8,$O316,"")</f>
        <v/>
      </c>
      <c r="Q316" s="140" t="str">
        <f>IF($G316=10,$O316,"")</f>
        <v/>
      </c>
      <c r="R316" s="140" t="str">
        <f>IF($G316=12,$O316,"")</f>
        <v/>
      </c>
      <c r="S316" s="140" t="str">
        <f>IF($G316=16,$O316,"")</f>
        <v/>
      </c>
      <c r="T316" s="140" t="str">
        <f>IF($G316=20,$O316,"")</f>
        <v/>
      </c>
      <c r="U316" s="140" t="str">
        <f>IF($G316=25,$O316,"")</f>
        <v/>
      </c>
      <c r="V316" s="99"/>
    </row>
    <row r="317" spans="1:22">
      <c r="A317" s="92"/>
      <c r="B317" s="141" t="s">
        <v>378</v>
      </c>
      <c r="C317" s="136"/>
      <c r="D317" s="142">
        <f>0.85-0.075-2*0.016</f>
        <v>0.74299999999999999</v>
      </c>
      <c r="E317" s="138"/>
      <c r="F317" s="139"/>
      <c r="G317" s="98">
        <v>16</v>
      </c>
      <c r="H317" s="99">
        <v>1</v>
      </c>
      <c r="I317" s="99">
        <v>4</v>
      </c>
      <c r="J317" s="109">
        <f>D317</f>
        <v>0.74299999999999999</v>
      </c>
      <c r="K317" s="110" t="str">
        <f>IF(N317&lt;12,"0",0.049*G317)</f>
        <v>0</v>
      </c>
      <c r="L317" s="111">
        <v>1</v>
      </c>
      <c r="M317" s="99">
        <f>2*G317*L317/1000</f>
        <v>3.2000000000000001E-2</v>
      </c>
      <c r="N317" s="112">
        <f>J317+E$319-M317</f>
        <v>1.0109999999999999</v>
      </c>
      <c r="O317" s="112">
        <f>H317*I317*N317</f>
        <v>4.0439999999999996</v>
      </c>
      <c r="P317" s="140" t="str">
        <f t="shared" si="31"/>
        <v/>
      </c>
      <c r="Q317" s="140" t="str">
        <f t="shared" si="32"/>
        <v/>
      </c>
      <c r="R317" s="140" t="str">
        <f t="shared" si="33"/>
        <v/>
      </c>
      <c r="S317" s="140">
        <f t="shared" si="34"/>
        <v>4.0439999999999996</v>
      </c>
      <c r="T317" s="140" t="str">
        <f t="shared" si="35"/>
        <v/>
      </c>
      <c r="U317" s="140" t="str">
        <f t="shared" si="36"/>
        <v/>
      </c>
      <c r="V317" s="99"/>
    </row>
    <row r="318" spans="1:22">
      <c r="A318" s="92"/>
      <c r="B318" s="141" t="s">
        <v>379</v>
      </c>
      <c r="C318" s="136"/>
      <c r="D318" s="137"/>
      <c r="E318" s="138"/>
      <c r="F318" s="139"/>
      <c r="G318" s="98">
        <v>12</v>
      </c>
      <c r="H318" s="99">
        <v>1</v>
      </c>
      <c r="I318" s="99">
        <v>4</v>
      </c>
      <c r="J318" s="109">
        <f>D317</f>
        <v>0.74299999999999999</v>
      </c>
      <c r="K318" s="110" t="str">
        <f t="shared" ref="K318:K321" si="37">IF(N318&lt;12,"0",0.049*G318)</f>
        <v>0</v>
      </c>
      <c r="L318" s="111">
        <v>1</v>
      </c>
      <c r="M318" s="99">
        <f t="shared" ref="M318:M321" si="38">2*G318*L318/1000</f>
        <v>2.4E-2</v>
      </c>
      <c r="N318" s="112">
        <f t="shared" ref="N318:N321" si="39">J318+E$319-M318</f>
        <v>1.0189999999999999</v>
      </c>
      <c r="O318" s="112">
        <f>H318*I318*N318</f>
        <v>4.0759999999999996</v>
      </c>
      <c r="P318" s="140" t="str">
        <f t="shared" si="31"/>
        <v/>
      </c>
      <c r="Q318" s="140" t="str">
        <f t="shared" si="32"/>
        <v/>
      </c>
      <c r="R318" s="140">
        <f t="shared" si="33"/>
        <v>4.0759999999999996</v>
      </c>
      <c r="S318" s="140" t="str">
        <f t="shared" si="34"/>
        <v/>
      </c>
      <c r="T318" s="140" t="str">
        <f t="shared" si="35"/>
        <v/>
      </c>
      <c r="U318" s="140" t="str">
        <f t="shared" si="36"/>
        <v/>
      </c>
      <c r="V318" s="99"/>
    </row>
    <row r="319" spans="1:22">
      <c r="A319" s="92"/>
      <c r="B319" s="141" t="s">
        <v>380</v>
      </c>
      <c r="C319" s="143"/>
      <c r="D319" s="142"/>
      <c r="E319" s="144">
        <v>0.3</v>
      </c>
      <c r="F319" s="139"/>
      <c r="G319" s="98">
        <v>12</v>
      </c>
      <c r="H319" s="99">
        <v>1</v>
      </c>
      <c r="I319" s="99">
        <v>4</v>
      </c>
      <c r="J319" s="109">
        <f>D317</f>
        <v>0.74299999999999999</v>
      </c>
      <c r="K319" s="110" t="str">
        <f t="shared" si="37"/>
        <v>0</v>
      </c>
      <c r="L319" s="111">
        <v>1</v>
      </c>
      <c r="M319" s="99">
        <f t="shared" si="38"/>
        <v>2.4E-2</v>
      </c>
      <c r="N319" s="112">
        <f t="shared" si="39"/>
        <v>1.0189999999999999</v>
      </c>
      <c r="O319" s="112">
        <f>H319*I319*N319</f>
        <v>4.0759999999999996</v>
      </c>
      <c r="P319" s="140" t="str">
        <f t="shared" si="31"/>
        <v/>
      </c>
      <c r="Q319" s="140" t="str">
        <f t="shared" si="32"/>
        <v/>
      </c>
      <c r="R319" s="140">
        <f t="shared" si="33"/>
        <v>4.0759999999999996</v>
      </c>
      <c r="S319" s="140" t="str">
        <f t="shared" si="34"/>
        <v/>
      </c>
      <c r="T319" s="140" t="str">
        <f t="shared" si="35"/>
        <v/>
      </c>
      <c r="U319" s="140" t="str">
        <f t="shared" si="36"/>
        <v/>
      </c>
      <c r="V319" s="99"/>
    </row>
    <row r="320" spans="1:22">
      <c r="A320" s="92"/>
      <c r="B320" s="141" t="s">
        <v>381</v>
      </c>
      <c r="C320" s="136"/>
      <c r="D320" s="137"/>
      <c r="E320" s="138"/>
      <c r="F320" s="139"/>
      <c r="G320" s="98">
        <v>12</v>
      </c>
      <c r="H320" s="99">
        <v>1</v>
      </c>
      <c r="I320" s="99">
        <v>4</v>
      </c>
      <c r="J320" s="109">
        <f>D317</f>
        <v>0.74299999999999999</v>
      </c>
      <c r="K320" s="110" t="str">
        <f t="shared" si="37"/>
        <v>0</v>
      </c>
      <c r="L320" s="111">
        <v>1</v>
      </c>
      <c r="M320" s="99">
        <f t="shared" si="38"/>
        <v>2.4E-2</v>
      </c>
      <c r="N320" s="112">
        <f t="shared" si="39"/>
        <v>1.0189999999999999</v>
      </c>
      <c r="O320" s="112">
        <f>H320*I320*N320</f>
        <v>4.0759999999999996</v>
      </c>
      <c r="P320" s="140" t="str">
        <f t="shared" si="31"/>
        <v/>
      </c>
      <c r="Q320" s="140" t="str">
        <f t="shared" si="32"/>
        <v/>
      </c>
      <c r="R320" s="140">
        <f t="shared" si="33"/>
        <v>4.0759999999999996</v>
      </c>
      <c r="S320" s="140" t="str">
        <f t="shared" si="34"/>
        <v/>
      </c>
      <c r="T320" s="140" t="str">
        <f t="shared" si="35"/>
        <v/>
      </c>
      <c r="U320" s="140" t="str">
        <f t="shared" si="36"/>
        <v/>
      </c>
      <c r="V320" s="99"/>
    </row>
    <row r="321" spans="1:22">
      <c r="A321" s="92"/>
      <c r="B321" s="141" t="s">
        <v>389</v>
      </c>
      <c r="C321" s="136"/>
      <c r="D321" s="137"/>
      <c r="E321" s="138"/>
      <c r="F321" s="139"/>
      <c r="G321" s="98">
        <v>12</v>
      </c>
      <c r="H321" s="99">
        <v>1</v>
      </c>
      <c r="I321" s="99">
        <v>4</v>
      </c>
      <c r="J321" s="109">
        <f>D317</f>
        <v>0.74299999999999999</v>
      </c>
      <c r="K321" s="110" t="str">
        <f t="shared" si="37"/>
        <v>0</v>
      </c>
      <c r="L321" s="111">
        <v>1</v>
      </c>
      <c r="M321" s="99">
        <f t="shared" si="38"/>
        <v>2.4E-2</v>
      </c>
      <c r="N321" s="112">
        <f t="shared" si="39"/>
        <v>1.0189999999999999</v>
      </c>
      <c r="O321" s="112">
        <f>H321*I321*N321</f>
        <v>4.0759999999999996</v>
      </c>
      <c r="P321" s="140" t="str">
        <f t="shared" si="31"/>
        <v/>
      </c>
      <c r="Q321" s="140" t="str">
        <f t="shared" si="32"/>
        <v/>
      </c>
      <c r="R321" s="140">
        <f t="shared" si="33"/>
        <v>4.0759999999999996</v>
      </c>
      <c r="S321" s="140" t="str">
        <f t="shared" si="34"/>
        <v/>
      </c>
      <c r="T321" s="140" t="str">
        <f t="shared" si="35"/>
        <v/>
      </c>
      <c r="U321" s="140" t="str">
        <f t="shared" si="36"/>
        <v/>
      </c>
      <c r="V321" s="99"/>
    </row>
    <row r="322" spans="1:22">
      <c r="A322" s="92"/>
      <c r="B322" s="92"/>
      <c r="C322" s="145">
        <v>0.08</v>
      </c>
      <c r="D322" s="137"/>
      <c r="E322" s="138"/>
      <c r="F322" s="139"/>
      <c r="G322" s="98"/>
      <c r="H322" s="99"/>
      <c r="I322" s="99"/>
      <c r="J322" s="100"/>
      <c r="K322" s="99"/>
      <c r="L322" s="99"/>
      <c r="M322" s="99"/>
      <c r="N322" s="99"/>
      <c r="O322" s="101"/>
      <c r="P322" s="140" t="str">
        <f t="shared" si="31"/>
        <v/>
      </c>
      <c r="Q322" s="140" t="str">
        <f t="shared" si="32"/>
        <v/>
      </c>
      <c r="R322" s="140" t="str">
        <f t="shared" si="33"/>
        <v/>
      </c>
      <c r="S322" s="140" t="str">
        <f t="shared" si="34"/>
        <v/>
      </c>
      <c r="T322" s="140" t="str">
        <f t="shared" si="35"/>
        <v/>
      </c>
      <c r="U322" s="140" t="str">
        <f t="shared" si="36"/>
        <v/>
      </c>
      <c r="V322" s="99"/>
    </row>
    <row r="323" spans="1:22">
      <c r="A323" s="92"/>
      <c r="B323" s="146" t="s">
        <v>382</v>
      </c>
      <c r="C323" s="147"/>
      <c r="D323" s="137"/>
      <c r="E323" s="148">
        <f>1-0.05</f>
        <v>0.95</v>
      </c>
      <c r="F323" s="139"/>
      <c r="G323" s="98">
        <v>10</v>
      </c>
      <c r="H323" s="99">
        <v>1</v>
      </c>
      <c r="I323" s="99">
        <v>4</v>
      </c>
      <c r="J323" s="149">
        <f>2*(D325+E323)+2*8*G323/1000</f>
        <v>2.42</v>
      </c>
      <c r="K323" s="99"/>
      <c r="L323" s="99">
        <v>5</v>
      </c>
      <c r="M323" s="112">
        <f>2*G323*L323/1000</f>
        <v>0.1</v>
      </c>
      <c r="N323" s="112">
        <f>(J323+K323-M323)</f>
        <v>2.3199999999999998</v>
      </c>
      <c r="O323" s="112">
        <f>(H323*I323*N323)</f>
        <v>9.2799999999999994</v>
      </c>
      <c r="P323" s="140" t="str">
        <f t="shared" si="31"/>
        <v/>
      </c>
      <c r="Q323" s="140">
        <f t="shared" si="32"/>
        <v>9.2799999999999994</v>
      </c>
      <c r="R323" s="140" t="str">
        <f t="shared" si="33"/>
        <v/>
      </c>
      <c r="S323" s="140" t="str">
        <f t="shared" si="34"/>
        <v/>
      </c>
      <c r="T323" s="140" t="str">
        <f t="shared" si="35"/>
        <v/>
      </c>
      <c r="U323" s="140" t="str">
        <f t="shared" si="36"/>
        <v/>
      </c>
      <c r="V323" s="99"/>
    </row>
    <row r="324" spans="1:22">
      <c r="A324" s="92"/>
      <c r="B324" s="146"/>
      <c r="C324" s="136"/>
      <c r="D324" s="137"/>
      <c r="E324" s="150"/>
      <c r="F324" s="139"/>
      <c r="G324" s="98"/>
      <c r="H324" s="99"/>
      <c r="I324" s="99"/>
      <c r="J324" s="100"/>
      <c r="K324" s="99"/>
      <c r="L324" s="99"/>
      <c r="M324" s="99"/>
      <c r="N324" s="99"/>
      <c r="O324" s="112"/>
      <c r="P324" s="140" t="str">
        <f t="shared" si="31"/>
        <v/>
      </c>
      <c r="Q324" s="140" t="str">
        <f t="shared" si="32"/>
        <v/>
      </c>
      <c r="R324" s="140" t="str">
        <f t="shared" si="33"/>
        <v/>
      </c>
      <c r="S324" s="140" t="str">
        <f t="shared" si="34"/>
        <v/>
      </c>
      <c r="T324" s="140" t="str">
        <f t="shared" si="35"/>
        <v/>
      </c>
      <c r="U324" s="140" t="str">
        <f t="shared" si="36"/>
        <v/>
      </c>
      <c r="V324" s="99"/>
    </row>
    <row r="325" spans="1:22">
      <c r="A325" s="92"/>
      <c r="B325" s="146"/>
      <c r="C325" s="136"/>
      <c r="D325" s="109">
        <f>0.23-0.05</f>
        <v>0.18</v>
      </c>
      <c r="E325" s="138"/>
      <c r="F325" s="139"/>
      <c r="G325" s="98"/>
      <c r="H325" s="99"/>
      <c r="I325" s="99"/>
      <c r="J325" s="100"/>
      <c r="K325" s="99"/>
      <c r="L325" s="99"/>
      <c r="M325" s="99"/>
      <c r="N325" s="99"/>
      <c r="O325" s="112"/>
      <c r="P325" s="140" t="str">
        <f t="shared" si="31"/>
        <v/>
      </c>
      <c r="Q325" s="140" t="str">
        <f t="shared" si="32"/>
        <v/>
      </c>
      <c r="R325" s="140" t="str">
        <f t="shared" si="33"/>
        <v/>
      </c>
      <c r="S325" s="140" t="str">
        <f t="shared" si="34"/>
        <v/>
      </c>
      <c r="T325" s="140" t="str">
        <f t="shared" si="35"/>
        <v/>
      </c>
      <c r="U325" s="140" t="str">
        <f t="shared" si="36"/>
        <v/>
      </c>
      <c r="V325" s="99"/>
    </row>
    <row r="326" spans="1:22">
      <c r="A326" s="92"/>
      <c r="B326" s="141"/>
      <c r="C326" s="136"/>
      <c r="D326" s="137"/>
      <c r="E326" s="138"/>
      <c r="F326" s="139"/>
      <c r="G326" s="98"/>
      <c r="H326" s="99"/>
      <c r="I326" s="99"/>
      <c r="J326" s="100"/>
      <c r="K326" s="99"/>
      <c r="L326" s="99"/>
      <c r="M326" s="99"/>
      <c r="N326" s="99"/>
      <c r="O326" s="112"/>
      <c r="P326" s="140" t="str">
        <f t="shared" si="31"/>
        <v/>
      </c>
      <c r="Q326" s="140" t="str">
        <f t="shared" si="32"/>
        <v/>
      </c>
      <c r="R326" s="140" t="str">
        <f t="shared" si="33"/>
        <v/>
      </c>
      <c r="S326" s="140" t="str">
        <f t="shared" si="34"/>
        <v/>
      </c>
      <c r="T326" s="140" t="str">
        <f t="shared" si="35"/>
        <v/>
      </c>
      <c r="U326" s="140" t="str">
        <f t="shared" si="36"/>
        <v/>
      </c>
      <c r="V326" s="99"/>
    </row>
    <row r="327" spans="1:22">
      <c r="A327" s="92"/>
      <c r="B327" s="92"/>
      <c r="C327" s="145">
        <v>0.08</v>
      </c>
      <c r="D327" s="137"/>
      <c r="E327" s="138"/>
      <c r="F327" s="139"/>
      <c r="G327" s="98"/>
      <c r="H327" s="99"/>
      <c r="I327" s="99"/>
      <c r="J327" s="100"/>
      <c r="K327" s="99"/>
      <c r="L327" s="99"/>
      <c r="M327" s="99"/>
      <c r="N327" s="99"/>
      <c r="O327" s="112"/>
      <c r="P327" s="140" t="str">
        <f t="shared" si="31"/>
        <v/>
      </c>
      <c r="Q327" s="140" t="str">
        <f t="shared" si="32"/>
        <v/>
      </c>
      <c r="R327" s="140" t="str">
        <f t="shared" si="33"/>
        <v/>
      </c>
      <c r="S327" s="140" t="str">
        <f t="shared" si="34"/>
        <v/>
      </c>
      <c r="T327" s="140" t="str">
        <f t="shared" si="35"/>
        <v/>
      </c>
      <c r="U327" s="140" t="str">
        <f t="shared" si="36"/>
        <v/>
      </c>
      <c r="V327" s="99"/>
    </row>
    <row r="328" spans="1:22">
      <c r="A328" s="92"/>
      <c r="B328" s="146" t="s">
        <v>383</v>
      </c>
      <c r="C328" s="147"/>
      <c r="D328" s="137"/>
      <c r="E328" s="148">
        <f>((1-0.05-0.016)/9)+0.012+0.02</f>
        <v>0.13577777777777778</v>
      </c>
      <c r="F328" s="139"/>
      <c r="G328" s="98">
        <v>10</v>
      </c>
      <c r="H328" s="99">
        <v>1</v>
      </c>
      <c r="I328" s="99">
        <f>1*4</f>
        <v>4</v>
      </c>
      <c r="J328" s="149">
        <f>2*(D330+E328)+2*8*G328/1000</f>
        <v>0.79155555555555557</v>
      </c>
      <c r="K328" s="99"/>
      <c r="L328" s="99">
        <v>5</v>
      </c>
      <c r="M328" s="112">
        <f>2*G328*L328/1000</f>
        <v>0.1</v>
      </c>
      <c r="N328" s="112">
        <f>(J328+K328-M328)</f>
        <v>0.69155555555555559</v>
      </c>
      <c r="O328" s="112">
        <f>(H328*I328*N328)</f>
        <v>2.7662222222222224</v>
      </c>
      <c r="P328" s="140" t="str">
        <f t="shared" si="31"/>
        <v/>
      </c>
      <c r="Q328" s="140">
        <f t="shared" si="32"/>
        <v>2.7662222222222224</v>
      </c>
      <c r="R328" s="140" t="str">
        <f t="shared" si="33"/>
        <v/>
      </c>
      <c r="S328" s="140" t="str">
        <f t="shared" si="34"/>
        <v/>
      </c>
      <c r="T328" s="140" t="str">
        <f t="shared" si="35"/>
        <v/>
      </c>
      <c r="U328" s="140" t="str">
        <f t="shared" si="36"/>
        <v/>
      </c>
      <c r="V328" s="99"/>
    </row>
    <row r="329" spans="1:22">
      <c r="A329" s="92"/>
      <c r="B329" s="146"/>
      <c r="C329" s="136"/>
      <c r="D329" s="137"/>
      <c r="E329" s="150"/>
      <c r="F329" s="139"/>
      <c r="G329" s="98"/>
      <c r="H329" s="99"/>
      <c r="I329" s="99"/>
      <c r="J329" s="100"/>
      <c r="K329" s="99"/>
      <c r="L329" s="99"/>
      <c r="M329" s="99"/>
      <c r="N329" s="99"/>
      <c r="O329" s="112"/>
      <c r="P329" s="140" t="str">
        <f t="shared" si="31"/>
        <v/>
      </c>
      <c r="Q329" s="140" t="str">
        <f t="shared" si="32"/>
        <v/>
      </c>
      <c r="R329" s="140" t="str">
        <f t="shared" si="33"/>
        <v/>
      </c>
      <c r="S329" s="140" t="str">
        <f t="shared" si="34"/>
        <v/>
      </c>
      <c r="T329" s="140" t="str">
        <f t="shared" si="35"/>
        <v/>
      </c>
      <c r="U329" s="140" t="str">
        <f t="shared" si="36"/>
        <v/>
      </c>
      <c r="V329" s="99"/>
    </row>
    <row r="330" spans="1:22">
      <c r="A330" s="92"/>
      <c r="B330" s="146"/>
      <c r="C330" s="136"/>
      <c r="D330" s="109">
        <f>0.23-0.05</f>
        <v>0.18</v>
      </c>
      <c r="E330" s="138"/>
      <c r="F330" s="139"/>
      <c r="G330" s="98"/>
      <c r="H330" s="99"/>
      <c r="I330" s="99"/>
      <c r="J330" s="100"/>
      <c r="K330" s="99"/>
      <c r="L330" s="99"/>
      <c r="M330" s="99"/>
      <c r="N330" s="99"/>
      <c r="O330" s="112"/>
      <c r="P330" s="140" t="str">
        <f t="shared" si="31"/>
        <v/>
      </c>
      <c r="Q330" s="140" t="str">
        <f t="shared" si="32"/>
        <v/>
      </c>
      <c r="R330" s="140" t="str">
        <f t="shared" si="33"/>
        <v/>
      </c>
      <c r="S330" s="140" t="str">
        <f t="shared" si="34"/>
        <v/>
      </c>
      <c r="T330" s="140" t="str">
        <f t="shared" si="35"/>
        <v/>
      </c>
      <c r="U330" s="140" t="str">
        <f t="shared" si="36"/>
        <v/>
      </c>
      <c r="V330" s="99"/>
    </row>
    <row r="331" spans="1:22">
      <c r="A331" s="92"/>
      <c r="B331" s="146"/>
      <c r="C331" s="136"/>
      <c r="D331" s="152"/>
      <c r="E331" s="138"/>
      <c r="F331" s="139"/>
      <c r="G331" s="98"/>
      <c r="H331" s="99"/>
      <c r="I331" s="99"/>
      <c r="J331" s="100"/>
      <c r="K331" s="99"/>
      <c r="L331" s="99"/>
      <c r="M331" s="99"/>
      <c r="N331" s="99"/>
      <c r="O331" s="101"/>
      <c r="P331" s="140" t="str">
        <f t="shared" si="31"/>
        <v/>
      </c>
      <c r="Q331" s="140" t="str">
        <f t="shared" si="32"/>
        <v/>
      </c>
      <c r="R331" s="140" t="str">
        <f t="shared" si="33"/>
        <v/>
      </c>
      <c r="S331" s="140" t="str">
        <f t="shared" si="34"/>
        <v/>
      </c>
      <c r="T331" s="140" t="str">
        <f t="shared" si="35"/>
        <v/>
      </c>
      <c r="U331" s="140" t="str">
        <f t="shared" si="36"/>
        <v/>
      </c>
      <c r="V331" s="99"/>
    </row>
    <row r="332" spans="1:22">
      <c r="A332" s="92">
        <v>12</v>
      </c>
      <c r="B332" s="92" t="s">
        <v>400</v>
      </c>
      <c r="C332" s="136"/>
      <c r="D332" s="137"/>
      <c r="E332" s="138"/>
      <c r="F332" s="139"/>
      <c r="G332" s="98"/>
      <c r="H332" s="99"/>
      <c r="I332" s="99"/>
      <c r="J332" s="109"/>
      <c r="K332" s="112"/>
      <c r="L332" s="112"/>
      <c r="M332" s="99"/>
      <c r="N332" s="112"/>
      <c r="O332" s="112"/>
      <c r="P332" s="140" t="str">
        <f>IF($G332=8,$O332,"")</f>
        <v/>
      </c>
      <c r="Q332" s="140" t="str">
        <f>IF($G332=10,$O332,"")</f>
        <v/>
      </c>
      <c r="R332" s="140" t="str">
        <f>IF($G332=12,$O332,"")</f>
        <v/>
      </c>
      <c r="S332" s="140" t="str">
        <f>IF($G332=16,$O332,"")</f>
        <v/>
      </c>
      <c r="T332" s="140" t="str">
        <f>IF($G332=20,$O332,"")</f>
        <v/>
      </c>
      <c r="U332" s="140" t="str">
        <f>IF($G332=25,$O332,"")</f>
        <v/>
      </c>
      <c r="V332" s="99"/>
    </row>
    <row r="333" spans="1:22">
      <c r="A333" s="92"/>
      <c r="B333" s="141" t="s">
        <v>378</v>
      </c>
      <c r="C333" s="136"/>
      <c r="D333" s="142">
        <f>0.85-0.075-2*0.016</f>
        <v>0.74299999999999999</v>
      </c>
      <c r="E333" s="138"/>
      <c r="F333" s="139"/>
      <c r="G333" s="98">
        <v>16</v>
      </c>
      <c r="H333" s="99">
        <v>1</v>
      </c>
      <c r="I333" s="99">
        <v>4</v>
      </c>
      <c r="J333" s="109">
        <f>D333</f>
        <v>0.74299999999999999</v>
      </c>
      <c r="K333" s="110" t="str">
        <f>IF(N333&lt;12,"0",0.049*G333)</f>
        <v>0</v>
      </c>
      <c r="L333" s="111">
        <v>1</v>
      </c>
      <c r="M333" s="99">
        <f>2*G333*L333/1000</f>
        <v>3.2000000000000001E-2</v>
      </c>
      <c r="N333" s="112">
        <f>J333+E$335-M333</f>
        <v>1.0109999999999999</v>
      </c>
      <c r="O333" s="112">
        <f t="shared" ref="O333:O338" si="40">H333*I333*N333</f>
        <v>4.0439999999999996</v>
      </c>
      <c r="P333" s="140" t="str">
        <f t="shared" si="31"/>
        <v/>
      </c>
      <c r="Q333" s="140" t="str">
        <f t="shared" si="32"/>
        <v/>
      </c>
      <c r="R333" s="140" t="str">
        <f t="shared" si="33"/>
        <v/>
      </c>
      <c r="S333" s="140">
        <f t="shared" si="34"/>
        <v>4.0439999999999996</v>
      </c>
      <c r="T333" s="140" t="str">
        <f t="shared" si="35"/>
        <v/>
      </c>
      <c r="U333" s="140" t="str">
        <f t="shared" si="36"/>
        <v/>
      </c>
      <c r="V333" s="99"/>
    </row>
    <row r="334" spans="1:22">
      <c r="A334" s="92"/>
      <c r="B334" s="141" t="s">
        <v>379</v>
      </c>
      <c r="C334" s="136"/>
      <c r="D334" s="137"/>
      <c r="E334" s="138"/>
      <c r="F334" s="139"/>
      <c r="G334" s="98">
        <v>12</v>
      </c>
      <c r="H334" s="99">
        <v>1</v>
      </c>
      <c r="I334" s="99">
        <v>4</v>
      </c>
      <c r="J334" s="109">
        <f>D333</f>
        <v>0.74299999999999999</v>
      </c>
      <c r="K334" s="110" t="str">
        <f t="shared" ref="K334:K338" si="41">IF(N334&lt;12,"0",0.049*G334)</f>
        <v>0</v>
      </c>
      <c r="L334" s="111">
        <v>1</v>
      </c>
      <c r="M334" s="99">
        <f t="shared" ref="M334:M338" si="42">2*G334*L334/1000</f>
        <v>2.4E-2</v>
      </c>
      <c r="N334" s="112">
        <f t="shared" ref="N334:N338" si="43">J334+E$335-M334</f>
        <v>1.0189999999999999</v>
      </c>
      <c r="O334" s="112">
        <f t="shared" si="40"/>
        <v>4.0759999999999996</v>
      </c>
      <c r="P334" s="140" t="str">
        <f t="shared" si="31"/>
        <v/>
      </c>
      <c r="Q334" s="140" t="str">
        <f t="shared" si="32"/>
        <v/>
      </c>
      <c r="R334" s="140">
        <f t="shared" si="33"/>
        <v>4.0759999999999996</v>
      </c>
      <c r="S334" s="140" t="str">
        <f t="shared" si="34"/>
        <v/>
      </c>
      <c r="T334" s="140" t="str">
        <f t="shared" si="35"/>
        <v/>
      </c>
      <c r="U334" s="140" t="str">
        <f t="shared" si="36"/>
        <v/>
      </c>
      <c r="V334" s="99"/>
    </row>
    <row r="335" spans="1:22">
      <c r="A335" s="92"/>
      <c r="B335" s="141" t="s">
        <v>380</v>
      </c>
      <c r="C335" s="143"/>
      <c r="D335" s="142"/>
      <c r="E335" s="144">
        <v>0.3</v>
      </c>
      <c r="F335" s="139"/>
      <c r="G335" s="98">
        <v>12</v>
      </c>
      <c r="H335" s="99">
        <v>1</v>
      </c>
      <c r="I335" s="99">
        <v>4</v>
      </c>
      <c r="J335" s="109">
        <f>D333</f>
        <v>0.74299999999999999</v>
      </c>
      <c r="K335" s="110" t="str">
        <f t="shared" si="41"/>
        <v>0</v>
      </c>
      <c r="L335" s="111">
        <v>1</v>
      </c>
      <c r="M335" s="99">
        <f t="shared" si="42"/>
        <v>2.4E-2</v>
      </c>
      <c r="N335" s="112">
        <f t="shared" si="43"/>
        <v>1.0189999999999999</v>
      </c>
      <c r="O335" s="112">
        <f t="shared" si="40"/>
        <v>4.0759999999999996</v>
      </c>
      <c r="P335" s="140" t="str">
        <f t="shared" si="31"/>
        <v/>
      </c>
      <c r="Q335" s="140" t="str">
        <f t="shared" si="32"/>
        <v/>
      </c>
      <c r="R335" s="140">
        <f t="shared" si="33"/>
        <v>4.0759999999999996</v>
      </c>
      <c r="S335" s="140" t="str">
        <f t="shared" si="34"/>
        <v/>
      </c>
      <c r="T335" s="140" t="str">
        <f t="shared" si="35"/>
        <v/>
      </c>
      <c r="U335" s="140" t="str">
        <f t="shared" si="36"/>
        <v/>
      </c>
      <c r="V335" s="99"/>
    </row>
    <row r="336" spans="1:22">
      <c r="A336" s="92"/>
      <c r="B336" s="141" t="s">
        <v>381</v>
      </c>
      <c r="C336" s="136"/>
      <c r="D336" s="137"/>
      <c r="E336" s="138"/>
      <c r="F336" s="139"/>
      <c r="G336" s="98">
        <v>12</v>
      </c>
      <c r="H336" s="99">
        <v>1</v>
      </c>
      <c r="I336" s="99">
        <v>4</v>
      </c>
      <c r="J336" s="109">
        <f>D333</f>
        <v>0.74299999999999999</v>
      </c>
      <c r="K336" s="110" t="str">
        <f t="shared" si="41"/>
        <v>0</v>
      </c>
      <c r="L336" s="111">
        <v>1</v>
      </c>
      <c r="M336" s="99">
        <f t="shared" si="42"/>
        <v>2.4E-2</v>
      </c>
      <c r="N336" s="112">
        <f t="shared" si="43"/>
        <v>1.0189999999999999</v>
      </c>
      <c r="O336" s="112">
        <f t="shared" si="40"/>
        <v>4.0759999999999996</v>
      </c>
      <c r="P336" s="140" t="str">
        <f t="shared" si="31"/>
        <v/>
      </c>
      <c r="Q336" s="140" t="str">
        <f t="shared" si="32"/>
        <v/>
      </c>
      <c r="R336" s="140">
        <f t="shared" si="33"/>
        <v>4.0759999999999996</v>
      </c>
      <c r="S336" s="140" t="str">
        <f t="shared" si="34"/>
        <v/>
      </c>
      <c r="T336" s="140" t="str">
        <f t="shared" si="35"/>
        <v/>
      </c>
      <c r="U336" s="140" t="str">
        <f t="shared" si="36"/>
        <v/>
      </c>
      <c r="V336" s="99"/>
    </row>
    <row r="337" spans="1:22">
      <c r="A337" s="92"/>
      <c r="B337" s="141" t="s">
        <v>389</v>
      </c>
      <c r="C337" s="136"/>
      <c r="D337" s="137"/>
      <c r="E337" s="138"/>
      <c r="F337" s="139"/>
      <c r="G337" s="98">
        <v>12</v>
      </c>
      <c r="H337" s="99">
        <v>1</v>
      </c>
      <c r="I337" s="99">
        <v>4</v>
      </c>
      <c r="J337" s="109">
        <f>D333</f>
        <v>0.74299999999999999</v>
      </c>
      <c r="K337" s="110" t="str">
        <f t="shared" si="41"/>
        <v>0</v>
      </c>
      <c r="L337" s="111">
        <v>1</v>
      </c>
      <c r="M337" s="99">
        <f t="shared" si="42"/>
        <v>2.4E-2</v>
      </c>
      <c r="N337" s="112">
        <f t="shared" si="43"/>
        <v>1.0189999999999999</v>
      </c>
      <c r="O337" s="112">
        <f t="shared" si="40"/>
        <v>4.0759999999999996</v>
      </c>
      <c r="P337" s="140" t="str">
        <f t="shared" si="31"/>
        <v/>
      </c>
      <c r="Q337" s="140" t="str">
        <f t="shared" si="32"/>
        <v/>
      </c>
      <c r="R337" s="140">
        <f t="shared" si="33"/>
        <v>4.0759999999999996</v>
      </c>
      <c r="S337" s="140" t="str">
        <f t="shared" si="34"/>
        <v/>
      </c>
      <c r="T337" s="140" t="str">
        <f t="shared" si="35"/>
        <v/>
      </c>
      <c r="U337" s="140" t="str">
        <f t="shared" si="36"/>
        <v/>
      </c>
      <c r="V337" s="99"/>
    </row>
    <row r="338" spans="1:22">
      <c r="A338" s="92"/>
      <c r="B338" s="141" t="s">
        <v>401</v>
      </c>
      <c r="C338" s="136"/>
      <c r="D338" s="137"/>
      <c r="E338" s="138"/>
      <c r="F338" s="139"/>
      <c r="G338" s="98">
        <v>12</v>
      </c>
      <c r="H338" s="99">
        <v>1</v>
      </c>
      <c r="I338" s="99">
        <v>2</v>
      </c>
      <c r="J338" s="109">
        <f>D333</f>
        <v>0.74299999999999999</v>
      </c>
      <c r="K338" s="110" t="str">
        <f t="shared" si="41"/>
        <v>0</v>
      </c>
      <c r="L338" s="111">
        <v>1</v>
      </c>
      <c r="M338" s="99">
        <f t="shared" si="42"/>
        <v>2.4E-2</v>
      </c>
      <c r="N338" s="112">
        <f t="shared" si="43"/>
        <v>1.0189999999999999</v>
      </c>
      <c r="O338" s="112">
        <f t="shared" si="40"/>
        <v>2.0379999999999998</v>
      </c>
      <c r="P338" s="140" t="str">
        <f t="shared" si="31"/>
        <v/>
      </c>
      <c r="Q338" s="140" t="str">
        <f t="shared" si="32"/>
        <v/>
      </c>
      <c r="R338" s="140">
        <f t="shared" si="33"/>
        <v>2.0379999999999998</v>
      </c>
      <c r="S338" s="140" t="str">
        <f t="shared" si="34"/>
        <v/>
      </c>
      <c r="T338" s="140" t="str">
        <f t="shared" si="35"/>
        <v/>
      </c>
      <c r="U338" s="140" t="str">
        <f t="shared" si="36"/>
        <v/>
      </c>
      <c r="V338" s="99"/>
    </row>
    <row r="339" spans="1:22">
      <c r="A339" s="92"/>
      <c r="B339" s="141"/>
      <c r="C339" s="136"/>
      <c r="D339" s="137"/>
      <c r="E339" s="138"/>
      <c r="F339" s="139"/>
      <c r="G339" s="98"/>
      <c r="H339" s="99"/>
      <c r="I339" s="99"/>
      <c r="J339" s="109"/>
      <c r="K339" s="110"/>
      <c r="L339" s="111"/>
      <c r="M339" s="99"/>
      <c r="N339" s="112"/>
      <c r="O339" s="112"/>
      <c r="P339" s="140"/>
      <c r="Q339" s="140"/>
      <c r="R339" s="140"/>
      <c r="S339" s="140"/>
      <c r="T339" s="140"/>
      <c r="U339" s="140"/>
      <c r="V339" s="99"/>
    </row>
    <row r="340" spans="1:22">
      <c r="A340" s="92"/>
      <c r="B340" s="92"/>
      <c r="C340" s="145">
        <v>0.08</v>
      </c>
      <c r="D340" s="137"/>
      <c r="E340" s="138"/>
      <c r="F340" s="139"/>
      <c r="G340" s="98"/>
      <c r="H340" s="99"/>
      <c r="I340" s="99"/>
      <c r="J340" s="100"/>
      <c r="K340" s="99"/>
      <c r="L340" s="99"/>
      <c r="M340" s="99"/>
      <c r="N340" s="99"/>
      <c r="O340" s="101"/>
      <c r="P340" s="140" t="str">
        <f t="shared" si="31"/>
        <v/>
      </c>
      <c r="Q340" s="140" t="str">
        <f t="shared" si="32"/>
        <v/>
      </c>
      <c r="R340" s="140" t="str">
        <f t="shared" si="33"/>
        <v/>
      </c>
      <c r="S340" s="140" t="str">
        <f t="shared" si="34"/>
        <v/>
      </c>
      <c r="T340" s="140" t="str">
        <f t="shared" si="35"/>
        <v/>
      </c>
      <c r="U340" s="140" t="str">
        <f t="shared" si="36"/>
        <v/>
      </c>
      <c r="V340" s="99"/>
    </row>
    <row r="341" spans="1:22">
      <c r="A341" s="92"/>
      <c r="B341" s="146" t="s">
        <v>382</v>
      </c>
      <c r="C341" s="147"/>
      <c r="D341" s="137"/>
      <c r="E341" s="148">
        <f>1.15-0.05</f>
        <v>1.0999999999999999</v>
      </c>
      <c r="F341" s="139"/>
      <c r="G341" s="98">
        <v>10</v>
      </c>
      <c r="H341" s="99">
        <v>1</v>
      </c>
      <c r="I341" s="99">
        <v>4</v>
      </c>
      <c r="J341" s="149">
        <f>2*(D343+E341)+2*8*G341/1000</f>
        <v>2.7199999999999998</v>
      </c>
      <c r="K341" s="99"/>
      <c r="L341" s="99">
        <v>5</v>
      </c>
      <c r="M341" s="112">
        <f>2*G341*L341/1000</f>
        <v>0.1</v>
      </c>
      <c r="N341" s="112">
        <f>(J341+K341-M341)</f>
        <v>2.6199999999999997</v>
      </c>
      <c r="O341" s="112">
        <f>(H341*I341*N341)</f>
        <v>10.479999999999999</v>
      </c>
      <c r="P341" s="140" t="str">
        <f t="shared" si="31"/>
        <v/>
      </c>
      <c r="Q341" s="140">
        <f t="shared" si="32"/>
        <v>10.479999999999999</v>
      </c>
      <c r="R341" s="140" t="str">
        <f t="shared" si="33"/>
        <v/>
      </c>
      <c r="S341" s="140" t="str">
        <f t="shared" si="34"/>
        <v/>
      </c>
      <c r="T341" s="140" t="str">
        <f t="shared" si="35"/>
        <v/>
      </c>
      <c r="U341" s="140" t="str">
        <f t="shared" si="36"/>
        <v/>
      </c>
      <c r="V341" s="99"/>
    </row>
    <row r="342" spans="1:22">
      <c r="A342" s="92"/>
      <c r="B342" s="146"/>
      <c r="C342" s="136"/>
      <c r="D342" s="137"/>
      <c r="E342" s="150"/>
      <c r="F342" s="139"/>
      <c r="G342" s="98"/>
      <c r="H342" s="99"/>
      <c r="I342" s="99"/>
      <c r="J342" s="100"/>
      <c r="K342" s="99"/>
      <c r="L342" s="99"/>
      <c r="M342" s="99"/>
      <c r="N342" s="99"/>
      <c r="O342" s="112"/>
      <c r="P342" s="140" t="str">
        <f t="shared" si="31"/>
        <v/>
      </c>
      <c r="Q342" s="140" t="str">
        <f t="shared" si="32"/>
        <v/>
      </c>
      <c r="R342" s="140" t="str">
        <f t="shared" si="33"/>
        <v/>
      </c>
      <c r="S342" s="140" t="str">
        <f t="shared" si="34"/>
        <v/>
      </c>
      <c r="T342" s="140" t="str">
        <f t="shared" si="35"/>
        <v/>
      </c>
      <c r="U342" s="140" t="str">
        <f t="shared" si="36"/>
        <v/>
      </c>
      <c r="V342" s="99"/>
    </row>
    <row r="343" spans="1:22">
      <c r="A343" s="92"/>
      <c r="B343" s="146"/>
      <c r="C343" s="136"/>
      <c r="D343" s="109">
        <f>0.23-0.05</f>
        <v>0.18</v>
      </c>
      <c r="E343" s="138"/>
      <c r="F343" s="139"/>
      <c r="G343" s="98"/>
      <c r="H343" s="99"/>
      <c r="I343" s="99"/>
      <c r="J343" s="100"/>
      <c r="K343" s="99"/>
      <c r="L343" s="99"/>
      <c r="M343" s="99"/>
      <c r="N343" s="99"/>
      <c r="O343" s="112"/>
      <c r="P343" s="140" t="str">
        <f t="shared" si="31"/>
        <v/>
      </c>
      <c r="Q343" s="140" t="str">
        <f t="shared" si="32"/>
        <v/>
      </c>
      <c r="R343" s="140" t="str">
        <f t="shared" si="33"/>
        <v/>
      </c>
      <c r="S343" s="140" t="str">
        <f t="shared" si="34"/>
        <v/>
      </c>
      <c r="T343" s="140" t="str">
        <f t="shared" si="35"/>
        <v/>
      </c>
      <c r="U343" s="140" t="str">
        <f t="shared" si="36"/>
        <v/>
      </c>
      <c r="V343" s="99"/>
    </row>
    <row r="344" spans="1:22">
      <c r="A344" s="92"/>
      <c r="B344" s="141"/>
      <c r="C344" s="136"/>
      <c r="D344" s="137"/>
      <c r="E344" s="138"/>
      <c r="F344" s="139"/>
      <c r="G344" s="98"/>
      <c r="H344" s="99"/>
      <c r="I344" s="99"/>
      <c r="J344" s="100"/>
      <c r="K344" s="99"/>
      <c r="L344" s="99"/>
      <c r="M344" s="99"/>
      <c r="N344" s="99"/>
      <c r="O344" s="112"/>
      <c r="P344" s="140" t="str">
        <f t="shared" si="31"/>
        <v/>
      </c>
      <c r="Q344" s="140" t="str">
        <f t="shared" si="32"/>
        <v/>
      </c>
      <c r="R344" s="140" t="str">
        <f t="shared" si="33"/>
        <v/>
      </c>
      <c r="S344" s="140" t="str">
        <f t="shared" si="34"/>
        <v/>
      </c>
      <c r="T344" s="140" t="str">
        <f t="shared" si="35"/>
        <v/>
      </c>
      <c r="U344" s="140" t="str">
        <f t="shared" si="36"/>
        <v/>
      </c>
      <c r="V344" s="99"/>
    </row>
    <row r="345" spans="1:22">
      <c r="A345" s="92"/>
      <c r="B345" s="92"/>
      <c r="C345" s="145">
        <v>0.08</v>
      </c>
      <c r="D345" s="137"/>
      <c r="E345" s="138"/>
      <c r="F345" s="139"/>
      <c r="G345" s="98"/>
      <c r="H345" s="99"/>
      <c r="I345" s="99"/>
      <c r="J345" s="100"/>
      <c r="K345" s="99"/>
      <c r="L345" s="99"/>
      <c r="M345" s="99"/>
      <c r="N345" s="99"/>
      <c r="O345" s="112"/>
      <c r="P345" s="140" t="str">
        <f t="shared" si="31"/>
        <v/>
      </c>
      <c r="Q345" s="140" t="str">
        <f t="shared" si="32"/>
        <v/>
      </c>
      <c r="R345" s="140" t="str">
        <f t="shared" si="33"/>
        <v/>
      </c>
      <c r="S345" s="140" t="str">
        <f t="shared" si="34"/>
        <v/>
      </c>
      <c r="T345" s="140" t="str">
        <f t="shared" si="35"/>
        <v/>
      </c>
      <c r="U345" s="140" t="str">
        <f t="shared" si="36"/>
        <v/>
      </c>
      <c r="V345" s="99"/>
    </row>
    <row r="346" spans="1:22">
      <c r="A346" s="92"/>
      <c r="B346" s="146" t="s">
        <v>383</v>
      </c>
      <c r="C346" s="147"/>
      <c r="D346" s="137"/>
      <c r="E346" s="148">
        <f>((1.15-0.05-0.016)/10)+0.012+0.02</f>
        <v>0.14039999999999997</v>
      </c>
      <c r="F346" s="139"/>
      <c r="G346" s="98">
        <v>10</v>
      </c>
      <c r="H346" s="99">
        <v>1</v>
      </c>
      <c r="I346" s="99">
        <f>1*4</f>
        <v>4</v>
      </c>
      <c r="J346" s="149">
        <f>2*(D348+E346)+2*8*G346/1000</f>
        <v>0.80079999999999996</v>
      </c>
      <c r="K346" s="99"/>
      <c r="L346" s="99">
        <v>5</v>
      </c>
      <c r="M346" s="112">
        <f>2*G346*L346/1000</f>
        <v>0.1</v>
      </c>
      <c r="N346" s="112">
        <f>(J346+K346-M346)</f>
        <v>0.70079999999999998</v>
      </c>
      <c r="O346" s="112">
        <f>(H346*I346*N346)</f>
        <v>2.8031999999999999</v>
      </c>
      <c r="P346" s="140" t="str">
        <f t="shared" si="31"/>
        <v/>
      </c>
      <c r="Q346" s="140">
        <f t="shared" si="32"/>
        <v>2.8031999999999999</v>
      </c>
      <c r="R346" s="140" t="str">
        <f t="shared" si="33"/>
        <v/>
      </c>
      <c r="S346" s="140" t="str">
        <f t="shared" si="34"/>
        <v/>
      </c>
      <c r="T346" s="140" t="str">
        <f t="shared" si="35"/>
        <v/>
      </c>
      <c r="U346" s="140" t="str">
        <f t="shared" si="36"/>
        <v/>
      </c>
      <c r="V346" s="99"/>
    </row>
    <row r="347" spans="1:22">
      <c r="A347" s="92"/>
      <c r="B347" s="146"/>
      <c r="C347" s="136"/>
      <c r="D347" s="137"/>
      <c r="E347" s="150"/>
      <c r="F347" s="139"/>
      <c r="G347" s="98"/>
      <c r="H347" s="99"/>
      <c r="I347" s="99"/>
      <c r="J347" s="100"/>
      <c r="K347" s="99"/>
      <c r="L347" s="99"/>
      <c r="M347" s="99"/>
      <c r="N347" s="99"/>
      <c r="O347" s="112"/>
      <c r="P347" s="140" t="str">
        <f t="shared" ref="P347:P388" si="44">IF($G347=8,$O347,"")</f>
        <v/>
      </c>
      <c r="Q347" s="140" t="str">
        <f t="shared" ref="Q347:Q388" si="45">IF($G347=10,$O347,"")</f>
        <v/>
      </c>
      <c r="R347" s="140" t="str">
        <f t="shared" ref="R347:R388" si="46">IF($G347=12,$O347,"")</f>
        <v/>
      </c>
      <c r="S347" s="140" t="str">
        <f t="shared" ref="S347:S388" si="47">IF($G347=16,$O347,"")</f>
        <v/>
      </c>
      <c r="T347" s="140" t="str">
        <f t="shared" ref="T347:T388" si="48">IF($G347=20,$O347,"")</f>
        <v/>
      </c>
      <c r="U347" s="140" t="str">
        <f t="shared" ref="U347:U388" si="49">IF($G347=25,$O347,"")</f>
        <v/>
      </c>
      <c r="V347" s="99"/>
    </row>
    <row r="348" spans="1:22">
      <c r="A348" s="92"/>
      <c r="B348" s="146"/>
      <c r="C348" s="136"/>
      <c r="D348" s="109">
        <f>0.23-0.05</f>
        <v>0.18</v>
      </c>
      <c r="E348" s="138"/>
      <c r="F348" s="139"/>
      <c r="G348" s="98"/>
      <c r="H348" s="99"/>
      <c r="I348" s="99"/>
      <c r="J348" s="100"/>
      <c r="K348" s="99"/>
      <c r="L348" s="99"/>
      <c r="M348" s="99"/>
      <c r="N348" s="99"/>
      <c r="O348" s="112"/>
      <c r="P348" s="140" t="str">
        <f t="shared" si="44"/>
        <v/>
      </c>
      <c r="Q348" s="140" t="str">
        <f t="shared" si="45"/>
        <v/>
      </c>
      <c r="R348" s="140" t="str">
        <f t="shared" si="46"/>
        <v/>
      </c>
      <c r="S348" s="140" t="str">
        <f t="shared" si="47"/>
        <v/>
      </c>
      <c r="T348" s="140" t="str">
        <f t="shared" si="48"/>
        <v/>
      </c>
      <c r="U348" s="140" t="str">
        <f t="shared" si="49"/>
        <v/>
      </c>
      <c r="V348" s="99"/>
    </row>
    <row r="349" spans="1:22">
      <c r="A349" s="92"/>
      <c r="B349" s="141"/>
      <c r="C349" s="136"/>
      <c r="D349" s="137"/>
      <c r="E349" s="138"/>
      <c r="F349" s="139"/>
      <c r="G349" s="98"/>
      <c r="H349" s="99"/>
      <c r="I349" s="99"/>
      <c r="J349" s="100"/>
      <c r="K349" s="99"/>
      <c r="L349" s="99"/>
      <c r="M349" s="99"/>
      <c r="N349" s="99"/>
      <c r="O349" s="101"/>
      <c r="P349" s="140" t="str">
        <f t="shared" si="44"/>
        <v/>
      </c>
      <c r="Q349" s="140" t="str">
        <f t="shared" si="45"/>
        <v/>
      </c>
      <c r="R349" s="140" t="str">
        <f t="shared" si="46"/>
        <v/>
      </c>
      <c r="S349" s="140" t="str">
        <f t="shared" si="47"/>
        <v/>
      </c>
      <c r="T349" s="140" t="str">
        <f t="shared" si="48"/>
        <v/>
      </c>
      <c r="U349" s="140" t="str">
        <f t="shared" si="49"/>
        <v/>
      </c>
      <c r="V349" s="99"/>
    </row>
    <row r="350" spans="1:22">
      <c r="A350" s="92"/>
      <c r="B350" s="141"/>
      <c r="C350" s="136"/>
      <c r="D350" s="137"/>
      <c r="E350" s="144">
        <v>0.08</v>
      </c>
      <c r="F350" s="139"/>
      <c r="G350" s="98"/>
      <c r="H350" s="99"/>
      <c r="I350" s="99"/>
      <c r="J350" s="100"/>
      <c r="K350" s="99"/>
      <c r="L350" s="99"/>
      <c r="M350" s="99"/>
      <c r="N350" s="99"/>
      <c r="O350" s="101"/>
      <c r="P350" s="140" t="str">
        <f t="shared" si="44"/>
        <v/>
      </c>
      <c r="Q350" s="140" t="str">
        <f t="shared" si="45"/>
        <v/>
      </c>
      <c r="R350" s="140" t="str">
        <f t="shared" si="46"/>
        <v/>
      </c>
      <c r="S350" s="140" t="str">
        <f t="shared" si="47"/>
        <v/>
      </c>
      <c r="T350" s="140" t="str">
        <f t="shared" si="48"/>
        <v/>
      </c>
      <c r="U350" s="140" t="str">
        <f t="shared" si="49"/>
        <v/>
      </c>
      <c r="V350" s="99"/>
    </row>
    <row r="351" spans="1:22">
      <c r="A351" s="92"/>
      <c r="B351" s="146" t="s">
        <v>384</v>
      </c>
      <c r="C351" s="136"/>
      <c r="D351" s="142">
        <f>0.23-0.05</f>
        <v>0.18</v>
      </c>
      <c r="E351" s="144"/>
      <c r="F351" s="139"/>
      <c r="G351" s="98">
        <v>10</v>
      </c>
      <c r="H351" s="99">
        <v>1</v>
      </c>
      <c r="I351" s="99">
        <v>1</v>
      </c>
      <c r="J351" s="149">
        <f>D351+E350+E352</f>
        <v>0.34</v>
      </c>
      <c r="K351" s="99"/>
      <c r="L351" s="99">
        <v>2</v>
      </c>
      <c r="M351" s="112">
        <f>2*G351*L351/1000</f>
        <v>0.04</v>
      </c>
      <c r="N351" s="112">
        <f>(J351+K351-M351)</f>
        <v>0.30000000000000004</v>
      </c>
      <c r="O351" s="112">
        <f>(H351*I351*N351)</f>
        <v>0.30000000000000004</v>
      </c>
      <c r="P351" s="140" t="str">
        <f t="shared" si="44"/>
        <v/>
      </c>
      <c r="Q351" s="140">
        <f t="shared" si="45"/>
        <v>0.30000000000000004</v>
      </c>
      <c r="R351" s="140" t="str">
        <f t="shared" si="46"/>
        <v/>
      </c>
      <c r="S351" s="140" t="str">
        <f t="shared" si="47"/>
        <v/>
      </c>
      <c r="T351" s="140" t="str">
        <f t="shared" si="48"/>
        <v/>
      </c>
      <c r="U351" s="140" t="str">
        <f t="shared" si="49"/>
        <v/>
      </c>
      <c r="V351" s="99"/>
    </row>
    <row r="352" spans="1:22">
      <c r="A352" s="92"/>
      <c r="B352" s="141"/>
      <c r="C352" s="136"/>
      <c r="D352" s="137"/>
      <c r="E352" s="144">
        <v>0.08</v>
      </c>
      <c r="F352" s="139"/>
      <c r="G352" s="98"/>
      <c r="H352" s="99"/>
      <c r="I352" s="99"/>
      <c r="J352" s="100"/>
      <c r="K352" s="99"/>
      <c r="L352" s="99"/>
      <c r="M352" s="99"/>
      <c r="N352" s="99"/>
      <c r="O352" s="101"/>
      <c r="P352" s="140" t="str">
        <f t="shared" si="44"/>
        <v/>
      </c>
      <c r="Q352" s="140" t="str">
        <f t="shared" si="45"/>
        <v/>
      </c>
      <c r="R352" s="140" t="str">
        <f t="shared" si="46"/>
        <v/>
      </c>
      <c r="S352" s="140" t="str">
        <f t="shared" si="47"/>
        <v/>
      </c>
      <c r="T352" s="140" t="str">
        <f t="shared" si="48"/>
        <v/>
      </c>
      <c r="U352" s="140" t="str">
        <f t="shared" si="49"/>
        <v/>
      </c>
      <c r="V352" s="99"/>
    </row>
    <row r="353" spans="1:22">
      <c r="A353" s="92"/>
      <c r="B353" s="146"/>
      <c r="C353" s="136"/>
      <c r="D353" s="152"/>
      <c r="E353" s="138"/>
      <c r="F353" s="139"/>
      <c r="G353" s="98"/>
      <c r="H353" s="99"/>
      <c r="I353" s="99"/>
      <c r="J353" s="100"/>
      <c r="K353" s="99"/>
      <c r="L353" s="99"/>
      <c r="M353" s="99"/>
      <c r="N353" s="99"/>
      <c r="O353" s="101"/>
      <c r="P353" s="140" t="str">
        <f t="shared" si="44"/>
        <v/>
      </c>
      <c r="Q353" s="140" t="str">
        <f t="shared" si="45"/>
        <v/>
      </c>
      <c r="R353" s="140" t="str">
        <f t="shared" si="46"/>
        <v/>
      </c>
      <c r="S353" s="140" t="str">
        <f t="shared" si="47"/>
        <v/>
      </c>
      <c r="T353" s="140" t="str">
        <f t="shared" si="48"/>
        <v/>
      </c>
      <c r="U353" s="140" t="str">
        <f t="shared" si="49"/>
        <v/>
      </c>
      <c r="V353" s="99"/>
    </row>
    <row r="354" spans="1:22">
      <c r="A354" s="92">
        <v>13</v>
      </c>
      <c r="B354" s="92" t="s">
        <v>402</v>
      </c>
      <c r="C354" s="136"/>
      <c r="D354" s="137"/>
      <c r="E354" s="138"/>
      <c r="F354" s="139"/>
      <c r="G354" s="98"/>
      <c r="H354" s="99"/>
      <c r="I354" s="99"/>
      <c r="J354" s="109"/>
      <c r="K354" s="112"/>
      <c r="L354" s="112"/>
      <c r="M354" s="99"/>
      <c r="N354" s="112"/>
      <c r="O354" s="112"/>
      <c r="P354" s="140" t="str">
        <f>IF($G354=8,$O354,"")</f>
        <v/>
      </c>
      <c r="Q354" s="140" t="str">
        <f>IF($G354=10,$O354,"")</f>
        <v/>
      </c>
      <c r="R354" s="140" t="str">
        <f>IF($G354=12,$O354,"")</f>
        <v/>
      </c>
      <c r="S354" s="140" t="str">
        <f>IF($G354=16,$O354,"")</f>
        <v/>
      </c>
      <c r="T354" s="140" t="str">
        <f>IF($G354=20,$O354,"")</f>
        <v/>
      </c>
      <c r="U354" s="140" t="str">
        <f>IF($G354=25,$O354,"")</f>
        <v/>
      </c>
      <c r="V354" s="99"/>
    </row>
    <row r="355" spans="1:22">
      <c r="A355" s="92"/>
      <c r="B355" s="141" t="s">
        <v>378</v>
      </c>
      <c r="C355" s="136"/>
      <c r="D355" s="142">
        <f>0.85-0.075-2*0.016</f>
        <v>0.74299999999999999</v>
      </c>
      <c r="E355" s="138"/>
      <c r="F355" s="139"/>
      <c r="G355" s="98">
        <v>20</v>
      </c>
      <c r="H355" s="99">
        <v>2</v>
      </c>
      <c r="I355" s="99">
        <v>4</v>
      </c>
      <c r="J355" s="109">
        <f>D355</f>
        <v>0.74299999999999999</v>
      </c>
      <c r="K355" s="110" t="str">
        <f>IF(N355&lt;12,"0",0.049*G355)</f>
        <v>0</v>
      </c>
      <c r="L355" s="111">
        <v>1</v>
      </c>
      <c r="M355" s="99">
        <f>2*G355*L355/1000</f>
        <v>0.04</v>
      </c>
      <c r="N355" s="112">
        <f>J355+E$357-M355</f>
        <v>1.0029999999999999</v>
      </c>
      <c r="O355" s="112">
        <f t="shared" ref="O355:O361" si="50">H355*I355*N355</f>
        <v>8.0239999999999991</v>
      </c>
      <c r="P355" s="140" t="str">
        <f t="shared" si="44"/>
        <v/>
      </c>
      <c r="Q355" s="140" t="str">
        <f t="shared" si="45"/>
        <v/>
      </c>
      <c r="R355" s="140" t="str">
        <f t="shared" si="46"/>
        <v/>
      </c>
      <c r="S355" s="140" t="str">
        <f t="shared" si="47"/>
        <v/>
      </c>
      <c r="T355" s="140">
        <f t="shared" si="48"/>
        <v>8.0239999999999991</v>
      </c>
      <c r="U355" s="140" t="str">
        <f t="shared" si="49"/>
        <v/>
      </c>
      <c r="V355" s="99"/>
    </row>
    <row r="356" spans="1:22">
      <c r="A356" s="92"/>
      <c r="B356" s="141" t="s">
        <v>379</v>
      </c>
      <c r="C356" s="136"/>
      <c r="D356" s="137"/>
      <c r="E356" s="138"/>
      <c r="F356" s="139"/>
      <c r="G356" s="98">
        <v>20</v>
      </c>
      <c r="H356" s="99">
        <v>2</v>
      </c>
      <c r="I356" s="99">
        <v>4</v>
      </c>
      <c r="J356" s="109">
        <f>D355</f>
        <v>0.74299999999999999</v>
      </c>
      <c r="K356" s="110" t="str">
        <f t="shared" ref="K356:K361" si="51">IF(N356&lt;12,"0",0.049*G356)</f>
        <v>0</v>
      </c>
      <c r="L356" s="111">
        <v>1</v>
      </c>
      <c r="M356" s="99">
        <f t="shared" ref="M356:M361" si="52">2*G356*L356/1000</f>
        <v>0.04</v>
      </c>
      <c r="N356" s="112">
        <f t="shared" ref="N356:N361" si="53">J356+E$357-M356</f>
        <v>1.0029999999999999</v>
      </c>
      <c r="O356" s="112">
        <f t="shared" si="50"/>
        <v>8.0239999999999991</v>
      </c>
      <c r="P356" s="140" t="str">
        <f t="shared" si="44"/>
        <v/>
      </c>
      <c r="Q356" s="140" t="str">
        <f t="shared" si="45"/>
        <v/>
      </c>
      <c r="R356" s="140" t="str">
        <f t="shared" si="46"/>
        <v/>
      </c>
      <c r="S356" s="140" t="str">
        <f t="shared" si="47"/>
        <v/>
      </c>
      <c r="T356" s="140">
        <f t="shared" si="48"/>
        <v>8.0239999999999991</v>
      </c>
      <c r="U356" s="140" t="str">
        <f t="shared" si="49"/>
        <v/>
      </c>
      <c r="V356" s="99"/>
    </row>
    <row r="357" spans="1:22">
      <c r="A357" s="92"/>
      <c r="B357" s="141" t="s">
        <v>380</v>
      </c>
      <c r="C357" s="143"/>
      <c r="D357" s="142"/>
      <c r="E357" s="144">
        <v>0.3</v>
      </c>
      <c r="F357" s="139"/>
      <c r="G357" s="98">
        <v>20</v>
      </c>
      <c r="H357" s="99">
        <v>2</v>
      </c>
      <c r="I357" s="99">
        <v>4</v>
      </c>
      <c r="J357" s="109">
        <f>D355</f>
        <v>0.74299999999999999</v>
      </c>
      <c r="K357" s="110" t="str">
        <f t="shared" si="51"/>
        <v>0</v>
      </c>
      <c r="L357" s="111">
        <v>1</v>
      </c>
      <c r="M357" s="99">
        <f t="shared" si="52"/>
        <v>0.04</v>
      </c>
      <c r="N357" s="112">
        <f t="shared" si="53"/>
        <v>1.0029999999999999</v>
      </c>
      <c r="O357" s="112">
        <f t="shared" si="50"/>
        <v>8.0239999999999991</v>
      </c>
      <c r="P357" s="140" t="str">
        <f t="shared" si="44"/>
        <v/>
      </c>
      <c r="Q357" s="140" t="str">
        <f t="shared" si="45"/>
        <v/>
      </c>
      <c r="R357" s="140" t="str">
        <f t="shared" si="46"/>
        <v/>
      </c>
      <c r="S357" s="140" t="str">
        <f t="shared" si="47"/>
        <v/>
      </c>
      <c r="T357" s="140">
        <f t="shared" si="48"/>
        <v>8.0239999999999991</v>
      </c>
      <c r="U357" s="140" t="str">
        <f t="shared" si="49"/>
        <v/>
      </c>
      <c r="V357" s="99"/>
    </row>
    <row r="358" spans="1:22">
      <c r="A358" s="92"/>
      <c r="B358" s="141" t="s">
        <v>381</v>
      </c>
      <c r="C358" s="136"/>
      <c r="D358" s="137"/>
      <c r="E358" s="138"/>
      <c r="F358" s="139"/>
      <c r="G358" s="98">
        <v>16</v>
      </c>
      <c r="H358" s="99">
        <v>2</v>
      </c>
      <c r="I358" s="99">
        <v>4</v>
      </c>
      <c r="J358" s="109">
        <f>D355</f>
        <v>0.74299999999999999</v>
      </c>
      <c r="K358" s="110" t="str">
        <f t="shared" si="51"/>
        <v>0</v>
      </c>
      <c r="L358" s="111">
        <v>1</v>
      </c>
      <c r="M358" s="99">
        <f t="shared" si="52"/>
        <v>3.2000000000000001E-2</v>
      </c>
      <c r="N358" s="112">
        <f t="shared" si="53"/>
        <v>1.0109999999999999</v>
      </c>
      <c r="O358" s="112">
        <f t="shared" si="50"/>
        <v>8.0879999999999992</v>
      </c>
      <c r="P358" s="140" t="str">
        <f t="shared" si="44"/>
        <v/>
      </c>
      <c r="Q358" s="140" t="str">
        <f t="shared" si="45"/>
        <v/>
      </c>
      <c r="R358" s="140" t="str">
        <f t="shared" si="46"/>
        <v/>
      </c>
      <c r="S358" s="140">
        <f t="shared" si="47"/>
        <v>8.0879999999999992</v>
      </c>
      <c r="T358" s="140" t="str">
        <f t="shared" si="48"/>
        <v/>
      </c>
      <c r="U358" s="140" t="str">
        <f t="shared" si="49"/>
        <v/>
      </c>
      <c r="V358" s="99"/>
    </row>
    <row r="359" spans="1:22">
      <c r="A359" s="92"/>
      <c r="B359" s="141" t="s">
        <v>389</v>
      </c>
      <c r="C359" s="136"/>
      <c r="D359" s="137"/>
      <c r="E359" s="138"/>
      <c r="F359" s="139"/>
      <c r="G359" s="98">
        <v>16</v>
      </c>
      <c r="H359" s="99">
        <v>2</v>
      </c>
      <c r="I359" s="99">
        <v>4</v>
      </c>
      <c r="J359" s="109">
        <f>D355</f>
        <v>0.74299999999999999</v>
      </c>
      <c r="K359" s="110" t="str">
        <f t="shared" si="51"/>
        <v>0</v>
      </c>
      <c r="L359" s="111">
        <v>1</v>
      </c>
      <c r="M359" s="99">
        <f t="shared" si="52"/>
        <v>3.2000000000000001E-2</v>
      </c>
      <c r="N359" s="112">
        <f t="shared" si="53"/>
        <v>1.0109999999999999</v>
      </c>
      <c r="O359" s="112">
        <f t="shared" si="50"/>
        <v>8.0879999999999992</v>
      </c>
      <c r="P359" s="140" t="str">
        <f t="shared" si="44"/>
        <v/>
      </c>
      <c r="Q359" s="140" t="str">
        <f t="shared" si="45"/>
        <v/>
      </c>
      <c r="R359" s="140" t="str">
        <f t="shared" si="46"/>
        <v/>
      </c>
      <c r="S359" s="140">
        <f t="shared" si="47"/>
        <v>8.0879999999999992</v>
      </c>
      <c r="T359" s="140" t="str">
        <f t="shared" si="48"/>
        <v/>
      </c>
      <c r="U359" s="140" t="str">
        <f t="shared" si="49"/>
        <v/>
      </c>
      <c r="V359" s="99"/>
    </row>
    <row r="360" spans="1:22">
      <c r="A360" s="92"/>
      <c r="B360" s="141" t="s">
        <v>401</v>
      </c>
      <c r="C360" s="136"/>
      <c r="D360" s="137"/>
      <c r="E360" s="138"/>
      <c r="F360" s="139"/>
      <c r="G360" s="98">
        <v>16</v>
      </c>
      <c r="H360" s="99">
        <v>2</v>
      </c>
      <c r="I360" s="99">
        <v>8</v>
      </c>
      <c r="J360" s="109">
        <f>D355</f>
        <v>0.74299999999999999</v>
      </c>
      <c r="K360" s="110" t="str">
        <f t="shared" si="51"/>
        <v>0</v>
      </c>
      <c r="L360" s="111">
        <v>1</v>
      </c>
      <c r="M360" s="99">
        <f t="shared" si="52"/>
        <v>3.2000000000000001E-2</v>
      </c>
      <c r="N360" s="112">
        <f t="shared" si="53"/>
        <v>1.0109999999999999</v>
      </c>
      <c r="O360" s="112">
        <f t="shared" si="50"/>
        <v>16.175999999999998</v>
      </c>
      <c r="P360" s="140" t="str">
        <f t="shared" si="44"/>
        <v/>
      </c>
      <c r="Q360" s="140" t="str">
        <f t="shared" si="45"/>
        <v/>
      </c>
      <c r="R360" s="140" t="str">
        <f t="shared" si="46"/>
        <v/>
      </c>
      <c r="S360" s="140">
        <f t="shared" si="47"/>
        <v>16.175999999999998</v>
      </c>
      <c r="T360" s="140" t="str">
        <f t="shared" si="48"/>
        <v/>
      </c>
      <c r="U360" s="140" t="str">
        <f t="shared" si="49"/>
        <v/>
      </c>
      <c r="V360" s="99"/>
    </row>
    <row r="361" spans="1:22">
      <c r="A361" s="92"/>
      <c r="B361" s="141" t="s">
        <v>403</v>
      </c>
      <c r="C361" s="136"/>
      <c r="D361" s="137"/>
      <c r="E361" s="138"/>
      <c r="F361" s="139"/>
      <c r="G361" s="98">
        <v>16</v>
      </c>
      <c r="H361" s="99">
        <v>2</v>
      </c>
      <c r="I361" s="99">
        <v>6</v>
      </c>
      <c r="J361" s="109">
        <f>D355</f>
        <v>0.74299999999999999</v>
      </c>
      <c r="K361" s="110" t="str">
        <f t="shared" si="51"/>
        <v>0</v>
      </c>
      <c r="L361" s="111">
        <v>1</v>
      </c>
      <c r="M361" s="99">
        <f t="shared" si="52"/>
        <v>3.2000000000000001E-2</v>
      </c>
      <c r="N361" s="112">
        <f t="shared" si="53"/>
        <v>1.0109999999999999</v>
      </c>
      <c r="O361" s="112">
        <f t="shared" si="50"/>
        <v>12.131999999999998</v>
      </c>
      <c r="P361" s="140" t="str">
        <f t="shared" si="44"/>
        <v/>
      </c>
      <c r="Q361" s="140" t="str">
        <f t="shared" si="45"/>
        <v/>
      </c>
      <c r="R361" s="140" t="str">
        <f t="shared" si="46"/>
        <v/>
      </c>
      <c r="S361" s="140">
        <f t="shared" si="47"/>
        <v>12.131999999999998</v>
      </c>
      <c r="T361" s="140" t="str">
        <f t="shared" si="48"/>
        <v/>
      </c>
      <c r="U361" s="140" t="str">
        <f t="shared" si="49"/>
        <v/>
      </c>
      <c r="V361" s="99"/>
    </row>
    <row r="362" spans="1:22">
      <c r="A362" s="92"/>
      <c r="B362" s="141"/>
      <c r="C362" s="136"/>
      <c r="D362" s="137"/>
      <c r="E362" s="138"/>
      <c r="F362" s="139"/>
      <c r="G362" s="98"/>
      <c r="H362" s="99"/>
      <c r="I362" s="99"/>
      <c r="J362" s="109"/>
      <c r="K362" s="110"/>
      <c r="L362" s="111"/>
      <c r="M362" s="99"/>
      <c r="N362" s="112"/>
      <c r="O362" s="112"/>
      <c r="P362" s="140"/>
      <c r="Q362" s="140"/>
      <c r="R362" s="140"/>
      <c r="S362" s="140"/>
      <c r="T362" s="140"/>
      <c r="U362" s="140"/>
      <c r="V362" s="99"/>
    </row>
    <row r="363" spans="1:22">
      <c r="A363" s="92"/>
      <c r="B363" s="92"/>
      <c r="C363" s="145">
        <v>0.08</v>
      </c>
      <c r="D363" s="137"/>
      <c r="E363" s="138"/>
      <c r="F363" s="139"/>
      <c r="G363" s="98"/>
      <c r="H363" s="99"/>
      <c r="I363" s="99"/>
      <c r="J363" s="100"/>
      <c r="K363" s="99"/>
      <c r="L363" s="99"/>
      <c r="M363" s="99"/>
      <c r="N363" s="99"/>
      <c r="O363" s="101"/>
      <c r="P363" s="140" t="str">
        <f t="shared" si="44"/>
        <v/>
      </c>
      <c r="Q363" s="140" t="str">
        <f t="shared" si="45"/>
        <v/>
      </c>
      <c r="R363" s="140" t="str">
        <f t="shared" si="46"/>
        <v/>
      </c>
      <c r="S363" s="140" t="str">
        <f t="shared" si="47"/>
        <v/>
      </c>
      <c r="T363" s="140" t="str">
        <f t="shared" si="48"/>
        <v/>
      </c>
      <c r="U363" s="140" t="str">
        <f t="shared" si="49"/>
        <v/>
      </c>
      <c r="V363" s="99"/>
    </row>
    <row r="364" spans="1:22">
      <c r="A364" s="92"/>
      <c r="B364" s="146" t="s">
        <v>382</v>
      </c>
      <c r="C364" s="147"/>
      <c r="D364" s="137"/>
      <c r="E364" s="148">
        <f>1.7-0.05</f>
        <v>1.65</v>
      </c>
      <c r="F364" s="139"/>
      <c r="G364" s="98">
        <v>10</v>
      </c>
      <c r="H364" s="99">
        <v>2</v>
      </c>
      <c r="I364" s="99">
        <v>4</v>
      </c>
      <c r="J364" s="149">
        <f>2*(D366+E364)+2*8*G364/1000</f>
        <v>3.82</v>
      </c>
      <c r="K364" s="99"/>
      <c r="L364" s="99">
        <v>5</v>
      </c>
      <c r="M364" s="112">
        <f>2*G364*L364/1000</f>
        <v>0.1</v>
      </c>
      <c r="N364" s="112">
        <f>(J364+K364-M364)</f>
        <v>3.7199999999999998</v>
      </c>
      <c r="O364" s="112">
        <f>(H364*I364*N364)</f>
        <v>29.759999999999998</v>
      </c>
      <c r="P364" s="140" t="str">
        <f t="shared" si="44"/>
        <v/>
      </c>
      <c r="Q364" s="140">
        <f t="shared" si="45"/>
        <v>29.759999999999998</v>
      </c>
      <c r="R364" s="140" t="str">
        <f t="shared" si="46"/>
        <v/>
      </c>
      <c r="S364" s="140" t="str">
        <f t="shared" si="47"/>
        <v/>
      </c>
      <c r="T364" s="140" t="str">
        <f t="shared" si="48"/>
        <v/>
      </c>
      <c r="U364" s="140" t="str">
        <f t="shared" si="49"/>
        <v/>
      </c>
      <c r="V364" s="99"/>
    </row>
    <row r="365" spans="1:22">
      <c r="A365" s="92"/>
      <c r="B365" s="146"/>
      <c r="C365" s="136"/>
      <c r="D365" s="137"/>
      <c r="E365" s="150"/>
      <c r="F365" s="139"/>
      <c r="G365" s="98"/>
      <c r="H365" s="99"/>
      <c r="I365" s="99"/>
      <c r="J365" s="100"/>
      <c r="K365" s="99"/>
      <c r="L365" s="99"/>
      <c r="M365" s="99"/>
      <c r="N365" s="99"/>
      <c r="O365" s="112"/>
      <c r="P365" s="140" t="str">
        <f t="shared" si="44"/>
        <v/>
      </c>
      <c r="Q365" s="140" t="str">
        <f t="shared" si="45"/>
        <v/>
      </c>
      <c r="R365" s="140" t="str">
        <f t="shared" si="46"/>
        <v/>
      </c>
      <c r="S365" s="140" t="str">
        <f t="shared" si="47"/>
        <v/>
      </c>
      <c r="T365" s="140" t="str">
        <f t="shared" si="48"/>
        <v/>
      </c>
      <c r="U365" s="140" t="str">
        <f t="shared" si="49"/>
        <v/>
      </c>
      <c r="V365" s="99"/>
    </row>
    <row r="366" spans="1:22">
      <c r="A366" s="92"/>
      <c r="B366" s="146"/>
      <c r="C366" s="136"/>
      <c r="D366" s="109">
        <f>0.23-0.05</f>
        <v>0.18</v>
      </c>
      <c r="E366" s="138"/>
      <c r="F366" s="139"/>
      <c r="G366" s="98"/>
      <c r="H366" s="99"/>
      <c r="I366" s="99"/>
      <c r="J366" s="100"/>
      <c r="K366" s="99"/>
      <c r="L366" s="99"/>
      <c r="M366" s="99"/>
      <c r="N366" s="99"/>
      <c r="O366" s="112"/>
      <c r="P366" s="140" t="str">
        <f t="shared" si="44"/>
        <v/>
      </c>
      <c r="Q366" s="140" t="str">
        <f t="shared" si="45"/>
        <v/>
      </c>
      <c r="R366" s="140" t="str">
        <f t="shared" si="46"/>
        <v/>
      </c>
      <c r="S366" s="140" t="str">
        <f t="shared" si="47"/>
        <v/>
      </c>
      <c r="T366" s="140" t="str">
        <f t="shared" si="48"/>
        <v/>
      </c>
      <c r="U366" s="140" t="str">
        <f t="shared" si="49"/>
        <v/>
      </c>
      <c r="V366" s="99"/>
    </row>
    <row r="367" spans="1:22">
      <c r="A367" s="92"/>
      <c r="B367" s="141"/>
      <c r="C367" s="136"/>
      <c r="D367" s="137"/>
      <c r="E367" s="138"/>
      <c r="F367" s="139"/>
      <c r="G367" s="98"/>
      <c r="H367" s="99"/>
      <c r="I367" s="99"/>
      <c r="J367" s="100"/>
      <c r="K367" s="99"/>
      <c r="L367" s="99"/>
      <c r="M367" s="99"/>
      <c r="N367" s="99"/>
      <c r="O367" s="112"/>
      <c r="P367" s="140" t="str">
        <f t="shared" si="44"/>
        <v/>
      </c>
      <c r="Q367" s="140" t="str">
        <f t="shared" si="45"/>
        <v/>
      </c>
      <c r="R367" s="140" t="str">
        <f t="shared" si="46"/>
        <v/>
      </c>
      <c r="S367" s="140" t="str">
        <f t="shared" si="47"/>
        <v/>
      </c>
      <c r="T367" s="140" t="str">
        <f t="shared" si="48"/>
        <v/>
      </c>
      <c r="U367" s="140" t="str">
        <f t="shared" si="49"/>
        <v/>
      </c>
      <c r="V367" s="99"/>
    </row>
    <row r="368" spans="1:22">
      <c r="A368" s="92"/>
      <c r="B368" s="92"/>
      <c r="C368" s="145">
        <v>0.08</v>
      </c>
      <c r="D368" s="137"/>
      <c r="E368" s="138"/>
      <c r="F368" s="139"/>
      <c r="G368" s="98"/>
      <c r="H368" s="99"/>
      <c r="I368" s="99"/>
      <c r="J368" s="100"/>
      <c r="K368" s="99"/>
      <c r="L368" s="99"/>
      <c r="M368" s="99"/>
      <c r="N368" s="99"/>
      <c r="O368" s="112"/>
      <c r="P368" s="140" t="str">
        <f t="shared" si="44"/>
        <v/>
      </c>
      <c r="Q368" s="140" t="str">
        <f t="shared" si="45"/>
        <v/>
      </c>
      <c r="R368" s="140" t="str">
        <f t="shared" si="46"/>
        <v/>
      </c>
      <c r="S368" s="140" t="str">
        <f t="shared" si="47"/>
        <v/>
      </c>
      <c r="T368" s="140" t="str">
        <f t="shared" si="48"/>
        <v/>
      </c>
      <c r="U368" s="140" t="str">
        <f t="shared" si="49"/>
        <v/>
      </c>
      <c r="V368" s="99"/>
    </row>
    <row r="369" spans="1:22">
      <c r="A369" s="92"/>
      <c r="B369" s="146" t="s">
        <v>383</v>
      </c>
      <c r="C369" s="147"/>
      <c r="D369" s="137"/>
      <c r="E369" s="148">
        <f>((1.7-0.05-0.02)/16)+0.016+0.02</f>
        <v>0.137875</v>
      </c>
      <c r="F369" s="139"/>
      <c r="G369" s="98">
        <v>10</v>
      </c>
      <c r="H369" s="99">
        <v>2</v>
      </c>
      <c r="I369" s="99">
        <f>1*6</f>
        <v>6</v>
      </c>
      <c r="J369" s="149">
        <f>2*(D371+E369)+2*8*G369/1000</f>
        <v>0.79575000000000007</v>
      </c>
      <c r="K369" s="99"/>
      <c r="L369" s="99">
        <v>5</v>
      </c>
      <c r="M369" s="112">
        <f>2*G369*L369/1000</f>
        <v>0.1</v>
      </c>
      <c r="N369" s="112">
        <f>(J369+K369-M369)</f>
        <v>0.69575000000000009</v>
      </c>
      <c r="O369" s="112">
        <f>(H369*I369*N369)</f>
        <v>8.3490000000000002</v>
      </c>
      <c r="P369" s="140" t="str">
        <f t="shared" si="44"/>
        <v/>
      </c>
      <c r="Q369" s="140">
        <f t="shared" si="45"/>
        <v>8.3490000000000002</v>
      </c>
      <c r="R369" s="140" t="str">
        <f t="shared" si="46"/>
        <v/>
      </c>
      <c r="S369" s="140" t="str">
        <f t="shared" si="47"/>
        <v/>
      </c>
      <c r="T369" s="140" t="str">
        <f t="shared" si="48"/>
        <v/>
      </c>
      <c r="U369" s="140" t="str">
        <f t="shared" si="49"/>
        <v/>
      </c>
      <c r="V369" s="99"/>
    </row>
    <row r="370" spans="1:22">
      <c r="A370" s="92"/>
      <c r="B370" s="146"/>
      <c r="C370" s="136"/>
      <c r="D370" s="137"/>
      <c r="E370" s="150"/>
      <c r="F370" s="139"/>
      <c r="G370" s="98"/>
      <c r="H370" s="99"/>
      <c r="I370" s="99"/>
      <c r="J370" s="100"/>
      <c r="K370" s="99"/>
      <c r="L370" s="99"/>
      <c r="M370" s="99"/>
      <c r="N370" s="99"/>
      <c r="O370" s="112"/>
      <c r="P370" s="140" t="str">
        <f t="shared" si="44"/>
        <v/>
      </c>
      <c r="Q370" s="140" t="str">
        <f t="shared" si="45"/>
        <v/>
      </c>
      <c r="R370" s="140" t="str">
        <f t="shared" si="46"/>
        <v/>
      </c>
      <c r="S370" s="140" t="str">
        <f t="shared" si="47"/>
        <v/>
      </c>
      <c r="T370" s="140" t="str">
        <f t="shared" si="48"/>
        <v/>
      </c>
      <c r="U370" s="140" t="str">
        <f t="shared" si="49"/>
        <v/>
      </c>
      <c r="V370" s="99"/>
    </row>
    <row r="371" spans="1:22">
      <c r="A371" s="92"/>
      <c r="B371" s="146"/>
      <c r="C371" s="136"/>
      <c r="D371" s="109">
        <f>0.23-0.05</f>
        <v>0.18</v>
      </c>
      <c r="E371" s="138"/>
      <c r="F371" s="139"/>
      <c r="G371" s="98"/>
      <c r="H371" s="99"/>
      <c r="I371" s="99"/>
      <c r="J371" s="100"/>
      <c r="K371" s="99"/>
      <c r="L371" s="99"/>
      <c r="M371" s="99"/>
      <c r="N371" s="99"/>
      <c r="O371" s="112"/>
      <c r="P371" s="140" t="str">
        <f t="shared" si="44"/>
        <v/>
      </c>
      <c r="Q371" s="140" t="str">
        <f t="shared" si="45"/>
        <v/>
      </c>
      <c r="R371" s="140" t="str">
        <f t="shared" si="46"/>
        <v/>
      </c>
      <c r="S371" s="140" t="str">
        <f t="shared" si="47"/>
        <v/>
      </c>
      <c r="T371" s="140" t="str">
        <f t="shared" si="48"/>
        <v/>
      </c>
      <c r="U371" s="140" t="str">
        <f t="shared" si="49"/>
        <v/>
      </c>
      <c r="V371" s="99"/>
    </row>
    <row r="372" spans="1:22">
      <c r="A372" s="92"/>
      <c r="B372" s="141"/>
      <c r="C372" s="136"/>
      <c r="D372" s="137"/>
      <c r="E372" s="138"/>
      <c r="F372" s="139"/>
      <c r="G372" s="98"/>
      <c r="H372" s="99"/>
      <c r="I372" s="99"/>
      <c r="J372" s="100"/>
      <c r="K372" s="99"/>
      <c r="L372" s="99"/>
      <c r="M372" s="99"/>
      <c r="N372" s="99"/>
      <c r="O372" s="112"/>
      <c r="P372" s="140" t="str">
        <f t="shared" si="44"/>
        <v/>
      </c>
      <c r="Q372" s="140" t="str">
        <f t="shared" si="45"/>
        <v/>
      </c>
      <c r="R372" s="140" t="str">
        <f t="shared" si="46"/>
        <v/>
      </c>
      <c r="S372" s="140" t="str">
        <f t="shared" si="47"/>
        <v/>
      </c>
      <c r="T372" s="140" t="str">
        <f t="shared" si="48"/>
        <v/>
      </c>
      <c r="U372" s="140" t="str">
        <f t="shared" si="49"/>
        <v/>
      </c>
      <c r="V372" s="99"/>
    </row>
    <row r="373" spans="1:22">
      <c r="A373" s="92"/>
      <c r="B373" s="92"/>
      <c r="C373" s="145">
        <v>0.08</v>
      </c>
      <c r="D373" s="137"/>
      <c r="E373" s="138"/>
      <c r="F373" s="139"/>
      <c r="G373" s="98"/>
      <c r="H373" s="99"/>
      <c r="I373" s="99"/>
      <c r="J373" s="100"/>
      <c r="K373" s="99"/>
      <c r="L373" s="99"/>
      <c r="M373" s="99"/>
      <c r="N373" s="99"/>
      <c r="O373" s="112"/>
      <c r="P373" s="140" t="str">
        <f t="shared" si="44"/>
        <v/>
      </c>
      <c r="Q373" s="140" t="str">
        <f t="shared" si="45"/>
        <v/>
      </c>
      <c r="R373" s="140" t="str">
        <f t="shared" si="46"/>
        <v/>
      </c>
      <c r="S373" s="140" t="str">
        <f t="shared" si="47"/>
        <v/>
      </c>
      <c r="T373" s="140" t="str">
        <f t="shared" si="48"/>
        <v/>
      </c>
      <c r="U373" s="140" t="str">
        <f t="shared" si="49"/>
        <v/>
      </c>
      <c r="V373" s="99"/>
    </row>
    <row r="374" spans="1:22">
      <c r="A374" s="92"/>
      <c r="B374" s="146" t="s">
        <v>384</v>
      </c>
      <c r="C374" s="147"/>
      <c r="D374" s="137"/>
      <c r="E374" s="148">
        <f>((1.7-0.05-0.02)/16)*2+0.016+0.02</f>
        <v>0.23974999999999999</v>
      </c>
      <c r="F374" s="139"/>
      <c r="G374" s="98">
        <v>10</v>
      </c>
      <c r="H374" s="99">
        <v>2</v>
      </c>
      <c r="I374" s="99">
        <f>1*6</f>
        <v>6</v>
      </c>
      <c r="J374" s="149">
        <f>2*(D376+E374)+2*8*G374/1000</f>
        <v>0.99949999999999994</v>
      </c>
      <c r="K374" s="99"/>
      <c r="L374" s="99">
        <v>5</v>
      </c>
      <c r="M374" s="112">
        <f>2*G374*L374/1000</f>
        <v>0.1</v>
      </c>
      <c r="N374" s="112">
        <f>(J374+K374-M374)</f>
        <v>0.89949999999999997</v>
      </c>
      <c r="O374" s="112">
        <f>(H374*I374*N374)</f>
        <v>10.794</v>
      </c>
      <c r="P374" s="140" t="str">
        <f t="shared" si="44"/>
        <v/>
      </c>
      <c r="Q374" s="140">
        <f t="shared" si="45"/>
        <v>10.794</v>
      </c>
      <c r="R374" s="140" t="str">
        <f t="shared" si="46"/>
        <v/>
      </c>
      <c r="S374" s="140" t="str">
        <f t="shared" si="47"/>
        <v/>
      </c>
      <c r="T374" s="140" t="str">
        <f t="shared" si="48"/>
        <v/>
      </c>
      <c r="U374" s="140" t="str">
        <f t="shared" si="49"/>
        <v/>
      </c>
      <c r="V374" s="99"/>
    </row>
    <row r="375" spans="1:22">
      <c r="A375" s="92"/>
      <c r="B375" s="146"/>
      <c r="C375" s="136"/>
      <c r="D375" s="137"/>
      <c r="E375" s="150"/>
      <c r="F375" s="139"/>
      <c r="G375" s="98"/>
      <c r="H375" s="99"/>
      <c r="I375" s="99"/>
      <c r="J375" s="100"/>
      <c r="K375" s="99"/>
      <c r="L375" s="99"/>
      <c r="M375" s="99"/>
      <c r="N375" s="99"/>
      <c r="O375" s="112"/>
      <c r="P375" s="140" t="str">
        <f t="shared" si="44"/>
        <v/>
      </c>
      <c r="Q375" s="140" t="str">
        <f t="shared" si="45"/>
        <v/>
      </c>
      <c r="R375" s="140" t="str">
        <f t="shared" si="46"/>
        <v/>
      </c>
      <c r="S375" s="140" t="str">
        <f t="shared" si="47"/>
        <v/>
      </c>
      <c r="T375" s="140" t="str">
        <f t="shared" si="48"/>
        <v/>
      </c>
      <c r="U375" s="140" t="str">
        <f t="shared" si="49"/>
        <v/>
      </c>
      <c r="V375" s="99"/>
    </row>
    <row r="376" spans="1:22">
      <c r="A376" s="92"/>
      <c r="B376" s="146"/>
      <c r="C376" s="136"/>
      <c r="D376" s="109">
        <f>0.23-0.05</f>
        <v>0.18</v>
      </c>
      <c r="E376" s="138"/>
      <c r="F376" s="139"/>
      <c r="G376" s="98"/>
      <c r="H376" s="99"/>
      <c r="I376" s="99"/>
      <c r="J376" s="100"/>
      <c r="K376" s="99"/>
      <c r="L376" s="99"/>
      <c r="M376" s="99"/>
      <c r="N376" s="99"/>
      <c r="O376" s="112"/>
      <c r="P376" s="140" t="str">
        <f t="shared" si="44"/>
        <v/>
      </c>
      <c r="Q376" s="140" t="str">
        <f t="shared" si="45"/>
        <v/>
      </c>
      <c r="R376" s="140" t="str">
        <f t="shared" si="46"/>
        <v/>
      </c>
      <c r="S376" s="140" t="str">
        <f t="shared" si="47"/>
        <v/>
      </c>
      <c r="T376" s="140" t="str">
        <f t="shared" si="48"/>
        <v/>
      </c>
      <c r="U376" s="140" t="str">
        <f t="shared" si="49"/>
        <v/>
      </c>
      <c r="V376" s="99"/>
    </row>
    <row r="377" spans="1:22">
      <c r="A377" s="92"/>
      <c r="B377" s="141"/>
      <c r="C377" s="136"/>
      <c r="D377" s="137"/>
      <c r="E377" s="138"/>
      <c r="F377" s="139"/>
      <c r="G377" s="98"/>
      <c r="H377" s="99"/>
      <c r="I377" s="99"/>
      <c r="J377" s="100"/>
      <c r="K377" s="99"/>
      <c r="L377" s="99"/>
      <c r="M377" s="99"/>
      <c r="N377" s="99"/>
      <c r="O377" s="101"/>
      <c r="P377" s="140" t="str">
        <f t="shared" si="44"/>
        <v/>
      </c>
      <c r="Q377" s="140" t="str">
        <f t="shared" si="45"/>
        <v/>
      </c>
      <c r="R377" s="140" t="str">
        <f t="shared" si="46"/>
        <v/>
      </c>
      <c r="S377" s="140" t="str">
        <f t="shared" si="47"/>
        <v/>
      </c>
      <c r="T377" s="140" t="str">
        <f t="shared" si="48"/>
        <v/>
      </c>
      <c r="U377" s="140" t="str">
        <f t="shared" si="49"/>
        <v/>
      </c>
      <c r="V377" s="99"/>
    </row>
    <row r="378" spans="1:22">
      <c r="A378" s="92"/>
      <c r="B378" s="141"/>
      <c r="C378" s="136"/>
      <c r="D378" s="137"/>
      <c r="E378" s="144">
        <v>0.08</v>
      </c>
      <c r="F378" s="139"/>
      <c r="G378" s="98"/>
      <c r="H378" s="99"/>
      <c r="I378" s="99"/>
      <c r="J378" s="100"/>
      <c r="K378" s="99"/>
      <c r="L378" s="99"/>
      <c r="M378" s="99"/>
      <c r="N378" s="99"/>
      <c r="O378" s="101"/>
      <c r="P378" s="140" t="str">
        <f t="shared" si="44"/>
        <v/>
      </c>
      <c r="Q378" s="140" t="str">
        <f t="shared" si="45"/>
        <v/>
      </c>
      <c r="R378" s="140" t="str">
        <f t="shared" si="46"/>
        <v/>
      </c>
      <c r="S378" s="140" t="str">
        <f t="shared" si="47"/>
        <v/>
      </c>
      <c r="T378" s="140" t="str">
        <f t="shared" si="48"/>
        <v/>
      </c>
      <c r="U378" s="140" t="str">
        <f t="shared" si="49"/>
        <v/>
      </c>
      <c r="V378" s="99"/>
    </row>
    <row r="379" spans="1:22">
      <c r="A379" s="92"/>
      <c r="B379" s="146" t="s">
        <v>385</v>
      </c>
      <c r="C379" s="136"/>
      <c r="D379" s="142">
        <f>0.23-0.05</f>
        <v>0.18</v>
      </c>
      <c r="E379" s="144"/>
      <c r="F379" s="139"/>
      <c r="G379" s="98">
        <v>10</v>
      </c>
      <c r="H379" s="99">
        <v>2</v>
      </c>
      <c r="I379" s="99">
        <v>1</v>
      </c>
      <c r="J379" s="149">
        <f>D379+E378+E380</f>
        <v>0.34</v>
      </c>
      <c r="K379" s="99"/>
      <c r="L379" s="99">
        <v>2</v>
      </c>
      <c r="M379" s="112">
        <f>2*G379*L379/1000</f>
        <v>0.04</v>
      </c>
      <c r="N379" s="112">
        <f>(J379+K379-M379)</f>
        <v>0.30000000000000004</v>
      </c>
      <c r="O379" s="112">
        <f>(H379*I379*N379)</f>
        <v>0.60000000000000009</v>
      </c>
      <c r="P379" s="140" t="str">
        <f t="shared" si="44"/>
        <v/>
      </c>
      <c r="Q379" s="140">
        <f t="shared" si="45"/>
        <v>0.60000000000000009</v>
      </c>
      <c r="R379" s="140" t="str">
        <f t="shared" si="46"/>
        <v/>
      </c>
      <c r="S379" s="140" t="str">
        <f t="shared" si="47"/>
        <v/>
      </c>
      <c r="T379" s="140" t="str">
        <f t="shared" si="48"/>
        <v/>
      </c>
      <c r="U379" s="140" t="str">
        <f t="shared" si="49"/>
        <v/>
      </c>
      <c r="V379" s="99"/>
    </row>
    <row r="380" spans="1:22">
      <c r="A380" s="92"/>
      <c r="B380" s="141"/>
      <c r="C380" s="136"/>
      <c r="D380" s="137"/>
      <c r="E380" s="144">
        <v>0.08</v>
      </c>
      <c r="F380" s="139"/>
      <c r="G380" s="98"/>
      <c r="H380" s="99"/>
      <c r="I380" s="99"/>
      <c r="J380" s="100"/>
      <c r="K380" s="99"/>
      <c r="L380" s="99"/>
      <c r="M380" s="99"/>
      <c r="N380" s="99"/>
      <c r="O380" s="101"/>
      <c r="P380" s="140" t="str">
        <f t="shared" si="44"/>
        <v/>
      </c>
      <c r="Q380" s="140" t="str">
        <f t="shared" si="45"/>
        <v/>
      </c>
      <c r="R380" s="140" t="str">
        <f t="shared" si="46"/>
        <v/>
      </c>
      <c r="S380" s="140" t="str">
        <f t="shared" si="47"/>
        <v/>
      </c>
      <c r="T380" s="140" t="str">
        <f t="shared" si="48"/>
        <v/>
      </c>
      <c r="U380" s="140" t="str">
        <f t="shared" si="49"/>
        <v/>
      </c>
      <c r="V380" s="99"/>
    </row>
    <row r="381" spans="1:22">
      <c r="A381" s="92"/>
      <c r="B381" s="146"/>
      <c r="C381" s="136"/>
      <c r="D381" s="152"/>
      <c r="E381" s="138"/>
      <c r="F381" s="139"/>
      <c r="G381" s="98"/>
      <c r="H381" s="99"/>
      <c r="I381" s="99"/>
      <c r="J381" s="100"/>
      <c r="K381" s="99"/>
      <c r="L381" s="99"/>
      <c r="M381" s="99"/>
      <c r="N381" s="99"/>
      <c r="O381" s="101"/>
      <c r="P381" s="140" t="str">
        <f t="shared" si="44"/>
        <v/>
      </c>
      <c r="Q381" s="140" t="str">
        <f t="shared" si="45"/>
        <v/>
      </c>
      <c r="R381" s="140" t="str">
        <f t="shared" si="46"/>
        <v/>
      </c>
      <c r="S381" s="140" t="str">
        <f t="shared" si="47"/>
        <v/>
      </c>
      <c r="T381" s="140" t="str">
        <f t="shared" si="48"/>
        <v/>
      </c>
      <c r="U381" s="140" t="str">
        <f t="shared" si="49"/>
        <v/>
      </c>
      <c r="V381" s="99"/>
    </row>
    <row r="382" spans="1:22">
      <c r="A382" s="92">
        <v>14</v>
      </c>
      <c r="B382" s="92" t="s">
        <v>404</v>
      </c>
      <c r="C382" s="136"/>
      <c r="D382" s="137"/>
      <c r="E382" s="138"/>
      <c r="F382" s="139"/>
      <c r="G382" s="98"/>
      <c r="H382" s="99"/>
      <c r="I382" s="99"/>
      <c r="J382" s="109"/>
      <c r="K382" s="112"/>
      <c r="L382" s="112"/>
      <c r="M382" s="99"/>
      <c r="N382" s="112"/>
      <c r="O382" s="112"/>
      <c r="P382" s="140" t="str">
        <f>IF($G382=8,$O382,"")</f>
        <v/>
      </c>
      <c r="Q382" s="140" t="str">
        <f>IF($G382=10,$O382,"")</f>
        <v/>
      </c>
      <c r="R382" s="140" t="str">
        <f>IF($G382=12,$O382,"")</f>
        <v/>
      </c>
      <c r="S382" s="140" t="str">
        <f>IF($G382=16,$O382,"")</f>
        <v/>
      </c>
      <c r="T382" s="140" t="str">
        <f>IF($G382=20,$O382,"")</f>
        <v/>
      </c>
      <c r="U382" s="140" t="str">
        <f>IF($G382=25,$O382,"")</f>
        <v/>
      </c>
      <c r="V382" s="99"/>
    </row>
    <row r="383" spans="1:22">
      <c r="A383" s="92"/>
      <c r="B383" s="141" t="s">
        <v>378</v>
      </c>
      <c r="C383" s="136"/>
      <c r="D383" s="142">
        <f>0.85-0.075-2*0.016</f>
        <v>0.74299999999999999</v>
      </c>
      <c r="E383" s="138"/>
      <c r="F383" s="139"/>
      <c r="G383" s="98">
        <v>16</v>
      </c>
      <c r="H383" s="99">
        <v>1</v>
      </c>
      <c r="I383" s="99">
        <v>4</v>
      </c>
      <c r="J383" s="109">
        <f>D383</f>
        <v>0.74299999999999999</v>
      </c>
      <c r="K383" s="110" t="str">
        <f>IF(N383&lt;12,"0",0.049*G383)</f>
        <v>0</v>
      </c>
      <c r="L383" s="111">
        <v>1</v>
      </c>
      <c r="M383" s="99">
        <f>2*G383*L383/1000</f>
        <v>3.2000000000000001E-2</v>
      </c>
      <c r="N383" s="112">
        <f>J383+E$385-M383</f>
        <v>1.0109999999999999</v>
      </c>
      <c r="O383" s="112">
        <f t="shared" ref="O383:O388" si="54">H383*I383*N383</f>
        <v>4.0439999999999996</v>
      </c>
      <c r="P383" s="140" t="str">
        <f t="shared" si="44"/>
        <v/>
      </c>
      <c r="Q383" s="140" t="str">
        <f t="shared" si="45"/>
        <v/>
      </c>
      <c r="R383" s="140" t="str">
        <f t="shared" si="46"/>
        <v/>
      </c>
      <c r="S383" s="140">
        <f t="shared" si="47"/>
        <v>4.0439999999999996</v>
      </c>
      <c r="T383" s="140" t="str">
        <f t="shared" si="48"/>
        <v/>
      </c>
      <c r="U383" s="140" t="str">
        <f t="shared" si="49"/>
        <v/>
      </c>
      <c r="V383" s="99"/>
    </row>
    <row r="384" spans="1:22">
      <c r="A384" s="92"/>
      <c r="B384" s="141" t="s">
        <v>379</v>
      </c>
      <c r="C384" s="136"/>
      <c r="D384" s="137"/>
      <c r="E384" s="138"/>
      <c r="F384" s="139"/>
      <c r="G384" s="98">
        <v>16</v>
      </c>
      <c r="H384" s="99">
        <v>1</v>
      </c>
      <c r="I384" s="99">
        <v>4</v>
      </c>
      <c r="J384" s="109">
        <f>D383</f>
        <v>0.74299999999999999</v>
      </c>
      <c r="K384" s="110" t="str">
        <f t="shared" ref="K384:K388" si="55">IF(N384&lt;12,"0",0.049*G384)</f>
        <v>0</v>
      </c>
      <c r="L384" s="111">
        <v>1</v>
      </c>
      <c r="M384" s="99">
        <f t="shared" ref="M384:M388" si="56">2*G384*L384/1000</f>
        <v>3.2000000000000001E-2</v>
      </c>
      <c r="N384" s="112">
        <f t="shared" ref="N384:N388" si="57">J384+E$385-M384</f>
        <v>1.0109999999999999</v>
      </c>
      <c r="O384" s="112">
        <f t="shared" si="54"/>
        <v>4.0439999999999996</v>
      </c>
      <c r="P384" s="140" t="str">
        <f t="shared" si="44"/>
        <v/>
      </c>
      <c r="Q384" s="140" t="str">
        <f t="shared" si="45"/>
        <v/>
      </c>
      <c r="R384" s="140" t="str">
        <f t="shared" si="46"/>
        <v/>
      </c>
      <c r="S384" s="140">
        <f t="shared" si="47"/>
        <v>4.0439999999999996</v>
      </c>
      <c r="T384" s="140" t="str">
        <f t="shared" si="48"/>
        <v/>
      </c>
      <c r="U384" s="140" t="str">
        <f t="shared" si="49"/>
        <v/>
      </c>
      <c r="V384" s="99"/>
    </row>
    <row r="385" spans="1:22">
      <c r="A385" s="92"/>
      <c r="B385" s="141" t="s">
        <v>380</v>
      </c>
      <c r="C385" s="143"/>
      <c r="D385" s="142"/>
      <c r="E385" s="144">
        <v>0.3</v>
      </c>
      <c r="F385" s="139"/>
      <c r="G385" s="98">
        <v>16</v>
      </c>
      <c r="H385" s="99">
        <v>1</v>
      </c>
      <c r="I385" s="99">
        <v>4</v>
      </c>
      <c r="J385" s="109">
        <f>D383</f>
        <v>0.74299999999999999</v>
      </c>
      <c r="K385" s="110" t="str">
        <f t="shared" si="55"/>
        <v>0</v>
      </c>
      <c r="L385" s="111">
        <v>1</v>
      </c>
      <c r="M385" s="99">
        <f t="shared" si="56"/>
        <v>3.2000000000000001E-2</v>
      </c>
      <c r="N385" s="112">
        <f t="shared" si="57"/>
        <v>1.0109999999999999</v>
      </c>
      <c r="O385" s="112">
        <f t="shared" si="54"/>
        <v>4.0439999999999996</v>
      </c>
      <c r="P385" s="140" t="str">
        <f t="shared" si="44"/>
        <v/>
      </c>
      <c r="Q385" s="140" t="str">
        <f t="shared" si="45"/>
        <v/>
      </c>
      <c r="R385" s="140" t="str">
        <f t="shared" si="46"/>
        <v/>
      </c>
      <c r="S385" s="140">
        <f t="shared" si="47"/>
        <v>4.0439999999999996</v>
      </c>
      <c r="T385" s="140" t="str">
        <f t="shared" si="48"/>
        <v/>
      </c>
      <c r="U385" s="140" t="str">
        <f t="shared" si="49"/>
        <v/>
      </c>
      <c r="V385" s="99"/>
    </row>
    <row r="386" spans="1:22">
      <c r="A386" s="92"/>
      <c r="B386" s="141" t="s">
        <v>381</v>
      </c>
      <c r="C386" s="136"/>
      <c r="D386" s="137"/>
      <c r="E386" s="138"/>
      <c r="F386" s="139"/>
      <c r="G386" s="98">
        <v>12</v>
      </c>
      <c r="H386" s="99">
        <v>1</v>
      </c>
      <c r="I386" s="99">
        <v>4</v>
      </c>
      <c r="J386" s="109">
        <f>D383</f>
        <v>0.74299999999999999</v>
      </c>
      <c r="K386" s="110" t="str">
        <f t="shared" si="55"/>
        <v>0</v>
      </c>
      <c r="L386" s="111">
        <v>1</v>
      </c>
      <c r="M386" s="99">
        <f t="shared" si="56"/>
        <v>2.4E-2</v>
      </c>
      <c r="N386" s="112">
        <f t="shared" si="57"/>
        <v>1.0189999999999999</v>
      </c>
      <c r="O386" s="112">
        <f t="shared" si="54"/>
        <v>4.0759999999999996</v>
      </c>
      <c r="P386" s="140" t="str">
        <f t="shared" si="44"/>
        <v/>
      </c>
      <c r="Q386" s="140" t="str">
        <f t="shared" si="45"/>
        <v/>
      </c>
      <c r="R386" s="140">
        <f t="shared" si="46"/>
        <v>4.0759999999999996</v>
      </c>
      <c r="S386" s="140" t="str">
        <f t="shared" si="47"/>
        <v/>
      </c>
      <c r="T386" s="140" t="str">
        <f t="shared" si="48"/>
        <v/>
      </c>
      <c r="U386" s="140" t="str">
        <f t="shared" si="49"/>
        <v/>
      </c>
      <c r="V386" s="99"/>
    </row>
    <row r="387" spans="1:22">
      <c r="A387" s="92"/>
      <c r="B387" s="141" t="s">
        <v>389</v>
      </c>
      <c r="C387" s="136"/>
      <c r="D387" s="137"/>
      <c r="E387" s="138"/>
      <c r="F387" s="139"/>
      <c r="G387" s="98">
        <v>12</v>
      </c>
      <c r="H387" s="99">
        <v>1</v>
      </c>
      <c r="I387" s="99">
        <v>4</v>
      </c>
      <c r="J387" s="109">
        <f>D383</f>
        <v>0.74299999999999999</v>
      </c>
      <c r="K387" s="110" t="str">
        <f t="shared" si="55"/>
        <v>0</v>
      </c>
      <c r="L387" s="111">
        <v>1</v>
      </c>
      <c r="M387" s="99">
        <f t="shared" si="56"/>
        <v>2.4E-2</v>
      </c>
      <c r="N387" s="112">
        <f t="shared" si="57"/>
        <v>1.0189999999999999</v>
      </c>
      <c r="O387" s="112">
        <f t="shared" si="54"/>
        <v>4.0759999999999996</v>
      </c>
      <c r="P387" s="140" t="str">
        <f t="shared" si="44"/>
        <v/>
      </c>
      <c r="Q387" s="140" t="str">
        <f t="shared" si="45"/>
        <v/>
      </c>
      <c r="R387" s="140">
        <f t="shared" si="46"/>
        <v>4.0759999999999996</v>
      </c>
      <c r="S387" s="140" t="str">
        <f t="shared" si="47"/>
        <v/>
      </c>
      <c r="T387" s="140" t="str">
        <f t="shared" si="48"/>
        <v/>
      </c>
      <c r="U387" s="140" t="str">
        <f t="shared" si="49"/>
        <v/>
      </c>
      <c r="V387" s="99"/>
    </row>
    <row r="388" spans="1:22">
      <c r="A388" s="92"/>
      <c r="B388" s="141" t="s">
        <v>401</v>
      </c>
      <c r="C388" s="136"/>
      <c r="D388" s="137"/>
      <c r="E388" s="138"/>
      <c r="F388" s="139"/>
      <c r="G388" s="98">
        <v>12</v>
      </c>
      <c r="H388" s="99">
        <v>1</v>
      </c>
      <c r="I388" s="99">
        <v>4</v>
      </c>
      <c r="J388" s="109">
        <f>D383</f>
        <v>0.74299999999999999</v>
      </c>
      <c r="K388" s="110" t="str">
        <f t="shared" si="55"/>
        <v>0</v>
      </c>
      <c r="L388" s="111">
        <v>1</v>
      </c>
      <c r="M388" s="99">
        <f t="shared" si="56"/>
        <v>2.4E-2</v>
      </c>
      <c r="N388" s="112">
        <f t="shared" si="57"/>
        <v>1.0189999999999999</v>
      </c>
      <c r="O388" s="112">
        <f t="shared" si="54"/>
        <v>4.0759999999999996</v>
      </c>
      <c r="P388" s="140" t="str">
        <f t="shared" si="44"/>
        <v/>
      </c>
      <c r="Q388" s="140" t="str">
        <f t="shared" si="45"/>
        <v/>
      </c>
      <c r="R388" s="140">
        <f t="shared" si="46"/>
        <v>4.0759999999999996</v>
      </c>
      <c r="S388" s="140" t="str">
        <f t="shared" si="47"/>
        <v/>
      </c>
      <c r="T388" s="140" t="str">
        <f t="shared" si="48"/>
        <v/>
      </c>
      <c r="U388" s="140" t="str">
        <f t="shared" si="49"/>
        <v/>
      </c>
      <c r="V388" s="99"/>
    </row>
    <row r="389" spans="1:22">
      <c r="A389" s="92"/>
      <c r="B389" s="141"/>
      <c r="C389" s="136"/>
      <c r="D389" s="137"/>
      <c r="E389" s="138"/>
      <c r="F389" s="139"/>
      <c r="G389" s="98"/>
      <c r="H389" s="99"/>
      <c r="I389" s="99"/>
      <c r="J389" s="109"/>
      <c r="K389" s="110"/>
      <c r="L389" s="111"/>
      <c r="M389" s="99"/>
      <c r="N389" s="112"/>
      <c r="O389" s="112"/>
      <c r="P389" s="140"/>
      <c r="Q389" s="140"/>
      <c r="R389" s="140"/>
      <c r="S389" s="140"/>
      <c r="T389" s="140"/>
      <c r="U389" s="140"/>
      <c r="V389" s="99"/>
    </row>
    <row r="390" spans="1:22">
      <c r="A390" s="92"/>
      <c r="B390" s="92"/>
      <c r="C390" s="145">
        <v>0.08</v>
      </c>
      <c r="D390" s="137"/>
      <c r="E390" s="138"/>
      <c r="F390" s="139"/>
      <c r="G390" s="98"/>
      <c r="H390" s="99"/>
      <c r="I390" s="99"/>
      <c r="J390" s="100"/>
      <c r="K390" s="99"/>
      <c r="L390" s="99"/>
      <c r="M390" s="99"/>
      <c r="N390" s="99"/>
      <c r="O390" s="101"/>
      <c r="P390" s="140" t="str">
        <f t="shared" ref="P390:P453" si="58">IF($G390=8,$O390,"")</f>
        <v/>
      </c>
      <c r="Q390" s="140" t="str">
        <f t="shared" ref="Q390:Q453" si="59">IF($G390=10,$O390,"")</f>
        <v/>
      </c>
      <c r="R390" s="140" t="str">
        <f t="shared" ref="R390:R453" si="60">IF($G390=12,$O390,"")</f>
        <v/>
      </c>
      <c r="S390" s="140" t="str">
        <f t="shared" ref="S390:S453" si="61">IF($G390=16,$O390,"")</f>
        <v/>
      </c>
      <c r="T390" s="140" t="str">
        <f t="shared" ref="T390:T453" si="62">IF($G390=20,$O390,"")</f>
        <v/>
      </c>
      <c r="U390" s="140" t="str">
        <f t="shared" ref="U390:U453" si="63">IF($G390=25,$O390,"")</f>
        <v/>
      </c>
      <c r="V390" s="99"/>
    </row>
    <row r="391" spans="1:22">
      <c r="A391" s="92"/>
      <c r="B391" s="146" t="s">
        <v>382</v>
      </c>
      <c r="C391" s="147"/>
      <c r="D391" s="137"/>
      <c r="E391" s="148">
        <f>1.185-0.05</f>
        <v>1.135</v>
      </c>
      <c r="F391" s="139"/>
      <c r="G391" s="98">
        <v>10</v>
      </c>
      <c r="H391" s="99">
        <v>1</v>
      </c>
      <c r="I391" s="99">
        <v>4</v>
      </c>
      <c r="J391" s="149">
        <f>2*(D393+E391)+2*8*G391/1000</f>
        <v>2.79</v>
      </c>
      <c r="K391" s="99"/>
      <c r="L391" s="99">
        <v>5</v>
      </c>
      <c r="M391" s="112">
        <f>2*G391*L391/1000</f>
        <v>0.1</v>
      </c>
      <c r="N391" s="112">
        <f>(J391+K391-M391)</f>
        <v>2.69</v>
      </c>
      <c r="O391" s="112">
        <f>(H391*I391*N391)</f>
        <v>10.76</v>
      </c>
      <c r="P391" s="140" t="str">
        <f t="shared" si="58"/>
        <v/>
      </c>
      <c r="Q391" s="140">
        <f t="shared" si="59"/>
        <v>10.76</v>
      </c>
      <c r="R391" s="140" t="str">
        <f t="shared" si="60"/>
        <v/>
      </c>
      <c r="S391" s="140" t="str">
        <f t="shared" si="61"/>
        <v/>
      </c>
      <c r="T391" s="140" t="str">
        <f t="shared" si="62"/>
        <v/>
      </c>
      <c r="U391" s="140" t="str">
        <f t="shared" si="63"/>
        <v/>
      </c>
      <c r="V391" s="99"/>
    </row>
    <row r="392" spans="1:22">
      <c r="A392" s="92"/>
      <c r="B392" s="146"/>
      <c r="C392" s="136"/>
      <c r="D392" s="137"/>
      <c r="E392" s="150"/>
      <c r="F392" s="139"/>
      <c r="G392" s="98"/>
      <c r="H392" s="99"/>
      <c r="I392" s="99"/>
      <c r="J392" s="100"/>
      <c r="K392" s="99"/>
      <c r="L392" s="99"/>
      <c r="M392" s="99"/>
      <c r="N392" s="99"/>
      <c r="O392" s="112"/>
      <c r="P392" s="140" t="str">
        <f t="shared" si="58"/>
        <v/>
      </c>
      <c r="Q392" s="140" t="str">
        <f t="shared" si="59"/>
        <v/>
      </c>
      <c r="R392" s="140" t="str">
        <f t="shared" si="60"/>
        <v/>
      </c>
      <c r="S392" s="140" t="str">
        <f t="shared" si="61"/>
        <v/>
      </c>
      <c r="T392" s="140" t="str">
        <f t="shared" si="62"/>
        <v/>
      </c>
      <c r="U392" s="140" t="str">
        <f t="shared" si="63"/>
        <v/>
      </c>
      <c r="V392" s="99"/>
    </row>
    <row r="393" spans="1:22">
      <c r="A393" s="92"/>
      <c r="B393" s="146"/>
      <c r="C393" s="136"/>
      <c r="D393" s="109">
        <f>0.23-0.05</f>
        <v>0.18</v>
      </c>
      <c r="E393" s="138"/>
      <c r="F393" s="139"/>
      <c r="G393" s="98"/>
      <c r="H393" s="99"/>
      <c r="I393" s="99"/>
      <c r="J393" s="100"/>
      <c r="K393" s="99"/>
      <c r="L393" s="99"/>
      <c r="M393" s="99"/>
      <c r="N393" s="99"/>
      <c r="O393" s="112"/>
      <c r="P393" s="140" t="str">
        <f t="shared" si="58"/>
        <v/>
      </c>
      <c r="Q393" s="140" t="str">
        <f t="shared" si="59"/>
        <v/>
      </c>
      <c r="R393" s="140" t="str">
        <f t="shared" si="60"/>
        <v/>
      </c>
      <c r="S393" s="140" t="str">
        <f t="shared" si="61"/>
        <v/>
      </c>
      <c r="T393" s="140" t="str">
        <f t="shared" si="62"/>
        <v/>
      </c>
      <c r="U393" s="140" t="str">
        <f t="shared" si="63"/>
        <v/>
      </c>
      <c r="V393" s="99"/>
    </row>
    <row r="394" spans="1:22">
      <c r="A394" s="92"/>
      <c r="B394" s="141"/>
      <c r="C394" s="136"/>
      <c r="D394" s="137"/>
      <c r="E394" s="138"/>
      <c r="F394" s="139"/>
      <c r="G394" s="98"/>
      <c r="H394" s="99"/>
      <c r="I394" s="99"/>
      <c r="J394" s="100"/>
      <c r="K394" s="99"/>
      <c r="L394" s="99"/>
      <c r="M394" s="99"/>
      <c r="N394" s="99"/>
      <c r="O394" s="112"/>
      <c r="P394" s="140" t="str">
        <f t="shared" si="58"/>
        <v/>
      </c>
      <c r="Q394" s="140" t="str">
        <f t="shared" si="59"/>
        <v/>
      </c>
      <c r="R394" s="140" t="str">
        <f t="shared" si="60"/>
        <v/>
      </c>
      <c r="S394" s="140" t="str">
        <f t="shared" si="61"/>
        <v/>
      </c>
      <c r="T394" s="140" t="str">
        <f t="shared" si="62"/>
        <v/>
      </c>
      <c r="U394" s="140" t="str">
        <f t="shared" si="63"/>
        <v/>
      </c>
      <c r="V394" s="99"/>
    </row>
    <row r="395" spans="1:22">
      <c r="A395" s="92"/>
      <c r="B395" s="92"/>
      <c r="C395" s="145">
        <v>0.08</v>
      </c>
      <c r="D395" s="137"/>
      <c r="E395" s="138"/>
      <c r="F395" s="139"/>
      <c r="G395" s="98"/>
      <c r="H395" s="99"/>
      <c r="I395" s="99"/>
      <c r="J395" s="100"/>
      <c r="K395" s="99"/>
      <c r="L395" s="99"/>
      <c r="M395" s="99"/>
      <c r="N395" s="99"/>
      <c r="O395" s="112"/>
      <c r="P395" s="140" t="str">
        <f t="shared" si="58"/>
        <v/>
      </c>
      <c r="Q395" s="140" t="str">
        <f t="shared" si="59"/>
        <v/>
      </c>
      <c r="R395" s="140" t="str">
        <f t="shared" si="60"/>
        <v/>
      </c>
      <c r="S395" s="140" t="str">
        <f t="shared" si="61"/>
        <v/>
      </c>
      <c r="T395" s="140" t="str">
        <f t="shared" si="62"/>
        <v/>
      </c>
      <c r="U395" s="140" t="str">
        <f t="shared" si="63"/>
        <v/>
      </c>
      <c r="V395" s="99"/>
    </row>
    <row r="396" spans="1:22">
      <c r="A396" s="92"/>
      <c r="B396" s="146" t="s">
        <v>383</v>
      </c>
      <c r="C396" s="147"/>
      <c r="D396" s="137"/>
      <c r="E396" s="148">
        <f>((1.185-0.05-0.016)/11)+0.016+0.02</f>
        <v>0.13772727272727273</v>
      </c>
      <c r="F396" s="139"/>
      <c r="G396" s="98">
        <v>10</v>
      </c>
      <c r="H396" s="99">
        <v>1</v>
      </c>
      <c r="I396" s="99">
        <f>1*5</f>
        <v>5</v>
      </c>
      <c r="J396" s="149">
        <f>2*(D398+E396)+2*8*G396/1000</f>
        <v>0.79545454545454553</v>
      </c>
      <c r="K396" s="99"/>
      <c r="L396" s="99">
        <v>5</v>
      </c>
      <c r="M396" s="112">
        <f>2*G396*L396/1000</f>
        <v>0.1</v>
      </c>
      <c r="N396" s="112">
        <f>(J396+K396-M396)</f>
        <v>0.69545454545454555</v>
      </c>
      <c r="O396" s="112">
        <f>(H396*I396*N396)</f>
        <v>3.4772727272727275</v>
      </c>
      <c r="P396" s="140" t="str">
        <f t="shared" si="58"/>
        <v/>
      </c>
      <c r="Q396" s="140">
        <f t="shared" si="59"/>
        <v>3.4772727272727275</v>
      </c>
      <c r="R396" s="140" t="str">
        <f t="shared" si="60"/>
        <v/>
      </c>
      <c r="S396" s="140" t="str">
        <f t="shared" si="61"/>
        <v/>
      </c>
      <c r="T396" s="140" t="str">
        <f t="shared" si="62"/>
        <v/>
      </c>
      <c r="U396" s="140" t="str">
        <f t="shared" si="63"/>
        <v/>
      </c>
      <c r="V396" s="99"/>
    </row>
    <row r="397" spans="1:22">
      <c r="A397" s="92"/>
      <c r="B397" s="146"/>
      <c r="C397" s="136"/>
      <c r="D397" s="137"/>
      <c r="E397" s="150"/>
      <c r="F397" s="139"/>
      <c r="G397" s="98"/>
      <c r="H397" s="99"/>
      <c r="I397" s="99"/>
      <c r="J397" s="100"/>
      <c r="K397" s="99"/>
      <c r="L397" s="99"/>
      <c r="M397" s="99"/>
      <c r="N397" s="99"/>
      <c r="O397" s="112"/>
      <c r="P397" s="140" t="str">
        <f t="shared" si="58"/>
        <v/>
      </c>
      <c r="Q397" s="140" t="str">
        <f t="shared" si="59"/>
        <v/>
      </c>
      <c r="R397" s="140" t="str">
        <f t="shared" si="60"/>
        <v/>
      </c>
      <c r="S397" s="140" t="str">
        <f t="shared" si="61"/>
        <v/>
      </c>
      <c r="T397" s="140" t="str">
        <f t="shared" si="62"/>
        <v/>
      </c>
      <c r="U397" s="140" t="str">
        <f t="shared" si="63"/>
        <v/>
      </c>
      <c r="V397" s="99"/>
    </row>
    <row r="398" spans="1:22">
      <c r="A398" s="92"/>
      <c r="B398" s="146"/>
      <c r="C398" s="136"/>
      <c r="D398" s="109">
        <f>0.23-0.05</f>
        <v>0.18</v>
      </c>
      <c r="E398" s="138"/>
      <c r="F398" s="139"/>
      <c r="G398" s="98"/>
      <c r="H398" s="99"/>
      <c r="I398" s="99"/>
      <c r="J398" s="100"/>
      <c r="K398" s="99"/>
      <c r="L398" s="99"/>
      <c r="M398" s="99"/>
      <c r="N398" s="99"/>
      <c r="O398" s="112"/>
      <c r="P398" s="140" t="str">
        <f t="shared" si="58"/>
        <v/>
      </c>
      <c r="Q398" s="140" t="str">
        <f t="shared" si="59"/>
        <v/>
      </c>
      <c r="R398" s="140" t="str">
        <f t="shared" si="60"/>
        <v/>
      </c>
      <c r="S398" s="140" t="str">
        <f t="shared" si="61"/>
        <v/>
      </c>
      <c r="T398" s="140" t="str">
        <f t="shared" si="62"/>
        <v/>
      </c>
      <c r="U398" s="140" t="str">
        <f t="shared" si="63"/>
        <v/>
      </c>
      <c r="V398" s="99"/>
    </row>
    <row r="399" spans="1:22">
      <c r="A399" s="92"/>
      <c r="B399" s="146"/>
      <c r="C399" s="136"/>
      <c r="D399" s="152"/>
      <c r="E399" s="138"/>
      <c r="F399" s="139"/>
      <c r="G399" s="98"/>
      <c r="H399" s="99"/>
      <c r="I399" s="99"/>
      <c r="J399" s="100"/>
      <c r="K399" s="99"/>
      <c r="L399" s="99"/>
      <c r="M399" s="99"/>
      <c r="N399" s="99"/>
      <c r="O399" s="101"/>
      <c r="P399" s="140" t="str">
        <f t="shared" si="58"/>
        <v/>
      </c>
      <c r="Q399" s="140" t="str">
        <f t="shared" si="59"/>
        <v/>
      </c>
      <c r="R399" s="140" t="str">
        <f t="shared" si="60"/>
        <v/>
      </c>
      <c r="S399" s="140" t="str">
        <f t="shared" si="61"/>
        <v/>
      </c>
      <c r="T399" s="140" t="str">
        <f t="shared" si="62"/>
        <v/>
      </c>
      <c r="U399" s="140" t="str">
        <f t="shared" si="63"/>
        <v/>
      </c>
      <c r="V399" s="99"/>
    </row>
    <row r="400" spans="1:22">
      <c r="A400" s="92">
        <v>15</v>
      </c>
      <c r="B400" s="92" t="s">
        <v>405</v>
      </c>
      <c r="C400" s="136"/>
      <c r="D400" s="137"/>
      <c r="E400" s="138"/>
      <c r="F400" s="139"/>
      <c r="G400" s="98"/>
      <c r="H400" s="99"/>
      <c r="I400" s="99"/>
      <c r="J400" s="109"/>
      <c r="K400" s="112"/>
      <c r="L400" s="112"/>
      <c r="M400" s="99"/>
      <c r="N400" s="112"/>
      <c r="O400" s="112"/>
      <c r="P400" s="140" t="str">
        <f>IF($G400=8,$O400,"")</f>
        <v/>
      </c>
      <c r="Q400" s="140" t="str">
        <f>IF($G400=10,$O400,"")</f>
        <v/>
      </c>
      <c r="R400" s="140" t="str">
        <f>IF($G400=12,$O400,"")</f>
        <v/>
      </c>
      <c r="S400" s="140" t="str">
        <f>IF($G400=16,$O400,"")</f>
        <v/>
      </c>
      <c r="T400" s="140" t="str">
        <f>IF($G400=20,$O400,"")</f>
        <v/>
      </c>
      <c r="U400" s="140" t="str">
        <f>IF($G400=25,$O400,"")</f>
        <v/>
      </c>
      <c r="V400" s="99"/>
    </row>
    <row r="401" spans="1:22">
      <c r="A401" s="92"/>
      <c r="B401" s="141" t="s">
        <v>378</v>
      </c>
      <c r="C401" s="136"/>
      <c r="D401" s="142">
        <f>0.85-0.075-2*0.016</f>
        <v>0.74299999999999999</v>
      </c>
      <c r="E401" s="138"/>
      <c r="F401" s="139"/>
      <c r="G401" s="98">
        <v>16</v>
      </c>
      <c r="H401" s="99">
        <v>1</v>
      </c>
      <c r="I401" s="99">
        <v>4</v>
      </c>
      <c r="J401" s="109">
        <f>D401</f>
        <v>0.74299999999999999</v>
      </c>
      <c r="K401" s="110" t="str">
        <f>IF(N401&lt;12,"0",0.049*G401)</f>
        <v>0</v>
      </c>
      <c r="L401" s="111">
        <v>1</v>
      </c>
      <c r="M401" s="99">
        <f>2*G401*L401/1000</f>
        <v>3.2000000000000001E-2</v>
      </c>
      <c r="N401" s="112">
        <f>J401+E$403-M401</f>
        <v>1.0109999999999999</v>
      </c>
      <c r="O401" s="112">
        <f t="shared" ref="O401:O408" si="64">H401*I401*N401</f>
        <v>4.0439999999999996</v>
      </c>
      <c r="P401" s="140" t="str">
        <f t="shared" si="58"/>
        <v/>
      </c>
      <c r="Q401" s="140" t="str">
        <f t="shared" si="59"/>
        <v/>
      </c>
      <c r="R401" s="140" t="str">
        <f t="shared" si="60"/>
        <v/>
      </c>
      <c r="S401" s="140">
        <f t="shared" si="61"/>
        <v>4.0439999999999996</v>
      </c>
      <c r="T401" s="140" t="str">
        <f t="shared" si="62"/>
        <v/>
      </c>
      <c r="U401" s="140" t="str">
        <f t="shared" si="63"/>
        <v/>
      </c>
      <c r="V401" s="99"/>
    </row>
    <row r="402" spans="1:22">
      <c r="A402" s="92"/>
      <c r="B402" s="141" t="s">
        <v>379</v>
      </c>
      <c r="C402" s="136"/>
      <c r="D402" s="137"/>
      <c r="E402" s="138"/>
      <c r="F402" s="139"/>
      <c r="G402" s="98">
        <v>16</v>
      </c>
      <c r="H402" s="99">
        <v>1</v>
      </c>
      <c r="I402" s="99">
        <v>4</v>
      </c>
      <c r="J402" s="109">
        <f>D401</f>
        <v>0.74299999999999999</v>
      </c>
      <c r="K402" s="110" t="str">
        <f t="shared" ref="K402:K408" si="65">IF(N402&lt;12,"0",0.049*G402)</f>
        <v>0</v>
      </c>
      <c r="L402" s="111">
        <v>1</v>
      </c>
      <c r="M402" s="99">
        <f t="shared" ref="M402:M408" si="66">2*G402*L402/1000</f>
        <v>3.2000000000000001E-2</v>
      </c>
      <c r="N402" s="112">
        <f t="shared" ref="N402:N408" si="67">J402+E$403-M402</f>
        <v>1.0109999999999999</v>
      </c>
      <c r="O402" s="112">
        <f t="shared" si="64"/>
        <v>4.0439999999999996</v>
      </c>
      <c r="P402" s="140" t="str">
        <f t="shared" si="58"/>
        <v/>
      </c>
      <c r="Q402" s="140" t="str">
        <f t="shared" si="59"/>
        <v/>
      </c>
      <c r="R402" s="140" t="str">
        <f t="shared" si="60"/>
        <v/>
      </c>
      <c r="S402" s="140">
        <f t="shared" si="61"/>
        <v>4.0439999999999996</v>
      </c>
      <c r="T402" s="140" t="str">
        <f t="shared" si="62"/>
        <v/>
      </c>
      <c r="U402" s="140" t="str">
        <f t="shared" si="63"/>
        <v/>
      </c>
      <c r="V402" s="99"/>
    </row>
    <row r="403" spans="1:22">
      <c r="A403" s="92"/>
      <c r="B403" s="141" t="s">
        <v>380</v>
      </c>
      <c r="C403" s="143"/>
      <c r="D403" s="142"/>
      <c r="E403" s="144">
        <v>0.3</v>
      </c>
      <c r="F403" s="139"/>
      <c r="G403" s="98">
        <v>16</v>
      </c>
      <c r="H403" s="99">
        <v>1</v>
      </c>
      <c r="I403" s="99">
        <v>4</v>
      </c>
      <c r="J403" s="109">
        <f>D401</f>
        <v>0.74299999999999999</v>
      </c>
      <c r="K403" s="110" t="str">
        <f t="shared" si="65"/>
        <v>0</v>
      </c>
      <c r="L403" s="111">
        <v>1</v>
      </c>
      <c r="M403" s="99">
        <f t="shared" si="66"/>
        <v>3.2000000000000001E-2</v>
      </c>
      <c r="N403" s="112">
        <f t="shared" si="67"/>
        <v>1.0109999999999999</v>
      </c>
      <c r="O403" s="112">
        <f t="shared" si="64"/>
        <v>4.0439999999999996</v>
      </c>
      <c r="P403" s="140" t="str">
        <f t="shared" si="58"/>
        <v/>
      </c>
      <c r="Q403" s="140" t="str">
        <f t="shared" si="59"/>
        <v/>
      </c>
      <c r="R403" s="140" t="str">
        <f t="shared" si="60"/>
        <v/>
      </c>
      <c r="S403" s="140">
        <f t="shared" si="61"/>
        <v>4.0439999999999996</v>
      </c>
      <c r="T403" s="140" t="str">
        <f t="shared" si="62"/>
        <v/>
      </c>
      <c r="U403" s="140" t="str">
        <f t="shared" si="63"/>
        <v/>
      </c>
      <c r="V403" s="99"/>
    </row>
    <row r="404" spans="1:22">
      <c r="A404" s="92"/>
      <c r="B404" s="141" t="s">
        <v>381</v>
      </c>
      <c r="C404" s="136"/>
      <c r="D404" s="137"/>
      <c r="E404" s="138"/>
      <c r="F404" s="139"/>
      <c r="G404" s="98">
        <v>16</v>
      </c>
      <c r="H404" s="99">
        <v>1</v>
      </c>
      <c r="I404" s="99">
        <v>4</v>
      </c>
      <c r="J404" s="109">
        <f>D401</f>
        <v>0.74299999999999999</v>
      </c>
      <c r="K404" s="110" t="str">
        <f t="shared" si="65"/>
        <v>0</v>
      </c>
      <c r="L404" s="111">
        <v>1</v>
      </c>
      <c r="M404" s="99">
        <f t="shared" si="66"/>
        <v>3.2000000000000001E-2</v>
      </c>
      <c r="N404" s="112">
        <f t="shared" si="67"/>
        <v>1.0109999999999999</v>
      </c>
      <c r="O404" s="112">
        <f t="shared" si="64"/>
        <v>4.0439999999999996</v>
      </c>
      <c r="P404" s="140" t="str">
        <f t="shared" si="58"/>
        <v/>
      </c>
      <c r="Q404" s="140" t="str">
        <f t="shared" si="59"/>
        <v/>
      </c>
      <c r="R404" s="140" t="str">
        <f t="shared" si="60"/>
        <v/>
      </c>
      <c r="S404" s="140">
        <f t="shared" si="61"/>
        <v>4.0439999999999996</v>
      </c>
      <c r="T404" s="140" t="str">
        <f t="shared" si="62"/>
        <v/>
      </c>
      <c r="U404" s="140" t="str">
        <f t="shared" si="63"/>
        <v/>
      </c>
      <c r="V404" s="99"/>
    </row>
    <row r="405" spans="1:22">
      <c r="A405" s="92"/>
      <c r="B405" s="141" t="s">
        <v>389</v>
      </c>
      <c r="C405" s="136"/>
      <c r="D405" s="137"/>
      <c r="E405" s="138"/>
      <c r="F405" s="139"/>
      <c r="G405" s="98">
        <v>16</v>
      </c>
      <c r="H405" s="99">
        <v>1</v>
      </c>
      <c r="I405" s="99">
        <v>4</v>
      </c>
      <c r="J405" s="109">
        <f>D401</f>
        <v>0.74299999999999999</v>
      </c>
      <c r="K405" s="110" t="str">
        <f t="shared" si="65"/>
        <v>0</v>
      </c>
      <c r="L405" s="111">
        <v>1</v>
      </c>
      <c r="M405" s="99">
        <f t="shared" si="66"/>
        <v>3.2000000000000001E-2</v>
      </c>
      <c r="N405" s="112">
        <f t="shared" si="67"/>
        <v>1.0109999999999999</v>
      </c>
      <c r="O405" s="112">
        <f t="shared" si="64"/>
        <v>4.0439999999999996</v>
      </c>
      <c r="P405" s="140" t="str">
        <f t="shared" si="58"/>
        <v/>
      </c>
      <c r="Q405" s="140" t="str">
        <f t="shared" si="59"/>
        <v/>
      </c>
      <c r="R405" s="140" t="str">
        <f t="shared" si="60"/>
        <v/>
      </c>
      <c r="S405" s="140">
        <f t="shared" si="61"/>
        <v>4.0439999999999996</v>
      </c>
      <c r="T405" s="140" t="str">
        <f t="shared" si="62"/>
        <v/>
      </c>
      <c r="U405" s="140" t="str">
        <f t="shared" si="63"/>
        <v/>
      </c>
      <c r="V405" s="99"/>
    </row>
    <row r="406" spans="1:22">
      <c r="A406" s="92"/>
      <c r="B406" s="141" t="s">
        <v>401</v>
      </c>
      <c r="C406" s="136"/>
      <c r="D406" s="137"/>
      <c r="E406" s="138"/>
      <c r="F406" s="139"/>
      <c r="G406" s="98">
        <v>16</v>
      </c>
      <c r="H406" s="99">
        <v>1</v>
      </c>
      <c r="I406" s="99">
        <v>4</v>
      </c>
      <c r="J406" s="109">
        <f>D401</f>
        <v>0.74299999999999999</v>
      </c>
      <c r="K406" s="110" t="str">
        <f t="shared" si="65"/>
        <v>0</v>
      </c>
      <c r="L406" s="111">
        <v>1</v>
      </c>
      <c r="M406" s="99">
        <f t="shared" si="66"/>
        <v>3.2000000000000001E-2</v>
      </c>
      <c r="N406" s="112">
        <f t="shared" si="67"/>
        <v>1.0109999999999999</v>
      </c>
      <c r="O406" s="112">
        <f t="shared" si="64"/>
        <v>4.0439999999999996</v>
      </c>
      <c r="P406" s="140" t="str">
        <f t="shared" si="58"/>
        <v/>
      </c>
      <c r="Q406" s="140" t="str">
        <f t="shared" si="59"/>
        <v/>
      </c>
      <c r="R406" s="140" t="str">
        <f t="shared" si="60"/>
        <v/>
      </c>
      <c r="S406" s="140">
        <f t="shared" si="61"/>
        <v>4.0439999999999996</v>
      </c>
      <c r="T406" s="140" t="str">
        <f t="shared" si="62"/>
        <v/>
      </c>
      <c r="U406" s="140" t="str">
        <f t="shared" si="63"/>
        <v/>
      </c>
      <c r="V406" s="99"/>
    </row>
    <row r="407" spans="1:22">
      <c r="A407" s="92"/>
      <c r="B407" s="141" t="s">
        <v>403</v>
      </c>
      <c r="C407" s="136"/>
      <c r="D407" s="137"/>
      <c r="E407" s="138"/>
      <c r="F407" s="139"/>
      <c r="G407" s="98">
        <v>16</v>
      </c>
      <c r="H407" s="99">
        <v>1</v>
      </c>
      <c r="I407" s="99">
        <v>4</v>
      </c>
      <c r="J407" s="109">
        <f>D401</f>
        <v>0.74299999999999999</v>
      </c>
      <c r="K407" s="110" t="str">
        <f t="shared" si="65"/>
        <v>0</v>
      </c>
      <c r="L407" s="111">
        <v>1</v>
      </c>
      <c r="M407" s="99">
        <f t="shared" si="66"/>
        <v>3.2000000000000001E-2</v>
      </c>
      <c r="N407" s="112">
        <f>J407+E$403-M407</f>
        <v>1.0109999999999999</v>
      </c>
      <c r="O407" s="112">
        <f t="shared" si="64"/>
        <v>4.0439999999999996</v>
      </c>
      <c r="P407" s="140" t="str">
        <f t="shared" si="58"/>
        <v/>
      </c>
      <c r="Q407" s="140" t="str">
        <f t="shared" si="59"/>
        <v/>
      </c>
      <c r="R407" s="140" t="str">
        <f t="shared" si="60"/>
        <v/>
      </c>
      <c r="S407" s="140">
        <f t="shared" si="61"/>
        <v>4.0439999999999996</v>
      </c>
      <c r="T407" s="140" t="str">
        <f t="shared" si="62"/>
        <v/>
      </c>
      <c r="U407" s="140" t="str">
        <f t="shared" si="63"/>
        <v/>
      </c>
      <c r="V407" s="99"/>
    </row>
    <row r="408" spans="1:22">
      <c r="A408" s="92"/>
      <c r="B408" s="141" t="s">
        <v>406</v>
      </c>
      <c r="C408" s="136"/>
      <c r="D408" s="137"/>
      <c r="E408" s="138"/>
      <c r="F408" s="139"/>
      <c r="G408" s="98">
        <v>16</v>
      </c>
      <c r="H408" s="99">
        <v>1</v>
      </c>
      <c r="I408" s="99">
        <v>8</v>
      </c>
      <c r="J408" s="109">
        <f>D401</f>
        <v>0.74299999999999999</v>
      </c>
      <c r="K408" s="110" t="str">
        <f t="shared" si="65"/>
        <v>0</v>
      </c>
      <c r="L408" s="111">
        <v>1</v>
      </c>
      <c r="M408" s="99">
        <f t="shared" si="66"/>
        <v>3.2000000000000001E-2</v>
      </c>
      <c r="N408" s="112">
        <f t="shared" si="67"/>
        <v>1.0109999999999999</v>
      </c>
      <c r="O408" s="112">
        <f t="shared" si="64"/>
        <v>8.0879999999999992</v>
      </c>
      <c r="P408" s="140" t="str">
        <f t="shared" si="58"/>
        <v/>
      </c>
      <c r="Q408" s="140" t="str">
        <f t="shared" si="59"/>
        <v/>
      </c>
      <c r="R408" s="140" t="str">
        <f t="shared" si="60"/>
        <v/>
      </c>
      <c r="S408" s="140">
        <f t="shared" si="61"/>
        <v>8.0879999999999992</v>
      </c>
      <c r="T408" s="140" t="str">
        <f t="shared" si="62"/>
        <v/>
      </c>
      <c r="U408" s="140" t="str">
        <f t="shared" si="63"/>
        <v/>
      </c>
      <c r="V408" s="99"/>
    </row>
    <row r="409" spans="1:22">
      <c r="A409" s="92"/>
      <c r="B409" s="141"/>
      <c r="C409" s="136"/>
      <c r="D409" s="137"/>
      <c r="E409" s="138"/>
      <c r="F409" s="139"/>
      <c r="G409" s="98"/>
      <c r="H409" s="99"/>
      <c r="I409" s="99"/>
      <c r="J409" s="109"/>
      <c r="K409" s="110"/>
      <c r="L409" s="111"/>
      <c r="M409" s="99"/>
      <c r="N409" s="112"/>
      <c r="O409" s="112"/>
      <c r="P409" s="140"/>
      <c r="Q409" s="140"/>
      <c r="R409" s="140"/>
      <c r="S409" s="140"/>
      <c r="T409" s="140"/>
      <c r="U409" s="140"/>
      <c r="V409" s="99"/>
    </row>
    <row r="410" spans="1:22">
      <c r="A410" s="92"/>
      <c r="B410" s="92"/>
      <c r="C410" s="145">
        <v>0.08</v>
      </c>
      <c r="D410" s="137"/>
      <c r="E410" s="138"/>
      <c r="F410" s="139"/>
      <c r="G410" s="98"/>
      <c r="H410" s="99"/>
      <c r="I410" s="99"/>
      <c r="J410" s="100"/>
      <c r="K410" s="99"/>
      <c r="L410" s="99"/>
      <c r="M410" s="99"/>
      <c r="N410" s="99"/>
      <c r="O410" s="101"/>
      <c r="P410" s="140" t="str">
        <f t="shared" si="58"/>
        <v/>
      </c>
      <c r="Q410" s="140" t="str">
        <f t="shared" si="59"/>
        <v/>
      </c>
      <c r="R410" s="140" t="str">
        <f t="shared" si="60"/>
        <v/>
      </c>
      <c r="S410" s="140" t="str">
        <f t="shared" si="61"/>
        <v/>
      </c>
      <c r="T410" s="140" t="str">
        <f t="shared" si="62"/>
        <v/>
      </c>
      <c r="U410" s="140" t="str">
        <f t="shared" si="63"/>
        <v/>
      </c>
      <c r="V410" s="99"/>
    </row>
    <row r="411" spans="1:22">
      <c r="A411" s="92"/>
      <c r="B411" s="146" t="s">
        <v>382</v>
      </c>
      <c r="C411" s="147"/>
      <c r="D411" s="137"/>
      <c r="E411" s="148">
        <f>1.855-0.05</f>
        <v>1.8049999999999999</v>
      </c>
      <c r="F411" s="139"/>
      <c r="G411" s="98">
        <v>10</v>
      </c>
      <c r="H411" s="99">
        <v>1</v>
      </c>
      <c r="I411" s="99">
        <v>4</v>
      </c>
      <c r="J411" s="149">
        <f>2*(D413+E411)+2*8*G411/1000</f>
        <v>4.13</v>
      </c>
      <c r="K411" s="99"/>
      <c r="L411" s="99">
        <v>5</v>
      </c>
      <c r="M411" s="112">
        <f>2*G411*L411/1000</f>
        <v>0.1</v>
      </c>
      <c r="N411" s="112">
        <f>(J411+K411-M411)</f>
        <v>4.03</v>
      </c>
      <c r="O411" s="112">
        <f>(H411*I411*N411)</f>
        <v>16.12</v>
      </c>
      <c r="P411" s="140" t="str">
        <f t="shared" si="58"/>
        <v/>
      </c>
      <c r="Q411" s="140">
        <f t="shared" si="59"/>
        <v>16.12</v>
      </c>
      <c r="R411" s="140" t="str">
        <f t="shared" si="60"/>
        <v/>
      </c>
      <c r="S411" s="140" t="str">
        <f t="shared" si="61"/>
        <v/>
      </c>
      <c r="T411" s="140" t="str">
        <f t="shared" si="62"/>
        <v/>
      </c>
      <c r="U411" s="140" t="str">
        <f t="shared" si="63"/>
        <v/>
      </c>
      <c r="V411" s="99"/>
    </row>
    <row r="412" spans="1:22">
      <c r="A412" s="92"/>
      <c r="B412" s="146"/>
      <c r="C412" s="136"/>
      <c r="D412" s="137"/>
      <c r="E412" s="150"/>
      <c r="F412" s="139"/>
      <c r="G412" s="98"/>
      <c r="H412" s="99"/>
      <c r="I412" s="99"/>
      <c r="J412" s="100"/>
      <c r="K412" s="99"/>
      <c r="L412" s="99"/>
      <c r="M412" s="99"/>
      <c r="N412" s="99"/>
      <c r="O412" s="112"/>
      <c r="P412" s="140" t="str">
        <f t="shared" si="58"/>
        <v/>
      </c>
      <c r="Q412" s="140" t="str">
        <f t="shared" si="59"/>
        <v/>
      </c>
      <c r="R412" s="140" t="str">
        <f t="shared" si="60"/>
        <v/>
      </c>
      <c r="S412" s="140" t="str">
        <f t="shared" si="61"/>
        <v/>
      </c>
      <c r="T412" s="140" t="str">
        <f t="shared" si="62"/>
        <v/>
      </c>
      <c r="U412" s="140" t="str">
        <f t="shared" si="63"/>
        <v/>
      </c>
      <c r="V412" s="99"/>
    </row>
    <row r="413" spans="1:22">
      <c r="A413" s="92"/>
      <c r="B413" s="146"/>
      <c r="C413" s="136"/>
      <c r="D413" s="109">
        <f>0.23-0.05</f>
        <v>0.18</v>
      </c>
      <c r="E413" s="138"/>
      <c r="F413" s="139"/>
      <c r="G413" s="98"/>
      <c r="H413" s="99"/>
      <c r="I413" s="99"/>
      <c r="J413" s="100"/>
      <c r="K413" s="99"/>
      <c r="L413" s="99"/>
      <c r="M413" s="99"/>
      <c r="N413" s="99"/>
      <c r="O413" s="112"/>
      <c r="P413" s="140" t="str">
        <f t="shared" si="58"/>
        <v/>
      </c>
      <c r="Q413" s="140" t="str">
        <f t="shared" si="59"/>
        <v/>
      </c>
      <c r="R413" s="140" t="str">
        <f t="shared" si="60"/>
        <v/>
      </c>
      <c r="S413" s="140" t="str">
        <f t="shared" si="61"/>
        <v/>
      </c>
      <c r="T413" s="140" t="str">
        <f t="shared" si="62"/>
        <v/>
      </c>
      <c r="U413" s="140" t="str">
        <f t="shared" si="63"/>
        <v/>
      </c>
      <c r="V413" s="99"/>
    </row>
    <row r="414" spans="1:22">
      <c r="A414" s="92"/>
      <c r="B414" s="141"/>
      <c r="C414" s="136"/>
      <c r="D414" s="137"/>
      <c r="E414" s="138"/>
      <c r="F414" s="139"/>
      <c r="G414" s="98"/>
      <c r="H414" s="99"/>
      <c r="I414" s="99"/>
      <c r="J414" s="100"/>
      <c r="K414" s="99"/>
      <c r="L414" s="99"/>
      <c r="M414" s="99"/>
      <c r="N414" s="99"/>
      <c r="O414" s="112"/>
      <c r="P414" s="140" t="str">
        <f t="shared" si="58"/>
        <v/>
      </c>
      <c r="Q414" s="140" t="str">
        <f t="shared" si="59"/>
        <v/>
      </c>
      <c r="R414" s="140" t="str">
        <f t="shared" si="60"/>
        <v/>
      </c>
      <c r="S414" s="140" t="str">
        <f t="shared" si="61"/>
        <v/>
      </c>
      <c r="T414" s="140" t="str">
        <f t="shared" si="62"/>
        <v/>
      </c>
      <c r="U414" s="140" t="str">
        <f t="shared" si="63"/>
        <v/>
      </c>
      <c r="V414" s="99"/>
    </row>
    <row r="415" spans="1:22">
      <c r="A415" s="92"/>
      <c r="B415" s="92"/>
      <c r="C415" s="145">
        <v>0.08</v>
      </c>
      <c r="D415" s="137"/>
      <c r="E415" s="138"/>
      <c r="F415" s="139"/>
      <c r="G415" s="98"/>
      <c r="H415" s="99"/>
      <c r="I415" s="99"/>
      <c r="J415" s="100"/>
      <c r="K415" s="99"/>
      <c r="L415" s="99"/>
      <c r="M415" s="99"/>
      <c r="N415" s="99"/>
      <c r="O415" s="112"/>
      <c r="P415" s="140" t="str">
        <f t="shared" si="58"/>
        <v/>
      </c>
      <c r="Q415" s="140" t="str">
        <f t="shared" si="59"/>
        <v/>
      </c>
      <c r="R415" s="140" t="str">
        <f t="shared" si="60"/>
        <v/>
      </c>
      <c r="S415" s="140" t="str">
        <f t="shared" si="61"/>
        <v/>
      </c>
      <c r="T415" s="140" t="str">
        <f t="shared" si="62"/>
        <v/>
      </c>
      <c r="U415" s="140" t="str">
        <f t="shared" si="63"/>
        <v/>
      </c>
      <c r="V415" s="99"/>
    </row>
    <row r="416" spans="1:22">
      <c r="A416" s="92"/>
      <c r="B416" s="146" t="s">
        <v>383</v>
      </c>
      <c r="C416" s="147"/>
      <c r="D416" s="137"/>
      <c r="E416" s="148">
        <f>((1.855-0.05-0.016)/17)+0.016+0.02</f>
        <v>0.14123529411764704</v>
      </c>
      <c r="F416" s="139"/>
      <c r="G416" s="98">
        <v>10</v>
      </c>
      <c r="H416" s="99">
        <v>1</v>
      </c>
      <c r="I416" s="99">
        <f>1*8</f>
        <v>8</v>
      </c>
      <c r="J416" s="149">
        <f>2*(D418+E416)+2*8*G416/1000</f>
        <v>0.80247058823529416</v>
      </c>
      <c r="K416" s="99"/>
      <c r="L416" s="99">
        <v>5</v>
      </c>
      <c r="M416" s="112">
        <f>2*G416*L416/1000</f>
        <v>0.1</v>
      </c>
      <c r="N416" s="112">
        <f>(J416+K416-M416)</f>
        <v>0.70247058823529418</v>
      </c>
      <c r="O416" s="112">
        <f>(H416*I416*N416)</f>
        <v>5.6197647058823534</v>
      </c>
      <c r="P416" s="140" t="str">
        <f t="shared" si="58"/>
        <v/>
      </c>
      <c r="Q416" s="140">
        <f t="shared" si="59"/>
        <v>5.6197647058823534</v>
      </c>
      <c r="R416" s="140" t="str">
        <f t="shared" si="60"/>
        <v/>
      </c>
      <c r="S416" s="140" t="str">
        <f t="shared" si="61"/>
        <v/>
      </c>
      <c r="T416" s="140" t="str">
        <f t="shared" si="62"/>
        <v/>
      </c>
      <c r="U416" s="140" t="str">
        <f t="shared" si="63"/>
        <v/>
      </c>
      <c r="V416" s="99"/>
    </row>
    <row r="417" spans="1:22">
      <c r="A417" s="92"/>
      <c r="B417" s="146"/>
      <c r="C417" s="136"/>
      <c r="D417" s="137"/>
      <c r="E417" s="150"/>
      <c r="F417" s="139"/>
      <c r="G417" s="98"/>
      <c r="H417" s="99"/>
      <c r="I417" s="99"/>
      <c r="J417" s="100"/>
      <c r="K417" s="99"/>
      <c r="L417" s="99"/>
      <c r="M417" s="99"/>
      <c r="N417" s="99"/>
      <c r="O417" s="112"/>
      <c r="P417" s="140" t="str">
        <f t="shared" si="58"/>
        <v/>
      </c>
      <c r="Q417" s="140" t="str">
        <f t="shared" si="59"/>
        <v/>
      </c>
      <c r="R417" s="140" t="str">
        <f t="shared" si="60"/>
        <v/>
      </c>
      <c r="S417" s="140" t="str">
        <f t="shared" si="61"/>
        <v/>
      </c>
      <c r="T417" s="140" t="str">
        <f t="shared" si="62"/>
        <v/>
      </c>
      <c r="U417" s="140" t="str">
        <f t="shared" si="63"/>
        <v/>
      </c>
      <c r="V417" s="99"/>
    </row>
    <row r="418" spans="1:22">
      <c r="A418" s="92"/>
      <c r="B418" s="146"/>
      <c r="C418" s="136"/>
      <c r="D418" s="109">
        <f>0.23-0.05</f>
        <v>0.18</v>
      </c>
      <c r="E418" s="138"/>
      <c r="F418" s="139"/>
      <c r="G418" s="98"/>
      <c r="H418" s="99"/>
      <c r="I418" s="99"/>
      <c r="J418" s="100"/>
      <c r="K418" s="99"/>
      <c r="L418" s="99"/>
      <c r="M418" s="99"/>
      <c r="N418" s="99"/>
      <c r="O418" s="112"/>
      <c r="P418" s="140" t="str">
        <f t="shared" si="58"/>
        <v/>
      </c>
      <c r="Q418" s="140" t="str">
        <f t="shared" si="59"/>
        <v/>
      </c>
      <c r="R418" s="140" t="str">
        <f t="shared" si="60"/>
        <v/>
      </c>
      <c r="S418" s="140" t="str">
        <f t="shared" si="61"/>
        <v/>
      </c>
      <c r="T418" s="140" t="str">
        <f t="shared" si="62"/>
        <v/>
      </c>
      <c r="U418" s="140" t="str">
        <f t="shared" si="63"/>
        <v/>
      </c>
      <c r="V418" s="99"/>
    </row>
    <row r="419" spans="1:22">
      <c r="A419" s="92"/>
      <c r="B419" s="146"/>
      <c r="C419" s="136"/>
      <c r="D419" s="152"/>
      <c r="E419" s="138"/>
      <c r="F419" s="139"/>
      <c r="G419" s="98"/>
      <c r="H419" s="99"/>
      <c r="I419" s="99"/>
      <c r="J419" s="100"/>
      <c r="K419" s="99"/>
      <c r="L419" s="99"/>
      <c r="M419" s="99"/>
      <c r="N419" s="99"/>
      <c r="O419" s="101"/>
      <c r="P419" s="140" t="str">
        <f t="shared" si="58"/>
        <v/>
      </c>
      <c r="Q419" s="140" t="str">
        <f t="shared" si="59"/>
        <v/>
      </c>
      <c r="R419" s="140" t="str">
        <f t="shared" si="60"/>
        <v/>
      </c>
      <c r="S419" s="140" t="str">
        <f t="shared" si="61"/>
        <v/>
      </c>
      <c r="T419" s="140" t="str">
        <f t="shared" si="62"/>
        <v/>
      </c>
      <c r="U419" s="140" t="str">
        <f t="shared" si="63"/>
        <v/>
      </c>
      <c r="V419" s="99"/>
    </row>
    <row r="420" spans="1:22">
      <c r="A420" s="92">
        <v>16</v>
      </c>
      <c r="B420" s="92" t="s">
        <v>407</v>
      </c>
      <c r="C420" s="136"/>
      <c r="D420" s="137"/>
      <c r="E420" s="138"/>
      <c r="F420" s="139"/>
      <c r="G420" s="98"/>
      <c r="H420" s="99"/>
      <c r="I420" s="99"/>
      <c r="J420" s="109"/>
      <c r="K420" s="112"/>
      <c r="L420" s="112"/>
      <c r="M420" s="99"/>
      <c r="N420" s="112"/>
      <c r="O420" s="112"/>
      <c r="P420" s="140" t="str">
        <f>IF($G420=8,$O420,"")</f>
        <v/>
      </c>
      <c r="Q420" s="140" t="str">
        <f>IF($G420=10,$O420,"")</f>
        <v/>
      </c>
      <c r="R420" s="140" t="str">
        <f>IF($G420=12,$O420,"")</f>
        <v/>
      </c>
      <c r="S420" s="140" t="str">
        <f>IF($G420=16,$O420,"")</f>
        <v/>
      </c>
      <c r="T420" s="140" t="str">
        <f>IF($G420=20,$O420,"")</f>
        <v/>
      </c>
      <c r="U420" s="140" t="str">
        <f>IF($G420=25,$O420,"")</f>
        <v/>
      </c>
      <c r="V420" s="99"/>
    </row>
    <row r="421" spans="1:22">
      <c r="A421" s="92"/>
      <c r="B421" s="141" t="s">
        <v>378</v>
      </c>
      <c r="C421" s="136"/>
      <c r="D421" s="142">
        <f>0.85-0.075-2*0.016</f>
        <v>0.74299999999999999</v>
      </c>
      <c r="E421" s="138"/>
      <c r="F421" s="139"/>
      <c r="G421" s="98">
        <v>16</v>
      </c>
      <c r="H421" s="99">
        <v>1</v>
      </c>
      <c r="I421" s="99">
        <v>8</v>
      </c>
      <c r="J421" s="109">
        <f>D421</f>
        <v>0.74299999999999999</v>
      </c>
      <c r="K421" s="110" t="str">
        <f>IF(N421&lt;12,"0",0.049*G421)</f>
        <v>0</v>
      </c>
      <c r="L421" s="111">
        <v>1</v>
      </c>
      <c r="M421" s="99">
        <f>2*G421*L421/1000</f>
        <v>3.2000000000000001E-2</v>
      </c>
      <c r="N421" s="112">
        <f>J421+E423-M421</f>
        <v>1.0109999999999999</v>
      </c>
      <c r="O421" s="112">
        <f>H421*I421*N421</f>
        <v>8.0879999999999992</v>
      </c>
      <c r="P421" s="140" t="str">
        <f t="shared" si="58"/>
        <v/>
      </c>
      <c r="Q421" s="140" t="str">
        <f t="shared" si="59"/>
        <v/>
      </c>
      <c r="R421" s="140" t="str">
        <f t="shared" si="60"/>
        <v/>
      </c>
      <c r="S421" s="140">
        <f t="shared" si="61"/>
        <v>8.0879999999999992</v>
      </c>
      <c r="T421" s="140" t="str">
        <f t="shared" si="62"/>
        <v/>
      </c>
      <c r="U421" s="140" t="str">
        <f t="shared" si="63"/>
        <v/>
      </c>
      <c r="V421" s="99"/>
    </row>
    <row r="422" spans="1:22">
      <c r="A422" s="92"/>
      <c r="B422" s="141" t="s">
        <v>379</v>
      </c>
      <c r="C422" s="136"/>
      <c r="D422" s="137"/>
      <c r="E422" s="138"/>
      <c r="F422" s="139"/>
      <c r="G422" s="98">
        <v>16</v>
      </c>
      <c r="H422" s="99">
        <v>1</v>
      </c>
      <c r="I422" s="99">
        <v>16</v>
      </c>
      <c r="J422" s="109">
        <f>D421</f>
        <v>0.74299999999999999</v>
      </c>
      <c r="K422" s="110" t="str">
        <f t="shared" ref="K422:K423" si="68">IF(N422&lt;12,"0",0.049*G422)</f>
        <v>0</v>
      </c>
      <c r="L422" s="111">
        <v>1</v>
      </c>
      <c r="M422" s="99">
        <f t="shared" ref="M422:M423" si="69">2*G422*L422/1000</f>
        <v>3.2000000000000001E-2</v>
      </c>
      <c r="N422" s="112">
        <f>J422+E423-M422</f>
        <v>1.0109999999999999</v>
      </c>
      <c r="O422" s="112">
        <f>H422*I422*N422</f>
        <v>16.175999999999998</v>
      </c>
      <c r="P422" s="140" t="str">
        <f t="shared" si="58"/>
        <v/>
      </c>
      <c r="Q422" s="140" t="str">
        <f t="shared" si="59"/>
        <v/>
      </c>
      <c r="R422" s="140" t="str">
        <f t="shared" si="60"/>
        <v/>
      </c>
      <c r="S422" s="140">
        <f t="shared" si="61"/>
        <v>16.175999999999998</v>
      </c>
      <c r="T422" s="140" t="str">
        <f t="shared" si="62"/>
        <v/>
      </c>
      <c r="U422" s="140" t="str">
        <f t="shared" si="63"/>
        <v/>
      </c>
      <c r="V422" s="99"/>
    </row>
    <row r="423" spans="1:22">
      <c r="A423" s="92"/>
      <c r="B423" s="141" t="s">
        <v>380</v>
      </c>
      <c r="C423" s="143"/>
      <c r="D423" s="142"/>
      <c r="E423" s="144">
        <v>0.3</v>
      </c>
      <c r="F423" s="139"/>
      <c r="G423" s="98">
        <v>12</v>
      </c>
      <c r="H423" s="99">
        <v>1</v>
      </c>
      <c r="I423" s="99">
        <v>10</v>
      </c>
      <c r="J423" s="109">
        <f>D421</f>
        <v>0.74299999999999999</v>
      </c>
      <c r="K423" s="110" t="str">
        <f t="shared" si="68"/>
        <v>0</v>
      </c>
      <c r="L423" s="111">
        <v>1</v>
      </c>
      <c r="M423" s="99">
        <f t="shared" si="69"/>
        <v>2.4E-2</v>
      </c>
      <c r="N423" s="112">
        <f>J423+E423-M423</f>
        <v>1.0189999999999999</v>
      </c>
      <c r="O423" s="112">
        <f>H423*I423*N423</f>
        <v>10.19</v>
      </c>
      <c r="P423" s="140" t="str">
        <f t="shared" si="58"/>
        <v/>
      </c>
      <c r="Q423" s="140" t="str">
        <f t="shared" si="59"/>
        <v/>
      </c>
      <c r="R423" s="140">
        <f t="shared" si="60"/>
        <v>10.19</v>
      </c>
      <c r="S423" s="140" t="str">
        <f t="shared" si="61"/>
        <v/>
      </c>
      <c r="T423" s="140" t="str">
        <f t="shared" si="62"/>
        <v/>
      </c>
      <c r="U423" s="140" t="str">
        <f t="shared" si="63"/>
        <v/>
      </c>
      <c r="V423" s="99"/>
    </row>
    <row r="424" spans="1:22">
      <c r="A424" s="92"/>
      <c r="B424" s="141"/>
      <c r="C424" s="136"/>
      <c r="D424" s="137"/>
      <c r="E424" s="138"/>
      <c r="F424" s="139"/>
      <c r="G424" s="98"/>
      <c r="H424" s="99"/>
      <c r="I424" s="99"/>
      <c r="J424" s="109"/>
      <c r="K424" s="110"/>
      <c r="L424" s="111"/>
      <c r="M424" s="99"/>
      <c r="N424" s="112"/>
      <c r="O424" s="112"/>
      <c r="P424" s="140" t="str">
        <f t="shared" si="58"/>
        <v/>
      </c>
      <c r="Q424" s="140" t="str">
        <f t="shared" si="59"/>
        <v/>
      </c>
      <c r="R424" s="140" t="str">
        <f t="shared" si="60"/>
        <v/>
      </c>
      <c r="S424" s="140" t="str">
        <f t="shared" si="61"/>
        <v/>
      </c>
      <c r="T424" s="140" t="str">
        <f t="shared" si="62"/>
        <v/>
      </c>
      <c r="U424" s="140" t="str">
        <f t="shared" si="63"/>
        <v/>
      </c>
      <c r="V424" s="99"/>
    </row>
    <row r="425" spans="1:22">
      <c r="A425" s="92"/>
      <c r="B425" s="141"/>
      <c r="C425" s="136"/>
      <c r="D425" s="137"/>
      <c r="E425" s="138"/>
      <c r="F425" s="139"/>
      <c r="G425" s="98"/>
      <c r="H425" s="99"/>
      <c r="I425" s="99"/>
      <c r="J425" s="100"/>
      <c r="K425" s="99"/>
      <c r="L425" s="99"/>
      <c r="M425" s="99"/>
      <c r="N425" s="99"/>
      <c r="O425" s="101"/>
      <c r="P425" s="140" t="str">
        <f t="shared" si="58"/>
        <v/>
      </c>
      <c r="Q425" s="140" t="str">
        <f t="shared" si="59"/>
        <v/>
      </c>
      <c r="R425" s="140" t="str">
        <f t="shared" si="60"/>
        <v/>
      </c>
      <c r="S425" s="140" t="str">
        <f t="shared" si="61"/>
        <v/>
      </c>
      <c r="T425" s="140" t="str">
        <f t="shared" si="62"/>
        <v/>
      </c>
      <c r="U425" s="140" t="str">
        <f t="shared" si="63"/>
        <v/>
      </c>
      <c r="V425" s="99"/>
    </row>
    <row r="426" spans="1:22">
      <c r="A426" s="92"/>
      <c r="B426" s="92"/>
      <c r="C426" s="145">
        <v>0.08</v>
      </c>
      <c r="D426" s="137"/>
      <c r="E426" s="138"/>
      <c r="F426" s="139"/>
      <c r="G426" s="98"/>
      <c r="H426" s="99"/>
      <c r="I426" s="99"/>
      <c r="J426" s="100"/>
      <c r="K426" s="99"/>
      <c r="L426" s="99"/>
      <c r="M426" s="99"/>
      <c r="N426" s="99"/>
      <c r="O426" s="101"/>
      <c r="P426" s="140" t="str">
        <f t="shared" si="58"/>
        <v/>
      </c>
      <c r="Q426" s="140" t="str">
        <f t="shared" si="59"/>
        <v/>
      </c>
      <c r="R426" s="140" t="str">
        <f t="shared" si="60"/>
        <v/>
      </c>
      <c r="S426" s="140" t="str">
        <f t="shared" si="61"/>
        <v/>
      </c>
      <c r="T426" s="140" t="str">
        <f t="shared" si="62"/>
        <v/>
      </c>
      <c r="U426" s="140" t="str">
        <f t="shared" si="63"/>
        <v/>
      </c>
      <c r="V426" s="99"/>
    </row>
    <row r="427" spans="1:22">
      <c r="A427" s="92"/>
      <c r="B427" s="146" t="s">
        <v>382</v>
      </c>
      <c r="C427" s="147"/>
      <c r="D427" s="137"/>
      <c r="E427" s="148">
        <f>0.65-0.05</f>
        <v>0.6</v>
      </c>
      <c r="F427" s="139"/>
      <c r="G427" s="98">
        <v>10</v>
      </c>
      <c r="H427" s="99">
        <v>1</v>
      </c>
      <c r="I427" s="99">
        <v>4</v>
      </c>
      <c r="J427" s="149">
        <f>2*(D429+E427)+2*8*G427/1000</f>
        <v>1.72</v>
      </c>
      <c r="K427" s="99"/>
      <c r="L427" s="99">
        <v>5</v>
      </c>
      <c r="M427" s="112">
        <f>2*G427*L427/1000</f>
        <v>0.1</v>
      </c>
      <c r="N427" s="112">
        <f>(J427+K427-M427)</f>
        <v>1.6199999999999999</v>
      </c>
      <c r="O427" s="112">
        <f>(H427*I427*N427)</f>
        <v>6.4799999999999995</v>
      </c>
      <c r="P427" s="140" t="str">
        <f t="shared" si="58"/>
        <v/>
      </c>
      <c r="Q427" s="140">
        <f t="shared" si="59"/>
        <v>6.4799999999999995</v>
      </c>
      <c r="R427" s="140" t="str">
        <f t="shared" si="60"/>
        <v/>
      </c>
      <c r="S427" s="140" t="str">
        <f t="shared" si="61"/>
        <v/>
      </c>
      <c r="T427" s="140" t="str">
        <f t="shared" si="62"/>
        <v/>
      </c>
      <c r="U427" s="140" t="str">
        <f t="shared" si="63"/>
        <v/>
      </c>
      <c r="V427" s="99"/>
    </row>
    <row r="428" spans="1:22">
      <c r="A428" s="92"/>
      <c r="B428" s="146"/>
      <c r="C428" s="136"/>
      <c r="D428" s="137"/>
      <c r="E428" s="150"/>
      <c r="F428" s="139"/>
      <c r="G428" s="98"/>
      <c r="H428" s="99"/>
      <c r="I428" s="99"/>
      <c r="J428" s="100"/>
      <c r="K428" s="99"/>
      <c r="L428" s="99"/>
      <c r="M428" s="99"/>
      <c r="N428" s="99"/>
      <c r="O428" s="112"/>
      <c r="P428" s="140" t="str">
        <f t="shared" si="58"/>
        <v/>
      </c>
      <c r="Q428" s="140" t="str">
        <f t="shared" si="59"/>
        <v/>
      </c>
      <c r="R428" s="140" t="str">
        <f t="shared" si="60"/>
        <v/>
      </c>
      <c r="S428" s="140" t="str">
        <f t="shared" si="61"/>
        <v/>
      </c>
      <c r="T428" s="140" t="str">
        <f t="shared" si="62"/>
        <v/>
      </c>
      <c r="U428" s="140" t="str">
        <f t="shared" si="63"/>
        <v/>
      </c>
      <c r="V428" s="99"/>
    </row>
    <row r="429" spans="1:22">
      <c r="A429" s="92"/>
      <c r="B429" s="146"/>
      <c r="C429" s="136"/>
      <c r="D429" s="109">
        <f>0.23-0.05</f>
        <v>0.18</v>
      </c>
      <c r="E429" s="138"/>
      <c r="F429" s="139"/>
      <c r="G429" s="98"/>
      <c r="H429" s="99"/>
      <c r="I429" s="99"/>
      <c r="J429" s="100"/>
      <c r="K429" s="99"/>
      <c r="L429" s="99"/>
      <c r="M429" s="99"/>
      <c r="N429" s="99"/>
      <c r="O429" s="112"/>
      <c r="P429" s="140" t="str">
        <f t="shared" si="58"/>
        <v/>
      </c>
      <c r="Q429" s="140" t="str">
        <f t="shared" si="59"/>
        <v/>
      </c>
      <c r="R429" s="140" t="str">
        <f t="shared" si="60"/>
        <v/>
      </c>
      <c r="S429" s="140" t="str">
        <f t="shared" si="61"/>
        <v/>
      </c>
      <c r="T429" s="140" t="str">
        <f t="shared" si="62"/>
        <v/>
      </c>
      <c r="U429" s="140" t="str">
        <f t="shared" si="63"/>
        <v/>
      </c>
      <c r="V429" s="99"/>
    </row>
    <row r="430" spans="1:22">
      <c r="A430" s="92"/>
      <c r="B430" s="141"/>
      <c r="C430" s="136"/>
      <c r="D430" s="137"/>
      <c r="E430" s="138"/>
      <c r="F430" s="139"/>
      <c r="G430" s="98"/>
      <c r="H430" s="99"/>
      <c r="I430" s="99"/>
      <c r="J430" s="100"/>
      <c r="K430" s="99"/>
      <c r="L430" s="99"/>
      <c r="M430" s="99"/>
      <c r="N430" s="99"/>
      <c r="O430" s="101"/>
      <c r="P430" s="140" t="str">
        <f t="shared" si="58"/>
        <v/>
      </c>
      <c r="Q430" s="140" t="str">
        <f t="shared" si="59"/>
        <v/>
      </c>
      <c r="R430" s="140" t="str">
        <f t="shared" si="60"/>
        <v/>
      </c>
      <c r="S430" s="140" t="str">
        <f t="shared" si="61"/>
        <v/>
      </c>
      <c r="T430" s="140" t="str">
        <f t="shared" si="62"/>
        <v/>
      </c>
      <c r="U430" s="140" t="str">
        <f t="shared" si="63"/>
        <v/>
      </c>
      <c r="V430" s="99"/>
    </row>
    <row r="431" spans="1:22">
      <c r="A431" s="92"/>
      <c r="B431" s="92"/>
      <c r="C431" s="145">
        <v>0.08</v>
      </c>
      <c r="D431" s="137"/>
      <c r="E431" s="138"/>
      <c r="F431" s="139"/>
      <c r="G431" s="98"/>
      <c r="H431" s="99"/>
      <c r="I431" s="99"/>
      <c r="J431" s="100"/>
      <c r="K431" s="99"/>
      <c r="L431" s="99"/>
      <c r="M431" s="99"/>
      <c r="N431" s="99"/>
      <c r="O431" s="101"/>
      <c r="P431" s="140" t="str">
        <f t="shared" si="58"/>
        <v/>
      </c>
      <c r="Q431" s="140" t="str">
        <f t="shared" si="59"/>
        <v/>
      </c>
      <c r="R431" s="140" t="str">
        <f t="shared" si="60"/>
        <v/>
      </c>
      <c r="S431" s="140" t="str">
        <f t="shared" si="61"/>
        <v/>
      </c>
      <c r="T431" s="140" t="str">
        <f t="shared" si="62"/>
        <v/>
      </c>
      <c r="U431" s="140" t="str">
        <f t="shared" si="63"/>
        <v/>
      </c>
      <c r="V431" s="99"/>
    </row>
    <row r="432" spans="1:22">
      <c r="A432" s="92"/>
      <c r="B432" s="146" t="s">
        <v>383</v>
      </c>
      <c r="C432" s="147"/>
      <c r="D432" s="137"/>
      <c r="E432" s="148">
        <f>1.85-0.05</f>
        <v>1.8</v>
      </c>
      <c r="F432" s="139"/>
      <c r="G432" s="98">
        <v>10</v>
      </c>
      <c r="H432" s="99">
        <v>1</v>
      </c>
      <c r="I432" s="99">
        <v>4</v>
      </c>
      <c r="J432" s="149">
        <f>2*(D434+E432)+2*8*G432/1000</f>
        <v>4.12</v>
      </c>
      <c r="K432" s="99"/>
      <c r="L432" s="99">
        <v>5</v>
      </c>
      <c r="M432" s="112">
        <f>2*G432*L432/1000</f>
        <v>0.1</v>
      </c>
      <c r="N432" s="112">
        <f>(J432+K432-M432)</f>
        <v>4.0200000000000005</v>
      </c>
      <c r="O432" s="112">
        <f>(H432*I432*N432)</f>
        <v>16.080000000000002</v>
      </c>
      <c r="P432" s="140" t="str">
        <f t="shared" si="58"/>
        <v/>
      </c>
      <c r="Q432" s="140">
        <f t="shared" si="59"/>
        <v>16.080000000000002</v>
      </c>
      <c r="R432" s="140" t="str">
        <f t="shared" si="60"/>
        <v/>
      </c>
      <c r="S432" s="140" t="str">
        <f t="shared" si="61"/>
        <v/>
      </c>
      <c r="T432" s="140" t="str">
        <f t="shared" si="62"/>
        <v/>
      </c>
      <c r="U432" s="140" t="str">
        <f t="shared" si="63"/>
        <v/>
      </c>
      <c r="V432" s="99"/>
    </row>
    <row r="433" spans="1:22">
      <c r="A433" s="92"/>
      <c r="B433" s="146"/>
      <c r="C433" s="136"/>
      <c r="D433" s="137"/>
      <c r="E433" s="150"/>
      <c r="F433" s="139"/>
      <c r="G433" s="98"/>
      <c r="H433" s="99"/>
      <c r="I433" s="99"/>
      <c r="J433" s="100"/>
      <c r="K433" s="99"/>
      <c r="L433" s="99"/>
      <c r="M433" s="99"/>
      <c r="N433" s="99"/>
      <c r="O433" s="112"/>
      <c r="P433" s="140" t="str">
        <f t="shared" si="58"/>
        <v/>
      </c>
      <c r="Q433" s="140" t="str">
        <f t="shared" si="59"/>
        <v/>
      </c>
      <c r="R433" s="140" t="str">
        <f t="shared" si="60"/>
        <v/>
      </c>
      <c r="S433" s="140" t="str">
        <f t="shared" si="61"/>
        <v/>
      </c>
      <c r="T433" s="140" t="str">
        <f t="shared" si="62"/>
        <v/>
      </c>
      <c r="U433" s="140" t="str">
        <f t="shared" si="63"/>
        <v/>
      </c>
      <c r="V433" s="99"/>
    </row>
    <row r="434" spans="1:22">
      <c r="A434" s="92"/>
      <c r="B434" s="146"/>
      <c r="C434" s="136"/>
      <c r="D434" s="109">
        <f>0.23-0.05</f>
        <v>0.18</v>
      </c>
      <c r="E434" s="138"/>
      <c r="F434" s="139"/>
      <c r="G434" s="98"/>
      <c r="H434" s="99"/>
      <c r="I434" s="99"/>
      <c r="J434" s="100"/>
      <c r="K434" s="99"/>
      <c r="L434" s="99"/>
      <c r="M434" s="99"/>
      <c r="N434" s="99"/>
      <c r="O434" s="112"/>
      <c r="P434" s="140" t="str">
        <f t="shared" si="58"/>
        <v/>
      </c>
      <c r="Q434" s="140" t="str">
        <f t="shared" si="59"/>
        <v/>
      </c>
      <c r="R434" s="140" t="str">
        <f t="shared" si="60"/>
        <v/>
      </c>
      <c r="S434" s="140" t="str">
        <f t="shared" si="61"/>
        <v/>
      </c>
      <c r="T434" s="140" t="str">
        <f t="shared" si="62"/>
        <v/>
      </c>
      <c r="U434" s="140" t="str">
        <f t="shared" si="63"/>
        <v/>
      </c>
      <c r="V434" s="99"/>
    </row>
    <row r="435" spans="1:22">
      <c r="A435" s="92"/>
      <c r="B435" s="141"/>
      <c r="C435" s="136"/>
      <c r="D435" s="137"/>
      <c r="E435" s="138"/>
      <c r="F435" s="139"/>
      <c r="G435" s="98"/>
      <c r="H435" s="99"/>
      <c r="I435" s="99"/>
      <c r="J435" s="100"/>
      <c r="K435" s="99"/>
      <c r="L435" s="99"/>
      <c r="M435" s="99"/>
      <c r="N435" s="99"/>
      <c r="O435" s="112"/>
      <c r="P435" s="140" t="str">
        <f t="shared" si="58"/>
        <v/>
      </c>
      <c r="Q435" s="140" t="str">
        <f t="shared" si="59"/>
        <v/>
      </c>
      <c r="R435" s="140" t="str">
        <f t="shared" si="60"/>
        <v/>
      </c>
      <c r="S435" s="140" t="str">
        <f t="shared" si="61"/>
        <v/>
      </c>
      <c r="T435" s="140" t="str">
        <f t="shared" si="62"/>
        <v/>
      </c>
      <c r="U435" s="140" t="str">
        <f t="shared" si="63"/>
        <v/>
      </c>
      <c r="V435" s="99"/>
    </row>
    <row r="436" spans="1:22">
      <c r="A436" s="92"/>
      <c r="B436" s="92"/>
      <c r="C436" s="145">
        <v>0.08</v>
      </c>
      <c r="D436" s="137"/>
      <c r="E436" s="138"/>
      <c r="F436" s="139"/>
      <c r="G436" s="98"/>
      <c r="H436" s="99"/>
      <c r="I436" s="99"/>
      <c r="J436" s="100"/>
      <c r="K436" s="99"/>
      <c r="L436" s="99"/>
      <c r="M436" s="99"/>
      <c r="N436" s="99"/>
      <c r="O436" s="112"/>
      <c r="P436" s="140" t="str">
        <f t="shared" si="58"/>
        <v/>
      </c>
      <c r="Q436" s="140" t="str">
        <f t="shared" si="59"/>
        <v/>
      </c>
      <c r="R436" s="140" t="str">
        <f t="shared" si="60"/>
        <v/>
      </c>
      <c r="S436" s="140" t="str">
        <f t="shared" si="61"/>
        <v/>
      </c>
      <c r="T436" s="140" t="str">
        <f t="shared" si="62"/>
        <v/>
      </c>
      <c r="U436" s="140" t="str">
        <f t="shared" si="63"/>
        <v/>
      </c>
      <c r="V436" s="99"/>
    </row>
    <row r="437" spans="1:22">
      <c r="A437" s="92"/>
      <c r="B437" s="146" t="s">
        <v>384</v>
      </c>
      <c r="C437" s="147"/>
      <c r="D437" s="137"/>
      <c r="E437" s="148">
        <f>((0.6-0.05-0.016)/5)*2+0.012+0.02</f>
        <v>0.24559999999999996</v>
      </c>
      <c r="F437" s="139"/>
      <c r="G437" s="98">
        <v>10</v>
      </c>
      <c r="H437" s="99">
        <v>1</v>
      </c>
      <c r="I437" s="99">
        <v>1</v>
      </c>
      <c r="J437" s="149">
        <f>2*(D439+E437)+2*8*G437/1000</f>
        <v>1.0111999999999999</v>
      </c>
      <c r="K437" s="99"/>
      <c r="L437" s="99">
        <v>5</v>
      </c>
      <c r="M437" s="112">
        <f>2*G437*L437/1000</f>
        <v>0.1</v>
      </c>
      <c r="N437" s="112">
        <f>(J437+K437-M437)</f>
        <v>0.9111999999999999</v>
      </c>
      <c r="O437" s="112">
        <f>(H437*I437*N437)</f>
        <v>0.9111999999999999</v>
      </c>
      <c r="P437" s="140" t="str">
        <f t="shared" si="58"/>
        <v/>
      </c>
      <c r="Q437" s="140">
        <f t="shared" si="59"/>
        <v>0.9111999999999999</v>
      </c>
      <c r="R437" s="140" t="str">
        <f t="shared" si="60"/>
        <v/>
      </c>
      <c r="S437" s="140" t="str">
        <f t="shared" si="61"/>
        <v/>
      </c>
      <c r="T437" s="140" t="str">
        <f t="shared" si="62"/>
        <v/>
      </c>
      <c r="U437" s="140" t="str">
        <f t="shared" si="63"/>
        <v/>
      </c>
      <c r="V437" s="99"/>
    </row>
    <row r="438" spans="1:22">
      <c r="A438" s="92"/>
      <c r="B438" s="146"/>
      <c r="C438" s="136"/>
      <c r="D438" s="137"/>
      <c r="E438" s="150"/>
      <c r="F438" s="139"/>
      <c r="G438" s="98"/>
      <c r="H438" s="99"/>
      <c r="I438" s="99"/>
      <c r="J438" s="100"/>
      <c r="K438" s="99"/>
      <c r="L438" s="99"/>
      <c r="M438" s="99"/>
      <c r="N438" s="99"/>
      <c r="O438" s="112"/>
      <c r="P438" s="140" t="str">
        <f t="shared" si="58"/>
        <v/>
      </c>
      <c r="Q438" s="140" t="str">
        <f t="shared" si="59"/>
        <v/>
      </c>
      <c r="R438" s="140" t="str">
        <f t="shared" si="60"/>
        <v/>
      </c>
      <c r="S438" s="140" t="str">
        <f t="shared" si="61"/>
        <v/>
      </c>
      <c r="T438" s="140" t="str">
        <f t="shared" si="62"/>
        <v/>
      </c>
      <c r="U438" s="140" t="str">
        <f t="shared" si="63"/>
        <v/>
      </c>
      <c r="V438" s="99"/>
    </row>
    <row r="439" spans="1:22">
      <c r="A439" s="92"/>
      <c r="B439" s="146"/>
      <c r="C439" s="136"/>
      <c r="D439" s="109">
        <f>0.23-0.05</f>
        <v>0.18</v>
      </c>
      <c r="E439" s="138"/>
      <c r="F439" s="139"/>
      <c r="G439" s="98"/>
      <c r="H439" s="99"/>
      <c r="I439" s="99"/>
      <c r="J439" s="100"/>
      <c r="K439" s="99"/>
      <c r="L439" s="99"/>
      <c r="M439" s="99"/>
      <c r="N439" s="99"/>
      <c r="O439" s="112"/>
      <c r="P439" s="140" t="str">
        <f t="shared" si="58"/>
        <v/>
      </c>
      <c r="Q439" s="140" t="str">
        <f t="shared" si="59"/>
        <v/>
      </c>
      <c r="R439" s="140" t="str">
        <f t="shared" si="60"/>
        <v/>
      </c>
      <c r="S439" s="140" t="str">
        <f t="shared" si="61"/>
        <v/>
      </c>
      <c r="T439" s="140" t="str">
        <f t="shared" si="62"/>
        <v/>
      </c>
      <c r="U439" s="140" t="str">
        <f t="shared" si="63"/>
        <v/>
      </c>
      <c r="V439" s="99"/>
    </row>
    <row r="440" spans="1:22">
      <c r="A440" s="92"/>
      <c r="B440" s="141"/>
      <c r="C440" s="136"/>
      <c r="D440" s="137"/>
      <c r="E440" s="138"/>
      <c r="F440" s="139"/>
      <c r="G440" s="98"/>
      <c r="H440" s="99"/>
      <c r="I440" s="99"/>
      <c r="J440" s="100"/>
      <c r="K440" s="99"/>
      <c r="L440" s="99"/>
      <c r="M440" s="99"/>
      <c r="N440" s="99"/>
      <c r="O440" s="101"/>
      <c r="P440" s="140" t="str">
        <f t="shared" si="58"/>
        <v/>
      </c>
      <c r="Q440" s="140" t="str">
        <f t="shared" si="59"/>
        <v/>
      </c>
      <c r="R440" s="140" t="str">
        <f t="shared" si="60"/>
        <v/>
      </c>
      <c r="S440" s="140" t="str">
        <f t="shared" si="61"/>
        <v/>
      </c>
      <c r="T440" s="140" t="str">
        <f t="shared" si="62"/>
        <v/>
      </c>
      <c r="U440" s="140" t="str">
        <f t="shared" si="63"/>
        <v/>
      </c>
      <c r="V440" s="99"/>
    </row>
    <row r="441" spans="1:22">
      <c r="A441" s="92"/>
      <c r="B441" s="92"/>
      <c r="C441" s="145">
        <v>0.08</v>
      </c>
      <c r="D441" s="137"/>
      <c r="E441" s="138"/>
      <c r="F441" s="139"/>
      <c r="G441" s="98"/>
      <c r="H441" s="99"/>
      <c r="I441" s="99"/>
      <c r="J441" s="100"/>
      <c r="K441" s="99"/>
      <c r="L441" s="99"/>
      <c r="M441" s="99"/>
      <c r="N441" s="99"/>
      <c r="O441" s="101"/>
      <c r="P441" s="140" t="str">
        <f t="shared" si="58"/>
        <v/>
      </c>
      <c r="Q441" s="140" t="str">
        <f t="shared" si="59"/>
        <v/>
      </c>
      <c r="R441" s="140" t="str">
        <f t="shared" si="60"/>
        <v/>
      </c>
      <c r="S441" s="140" t="str">
        <f t="shared" si="61"/>
        <v/>
      </c>
      <c r="T441" s="140" t="str">
        <f t="shared" si="62"/>
        <v/>
      </c>
      <c r="U441" s="140" t="str">
        <f t="shared" si="63"/>
        <v/>
      </c>
      <c r="V441" s="99"/>
    </row>
    <row r="442" spans="1:22">
      <c r="A442" s="92"/>
      <c r="B442" s="146" t="s">
        <v>385</v>
      </c>
      <c r="C442" s="147"/>
      <c r="D442" s="137"/>
      <c r="E442" s="148">
        <f>((1.8-0.05-0.014)/12)*3+0.014+0.02</f>
        <v>0.46800000000000003</v>
      </c>
      <c r="F442" s="139"/>
      <c r="G442" s="98">
        <v>10</v>
      </c>
      <c r="H442" s="99">
        <v>1</v>
      </c>
      <c r="I442" s="99">
        <v>1</v>
      </c>
      <c r="J442" s="149">
        <f>2*(D444+E442)+2*8*G442/1000</f>
        <v>1.456</v>
      </c>
      <c r="K442" s="99"/>
      <c r="L442" s="99">
        <v>5</v>
      </c>
      <c r="M442" s="112">
        <f>2*G442*L442/1000</f>
        <v>0.1</v>
      </c>
      <c r="N442" s="112">
        <f>(J442+K442-M442)</f>
        <v>1.3559999999999999</v>
      </c>
      <c r="O442" s="112">
        <f>(H442*I442*N442)</f>
        <v>1.3559999999999999</v>
      </c>
      <c r="P442" s="140" t="str">
        <f t="shared" si="58"/>
        <v/>
      </c>
      <c r="Q442" s="140">
        <f t="shared" si="59"/>
        <v>1.3559999999999999</v>
      </c>
      <c r="R442" s="140" t="str">
        <f t="shared" si="60"/>
        <v/>
      </c>
      <c r="S442" s="140" t="str">
        <f t="shared" si="61"/>
        <v/>
      </c>
      <c r="T442" s="140" t="str">
        <f t="shared" si="62"/>
        <v/>
      </c>
      <c r="U442" s="140" t="str">
        <f t="shared" si="63"/>
        <v/>
      </c>
      <c r="V442" s="99"/>
    </row>
    <row r="443" spans="1:22">
      <c r="A443" s="92"/>
      <c r="B443" s="146"/>
      <c r="C443" s="136"/>
      <c r="D443" s="137"/>
      <c r="E443" s="150"/>
      <c r="F443" s="139"/>
      <c r="G443" s="98"/>
      <c r="H443" s="99"/>
      <c r="I443" s="99"/>
      <c r="J443" s="100"/>
      <c r="K443" s="99"/>
      <c r="L443" s="99"/>
      <c r="M443" s="99"/>
      <c r="N443" s="99"/>
      <c r="O443" s="112"/>
      <c r="P443" s="140" t="str">
        <f t="shared" si="58"/>
        <v/>
      </c>
      <c r="Q443" s="140" t="str">
        <f t="shared" si="59"/>
        <v/>
      </c>
      <c r="R443" s="140" t="str">
        <f t="shared" si="60"/>
        <v/>
      </c>
      <c r="S443" s="140" t="str">
        <f t="shared" si="61"/>
        <v/>
      </c>
      <c r="T443" s="140" t="str">
        <f t="shared" si="62"/>
        <v/>
      </c>
      <c r="U443" s="140" t="str">
        <f t="shared" si="63"/>
        <v/>
      </c>
      <c r="V443" s="99"/>
    </row>
    <row r="444" spans="1:22">
      <c r="A444" s="92"/>
      <c r="B444" s="146"/>
      <c r="C444" s="136"/>
      <c r="D444" s="109">
        <f>0.23-0.05</f>
        <v>0.18</v>
      </c>
      <c r="E444" s="138"/>
      <c r="F444" s="139"/>
      <c r="G444" s="98"/>
      <c r="H444" s="99"/>
      <c r="I444" s="99"/>
      <c r="J444" s="100"/>
      <c r="K444" s="99"/>
      <c r="L444" s="99"/>
      <c r="M444" s="99"/>
      <c r="N444" s="99"/>
      <c r="O444" s="112"/>
      <c r="P444" s="140" t="str">
        <f t="shared" si="58"/>
        <v/>
      </c>
      <c r="Q444" s="140" t="str">
        <f t="shared" si="59"/>
        <v/>
      </c>
      <c r="R444" s="140" t="str">
        <f t="shared" si="60"/>
        <v/>
      </c>
      <c r="S444" s="140" t="str">
        <f t="shared" si="61"/>
        <v/>
      </c>
      <c r="T444" s="140" t="str">
        <f t="shared" si="62"/>
        <v/>
      </c>
      <c r="U444" s="140" t="str">
        <f t="shared" si="63"/>
        <v/>
      </c>
      <c r="V444" s="99"/>
    </row>
    <row r="445" spans="1:22">
      <c r="A445" s="92"/>
      <c r="B445" s="141"/>
      <c r="C445" s="136"/>
      <c r="D445" s="137"/>
      <c r="E445" s="138"/>
      <c r="F445" s="139"/>
      <c r="G445" s="98"/>
      <c r="H445" s="99"/>
      <c r="I445" s="99"/>
      <c r="J445" s="100"/>
      <c r="K445" s="99"/>
      <c r="L445" s="99"/>
      <c r="M445" s="99"/>
      <c r="N445" s="99"/>
      <c r="O445" s="101"/>
      <c r="P445" s="140" t="str">
        <f t="shared" si="58"/>
        <v/>
      </c>
      <c r="Q445" s="140" t="str">
        <f t="shared" si="59"/>
        <v/>
      </c>
      <c r="R445" s="140" t="str">
        <f t="shared" si="60"/>
        <v/>
      </c>
      <c r="S445" s="140" t="str">
        <f t="shared" si="61"/>
        <v/>
      </c>
      <c r="T445" s="140" t="str">
        <f t="shared" si="62"/>
        <v/>
      </c>
      <c r="U445" s="140" t="str">
        <f t="shared" si="63"/>
        <v/>
      </c>
      <c r="V445" s="99"/>
    </row>
    <row r="446" spans="1:22">
      <c r="A446" s="92"/>
      <c r="B446" s="92"/>
      <c r="C446" s="145">
        <v>0.08</v>
      </c>
      <c r="D446" s="137"/>
      <c r="E446" s="138"/>
      <c r="F446" s="139"/>
      <c r="G446" s="98"/>
      <c r="H446" s="99"/>
      <c r="I446" s="99"/>
      <c r="J446" s="100"/>
      <c r="K446" s="99"/>
      <c r="L446" s="99"/>
      <c r="M446" s="99"/>
      <c r="N446" s="99"/>
      <c r="O446" s="101"/>
      <c r="P446" s="140" t="str">
        <f t="shared" si="58"/>
        <v/>
      </c>
      <c r="Q446" s="140" t="str">
        <f t="shared" si="59"/>
        <v/>
      </c>
      <c r="R446" s="140" t="str">
        <f t="shared" si="60"/>
        <v/>
      </c>
      <c r="S446" s="140" t="str">
        <f t="shared" si="61"/>
        <v/>
      </c>
      <c r="T446" s="140" t="str">
        <f t="shared" si="62"/>
        <v/>
      </c>
      <c r="U446" s="140" t="str">
        <f t="shared" si="63"/>
        <v/>
      </c>
      <c r="V446" s="99"/>
    </row>
    <row r="447" spans="1:22">
      <c r="A447" s="92"/>
      <c r="B447" s="146" t="s">
        <v>390</v>
      </c>
      <c r="C447" s="147"/>
      <c r="D447" s="137"/>
      <c r="E447" s="148">
        <f>((1.8-0.05-0.014)/12)*5+0.01+0.02</f>
        <v>0.75333333333333341</v>
      </c>
      <c r="F447" s="139"/>
      <c r="G447" s="98">
        <v>10</v>
      </c>
      <c r="H447" s="99">
        <v>1</v>
      </c>
      <c r="I447" s="99">
        <v>1</v>
      </c>
      <c r="J447" s="149">
        <f>2*(D449+E447)+2*8*G447/1000</f>
        <v>2.0266666666666668</v>
      </c>
      <c r="K447" s="99"/>
      <c r="L447" s="99">
        <v>5</v>
      </c>
      <c r="M447" s="112">
        <f>2*G447*L447/1000</f>
        <v>0.1</v>
      </c>
      <c r="N447" s="112">
        <f>(J447+K447-M447)</f>
        <v>1.9266666666666667</v>
      </c>
      <c r="O447" s="112">
        <f>(H447*I447*N447)</f>
        <v>1.9266666666666667</v>
      </c>
      <c r="P447" s="140" t="str">
        <f t="shared" si="58"/>
        <v/>
      </c>
      <c r="Q447" s="140">
        <f t="shared" si="59"/>
        <v>1.9266666666666667</v>
      </c>
      <c r="R447" s="140" t="str">
        <f t="shared" si="60"/>
        <v/>
      </c>
      <c r="S447" s="140" t="str">
        <f t="shared" si="61"/>
        <v/>
      </c>
      <c r="T447" s="140" t="str">
        <f t="shared" si="62"/>
        <v/>
      </c>
      <c r="U447" s="140" t="str">
        <f t="shared" si="63"/>
        <v/>
      </c>
      <c r="V447" s="99"/>
    </row>
    <row r="448" spans="1:22">
      <c r="A448" s="92"/>
      <c r="B448" s="146"/>
      <c r="C448" s="136"/>
      <c r="D448" s="137"/>
      <c r="E448" s="150"/>
      <c r="F448" s="139"/>
      <c r="G448" s="98"/>
      <c r="H448" s="99"/>
      <c r="I448" s="99"/>
      <c r="J448" s="100"/>
      <c r="K448" s="99"/>
      <c r="L448" s="99"/>
      <c r="M448" s="99"/>
      <c r="N448" s="99"/>
      <c r="O448" s="112"/>
      <c r="P448" s="140" t="str">
        <f t="shared" si="58"/>
        <v/>
      </c>
      <c r="Q448" s="140" t="str">
        <f t="shared" si="59"/>
        <v/>
      </c>
      <c r="R448" s="140" t="str">
        <f t="shared" si="60"/>
        <v/>
      </c>
      <c r="S448" s="140" t="str">
        <f t="shared" si="61"/>
        <v/>
      </c>
      <c r="T448" s="140" t="str">
        <f t="shared" si="62"/>
        <v/>
      </c>
      <c r="U448" s="140" t="str">
        <f t="shared" si="63"/>
        <v/>
      </c>
      <c r="V448" s="99"/>
    </row>
    <row r="449" spans="1:22">
      <c r="A449" s="92"/>
      <c r="B449" s="146"/>
      <c r="C449" s="136"/>
      <c r="D449" s="109">
        <f>0.23-0.05</f>
        <v>0.18</v>
      </c>
      <c r="E449" s="138"/>
      <c r="F449" s="139"/>
      <c r="G449" s="98"/>
      <c r="H449" s="99"/>
      <c r="I449" s="99"/>
      <c r="J449" s="100"/>
      <c r="K449" s="99"/>
      <c r="L449" s="99"/>
      <c r="M449" s="99"/>
      <c r="N449" s="99"/>
      <c r="O449" s="112"/>
      <c r="P449" s="140" t="str">
        <f t="shared" si="58"/>
        <v/>
      </c>
      <c r="Q449" s="140" t="str">
        <f t="shared" si="59"/>
        <v/>
      </c>
      <c r="R449" s="140" t="str">
        <f t="shared" si="60"/>
        <v/>
      </c>
      <c r="S449" s="140" t="str">
        <f t="shared" si="61"/>
        <v/>
      </c>
      <c r="T449" s="140" t="str">
        <f t="shared" si="62"/>
        <v/>
      </c>
      <c r="U449" s="140" t="str">
        <f t="shared" si="63"/>
        <v/>
      </c>
      <c r="V449" s="99"/>
    </row>
    <row r="450" spans="1:22">
      <c r="A450" s="92"/>
      <c r="B450" s="141"/>
      <c r="C450" s="136"/>
      <c r="D450" s="137"/>
      <c r="E450" s="138"/>
      <c r="F450" s="139"/>
      <c r="G450" s="98"/>
      <c r="H450" s="99"/>
      <c r="I450" s="99"/>
      <c r="J450" s="100"/>
      <c r="K450" s="99"/>
      <c r="L450" s="99"/>
      <c r="M450" s="99"/>
      <c r="N450" s="99"/>
      <c r="O450" s="101"/>
      <c r="P450" s="140" t="str">
        <f t="shared" si="58"/>
        <v/>
      </c>
      <c r="Q450" s="140" t="str">
        <f t="shared" si="59"/>
        <v/>
      </c>
      <c r="R450" s="140" t="str">
        <f t="shared" si="60"/>
        <v/>
      </c>
      <c r="S450" s="140" t="str">
        <f t="shared" si="61"/>
        <v/>
      </c>
      <c r="T450" s="140" t="str">
        <f t="shared" si="62"/>
        <v/>
      </c>
      <c r="U450" s="140" t="str">
        <f t="shared" si="63"/>
        <v/>
      </c>
      <c r="V450" s="99"/>
    </row>
    <row r="451" spans="1:22">
      <c r="A451" s="92"/>
      <c r="B451" s="141"/>
      <c r="C451" s="145">
        <v>0.08</v>
      </c>
      <c r="D451" s="137"/>
      <c r="E451" s="138"/>
      <c r="F451" s="139"/>
      <c r="G451" s="98"/>
      <c r="H451" s="99"/>
      <c r="I451" s="99"/>
      <c r="J451" s="100"/>
      <c r="K451" s="99"/>
      <c r="L451" s="99"/>
      <c r="M451" s="99"/>
      <c r="N451" s="99"/>
      <c r="O451" s="101"/>
      <c r="P451" s="140" t="str">
        <f t="shared" si="58"/>
        <v/>
      </c>
      <c r="Q451" s="140" t="str">
        <f t="shared" si="59"/>
        <v/>
      </c>
      <c r="R451" s="140" t="str">
        <f t="shared" si="60"/>
        <v/>
      </c>
      <c r="S451" s="140" t="str">
        <f t="shared" si="61"/>
        <v/>
      </c>
      <c r="T451" s="140" t="str">
        <f t="shared" si="62"/>
        <v/>
      </c>
      <c r="U451" s="140" t="str">
        <f t="shared" si="63"/>
        <v/>
      </c>
      <c r="V451" s="99"/>
    </row>
    <row r="452" spans="1:22">
      <c r="A452" s="92"/>
      <c r="B452" s="146" t="s">
        <v>396</v>
      </c>
      <c r="C452" s="147"/>
      <c r="D452" s="137"/>
      <c r="E452" s="148">
        <f>((1.8-0.05-0.014)/12)*1+0.012+0.02</f>
        <v>0.17666666666666667</v>
      </c>
      <c r="F452" s="139"/>
      <c r="G452" s="98">
        <v>10</v>
      </c>
      <c r="H452" s="99">
        <v>1</v>
      </c>
      <c r="I452" s="99">
        <v>1</v>
      </c>
      <c r="J452" s="149">
        <f>2*(D454+E452)+2*8*G452/1000</f>
        <v>0.87333333333333341</v>
      </c>
      <c r="K452" s="99"/>
      <c r="L452" s="99">
        <v>5</v>
      </c>
      <c r="M452" s="112">
        <f>2*G452*L452/1000</f>
        <v>0.1</v>
      </c>
      <c r="N452" s="112">
        <f>(J452+K452-M452)</f>
        <v>0.77333333333333343</v>
      </c>
      <c r="O452" s="112">
        <f>(H452*I452*N452)</f>
        <v>0.77333333333333343</v>
      </c>
      <c r="P452" s="140" t="str">
        <f t="shared" si="58"/>
        <v/>
      </c>
      <c r="Q452" s="140">
        <f t="shared" si="59"/>
        <v>0.77333333333333343</v>
      </c>
      <c r="R452" s="140" t="str">
        <f t="shared" si="60"/>
        <v/>
      </c>
      <c r="S452" s="140" t="str">
        <f t="shared" si="61"/>
        <v/>
      </c>
      <c r="T452" s="140" t="str">
        <f t="shared" si="62"/>
        <v/>
      </c>
      <c r="U452" s="140" t="str">
        <f t="shared" si="63"/>
        <v/>
      </c>
      <c r="V452" s="99"/>
    </row>
    <row r="453" spans="1:22">
      <c r="A453" s="92"/>
      <c r="B453" s="146"/>
      <c r="C453" s="136"/>
      <c r="D453" s="137"/>
      <c r="E453" s="150"/>
      <c r="F453" s="139"/>
      <c r="G453" s="98"/>
      <c r="H453" s="99"/>
      <c r="I453" s="99"/>
      <c r="J453" s="100"/>
      <c r="K453" s="99"/>
      <c r="L453" s="99"/>
      <c r="M453" s="99"/>
      <c r="N453" s="99"/>
      <c r="O453" s="112"/>
      <c r="P453" s="140" t="str">
        <f t="shared" si="58"/>
        <v/>
      </c>
      <c r="Q453" s="140" t="str">
        <f t="shared" si="59"/>
        <v/>
      </c>
      <c r="R453" s="140" t="str">
        <f t="shared" si="60"/>
        <v/>
      </c>
      <c r="S453" s="140" t="str">
        <f t="shared" si="61"/>
        <v/>
      </c>
      <c r="T453" s="140" t="str">
        <f t="shared" si="62"/>
        <v/>
      </c>
      <c r="U453" s="140" t="str">
        <f t="shared" si="63"/>
        <v/>
      </c>
      <c r="V453" s="99"/>
    </row>
    <row r="454" spans="1:22">
      <c r="A454" s="92"/>
      <c r="B454" s="146"/>
      <c r="C454" s="136"/>
      <c r="D454" s="109">
        <f>0.23-0.05</f>
        <v>0.18</v>
      </c>
      <c r="E454" s="138"/>
      <c r="F454" s="139"/>
      <c r="G454" s="98"/>
      <c r="H454" s="99"/>
      <c r="I454" s="99"/>
      <c r="J454" s="100"/>
      <c r="K454" s="99"/>
      <c r="L454" s="99"/>
      <c r="M454" s="99"/>
      <c r="N454" s="99"/>
      <c r="O454" s="112"/>
      <c r="P454" s="140" t="str">
        <f t="shared" ref="P454:P609" si="70">IF($G454=8,$O454,"")</f>
        <v/>
      </c>
      <c r="Q454" s="140" t="str">
        <f t="shared" ref="Q454:Q609" si="71">IF($G454=10,$O454,"")</f>
        <v/>
      </c>
      <c r="R454" s="140" t="str">
        <f t="shared" ref="R454:R609" si="72">IF($G454=12,$O454,"")</f>
        <v/>
      </c>
      <c r="S454" s="140" t="str">
        <f t="shared" ref="S454:S609" si="73">IF($G454=16,$O454,"")</f>
        <v/>
      </c>
      <c r="T454" s="140" t="str">
        <f t="shared" ref="T454:T609" si="74">IF($G454=20,$O454,"")</f>
        <v/>
      </c>
      <c r="U454" s="140" t="str">
        <f t="shared" ref="U454:U609" si="75">IF($G454=25,$O454,"")</f>
        <v/>
      </c>
      <c r="V454" s="99"/>
    </row>
    <row r="455" spans="1:22">
      <c r="A455" s="92"/>
      <c r="B455" s="141"/>
      <c r="C455" s="136"/>
      <c r="D455" s="137"/>
      <c r="E455" s="138"/>
      <c r="F455" s="139"/>
      <c r="G455" s="98"/>
      <c r="H455" s="99"/>
      <c r="I455" s="99"/>
      <c r="J455" s="100"/>
      <c r="K455" s="99"/>
      <c r="L455" s="99"/>
      <c r="M455" s="99"/>
      <c r="N455" s="99"/>
      <c r="O455" s="101"/>
      <c r="P455" s="140" t="str">
        <f t="shared" si="70"/>
        <v/>
      </c>
      <c r="Q455" s="140" t="str">
        <f t="shared" si="71"/>
        <v/>
      </c>
      <c r="R455" s="140" t="str">
        <f t="shared" si="72"/>
        <v/>
      </c>
      <c r="S455" s="140" t="str">
        <f t="shared" si="73"/>
        <v/>
      </c>
      <c r="T455" s="140" t="str">
        <f t="shared" si="74"/>
        <v/>
      </c>
      <c r="U455" s="140" t="str">
        <f t="shared" si="75"/>
        <v/>
      </c>
      <c r="V455" s="99"/>
    </row>
    <row r="456" spans="1:22">
      <c r="A456" s="92"/>
      <c r="B456" s="141"/>
      <c r="C456" s="136"/>
      <c r="D456" s="137"/>
      <c r="E456" s="144">
        <v>0.08</v>
      </c>
      <c r="F456" s="139"/>
      <c r="G456" s="98"/>
      <c r="H456" s="99"/>
      <c r="I456" s="99"/>
      <c r="J456" s="100"/>
      <c r="K456" s="99"/>
      <c r="L456" s="99"/>
      <c r="M456" s="99"/>
      <c r="N456" s="99"/>
      <c r="O456" s="101"/>
      <c r="P456" s="140" t="str">
        <f t="shared" si="70"/>
        <v/>
      </c>
      <c r="Q456" s="140" t="str">
        <f t="shared" si="71"/>
        <v/>
      </c>
      <c r="R456" s="140" t="str">
        <f t="shared" si="72"/>
        <v/>
      </c>
      <c r="S456" s="140" t="str">
        <f t="shared" si="73"/>
        <v/>
      </c>
      <c r="T456" s="140" t="str">
        <f t="shared" si="74"/>
        <v/>
      </c>
      <c r="U456" s="140" t="str">
        <f t="shared" si="75"/>
        <v/>
      </c>
      <c r="V456" s="99"/>
    </row>
    <row r="457" spans="1:22">
      <c r="A457" s="92"/>
      <c r="B457" s="146" t="s">
        <v>397</v>
      </c>
      <c r="C457" s="136"/>
      <c r="D457" s="142">
        <f>0.23-0.05</f>
        <v>0.18</v>
      </c>
      <c r="E457" s="144"/>
      <c r="F457" s="139"/>
      <c r="G457" s="98">
        <v>10</v>
      </c>
      <c r="H457" s="99">
        <v>1</v>
      </c>
      <c r="I457" s="99">
        <v>4</v>
      </c>
      <c r="J457" s="149">
        <f>D457+E456+E458</f>
        <v>0.34</v>
      </c>
      <c r="K457" s="99"/>
      <c r="L457" s="99">
        <v>2</v>
      </c>
      <c r="M457" s="112">
        <f>2*G457*L457/1000</f>
        <v>0.04</v>
      </c>
      <c r="N457" s="112">
        <f>(J457+K457-M457)</f>
        <v>0.30000000000000004</v>
      </c>
      <c r="O457" s="112">
        <f>(H457*I457*N457)</f>
        <v>1.2000000000000002</v>
      </c>
      <c r="P457" s="140" t="str">
        <f t="shared" si="70"/>
        <v/>
      </c>
      <c r="Q457" s="140">
        <f t="shared" si="71"/>
        <v>1.2000000000000002</v>
      </c>
      <c r="R457" s="140" t="str">
        <f t="shared" si="72"/>
        <v/>
      </c>
      <c r="S457" s="140" t="str">
        <f t="shared" si="73"/>
        <v/>
      </c>
      <c r="T457" s="140" t="str">
        <f t="shared" si="74"/>
        <v/>
      </c>
      <c r="U457" s="140" t="str">
        <f t="shared" si="75"/>
        <v/>
      </c>
      <c r="V457" s="99"/>
    </row>
    <row r="458" spans="1:22">
      <c r="A458" s="92"/>
      <c r="B458" s="141"/>
      <c r="C458" s="136"/>
      <c r="D458" s="137"/>
      <c r="E458" s="144">
        <v>0.08</v>
      </c>
      <c r="F458" s="139"/>
      <c r="G458" s="98"/>
      <c r="H458" s="99"/>
      <c r="I458" s="99"/>
      <c r="J458" s="100"/>
      <c r="K458" s="99"/>
      <c r="L458" s="99"/>
      <c r="M458" s="99"/>
      <c r="N458" s="99"/>
      <c r="O458" s="101"/>
      <c r="P458" s="140" t="str">
        <f t="shared" si="70"/>
        <v/>
      </c>
      <c r="Q458" s="140" t="str">
        <f t="shared" si="71"/>
        <v/>
      </c>
      <c r="R458" s="140" t="str">
        <f t="shared" si="72"/>
        <v/>
      </c>
      <c r="S458" s="140" t="str">
        <f t="shared" si="73"/>
        <v/>
      </c>
      <c r="T458" s="140" t="str">
        <f t="shared" si="74"/>
        <v/>
      </c>
      <c r="U458" s="140" t="str">
        <f t="shared" si="75"/>
        <v/>
      </c>
      <c r="V458" s="99"/>
    </row>
    <row r="459" spans="1:22">
      <c r="A459" s="92"/>
      <c r="B459" s="146"/>
      <c r="C459" s="136"/>
      <c r="D459" s="152"/>
      <c r="E459" s="138"/>
      <c r="F459" s="139"/>
      <c r="G459" s="98"/>
      <c r="H459" s="99"/>
      <c r="I459" s="99"/>
      <c r="J459" s="100"/>
      <c r="K459" s="99"/>
      <c r="L459" s="99"/>
      <c r="M459" s="99"/>
      <c r="N459" s="99"/>
      <c r="O459" s="101"/>
      <c r="P459" s="140" t="str">
        <f t="shared" si="70"/>
        <v/>
      </c>
      <c r="Q459" s="140" t="str">
        <f t="shared" si="71"/>
        <v/>
      </c>
      <c r="R459" s="140" t="str">
        <f t="shared" si="72"/>
        <v/>
      </c>
      <c r="S459" s="140" t="str">
        <f t="shared" si="73"/>
        <v/>
      </c>
      <c r="T459" s="140" t="str">
        <f t="shared" si="74"/>
        <v/>
      </c>
      <c r="U459" s="140" t="str">
        <f t="shared" si="75"/>
        <v/>
      </c>
      <c r="V459" s="99"/>
    </row>
    <row r="460" spans="1:22">
      <c r="A460" s="92">
        <v>17</v>
      </c>
      <c r="B460" s="92" t="s">
        <v>408</v>
      </c>
      <c r="C460" s="136"/>
      <c r="D460" s="137"/>
      <c r="E460" s="138"/>
      <c r="F460" s="139"/>
      <c r="G460" s="98"/>
      <c r="H460" s="99"/>
      <c r="I460" s="99"/>
      <c r="J460" s="109"/>
      <c r="K460" s="112"/>
      <c r="L460" s="112"/>
      <c r="M460" s="99"/>
      <c r="N460" s="112"/>
      <c r="O460" s="112"/>
      <c r="P460" s="140" t="str">
        <f>IF($G460=8,$O460,"")</f>
        <v/>
      </c>
      <c r="Q460" s="140" t="str">
        <f>IF($G460=10,$O460,"")</f>
        <v/>
      </c>
      <c r="R460" s="140" t="str">
        <f>IF($G460=12,$O460,"")</f>
        <v/>
      </c>
      <c r="S460" s="140" t="str">
        <f>IF($G460=16,$O460,"")</f>
        <v/>
      </c>
      <c r="T460" s="140" t="str">
        <f>IF($G460=20,$O460,"")</f>
        <v/>
      </c>
      <c r="U460" s="140" t="str">
        <f>IF($G460=25,$O460,"")</f>
        <v/>
      </c>
      <c r="V460" s="99"/>
    </row>
    <row r="461" spans="1:22">
      <c r="A461" s="92"/>
      <c r="B461" s="141" t="s">
        <v>378</v>
      </c>
      <c r="C461" s="136"/>
      <c r="D461" s="142">
        <f>0.85-0.075-2*0.016</f>
        <v>0.74299999999999999</v>
      </c>
      <c r="E461" s="138"/>
      <c r="F461" s="139"/>
      <c r="G461" s="98">
        <v>16</v>
      </c>
      <c r="H461" s="99">
        <v>1</v>
      </c>
      <c r="I461" s="99">
        <v>8</v>
      </c>
      <c r="J461" s="109">
        <f>D461</f>
        <v>0.74299999999999999</v>
      </c>
      <c r="K461" s="110" t="str">
        <f>IF(N461&lt;12,"0",0.049*G461)</f>
        <v>0</v>
      </c>
      <c r="L461" s="111">
        <v>1</v>
      </c>
      <c r="M461" s="99">
        <f>2*G461*L461/1000</f>
        <v>3.2000000000000001E-2</v>
      </c>
      <c r="N461" s="112">
        <f>J461+E463-M461</f>
        <v>1.0109999999999999</v>
      </c>
      <c r="O461" s="112">
        <f t="shared" ref="O461:O465" si="76">H461*I461*N461</f>
        <v>8.0879999999999992</v>
      </c>
      <c r="P461" s="140" t="str">
        <f t="shared" si="70"/>
        <v/>
      </c>
      <c r="Q461" s="140" t="str">
        <f t="shared" si="71"/>
        <v/>
      </c>
      <c r="R461" s="140" t="str">
        <f t="shared" si="72"/>
        <v/>
      </c>
      <c r="S461" s="140">
        <f t="shared" si="73"/>
        <v>8.0879999999999992</v>
      </c>
      <c r="T461" s="140" t="str">
        <f t="shared" si="74"/>
        <v/>
      </c>
      <c r="U461" s="140" t="str">
        <f t="shared" si="75"/>
        <v/>
      </c>
      <c r="V461" s="99"/>
    </row>
    <row r="462" spans="1:22">
      <c r="A462" s="92"/>
      <c r="B462" s="141" t="s">
        <v>379</v>
      </c>
      <c r="C462" s="136"/>
      <c r="D462" s="137"/>
      <c r="E462" s="138"/>
      <c r="F462" s="139"/>
      <c r="G462" s="98">
        <v>16</v>
      </c>
      <c r="H462" s="99">
        <v>1</v>
      </c>
      <c r="I462" s="99">
        <v>8</v>
      </c>
      <c r="J462" s="109">
        <f>D461</f>
        <v>0.74299999999999999</v>
      </c>
      <c r="K462" s="110" t="str">
        <f t="shared" ref="K462:K465" si="77">IF(N462&lt;12,"0",0.049*G462)</f>
        <v>0</v>
      </c>
      <c r="L462" s="111">
        <v>1</v>
      </c>
      <c r="M462" s="99">
        <f t="shared" ref="M462:M465" si="78">2*G462*L462/1000</f>
        <v>3.2000000000000001E-2</v>
      </c>
      <c r="N462" s="112">
        <f>J462+E463-M462</f>
        <v>1.0109999999999999</v>
      </c>
      <c r="O462" s="112">
        <f t="shared" si="76"/>
        <v>8.0879999999999992</v>
      </c>
      <c r="P462" s="140" t="str">
        <f t="shared" si="70"/>
        <v/>
      </c>
      <c r="Q462" s="140" t="str">
        <f t="shared" si="71"/>
        <v/>
      </c>
      <c r="R462" s="140" t="str">
        <f t="shared" si="72"/>
        <v/>
      </c>
      <c r="S462" s="140">
        <f t="shared" si="73"/>
        <v>8.0879999999999992</v>
      </c>
      <c r="T462" s="140" t="str">
        <f t="shared" si="74"/>
        <v/>
      </c>
      <c r="U462" s="140" t="str">
        <f t="shared" si="75"/>
        <v/>
      </c>
      <c r="V462" s="99"/>
    </row>
    <row r="463" spans="1:22">
      <c r="A463" s="92"/>
      <c r="B463" s="141" t="s">
        <v>380</v>
      </c>
      <c r="C463" s="143"/>
      <c r="D463" s="142"/>
      <c r="E463" s="144">
        <v>0.3</v>
      </c>
      <c r="F463" s="139"/>
      <c r="G463" s="98">
        <v>12</v>
      </c>
      <c r="H463" s="99">
        <v>1</v>
      </c>
      <c r="I463" s="99">
        <v>8</v>
      </c>
      <c r="J463" s="109">
        <f>D461</f>
        <v>0.74299999999999999</v>
      </c>
      <c r="K463" s="110" t="str">
        <f t="shared" si="77"/>
        <v>0</v>
      </c>
      <c r="L463" s="111">
        <v>1</v>
      </c>
      <c r="M463" s="99">
        <f t="shared" si="78"/>
        <v>2.4E-2</v>
      </c>
      <c r="N463" s="112">
        <f>J463+E463-M463</f>
        <v>1.0189999999999999</v>
      </c>
      <c r="O463" s="112">
        <f t="shared" si="76"/>
        <v>8.1519999999999992</v>
      </c>
      <c r="P463" s="140" t="str">
        <f t="shared" si="70"/>
        <v/>
      </c>
      <c r="Q463" s="140" t="str">
        <f t="shared" si="71"/>
        <v/>
      </c>
      <c r="R463" s="140">
        <f t="shared" si="72"/>
        <v>8.1519999999999992</v>
      </c>
      <c r="S463" s="140" t="str">
        <f t="shared" si="73"/>
        <v/>
      </c>
      <c r="T463" s="140" t="str">
        <f t="shared" si="74"/>
        <v/>
      </c>
      <c r="U463" s="140" t="str">
        <f t="shared" si="75"/>
        <v/>
      </c>
      <c r="V463" s="99"/>
    </row>
    <row r="464" spans="1:22">
      <c r="A464" s="92"/>
      <c r="B464" s="141" t="s">
        <v>381</v>
      </c>
      <c r="C464" s="136"/>
      <c r="D464" s="137"/>
      <c r="E464" s="138"/>
      <c r="F464" s="139"/>
      <c r="G464" s="98">
        <v>12</v>
      </c>
      <c r="H464" s="99">
        <v>1</v>
      </c>
      <c r="I464" s="99">
        <v>4</v>
      </c>
      <c r="J464" s="109">
        <f>D461</f>
        <v>0.74299999999999999</v>
      </c>
      <c r="K464" s="110" t="str">
        <f t="shared" si="77"/>
        <v>0</v>
      </c>
      <c r="L464" s="111">
        <v>1</v>
      </c>
      <c r="M464" s="99">
        <f t="shared" si="78"/>
        <v>2.4E-2</v>
      </c>
      <c r="N464" s="112">
        <f>J464+E463-M464</f>
        <v>1.0189999999999999</v>
      </c>
      <c r="O464" s="112">
        <f t="shared" si="76"/>
        <v>4.0759999999999996</v>
      </c>
      <c r="P464" s="140" t="str">
        <f t="shared" si="70"/>
        <v/>
      </c>
      <c r="Q464" s="140" t="str">
        <f t="shared" si="71"/>
        <v/>
      </c>
      <c r="R464" s="140">
        <f t="shared" si="72"/>
        <v>4.0759999999999996</v>
      </c>
      <c r="S464" s="140" t="str">
        <f t="shared" si="73"/>
        <v/>
      </c>
      <c r="T464" s="140" t="str">
        <f t="shared" si="74"/>
        <v/>
      </c>
      <c r="U464" s="140" t="str">
        <f t="shared" si="75"/>
        <v/>
      </c>
      <c r="V464" s="99"/>
    </row>
    <row r="465" spans="1:22">
      <c r="A465" s="92"/>
      <c r="B465" s="141" t="s">
        <v>389</v>
      </c>
      <c r="C465" s="136"/>
      <c r="D465" s="137"/>
      <c r="E465" s="138"/>
      <c r="F465" s="139"/>
      <c r="G465" s="98">
        <v>12</v>
      </c>
      <c r="H465" s="99">
        <v>1</v>
      </c>
      <c r="I465" s="99">
        <v>20</v>
      </c>
      <c r="J465" s="109">
        <f>D461</f>
        <v>0.74299999999999999</v>
      </c>
      <c r="K465" s="110" t="str">
        <f t="shared" si="77"/>
        <v>0</v>
      </c>
      <c r="L465" s="111">
        <v>1</v>
      </c>
      <c r="M465" s="99">
        <f t="shared" si="78"/>
        <v>2.4E-2</v>
      </c>
      <c r="N465" s="112">
        <f>J465+E463-M465</f>
        <v>1.0189999999999999</v>
      </c>
      <c r="O465" s="112">
        <f t="shared" si="76"/>
        <v>20.38</v>
      </c>
      <c r="P465" s="140" t="str">
        <f t="shared" si="70"/>
        <v/>
      </c>
      <c r="Q465" s="140" t="str">
        <f t="shared" si="71"/>
        <v/>
      </c>
      <c r="R465" s="140">
        <f t="shared" si="72"/>
        <v>20.38</v>
      </c>
      <c r="S465" s="140" t="str">
        <f t="shared" si="73"/>
        <v/>
      </c>
      <c r="T465" s="140" t="str">
        <f t="shared" si="74"/>
        <v/>
      </c>
      <c r="U465" s="140" t="str">
        <f t="shared" si="75"/>
        <v/>
      </c>
      <c r="V465" s="99"/>
    </row>
    <row r="466" spans="1:22">
      <c r="A466" s="92"/>
      <c r="B466" s="141"/>
      <c r="C466" s="136"/>
      <c r="D466" s="137"/>
      <c r="E466" s="138"/>
      <c r="F466" s="139"/>
      <c r="G466" s="98"/>
      <c r="H466" s="99"/>
      <c r="I466" s="99"/>
      <c r="J466" s="109"/>
      <c r="K466" s="110"/>
      <c r="L466" s="111"/>
      <c r="M466" s="99"/>
      <c r="N466" s="112"/>
      <c r="O466" s="112"/>
      <c r="P466" s="140"/>
      <c r="Q466" s="140"/>
      <c r="R466" s="140"/>
      <c r="S466" s="140"/>
      <c r="T466" s="140"/>
      <c r="U466" s="140"/>
      <c r="V466" s="99"/>
    </row>
    <row r="467" spans="1:22">
      <c r="A467" s="92"/>
      <c r="B467" s="92"/>
      <c r="C467" s="145">
        <v>0.08</v>
      </c>
      <c r="D467" s="137"/>
      <c r="E467" s="138"/>
      <c r="F467" s="139"/>
      <c r="G467" s="98"/>
      <c r="H467" s="99"/>
      <c r="I467" s="99"/>
      <c r="J467" s="100"/>
      <c r="K467" s="99"/>
      <c r="L467" s="99"/>
      <c r="M467" s="99"/>
      <c r="N467" s="99"/>
      <c r="O467" s="101"/>
      <c r="P467" s="140" t="str">
        <f t="shared" si="70"/>
        <v/>
      </c>
      <c r="Q467" s="140" t="str">
        <f t="shared" si="71"/>
        <v/>
      </c>
      <c r="R467" s="140" t="str">
        <f t="shared" si="72"/>
        <v/>
      </c>
      <c r="S467" s="140" t="str">
        <f t="shared" si="73"/>
        <v/>
      </c>
      <c r="T467" s="140" t="str">
        <f t="shared" si="74"/>
        <v/>
      </c>
      <c r="U467" s="140" t="str">
        <f t="shared" si="75"/>
        <v/>
      </c>
      <c r="V467" s="99"/>
    </row>
    <row r="468" spans="1:22">
      <c r="A468" s="92"/>
      <c r="B468" s="146" t="s">
        <v>382</v>
      </c>
      <c r="C468" s="147"/>
      <c r="D468" s="137"/>
      <c r="E468" s="148">
        <f>((3.445-0.05-0.016)/23)*6+0.016+0.02</f>
        <v>0.9174782608695653</v>
      </c>
      <c r="F468" s="139"/>
      <c r="G468" s="98">
        <v>10</v>
      </c>
      <c r="H468" s="99">
        <v>1</v>
      </c>
      <c r="I468" s="99">
        <f>4*2</f>
        <v>8</v>
      </c>
      <c r="J468" s="149">
        <f>2*(D470+E468)+2*8*G468/1000</f>
        <v>2.3549565217391306</v>
      </c>
      <c r="K468" s="99"/>
      <c r="L468" s="99">
        <v>5</v>
      </c>
      <c r="M468" s="112">
        <f>2*G468*L468/1000</f>
        <v>0.1</v>
      </c>
      <c r="N468" s="112">
        <f>(J468+K468-M468)</f>
        <v>2.2549565217391305</v>
      </c>
      <c r="O468" s="112">
        <f>(H468*I468*N468)</f>
        <v>18.039652173913044</v>
      </c>
      <c r="P468" s="140" t="str">
        <f t="shared" si="70"/>
        <v/>
      </c>
      <c r="Q468" s="140">
        <f t="shared" si="71"/>
        <v>18.039652173913044</v>
      </c>
      <c r="R468" s="140" t="str">
        <f t="shared" si="72"/>
        <v/>
      </c>
      <c r="S468" s="140" t="str">
        <f t="shared" si="73"/>
        <v/>
      </c>
      <c r="T468" s="140" t="str">
        <f t="shared" si="74"/>
        <v/>
      </c>
      <c r="U468" s="140" t="str">
        <f t="shared" si="75"/>
        <v/>
      </c>
      <c r="V468" s="99"/>
    </row>
    <row r="469" spans="1:22">
      <c r="A469" s="92"/>
      <c r="B469" s="146"/>
      <c r="C469" s="136"/>
      <c r="D469" s="137"/>
      <c r="E469" s="150"/>
      <c r="F469" s="139"/>
      <c r="G469" s="98"/>
      <c r="H469" s="99"/>
      <c r="I469" s="99"/>
      <c r="J469" s="100"/>
      <c r="K469" s="99"/>
      <c r="L469" s="99"/>
      <c r="M469" s="99"/>
      <c r="N469" s="99"/>
      <c r="O469" s="112"/>
      <c r="P469" s="140" t="str">
        <f t="shared" si="70"/>
        <v/>
      </c>
      <c r="Q469" s="140" t="str">
        <f t="shared" si="71"/>
        <v/>
      </c>
      <c r="R469" s="140" t="str">
        <f t="shared" si="72"/>
        <v/>
      </c>
      <c r="S469" s="140" t="str">
        <f t="shared" si="73"/>
        <v/>
      </c>
      <c r="T469" s="140" t="str">
        <f t="shared" si="74"/>
        <v/>
      </c>
      <c r="U469" s="140" t="str">
        <f t="shared" si="75"/>
        <v/>
      </c>
      <c r="V469" s="99"/>
    </row>
    <row r="470" spans="1:22">
      <c r="A470" s="92"/>
      <c r="B470" s="146"/>
      <c r="C470" s="136"/>
      <c r="D470" s="109">
        <f>0.23-0.05</f>
        <v>0.18</v>
      </c>
      <c r="E470" s="138"/>
      <c r="F470" s="139"/>
      <c r="G470" s="98"/>
      <c r="H470" s="99"/>
      <c r="I470" s="99"/>
      <c r="J470" s="100"/>
      <c r="K470" s="99"/>
      <c r="L470" s="99"/>
      <c r="M470" s="99"/>
      <c r="N470" s="99"/>
      <c r="O470" s="112"/>
      <c r="P470" s="140" t="str">
        <f t="shared" si="70"/>
        <v/>
      </c>
      <c r="Q470" s="140" t="str">
        <f t="shared" si="71"/>
        <v/>
      </c>
      <c r="R470" s="140" t="str">
        <f t="shared" si="72"/>
        <v/>
      </c>
      <c r="S470" s="140" t="str">
        <f t="shared" si="73"/>
        <v/>
      </c>
      <c r="T470" s="140" t="str">
        <f t="shared" si="74"/>
        <v/>
      </c>
      <c r="U470" s="140" t="str">
        <f t="shared" si="75"/>
        <v/>
      </c>
      <c r="V470" s="99"/>
    </row>
    <row r="471" spans="1:22">
      <c r="A471" s="92"/>
      <c r="B471" s="141"/>
      <c r="C471" s="136"/>
      <c r="D471" s="137"/>
      <c r="E471" s="138"/>
      <c r="F471" s="139"/>
      <c r="G471" s="98"/>
      <c r="H471" s="99"/>
      <c r="I471" s="99"/>
      <c r="J471" s="109"/>
      <c r="K471" s="110"/>
      <c r="L471" s="111"/>
      <c r="M471" s="99"/>
      <c r="N471" s="112"/>
      <c r="O471" s="112"/>
      <c r="P471" s="140"/>
      <c r="Q471" s="140"/>
      <c r="R471" s="140"/>
      <c r="S471" s="140"/>
      <c r="T471" s="140"/>
      <c r="U471" s="140"/>
      <c r="V471" s="99"/>
    </row>
    <row r="472" spans="1:22">
      <c r="A472" s="92"/>
      <c r="B472" s="92"/>
      <c r="C472" s="145">
        <v>0.08</v>
      </c>
      <c r="D472" s="137"/>
      <c r="E472" s="138"/>
      <c r="F472" s="139"/>
      <c r="G472" s="98"/>
      <c r="H472" s="99"/>
      <c r="I472" s="99"/>
      <c r="J472" s="100"/>
      <c r="K472" s="99"/>
      <c r="L472" s="99"/>
      <c r="M472" s="99"/>
      <c r="N472" s="99"/>
      <c r="O472" s="101"/>
      <c r="P472" s="140" t="str">
        <f t="shared" si="70"/>
        <v/>
      </c>
      <c r="Q472" s="140" t="str">
        <f t="shared" si="71"/>
        <v/>
      </c>
      <c r="R472" s="140" t="str">
        <f t="shared" si="72"/>
        <v/>
      </c>
      <c r="S472" s="140" t="str">
        <f t="shared" si="73"/>
        <v/>
      </c>
      <c r="T472" s="140" t="str">
        <f t="shared" si="74"/>
        <v/>
      </c>
      <c r="U472" s="140" t="str">
        <f t="shared" si="75"/>
        <v/>
      </c>
      <c r="V472" s="99"/>
    </row>
    <row r="473" spans="1:22">
      <c r="A473" s="92"/>
      <c r="B473" s="146" t="s">
        <v>383</v>
      </c>
      <c r="C473" s="147"/>
      <c r="D473" s="137"/>
      <c r="E473" s="148">
        <f>((3.445-0.05-0.016)/23)*11+0.016+0.02</f>
        <v>1.6520434782608695</v>
      </c>
      <c r="F473" s="139"/>
      <c r="G473" s="98">
        <v>10</v>
      </c>
      <c r="H473" s="99">
        <v>1</v>
      </c>
      <c r="I473" s="99">
        <v>4</v>
      </c>
      <c r="J473" s="149">
        <f>2*(D475+E473)+2*8*G473/1000</f>
        <v>3.824086956521739</v>
      </c>
      <c r="K473" s="99"/>
      <c r="L473" s="99">
        <v>5</v>
      </c>
      <c r="M473" s="112">
        <f>2*G473*L473/1000</f>
        <v>0.1</v>
      </c>
      <c r="N473" s="112">
        <f>(J473+K473-M473)</f>
        <v>3.7240869565217389</v>
      </c>
      <c r="O473" s="112">
        <f>(H473*I473*N473)</f>
        <v>14.896347826086956</v>
      </c>
      <c r="P473" s="140" t="str">
        <f t="shared" si="70"/>
        <v/>
      </c>
      <c r="Q473" s="140">
        <f t="shared" si="71"/>
        <v>14.896347826086956</v>
      </c>
      <c r="R473" s="140" t="str">
        <f t="shared" si="72"/>
        <v/>
      </c>
      <c r="S473" s="140" t="str">
        <f t="shared" si="73"/>
        <v/>
      </c>
      <c r="T473" s="140" t="str">
        <f t="shared" si="74"/>
        <v/>
      </c>
      <c r="U473" s="140" t="str">
        <f t="shared" si="75"/>
        <v/>
      </c>
      <c r="V473" s="99"/>
    </row>
    <row r="474" spans="1:22">
      <c r="A474" s="92"/>
      <c r="B474" s="146"/>
      <c r="C474" s="136"/>
      <c r="D474" s="137"/>
      <c r="E474" s="150"/>
      <c r="F474" s="139"/>
      <c r="G474" s="98"/>
      <c r="H474" s="99"/>
      <c r="I474" s="99"/>
      <c r="J474" s="100"/>
      <c r="K474" s="99"/>
      <c r="L474" s="99"/>
      <c r="M474" s="99"/>
      <c r="N474" s="99"/>
      <c r="O474" s="112"/>
      <c r="P474" s="140" t="str">
        <f t="shared" si="70"/>
        <v/>
      </c>
      <c r="Q474" s="140" t="str">
        <f t="shared" si="71"/>
        <v/>
      </c>
      <c r="R474" s="140" t="str">
        <f t="shared" si="72"/>
        <v/>
      </c>
      <c r="S474" s="140" t="str">
        <f t="shared" si="73"/>
        <v/>
      </c>
      <c r="T474" s="140" t="str">
        <f t="shared" si="74"/>
        <v/>
      </c>
      <c r="U474" s="140" t="str">
        <f t="shared" si="75"/>
        <v/>
      </c>
      <c r="V474" s="99"/>
    </row>
    <row r="475" spans="1:22">
      <c r="A475" s="92"/>
      <c r="B475" s="146"/>
      <c r="C475" s="136"/>
      <c r="D475" s="109">
        <f>0.23-0.05</f>
        <v>0.18</v>
      </c>
      <c r="E475" s="138"/>
      <c r="F475" s="139"/>
      <c r="G475" s="98"/>
      <c r="H475" s="99"/>
      <c r="I475" s="99"/>
      <c r="J475" s="100"/>
      <c r="K475" s="99"/>
      <c r="L475" s="99"/>
      <c r="M475" s="99"/>
      <c r="N475" s="99"/>
      <c r="O475" s="112"/>
      <c r="P475" s="140" t="str">
        <f t="shared" si="70"/>
        <v/>
      </c>
      <c r="Q475" s="140" t="str">
        <f t="shared" si="71"/>
        <v/>
      </c>
      <c r="R475" s="140" t="str">
        <f t="shared" si="72"/>
        <v/>
      </c>
      <c r="S475" s="140" t="str">
        <f t="shared" si="73"/>
        <v/>
      </c>
      <c r="T475" s="140" t="str">
        <f t="shared" si="74"/>
        <v/>
      </c>
      <c r="U475" s="140" t="str">
        <f t="shared" si="75"/>
        <v/>
      </c>
      <c r="V475" s="99"/>
    </row>
    <row r="476" spans="1:22">
      <c r="A476" s="92"/>
      <c r="B476" s="141"/>
      <c r="C476" s="136"/>
      <c r="D476" s="137"/>
      <c r="E476" s="138"/>
      <c r="F476" s="139"/>
      <c r="G476" s="98"/>
      <c r="H476" s="99"/>
      <c r="I476" s="99"/>
      <c r="J476" s="109"/>
      <c r="K476" s="110"/>
      <c r="L476" s="111"/>
      <c r="M476" s="99"/>
      <c r="N476" s="112"/>
      <c r="O476" s="112"/>
      <c r="P476" s="140"/>
      <c r="Q476" s="140"/>
      <c r="R476" s="140"/>
      <c r="S476" s="140"/>
      <c r="T476" s="140"/>
      <c r="U476" s="140"/>
      <c r="V476" s="99"/>
    </row>
    <row r="477" spans="1:22">
      <c r="A477" s="92"/>
      <c r="B477" s="92"/>
      <c r="C477" s="145">
        <v>0.08</v>
      </c>
      <c r="D477" s="137"/>
      <c r="E477" s="138"/>
      <c r="F477" s="139"/>
      <c r="G477" s="98"/>
      <c r="H477" s="99"/>
      <c r="I477" s="99"/>
      <c r="J477" s="100"/>
      <c r="K477" s="99"/>
      <c r="L477" s="99"/>
      <c r="M477" s="99"/>
      <c r="N477" s="99"/>
      <c r="O477" s="101"/>
      <c r="P477" s="140" t="str">
        <f t="shared" si="70"/>
        <v/>
      </c>
      <c r="Q477" s="140" t="str">
        <f t="shared" si="71"/>
        <v/>
      </c>
      <c r="R477" s="140" t="str">
        <f t="shared" si="72"/>
        <v/>
      </c>
      <c r="S477" s="140" t="str">
        <f t="shared" si="73"/>
        <v/>
      </c>
      <c r="T477" s="140" t="str">
        <f t="shared" si="74"/>
        <v/>
      </c>
      <c r="U477" s="140" t="str">
        <f t="shared" si="75"/>
        <v/>
      </c>
      <c r="V477" s="99"/>
    </row>
    <row r="478" spans="1:22">
      <c r="A478" s="92"/>
      <c r="B478" s="146" t="s">
        <v>384</v>
      </c>
      <c r="C478" s="147"/>
      <c r="D478" s="137"/>
      <c r="E478" s="148">
        <f>((3.445-0.05-0.016)/23)+0.016+0.02</f>
        <v>0.18291304347826084</v>
      </c>
      <c r="F478" s="139"/>
      <c r="G478" s="98">
        <v>10</v>
      </c>
      <c r="H478" s="99">
        <v>1</v>
      </c>
      <c r="I478" s="99">
        <v>4</v>
      </c>
      <c r="J478" s="149">
        <f>2*(D480+E478)+2*8*G478/1000</f>
        <v>0.88582608695652165</v>
      </c>
      <c r="K478" s="99"/>
      <c r="L478" s="99">
        <v>5</v>
      </c>
      <c r="M478" s="112">
        <f>2*G478*L478/1000</f>
        <v>0.1</v>
      </c>
      <c r="N478" s="112">
        <f>(J478+K478-M478)</f>
        <v>0.78582608695652167</v>
      </c>
      <c r="O478" s="112">
        <f>(H478*I478*N478)</f>
        <v>3.1433043478260867</v>
      </c>
      <c r="P478" s="140" t="str">
        <f t="shared" si="70"/>
        <v/>
      </c>
      <c r="Q478" s="140">
        <f t="shared" si="71"/>
        <v>3.1433043478260867</v>
      </c>
      <c r="R478" s="140" t="str">
        <f t="shared" si="72"/>
        <v/>
      </c>
      <c r="S478" s="140" t="str">
        <f t="shared" si="73"/>
        <v/>
      </c>
      <c r="T478" s="140" t="str">
        <f t="shared" si="74"/>
        <v/>
      </c>
      <c r="U478" s="140" t="str">
        <f t="shared" si="75"/>
        <v/>
      </c>
      <c r="V478" s="99"/>
    </row>
    <row r="479" spans="1:22">
      <c r="A479" s="92"/>
      <c r="B479" s="146"/>
      <c r="C479" s="136"/>
      <c r="D479" s="137"/>
      <c r="E479" s="150"/>
      <c r="F479" s="139"/>
      <c r="G479" s="98"/>
      <c r="H479" s="99"/>
      <c r="I479" s="99"/>
      <c r="J479" s="100"/>
      <c r="K479" s="99"/>
      <c r="L479" s="99"/>
      <c r="M479" s="99"/>
      <c r="N479" s="99"/>
      <c r="O479" s="112"/>
      <c r="P479" s="140" t="str">
        <f t="shared" si="70"/>
        <v/>
      </c>
      <c r="Q479" s="140" t="str">
        <f t="shared" si="71"/>
        <v/>
      </c>
      <c r="R479" s="140" t="str">
        <f t="shared" si="72"/>
        <v/>
      </c>
      <c r="S479" s="140" t="str">
        <f t="shared" si="73"/>
        <v/>
      </c>
      <c r="T479" s="140" t="str">
        <f t="shared" si="74"/>
        <v/>
      </c>
      <c r="U479" s="140" t="str">
        <f t="shared" si="75"/>
        <v/>
      </c>
      <c r="V479" s="99"/>
    </row>
    <row r="480" spans="1:22">
      <c r="A480" s="92"/>
      <c r="B480" s="146"/>
      <c r="C480" s="136"/>
      <c r="D480" s="109">
        <f>0.23-0.05</f>
        <v>0.18</v>
      </c>
      <c r="E480" s="138"/>
      <c r="F480" s="139"/>
      <c r="G480" s="98"/>
      <c r="H480" s="99"/>
      <c r="I480" s="99"/>
      <c r="J480" s="100"/>
      <c r="K480" s="99"/>
      <c r="L480" s="99"/>
      <c r="M480" s="99"/>
      <c r="N480" s="99"/>
      <c r="O480" s="112"/>
      <c r="P480" s="140" t="str">
        <f t="shared" si="70"/>
        <v/>
      </c>
      <c r="Q480" s="140" t="str">
        <f t="shared" si="71"/>
        <v/>
      </c>
      <c r="R480" s="140" t="str">
        <f t="shared" si="72"/>
        <v/>
      </c>
      <c r="S480" s="140" t="str">
        <f t="shared" si="73"/>
        <v/>
      </c>
      <c r="T480" s="140" t="str">
        <f t="shared" si="74"/>
        <v/>
      </c>
      <c r="U480" s="140" t="str">
        <f t="shared" si="75"/>
        <v/>
      </c>
      <c r="V480" s="99"/>
    </row>
    <row r="481" spans="1:22">
      <c r="A481" s="92"/>
      <c r="B481" s="141"/>
      <c r="C481" s="136"/>
      <c r="D481" s="137"/>
      <c r="E481" s="138"/>
      <c r="F481" s="139"/>
      <c r="G481" s="98"/>
      <c r="H481" s="99"/>
      <c r="I481" s="99"/>
      <c r="J481" s="100"/>
      <c r="K481" s="99"/>
      <c r="L481" s="99"/>
      <c r="M481" s="99"/>
      <c r="N481" s="99"/>
      <c r="O481" s="101"/>
      <c r="P481" s="140" t="str">
        <f t="shared" si="70"/>
        <v/>
      </c>
      <c r="Q481" s="140" t="str">
        <f t="shared" si="71"/>
        <v/>
      </c>
      <c r="R481" s="140" t="str">
        <f t="shared" si="72"/>
        <v/>
      </c>
      <c r="S481" s="140" t="str">
        <f t="shared" si="73"/>
        <v/>
      </c>
      <c r="T481" s="140" t="str">
        <f t="shared" si="74"/>
        <v/>
      </c>
      <c r="U481" s="140" t="str">
        <f t="shared" si="75"/>
        <v/>
      </c>
      <c r="V481" s="99"/>
    </row>
    <row r="482" spans="1:22">
      <c r="A482" s="92"/>
      <c r="B482" s="141"/>
      <c r="C482" s="136"/>
      <c r="D482" s="137"/>
      <c r="E482" s="144">
        <v>0.08</v>
      </c>
      <c r="F482" s="139"/>
      <c r="G482" s="98"/>
      <c r="H482" s="99"/>
      <c r="I482" s="99"/>
      <c r="J482" s="100"/>
      <c r="K482" s="99"/>
      <c r="L482" s="99"/>
      <c r="M482" s="99"/>
      <c r="N482" s="99"/>
      <c r="O482" s="101"/>
      <c r="P482" s="140" t="str">
        <f t="shared" si="70"/>
        <v/>
      </c>
      <c r="Q482" s="140" t="str">
        <f t="shared" si="71"/>
        <v/>
      </c>
      <c r="R482" s="140" t="str">
        <f t="shared" si="72"/>
        <v/>
      </c>
      <c r="S482" s="140" t="str">
        <f t="shared" si="73"/>
        <v/>
      </c>
      <c r="T482" s="140" t="str">
        <f t="shared" si="74"/>
        <v/>
      </c>
      <c r="U482" s="140" t="str">
        <f t="shared" si="75"/>
        <v/>
      </c>
      <c r="V482" s="99"/>
    </row>
    <row r="483" spans="1:22">
      <c r="A483" s="92"/>
      <c r="B483" s="146" t="s">
        <v>385</v>
      </c>
      <c r="C483" s="136"/>
      <c r="D483" s="142">
        <f>0.23-0.05</f>
        <v>0.18</v>
      </c>
      <c r="E483" s="144"/>
      <c r="F483" s="139"/>
      <c r="G483" s="98">
        <v>10</v>
      </c>
      <c r="H483" s="99">
        <v>1</v>
      </c>
      <c r="I483" s="99">
        <v>7</v>
      </c>
      <c r="J483" s="149">
        <f>D483+E482+E484</f>
        <v>0.34</v>
      </c>
      <c r="K483" s="99"/>
      <c r="L483" s="99">
        <v>2</v>
      </c>
      <c r="M483" s="112">
        <f>2*G483*L483/1000</f>
        <v>0.04</v>
      </c>
      <c r="N483" s="112">
        <f>(J483+K483-M483)</f>
        <v>0.30000000000000004</v>
      </c>
      <c r="O483" s="112">
        <f>(H483*I483*N483)</f>
        <v>2.1000000000000005</v>
      </c>
      <c r="P483" s="140" t="str">
        <f t="shared" si="70"/>
        <v/>
      </c>
      <c r="Q483" s="140">
        <f t="shared" si="71"/>
        <v>2.1000000000000005</v>
      </c>
      <c r="R483" s="140" t="str">
        <f t="shared" si="72"/>
        <v/>
      </c>
      <c r="S483" s="140" t="str">
        <f t="shared" si="73"/>
        <v/>
      </c>
      <c r="T483" s="140" t="str">
        <f t="shared" si="74"/>
        <v/>
      </c>
      <c r="U483" s="140" t="str">
        <f t="shared" si="75"/>
        <v/>
      </c>
      <c r="V483" s="99"/>
    </row>
    <row r="484" spans="1:22">
      <c r="A484" s="92"/>
      <c r="B484" s="141"/>
      <c r="C484" s="136"/>
      <c r="D484" s="137"/>
      <c r="E484" s="144">
        <v>0.08</v>
      </c>
      <c r="F484" s="139"/>
      <c r="G484" s="98"/>
      <c r="H484" s="99"/>
      <c r="I484" s="99"/>
      <c r="J484" s="100"/>
      <c r="K484" s="99"/>
      <c r="L484" s="99"/>
      <c r="M484" s="99"/>
      <c r="N484" s="99"/>
      <c r="O484" s="101"/>
      <c r="P484" s="140" t="str">
        <f t="shared" si="70"/>
        <v/>
      </c>
      <c r="Q484" s="140" t="str">
        <f t="shared" si="71"/>
        <v/>
      </c>
      <c r="R484" s="140" t="str">
        <f t="shared" si="72"/>
        <v/>
      </c>
      <c r="S484" s="140" t="str">
        <f t="shared" si="73"/>
        <v/>
      </c>
      <c r="T484" s="140" t="str">
        <f t="shared" si="74"/>
        <v/>
      </c>
      <c r="U484" s="140" t="str">
        <f t="shared" si="75"/>
        <v/>
      </c>
      <c r="V484" s="99"/>
    </row>
    <row r="485" spans="1:22">
      <c r="A485" s="92"/>
      <c r="B485" s="146"/>
      <c r="C485" s="136"/>
      <c r="D485" s="152"/>
      <c r="E485" s="138"/>
      <c r="F485" s="139"/>
      <c r="G485" s="98"/>
      <c r="H485" s="99"/>
      <c r="I485" s="99"/>
      <c r="J485" s="100"/>
      <c r="K485" s="99"/>
      <c r="L485" s="99"/>
      <c r="M485" s="99"/>
      <c r="N485" s="99"/>
      <c r="O485" s="101"/>
      <c r="P485" s="140" t="str">
        <f t="shared" si="70"/>
        <v/>
      </c>
      <c r="Q485" s="140" t="str">
        <f t="shared" si="71"/>
        <v/>
      </c>
      <c r="R485" s="140" t="str">
        <f t="shared" si="72"/>
        <v/>
      </c>
      <c r="S485" s="140" t="str">
        <f t="shared" si="73"/>
        <v/>
      </c>
      <c r="T485" s="140" t="str">
        <f t="shared" si="74"/>
        <v/>
      </c>
      <c r="U485" s="140" t="str">
        <f t="shared" si="75"/>
        <v/>
      </c>
      <c r="V485" s="99"/>
    </row>
    <row r="486" spans="1:22">
      <c r="A486" s="92">
        <v>18</v>
      </c>
      <c r="B486" s="92" t="s">
        <v>409</v>
      </c>
      <c r="C486" s="136"/>
      <c r="D486" s="137"/>
      <c r="E486" s="138"/>
      <c r="F486" s="139"/>
      <c r="G486" s="98"/>
      <c r="H486" s="99"/>
      <c r="I486" s="99"/>
      <c r="J486" s="109"/>
      <c r="K486" s="112"/>
      <c r="L486" s="112"/>
      <c r="M486" s="99"/>
      <c r="N486" s="112"/>
      <c r="O486" s="112"/>
      <c r="P486" s="140" t="str">
        <f>IF($G486=8,$O486,"")</f>
        <v/>
      </c>
      <c r="Q486" s="140" t="str">
        <f>IF($G486=10,$O486,"")</f>
        <v/>
      </c>
      <c r="R486" s="140" t="str">
        <f>IF($G486=12,$O486,"")</f>
        <v/>
      </c>
      <c r="S486" s="140" t="str">
        <f>IF($G486=16,$O486,"")</f>
        <v/>
      </c>
      <c r="T486" s="140" t="str">
        <f>IF($G486=20,$O486,"")</f>
        <v/>
      </c>
      <c r="U486" s="140" t="str">
        <f>IF($G486=25,$O486,"")</f>
        <v/>
      </c>
      <c r="V486" s="99"/>
    </row>
    <row r="487" spans="1:22">
      <c r="A487" s="92"/>
      <c r="B487" s="141" t="s">
        <v>378</v>
      </c>
      <c r="C487" s="136"/>
      <c r="D487" s="142">
        <f>0.85-0.075-2*0.016</f>
        <v>0.74299999999999999</v>
      </c>
      <c r="E487" s="138"/>
      <c r="F487" s="139"/>
      <c r="G487" s="98">
        <v>16</v>
      </c>
      <c r="H487" s="99">
        <v>1</v>
      </c>
      <c r="I487" s="99">
        <v>8</v>
      </c>
      <c r="J487" s="109">
        <f>D487</f>
        <v>0.74299999999999999</v>
      </c>
      <c r="K487" s="110" t="str">
        <f>IF(N487&lt;12,"0",0.049*G487)</f>
        <v>0</v>
      </c>
      <c r="L487" s="111">
        <v>1</v>
      </c>
      <c r="M487" s="99">
        <f>2*G487*L487/1000</f>
        <v>3.2000000000000001E-2</v>
      </c>
      <c r="N487" s="112">
        <f>J487+E489-M487</f>
        <v>1.0109999999999999</v>
      </c>
      <c r="O487" s="112">
        <f t="shared" ref="O487:O492" si="79">H487*I487*N487</f>
        <v>8.0879999999999992</v>
      </c>
      <c r="P487" s="140" t="str">
        <f t="shared" si="70"/>
        <v/>
      </c>
      <c r="Q487" s="140" t="str">
        <f t="shared" si="71"/>
        <v/>
      </c>
      <c r="R487" s="140" t="str">
        <f t="shared" si="72"/>
        <v/>
      </c>
      <c r="S487" s="140">
        <f t="shared" si="73"/>
        <v>8.0879999999999992</v>
      </c>
      <c r="T487" s="140" t="str">
        <f t="shared" si="74"/>
        <v/>
      </c>
      <c r="U487" s="140" t="str">
        <f t="shared" si="75"/>
        <v/>
      </c>
      <c r="V487" s="99"/>
    </row>
    <row r="488" spans="1:22">
      <c r="A488" s="92"/>
      <c r="B488" s="141" t="s">
        <v>379</v>
      </c>
      <c r="C488" s="136"/>
      <c r="D488" s="137"/>
      <c r="E488" s="138"/>
      <c r="F488" s="139"/>
      <c r="G488" s="98">
        <v>16</v>
      </c>
      <c r="H488" s="99">
        <v>1</v>
      </c>
      <c r="I488" s="99">
        <v>8</v>
      </c>
      <c r="J488" s="109">
        <f>D487</f>
        <v>0.74299999999999999</v>
      </c>
      <c r="K488" s="110" t="str">
        <f t="shared" ref="K488:K492" si="80">IF(N488&lt;12,"0",0.049*G488)</f>
        <v>0</v>
      </c>
      <c r="L488" s="111">
        <v>1</v>
      </c>
      <c r="M488" s="99">
        <f t="shared" ref="M488:M492" si="81">2*G488*L488/1000</f>
        <v>3.2000000000000001E-2</v>
      </c>
      <c r="N488" s="112">
        <f>J488+E489-M488</f>
        <v>1.0109999999999999</v>
      </c>
      <c r="O488" s="112">
        <f t="shared" si="79"/>
        <v>8.0879999999999992</v>
      </c>
      <c r="P488" s="140" t="str">
        <f t="shared" si="70"/>
        <v/>
      </c>
      <c r="Q488" s="140" t="str">
        <f t="shared" si="71"/>
        <v/>
      </c>
      <c r="R488" s="140" t="str">
        <f t="shared" si="72"/>
        <v/>
      </c>
      <c r="S488" s="140">
        <f t="shared" si="73"/>
        <v>8.0879999999999992</v>
      </c>
      <c r="T488" s="140" t="str">
        <f t="shared" si="74"/>
        <v/>
      </c>
      <c r="U488" s="140" t="str">
        <f t="shared" si="75"/>
        <v/>
      </c>
      <c r="V488" s="99"/>
    </row>
    <row r="489" spans="1:22">
      <c r="A489" s="92"/>
      <c r="B489" s="141" t="s">
        <v>380</v>
      </c>
      <c r="C489" s="143"/>
      <c r="D489" s="142"/>
      <c r="E489" s="144">
        <v>0.3</v>
      </c>
      <c r="F489" s="139"/>
      <c r="G489" s="98">
        <v>12</v>
      </c>
      <c r="H489" s="99">
        <v>1</v>
      </c>
      <c r="I489" s="99">
        <v>8</v>
      </c>
      <c r="J489" s="109">
        <f>D487</f>
        <v>0.74299999999999999</v>
      </c>
      <c r="K489" s="110" t="str">
        <f t="shared" si="80"/>
        <v>0</v>
      </c>
      <c r="L489" s="111">
        <v>1</v>
      </c>
      <c r="M489" s="99">
        <f t="shared" si="81"/>
        <v>2.4E-2</v>
      </c>
      <c r="N489" s="112">
        <f>J489+E489-M489</f>
        <v>1.0189999999999999</v>
      </c>
      <c r="O489" s="112">
        <f t="shared" si="79"/>
        <v>8.1519999999999992</v>
      </c>
      <c r="P489" s="140" t="str">
        <f t="shared" si="70"/>
        <v/>
      </c>
      <c r="Q489" s="140" t="str">
        <f t="shared" si="71"/>
        <v/>
      </c>
      <c r="R489" s="140">
        <f t="shared" si="72"/>
        <v>8.1519999999999992</v>
      </c>
      <c r="S489" s="140" t="str">
        <f t="shared" si="73"/>
        <v/>
      </c>
      <c r="T489" s="140" t="str">
        <f t="shared" si="74"/>
        <v/>
      </c>
      <c r="U489" s="140" t="str">
        <f t="shared" si="75"/>
        <v/>
      </c>
      <c r="V489" s="99"/>
    </row>
    <row r="490" spans="1:22">
      <c r="A490" s="92"/>
      <c r="B490" s="141" t="s">
        <v>381</v>
      </c>
      <c r="C490" s="136"/>
      <c r="D490" s="137"/>
      <c r="E490" s="138"/>
      <c r="F490" s="139"/>
      <c r="G490" s="98">
        <v>12</v>
      </c>
      <c r="H490" s="99">
        <v>1</v>
      </c>
      <c r="I490" s="99">
        <v>8</v>
      </c>
      <c r="J490" s="109">
        <f>D487</f>
        <v>0.74299999999999999</v>
      </c>
      <c r="K490" s="110" t="str">
        <f t="shared" si="80"/>
        <v>0</v>
      </c>
      <c r="L490" s="111">
        <v>1</v>
      </c>
      <c r="M490" s="99">
        <f t="shared" si="81"/>
        <v>2.4E-2</v>
      </c>
      <c r="N490" s="112">
        <f>J490+E489-M490</f>
        <v>1.0189999999999999</v>
      </c>
      <c r="O490" s="112">
        <f t="shared" si="79"/>
        <v>8.1519999999999992</v>
      </c>
      <c r="P490" s="140" t="str">
        <f t="shared" si="70"/>
        <v/>
      </c>
      <c r="Q490" s="140" t="str">
        <f t="shared" si="71"/>
        <v/>
      </c>
      <c r="R490" s="140">
        <f t="shared" si="72"/>
        <v>8.1519999999999992</v>
      </c>
      <c r="S490" s="140" t="str">
        <f t="shared" si="73"/>
        <v/>
      </c>
      <c r="T490" s="140" t="str">
        <f t="shared" si="74"/>
        <v/>
      </c>
      <c r="U490" s="140" t="str">
        <f t="shared" si="75"/>
        <v/>
      </c>
      <c r="V490" s="99"/>
    </row>
    <row r="491" spans="1:22">
      <c r="A491" s="92"/>
      <c r="B491" s="141" t="s">
        <v>389</v>
      </c>
      <c r="C491" s="136"/>
      <c r="D491" s="137"/>
      <c r="E491" s="138"/>
      <c r="F491" s="139"/>
      <c r="G491" s="98">
        <v>12</v>
      </c>
      <c r="H491" s="99">
        <v>1</v>
      </c>
      <c r="I491" s="99">
        <v>8</v>
      </c>
      <c r="J491" s="109">
        <f>D487</f>
        <v>0.74299999999999999</v>
      </c>
      <c r="K491" s="110" t="str">
        <f t="shared" si="80"/>
        <v>0</v>
      </c>
      <c r="L491" s="111">
        <v>1</v>
      </c>
      <c r="M491" s="99">
        <f t="shared" si="81"/>
        <v>2.4E-2</v>
      </c>
      <c r="N491" s="112">
        <f>J491+E489-M491</f>
        <v>1.0189999999999999</v>
      </c>
      <c r="O491" s="112">
        <f t="shared" si="79"/>
        <v>8.1519999999999992</v>
      </c>
      <c r="P491" s="140" t="str">
        <f t="shared" si="70"/>
        <v/>
      </c>
      <c r="Q491" s="140" t="str">
        <f t="shared" si="71"/>
        <v/>
      </c>
      <c r="R491" s="140">
        <f t="shared" si="72"/>
        <v>8.1519999999999992</v>
      </c>
      <c r="S491" s="140" t="str">
        <f t="shared" si="73"/>
        <v/>
      </c>
      <c r="T491" s="140" t="str">
        <f t="shared" si="74"/>
        <v/>
      </c>
      <c r="U491" s="140" t="str">
        <f t="shared" si="75"/>
        <v/>
      </c>
      <c r="V491" s="99"/>
    </row>
    <row r="492" spans="1:22">
      <c r="A492" s="92"/>
      <c r="B492" s="141" t="s">
        <v>401</v>
      </c>
      <c r="C492" s="136"/>
      <c r="D492" s="137"/>
      <c r="E492" s="138"/>
      <c r="F492" s="139"/>
      <c r="G492" s="98">
        <v>10</v>
      </c>
      <c r="H492" s="99">
        <v>1</v>
      </c>
      <c r="I492" s="99">
        <v>20</v>
      </c>
      <c r="J492" s="109">
        <f>D487</f>
        <v>0.74299999999999999</v>
      </c>
      <c r="K492" s="110" t="str">
        <f t="shared" si="80"/>
        <v>0</v>
      </c>
      <c r="L492" s="111">
        <v>1</v>
      </c>
      <c r="M492" s="99">
        <f t="shared" si="81"/>
        <v>0.02</v>
      </c>
      <c r="N492" s="112">
        <f>J492+E489-M492</f>
        <v>1.0229999999999999</v>
      </c>
      <c r="O492" s="112">
        <f t="shared" si="79"/>
        <v>20.459999999999997</v>
      </c>
      <c r="P492" s="140" t="str">
        <f t="shared" si="70"/>
        <v/>
      </c>
      <c r="Q492" s="140">
        <f t="shared" si="71"/>
        <v>20.459999999999997</v>
      </c>
      <c r="R492" s="140" t="str">
        <f t="shared" si="72"/>
        <v/>
      </c>
      <c r="S492" s="140" t="str">
        <f t="shared" si="73"/>
        <v/>
      </c>
      <c r="T492" s="140" t="str">
        <f t="shared" si="74"/>
        <v/>
      </c>
      <c r="U492" s="140" t="str">
        <f t="shared" si="75"/>
        <v/>
      </c>
      <c r="V492" s="99"/>
    </row>
    <row r="493" spans="1:22">
      <c r="A493" s="92"/>
      <c r="B493" s="141"/>
      <c r="C493" s="136"/>
      <c r="D493" s="137"/>
      <c r="E493" s="138"/>
      <c r="F493" s="139"/>
      <c r="G493" s="98"/>
      <c r="H493" s="99"/>
      <c r="I493" s="99"/>
      <c r="J493" s="109"/>
      <c r="K493" s="110"/>
      <c r="L493" s="111"/>
      <c r="M493" s="99"/>
      <c r="N493" s="112"/>
      <c r="O493" s="112"/>
      <c r="P493" s="140"/>
      <c r="Q493" s="140"/>
      <c r="R493" s="140"/>
      <c r="S493" s="140"/>
      <c r="T493" s="140"/>
      <c r="U493" s="140"/>
      <c r="V493" s="99"/>
    </row>
    <row r="494" spans="1:22">
      <c r="A494" s="92"/>
      <c r="B494" s="92"/>
      <c r="C494" s="145">
        <v>0.08</v>
      </c>
      <c r="D494" s="137"/>
      <c r="E494" s="138"/>
      <c r="F494" s="139"/>
      <c r="G494" s="98"/>
      <c r="H494" s="99"/>
      <c r="I494" s="99"/>
      <c r="J494" s="100"/>
      <c r="K494" s="99"/>
      <c r="L494" s="99"/>
      <c r="M494" s="99"/>
      <c r="N494" s="99"/>
      <c r="O494" s="101"/>
      <c r="P494" s="140" t="str">
        <f t="shared" si="70"/>
        <v/>
      </c>
      <c r="Q494" s="140" t="str">
        <f t="shared" si="71"/>
        <v/>
      </c>
      <c r="R494" s="140" t="str">
        <f t="shared" si="72"/>
        <v/>
      </c>
      <c r="S494" s="140" t="str">
        <f t="shared" si="73"/>
        <v/>
      </c>
      <c r="T494" s="140" t="str">
        <f t="shared" si="74"/>
        <v/>
      </c>
      <c r="U494" s="140" t="str">
        <f t="shared" si="75"/>
        <v/>
      </c>
      <c r="V494" s="99"/>
    </row>
    <row r="495" spans="1:22">
      <c r="A495" s="92"/>
      <c r="B495" s="146" t="s">
        <v>382</v>
      </c>
      <c r="C495" s="147"/>
      <c r="D495" s="137"/>
      <c r="E495" s="148">
        <f>((4.065-0.05-0.016)/29)*9+0.016+0.02</f>
        <v>1.2770689655172416</v>
      </c>
      <c r="F495" s="139"/>
      <c r="G495" s="98">
        <v>10</v>
      </c>
      <c r="H495" s="99">
        <v>1</v>
      </c>
      <c r="I495" s="99">
        <f>4*2</f>
        <v>8</v>
      </c>
      <c r="J495" s="149">
        <f>2*(D497+E495)+2*8*G495/1000</f>
        <v>3.0741379310344832</v>
      </c>
      <c r="K495" s="99"/>
      <c r="L495" s="99">
        <v>5</v>
      </c>
      <c r="M495" s="112">
        <f>2*G495*L495/1000</f>
        <v>0.1</v>
      </c>
      <c r="N495" s="112">
        <f>(J495+K495-M495)</f>
        <v>2.9741379310344831</v>
      </c>
      <c r="O495" s="112">
        <f>(H495*I495*N495)</f>
        <v>23.793103448275865</v>
      </c>
      <c r="P495" s="140" t="str">
        <f t="shared" si="70"/>
        <v/>
      </c>
      <c r="Q495" s="140">
        <f t="shared" si="71"/>
        <v>23.793103448275865</v>
      </c>
      <c r="R495" s="140" t="str">
        <f t="shared" si="72"/>
        <v/>
      </c>
      <c r="S495" s="140" t="str">
        <f t="shared" si="73"/>
        <v/>
      </c>
      <c r="T495" s="140" t="str">
        <f t="shared" si="74"/>
        <v/>
      </c>
      <c r="U495" s="140" t="str">
        <f t="shared" si="75"/>
        <v/>
      </c>
      <c r="V495" s="99"/>
    </row>
    <row r="496" spans="1:22">
      <c r="A496" s="92"/>
      <c r="B496" s="146"/>
      <c r="C496" s="136"/>
      <c r="D496" s="137"/>
      <c r="E496" s="150"/>
      <c r="F496" s="139"/>
      <c r="G496" s="98"/>
      <c r="H496" s="99"/>
      <c r="I496" s="99"/>
      <c r="J496" s="100"/>
      <c r="K496" s="99"/>
      <c r="L496" s="99"/>
      <c r="M496" s="99"/>
      <c r="N496" s="99"/>
      <c r="O496" s="112"/>
      <c r="P496" s="140" t="str">
        <f t="shared" si="70"/>
        <v/>
      </c>
      <c r="Q496" s="140" t="str">
        <f t="shared" si="71"/>
        <v/>
      </c>
      <c r="R496" s="140" t="str">
        <f t="shared" si="72"/>
        <v/>
      </c>
      <c r="S496" s="140" t="str">
        <f t="shared" si="73"/>
        <v/>
      </c>
      <c r="T496" s="140" t="str">
        <f t="shared" si="74"/>
        <v/>
      </c>
      <c r="U496" s="140" t="str">
        <f t="shared" si="75"/>
        <v/>
      </c>
      <c r="V496" s="99"/>
    </row>
    <row r="497" spans="1:22">
      <c r="A497" s="92"/>
      <c r="B497" s="146"/>
      <c r="C497" s="136"/>
      <c r="D497" s="109">
        <f>0.23-0.05</f>
        <v>0.18</v>
      </c>
      <c r="E497" s="138"/>
      <c r="F497" s="139"/>
      <c r="G497" s="98"/>
      <c r="H497" s="99"/>
      <c r="I497" s="99"/>
      <c r="J497" s="100"/>
      <c r="K497" s="99"/>
      <c r="L497" s="99"/>
      <c r="M497" s="99"/>
      <c r="N497" s="99"/>
      <c r="O497" s="112"/>
      <c r="P497" s="140" t="str">
        <f t="shared" si="70"/>
        <v/>
      </c>
      <c r="Q497" s="140" t="str">
        <f t="shared" si="71"/>
        <v/>
      </c>
      <c r="R497" s="140" t="str">
        <f t="shared" si="72"/>
        <v/>
      </c>
      <c r="S497" s="140" t="str">
        <f t="shared" si="73"/>
        <v/>
      </c>
      <c r="T497" s="140" t="str">
        <f t="shared" si="74"/>
        <v/>
      </c>
      <c r="U497" s="140" t="str">
        <f t="shared" si="75"/>
        <v/>
      </c>
      <c r="V497" s="99"/>
    </row>
    <row r="498" spans="1:22">
      <c r="A498" s="92"/>
      <c r="B498" s="141"/>
      <c r="C498" s="136"/>
      <c r="D498" s="137"/>
      <c r="E498" s="138"/>
      <c r="F498" s="139"/>
      <c r="G498" s="98"/>
      <c r="H498" s="99"/>
      <c r="I498" s="99"/>
      <c r="J498" s="109"/>
      <c r="K498" s="110"/>
      <c r="L498" s="111"/>
      <c r="M498" s="99"/>
      <c r="N498" s="112"/>
      <c r="O498" s="112"/>
      <c r="P498" s="140"/>
      <c r="Q498" s="140"/>
      <c r="R498" s="140"/>
      <c r="S498" s="140"/>
      <c r="T498" s="140"/>
      <c r="U498" s="140"/>
      <c r="V498" s="99"/>
    </row>
    <row r="499" spans="1:22">
      <c r="A499" s="92"/>
      <c r="B499" s="92"/>
      <c r="C499" s="145">
        <v>0.08</v>
      </c>
      <c r="D499" s="137"/>
      <c r="E499" s="138"/>
      <c r="F499" s="139"/>
      <c r="G499" s="98"/>
      <c r="H499" s="99"/>
      <c r="I499" s="99"/>
      <c r="J499" s="100"/>
      <c r="K499" s="99"/>
      <c r="L499" s="99"/>
      <c r="M499" s="99"/>
      <c r="N499" s="99"/>
      <c r="O499" s="101"/>
      <c r="P499" s="140" t="str">
        <f t="shared" si="70"/>
        <v/>
      </c>
      <c r="Q499" s="140" t="str">
        <f t="shared" si="71"/>
        <v/>
      </c>
      <c r="R499" s="140" t="str">
        <f t="shared" si="72"/>
        <v/>
      </c>
      <c r="S499" s="140" t="str">
        <f t="shared" si="73"/>
        <v/>
      </c>
      <c r="T499" s="140" t="str">
        <f t="shared" si="74"/>
        <v/>
      </c>
      <c r="U499" s="140" t="str">
        <f t="shared" si="75"/>
        <v/>
      </c>
      <c r="V499" s="99"/>
    </row>
    <row r="500" spans="1:22">
      <c r="A500" s="92"/>
      <c r="B500" s="146" t="s">
        <v>383</v>
      </c>
      <c r="C500" s="147"/>
      <c r="D500" s="137"/>
      <c r="E500" s="148">
        <f>((4.065-0.05-0.016)/29)*11+0.016+0.02</f>
        <v>1.5528620689655175</v>
      </c>
      <c r="F500" s="139"/>
      <c r="G500" s="98">
        <v>10</v>
      </c>
      <c r="H500" s="99">
        <v>1</v>
      </c>
      <c r="I500" s="99">
        <v>4</v>
      </c>
      <c r="J500" s="149">
        <f>2*(D502+E500)+2*8*G500/1000</f>
        <v>3.625724137931035</v>
      </c>
      <c r="K500" s="99"/>
      <c r="L500" s="99">
        <v>5</v>
      </c>
      <c r="M500" s="112">
        <f>2*G500*L500/1000</f>
        <v>0.1</v>
      </c>
      <c r="N500" s="112">
        <f>(J500+K500-M500)</f>
        <v>3.5257241379310349</v>
      </c>
      <c r="O500" s="112">
        <f>(H500*I500*N500)</f>
        <v>14.10289655172414</v>
      </c>
      <c r="P500" s="140" t="str">
        <f t="shared" si="70"/>
        <v/>
      </c>
      <c r="Q500" s="140">
        <f t="shared" si="71"/>
        <v>14.10289655172414</v>
      </c>
      <c r="R500" s="140" t="str">
        <f t="shared" si="72"/>
        <v/>
      </c>
      <c r="S500" s="140" t="str">
        <f t="shared" si="73"/>
        <v/>
      </c>
      <c r="T500" s="140" t="str">
        <f t="shared" si="74"/>
        <v/>
      </c>
      <c r="U500" s="140" t="str">
        <f t="shared" si="75"/>
        <v/>
      </c>
      <c r="V500" s="99"/>
    </row>
    <row r="501" spans="1:22">
      <c r="A501" s="92"/>
      <c r="B501" s="146"/>
      <c r="C501" s="136"/>
      <c r="D501" s="137"/>
      <c r="E501" s="150"/>
      <c r="F501" s="139"/>
      <c r="G501" s="98"/>
      <c r="H501" s="99"/>
      <c r="I501" s="99"/>
      <c r="J501" s="100"/>
      <c r="K501" s="99"/>
      <c r="L501" s="99"/>
      <c r="M501" s="99"/>
      <c r="N501" s="99"/>
      <c r="O501" s="112"/>
      <c r="P501" s="140" t="str">
        <f t="shared" si="70"/>
        <v/>
      </c>
      <c r="Q501" s="140" t="str">
        <f t="shared" si="71"/>
        <v/>
      </c>
      <c r="R501" s="140" t="str">
        <f t="shared" si="72"/>
        <v/>
      </c>
      <c r="S501" s="140" t="str">
        <f t="shared" si="73"/>
        <v/>
      </c>
      <c r="T501" s="140" t="str">
        <f t="shared" si="74"/>
        <v/>
      </c>
      <c r="U501" s="140" t="str">
        <f t="shared" si="75"/>
        <v/>
      </c>
      <c r="V501" s="99"/>
    </row>
    <row r="502" spans="1:22">
      <c r="A502" s="92"/>
      <c r="B502" s="146"/>
      <c r="C502" s="136"/>
      <c r="D502" s="109">
        <f>0.23-0.05</f>
        <v>0.18</v>
      </c>
      <c r="E502" s="138"/>
      <c r="F502" s="139"/>
      <c r="G502" s="98"/>
      <c r="H502" s="99"/>
      <c r="I502" s="99"/>
      <c r="J502" s="100"/>
      <c r="K502" s="99"/>
      <c r="L502" s="99"/>
      <c r="M502" s="99"/>
      <c r="N502" s="99"/>
      <c r="O502" s="112"/>
      <c r="P502" s="140" t="str">
        <f t="shared" si="70"/>
        <v/>
      </c>
      <c r="Q502" s="140" t="str">
        <f t="shared" si="71"/>
        <v/>
      </c>
      <c r="R502" s="140" t="str">
        <f t="shared" si="72"/>
        <v/>
      </c>
      <c r="S502" s="140" t="str">
        <f t="shared" si="73"/>
        <v/>
      </c>
      <c r="T502" s="140" t="str">
        <f t="shared" si="74"/>
        <v/>
      </c>
      <c r="U502" s="140" t="str">
        <f t="shared" si="75"/>
        <v/>
      </c>
      <c r="V502" s="99"/>
    </row>
    <row r="503" spans="1:22">
      <c r="A503" s="92"/>
      <c r="B503" s="141"/>
      <c r="C503" s="136"/>
      <c r="D503" s="137"/>
      <c r="E503" s="138"/>
      <c r="F503" s="139"/>
      <c r="G503" s="98"/>
      <c r="H503" s="99"/>
      <c r="I503" s="99"/>
      <c r="J503" s="109"/>
      <c r="K503" s="110"/>
      <c r="L503" s="111"/>
      <c r="M503" s="99"/>
      <c r="N503" s="112"/>
      <c r="O503" s="112"/>
      <c r="P503" s="140"/>
      <c r="Q503" s="140"/>
      <c r="R503" s="140"/>
      <c r="S503" s="140"/>
      <c r="T503" s="140"/>
      <c r="U503" s="140"/>
      <c r="V503" s="99"/>
    </row>
    <row r="504" spans="1:22">
      <c r="A504" s="92"/>
      <c r="B504" s="92"/>
      <c r="C504" s="145">
        <v>0.08</v>
      </c>
      <c r="D504" s="137"/>
      <c r="E504" s="138"/>
      <c r="F504" s="139"/>
      <c r="G504" s="98"/>
      <c r="H504" s="99"/>
      <c r="I504" s="99"/>
      <c r="J504" s="100"/>
      <c r="K504" s="99"/>
      <c r="L504" s="99"/>
      <c r="M504" s="99"/>
      <c r="N504" s="99"/>
      <c r="O504" s="101"/>
      <c r="P504" s="140" t="str">
        <f t="shared" si="70"/>
        <v/>
      </c>
      <c r="Q504" s="140" t="str">
        <f t="shared" si="71"/>
        <v/>
      </c>
      <c r="R504" s="140" t="str">
        <f t="shared" si="72"/>
        <v/>
      </c>
      <c r="S504" s="140" t="str">
        <f t="shared" si="73"/>
        <v/>
      </c>
      <c r="T504" s="140" t="str">
        <f t="shared" si="74"/>
        <v/>
      </c>
      <c r="U504" s="140" t="str">
        <f t="shared" si="75"/>
        <v/>
      </c>
      <c r="V504" s="99"/>
    </row>
    <row r="505" spans="1:22">
      <c r="A505" s="92"/>
      <c r="B505" s="146" t="s">
        <v>384</v>
      </c>
      <c r="C505" s="147"/>
      <c r="D505" s="137"/>
      <c r="E505" s="148">
        <f>((4.065-0.05-0.016)/29)+0.016+0.02</f>
        <v>0.17389655172413795</v>
      </c>
      <c r="F505" s="139"/>
      <c r="G505" s="98">
        <v>10</v>
      </c>
      <c r="H505" s="99">
        <v>1</v>
      </c>
      <c r="I505" s="99">
        <v>8</v>
      </c>
      <c r="J505" s="149">
        <f>2*(D507+E505)+2*8*G505/1000</f>
        <v>0.86779310344827587</v>
      </c>
      <c r="K505" s="99"/>
      <c r="L505" s="99">
        <v>5</v>
      </c>
      <c r="M505" s="112">
        <f>2*G505*L505/1000</f>
        <v>0.1</v>
      </c>
      <c r="N505" s="112">
        <f>(J505+K505-M505)</f>
        <v>0.76779310344827589</v>
      </c>
      <c r="O505" s="112">
        <f>(H505*I505*N505)</f>
        <v>6.1423448275862071</v>
      </c>
      <c r="P505" s="140" t="str">
        <f t="shared" si="70"/>
        <v/>
      </c>
      <c r="Q505" s="140">
        <f t="shared" si="71"/>
        <v>6.1423448275862071</v>
      </c>
      <c r="R505" s="140" t="str">
        <f t="shared" si="72"/>
        <v/>
      </c>
      <c r="S505" s="140" t="str">
        <f t="shared" si="73"/>
        <v/>
      </c>
      <c r="T505" s="140" t="str">
        <f t="shared" si="74"/>
        <v/>
      </c>
      <c r="U505" s="140" t="str">
        <f t="shared" si="75"/>
        <v/>
      </c>
      <c r="V505" s="99"/>
    </row>
    <row r="506" spans="1:22">
      <c r="A506" s="92"/>
      <c r="B506" s="146"/>
      <c r="C506" s="136"/>
      <c r="D506" s="137"/>
      <c r="E506" s="150"/>
      <c r="F506" s="139"/>
      <c r="G506" s="98"/>
      <c r="H506" s="99"/>
      <c r="I506" s="99"/>
      <c r="J506" s="100"/>
      <c r="K506" s="99"/>
      <c r="L506" s="99"/>
      <c r="M506" s="99"/>
      <c r="N506" s="99"/>
      <c r="O506" s="112"/>
      <c r="P506" s="140" t="str">
        <f t="shared" si="70"/>
        <v/>
      </c>
      <c r="Q506" s="140" t="str">
        <f t="shared" si="71"/>
        <v/>
      </c>
      <c r="R506" s="140" t="str">
        <f t="shared" si="72"/>
        <v/>
      </c>
      <c r="S506" s="140" t="str">
        <f t="shared" si="73"/>
        <v/>
      </c>
      <c r="T506" s="140" t="str">
        <f t="shared" si="74"/>
        <v/>
      </c>
      <c r="U506" s="140" t="str">
        <f t="shared" si="75"/>
        <v/>
      </c>
      <c r="V506" s="99"/>
    </row>
    <row r="507" spans="1:22">
      <c r="A507" s="92"/>
      <c r="B507" s="146"/>
      <c r="C507" s="136"/>
      <c r="D507" s="109">
        <f>0.23-0.05</f>
        <v>0.18</v>
      </c>
      <c r="E507" s="138"/>
      <c r="F507" s="139"/>
      <c r="G507" s="98"/>
      <c r="H507" s="99"/>
      <c r="I507" s="99"/>
      <c r="J507" s="100"/>
      <c r="K507" s="99"/>
      <c r="L507" s="99"/>
      <c r="M507" s="99"/>
      <c r="N507" s="99"/>
      <c r="O507" s="112"/>
      <c r="P507" s="140" t="str">
        <f t="shared" si="70"/>
        <v/>
      </c>
      <c r="Q507" s="140" t="str">
        <f t="shared" si="71"/>
        <v/>
      </c>
      <c r="R507" s="140" t="str">
        <f t="shared" si="72"/>
        <v/>
      </c>
      <c r="S507" s="140" t="str">
        <f t="shared" si="73"/>
        <v/>
      </c>
      <c r="T507" s="140" t="str">
        <f t="shared" si="74"/>
        <v/>
      </c>
      <c r="U507" s="140" t="str">
        <f t="shared" si="75"/>
        <v/>
      </c>
      <c r="V507" s="99"/>
    </row>
    <row r="508" spans="1:22">
      <c r="A508" s="92"/>
      <c r="B508" s="141"/>
      <c r="C508" s="136"/>
      <c r="D508" s="137"/>
      <c r="E508" s="138"/>
      <c r="F508" s="139"/>
      <c r="G508" s="98"/>
      <c r="H508" s="99"/>
      <c r="I508" s="99"/>
      <c r="J508" s="100"/>
      <c r="K508" s="99"/>
      <c r="L508" s="99"/>
      <c r="M508" s="99"/>
      <c r="N508" s="99"/>
      <c r="O508" s="101"/>
      <c r="P508" s="140" t="str">
        <f t="shared" si="70"/>
        <v/>
      </c>
      <c r="Q508" s="140" t="str">
        <f t="shared" si="71"/>
        <v/>
      </c>
      <c r="R508" s="140" t="str">
        <f t="shared" si="72"/>
        <v/>
      </c>
      <c r="S508" s="140" t="str">
        <f t="shared" si="73"/>
        <v/>
      </c>
      <c r="T508" s="140" t="str">
        <f t="shared" si="74"/>
        <v/>
      </c>
      <c r="U508" s="140" t="str">
        <f t="shared" si="75"/>
        <v/>
      </c>
      <c r="V508" s="99"/>
    </row>
    <row r="509" spans="1:22">
      <c r="A509" s="92"/>
      <c r="B509" s="141"/>
      <c r="C509" s="136"/>
      <c r="D509" s="137"/>
      <c r="E509" s="144">
        <v>0.08</v>
      </c>
      <c r="F509" s="139"/>
      <c r="G509" s="98"/>
      <c r="H509" s="99"/>
      <c r="I509" s="99"/>
      <c r="J509" s="100"/>
      <c r="K509" s="99"/>
      <c r="L509" s="99"/>
      <c r="M509" s="99"/>
      <c r="N509" s="99"/>
      <c r="O509" s="101"/>
      <c r="P509" s="140" t="str">
        <f t="shared" si="70"/>
        <v/>
      </c>
      <c r="Q509" s="140" t="str">
        <f t="shared" si="71"/>
        <v/>
      </c>
      <c r="R509" s="140" t="str">
        <f t="shared" si="72"/>
        <v/>
      </c>
      <c r="S509" s="140" t="str">
        <f t="shared" si="73"/>
        <v/>
      </c>
      <c r="T509" s="140" t="str">
        <f t="shared" si="74"/>
        <v/>
      </c>
      <c r="U509" s="140" t="str">
        <f t="shared" si="75"/>
        <v/>
      </c>
      <c r="V509" s="99"/>
    </row>
    <row r="510" spans="1:22">
      <c r="A510" s="92"/>
      <c r="B510" s="146" t="s">
        <v>385</v>
      </c>
      <c r="C510" s="136"/>
      <c r="D510" s="142">
        <f>0.23-0.05</f>
        <v>0.18</v>
      </c>
      <c r="E510" s="144"/>
      <c r="F510" s="139"/>
      <c r="G510" s="98">
        <v>10</v>
      </c>
      <c r="H510" s="99">
        <v>1</v>
      </c>
      <c r="I510" s="99">
        <v>5</v>
      </c>
      <c r="J510" s="149">
        <f>D510+E509+E511</f>
        <v>0.34</v>
      </c>
      <c r="K510" s="99"/>
      <c r="L510" s="99">
        <v>2</v>
      </c>
      <c r="M510" s="112">
        <f>2*G510*L510/1000</f>
        <v>0.04</v>
      </c>
      <c r="N510" s="112">
        <f>(J510+K510-M510)</f>
        <v>0.30000000000000004</v>
      </c>
      <c r="O510" s="112">
        <f>(H510*I510*N510)</f>
        <v>1.5000000000000002</v>
      </c>
      <c r="P510" s="140" t="str">
        <f t="shared" si="70"/>
        <v/>
      </c>
      <c r="Q510" s="140">
        <f t="shared" si="71"/>
        <v>1.5000000000000002</v>
      </c>
      <c r="R510" s="140" t="str">
        <f t="shared" si="72"/>
        <v/>
      </c>
      <c r="S510" s="140" t="str">
        <f t="shared" si="73"/>
        <v/>
      </c>
      <c r="T510" s="140" t="str">
        <f t="shared" si="74"/>
        <v/>
      </c>
      <c r="U510" s="140" t="str">
        <f t="shared" si="75"/>
        <v/>
      </c>
      <c r="V510" s="99"/>
    </row>
    <row r="511" spans="1:22">
      <c r="A511" s="92"/>
      <c r="B511" s="141"/>
      <c r="C511" s="136"/>
      <c r="D511" s="137"/>
      <c r="E511" s="144">
        <v>0.08</v>
      </c>
      <c r="F511" s="139"/>
      <c r="G511" s="98"/>
      <c r="H511" s="99"/>
      <c r="I511" s="99"/>
      <c r="J511" s="100"/>
      <c r="K511" s="99"/>
      <c r="L511" s="99"/>
      <c r="M511" s="99"/>
      <c r="N511" s="99"/>
      <c r="O511" s="101"/>
      <c r="P511" s="140" t="str">
        <f t="shared" si="70"/>
        <v/>
      </c>
      <c r="Q511" s="140" t="str">
        <f t="shared" si="71"/>
        <v/>
      </c>
      <c r="R511" s="140" t="str">
        <f t="shared" si="72"/>
        <v/>
      </c>
      <c r="S511" s="140" t="str">
        <f t="shared" si="73"/>
        <v/>
      </c>
      <c r="T511" s="140" t="str">
        <f t="shared" si="74"/>
        <v/>
      </c>
      <c r="U511" s="140" t="str">
        <f t="shared" si="75"/>
        <v/>
      </c>
      <c r="V511" s="99"/>
    </row>
    <row r="512" spans="1:22">
      <c r="A512" s="92"/>
      <c r="B512" s="146"/>
      <c r="C512" s="136"/>
      <c r="D512" s="152"/>
      <c r="E512" s="138"/>
      <c r="F512" s="139"/>
      <c r="G512" s="98"/>
      <c r="H512" s="99"/>
      <c r="I512" s="99"/>
      <c r="J512" s="100"/>
      <c r="K512" s="99"/>
      <c r="L512" s="99"/>
      <c r="M512" s="99"/>
      <c r="N512" s="99"/>
      <c r="O512" s="101"/>
      <c r="P512" s="140" t="str">
        <f t="shared" si="70"/>
        <v/>
      </c>
      <c r="Q512" s="140" t="str">
        <f t="shared" si="71"/>
        <v/>
      </c>
      <c r="R512" s="140" t="str">
        <f t="shared" si="72"/>
        <v/>
      </c>
      <c r="S512" s="140" t="str">
        <f t="shared" si="73"/>
        <v/>
      </c>
      <c r="T512" s="140" t="str">
        <f t="shared" si="74"/>
        <v/>
      </c>
      <c r="U512" s="140" t="str">
        <f t="shared" si="75"/>
        <v/>
      </c>
      <c r="V512" s="99"/>
    </row>
    <row r="513" spans="1:22">
      <c r="A513" s="92">
        <v>19</v>
      </c>
      <c r="B513" s="92" t="s">
        <v>575</v>
      </c>
      <c r="C513" s="136"/>
      <c r="D513" s="137"/>
      <c r="E513" s="138"/>
      <c r="F513" s="139"/>
      <c r="G513" s="98"/>
      <c r="H513" s="99"/>
      <c r="I513" s="99"/>
      <c r="J513" s="109"/>
      <c r="K513" s="112"/>
      <c r="L513" s="112"/>
      <c r="M513" s="99"/>
      <c r="N513" s="112"/>
      <c r="O513" s="112"/>
      <c r="P513" s="140" t="str">
        <f>IF($G513=8,$O513,"")</f>
        <v/>
      </c>
      <c r="Q513" s="140" t="str">
        <f>IF($G513=10,$O513,"")</f>
        <v/>
      </c>
      <c r="R513" s="140" t="str">
        <f>IF($G513=12,$O513,"")</f>
        <v/>
      </c>
      <c r="S513" s="140" t="str">
        <f>IF($G513=16,$O513,"")</f>
        <v/>
      </c>
      <c r="T513" s="140" t="str">
        <f>IF($G513=20,$O513,"")</f>
        <v/>
      </c>
      <c r="U513" s="140" t="str">
        <f>IF($G513=25,$O513,"")</f>
        <v/>
      </c>
      <c r="V513" s="99"/>
    </row>
    <row r="514" spans="1:22">
      <c r="A514" s="92"/>
      <c r="B514" s="141" t="s">
        <v>378</v>
      </c>
      <c r="C514" s="136"/>
      <c r="D514" s="142">
        <f>0.85-0.075-2*0.016</f>
        <v>0.74299999999999999</v>
      </c>
      <c r="E514" s="138"/>
      <c r="F514" s="139"/>
      <c r="G514" s="98">
        <v>16</v>
      </c>
      <c r="H514" s="99">
        <v>1</v>
      </c>
      <c r="I514" s="99">
        <v>8</v>
      </c>
      <c r="J514" s="109">
        <f>D514</f>
        <v>0.74299999999999999</v>
      </c>
      <c r="K514" s="110" t="str">
        <f>IF(N514&lt;12,"0",0.049*G514)</f>
        <v>0</v>
      </c>
      <c r="L514" s="111">
        <v>1</v>
      </c>
      <c r="M514" s="99">
        <f>2*G514*L514/1000</f>
        <v>3.2000000000000001E-2</v>
      </c>
      <c r="N514" s="112">
        <f>J514+E516-M514</f>
        <v>1.0109999999999999</v>
      </c>
      <c r="O514" s="112">
        <f>H514*I514*N514</f>
        <v>8.0879999999999992</v>
      </c>
      <c r="P514" s="140" t="str">
        <f t="shared" si="70"/>
        <v/>
      </c>
      <c r="Q514" s="140" t="str">
        <f t="shared" si="71"/>
        <v/>
      </c>
      <c r="R514" s="140" t="str">
        <f t="shared" si="72"/>
        <v/>
      </c>
      <c r="S514" s="140">
        <f t="shared" si="73"/>
        <v>8.0879999999999992</v>
      </c>
      <c r="T514" s="140" t="str">
        <f t="shared" si="74"/>
        <v/>
      </c>
      <c r="U514" s="140" t="str">
        <f t="shared" si="75"/>
        <v/>
      </c>
      <c r="V514" s="99"/>
    </row>
    <row r="515" spans="1:22">
      <c r="A515" s="92"/>
      <c r="B515" s="141" t="s">
        <v>379</v>
      </c>
      <c r="C515" s="136"/>
      <c r="D515" s="137"/>
      <c r="E515" s="138"/>
      <c r="F515" s="139"/>
      <c r="G515" s="98">
        <v>12</v>
      </c>
      <c r="H515" s="99">
        <v>1</v>
      </c>
      <c r="I515" s="99">
        <v>16</v>
      </c>
      <c r="J515" s="109">
        <f>D514</f>
        <v>0.74299999999999999</v>
      </c>
      <c r="K515" s="110" t="str">
        <f t="shared" ref="K515:K516" si="82">IF(N515&lt;12,"0",0.049*G515)</f>
        <v>0</v>
      </c>
      <c r="L515" s="111">
        <v>1</v>
      </c>
      <c r="M515" s="99">
        <f t="shared" ref="M515:M516" si="83">2*G515*L515/1000</f>
        <v>2.4E-2</v>
      </c>
      <c r="N515" s="112">
        <f>J515+E516-M515</f>
        <v>1.0189999999999999</v>
      </c>
      <c r="O515" s="112">
        <f>H515*I515*N515</f>
        <v>16.303999999999998</v>
      </c>
      <c r="P515" s="140" t="str">
        <f t="shared" si="70"/>
        <v/>
      </c>
      <c r="Q515" s="140" t="str">
        <f t="shared" si="71"/>
        <v/>
      </c>
      <c r="R515" s="140">
        <f t="shared" si="72"/>
        <v>16.303999999999998</v>
      </c>
      <c r="S515" s="140" t="str">
        <f t="shared" si="73"/>
        <v/>
      </c>
      <c r="T515" s="140" t="str">
        <f t="shared" si="74"/>
        <v/>
      </c>
      <c r="U515" s="140" t="str">
        <f t="shared" si="75"/>
        <v/>
      </c>
      <c r="V515" s="99"/>
    </row>
    <row r="516" spans="1:22">
      <c r="A516" s="92"/>
      <c r="B516" s="141" t="s">
        <v>380</v>
      </c>
      <c r="C516" s="143"/>
      <c r="D516" s="142"/>
      <c r="E516" s="144">
        <v>0.3</v>
      </c>
      <c r="F516" s="139"/>
      <c r="G516" s="98">
        <v>10</v>
      </c>
      <c r="H516" s="99">
        <v>1</v>
      </c>
      <c r="I516" s="99">
        <v>8</v>
      </c>
      <c r="J516" s="109">
        <f>D514</f>
        <v>0.74299999999999999</v>
      </c>
      <c r="K516" s="110" t="str">
        <f t="shared" si="82"/>
        <v>0</v>
      </c>
      <c r="L516" s="111">
        <v>1</v>
      </c>
      <c r="M516" s="99">
        <f t="shared" si="83"/>
        <v>0.02</v>
      </c>
      <c r="N516" s="112">
        <f>J516+E516-M516</f>
        <v>1.0229999999999999</v>
      </c>
      <c r="O516" s="112">
        <f>H516*I516*N516</f>
        <v>8.1839999999999993</v>
      </c>
      <c r="P516" s="140" t="str">
        <f t="shared" si="70"/>
        <v/>
      </c>
      <c r="Q516" s="140">
        <f t="shared" si="71"/>
        <v>8.1839999999999993</v>
      </c>
      <c r="R516" s="140" t="str">
        <f t="shared" si="72"/>
        <v/>
      </c>
      <c r="S516" s="140" t="str">
        <f t="shared" si="73"/>
        <v/>
      </c>
      <c r="T516" s="140" t="str">
        <f t="shared" si="74"/>
        <v/>
      </c>
      <c r="U516" s="140" t="str">
        <f t="shared" si="75"/>
        <v/>
      </c>
      <c r="V516" s="99"/>
    </row>
    <row r="517" spans="1:22">
      <c r="A517" s="92"/>
      <c r="B517" s="141"/>
      <c r="C517" s="136"/>
      <c r="D517" s="137"/>
      <c r="E517" s="138"/>
      <c r="F517" s="139"/>
      <c r="G517" s="98"/>
      <c r="H517" s="99"/>
      <c r="I517" s="99"/>
      <c r="J517" s="109"/>
      <c r="K517" s="110"/>
      <c r="L517" s="111"/>
      <c r="M517" s="99"/>
      <c r="N517" s="112"/>
      <c r="O517" s="112"/>
      <c r="P517" s="140" t="str">
        <f t="shared" si="70"/>
        <v/>
      </c>
      <c r="Q517" s="140" t="str">
        <f t="shared" si="71"/>
        <v/>
      </c>
      <c r="R517" s="140" t="str">
        <f t="shared" si="72"/>
        <v/>
      </c>
      <c r="S517" s="140" t="str">
        <f t="shared" si="73"/>
        <v/>
      </c>
      <c r="T517" s="140" t="str">
        <f t="shared" si="74"/>
        <v/>
      </c>
      <c r="U517" s="140" t="str">
        <f t="shared" si="75"/>
        <v/>
      </c>
      <c r="V517" s="99"/>
    </row>
    <row r="518" spans="1:22">
      <c r="A518" s="92"/>
      <c r="B518" s="141"/>
      <c r="C518" s="136"/>
      <c r="D518" s="137"/>
      <c r="E518" s="138"/>
      <c r="F518" s="139"/>
      <c r="G518" s="98"/>
      <c r="H518" s="99"/>
      <c r="I518" s="99"/>
      <c r="J518" s="100"/>
      <c r="K518" s="99"/>
      <c r="L518" s="99"/>
      <c r="M518" s="99"/>
      <c r="N518" s="99"/>
      <c r="O518" s="101"/>
      <c r="P518" s="140" t="str">
        <f t="shared" si="70"/>
        <v/>
      </c>
      <c r="Q518" s="140" t="str">
        <f t="shared" si="71"/>
        <v/>
      </c>
      <c r="R518" s="140" t="str">
        <f t="shared" si="72"/>
        <v/>
      </c>
      <c r="S518" s="140" t="str">
        <f t="shared" si="73"/>
        <v/>
      </c>
      <c r="T518" s="140" t="str">
        <f t="shared" si="74"/>
        <v/>
      </c>
      <c r="U518" s="140" t="str">
        <f t="shared" si="75"/>
        <v/>
      </c>
      <c r="V518" s="99"/>
    </row>
    <row r="519" spans="1:22">
      <c r="A519" s="92"/>
      <c r="B519" s="92"/>
      <c r="C519" s="145">
        <v>0.08</v>
      </c>
      <c r="D519" s="137"/>
      <c r="E519" s="138"/>
      <c r="F519" s="139"/>
      <c r="G519" s="98"/>
      <c r="H519" s="99"/>
      <c r="I519" s="99"/>
      <c r="J519" s="100"/>
      <c r="K519" s="99"/>
      <c r="L519" s="99"/>
      <c r="M519" s="99"/>
      <c r="N519" s="99"/>
      <c r="O519" s="101"/>
      <c r="P519" s="140" t="str">
        <f t="shared" si="70"/>
        <v/>
      </c>
      <c r="Q519" s="140" t="str">
        <f t="shared" si="71"/>
        <v/>
      </c>
      <c r="R519" s="140" t="str">
        <f t="shared" si="72"/>
        <v/>
      </c>
      <c r="S519" s="140" t="str">
        <f t="shared" si="73"/>
        <v/>
      </c>
      <c r="T519" s="140" t="str">
        <f t="shared" si="74"/>
        <v/>
      </c>
      <c r="U519" s="140" t="str">
        <f t="shared" si="75"/>
        <v/>
      </c>
      <c r="V519" s="99"/>
    </row>
    <row r="520" spans="1:22">
      <c r="A520" s="92"/>
      <c r="B520" s="146" t="s">
        <v>382</v>
      </c>
      <c r="C520" s="147"/>
      <c r="D520" s="137"/>
      <c r="E520" s="148">
        <f>0.65-0.05</f>
        <v>0.6</v>
      </c>
      <c r="F520" s="139"/>
      <c r="G520" s="98">
        <v>10</v>
      </c>
      <c r="H520" s="99">
        <v>1</v>
      </c>
      <c r="I520" s="99">
        <v>4</v>
      </c>
      <c r="J520" s="149">
        <f>2*(D522+E520)+2*8*G520/1000</f>
        <v>1.72</v>
      </c>
      <c r="K520" s="99"/>
      <c r="L520" s="99">
        <v>5</v>
      </c>
      <c r="M520" s="112">
        <f>2*G520*L520/1000</f>
        <v>0.1</v>
      </c>
      <c r="N520" s="112">
        <f>(J520+K520-M520)</f>
        <v>1.6199999999999999</v>
      </c>
      <c r="O520" s="112">
        <f>(H520*I520*N520)</f>
        <v>6.4799999999999995</v>
      </c>
      <c r="P520" s="140" t="str">
        <f t="shared" si="70"/>
        <v/>
      </c>
      <c r="Q520" s="140">
        <f t="shared" si="71"/>
        <v>6.4799999999999995</v>
      </c>
      <c r="R520" s="140" t="str">
        <f t="shared" si="72"/>
        <v/>
      </c>
      <c r="S520" s="140" t="str">
        <f t="shared" si="73"/>
        <v/>
      </c>
      <c r="T520" s="140" t="str">
        <f t="shared" si="74"/>
        <v/>
      </c>
      <c r="U520" s="140" t="str">
        <f t="shared" si="75"/>
        <v/>
      </c>
      <c r="V520" s="99"/>
    </row>
    <row r="521" spans="1:22">
      <c r="A521" s="92"/>
      <c r="B521" s="146"/>
      <c r="C521" s="136"/>
      <c r="D521" s="137"/>
      <c r="E521" s="150"/>
      <c r="F521" s="139"/>
      <c r="G521" s="98"/>
      <c r="H521" s="99"/>
      <c r="I521" s="99"/>
      <c r="J521" s="100"/>
      <c r="K521" s="99"/>
      <c r="L521" s="99"/>
      <c r="M521" s="99"/>
      <c r="N521" s="99"/>
      <c r="O521" s="112"/>
      <c r="P521" s="140" t="str">
        <f t="shared" si="70"/>
        <v/>
      </c>
      <c r="Q521" s="140" t="str">
        <f t="shared" si="71"/>
        <v/>
      </c>
      <c r="R521" s="140" t="str">
        <f t="shared" si="72"/>
        <v/>
      </c>
      <c r="S521" s="140" t="str">
        <f t="shared" si="73"/>
        <v/>
      </c>
      <c r="T521" s="140" t="str">
        <f t="shared" si="74"/>
        <v/>
      </c>
      <c r="U521" s="140" t="str">
        <f t="shared" si="75"/>
        <v/>
      </c>
      <c r="V521" s="99"/>
    </row>
    <row r="522" spans="1:22">
      <c r="A522" s="92"/>
      <c r="B522" s="146"/>
      <c r="C522" s="136"/>
      <c r="D522" s="109">
        <f>0.23-0.05</f>
        <v>0.18</v>
      </c>
      <c r="E522" s="138"/>
      <c r="F522" s="139"/>
      <c r="G522" s="98"/>
      <c r="H522" s="99"/>
      <c r="I522" s="99"/>
      <c r="J522" s="100"/>
      <c r="K522" s="99"/>
      <c r="L522" s="99"/>
      <c r="M522" s="99"/>
      <c r="N522" s="99"/>
      <c r="O522" s="112"/>
      <c r="P522" s="140" t="str">
        <f t="shared" si="70"/>
        <v/>
      </c>
      <c r="Q522" s="140" t="str">
        <f t="shared" si="71"/>
        <v/>
      </c>
      <c r="R522" s="140" t="str">
        <f t="shared" si="72"/>
        <v/>
      </c>
      <c r="S522" s="140" t="str">
        <f t="shared" si="73"/>
        <v/>
      </c>
      <c r="T522" s="140" t="str">
        <f t="shared" si="74"/>
        <v/>
      </c>
      <c r="U522" s="140" t="str">
        <f t="shared" si="75"/>
        <v/>
      </c>
      <c r="V522" s="99"/>
    </row>
    <row r="523" spans="1:22">
      <c r="A523" s="92"/>
      <c r="B523" s="141"/>
      <c r="C523" s="136"/>
      <c r="D523" s="137"/>
      <c r="E523" s="138"/>
      <c r="F523" s="139"/>
      <c r="G523" s="98"/>
      <c r="H523" s="99"/>
      <c r="I523" s="99"/>
      <c r="J523" s="100"/>
      <c r="K523" s="99"/>
      <c r="L523" s="99"/>
      <c r="M523" s="99"/>
      <c r="N523" s="99"/>
      <c r="O523" s="101"/>
      <c r="P523" s="140" t="str">
        <f t="shared" si="70"/>
        <v/>
      </c>
      <c r="Q523" s="140" t="str">
        <f t="shared" si="71"/>
        <v/>
      </c>
      <c r="R523" s="140" t="str">
        <f t="shared" si="72"/>
        <v/>
      </c>
      <c r="S523" s="140" t="str">
        <f t="shared" si="73"/>
        <v/>
      </c>
      <c r="T523" s="140" t="str">
        <f t="shared" si="74"/>
        <v/>
      </c>
      <c r="U523" s="140" t="str">
        <f t="shared" si="75"/>
        <v/>
      </c>
      <c r="V523" s="99"/>
    </row>
    <row r="524" spans="1:22">
      <c r="A524" s="92"/>
      <c r="B524" s="92"/>
      <c r="C524" s="145">
        <v>0.08</v>
      </c>
      <c r="D524" s="137"/>
      <c r="E524" s="138"/>
      <c r="F524" s="139"/>
      <c r="G524" s="98"/>
      <c r="H524" s="99"/>
      <c r="I524" s="99"/>
      <c r="J524" s="100"/>
      <c r="K524" s="99"/>
      <c r="L524" s="99"/>
      <c r="M524" s="99"/>
      <c r="N524" s="99"/>
      <c r="O524" s="101"/>
      <c r="P524" s="140" t="str">
        <f t="shared" si="70"/>
        <v/>
      </c>
      <c r="Q524" s="140" t="str">
        <f t="shared" si="71"/>
        <v/>
      </c>
      <c r="R524" s="140" t="str">
        <f t="shared" si="72"/>
        <v/>
      </c>
      <c r="S524" s="140" t="str">
        <f t="shared" si="73"/>
        <v/>
      </c>
      <c r="T524" s="140" t="str">
        <f t="shared" si="74"/>
        <v/>
      </c>
      <c r="U524" s="140" t="str">
        <f t="shared" si="75"/>
        <v/>
      </c>
      <c r="V524" s="99"/>
    </row>
    <row r="525" spans="1:22">
      <c r="A525" s="92"/>
      <c r="B525" s="146" t="s">
        <v>383</v>
      </c>
      <c r="C525" s="147"/>
      <c r="D525" s="137"/>
      <c r="E525" s="148">
        <f>1.535-0.05</f>
        <v>1.4849999999999999</v>
      </c>
      <c r="F525" s="139"/>
      <c r="G525" s="98">
        <v>10</v>
      </c>
      <c r="H525" s="99">
        <v>1</v>
      </c>
      <c r="I525" s="99">
        <v>4</v>
      </c>
      <c r="J525" s="149">
        <f>2*(D527+E525)+2*8*G525/1000</f>
        <v>3.4899999999999998</v>
      </c>
      <c r="K525" s="99"/>
      <c r="L525" s="99">
        <v>5</v>
      </c>
      <c r="M525" s="112">
        <f>2*G525*L525/1000</f>
        <v>0.1</v>
      </c>
      <c r="N525" s="112">
        <f>(J525+K525-M525)</f>
        <v>3.3899999999999997</v>
      </c>
      <c r="O525" s="112">
        <f>(H525*I525*N525)</f>
        <v>13.559999999999999</v>
      </c>
      <c r="P525" s="140" t="str">
        <f t="shared" si="70"/>
        <v/>
      </c>
      <c r="Q525" s="140">
        <f t="shared" si="71"/>
        <v>13.559999999999999</v>
      </c>
      <c r="R525" s="140" t="str">
        <f t="shared" si="72"/>
        <v/>
      </c>
      <c r="S525" s="140" t="str">
        <f t="shared" si="73"/>
        <v/>
      </c>
      <c r="T525" s="140" t="str">
        <f t="shared" si="74"/>
        <v/>
      </c>
      <c r="U525" s="140" t="str">
        <f t="shared" si="75"/>
        <v/>
      </c>
      <c r="V525" s="99"/>
    </row>
    <row r="526" spans="1:22">
      <c r="A526" s="92"/>
      <c r="B526" s="146"/>
      <c r="C526" s="136"/>
      <c r="D526" s="137"/>
      <c r="E526" s="150"/>
      <c r="F526" s="139"/>
      <c r="G526" s="98"/>
      <c r="H526" s="99"/>
      <c r="I526" s="99"/>
      <c r="J526" s="100"/>
      <c r="K526" s="99"/>
      <c r="L526" s="99"/>
      <c r="M526" s="99"/>
      <c r="N526" s="99"/>
      <c r="O526" s="112"/>
      <c r="P526" s="140" t="str">
        <f t="shared" si="70"/>
        <v/>
      </c>
      <c r="Q526" s="140" t="str">
        <f t="shared" si="71"/>
        <v/>
      </c>
      <c r="R526" s="140" t="str">
        <f t="shared" si="72"/>
        <v/>
      </c>
      <c r="S526" s="140" t="str">
        <f t="shared" si="73"/>
        <v/>
      </c>
      <c r="T526" s="140" t="str">
        <f t="shared" si="74"/>
        <v/>
      </c>
      <c r="U526" s="140" t="str">
        <f t="shared" si="75"/>
        <v/>
      </c>
      <c r="V526" s="99"/>
    </row>
    <row r="527" spans="1:22">
      <c r="A527" s="92"/>
      <c r="B527" s="146"/>
      <c r="C527" s="136"/>
      <c r="D527" s="109">
        <f>0.23-0.05</f>
        <v>0.18</v>
      </c>
      <c r="E527" s="138"/>
      <c r="F527" s="139"/>
      <c r="G527" s="98"/>
      <c r="H527" s="99"/>
      <c r="I527" s="99"/>
      <c r="J527" s="100"/>
      <c r="K527" s="99"/>
      <c r="L527" s="99"/>
      <c r="M527" s="99"/>
      <c r="N527" s="99"/>
      <c r="O527" s="112"/>
      <c r="P527" s="140" t="str">
        <f t="shared" si="70"/>
        <v/>
      </c>
      <c r="Q527" s="140" t="str">
        <f t="shared" si="71"/>
        <v/>
      </c>
      <c r="R527" s="140" t="str">
        <f t="shared" si="72"/>
        <v/>
      </c>
      <c r="S527" s="140" t="str">
        <f t="shared" si="73"/>
        <v/>
      </c>
      <c r="T527" s="140" t="str">
        <f t="shared" si="74"/>
        <v/>
      </c>
      <c r="U527" s="140" t="str">
        <f t="shared" si="75"/>
        <v/>
      </c>
      <c r="V527" s="99"/>
    </row>
    <row r="528" spans="1:22">
      <c r="A528" s="92"/>
      <c r="B528" s="141"/>
      <c r="C528" s="136"/>
      <c r="D528" s="137"/>
      <c r="E528" s="138"/>
      <c r="F528" s="139"/>
      <c r="G528" s="98"/>
      <c r="H528" s="99"/>
      <c r="I528" s="99"/>
      <c r="J528" s="100"/>
      <c r="K528" s="99"/>
      <c r="L528" s="99"/>
      <c r="M528" s="99"/>
      <c r="N528" s="99"/>
      <c r="O528" s="112"/>
      <c r="P528" s="140" t="str">
        <f t="shared" si="70"/>
        <v/>
      </c>
      <c r="Q528" s="140" t="str">
        <f t="shared" si="71"/>
        <v/>
      </c>
      <c r="R528" s="140" t="str">
        <f t="shared" si="72"/>
        <v/>
      </c>
      <c r="S528" s="140" t="str">
        <f t="shared" si="73"/>
        <v/>
      </c>
      <c r="T528" s="140" t="str">
        <f t="shared" si="74"/>
        <v/>
      </c>
      <c r="U528" s="140" t="str">
        <f t="shared" si="75"/>
        <v/>
      </c>
      <c r="V528" s="99"/>
    </row>
    <row r="529" spans="1:22">
      <c r="A529" s="92"/>
      <c r="B529" s="92"/>
      <c r="C529" s="145">
        <v>0.08</v>
      </c>
      <c r="D529" s="137"/>
      <c r="E529" s="138"/>
      <c r="F529" s="139"/>
      <c r="G529" s="98"/>
      <c r="H529" s="99"/>
      <c r="I529" s="99"/>
      <c r="J529" s="100"/>
      <c r="K529" s="99"/>
      <c r="L529" s="99"/>
      <c r="M529" s="99"/>
      <c r="N529" s="99"/>
      <c r="O529" s="112"/>
      <c r="P529" s="140" t="str">
        <f t="shared" si="70"/>
        <v/>
      </c>
      <c r="Q529" s="140" t="str">
        <f t="shared" si="71"/>
        <v/>
      </c>
      <c r="R529" s="140" t="str">
        <f t="shared" si="72"/>
        <v/>
      </c>
      <c r="S529" s="140" t="str">
        <f t="shared" si="73"/>
        <v/>
      </c>
      <c r="T529" s="140" t="str">
        <f t="shared" si="74"/>
        <v/>
      </c>
      <c r="U529" s="140" t="str">
        <f t="shared" si="75"/>
        <v/>
      </c>
      <c r="V529" s="99"/>
    </row>
    <row r="530" spans="1:22">
      <c r="A530" s="92"/>
      <c r="B530" s="146" t="s">
        <v>384</v>
      </c>
      <c r="C530" s="147"/>
      <c r="D530" s="137"/>
      <c r="E530" s="148">
        <f>((0.65-0.05-0.016)/5)*2+0.012+0.02</f>
        <v>0.2656</v>
      </c>
      <c r="F530" s="139"/>
      <c r="G530" s="98">
        <v>10</v>
      </c>
      <c r="H530" s="99">
        <v>1</v>
      </c>
      <c r="I530" s="99">
        <v>1</v>
      </c>
      <c r="J530" s="149">
        <f>2*(D532+E530)+2*8*G530/1000</f>
        <v>1.0511999999999999</v>
      </c>
      <c r="K530" s="99"/>
      <c r="L530" s="99">
        <v>5</v>
      </c>
      <c r="M530" s="112">
        <f>2*G530*L530/1000</f>
        <v>0.1</v>
      </c>
      <c r="N530" s="112">
        <f>(J530+K530-M530)</f>
        <v>0.95119999999999993</v>
      </c>
      <c r="O530" s="112">
        <f>(H530*I530*N530)</f>
        <v>0.95119999999999993</v>
      </c>
      <c r="P530" s="140" t="str">
        <f t="shared" si="70"/>
        <v/>
      </c>
      <c r="Q530" s="140">
        <f t="shared" si="71"/>
        <v>0.95119999999999993</v>
      </c>
      <c r="R530" s="140" t="str">
        <f t="shared" si="72"/>
        <v/>
      </c>
      <c r="S530" s="140" t="str">
        <f t="shared" si="73"/>
        <v/>
      </c>
      <c r="T530" s="140" t="str">
        <f t="shared" si="74"/>
        <v/>
      </c>
      <c r="U530" s="140" t="str">
        <f t="shared" si="75"/>
        <v/>
      </c>
      <c r="V530" s="99"/>
    </row>
    <row r="531" spans="1:22">
      <c r="A531" s="92"/>
      <c r="B531" s="146"/>
      <c r="C531" s="136"/>
      <c r="D531" s="137"/>
      <c r="E531" s="150"/>
      <c r="F531" s="139"/>
      <c r="G531" s="98"/>
      <c r="H531" s="99"/>
      <c r="I531" s="99"/>
      <c r="J531" s="100"/>
      <c r="K531" s="99"/>
      <c r="L531" s="99"/>
      <c r="M531" s="99"/>
      <c r="N531" s="99"/>
      <c r="O531" s="112"/>
      <c r="P531" s="140" t="str">
        <f t="shared" si="70"/>
        <v/>
      </c>
      <c r="Q531" s="140" t="str">
        <f t="shared" si="71"/>
        <v/>
      </c>
      <c r="R531" s="140" t="str">
        <f t="shared" si="72"/>
        <v/>
      </c>
      <c r="S531" s="140" t="str">
        <f t="shared" si="73"/>
        <v/>
      </c>
      <c r="T531" s="140" t="str">
        <f t="shared" si="74"/>
        <v/>
      </c>
      <c r="U531" s="140" t="str">
        <f t="shared" si="75"/>
        <v/>
      </c>
      <c r="V531" s="99"/>
    </row>
    <row r="532" spans="1:22">
      <c r="A532" s="92"/>
      <c r="B532" s="146"/>
      <c r="C532" s="136"/>
      <c r="D532" s="109">
        <f>0.23-0.05</f>
        <v>0.18</v>
      </c>
      <c r="E532" s="138"/>
      <c r="F532" s="139"/>
      <c r="G532" s="98"/>
      <c r="H532" s="99"/>
      <c r="I532" s="99"/>
      <c r="J532" s="100"/>
      <c r="K532" s="99"/>
      <c r="L532" s="99"/>
      <c r="M532" s="99"/>
      <c r="N532" s="99"/>
      <c r="O532" s="112"/>
      <c r="P532" s="140" t="str">
        <f t="shared" si="70"/>
        <v/>
      </c>
      <c r="Q532" s="140" t="str">
        <f t="shared" si="71"/>
        <v/>
      </c>
      <c r="R532" s="140" t="str">
        <f t="shared" si="72"/>
        <v/>
      </c>
      <c r="S532" s="140" t="str">
        <f t="shared" si="73"/>
        <v/>
      </c>
      <c r="T532" s="140" t="str">
        <f t="shared" si="74"/>
        <v/>
      </c>
      <c r="U532" s="140" t="str">
        <f t="shared" si="75"/>
        <v/>
      </c>
      <c r="V532" s="99"/>
    </row>
    <row r="533" spans="1:22">
      <c r="A533" s="92"/>
      <c r="B533" s="141"/>
      <c r="C533" s="136"/>
      <c r="D533" s="137"/>
      <c r="E533" s="138"/>
      <c r="F533" s="139"/>
      <c r="G533" s="98"/>
      <c r="H533" s="99"/>
      <c r="I533" s="99"/>
      <c r="J533" s="100"/>
      <c r="K533" s="99"/>
      <c r="L533" s="99"/>
      <c r="M533" s="99"/>
      <c r="N533" s="99"/>
      <c r="O533" s="101"/>
      <c r="P533" s="140" t="str">
        <f t="shared" si="70"/>
        <v/>
      </c>
      <c r="Q533" s="140" t="str">
        <f t="shared" si="71"/>
        <v/>
      </c>
      <c r="R533" s="140" t="str">
        <f t="shared" si="72"/>
        <v/>
      </c>
      <c r="S533" s="140" t="str">
        <f t="shared" si="73"/>
        <v/>
      </c>
      <c r="T533" s="140" t="str">
        <f t="shared" si="74"/>
        <v/>
      </c>
      <c r="U533" s="140" t="str">
        <f t="shared" si="75"/>
        <v/>
      </c>
      <c r="V533" s="99"/>
    </row>
    <row r="534" spans="1:22">
      <c r="A534" s="92"/>
      <c r="B534" s="92"/>
      <c r="C534" s="145">
        <v>0.08</v>
      </c>
      <c r="D534" s="137"/>
      <c r="E534" s="138"/>
      <c r="F534" s="139"/>
      <c r="G534" s="98"/>
      <c r="H534" s="99"/>
      <c r="I534" s="99"/>
      <c r="J534" s="100"/>
      <c r="K534" s="99"/>
      <c r="L534" s="99"/>
      <c r="M534" s="99"/>
      <c r="N534" s="99"/>
      <c r="O534" s="101"/>
      <c r="P534" s="140" t="str">
        <f t="shared" si="70"/>
        <v/>
      </c>
      <c r="Q534" s="140" t="str">
        <f t="shared" si="71"/>
        <v/>
      </c>
      <c r="R534" s="140" t="str">
        <f t="shared" si="72"/>
        <v/>
      </c>
      <c r="S534" s="140" t="str">
        <f t="shared" si="73"/>
        <v/>
      </c>
      <c r="T534" s="140" t="str">
        <f t="shared" si="74"/>
        <v/>
      </c>
      <c r="U534" s="140" t="str">
        <f t="shared" si="75"/>
        <v/>
      </c>
      <c r="V534" s="99"/>
    </row>
    <row r="535" spans="1:22">
      <c r="A535" s="92"/>
      <c r="B535" s="146" t="s">
        <v>385</v>
      </c>
      <c r="C535" s="147"/>
      <c r="D535" s="137"/>
      <c r="E535" s="148">
        <f>((1.535-0.05-0.014)/11)*3+0.014+0.02</f>
        <v>0.43518181818181823</v>
      </c>
      <c r="F535" s="139"/>
      <c r="G535" s="98">
        <v>10</v>
      </c>
      <c r="H535" s="99">
        <v>1</v>
      </c>
      <c r="I535" s="99">
        <v>1</v>
      </c>
      <c r="J535" s="149">
        <f>2*(D537+E535)+2*8*G535/1000</f>
        <v>1.3903636363636365</v>
      </c>
      <c r="K535" s="99"/>
      <c r="L535" s="99">
        <v>5</v>
      </c>
      <c r="M535" s="112">
        <f>2*G535*L535/1000</f>
        <v>0.1</v>
      </c>
      <c r="N535" s="112">
        <f>(J535+K535-M535)</f>
        <v>1.2903636363636364</v>
      </c>
      <c r="O535" s="112">
        <f>(H535*I535*N535)</f>
        <v>1.2903636363636364</v>
      </c>
      <c r="P535" s="140" t="str">
        <f t="shared" si="70"/>
        <v/>
      </c>
      <c r="Q535" s="140">
        <f t="shared" si="71"/>
        <v>1.2903636363636364</v>
      </c>
      <c r="R535" s="140" t="str">
        <f t="shared" si="72"/>
        <v/>
      </c>
      <c r="S535" s="140" t="str">
        <f t="shared" si="73"/>
        <v/>
      </c>
      <c r="T535" s="140" t="str">
        <f t="shared" si="74"/>
        <v/>
      </c>
      <c r="U535" s="140" t="str">
        <f t="shared" si="75"/>
        <v/>
      </c>
      <c r="V535" s="99"/>
    </row>
    <row r="536" spans="1:22">
      <c r="A536" s="92"/>
      <c r="B536" s="146"/>
      <c r="C536" s="136"/>
      <c r="D536" s="137"/>
      <c r="E536" s="150"/>
      <c r="F536" s="139"/>
      <c r="G536" s="98"/>
      <c r="H536" s="99"/>
      <c r="I536" s="99"/>
      <c r="J536" s="100"/>
      <c r="K536" s="99"/>
      <c r="L536" s="99"/>
      <c r="M536" s="99"/>
      <c r="N536" s="99"/>
      <c r="O536" s="112"/>
      <c r="P536" s="140" t="str">
        <f t="shared" si="70"/>
        <v/>
      </c>
      <c r="Q536" s="140" t="str">
        <f t="shared" si="71"/>
        <v/>
      </c>
      <c r="R536" s="140" t="str">
        <f t="shared" si="72"/>
        <v/>
      </c>
      <c r="S536" s="140" t="str">
        <f t="shared" si="73"/>
        <v/>
      </c>
      <c r="T536" s="140" t="str">
        <f t="shared" si="74"/>
        <v/>
      </c>
      <c r="U536" s="140" t="str">
        <f t="shared" si="75"/>
        <v/>
      </c>
      <c r="V536" s="99"/>
    </row>
    <row r="537" spans="1:22">
      <c r="A537" s="92"/>
      <c r="B537" s="146"/>
      <c r="C537" s="136"/>
      <c r="D537" s="109">
        <f>0.23-0.05</f>
        <v>0.18</v>
      </c>
      <c r="E537" s="138"/>
      <c r="F537" s="139"/>
      <c r="G537" s="98"/>
      <c r="H537" s="99"/>
      <c r="I537" s="99"/>
      <c r="J537" s="100"/>
      <c r="K537" s="99"/>
      <c r="L537" s="99"/>
      <c r="M537" s="99"/>
      <c r="N537" s="99"/>
      <c r="O537" s="112"/>
      <c r="P537" s="140" t="str">
        <f t="shared" si="70"/>
        <v/>
      </c>
      <c r="Q537" s="140" t="str">
        <f t="shared" si="71"/>
        <v/>
      </c>
      <c r="R537" s="140" t="str">
        <f t="shared" si="72"/>
        <v/>
      </c>
      <c r="S537" s="140" t="str">
        <f t="shared" si="73"/>
        <v/>
      </c>
      <c r="T537" s="140" t="str">
        <f t="shared" si="74"/>
        <v/>
      </c>
      <c r="U537" s="140" t="str">
        <f t="shared" si="75"/>
        <v/>
      </c>
      <c r="V537" s="99"/>
    </row>
    <row r="538" spans="1:22">
      <c r="A538" s="92"/>
      <c r="B538" s="141"/>
      <c r="C538" s="136"/>
      <c r="D538" s="137"/>
      <c r="E538" s="138"/>
      <c r="F538" s="139"/>
      <c r="G538" s="98"/>
      <c r="H538" s="99"/>
      <c r="I538" s="99"/>
      <c r="J538" s="100"/>
      <c r="K538" s="99"/>
      <c r="L538" s="99"/>
      <c r="M538" s="99"/>
      <c r="N538" s="99"/>
      <c r="O538" s="101"/>
      <c r="P538" s="140" t="str">
        <f t="shared" si="70"/>
        <v/>
      </c>
      <c r="Q538" s="140" t="str">
        <f t="shared" si="71"/>
        <v/>
      </c>
      <c r="R538" s="140" t="str">
        <f t="shared" si="72"/>
        <v/>
      </c>
      <c r="S538" s="140" t="str">
        <f t="shared" si="73"/>
        <v/>
      </c>
      <c r="T538" s="140" t="str">
        <f t="shared" si="74"/>
        <v/>
      </c>
      <c r="U538" s="140" t="str">
        <f t="shared" si="75"/>
        <v/>
      </c>
      <c r="V538" s="99"/>
    </row>
    <row r="539" spans="1:22">
      <c r="A539" s="92"/>
      <c r="B539" s="92"/>
      <c r="C539" s="145">
        <v>0.08</v>
      </c>
      <c r="D539" s="137"/>
      <c r="E539" s="138"/>
      <c r="F539" s="139"/>
      <c r="G539" s="98"/>
      <c r="H539" s="99"/>
      <c r="I539" s="99"/>
      <c r="J539" s="100"/>
      <c r="K539" s="99"/>
      <c r="L539" s="99"/>
      <c r="M539" s="99"/>
      <c r="N539" s="99"/>
      <c r="O539" s="101"/>
      <c r="P539" s="140" t="str">
        <f t="shared" si="70"/>
        <v/>
      </c>
      <c r="Q539" s="140" t="str">
        <f t="shared" si="71"/>
        <v/>
      </c>
      <c r="R539" s="140" t="str">
        <f t="shared" si="72"/>
        <v/>
      </c>
      <c r="S539" s="140" t="str">
        <f t="shared" si="73"/>
        <v/>
      </c>
      <c r="T539" s="140" t="str">
        <f t="shared" si="74"/>
        <v/>
      </c>
      <c r="U539" s="140" t="str">
        <f t="shared" si="75"/>
        <v/>
      </c>
      <c r="V539" s="99"/>
    </row>
    <row r="540" spans="1:22">
      <c r="A540" s="92"/>
      <c r="B540" s="146" t="s">
        <v>390</v>
      </c>
      <c r="C540" s="147"/>
      <c r="D540" s="137"/>
      <c r="E540" s="148">
        <f>((1.535-0.05-0.014)/11)*5+0.01+0.02</f>
        <v>0.69863636363636361</v>
      </c>
      <c r="F540" s="139"/>
      <c r="G540" s="98">
        <v>10</v>
      </c>
      <c r="H540" s="99">
        <v>1</v>
      </c>
      <c r="I540" s="99">
        <v>1</v>
      </c>
      <c r="J540" s="149">
        <f>2*(D542+E540)+2*8*G540/1000</f>
        <v>1.9172727272727272</v>
      </c>
      <c r="K540" s="99"/>
      <c r="L540" s="99">
        <v>5</v>
      </c>
      <c r="M540" s="112">
        <f>2*G540*L540/1000</f>
        <v>0.1</v>
      </c>
      <c r="N540" s="112">
        <f>(J540+K540-M540)</f>
        <v>1.8172727272727272</v>
      </c>
      <c r="O540" s="112">
        <f>(H540*I540*N540)</f>
        <v>1.8172727272727272</v>
      </c>
      <c r="P540" s="140" t="str">
        <f t="shared" si="70"/>
        <v/>
      </c>
      <c r="Q540" s="140">
        <f t="shared" si="71"/>
        <v>1.8172727272727272</v>
      </c>
      <c r="R540" s="140" t="str">
        <f t="shared" si="72"/>
        <v/>
      </c>
      <c r="S540" s="140" t="str">
        <f t="shared" si="73"/>
        <v/>
      </c>
      <c r="T540" s="140" t="str">
        <f t="shared" si="74"/>
        <v/>
      </c>
      <c r="U540" s="140" t="str">
        <f t="shared" si="75"/>
        <v/>
      </c>
      <c r="V540" s="99"/>
    </row>
    <row r="541" spans="1:22">
      <c r="A541" s="92"/>
      <c r="B541" s="146"/>
      <c r="C541" s="136"/>
      <c r="D541" s="137"/>
      <c r="E541" s="150"/>
      <c r="F541" s="139"/>
      <c r="G541" s="98"/>
      <c r="H541" s="99"/>
      <c r="I541" s="99"/>
      <c r="J541" s="100"/>
      <c r="K541" s="99"/>
      <c r="L541" s="99"/>
      <c r="M541" s="99"/>
      <c r="N541" s="99"/>
      <c r="O541" s="112"/>
      <c r="P541" s="140" t="str">
        <f t="shared" si="70"/>
        <v/>
      </c>
      <c r="Q541" s="140" t="str">
        <f t="shared" si="71"/>
        <v/>
      </c>
      <c r="R541" s="140" t="str">
        <f t="shared" si="72"/>
        <v/>
      </c>
      <c r="S541" s="140" t="str">
        <f t="shared" si="73"/>
        <v/>
      </c>
      <c r="T541" s="140" t="str">
        <f t="shared" si="74"/>
        <v/>
      </c>
      <c r="U541" s="140" t="str">
        <f t="shared" si="75"/>
        <v/>
      </c>
      <c r="V541" s="99"/>
    </row>
    <row r="542" spans="1:22">
      <c r="A542" s="92"/>
      <c r="B542" s="146"/>
      <c r="C542" s="136"/>
      <c r="D542" s="109">
        <f>0.23-0.05</f>
        <v>0.18</v>
      </c>
      <c r="E542" s="138"/>
      <c r="F542" s="139"/>
      <c r="G542" s="98"/>
      <c r="H542" s="99"/>
      <c r="I542" s="99"/>
      <c r="J542" s="100"/>
      <c r="K542" s="99"/>
      <c r="L542" s="99"/>
      <c r="M542" s="99"/>
      <c r="N542" s="99"/>
      <c r="O542" s="112"/>
      <c r="P542" s="140" t="str">
        <f t="shared" si="70"/>
        <v/>
      </c>
      <c r="Q542" s="140" t="str">
        <f t="shared" si="71"/>
        <v/>
      </c>
      <c r="R542" s="140" t="str">
        <f t="shared" si="72"/>
        <v/>
      </c>
      <c r="S542" s="140" t="str">
        <f t="shared" si="73"/>
        <v/>
      </c>
      <c r="T542" s="140" t="str">
        <f t="shared" si="74"/>
        <v/>
      </c>
      <c r="U542" s="140" t="str">
        <f t="shared" si="75"/>
        <v/>
      </c>
      <c r="V542" s="99"/>
    </row>
    <row r="543" spans="1:22">
      <c r="A543" s="92"/>
      <c r="B543" s="141"/>
      <c r="C543" s="136"/>
      <c r="D543" s="137"/>
      <c r="E543" s="138"/>
      <c r="F543" s="139"/>
      <c r="G543" s="98"/>
      <c r="H543" s="99"/>
      <c r="I543" s="99"/>
      <c r="J543" s="100"/>
      <c r="K543" s="99"/>
      <c r="L543" s="99"/>
      <c r="M543" s="99"/>
      <c r="N543" s="99"/>
      <c r="O543" s="101"/>
      <c r="P543" s="140" t="str">
        <f t="shared" si="70"/>
        <v/>
      </c>
      <c r="Q543" s="140" t="str">
        <f t="shared" si="71"/>
        <v/>
      </c>
      <c r="R543" s="140" t="str">
        <f t="shared" si="72"/>
        <v/>
      </c>
      <c r="S543" s="140" t="str">
        <f t="shared" si="73"/>
        <v/>
      </c>
      <c r="T543" s="140" t="str">
        <f t="shared" si="74"/>
        <v/>
      </c>
      <c r="U543" s="140" t="str">
        <f t="shared" si="75"/>
        <v/>
      </c>
      <c r="V543" s="99"/>
    </row>
    <row r="544" spans="1:22">
      <c r="A544" s="92"/>
      <c r="B544" s="141"/>
      <c r="C544" s="145">
        <v>0.08</v>
      </c>
      <c r="D544" s="137"/>
      <c r="E544" s="138"/>
      <c r="F544" s="139"/>
      <c r="G544" s="98"/>
      <c r="H544" s="99"/>
      <c r="I544" s="99"/>
      <c r="J544" s="100"/>
      <c r="K544" s="99"/>
      <c r="L544" s="99"/>
      <c r="M544" s="99"/>
      <c r="N544" s="99"/>
      <c r="O544" s="101"/>
      <c r="P544" s="140" t="str">
        <f t="shared" si="70"/>
        <v/>
      </c>
      <c r="Q544" s="140" t="str">
        <f t="shared" si="71"/>
        <v/>
      </c>
      <c r="R544" s="140" t="str">
        <f t="shared" si="72"/>
        <v/>
      </c>
      <c r="S544" s="140" t="str">
        <f t="shared" si="73"/>
        <v/>
      </c>
      <c r="T544" s="140" t="str">
        <f t="shared" si="74"/>
        <v/>
      </c>
      <c r="U544" s="140" t="str">
        <f t="shared" si="75"/>
        <v/>
      </c>
      <c r="V544" s="99"/>
    </row>
    <row r="545" spans="1:22">
      <c r="A545" s="92"/>
      <c r="B545" s="146" t="s">
        <v>396</v>
      </c>
      <c r="C545" s="147"/>
      <c r="D545" s="137"/>
      <c r="E545" s="148">
        <f>((1.535-0.05-0.014)/11)*1+0.012+0.02</f>
        <v>0.16572727272727272</v>
      </c>
      <c r="F545" s="139"/>
      <c r="G545" s="98">
        <v>10</v>
      </c>
      <c r="H545" s="99">
        <v>1</v>
      </c>
      <c r="I545" s="99">
        <v>1</v>
      </c>
      <c r="J545" s="149">
        <f>2*(D547+E545)+2*8*G545/1000</f>
        <v>0.85145454545454546</v>
      </c>
      <c r="K545" s="99"/>
      <c r="L545" s="99">
        <v>5</v>
      </c>
      <c r="M545" s="112">
        <f>2*G545*L545/1000</f>
        <v>0.1</v>
      </c>
      <c r="N545" s="112">
        <f>(J545+K545-M545)</f>
        <v>0.75145454545454549</v>
      </c>
      <c r="O545" s="112">
        <f>(H545*I545*N545)</f>
        <v>0.75145454545454549</v>
      </c>
      <c r="P545" s="140" t="str">
        <f t="shared" si="70"/>
        <v/>
      </c>
      <c r="Q545" s="140">
        <f t="shared" si="71"/>
        <v>0.75145454545454549</v>
      </c>
      <c r="R545" s="140" t="str">
        <f t="shared" si="72"/>
        <v/>
      </c>
      <c r="S545" s="140" t="str">
        <f t="shared" si="73"/>
        <v/>
      </c>
      <c r="T545" s="140" t="str">
        <f t="shared" si="74"/>
        <v/>
      </c>
      <c r="U545" s="140" t="str">
        <f t="shared" si="75"/>
        <v/>
      </c>
      <c r="V545" s="99"/>
    </row>
    <row r="546" spans="1:22">
      <c r="A546" s="92"/>
      <c r="B546" s="146"/>
      <c r="C546" s="136"/>
      <c r="D546" s="137"/>
      <c r="E546" s="150"/>
      <c r="F546" s="139"/>
      <c r="G546" s="98"/>
      <c r="H546" s="99"/>
      <c r="I546" s="99"/>
      <c r="J546" s="100"/>
      <c r="K546" s="99"/>
      <c r="L546" s="99"/>
      <c r="M546" s="99"/>
      <c r="N546" s="99"/>
      <c r="O546" s="112"/>
      <c r="P546" s="140" t="str">
        <f t="shared" si="70"/>
        <v/>
      </c>
      <c r="Q546" s="140" t="str">
        <f t="shared" si="71"/>
        <v/>
      </c>
      <c r="R546" s="140" t="str">
        <f t="shared" si="72"/>
        <v/>
      </c>
      <c r="S546" s="140" t="str">
        <f t="shared" si="73"/>
        <v/>
      </c>
      <c r="T546" s="140" t="str">
        <f t="shared" si="74"/>
        <v/>
      </c>
      <c r="U546" s="140" t="str">
        <f t="shared" si="75"/>
        <v/>
      </c>
      <c r="V546" s="99"/>
    </row>
    <row r="547" spans="1:22">
      <c r="A547" s="92"/>
      <c r="B547" s="146"/>
      <c r="C547" s="136"/>
      <c r="D547" s="109">
        <f>0.23-0.05</f>
        <v>0.18</v>
      </c>
      <c r="E547" s="138"/>
      <c r="F547" s="139"/>
      <c r="G547" s="98"/>
      <c r="H547" s="99"/>
      <c r="I547" s="99"/>
      <c r="J547" s="100"/>
      <c r="K547" s="99"/>
      <c r="L547" s="99"/>
      <c r="M547" s="99"/>
      <c r="N547" s="99"/>
      <c r="O547" s="112"/>
      <c r="P547" s="140" t="str">
        <f t="shared" si="70"/>
        <v/>
      </c>
      <c r="Q547" s="140" t="str">
        <f t="shared" si="71"/>
        <v/>
      </c>
      <c r="R547" s="140" t="str">
        <f t="shared" si="72"/>
        <v/>
      </c>
      <c r="S547" s="140" t="str">
        <f t="shared" si="73"/>
        <v/>
      </c>
      <c r="T547" s="140" t="str">
        <f t="shared" si="74"/>
        <v/>
      </c>
      <c r="U547" s="140" t="str">
        <f t="shared" si="75"/>
        <v/>
      </c>
      <c r="V547" s="99"/>
    </row>
    <row r="548" spans="1:22">
      <c r="A548" s="92"/>
      <c r="B548" s="141"/>
      <c r="C548" s="136"/>
      <c r="D548" s="137"/>
      <c r="E548" s="138"/>
      <c r="F548" s="139"/>
      <c r="G548" s="98"/>
      <c r="H548" s="99"/>
      <c r="I548" s="99"/>
      <c r="J548" s="100"/>
      <c r="K548" s="99"/>
      <c r="L548" s="99"/>
      <c r="M548" s="99"/>
      <c r="N548" s="99"/>
      <c r="O548" s="101"/>
      <c r="P548" s="140" t="str">
        <f t="shared" si="70"/>
        <v/>
      </c>
      <c r="Q548" s="140" t="str">
        <f t="shared" si="71"/>
        <v/>
      </c>
      <c r="R548" s="140" t="str">
        <f t="shared" si="72"/>
        <v/>
      </c>
      <c r="S548" s="140" t="str">
        <f t="shared" si="73"/>
        <v/>
      </c>
      <c r="T548" s="140" t="str">
        <f t="shared" si="74"/>
        <v/>
      </c>
      <c r="U548" s="140" t="str">
        <f t="shared" si="75"/>
        <v/>
      </c>
      <c r="V548" s="99"/>
    </row>
    <row r="549" spans="1:22">
      <c r="A549" s="92"/>
      <c r="B549" s="141"/>
      <c r="C549" s="136"/>
      <c r="D549" s="137"/>
      <c r="E549" s="144">
        <v>0.08</v>
      </c>
      <c r="F549" s="139"/>
      <c r="G549" s="98"/>
      <c r="H549" s="99"/>
      <c r="I549" s="99"/>
      <c r="J549" s="100"/>
      <c r="K549" s="99"/>
      <c r="L549" s="99"/>
      <c r="M549" s="99"/>
      <c r="N549" s="99"/>
      <c r="O549" s="101"/>
      <c r="P549" s="140" t="str">
        <f t="shared" si="70"/>
        <v/>
      </c>
      <c r="Q549" s="140" t="str">
        <f t="shared" si="71"/>
        <v/>
      </c>
      <c r="R549" s="140" t="str">
        <f t="shared" si="72"/>
        <v/>
      </c>
      <c r="S549" s="140" t="str">
        <f t="shared" si="73"/>
        <v/>
      </c>
      <c r="T549" s="140" t="str">
        <f t="shared" si="74"/>
        <v/>
      </c>
      <c r="U549" s="140" t="str">
        <f t="shared" si="75"/>
        <v/>
      </c>
      <c r="V549" s="99"/>
    </row>
    <row r="550" spans="1:22">
      <c r="A550" s="92"/>
      <c r="B550" s="146" t="s">
        <v>397</v>
      </c>
      <c r="C550" s="136"/>
      <c r="D550" s="142">
        <f>0.23-0.05</f>
        <v>0.18</v>
      </c>
      <c r="E550" s="144"/>
      <c r="F550" s="139"/>
      <c r="G550" s="98">
        <v>10</v>
      </c>
      <c r="H550" s="99">
        <v>1</v>
      </c>
      <c r="I550" s="99">
        <v>4</v>
      </c>
      <c r="J550" s="149">
        <f>D550+E549+E551</f>
        <v>0.34</v>
      </c>
      <c r="K550" s="99"/>
      <c r="L550" s="99">
        <v>2</v>
      </c>
      <c r="M550" s="112">
        <f>2*G550*L550/1000</f>
        <v>0.04</v>
      </c>
      <c r="N550" s="112">
        <f>(J550+K550-M550)</f>
        <v>0.30000000000000004</v>
      </c>
      <c r="O550" s="112">
        <f>(H550*I550*N550)</f>
        <v>1.2000000000000002</v>
      </c>
      <c r="P550" s="140" t="str">
        <f t="shared" si="70"/>
        <v/>
      </c>
      <c r="Q550" s="140">
        <f t="shared" si="71"/>
        <v>1.2000000000000002</v>
      </c>
      <c r="R550" s="140" t="str">
        <f t="shared" si="72"/>
        <v/>
      </c>
      <c r="S550" s="140" t="str">
        <f t="shared" si="73"/>
        <v/>
      </c>
      <c r="T550" s="140" t="str">
        <f t="shared" si="74"/>
        <v/>
      </c>
      <c r="U550" s="140" t="str">
        <f t="shared" si="75"/>
        <v/>
      </c>
      <c r="V550" s="99"/>
    </row>
    <row r="551" spans="1:22">
      <c r="A551" s="92"/>
      <c r="B551" s="141"/>
      <c r="C551" s="136"/>
      <c r="D551" s="137"/>
      <c r="E551" s="144">
        <v>0.08</v>
      </c>
      <c r="F551" s="139"/>
      <c r="G551" s="98"/>
      <c r="H551" s="99"/>
      <c r="I551" s="99"/>
      <c r="J551" s="100"/>
      <c r="K551" s="99"/>
      <c r="L551" s="99"/>
      <c r="M551" s="99"/>
      <c r="N551" s="99"/>
      <c r="O551" s="101"/>
      <c r="P551" s="140" t="str">
        <f t="shared" si="70"/>
        <v/>
      </c>
      <c r="Q551" s="140" t="str">
        <f t="shared" si="71"/>
        <v/>
      </c>
      <c r="R551" s="140" t="str">
        <f t="shared" si="72"/>
        <v/>
      </c>
      <c r="S551" s="140" t="str">
        <f t="shared" si="73"/>
        <v/>
      </c>
      <c r="T551" s="140" t="str">
        <f t="shared" si="74"/>
        <v/>
      </c>
      <c r="U551" s="140" t="str">
        <f t="shared" si="75"/>
        <v/>
      </c>
      <c r="V551" s="99"/>
    </row>
    <row r="552" spans="1:22">
      <c r="A552" s="92"/>
      <c r="B552" s="146"/>
      <c r="C552" s="136"/>
      <c r="D552" s="152"/>
      <c r="E552" s="138"/>
      <c r="F552" s="139"/>
      <c r="G552" s="98"/>
      <c r="H552" s="99"/>
      <c r="I552" s="99"/>
      <c r="J552" s="100"/>
      <c r="K552" s="99"/>
      <c r="L552" s="99"/>
      <c r="M552" s="99"/>
      <c r="N552" s="99"/>
      <c r="O552" s="101"/>
      <c r="P552" s="140" t="str">
        <f t="shared" si="70"/>
        <v/>
      </c>
      <c r="Q552" s="140" t="str">
        <f t="shared" si="71"/>
        <v/>
      </c>
      <c r="R552" s="140" t="str">
        <f t="shared" si="72"/>
        <v/>
      </c>
      <c r="S552" s="140" t="str">
        <f t="shared" si="73"/>
        <v/>
      </c>
      <c r="T552" s="140" t="str">
        <f t="shared" si="74"/>
        <v/>
      </c>
      <c r="U552" s="140" t="str">
        <f t="shared" si="75"/>
        <v/>
      </c>
      <c r="V552" s="99"/>
    </row>
    <row r="553" spans="1:22">
      <c r="A553" s="92">
        <v>20</v>
      </c>
      <c r="B553" s="92" t="s">
        <v>410</v>
      </c>
      <c r="C553" s="136"/>
      <c r="D553" s="137"/>
      <c r="E553" s="138"/>
      <c r="F553" s="139"/>
      <c r="G553" s="98"/>
      <c r="H553" s="99"/>
      <c r="I553" s="99"/>
      <c r="J553" s="109"/>
      <c r="K553" s="112"/>
      <c r="L553" s="112"/>
      <c r="M553" s="99"/>
      <c r="N553" s="112"/>
      <c r="O553" s="112"/>
      <c r="P553" s="140" t="str">
        <f>IF($G553=8,$O553,"")</f>
        <v/>
      </c>
      <c r="Q553" s="140" t="str">
        <f>IF($G553=10,$O553,"")</f>
        <v/>
      </c>
      <c r="R553" s="140" t="str">
        <f>IF($G553=12,$O553,"")</f>
        <v/>
      </c>
      <c r="S553" s="140" t="str">
        <f>IF($G553=16,$O553,"")</f>
        <v/>
      </c>
      <c r="T553" s="140" t="str">
        <f>IF($G553=20,$O553,"")</f>
        <v/>
      </c>
      <c r="U553" s="140" t="str">
        <f>IF($G553=25,$O553,"")</f>
        <v/>
      </c>
      <c r="V553" s="99"/>
    </row>
    <row r="554" spans="1:22">
      <c r="A554" s="92"/>
      <c r="B554" s="141" t="s">
        <v>378</v>
      </c>
      <c r="C554" s="136"/>
      <c r="D554" s="142">
        <f>0.85-0.075-2*0.016</f>
        <v>0.74299999999999999</v>
      </c>
      <c r="E554" s="138"/>
      <c r="F554" s="139"/>
      <c r="G554" s="98">
        <v>16</v>
      </c>
      <c r="H554" s="99">
        <v>1</v>
      </c>
      <c r="I554" s="99">
        <v>8</v>
      </c>
      <c r="J554" s="109">
        <f>D554</f>
        <v>0.74299999999999999</v>
      </c>
      <c r="K554" s="110" t="str">
        <f>IF(N554&lt;12,"0",0.049*G554)</f>
        <v>0</v>
      </c>
      <c r="L554" s="111">
        <v>1</v>
      </c>
      <c r="M554" s="99">
        <f>2*G554*L554/1000</f>
        <v>3.2000000000000001E-2</v>
      </c>
      <c r="N554" s="112">
        <f>J554+E556-M554</f>
        <v>1.0109999999999999</v>
      </c>
      <c r="O554" s="112">
        <f t="shared" ref="O554:O557" si="84">H554*I554*N554</f>
        <v>8.0879999999999992</v>
      </c>
      <c r="P554" s="140" t="str">
        <f t="shared" si="70"/>
        <v/>
      </c>
      <c r="Q554" s="140" t="str">
        <f t="shared" si="71"/>
        <v/>
      </c>
      <c r="R554" s="140" t="str">
        <f t="shared" si="72"/>
        <v/>
      </c>
      <c r="S554" s="140">
        <f t="shared" si="73"/>
        <v>8.0879999999999992</v>
      </c>
      <c r="T554" s="140" t="str">
        <f t="shared" si="74"/>
        <v/>
      </c>
      <c r="U554" s="140" t="str">
        <f t="shared" si="75"/>
        <v/>
      </c>
      <c r="V554" s="99"/>
    </row>
    <row r="555" spans="1:22">
      <c r="A555" s="92"/>
      <c r="B555" s="141" t="s">
        <v>379</v>
      </c>
      <c r="C555" s="136"/>
      <c r="D555" s="137"/>
      <c r="E555" s="138"/>
      <c r="F555" s="139"/>
      <c r="G555" s="98">
        <v>12</v>
      </c>
      <c r="H555" s="99">
        <v>1</v>
      </c>
      <c r="I555" s="99">
        <v>8</v>
      </c>
      <c r="J555" s="109">
        <f>D554</f>
        <v>0.74299999999999999</v>
      </c>
      <c r="K555" s="110" t="str">
        <f t="shared" ref="K555:K557" si="85">IF(N555&lt;12,"0",0.049*G555)</f>
        <v>0</v>
      </c>
      <c r="L555" s="111">
        <v>1</v>
      </c>
      <c r="M555" s="99">
        <f t="shared" ref="M555:M557" si="86">2*G555*L555/1000</f>
        <v>2.4E-2</v>
      </c>
      <c r="N555" s="112">
        <f>J555+E556-M555</f>
        <v>1.0189999999999999</v>
      </c>
      <c r="O555" s="112">
        <f t="shared" si="84"/>
        <v>8.1519999999999992</v>
      </c>
      <c r="P555" s="140" t="str">
        <f t="shared" si="70"/>
        <v/>
      </c>
      <c r="Q555" s="140" t="str">
        <f t="shared" si="71"/>
        <v/>
      </c>
      <c r="R555" s="140">
        <f t="shared" si="72"/>
        <v>8.1519999999999992</v>
      </c>
      <c r="S555" s="140" t="str">
        <f t="shared" si="73"/>
        <v/>
      </c>
      <c r="T555" s="140" t="str">
        <f t="shared" si="74"/>
        <v/>
      </c>
      <c r="U555" s="140" t="str">
        <f t="shared" si="75"/>
        <v/>
      </c>
      <c r="V555" s="99"/>
    </row>
    <row r="556" spans="1:22">
      <c r="A556" s="92"/>
      <c r="B556" s="141" t="s">
        <v>380</v>
      </c>
      <c r="C556" s="143"/>
      <c r="D556" s="142"/>
      <c r="E556" s="144">
        <v>0.3</v>
      </c>
      <c r="F556" s="139"/>
      <c r="G556" s="98">
        <v>12</v>
      </c>
      <c r="H556" s="99">
        <v>1</v>
      </c>
      <c r="I556" s="99">
        <v>8</v>
      </c>
      <c r="J556" s="109">
        <f>D554</f>
        <v>0.74299999999999999</v>
      </c>
      <c r="K556" s="110" t="str">
        <f t="shared" si="85"/>
        <v>0</v>
      </c>
      <c r="L556" s="111">
        <v>1</v>
      </c>
      <c r="M556" s="99">
        <f t="shared" si="86"/>
        <v>2.4E-2</v>
      </c>
      <c r="N556" s="112">
        <f>J556+E556-M556</f>
        <v>1.0189999999999999</v>
      </c>
      <c r="O556" s="112">
        <f t="shared" si="84"/>
        <v>8.1519999999999992</v>
      </c>
      <c r="P556" s="140" t="str">
        <f t="shared" si="70"/>
        <v/>
      </c>
      <c r="Q556" s="140" t="str">
        <f t="shared" si="71"/>
        <v/>
      </c>
      <c r="R556" s="140">
        <f t="shared" si="72"/>
        <v>8.1519999999999992</v>
      </c>
      <c r="S556" s="140" t="str">
        <f t="shared" si="73"/>
        <v/>
      </c>
      <c r="T556" s="140" t="str">
        <f t="shared" si="74"/>
        <v/>
      </c>
      <c r="U556" s="140" t="str">
        <f t="shared" si="75"/>
        <v/>
      </c>
      <c r="V556" s="99"/>
    </row>
    <row r="557" spans="1:22">
      <c r="A557" s="92"/>
      <c r="B557" s="141" t="s">
        <v>381</v>
      </c>
      <c r="C557" s="136"/>
      <c r="D557" s="137"/>
      <c r="E557" s="138"/>
      <c r="F557" s="139"/>
      <c r="G557" s="98">
        <v>10</v>
      </c>
      <c r="H557" s="99">
        <v>1</v>
      </c>
      <c r="I557" s="99">
        <v>22</v>
      </c>
      <c r="J557" s="109">
        <f>D554</f>
        <v>0.74299999999999999</v>
      </c>
      <c r="K557" s="110" t="str">
        <f t="shared" si="85"/>
        <v>0</v>
      </c>
      <c r="L557" s="111">
        <v>1</v>
      </c>
      <c r="M557" s="99">
        <f t="shared" si="86"/>
        <v>0.02</v>
      </c>
      <c r="N557" s="112">
        <f>J557+E556-M557</f>
        <v>1.0229999999999999</v>
      </c>
      <c r="O557" s="112">
        <f t="shared" si="84"/>
        <v>22.505999999999997</v>
      </c>
      <c r="P557" s="140" t="str">
        <f t="shared" si="70"/>
        <v/>
      </c>
      <c r="Q557" s="140">
        <f t="shared" si="71"/>
        <v>22.505999999999997</v>
      </c>
      <c r="R557" s="140" t="str">
        <f t="shared" si="72"/>
        <v/>
      </c>
      <c r="S557" s="140" t="str">
        <f t="shared" si="73"/>
        <v/>
      </c>
      <c r="T557" s="140" t="str">
        <f t="shared" si="74"/>
        <v/>
      </c>
      <c r="U557" s="140" t="str">
        <f t="shared" si="75"/>
        <v/>
      </c>
      <c r="V557" s="99"/>
    </row>
    <row r="558" spans="1:22">
      <c r="A558" s="92"/>
      <c r="B558" s="141"/>
      <c r="C558" s="136"/>
      <c r="D558" s="137"/>
      <c r="E558" s="138"/>
      <c r="F558" s="139"/>
      <c r="G558" s="98"/>
      <c r="H558" s="99"/>
      <c r="I558" s="99"/>
      <c r="J558" s="109"/>
      <c r="K558" s="110"/>
      <c r="L558" s="111"/>
      <c r="M558" s="99"/>
      <c r="N558" s="112"/>
      <c r="O558" s="112"/>
      <c r="P558" s="140"/>
      <c r="Q558" s="140"/>
      <c r="R558" s="140"/>
      <c r="S558" s="140"/>
      <c r="T558" s="140"/>
      <c r="U558" s="140"/>
      <c r="V558" s="99"/>
    </row>
    <row r="559" spans="1:22">
      <c r="A559" s="92"/>
      <c r="B559" s="92"/>
      <c r="C559" s="145">
        <v>0.08</v>
      </c>
      <c r="D559" s="137"/>
      <c r="E559" s="138"/>
      <c r="F559" s="139"/>
      <c r="G559" s="98"/>
      <c r="H559" s="99"/>
      <c r="I559" s="99"/>
      <c r="J559" s="100"/>
      <c r="K559" s="99"/>
      <c r="L559" s="99"/>
      <c r="M559" s="99"/>
      <c r="N559" s="99"/>
      <c r="O559" s="101"/>
      <c r="P559" s="140" t="str">
        <f t="shared" si="70"/>
        <v/>
      </c>
      <c r="Q559" s="140" t="str">
        <f t="shared" si="71"/>
        <v/>
      </c>
      <c r="R559" s="140" t="str">
        <f t="shared" si="72"/>
        <v/>
      </c>
      <c r="S559" s="140" t="str">
        <f t="shared" si="73"/>
        <v/>
      </c>
      <c r="T559" s="140" t="str">
        <f t="shared" si="74"/>
        <v/>
      </c>
      <c r="U559" s="140" t="str">
        <f t="shared" si="75"/>
        <v/>
      </c>
      <c r="V559" s="99"/>
    </row>
    <row r="560" spans="1:22">
      <c r="A560" s="92"/>
      <c r="B560" s="146" t="s">
        <v>382</v>
      </c>
      <c r="C560" s="147"/>
      <c r="D560" s="137"/>
      <c r="E560" s="148">
        <f>((3.445-0.05-0.016)/22)*5+0.016+0.02</f>
        <v>0.80395454545454548</v>
      </c>
      <c r="F560" s="139"/>
      <c r="G560" s="98">
        <v>10</v>
      </c>
      <c r="H560" s="99">
        <v>1</v>
      </c>
      <c r="I560" s="99">
        <f>4*2</f>
        <v>8</v>
      </c>
      <c r="J560" s="149">
        <f>2*(D562+E560)+2*8*G560/1000</f>
        <v>2.1279090909090912</v>
      </c>
      <c r="K560" s="99"/>
      <c r="L560" s="99">
        <v>5</v>
      </c>
      <c r="M560" s="112">
        <f>2*G560*L560/1000</f>
        <v>0.1</v>
      </c>
      <c r="N560" s="112">
        <f>(J560+K560-M560)</f>
        <v>2.0279090909090911</v>
      </c>
      <c r="O560" s="112">
        <f>(H560*I560*N560)</f>
        <v>16.223272727272729</v>
      </c>
      <c r="P560" s="140" t="str">
        <f t="shared" si="70"/>
        <v/>
      </c>
      <c r="Q560" s="140">
        <f t="shared" si="71"/>
        <v>16.223272727272729</v>
      </c>
      <c r="R560" s="140" t="str">
        <f t="shared" si="72"/>
        <v/>
      </c>
      <c r="S560" s="140" t="str">
        <f t="shared" si="73"/>
        <v/>
      </c>
      <c r="T560" s="140" t="str">
        <f t="shared" si="74"/>
        <v/>
      </c>
      <c r="U560" s="140" t="str">
        <f t="shared" si="75"/>
        <v/>
      </c>
      <c r="V560" s="99"/>
    </row>
    <row r="561" spans="1:22">
      <c r="A561" s="92"/>
      <c r="B561" s="146"/>
      <c r="C561" s="136"/>
      <c r="D561" s="137"/>
      <c r="E561" s="150"/>
      <c r="F561" s="139"/>
      <c r="G561" s="98"/>
      <c r="H561" s="99"/>
      <c r="I561" s="99"/>
      <c r="J561" s="100"/>
      <c r="K561" s="99"/>
      <c r="L561" s="99"/>
      <c r="M561" s="99"/>
      <c r="N561" s="99"/>
      <c r="O561" s="112"/>
      <c r="P561" s="140" t="str">
        <f t="shared" si="70"/>
        <v/>
      </c>
      <c r="Q561" s="140" t="str">
        <f t="shared" si="71"/>
        <v/>
      </c>
      <c r="R561" s="140" t="str">
        <f t="shared" si="72"/>
        <v/>
      </c>
      <c r="S561" s="140" t="str">
        <f t="shared" si="73"/>
        <v/>
      </c>
      <c r="T561" s="140" t="str">
        <f t="shared" si="74"/>
        <v/>
      </c>
      <c r="U561" s="140" t="str">
        <f t="shared" si="75"/>
        <v/>
      </c>
      <c r="V561" s="99"/>
    </row>
    <row r="562" spans="1:22">
      <c r="A562" s="92"/>
      <c r="B562" s="146"/>
      <c r="C562" s="136"/>
      <c r="D562" s="109">
        <f>0.23-0.05</f>
        <v>0.18</v>
      </c>
      <c r="E562" s="399"/>
      <c r="F562" s="139"/>
      <c r="G562" s="98"/>
      <c r="H562" s="99"/>
      <c r="I562" s="99"/>
      <c r="J562" s="100"/>
      <c r="K562" s="99"/>
      <c r="L562" s="99"/>
      <c r="M562" s="99"/>
      <c r="N562" s="99"/>
      <c r="O562" s="112"/>
      <c r="P562" s="140" t="str">
        <f t="shared" si="70"/>
        <v/>
      </c>
      <c r="Q562" s="140" t="str">
        <f t="shared" si="71"/>
        <v/>
      </c>
      <c r="R562" s="140" t="str">
        <f t="shared" si="72"/>
        <v/>
      </c>
      <c r="S562" s="140" t="str">
        <f t="shared" si="73"/>
        <v/>
      </c>
      <c r="T562" s="140" t="str">
        <f t="shared" si="74"/>
        <v/>
      </c>
      <c r="U562" s="140" t="str">
        <f t="shared" si="75"/>
        <v/>
      </c>
      <c r="V562" s="99"/>
    </row>
    <row r="563" spans="1:22">
      <c r="A563" s="92"/>
      <c r="B563" s="141"/>
      <c r="C563" s="136"/>
      <c r="D563" s="137"/>
      <c r="E563" s="138"/>
      <c r="F563" s="139"/>
      <c r="G563" s="98"/>
      <c r="H563" s="99"/>
      <c r="I563" s="99"/>
      <c r="J563" s="109"/>
      <c r="K563" s="110"/>
      <c r="L563" s="111"/>
      <c r="M563" s="99"/>
      <c r="N563" s="112"/>
      <c r="O563" s="112"/>
      <c r="P563" s="140"/>
      <c r="Q563" s="140"/>
      <c r="R563" s="140"/>
      <c r="S563" s="140"/>
      <c r="T563" s="140"/>
      <c r="U563" s="140"/>
      <c r="V563" s="99"/>
    </row>
    <row r="564" spans="1:22">
      <c r="A564" s="92"/>
      <c r="B564" s="92"/>
      <c r="C564" s="145">
        <v>0.08</v>
      </c>
      <c r="D564" s="137"/>
      <c r="E564" s="138"/>
      <c r="F564" s="139"/>
      <c r="G564" s="98"/>
      <c r="H564" s="99"/>
      <c r="I564" s="99"/>
      <c r="J564" s="100"/>
      <c r="K564" s="99"/>
      <c r="L564" s="99"/>
      <c r="M564" s="99"/>
      <c r="N564" s="99"/>
      <c r="O564" s="101"/>
      <c r="P564" s="140" t="str">
        <f t="shared" si="70"/>
        <v/>
      </c>
      <c r="Q564" s="140" t="str">
        <f t="shared" si="71"/>
        <v/>
      </c>
      <c r="R564" s="140" t="str">
        <f t="shared" si="72"/>
        <v/>
      </c>
      <c r="S564" s="140" t="str">
        <f t="shared" si="73"/>
        <v/>
      </c>
      <c r="T564" s="140" t="str">
        <f t="shared" si="74"/>
        <v/>
      </c>
      <c r="U564" s="140" t="str">
        <f t="shared" si="75"/>
        <v/>
      </c>
      <c r="V564" s="99"/>
    </row>
    <row r="565" spans="1:22">
      <c r="A565" s="92"/>
      <c r="B565" s="146" t="s">
        <v>383</v>
      </c>
      <c r="C565" s="147"/>
      <c r="D565" s="137"/>
      <c r="E565" s="148">
        <f>((3.445-0.05-0.016)/22)*12+0.016+0.02</f>
        <v>1.8790909090909089</v>
      </c>
      <c r="F565" s="139"/>
      <c r="G565" s="98">
        <v>10</v>
      </c>
      <c r="H565" s="99">
        <v>1</v>
      </c>
      <c r="I565" s="99">
        <v>4</v>
      </c>
      <c r="J565" s="149">
        <f>2*(D567+E565)+2*8*G565/1000</f>
        <v>4.2781818181818183</v>
      </c>
      <c r="K565" s="99"/>
      <c r="L565" s="99">
        <v>5</v>
      </c>
      <c r="M565" s="112">
        <f>2*G565*L565/1000</f>
        <v>0.1</v>
      </c>
      <c r="N565" s="112">
        <f>(J565+K565-M565)</f>
        <v>4.1781818181818187</v>
      </c>
      <c r="O565" s="112">
        <f>(H565*I565*N565)</f>
        <v>16.712727272727275</v>
      </c>
      <c r="P565" s="140" t="str">
        <f t="shared" si="70"/>
        <v/>
      </c>
      <c r="Q565" s="140">
        <f t="shared" si="71"/>
        <v>16.712727272727275</v>
      </c>
      <c r="R565" s="140" t="str">
        <f t="shared" si="72"/>
        <v/>
      </c>
      <c r="S565" s="140" t="str">
        <f t="shared" si="73"/>
        <v/>
      </c>
      <c r="T565" s="140" t="str">
        <f t="shared" si="74"/>
        <v/>
      </c>
      <c r="U565" s="140" t="str">
        <f t="shared" si="75"/>
        <v/>
      </c>
      <c r="V565" s="99"/>
    </row>
    <row r="566" spans="1:22">
      <c r="A566" s="92"/>
      <c r="B566" s="146"/>
      <c r="C566" s="136"/>
      <c r="D566" s="137"/>
      <c r="E566" s="150"/>
      <c r="F566" s="139"/>
      <c r="G566" s="98"/>
      <c r="H566" s="99"/>
      <c r="I566" s="99"/>
      <c r="J566" s="100"/>
      <c r="K566" s="99"/>
      <c r="L566" s="99"/>
      <c r="M566" s="99"/>
      <c r="N566" s="99"/>
      <c r="O566" s="112"/>
      <c r="P566" s="140" t="str">
        <f t="shared" si="70"/>
        <v/>
      </c>
      <c r="Q566" s="140" t="str">
        <f t="shared" si="71"/>
        <v/>
      </c>
      <c r="R566" s="140" t="str">
        <f t="shared" si="72"/>
        <v/>
      </c>
      <c r="S566" s="140" t="str">
        <f t="shared" si="73"/>
        <v/>
      </c>
      <c r="T566" s="140" t="str">
        <f t="shared" si="74"/>
        <v/>
      </c>
      <c r="U566" s="140" t="str">
        <f t="shared" si="75"/>
        <v/>
      </c>
      <c r="V566" s="99"/>
    </row>
    <row r="567" spans="1:22">
      <c r="A567" s="92"/>
      <c r="B567" s="146"/>
      <c r="C567" s="136"/>
      <c r="D567" s="109">
        <f>0.23-0.05</f>
        <v>0.18</v>
      </c>
      <c r="E567" s="138"/>
      <c r="F567" s="139"/>
      <c r="G567" s="98"/>
      <c r="H567" s="99"/>
      <c r="I567" s="99"/>
      <c r="J567" s="100"/>
      <c r="K567" s="99"/>
      <c r="L567" s="99"/>
      <c r="M567" s="99"/>
      <c r="N567" s="99"/>
      <c r="O567" s="112"/>
      <c r="P567" s="140" t="str">
        <f t="shared" si="70"/>
        <v/>
      </c>
      <c r="Q567" s="140" t="str">
        <f t="shared" si="71"/>
        <v/>
      </c>
      <c r="R567" s="140" t="str">
        <f t="shared" si="72"/>
        <v/>
      </c>
      <c r="S567" s="140" t="str">
        <f t="shared" si="73"/>
        <v/>
      </c>
      <c r="T567" s="140" t="str">
        <f t="shared" si="74"/>
        <v/>
      </c>
      <c r="U567" s="140" t="str">
        <f t="shared" si="75"/>
        <v/>
      </c>
      <c r="V567" s="99"/>
    </row>
    <row r="568" spans="1:22">
      <c r="A568" s="92"/>
      <c r="B568" s="141"/>
      <c r="C568" s="136"/>
      <c r="D568" s="137"/>
      <c r="E568" s="138"/>
      <c r="F568" s="139"/>
      <c r="G568" s="98"/>
      <c r="H568" s="99"/>
      <c r="I568" s="99"/>
      <c r="J568" s="109"/>
      <c r="K568" s="110"/>
      <c r="L568" s="111"/>
      <c r="M568" s="99"/>
      <c r="N568" s="112"/>
      <c r="O568" s="112"/>
      <c r="P568" s="140"/>
      <c r="Q568" s="140"/>
      <c r="R568" s="140"/>
      <c r="S568" s="140"/>
      <c r="T568" s="140"/>
      <c r="U568" s="140"/>
      <c r="V568" s="99"/>
    </row>
    <row r="569" spans="1:22">
      <c r="A569" s="92"/>
      <c r="B569" s="92"/>
      <c r="C569" s="145">
        <v>0.08</v>
      </c>
      <c r="D569" s="137"/>
      <c r="E569" s="138"/>
      <c r="F569" s="139"/>
      <c r="G569" s="98"/>
      <c r="H569" s="99"/>
      <c r="I569" s="99"/>
      <c r="J569" s="100"/>
      <c r="K569" s="99"/>
      <c r="L569" s="99"/>
      <c r="M569" s="99"/>
      <c r="N569" s="99"/>
      <c r="O569" s="101"/>
      <c r="P569" s="140" t="str">
        <f t="shared" si="70"/>
        <v/>
      </c>
      <c r="Q569" s="140" t="str">
        <f t="shared" si="71"/>
        <v/>
      </c>
      <c r="R569" s="140" t="str">
        <f t="shared" si="72"/>
        <v/>
      </c>
      <c r="S569" s="140" t="str">
        <f t="shared" si="73"/>
        <v/>
      </c>
      <c r="T569" s="140" t="str">
        <f t="shared" si="74"/>
        <v/>
      </c>
      <c r="U569" s="140" t="str">
        <f t="shared" si="75"/>
        <v/>
      </c>
      <c r="V569" s="99"/>
    </row>
    <row r="570" spans="1:22">
      <c r="A570" s="92"/>
      <c r="B570" s="146" t="s">
        <v>384</v>
      </c>
      <c r="C570" s="147"/>
      <c r="D570" s="137"/>
      <c r="E570" s="148">
        <f>((3.445-0.05-0.016)/22)+0.016+0.02</f>
        <v>0.18959090909090906</v>
      </c>
      <c r="F570" s="139"/>
      <c r="G570" s="98">
        <v>10</v>
      </c>
      <c r="H570" s="99">
        <v>1</v>
      </c>
      <c r="I570" s="99">
        <v>4</v>
      </c>
      <c r="J570" s="149">
        <f>2*(D572+E570)+2*8*G570/1000</f>
        <v>0.89918181818181819</v>
      </c>
      <c r="K570" s="99"/>
      <c r="L570" s="99">
        <v>5</v>
      </c>
      <c r="M570" s="112">
        <f>2*G570*L570/1000</f>
        <v>0.1</v>
      </c>
      <c r="N570" s="112">
        <f>(J570+K570-M570)</f>
        <v>0.79918181818181822</v>
      </c>
      <c r="O570" s="112">
        <f>(H570*I570*N570)</f>
        <v>3.1967272727272729</v>
      </c>
      <c r="P570" s="140" t="str">
        <f t="shared" si="70"/>
        <v/>
      </c>
      <c r="Q570" s="140">
        <f t="shared" si="71"/>
        <v>3.1967272727272729</v>
      </c>
      <c r="R570" s="140" t="str">
        <f t="shared" si="72"/>
        <v/>
      </c>
      <c r="S570" s="140" t="str">
        <f t="shared" si="73"/>
        <v/>
      </c>
      <c r="T570" s="140" t="str">
        <f t="shared" si="74"/>
        <v/>
      </c>
      <c r="U570" s="140" t="str">
        <f t="shared" si="75"/>
        <v/>
      </c>
      <c r="V570" s="99"/>
    </row>
    <row r="571" spans="1:22">
      <c r="A571" s="92"/>
      <c r="B571" s="146"/>
      <c r="C571" s="136"/>
      <c r="D571" s="137"/>
      <c r="E571" s="150"/>
      <c r="F571" s="139"/>
      <c r="G571" s="98"/>
      <c r="H571" s="99"/>
      <c r="I571" s="99"/>
      <c r="J571" s="100"/>
      <c r="K571" s="99"/>
      <c r="L571" s="99"/>
      <c r="M571" s="99"/>
      <c r="N571" s="99"/>
      <c r="O571" s="112"/>
      <c r="P571" s="140" t="str">
        <f t="shared" si="70"/>
        <v/>
      </c>
      <c r="Q571" s="140" t="str">
        <f t="shared" si="71"/>
        <v/>
      </c>
      <c r="R571" s="140" t="str">
        <f t="shared" si="72"/>
        <v/>
      </c>
      <c r="S571" s="140" t="str">
        <f t="shared" si="73"/>
        <v/>
      </c>
      <c r="T571" s="140" t="str">
        <f t="shared" si="74"/>
        <v/>
      </c>
      <c r="U571" s="140" t="str">
        <f t="shared" si="75"/>
        <v/>
      </c>
      <c r="V571" s="99"/>
    </row>
    <row r="572" spans="1:22">
      <c r="A572" s="92"/>
      <c r="B572" s="146"/>
      <c r="C572" s="136"/>
      <c r="D572" s="109">
        <f>0.23-0.05</f>
        <v>0.18</v>
      </c>
      <c r="E572" s="138"/>
      <c r="F572" s="139"/>
      <c r="G572" s="98"/>
      <c r="H572" s="99"/>
      <c r="I572" s="99"/>
      <c r="J572" s="100"/>
      <c r="K572" s="99"/>
      <c r="L572" s="99"/>
      <c r="M572" s="99"/>
      <c r="N572" s="99"/>
      <c r="O572" s="112"/>
      <c r="P572" s="140" t="str">
        <f t="shared" si="70"/>
        <v/>
      </c>
      <c r="Q572" s="140" t="str">
        <f t="shared" si="71"/>
        <v/>
      </c>
      <c r="R572" s="140" t="str">
        <f t="shared" si="72"/>
        <v/>
      </c>
      <c r="S572" s="140" t="str">
        <f t="shared" si="73"/>
        <v/>
      </c>
      <c r="T572" s="140" t="str">
        <f t="shared" si="74"/>
        <v/>
      </c>
      <c r="U572" s="140" t="str">
        <f t="shared" si="75"/>
        <v/>
      </c>
      <c r="V572" s="99"/>
    </row>
    <row r="573" spans="1:22">
      <c r="A573" s="92"/>
      <c r="B573" s="141"/>
      <c r="C573" s="136"/>
      <c r="D573" s="137"/>
      <c r="E573" s="138"/>
      <c r="F573" s="139"/>
      <c r="G573" s="98"/>
      <c r="H573" s="99"/>
      <c r="I573" s="99"/>
      <c r="J573" s="100"/>
      <c r="K573" s="99"/>
      <c r="L573" s="99"/>
      <c r="M573" s="99"/>
      <c r="N573" s="99"/>
      <c r="O573" s="101"/>
      <c r="P573" s="140" t="str">
        <f t="shared" si="70"/>
        <v/>
      </c>
      <c r="Q573" s="140" t="str">
        <f t="shared" si="71"/>
        <v/>
      </c>
      <c r="R573" s="140" t="str">
        <f t="shared" si="72"/>
        <v/>
      </c>
      <c r="S573" s="140" t="str">
        <f t="shared" si="73"/>
        <v/>
      </c>
      <c r="T573" s="140" t="str">
        <f t="shared" si="74"/>
        <v/>
      </c>
      <c r="U573" s="140" t="str">
        <f t="shared" si="75"/>
        <v/>
      </c>
      <c r="V573" s="99"/>
    </row>
    <row r="574" spans="1:22">
      <c r="A574" s="92"/>
      <c r="B574" s="141"/>
      <c r="C574" s="136"/>
      <c r="D574" s="137"/>
      <c r="E574" s="144">
        <v>0.08</v>
      </c>
      <c r="F574" s="139"/>
      <c r="G574" s="98"/>
      <c r="H574" s="99"/>
      <c r="I574" s="99"/>
      <c r="J574" s="100"/>
      <c r="K574" s="99"/>
      <c r="L574" s="99"/>
      <c r="M574" s="99"/>
      <c r="N574" s="99"/>
      <c r="O574" s="101"/>
      <c r="P574" s="140" t="str">
        <f t="shared" si="70"/>
        <v/>
      </c>
      <c r="Q574" s="140" t="str">
        <f t="shared" si="71"/>
        <v/>
      </c>
      <c r="R574" s="140" t="str">
        <f t="shared" si="72"/>
        <v/>
      </c>
      <c r="S574" s="140" t="str">
        <f t="shared" si="73"/>
        <v/>
      </c>
      <c r="T574" s="140" t="str">
        <f t="shared" si="74"/>
        <v/>
      </c>
      <c r="U574" s="140" t="str">
        <f t="shared" si="75"/>
        <v/>
      </c>
      <c r="V574" s="99"/>
    </row>
    <row r="575" spans="1:22">
      <c r="A575" s="92"/>
      <c r="B575" s="146" t="s">
        <v>385</v>
      </c>
      <c r="C575" s="136"/>
      <c r="D575" s="142">
        <f>0.23-0.05</f>
        <v>0.18</v>
      </c>
      <c r="E575" s="144"/>
      <c r="F575" s="139"/>
      <c r="G575" s="98">
        <v>10</v>
      </c>
      <c r="H575" s="99">
        <v>1</v>
      </c>
      <c r="I575" s="99">
        <v>5</v>
      </c>
      <c r="J575" s="149">
        <f>D575+E574+E576</f>
        <v>0.34</v>
      </c>
      <c r="K575" s="99"/>
      <c r="L575" s="99">
        <v>2</v>
      </c>
      <c r="M575" s="112">
        <f>2*G575*L575/1000</f>
        <v>0.04</v>
      </c>
      <c r="N575" s="112">
        <f>(J575+K575-M575)</f>
        <v>0.30000000000000004</v>
      </c>
      <c r="O575" s="112">
        <f>(H575*I575*N575)</f>
        <v>1.5000000000000002</v>
      </c>
      <c r="P575" s="140" t="str">
        <f t="shared" si="70"/>
        <v/>
      </c>
      <c r="Q575" s="140">
        <f t="shared" si="71"/>
        <v>1.5000000000000002</v>
      </c>
      <c r="R575" s="140" t="str">
        <f t="shared" si="72"/>
        <v/>
      </c>
      <c r="S575" s="140" t="str">
        <f t="shared" si="73"/>
        <v/>
      </c>
      <c r="T575" s="140" t="str">
        <f t="shared" si="74"/>
        <v/>
      </c>
      <c r="U575" s="140" t="str">
        <f t="shared" si="75"/>
        <v/>
      </c>
      <c r="V575" s="99"/>
    </row>
    <row r="576" spans="1:22">
      <c r="A576" s="92"/>
      <c r="B576" s="141"/>
      <c r="C576" s="136"/>
      <c r="D576" s="137"/>
      <c r="E576" s="144">
        <v>0.08</v>
      </c>
      <c r="F576" s="139"/>
      <c r="G576" s="98"/>
      <c r="H576" s="99"/>
      <c r="I576" s="99"/>
      <c r="J576" s="100"/>
      <c r="K576" s="99"/>
      <c r="L576" s="99"/>
      <c r="M576" s="99"/>
      <c r="N576" s="99"/>
      <c r="O576" s="101"/>
      <c r="P576" s="140" t="str">
        <f t="shared" si="70"/>
        <v/>
      </c>
      <c r="Q576" s="140" t="str">
        <f t="shared" si="71"/>
        <v/>
      </c>
      <c r="R576" s="140" t="str">
        <f t="shared" si="72"/>
        <v/>
      </c>
      <c r="S576" s="140" t="str">
        <f t="shared" si="73"/>
        <v/>
      </c>
      <c r="T576" s="140" t="str">
        <f t="shared" si="74"/>
        <v/>
      </c>
      <c r="U576" s="140" t="str">
        <f t="shared" si="75"/>
        <v/>
      </c>
      <c r="V576" s="99"/>
    </row>
    <row r="577" spans="1:22">
      <c r="A577" s="92"/>
      <c r="B577" s="146"/>
      <c r="C577" s="136"/>
      <c r="D577" s="152"/>
      <c r="E577" s="138"/>
      <c r="F577" s="139"/>
      <c r="G577" s="98"/>
      <c r="H577" s="99"/>
      <c r="I577" s="99"/>
      <c r="J577" s="100"/>
      <c r="K577" s="99"/>
      <c r="L577" s="99"/>
      <c r="M577" s="99"/>
      <c r="N577" s="99"/>
      <c r="O577" s="101"/>
      <c r="P577" s="140" t="str">
        <f t="shared" si="70"/>
        <v/>
      </c>
      <c r="Q577" s="140" t="str">
        <f t="shared" si="71"/>
        <v/>
      </c>
      <c r="R577" s="140" t="str">
        <f t="shared" si="72"/>
        <v/>
      </c>
      <c r="S577" s="140" t="str">
        <f t="shared" si="73"/>
        <v/>
      </c>
      <c r="T577" s="140" t="str">
        <f t="shared" si="74"/>
        <v/>
      </c>
      <c r="U577" s="140" t="str">
        <f t="shared" si="75"/>
        <v/>
      </c>
      <c r="V577" s="99"/>
    </row>
    <row r="578" spans="1:22">
      <c r="A578" s="92">
        <v>21</v>
      </c>
      <c r="B578" s="92" t="s">
        <v>455</v>
      </c>
      <c r="C578" s="136"/>
      <c r="D578" s="259">
        <v>0.1</v>
      </c>
      <c r="E578" s="138"/>
      <c r="F578" s="139"/>
      <c r="G578" s="98"/>
      <c r="H578" s="99"/>
      <c r="I578" s="99"/>
      <c r="J578" s="109"/>
      <c r="K578" s="112"/>
      <c r="L578" s="112"/>
      <c r="M578" s="99"/>
      <c r="N578" s="112"/>
      <c r="O578" s="112"/>
      <c r="P578" s="140" t="str">
        <f>IF($G578=8,$O578,"")</f>
        <v/>
      </c>
      <c r="Q578" s="140" t="str">
        <f>IF($G578=10,$O578,"")</f>
        <v/>
      </c>
      <c r="R578" s="140" t="str">
        <f>IF($G578=12,$O578,"")</f>
        <v/>
      </c>
      <c r="S578" s="140" t="str">
        <f>IF($G578=16,$O578,"")</f>
        <v/>
      </c>
      <c r="T578" s="140" t="str">
        <f>IF($G578=20,$O578,"")</f>
        <v/>
      </c>
      <c r="U578" s="140" t="str">
        <f>IF($G578=25,$O578,"")</f>
        <v/>
      </c>
      <c r="V578" s="99"/>
    </row>
    <row r="579" spans="1:22">
      <c r="A579" s="92"/>
      <c r="B579" s="141" t="s">
        <v>456</v>
      </c>
      <c r="C579" s="136"/>
      <c r="D579" s="142">
        <f>49*0.01+1.8+0.45-0.04</f>
        <v>2.7</v>
      </c>
      <c r="E579" s="138"/>
      <c r="F579" s="139"/>
      <c r="G579" s="98">
        <v>10</v>
      </c>
      <c r="H579" s="99">
        <v>4</v>
      </c>
      <c r="I579" s="458">
        <f>2*(1.9/0.15)+1</f>
        <v>26.333333333333332</v>
      </c>
      <c r="J579" s="109">
        <f>D579</f>
        <v>2.7</v>
      </c>
      <c r="K579" s="110" t="str">
        <f>IF(N579&lt;12,"0",0.049*G579)</f>
        <v>0</v>
      </c>
      <c r="L579" s="111">
        <v>1</v>
      </c>
      <c r="M579" s="99">
        <f>2*G579*L579/1000</f>
        <v>0.02</v>
      </c>
      <c r="N579" s="112">
        <f>J579+D578-M579</f>
        <v>2.7800000000000002</v>
      </c>
      <c r="O579" s="112">
        <f t="shared" ref="O579" si="87">H579*I579*N579</f>
        <v>292.82666666666665</v>
      </c>
      <c r="P579" s="140" t="str">
        <f t="shared" si="70"/>
        <v/>
      </c>
      <c r="Q579" s="140">
        <f t="shared" si="71"/>
        <v>292.82666666666665</v>
      </c>
      <c r="R579" s="140" t="str">
        <f t="shared" si="72"/>
        <v/>
      </c>
      <c r="S579" s="140" t="str">
        <f t="shared" si="73"/>
        <v/>
      </c>
      <c r="T579" s="140" t="str">
        <f t="shared" si="74"/>
        <v/>
      </c>
      <c r="U579" s="140" t="str">
        <f t="shared" si="75"/>
        <v/>
      </c>
      <c r="V579" s="99"/>
    </row>
    <row r="580" spans="1:22">
      <c r="A580" s="92"/>
      <c r="B580" s="141"/>
      <c r="C580" s="136"/>
      <c r="D580" s="137"/>
      <c r="E580" s="138"/>
      <c r="F580" s="139"/>
      <c r="G580" s="98"/>
      <c r="H580" s="99"/>
      <c r="I580" s="99"/>
      <c r="J580" s="109"/>
      <c r="K580" s="110"/>
      <c r="L580" s="111"/>
      <c r="M580" s="99"/>
      <c r="N580" s="112"/>
      <c r="O580" s="112"/>
      <c r="P580" s="140" t="str">
        <f t="shared" si="70"/>
        <v/>
      </c>
      <c r="Q580" s="140" t="str">
        <f t="shared" si="71"/>
        <v/>
      </c>
      <c r="R580" s="140" t="str">
        <f t="shared" si="72"/>
        <v/>
      </c>
      <c r="S580" s="140" t="str">
        <f t="shared" si="73"/>
        <v/>
      </c>
      <c r="T580" s="140" t="str">
        <f t="shared" si="74"/>
        <v/>
      </c>
      <c r="U580" s="140" t="str">
        <f t="shared" si="75"/>
        <v/>
      </c>
      <c r="V580" s="99"/>
    </row>
    <row r="581" spans="1:22">
      <c r="A581" s="92"/>
      <c r="B581" s="141"/>
      <c r="C581" s="143"/>
      <c r="D581" s="142"/>
      <c r="E581" s="144"/>
      <c r="F581" s="139"/>
      <c r="G581" s="98"/>
      <c r="H581" s="99"/>
      <c r="I581" s="99"/>
      <c r="J581" s="109"/>
      <c r="K581" s="110"/>
      <c r="L581" s="111"/>
      <c r="M581" s="99"/>
      <c r="N581" s="112"/>
      <c r="O581" s="112"/>
      <c r="P581" s="140" t="str">
        <f t="shared" si="70"/>
        <v/>
      </c>
      <c r="Q581" s="140" t="str">
        <f t="shared" si="71"/>
        <v/>
      </c>
      <c r="R581" s="140" t="str">
        <f t="shared" si="72"/>
        <v/>
      </c>
      <c r="S581" s="140" t="str">
        <f t="shared" si="73"/>
        <v/>
      </c>
      <c r="T581" s="140" t="str">
        <f t="shared" si="74"/>
        <v/>
      </c>
      <c r="U581" s="140" t="str">
        <f t="shared" si="75"/>
        <v/>
      </c>
      <c r="V581" s="99"/>
    </row>
    <row r="582" spans="1:22">
      <c r="A582" s="92"/>
      <c r="B582" s="146"/>
      <c r="C582" s="136"/>
      <c r="D582" s="152"/>
      <c r="E582" s="138"/>
      <c r="F582" s="139"/>
      <c r="G582" s="98"/>
      <c r="H582" s="99"/>
      <c r="I582" s="99"/>
      <c r="J582" s="100"/>
      <c r="K582" s="99"/>
      <c r="L582" s="99"/>
      <c r="M582" s="99"/>
      <c r="N582" s="99"/>
      <c r="O582" s="101"/>
      <c r="P582" s="140" t="str">
        <f t="shared" si="70"/>
        <v/>
      </c>
      <c r="Q582" s="140" t="str">
        <f t="shared" si="71"/>
        <v/>
      </c>
      <c r="R582" s="140" t="str">
        <f t="shared" si="72"/>
        <v/>
      </c>
      <c r="S582" s="140" t="str">
        <f t="shared" si="73"/>
        <v/>
      </c>
      <c r="T582" s="140" t="str">
        <f t="shared" si="74"/>
        <v/>
      </c>
      <c r="U582" s="140" t="str">
        <f t="shared" si="75"/>
        <v/>
      </c>
      <c r="V582" s="99"/>
    </row>
    <row r="583" spans="1:22">
      <c r="A583" s="92">
        <v>22</v>
      </c>
      <c r="B583" s="92" t="s">
        <v>576</v>
      </c>
      <c r="C583" s="136"/>
      <c r="D583" s="137"/>
      <c r="E583" s="138"/>
      <c r="F583" s="139"/>
      <c r="G583" s="98"/>
      <c r="H583" s="99"/>
      <c r="I583" s="99"/>
      <c r="J583" s="109"/>
      <c r="K583" s="112"/>
      <c r="L583" s="112"/>
      <c r="M583" s="99"/>
      <c r="N583" s="112"/>
      <c r="O583" s="112"/>
      <c r="P583" s="140" t="str">
        <f>IF($G583=8,$O583,"")</f>
        <v/>
      </c>
      <c r="Q583" s="140" t="str">
        <f>IF($G583=10,$O583,"")</f>
        <v/>
      </c>
      <c r="R583" s="140" t="str">
        <f>IF($G583=12,$O583,"")</f>
        <v/>
      </c>
      <c r="S583" s="140" t="str">
        <f>IF($G583=16,$O583,"")</f>
        <v/>
      </c>
      <c r="T583" s="140" t="str">
        <f>IF($G583=20,$O583,"")</f>
        <v/>
      </c>
      <c r="U583" s="140" t="str">
        <f>IF($G583=25,$O583,"")</f>
        <v/>
      </c>
      <c r="V583" s="99"/>
    </row>
    <row r="584" spans="1:22">
      <c r="A584" s="92"/>
      <c r="B584" s="141" t="s">
        <v>378</v>
      </c>
      <c r="C584" s="136"/>
      <c r="D584" s="142">
        <f>0.85-0.075-2*0.016</f>
        <v>0.74299999999999999</v>
      </c>
      <c r="E584" s="138"/>
      <c r="F584" s="139"/>
      <c r="G584" s="98">
        <v>16</v>
      </c>
      <c r="H584" s="99">
        <v>0.5</v>
      </c>
      <c r="I584" s="99">
        <v>8</v>
      </c>
      <c r="J584" s="109">
        <f>D584</f>
        <v>0.74299999999999999</v>
      </c>
      <c r="K584" s="110" t="str">
        <f>IF(N584&lt;12,"0",0.049*G584)</f>
        <v>0</v>
      </c>
      <c r="L584" s="111">
        <v>1</v>
      </c>
      <c r="M584" s="99">
        <f>2*G584*L584/1000</f>
        <v>3.2000000000000001E-2</v>
      </c>
      <c r="N584" s="112">
        <f>J584+E586-M584</f>
        <v>1.0109999999999999</v>
      </c>
      <c r="O584" s="112">
        <f t="shared" ref="O584:O588" si="88">H584*I584*N584</f>
        <v>4.0439999999999996</v>
      </c>
      <c r="P584" s="140" t="str">
        <f t="shared" si="70"/>
        <v/>
      </c>
      <c r="Q584" s="140" t="str">
        <f t="shared" si="71"/>
        <v/>
      </c>
      <c r="R584" s="140" t="str">
        <f t="shared" si="72"/>
        <v/>
      </c>
      <c r="S584" s="140">
        <f t="shared" si="73"/>
        <v>4.0439999999999996</v>
      </c>
      <c r="T584" s="140" t="str">
        <f t="shared" si="74"/>
        <v/>
      </c>
      <c r="U584" s="140" t="str">
        <f t="shared" si="75"/>
        <v/>
      </c>
      <c r="V584" s="99"/>
    </row>
    <row r="585" spans="1:22">
      <c r="A585" s="92"/>
      <c r="B585" s="141" t="s">
        <v>379</v>
      </c>
      <c r="C585" s="136"/>
      <c r="D585" s="137"/>
      <c r="E585" s="138"/>
      <c r="F585" s="139"/>
      <c r="G585" s="98">
        <v>16</v>
      </c>
      <c r="H585" s="99">
        <v>0.5</v>
      </c>
      <c r="I585" s="99">
        <v>8</v>
      </c>
      <c r="J585" s="109">
        <f>D584</f>
        <v>0.74299999999999999</v>
      </c>
      <c r="K585" s="110" t="str">
        <f t="shared" ref="K585:K588" si="89">IF(N585&lt;12,"0",0.049*G585)</f>
        <v>0</v>
      </c>
      <c r="L585" s="111">
        <v>1</v>
      </c>
      <c r="M585" s="99">
        <f t="shared" ref="M585:M588" si="90">2*G585*L585/1000</f>
        <v>3.2000000000000001E-2</v>
      </c>
      <c r="N585" s="112">
        <f>J585+E586-M585</f>
        <v>1.0109999999999999</v>
      </c>
      <c r="O585" s="112">
        <f t="shared" si="88"/>
        <v>4.0439999999999996</v>
      </c>
      <c r="P585" s="140" t="str">
        <f t="shared" si="70"/>
        <v/>
      </c>
      <c r="Q585" s="140" t="str">
        <f t="shared" si="71"/>
        <v/>
      </c>
      <c r="R585" s="140" t="str">
        <f t="shared" si="72"/>
        <v/>
      </c>
      <c r="S585" s="140">
        <f t="shared" si="73"/>
        <v>4.0439999999999996</v>
      </c>
      <c r="T585" s="140" t="str">
        <f t="shared" si="74"/>
        <v/>
      </c>
      <c r="U585" s="140" t="str">
        <f t="shared" si="75"/>
        <v/>
      </c>
      <c r="V585" s="99"/>
    </row>
    <row r="586" spans="1:22">
      <c r="A586" s="92"/>
      <c r="B586" s="141" t="s">
        <v>380</v>
      </c>
      <c r="C586" s="143"/>
      <c r="D586" s="142"/>
      <c r="E586" s="144">
        <v>0.3</v>
      </c>
      <c r="F586" s="139"/>
      <c r="G586" s="98">
        <v>16</v>
      </c>
      <c r="H586" s="99">
        <v>0.5</v>
      </c>
      <c r="I586" s="99">
        <v>8</v>
      </c>
      <c r="J586" s="109">
        <f>D584</f>
        <v>0.74299999999999999</v>
      </c>
      <c r="K586" s="110" t="str">
        <f t="shared" si="89"/>
        <v>0</v>
      </c>
      <c r="L586" s="111">
        <v>1</v>
      </c>
      <c r="M586" s="99">
        <f t="shared" si="90"/>
        <v>3.2000000000000001E-2</v>
      </c>
      <c r="N586" s="112">
        <f>J586+E586-M586</f>
        <v>1.0109999999999999</v>
      </c>
      <c r="O586" s="112">
        <f t="shared" si="88"/>
        <v>4.0439999999999996</v>
      </c>
      <c r="P586" s="140" t="str">
        <f t="shared" si="70"/>
        <v/>
      </c>
      <c r="Q586" s="140" t="str">
        <f t="shared" si="71"/>
        <v/>
      </c>
      <c r="R586" s="140" t="str">
        <f t="shared" si="72"/>
        <v/>
      </c>
      <c r="S586" s="140">
        <f t="shared" si="73"/>
        <v>4.0439999999999996</v>
      </c>
      <c r="T586" s="140" t="str">
        <f t="shared" si="74"/>
        <v/>
      </c>
      <c r="U586" s="140" t="str">
        <f t="shared" si="75"/>
        <v/>
      </c>
      <c r="V586" s="99"/>
    </row>
    <row r="587" spans="1:22">
      <c r="A587" s="92"/>
      <c r="B587" s="141" t="s">
        <v>381</v>
      </c>
      <c r="C587" s="136"/>
      <c r="D587" s="137"/>
      <c r="E587" s="138"/>
      <c r="F587" s="139"/>
      <c r="G587" s="98">
        <v>16</v>
      </c>
      <c r="H587" s="99">
        <v>0.5</v>
      </c>
      <c r="I587" s="99">
        <v>8</v>
      </c>
      <c r="J587" s="109">
        <f>D584</f>
        <v>0.74299999999999999</v>
      </c>
      <c r="K587" s="110" t="str">
        <f t="shared" si="89"/>
        <v>0</v>
      </c>
      <c r="L587" s="111">
        <v>1</v>
      </c>
      <c r="M587" s="99">
        <f t="shared" si="90"/>
        <v>3.2000000000000001E-2</v>
      </c>
      <c r="N587" s="112">
        <f>J587+E586-M587</f>
        <v>1.0109999999999999</v>
      </c>
      <c r="O587" s="112">
        <f t="shared" si="88"/>
        <v>4.0439999999999996</v>
      </c>
      <c r="P587" s="140" t="str">
        <f t="shared" si="70"/>
        <v/>
      </c>
      <c r="Q587" s="140" t="str">
        <f t="shared" si="71"/>
        <v/>
      </c>
      <c r="R587" s="140" t="str">
        <f t="shared" si="72"/>
        <v/>
      </c>
      <c r="S587" s="140">
        <f t="shared" si="73"/>
        <v>4.0439999999999996</v>
      </c>
      <c r="T587" s="140" t="str">
        <f t="shared" si="74"/>
        <v/>
      </c>
      <c r="U587" s="140" t="str">
        <f t="shared" si="75"/>
        <v/>
      </c>
      <c r="V587" s="99"/>
    </row>
    <row r="588" spans="1:22">
      <c r="A588" s="92"/>
      <c r="B588" s="141" t="s">
        <v>389</v>
      </c>
      <c r="C588" s="136"/>
      <c r="D588" s="137"/>
      <c r="E588" s="138"/>
      <c r="F588" s="139"/>
      <c r="G588" s="98">
        <v>16</v>
      </c>
      <c r="H588" s="99">
        <v>0.5</v>
      </c>
      <c r="I588" s="99">
        <v>8</v>
      </c>
      <c r="J588" s="109">
        <f>D584</f>
        <v>0.74299999999999999</v>
      </c>
      <c r="K588" s="110" t="str">
        <f t="shared" si="89"/>
        <v>0</v>
      </c>
      <c r="L588" s="111">
        <v>1</v>
      </c>
      <c r="M588" s="99">
        <f t="shared" si="90"/>
        <v>3.2000000000000001E-2</v>
      </c>
      <c r="N588" s="112">
        <f>J588+E586-M588</f>
        <v>1.0109999999999999</v>
      </c>
      <c r="O588" s="112">
        <f t="shared" si="88"/>
        <v>4.0439999999999996</v>
      </c>
      <c r="P588" s="140" t="str">
        <f t="shared" si="70"/>
        <v/>
      </c>
      <c r="Q588" s="140" t="str">
        <f t="shared" si="71"/>
        <v/>
      </c>
      <c r="R588" s="140" t="str">
        <f t="shared" si="72"/>
        <v/>
      </c>
      <c r="S588" s="140">
        <f t="shared" si="73"/>
        <v>4.0439999999999996</v>
      </c>
      <c r="T588" s="140" t="str">
        <f t="shared" si="74"/>
        <v/>
      </c>
      <c r="U588" s="140" t="str">
        <f t="shared" si="75"/>
        <v/>
      </c>
      <c r="V588" s="99"/>
    </row>
    <row r="589" spans="1:22">
      <c r="A589" s="92"/>
      <c r="B589" s="141" t="s">
        <v>401</v>
      </c>
      <c r="C589" s="136"/>
      <c r="D589" s="137"/>
      <c r="E589" s="138"/>
      <c r="F589" s="139"/>
      <c r="G589" s="98">
        <v>16</v>
      </c>
      <c r="H589" s="99">
        <v>0.5</v>
      </c>
      <c r="I589" s="99">
        <v>8</v>
      </c>
      <c r="J589" s="109">
        <f>D584</f>
        <v>0.74299999999999999</v>
      </c>
      <c r="K589" s="110" t="str">
        <f t="shared" ref="K589" si="91">IF(N589&lt;12,"0",0.049*G589)</f>
        <v>0</v>
      </c>
      <c r="L589" s="111">
        <v>1</v>
      </c>
      <c r="M589" s="99">
        <f t="shared" ref="M589" si="92">2*G589*L589/1000</f>
        <v>3.2000000000000001E-2</v>
      </c>
      <c r="N589" s="112">
        <f>J589+E586-M589</f>
        <v>1.0109999999999999</v>
      </c>
      <c r="O589" s="112">
        <f t="shared" ref="O589" si="93">H589*I589*N589</f>
        <v>4.0439999999999996</v>
      </c>
      <c r="P589" s="140" t="str">
        <f t="shared" si="70"/>
        <v/>
      </c>
      <c r="Q589" s="140" t="str">
        <f t="shared" si="71"/>
        <v/>
      </c>
      <c r="R589" s="140" t="str">
        <f t="shared" si="72"/>
        <v/>
      </c>
      <c r="S589" s="140">
        <f t="shared" si="73"/>
        <v>4.0439999999999996</v>
      </c>
      <c r="T589" s="140" t="str">
        <f t="shared" si="74"/>
        <v/>
      </c>
      <c r="U589" s="140" t="str">
        <f t="shared" si="75"/>
        <v/>
      </c>
      <c r="V589" s="99"/>
    </row>
    <row r="590" spans="1:22">
      <c r="A590" s="92"/>
      <c r="B590" s="141" t="s">
        <v>403</v>
      </c>
      <c r="C590" s="136"/>
      <c r="D590" s="137"/>
      <c r="E590" s="138"/>
      <c r="F590" s="139"/>
      <c r="G590" s="98">
        <v>12</v>
      </c>
      <c r="H590" s="99">
        <v>0.5</v>
      </c>
      <c r="I590" s="99">
        <v>12</v>
      </c>
      <c r="J590" s="109">
        <f>D584</f>
        <v>0.74299999999999999</v>
      </c>
      <c r="K590" s="110" t="str">
        <f t="shared" ref="K590" si="94">IF(N590&lt;12,"0",0.049*G590)</f>
        <v>0</v>
      </c>
      <c r="L590" s="111">
        <v>1</v>
      </c>
      <c r="M590" s="99">
        <f t="shared" ref="M590" si="95">2*G590*L590/1000</f>
        <v>2.4E-2</v>
      </c>
      <c r="N590" s="112">
        <f>J590+E586-M590</f>
        <v>1.0189999999999999</v>
      </c>
      <c r="O590" s="112">
        <f t="shared" ref="O590" si="96">H590*I590*N590</f>
        <v>6.113999999999999</v>
      </c>
      <c r="P590" s="140" t="str">
        <f t="shared" si="70"/>
        <v/>
      </c>
      <c r="Q590" s="140" t="str">
        <f t="shared" si="71"/>
        <v/>
      </c>
      <c r="R590" s="140">
        <f t="shared" si="72"/>
        <v>6.113999999999999</v>
      </c>
      <c r="S590" s="140" t="str">
        <f t="shared" si="73"/>
        <v/>
      </c>
      <c r="T590" s="140" t="str">
        <f t="shared" si="74"/>
        <v/>
      </c>
      <c r="U590" s="140" t="str">
        <f t="shared" si="75"/>
        <v/>
      </c>
      <c r="V590" s="99"/>
    </row>
    <row r="591" spans="1:22">
      <c r="A591" s="92"/>
      <c r="B591" s="141"/>
      <c r="C591" s="136"/>
      <c r="D591" s="137"/>
      <c r="E591" s="138"/>
      <c r="F591" s="139"/>
      <c r="G591" s="98"/>
      <c r="H591" s="99"/>
      <c r="I591" s="99"/>
      <c r="J591" s="109"/>
      <c r="K591" s="110"/>
      <c r="L591" s="111"/>
      <c r="M591" s="99"/>
      <c r="N591" s="112"/>
      <c r="O591" s="112"/>
      <c r="P591" s="140"/>
      <c r="Q591" s="140"/>
      <c r="R591" s="140"/>
      <c r="S591" s="140"/>
      <c r="T591" s="140"/>
      <c r="U591" s="140"/>
      <c r="V591" s="99"/>
    </row>
    <row r="592" spans="1:22">
      <c r="A592" s="92"/>
      <c r="B592" s="92"/>
      <c r="C592" s="145">
        <v>0.08</v>
      </c>
      <c r="D592" s="137"/>
      <c r="E592" s="138"/>
      <c r="F592" s="139"/>
      <c r="G592" s="98"/>
      <c r="H592" s="99"/>
      <c r="I592" s="99"/>
      <c r="J592" s="100"/>
      <c r="K592" s="99"/>
      <c r="L592" s="99"/>
      <c r="M592" s="99"/>
      <c r="N592" s="99"/>
      <c r="O592" s="101"/>
      <c r="P592" s="140" t="str">
        <f t="shared" si="70"/>
        <v/>
      </c>
      <c r="Q592" s="140" t="str">
        <f t="shared" si="71"/>
        <v/>
      </c>
      <c r="R592" s="140" t="str">
        <f t="shared" si="72"/>
        <v/>
      </c>
      <c r="S592" s="140" t="str">
        <f t="shared" si="73"/>
        <v/>
      </c>
      <c r="T592" s="140" t="str">
        <f t="shared" si="74"/>
        <v/>
      </c>
      <c r="U592" s="140" t="str">
        <f t="shared" si="75"/>
        <v/>
      </c>
      <c r="V592" s="99"/>
    </row>
    <row r="593" spans="1:22">
      <c r="A593" s="92"/>
      <c r="B593" s="146" t="s">
        <v>382</v>
      </c>
      <c r="C593" s="147"/>
      <c r="D593" s="137"/>
      <c r="E593" s="148">
        <f>((3.445-0.05-0.016)/23)*6+0.016+0.02</f>
        <v>0.9174782608695653</v>
      </c>
      <c r="F593" s="139"/>
      <c r="G593" s="98">
        <v>10</v>
      </c>
      <c r="H593" s="99">
        <v>0.5</v>
      </c>
      <c r="I593" s="99">
        <f>4*2</f>
        <v>8</v>
      </c>
      <c r="J593" s="149">
        <f>2*(D595+E593)+2*8*G593/1000</f>
        <v>2.3549565217391306</v>
      </c>
      <c r="K593" s="99"/>
      <c r="L593" s="99">
        <v>5</v>
      </c>
      <c r="M593" s="112">
        <f>2*G593*L593/1000</f>
        <v>0.1</v>
      </c>
      <c r="N593" s="112">
        <f>(J593+K593-M593)</f>
        <v>2.2549565217391305</v>
      </c>
      <c r="O593" s="112">
        <f>(H593*I593*N593)</f>
        <v>9.0198260869565221</v>
      </c>
      <c r="P593" s="140" t="str">
        <f t="shared" si="70"/>
        <v/>
      </c>
      <c r="Q593" s="140">
        <f t="shared" si="71"/>
        <v>9.0198260869565221</v>
      </c>
      <c r="R593" s="140" t="str">
        <f t="shared" si="72"/>
        <v/>
      </c>
      <c r="S593" s="140" t="str">
        <f t="shared" si="73"/>
        <v/>
      </c>
      <c r="T593" s="140" t="str">
        <f t="shared" si="74"/>
        <v/>
      </c>
      <c r="U593" s="140" t="str">
        <f t="shared" si="75"/>
        <v/>
      </c>
      <c r="V593" s="99"/>
    </row>
    <row r="594" spans="1:22">
      <c r="A594" s="92"/>
      <c r="B594" s="146"/>
      <c r="C594" s="136"/>
      <c r="D594" s="137"/>
      <c r="E594" s="150"/>
      <c r="F594" s="139"/>
      <c r="G594" s="98"/>
      <c r="H594" s="99"/>
      <c r="I594" s="99"/>
      <c r="J594" s="100"/>
      <c r="K594" s="99"/>
      <c r="L594" s="99"/>
      <c r="M594" s="99"/>
      <c r="N594" s="99"/>
      <c r="O594" s="112"/>
      <c r="P594" s="140" t="str">
        <f t="shared" si="70"/>
        <v/>
      </c>
      <c r="Q594" s="140" t="str">
        <f t="shared" si="71"/>
        <v/>
      </c>
      <c r="R594" s="140" t="str">
        <f t="shared" si="72"/>
        <v/>
      </c>
      <c r="S594" s="140" t="str">
        <f t="shared" si="73"/>
        <v/>
      </c>
      <c r="T594" s="140" t="str">
        <f t="shared" si="74"/>
        <v/>
      </c>
      <c r="U594" s="140" t="str">
        <f t="shared" si="75"/>
        <v/>
      </c>
      <c r="V594" s="99"/>
    </row>
    <row r="595" spans="1:22">
      <c r="A595" s="92"/>
      <c r="B595" s="146"/>
      <c r="C595" s="136"/>
      <c r="D595" s="109">
        <f>0.23-0.05</f>
        <v>0.18</v>
      </c>
      <c r="E595" s="138"/>
      <c r="F595" s="139"/>
      <c r="G595" s="98"/>
      <c r="H595" s="99"/>
      <c r="I595" s="99"/>
      <c r="J595" s="100"/>
      <c r="K595" s="99"/>
      <c r="L595" s="99"/>
      <c r="M595" s="99"/>
      <c r="N595" s="99"/>
      <c r="O595" s="112"/>
      <c r="P595" s="140" t="str">
        <f t="shared" si="70"/>
        <v/>
      </c>
      <c r="Q595" s="140" t="str">
        <f t="shared" si="71"/>
        <v/>
      </c>
      <c r="R595" s="140" t="str">
        <f t="shared" si="72"/>
        <v/>
      </c>
      <c r="S595" s="140" t="str">
        <f t="shared" si="73"/>
        <v/>
      </c>
      <c r="T595" s="140" t="str">
        <f t="shared" si="74"/>
        <v/>
      </c>
      <c r="U595" s="140" t="str">
        <f t="shared" si="75"/>
        <v/>
      </c>
      <c r="V595" s="99"/>
    </row>
    <row r="596" spans="1:22">
      <c r="A596" s="92"/>
      <c r="B596" s="141"/>
      <c r="C596" s="136"/>
      <c r="D596" s="137"/>
      <c r="E596" s="138"/>
      <c r="F596" s="139"/>
      <c r="G596" s="98"/>
      <c r="H596" s="99"/>
      <c r="I596" s="99"/>
      <c r="J596" s="109"/>
      <c r="K596" s="110"/>
      <c r="L596" s="111"/>
      <c r="M596" s="99"/>
      <c r="N596" s="112"/>
      <c r="O596" s="112"/>
      <c r="P596" s="140"/>
      <c r="Q596" s="140"/>
      <c r="R596" s="140"/>
      <c r="S596" s="140"/>
      <c r="T596" s="140"/>
      <c r="U596" s="140"/>
      <c r="V596" s="99"/>
    </row>
    <row r="597" spans="1:22">
      <c r="A597" s="92"/>
      <c r="B597" s="92"/>
      <c r="C597" s="145">
        <v>0.08</v>
      </c>
      <c r="D597" s="137"/>
      <c r="E597" s="138"/>
      <c r="F597" s="139"/>
      <c r="G597" s="98"/>
      <c r="H597" s="99"/>
      <c r="I597" s="99"/>
      <c r="J597" s="100"/>
      <c r="K597" s="99"/>
      <c r="L597" s="99"/>
      <c r="M597" s="99"/>
      <c r="N597" s="99"/>
      <c r="O597" s="101"/>
      <c r="P597" s="140" t="str">
        <f t="shared" si="70"/>
        <v/>
      </c>
      <c r="Q597" s="140" t="str">
        <f t="shared" si="71"/>
        <v/>
      </c>
      <c r="R597" s="140" t="str">
        <f t="shared" si="72"/>
        <v/>
      </c>
      <c r="S597" s="140" t="str">
        <f t="shared" si="73"/>
        <v/>
      </c>
      <c r="T597" s="140" t="str">
        <f t="shared" si="74"/>
        <v/>
      </c>
      <c r="U597" s="140" t="str">
        <f t="shared" si="75"/>
        <v/>
      </c>
      <c r="V597" s="99"/>
    </row>
    <row r="598" spans="1:22">
      <c r="A598" s="92"/>
      <c r="B598" s="146" t="s">
        <v>383</v>
      </c>
      <c r="C598" s="147"/>
      <c r="D598" s="137"/>
      <c r="E598" s="148">
        <f>((3.445-0.05-0.016)/23)*11+0.016+0.02</f>
        <v>1.6520434782608695</v>
      </c>
      <c r="F598" s="139"/>
      <c r="G598" s="98">
        <v>10</v>
      </c>
      <c r="H598" s="99">
        <v>0.5</v>
      </c>
      <c r="I598" s="99">
        <v>4</v>
      </c>
      <c r="J598" s="149">
        <f>2*(D600+E598)+2*8*G598/1000</f>
        <v>3.824086956521739</v>
      </c>
      <c r="K598" s="99"/>
      <c r="L598" s="99">
        <v>5</v>
      </c>
      <c r="M598" s="112">
        <f>2*G598*L598/1000</f>
        <v>0.1</v>
      </c>
      <c r="N598" s="112">
        <f>(J598+K598-M598)</f>
        <v>3.7240869565217389</v>
      </c>
      <c r="O598" s="112">
        <f>(H598*I598*N598)</f>
        <v>7.4481739130434779</v>
      </c>
      <c r="P598" s="140" t="str">
        <f t="shared" si="70"/>
        <v/>
      </c>
      <c r="Q598" s="140">
        <f t="shared" si="71"/>
        <v>7.4481739130434779</v>
      </c>
      <c r="R598" s="140" t="str">
        <f t="shared" si="72"/>
        <v/>
      </c>
      <c r="S598" s="140" t="str">
        <f t="shared" si="73"/>
        <v/>
      </c>
      <c r="T598" s="140" t="str">
        <f t="shared" si="74"/>
        <v/>
      </c>
      <c r="U598" s="140" t="str">
        <f t="shared" si="75"/>
        <v/>
      </c>
      <c r="V598" s="99"/>
    </row>
    <row r="599" spans="1:22">
      <c r="A599" s="92"/>
      <c r="B599" s="146"/>
      <c r="C599" s="136"/>
      <c r="D599" s="137"/>
      <c r="E599" s="150"/>
      <c r="F599" s="139"/>
      <c r="G599" s="98"/>
      <c r="H599" s="99"/>
      <c r="I599" s="99"/>
      <c r="J599" s="100"/>
      <c r="K599" s="99"/>
      <c r="L599" s="99"/>
      <c r="M599" s="99"/>
      <c r="N599" s="99"/>
      <c r="O599" s="112"/>
      <c r="P599" s="140" t="str">
        <f t="shared" si="70"/>
        <v/>
      </c>
      <c r="Q599" s="140" t="str">
        <f t="shared" si="71"/>
        <v/>
      </c>
      <c r="R599" s="140" t="str">
        <f t="shared" si="72"/>
        <v/>
      </c>
      <c r="S599" s="140" t="str">
        <f t="shared" si="73"/>
        <v/>
      </c>
      <c r="T599" s="140" t="str">
        <f t="shared" si="74"/>
        <v/>
      </c>
      <c r="U599" s="140" t="str">
        <f t="shared" si="75"/>
        <v/>
      </c>
      <c r="V599" s="99"/>
    </row>
    <row r="600" spans="1:22">
      <c r="A600" s="92"/>
      <c r="B600" s="146"/>
      <c r="C600" s="136"/>
      <c r="D600" s="109">
        <f>0.23-0.05</f>
        <v>0.18</v>
      </c>
      <c r="E600" s="138"/>
      <c r="F600" s="139"/>
      <c r="G600" s="98"/>
      <c r="H600" s="99"/>
      <c r="I600" s="99"/>
      <c r="J600" s="100"/>
      <c r="K600" s="99"/>
      <c r="L600" s="99"/>
      <c r="M600" s="99"/>
      <c r="N600" s="99"/>
      <c r="O600" s="112"/>
      <c r="P600" s="140" t="str">
        <f t="shared" si="70"/>
        <v/>
      </c>
      <c r="Q600" s="140" t="str">
        <f t="shared" si="71"/>
        <v/>
      </c>
      <c r="R600" s="140" t="str">
        <f t="shared" si="72"/>
        <v/>
      </c>
      <c r="S600" s="140" t="str">
        <f t="shared" si="73"/>
        <v/>
      </c>
      <c r="T600" s="140" t="str">
        <f t="shared" si="74"/>
        <v/>
      </c>
      <c r="U600" s="140" t="str">
        <f t="shared" si="75"/>
        <v/>
      </c>
      <c r="V600" s="99"/>
    </row>
    <row r="601" spans="1:22">
      <c r="A601" s="92"/>
      <c r="B601" s="141"/>
      <c r="C601" s="136"/>
      <c r="D601" s="137"/>
      <c r="E601" s="138"/>
      <c r="F601" s="139"/>
      <c r="G601" s="98"/>
      <c r="H601" s="99"/>
      <c r="I601" s="99"/>
      <c r="J601" s="109"/>
      <c r="K601" s="110"/>
      <c r="L601" s="111"/>
      <c r="M601" s="99"/>
      <c r="N601" s="112"/>
      <c r="O601" s="112"/>
      <c r="P601" s="140"/>
      <c r="Q601" s="140"/>
      <c r="R601" s="140"/>
      <c r="S601" s="140"/>
      <c r="T601" s="140"/>
      <c r="U601" s="140"/>
      <c r="V601" s="99"/>
    </row>
    <row r="602" spans="1:22">
      <c r="A602" s="92"/>
      <c r="B602" s="92"/>
      <c r="C602" s="145">
        <v>0.08</v>
      </c>
      <c r="D602" s="137"/>
      <c r="E602" s="138"/>
      <c r="F602" s="139"/>
      <c r="G602" s="98"/>
      <c r="H602" s="99"/>
      <c r="I602" s="99"/>
      <c r="J602" s="100"/>
      <c r="K602" s="99"/>
      <c r="L602" s="99"/>
      <c r="M602" s="99"/>
      <c r="N602" s="99"/>
      <c r="O602" s="101"/>
      <c r="P602" s="140" t="str">
        <f t="shared" si="70"/>
        <v/>
      </c>
      <c r="Q602" s="140" t="str">
        <f t="shared" si="71"/>
        <v/>
      </c>
      <c r="R602" s="140" t="str">
        <f t="shared" si="72"/>
        <v/>
      </c>
      <c r="S602" s="140" t="str">
        <f t="shared" si="73"/>
        <v/>
      </c>
      <c r="T602" s="140" t="str">
        <f t="shared" si="74"/>
        <v/>
      </c>
      <c r="U602" s="140" t="str">
        <f t="shared" si="75"/>
        <v/>
      </c>
      <c r="V602" s="99"/>
    </row>
    <row r="603" spans="1:22">
      <c r="A603" s="92"/>
      <c r="B603" s="146" t="s">
        <v>384</v>
      </c>
      <c r="C603" s="147"/>
      <c r="D603" s="137"/>
      <c r="E603" s="148">
        <f>((3.445-0.05-0.016)/23)+0.016+0.02</f>
        <v>0.18291304347826084</v>
      </c>
      <c r="F603" s="139"/>
      <c r="G603" s="98">
        <v>10</v>
      </c>
      <c r="H603" s="99">
        <v>0.5</v>
      </c>
      <c r="I603" s="99">
        <v>4</v>
      </c>
      <c r="J603" s="149">
        <f>2*(D605+E603)+2*8*G603/1000</f>
        <v>0.88582608695652165</v>
      </c>
      <c r="K603" s="99"/>
      <c r="L603" s="99">
        <v>5</v>
      </c>
      <c r="M603" s="112">
        <f>2*G603*L603/1000</f>
        <v>0.1</v>
      </c>
      <c r="N603" s="112">
        <f>(J603+K603-M603)</f>
        <v>0.78582608695652167</v>
      </c>
      <c r="O603" s="112">
        <f>(H603*I603*N603)</f>
        <v>1.5716521739130433</v>
      </c>
      <c r="P603" s="140" t="str">
        <f t="shared" si="70"/>
        <v/>
      </c>
      <c r="Q603" s="140">
        <f t="shared" si="71"/>
        <v>1.5716521739130433</v>
      </c>
      <c r="R603" s="140" t="str">
        <f t="shared" si="72"/>
        <v/>
      </c>
      <c r="S603" s="140" t="str">
        <f t="shared" si="73"/>
        <v/>
      </c>
      <c r="T603" s="140" t="str">
        <f t="shared" si="74"/>
        <v/>
      </c>
      <c r="U603" s="140" t="str">
        <f t="shared" si="75"/>
        <v/>
      </c>
      <c r="V603" s="99"/>
    </row>
    <row r="604" spans="1:22">
      <c r="A604" s="92"/>
      <c r="B604" s="146"/>
      <c r="C604" s="136"/>
      <c r="D604" s="137"/>
      <c r="E604" s="150"/>
      <c r="F604" s="139"/>
      <c r="G604" s="98"/>
      <c r="H604" s="99"/>
      <c r="I604" s="99"/>
      <c r="J604" s="100"/>
      <c r="K604" s="99"/>
      <c r="L604" s="99"/>
      <c r="M604" s="99"/>
      <c r="N604" s="99"/>
      <c r="O604" s="112"/>
      <c r="P604" s="140" t="str">
        <f t="shared" si="70"/>
        <v/>
      </c>
      <c r="Q604" s="140" t="str">
        <f t="shared" si="71"/>
        <v/>
      </c>
      <c r="R604" s="140" t="str">
        <f t="shared" si="72"/>
        <v/>
      </c>
      <c r="S604" s="140" t="str">
        <f t="shared" si="73"/>
        <v/>
      </c>
      <c r="T604" s="140" t="str">
        <f t="shared" si="74"/>
        <v/>
      </c>
      <c r="U604" s="140" t="str">
        <f t="shared" si="75"/>
        <v/>
      </c>
      <c r="V604" s="99"/>
    </row>
    <row r="605" spans="1:22">
      <c r="A605" s="92"/>
      <c r="B605" s="146"/>
      <c r="C605" s="136"/>
      <c r="D605" s="109">
        <f>0.23-0.05</f>
        <v>0.18</v>
      </c>
      <c r="E605" s="138"/>
      <c r="F605" s="139"/>
      <c r="G605" s="98"/>
      <c r="H605" s="99"/>
      <c r="I605" s="99"/>
      <c r="J605" s="100"/>
      <c r="K605" s="99"/>
      <c r="L605" s="99"/>
      <c r="M605" s="99"/>
      <c r="N605" s="99"/>
      <c r="O605" s="112"/>
      <c r="P605" s="140" t="str">
        <f t="shared" si="70"/>
        <v/>
      </c>
      <c r="Q605" s="140" t="str">
        <f t="shared" si="71"/>
        <v/>
      </c>
      <c r="R605" s="140" t="str">
        <f t="shared" si="72"/>
        <v/>
      </c>
      <c r="S605" s="140" t="str">
        <f t="shared" si="73"/>
        <v/>
      </c>
      <c r="T605" s="140" t="str">
        <f t="shared" si="74"/>
        <v/>
      </c>
      <c r="U605" s="140" t="str">
        <f t="shared" si="75"/>
        <v/>
      </c>
      <c r="V605" s="99"/>
    </row>
    <row r="606" spans="1:22">
      <c r="A606" s="92"/>
      <c r="B606" s="141"/>
      <c r="C606" s="136"/>
      <c r="D606" s="137"/>
      <c r="E606" s="138"/>
      <c r="F606" s="139"/>
      <c r="G606" s="98"/>
      <c r="H606" s="99"/>
      <c r="I606" s="99"/>
      <c r="J606" s="100"/>
      <c r="K606" s="99"/>
      <c r="L606" s="99"/>
      <c r="M606" s="99"/>
      <c r="N606" s="99"/>
      <c r="O606" s="101"/>
      <c r="P606" s="140" t="str">
        <f t="shared" si="70"/>
        <v/>
      </c>
      <c r="Q606" s="140" t="str">
        <f t="shared" si="71"/>
        <v/>
      </c>
      <c r="R606" s="140" t="str">
        <f t="shared" si="72"/>
        <v/>
      </c>
      <c r="S606" s="140" t="str">
        <f t="shared" si="73"/>
        <v/>
      </c>
      <c r="T606" s="140" t="str">
        <f t="shared" si="74"/>
        <v/>
      </c>
      <c r="U606" s="140" t="str">
        <f t="shared" si="75"/>
        <v/>
      </c>
      <c r="V606" s="99"/>
    </row>
    <row r="607" spans="1:22">
      <c r="A607" s="92"/>
      <c r="B607" s="141"/>
      <c r="C607" s="136"/>
      <c r="D607" s="137"/>
      <c r="E607" s="144">
        <v>0.08</v>
      </c>
      <c r="F607" s="139"/>
      <c r="G607" s="98"/>
      <c r="H607" s="99"/>
      <c r="I607" s="99"/>
      <c r="J607" s="100"/>
      <c r="K607" s="99"/>
      <c r="L607" s="99"/>
      <c r="M607" s="99"/>
      <c r="N607" s="99"/>
      <c r="O607" s="101"/>
      <c r="P607" s="140" t="str">
        <f t="shared" si="70"/>
        <v/>
      </c>
      <c r="Q607" s="140" t="str">
        <f t="shared" si="71"/>
        <v/>
      </c>
      <c r="R607" s="140" t="str">
        <f t="shared" si="72"/>
        <v/>
      </c>
      <c r="S607" s="140" t="str">
        <f t="shared" si="73"/>
        <v/>
      </c>
      <c r="T607" s="140" t="str">
        <f t="shared" si="74"/>
        <v/>
      </c>
      <c r="U607" s="140" t="str">
        <f t="shared" si="75"/>
        <v/>
      </c>
      <c r="V607" s="99"/>
    </row>
    <row r="608" spans="1:22">
      <c r="A608" s="92"/>
      <c r="B608" s="146" t="s">
        <v>385</v>
      </c>
      <c r="C608" s="136"/>
      <c r="D608" s="142">
        <f>0.23-0.05</f>
        <v>0.18</v>
      </c>
      <c r="E608" s="144"/>
      <c r="F608" s="139"/>
      <c r="G608" s="98">
        <v>10</v>
      </c>
      <c r="H608" s="99">
        <v>0.5</v>
      </c>
      <c r="I608" s="99">
        <v>7</v>
      </c>
      <c r="J608" s="149">
        <f>D608+E607+E609</f>
        <v>0.34</v>
      </c>
      <c r="K608" s="99"/>
      <c r="L608" s="99">
        <v>2</v>
      </c>
      <c r="M608" s="112">
        <f>2*G608*L608/1000</f>
        <v>0.04</v>
      </c>
      <c r="N608" s="112">
        <f>(J608+K608-M608)</f>
        <v>0.30000000000000004</v>
      </c>
      <c r="O608" s="112">
        <f>(H608*I608*N608)</f>
        <v>1.0500000000000003</v>
      </c>
      <c r="P608" s="140" t="str">
        <f t="shared" si="70"/>
        <v/>
      </c>
      <c r="Q608" s="140">
        <f t="shared" si="71"/>
        <v>1.0500000000000003</v>
      </c>
      <c r="R608" s="140" t="str">
        <f t="shared" si="72"/>
        <v/>
      </c>
      <c r="S608" s="140" t="str">
        <f t="shared" si="73"/>
        <v/>
      </c>
      <c r="T608" s="140" t="str">
        <f t="shared" si="74"/>
        <v/>
      </c>
      <c r="U608" s="140" t="str">
        <f t="shared" si="75"/>
        <v/>
      </c>
      <c r="V608" s="99"/>
    </row>
    <row r="609" spans="1:22">
      <c r="A609" s="92"/>
      <c r="B609" s="141"/>
      <c r="C609" s="136"/>
      <c r="D609" s="137"/>
      <c r="E609" s="144">
        <v>0.08</v>
      </c>
      <c r="F609" s="139"/>
      <c r="G609" s="98"/>
      <c r="H609" s="99"/>
      <c r="I609" s="99"/>
      <c r="J609" s="100"/>
      <c r="K609" s="99"/>
      <c r="L609" s="99"/>
      <c r="M609" s="99"/>
      <c r="N609" s="99"/>
      <c r="O609" s="101"/>
      <c r="P609" s="140" t="str">
        <f t="shared" si="70"/>
        <v/>
      </c>
      <c r="Q609" s="140" t="str">
        <f t="shared" si="71"/>
        <v/>
      </c>
      <c r="R609" s="140" t="str">
        <f t="shared" si="72"/>
        <v/>
      </c>
      <c r="S609" s="140" t="str">
        <f t="shared" si="73"/>
        <v/>
      </c>
      <c r="T609" s="140" t="str">
        <f t="shared" si="74"/>
        <v/>
      </c>
      <c r="U609" s="140" t="str">
        <f t="shared" si="75"/>
        <v/>
      </c>
      <c r="V609" s="99"/>
    </row>
    <row r="610" spans="1:22">
      <c r="A610" s="92"/>
      <c r="B610" s="146"/>
      <c r="C610" s="136"/>
      <c r="D610" s="152"/>
      <c r="E610" s="138"/>
      <c r="F610" s="139"/>
      <c r="G610" s="98"/>
      <c r="H610" s="99"/>
      <c r="I610" s="99"/>
      <c r="J610" s="100"/>
      <c r="K610" s="99"/>
      <c r="L610" s="99"/>
      <c r="M610" s="99"/>
      <c r="N610" s="99"/>
      <c r="O610" s="101"/>
      <c r="P610" s="140" t="str">
        <f t="shared" ref="P610:P612" si="97">IF($G610=8,$O610,"")</f>
        <v/>
      </c>
      <c r="Q610" s="140" t="str">
        <f t="shared" ref="Q610:Q612" si="98">IF($G610=10,$O610,"")</f>
        <v/>
      </c>
      <c r="R610" s="140" t="str">
        <f t="shared" ref="R610:R612" si="99">IF($G610=12,$O610,"")</f>
        <v/>
      </c>
      <c r="S610" s="140" t="str">
        <f t="shared" ref="S610:S612" si="100">IF($G610=16,$O610,"")</f>
        <v/>
      </c>
      <c r="T610" s="140" t="str">
        <f t="shared" ref="T610:T612" si="101">IF($G610=20,$O610,"")</f>
        <v/>
      </c>
      <c r="U610" s="140" t="str">
        <f t="shared" ref="U610:U612" si="102">IF($G610=25,$O610,"")</f>
        <v/>
      </c>
      <c r="V610" s="99"/>
    </row>
    <row r="611" spans="1:22">
      <c r="A611" s="92"/>
      <c r="B611" s="146"/>
      <c r="C611" s="136"/>
      <c r="D611" s="152"/>
      <c r="E611" s="138"/>
      <c r="F611" s="139"/>
      <c r="G611" s="98"/>
      <c r="H611" s="99"/>
      <c r="I611" s="99"/>
      <c r="J611" s="100"/>
      <c r="K611" s="99"/>
      <c r="L611" s="99"/>
      <c r="M611" s="99"/>
      <c r="N611" s="99"/>
      <c r="O611" s="101"/>
      <c r="P611" s="140" t="str">
        <f t="shared" si="97"/>
        <v/>
      </c>
      <c r="Q611" s="140" t="str">
        <f t="shared" si="98"/>
        <v/>
      </c>
      <c r="R611" s="140" t="str">
        <f t="shared" si="99"/>
        <v/>
      </c>
      <c r="S611" s="140" t="str">
        <f t="shared" si="100"/>
        <v/>
      </c>
      <c r="T611" s="140" t="str">
        <f t="shared" si="101"/>
        <v/>
      </c>
      <c r="U611" s="140" t="str">
        <f t="shared" si="102"/>
        <v/>
      </c>
      <c r="V611" s="99"/>
    </row>
    <row r="612" spans="1:22">
      <c r="A612" s="92"/>
      <c r="B612" s="153"/>
      <c r="C612" s="154"/>
      <c r="D612" s="155"/>
      <c r="E612" s="156"/>
      <c r="F612" s="139"/>
      <c r="G612" s="98"/>
      <c r="H612" s="99"/>
      <c r="I612" s="99"/>
      <c r="J612" s="100"/>
      <c r="K612" s="99"/>
      <c r="L612" s="99"/>
      <c r="M612" s="99"/>
      <c r="N612" s="99"/>
      <c r="O612" s="101"/>
      <c r="P612" s="140" t="str">
        <f t="shared" si="97"/>
        <v/>
      </c>
      <c r="Q612" s="140" t="str">
        <f t="shared" si="98"/>
        <v/>
      </c>
      <c r="R612" s="140" t="str">
        <f t="shared" si="99"/>
        <v/>
      </c>
      <c r="S612" s="140" t="str">
        <f t="shared" si="100"/>
        <v/>
      </c>
      <c r="T612" s="140" t="str">
        <f t="shared" si="101"/>
        <v/>
      </c>
      <c r="U612" s="140" t="str">
        <f t="shared" si="102"/>
        <v/>
      </c>
      <c r="V612" s="98" t="s">
        <v>57</v>
      </c>
    </row>
    <row r="613" spans="1:22">
      <c r="A613" s="125"/>
      <c r="B613" s="157" t="s">
        <v>370</v>
      </c>
      <c r="C613" s="817"/>
      <c r="D613" s="817"/>
      <c r="E613" s="818"/>
      <c r="F613" s="127"/>
      <c r="G613" s="127"/>
      <c r="H613" s="128"/>
      <c r="I613" s="128"/>
      <c r="J613" s="129"/>
      <c r="K613" s="128"/>
      <c r="L613" s="128"/>
      <c r="M613" s="128"/>
      <c r="N613" s="128"/>
      <c r="O613" s="128"/>
      <c r="P613" s="130">
        <f t="shared" ref="P613:U613" si="103">SUM(P5:P612)</f>
        <v>0</v>
      </c>
      <c r="Q613" s="130">
        <f t="shared" si="103"/>
        <v>1220.2941566756983</v>
      </c>
      <c r="R613" s="130">
        <f t="shared" si="103"/>
        <v>397.40999999999997</v>
      </c>
      <c r="S613" s="130">
        <f t="shared" si="103"/>
        <v>554.02799999999979</v>
      </c>
      <c r="T613" s="130">
        <f t="shared" si="103"/>
        <v>282.846</v>
      </c>
      <c r="U613" s="130">
        <f t="shared" si="103"/>
        <v>19.86</v>
      </c>
      <c r="V613" s="158"/>
    </row>
    <row r="614" spans="1:22">
      <c r="A614" s="125"/>
      <c r="B614" s="157" t="s">
        <v>371</v>
      </c>
      <c r="C614" s="819"/>
      <c r="D614" s="819"/>
      <c r="E614" s="819"/>
      <c r="F614" s="127"/>
      <c r="G614" s="127"/>
      <c r="H614" s="128"/>
      <c r="I614" s="128"/>
      <c r="J614" s="129"/>
      <c r="K614" s="128"/>
      <c r="L614" s="128"/>
      <c r="M614" s="128"/>
      <c r="N614" s="128"/>
      <c r="O614" s="128"/>
      <c r="P614" s="128">
        <v>0.39500000000000002</v>
      </c>
      <c r="Q614" s="128">
        <v>0.61699999999999999</v>
      </c>
      <c r="R614" s="128">
        <v>0.88800000000000001</v>
      </c>
      <c r="S614" s="128">
        <v>1.58</v>
      </c>
      <c r="T614" s="128">
        <v>2.4689999999999999</v>
      </c>
      <c r="U614" s="128">
        <v>3.8580000000000001</v>
      </c>
      <c r="V614" s="158"/>
    </row>
    <row r="615" spans="1:22">
      <c r="A615" s="125"/>
      <c r="B615" s="157" t="s">
        <v>372</v>
      </c>
      <c r="C615" s="819"/>
      <c r="D615" s="819"/>
      <c r="E615" s="819"/>
      <c r="F615" s="127"/>
      <c r="G615" s="127"/>
      <c r="H615" s="128"/>
      <c r="I615" s="128"/>
      <c r="J615" s="129"/>
      <c r="K615" s="128"/>
      <c r="L615" s="128"/>
      <c r="M615" s="128"/>
      <c r="N615" s="128"/>
      <c r="O615" s="128"/>
      <c r="P615" s="132">
        <f>P613*P614</f>
        <v>0</v>
      </c>
      <c r="Q615" s="132">
        <f t="shared" ref="Q615:U615" si="104">Q613*Q614</f>
        <v>752.92149466890589</v>
      </c>
      <c r="R615" s="132">
        <f t="shared" si="104"/>
        <v>352.90008</v>
      </c>
      <c r="S615" s="132">
        <f t="shared" si="104"/>
        <v>875.36423999999977</v>
      </c>
      <c r="T615" s="132">
        <f t="shared" si="104"/>
        <v>698.34677399999998</v>
      </c>
      <c r="U615" s="132">
        <f t="shared" si="104"/>
        <v>76.619879999999995</v>
      </c>
      <c r="V615" s="158">
        <f>SUM(P615:U615)</f>
        <v>2756.1524686689058</v>
      </c>
    </row>
    <row r="616" spans="1:22">
      <c r="A616" s="92"/>
      <c r="B616" s="134"/>
      <c r="C616" s="134"/>
      <c r="D616" s="134"/>
      <c r="E616" s="134"/>
      <c r="F616" s="134"/>
      <c r="G616" s="134"/>
      <c r="J616" s="134"/>
    </row>
    <row r="617" spans="1:22">
      <c r="A617" s="92"/>
      <c r="B617" s="134"/>
      <c r="C617" s="134"/>
      <c r="D617" s="134"/>
      <c r="E617" s="134"/>
      <c r="F617" s="134"/>
      <c r="G617" s="134"/>
      <c r="J617" s="134"/>
    </row>
    <row r="618" spans="1:22">
      <c r="A618" s="92"/>
      <c r="B618" s="134"/>
      <c r="C618" s="134"/>
      <c r="D618" s="134"/>
      <c r="E618" s="134"/>
      <c r="F618" s="134"/>
      <c r="G618" s="134"/>
      <c r="J618" s="134"/>
    </row>
    <row r="619" spans="1:22" ht="15.75">
      <c r="A619" s="820" t="s">
        <v>643</v>
      </c>
      <c r="B619" s="820"/>
      <c r="C619" s="820"/>
      <c r="D619" s="820"/>
      <c r="E619" s="820"/>
      <c r="F619" s="820"/>
      <c r="G619" s="820"/>
      <c r="H619" s="820"/>
      <c r="I619" s="820"/>
      <c r="J619" s="820"/>
      <c r="K619" s="820"/>
      <c r="L619" s="820"/>
      <c r="M619" s="820"/>
      <c r="N619" s="820"/>
      <c r="O619" s="820"/>
      <c r="P619" s="820"/>
      <c r="Q619" s="820"/>
      <c r="R619" s="820"/>
      <c r="S619" s="820"/>
      <c r="T619" s="820"/>
      <c r="U619" s="820"/>
      <c r="V619" s="820"/>
    </row>
    <row r="620" spans="1:22" ht="25.5" customHeight="1">
      <c r="A620" s="92"/>
      <c r="B620" s="92"/>
      <c r="C620" s="136"/>
      <c r="D620" s="137"/>
      <c r="E620" s="138"/>
      <c r="F620" s="139"/>
      <c r="G620" s="98"/>
      <c r="H620" s="99"/>
      <c r="I620" s="99"/>
      <c r="J620" s="100"/>
      <c r="K620" s="99"/>
      <c r="L620" s="99"/>
      <c r="M620" s="99"/>
      <c r="N620" s="99"/>
      <c r="O620" s="101"/>
      <c r="P620" s="140" t="str">
        <f>IF($G620=8,$O620,"")</f>
        <v/>
      </c>
      <c r="Q620" s="140" t="str">
        <f>IF($G620=10,$O620,"")</f>
        <v/>
      </c>
      <c r="R620" s="140" t="str">
        <f>IF($G620=12,$O620,"")</f>
        <v/>
      </c>
      <c r="S620" s="140" t="str">
        <f>IF($G620=16,$O620,"")</f>
        <v/>
      </c>
      <c r="T620" s="140" t="str">
        <f>IF($G620=20,$O620,"")</f>
        <v/>
      </c>
      <c r="U620" s="140" t="str">
        <f>IF($G620=25,$O620,"")</f>
        <v/>
      </c>
      <c r="V620" s="99"/>
    </row>
    <row r="621" spans="1:22">
      <c r="A621" s="92">
        <v>1</v>
      </c>
      <c r="B621" s="92" t="s">
        <v>377</v>
      </c>
      <c r="C621" s="136"/>
      <c r="D621" s="137"/>
      <c r="E621" s="138"/>
      <c r="F621" s="139"/>
      <c r="G621" s="98"/>
      <c r="H621" s="99"/>
      <c r="I621" s="99"/>
      <c r="J621" s="109"/>
      <c r="K621" s="112"/>
      <c r="L621" s="112"/>
      <c r="M621" s="99"/>
      <c r="N621" s="112"/>
      <c r="O621" s="112"/>
      <c r="P621" s="140" t="str">
        <f>IF($G621=8,$O621,"")</f>
        <v/>
      </c>
      <c r="Q621" s="140" t="str">
        <f>IF($G621=10,$O621,"")</f>
        <v/>
      </c>
      <c r="R621" s="140" t="str">
        <f>IF($G621=12,$O621,"")</f>
        <v/>
      </c>
      <c r="S621" s="140" t="str">
        <f>IF($G621=16,$O621,"")</f>
        <v/>
      </c>
      <c r="T621" s="140" t="str">
        <f>IF($G621=20,$O621,"")</f>
        <v/>
      </c>
      <c r="U621" s="140" t="str">
        <f>IF($G621=25,$O621,"")</f>
        <v/>
      </c>
      <c r="V621" s="99"/>
    </row>
    <row r="622" spans="1:22">
      <c r="A622" s="92"/>
      <c r="B622" s="141" t="s">
        <v>378</v>
      </c>
      <c r="C622" s="136"/>
      <c r="D622" s="142">
        <v>1.48</v>
      </c>
      <c r="E622" s="138"/>
      <c r="F622" s="139"/>
      <c r="G622" s="98">
        <v>16</v>
      </c>
      <c r="H622" s="99">
        <v>20</v>
      </c>
      <c r="I622" s="99">
        <v>4</v>
      </c>
      <c r="J622" s="109">
        <f>D622</f>
        <v>1.48</v>
      </c>
      <c r="K622" s="110" t="str">
        <f>IF(N622&lt;12,"0",0.049*G622)</f>
        <v>0</v>
      </c>
      <c r="L622" s="111">
        <v>0</v>
      </c>
      <c r="M622" s="99">
        <f>2*G622*L622/1000</f>
        <v>0</v>
      </c>
      <c r="N622" s="112">
        <f>J622+E624-M622</f>
        <v>1.48</v>
      </c>
      <c r="O622" s="112">
        <f>H622*I622*N622</f>
        <v>118.4</v>
      </c>
      <c r="P622" s="140" t="str">
        <f t="shared" ref="P622:P1326" si="105">IF($G622=8,$O622,"")</f>
        <v/>
      </c>
      <c r="Q622" s="140" t="str">
        <f t="shared" ref="Q622:Q1326" si="106">IF($G622=10,$O622,"")</f>
        <v/>
      </c>
      <c r="R622" s="140" t="str">
        <f t="shared" ref="R622:R1326" si="107">IF($G622=12,$O622,"")</f>
        <v/>
      </c>
      <c r="S622" s="140">
        <f t="shared" ref="S622:S1326" si="108">IF($G622=16,$O622,"")</f>
        <v>118.4</v>
      </c>
      <c r="T622" s="140" t="str">
        <f t="shared" ref="T622:T1326" si="109">IF($G622=20,$O622,"")</f>
        <v/>
      </c>
      <c r="U622" s="140" t="str">
        <f t="shared" ref="U622:U1326" si="110">IF($G622=25,$O622,"")</f>
        <v/>
      </c>
      <c r="V622" s="99"/>
    </row>
    <row r="623" spans="1:22">
      <c r="A623" s="92"/>
      <c r="B623" s="141" t="s">
        <v>379</v>
      </c>
      <c r="C623" s="136"/>
      <c r="D623" s="137"/>
      <c r="E623" s="138"/>
      <c r="F623" s="139"/>
      <c r="G623" s="98">
        <v>12</v>
      </c>
      <c r="H623" s="99">
        <v>20</v>
      </c>
      <c r="I623" s="99">
        <v>2</v>
      </c>
      <c r="J623" s="109">
        <f>D622</f>
        <v>1.48</v>
      </c>
      <c r="K623" s="110" t="str">
        <f t="shared" ref="K623:K625" si="111">IF(N623&lt;12,"0",0.049*G623)</f>
        <v>0</v>
      </c>
      <c r="L623" s="111">
        <v>0</v>
      </c>
      <c r="M623" s="99">
        <f t="shared" ref="M623:M624" si="112">2*G623*L623/1000</f>
        <v>0</v>
      </c>
      <c r="N623" s="112">
        <f>J623+E624-M623</f>
        <v>1.48</v>
      </c>
      <c r="O623" s="112">
        <f>H623*I623*N623</f>
        <v>59.2</v>
      </c>
      <c r="P623" s="140" t="str">
        <f t="shared" si="105"/>
        <v/>
      </c>
      <c r="Q623" s="140" t="str">
        <f t="shared" si="106"/>
        <v/>
      </c>
      <c r="R623" s="140">
        <f t="shared" si="107"/>
        <v>59.2</v>
      </c>
      <c r="S623" s="140" t="str">
        <f t="shared" si="108"/>
        <v/>
      </c>
      <c r="T623" s="140" t="str">
        <f t="shared" si="109"/>
        <v/>
      </c>
      <c r="U623" s="140" t="str">
        <f t="shared" si="110"/>
        <v/>
      </c>
      <c r="V623" s="99"/>
    </row>
    <row r="624" spans="1:22">
      <c r="A624" s="92"/>
      <c r="B624" s="141" t="s">
        <v>380</v>
      </c>
      <c r="C624" s="143"/>
      <c r="D624" s="142"/>
      <c r="E624" s="144"/>
      <c r="F624" s="139"/>
      <c r="G624" s="98">
        <v>16</v>
      </c>
      <c r="H624" s="99">
        <v>20</v>
      </c>
      <c r="I624" s="99">
        <v>4</v>
      </c>
      <c r="J624" s="109">
        <f>D622</f>
        <v>1.48</v>
      </c>
      <c r="K624" s="110" t="str">
        <f t="shared" si="111"/>
        <v>0</v>
      </c>
      <c r="L624" s="111">
        <v>0</v>
      </c>
      <c r="M624" s="99">
        <f t="shared" si="112"/>
        <v>0</v>
      </c>
      <c r="N624" s="112">
        <f>J624+E624-M624</f>
        <v>1.48</v>
      </c>
      <c r="O624" s="112">
        <f>H624*I624*N624</f>
        <v>118.4</v>
      </c>
      <c r="P624" s="140" t="str">
        <f t="shared" si="105"/>
        <v/>
      </c>
      <c r="Q624" s="140" t="str">
        <f t="shared" si="106"/>
        <v/>
      </c>
      <c r="R624" s="140" t="str">
        <f t="shared" si="107"/>
        <v/>
      </c>
      <c r="S624" s="140">
        <f t="shared" si="108"/>
        <v>118.4</v>
      </c>
      <c r="T624" s="140" t="str">
        <f t="shared" si="109"/>
        <v/>
      </c>
      <c r="U624" s="140" t="str">
        <f t="shared" si="110"/>
        <v/>
      </c>
      <c r="V624" s="99"/>
    </row>
    <row r="625" spans="1:22">
      <c r="A625" s="92"/>
      <c r="B625" s="141" t="s">
        <v>381</v>
      </c>
      <c r="C625" s="136"/>
      <c r="D625" s="137"/>
      <c r="E625" s="138"/>
      <c r="F625" s="139"/>
      <c r="G625" s="98">
        <v>12</v>
      </c>
      <c r="H625" s="99">
        <v>20</v>
      </c>
      <c r="I625" s="99">
        <v>4</v>
      </c>
      <c r="J625" s="109">
        <f>D622</f>
        <v>1.48</v>
      </c>
      <c r="K625" s="110" t="str">
        <f t="shared" si="111"/>
        <v>0</v>
      </c>
      <c r="L625" s="111">
        <v>0</v>
      </c>
      <c r="M625" s="99">
        <f>2*G625*L625/1000</f>
        <v>0</v>
      </c>
      <c r="N625" s="112">
        <f>J625+E624-M625</f>
        <v>1.48</v>
      </c>
      <c r="O625" s="112">
        <f>H625*I625*N625</f>
        <v>118.4</v>
      </c>
      <c r="P625" s="140" t="str">
        <f t="shared" si="105"/>
        <v/>
      </c>
      <c r="Q625" s="140" t="str">
        <f t="shared" si="106"/>
        <v/>
      </c>
      <c r="R625" s="140">
        <f t="shared" si="107"/>
        <v>118.4</v>
      </c>
      <c r="S625" s="140" t="str">
        <f t="shared" si="108"/>
        <v/>
      </c>
      <c r="T625" s="140" t="str">
        <f t="shared" si="109"/>
        <v/>
      </c>
      <c r="U625" s="140" t="str">
        <f t="shared" si="110"/>
        <v/>
      </c>
      <c r="V625" s="99"/>
    </row>
    <row r="626" spans="1:22">
      <c r="A626" s="92"/>
      <c r="B626" s="141"/>
      <c r="C626" s="136"/>
      <c r="D626" s="137"/>
      <c r="E626" s="138"/>
      <c r="F626" s="139"/>
      <c r="G626" s="98"/>
      <c r="H626" s="99"/>
      <c r="I626" s="99"/>
      <c r="J626" s="100"/>
      <c r="K626" s="99"/>
      <c r="L626" s="99"/>
      <c r="M626" s="99"/>
      <c r="N626" s="99"/>
      <c r="O626" s="101"/>
      <c r="P626" s="140" t="str">
        <f t="shared" si="105"/>
        <v/>
      </c>
      <c r="Q626" s="140" t="str">
        <f t="shared" si="106"/>
        <v/>
      </c>
      <c r="R626" s="140" t="str">
        <f t="shared" si="107"/>
        <v/>
      </c>
      <c r="S626" s="140" t="str">
        <f t="shared" si="108"/>
        <v/>
      </c>
      <c r="T626" s="140" t="str">
        <f t="shared" si="109"/>
        <v/>
      </c>
      <c r="U626" s="140" t="str">
        <f t="shared" si="110"/>
        <v/>
      </c>
      <c r="V626" s="99"/>
    </row>
    <row r="627" spans="1:22">
      <c r="A627" s="92"/>
      <c r="B627" s="429" t="s">
        <v>644</v>
      </c>
      <c r="C627" s="145">
        <v>0.08</v>
      </c>
      <c r="D627" s="137"/>
      <c r="E627" s="138"/>
      <c r="F627" s="139"/>
      <c r="G627" s="98"/>
      <c r="H627" s="99"/>
      <c r="I627" s="99"/>
      <c r="J627" s="100"/>
      <c r="K627" s="99"/>
      <c r="L627" s="99"/>
      <c r="M627" s="99"/>
      <c r="N627" s="99"/>
      <c r="O627" s="101"/>
      <c r="P627" s="140" t="str">
        <f t="shared" si="105"/>
        <v/>
      </c>
      <c r="Q627" s="140" t="str">
        <f t="shared" si="106"/>
        <v/>
      </c>
      <c r="R627" s="140" t="str">
        <f t="shared" si="107"/>
        <v/>
      </c>
      <c r="S627" s="140" t="str">
        <f t="shared" si="108"/>
        <v/>
      </c>
      <c r="T627" s="140" t="str">
        <f t="shared" si="109"/>
        <v/>
      </c>
      <c r="U627" s="140" t="str">
        <f t="shared" si="110"/>
        <v/>
      </c>
      <c r="V627" s="99"/>
    </row>
    <row r="628" spans="1:22">
      <c r="A628" s="92"/>
      <c r="B628" s="146" t="s">
        <v>382</v>
      </c>
      <c r="C628" s="147"/>
      <c r="D628" s="137"/>
      <c r="E628" s="148">
        <f>0.6-0.08</f>
        <v>0.52</v>
      </c>
      <c r="F628" s="139"/>
      <c r="G628" s="98">
        <v>10</v>
      </c>
      <c r="H628" s="99">
        <v>20</v>
      </c>
      <c r="I628" s="99">
        <f>((2*0.6)/0.075)+2</f>
        <v>18</v>
      </c>
      <c r="J628" s="149">
        <f>2*(D630+E628)+2*8*G628/1000</f>
        <v>1.64</v>
      </c>
      <c r="K628" s="99"/>
      <c r="L628" s="99">
        <v>5</v>
      </c>
      <c r="M628" s="112">
        <f>2*G628*L628/1000</f>
        <v>0.1</v>
      </c>
      <c r="N628" s="112">
        <f>(J628+K628-M628)+0.02</f>
        <v>1.5599999999999998</v>
      </c>
      <c r="O628" s="112">
        <f>(H628*I628*N628)</f>
        <v>561.59999999999991</v>
      </c>
      <c r="P628" s="140" t="str">
        <f t="shared" si="105"/>
        <v/>
      </c>
      <c r="Q628" s="140">
        <f t="shared" si="106"/>
        <v>561.59999999999991</v>
      </c>
      <c r="R628" s="140" t="str">
        <f t="shared" si="107"/>
        <v/>
      </c>
      <c r="S628" s="140" t="str">
        <f t="shared" si="108"/>
        <v/>
      </c>
      <c r="T628" s="140" t="str">
        <f t="shared" si="109"/>
        <v/>
      </c>
      <c r="U628" s="140" t="str">
        <f t="shared" si="110"/>
        <v/>
      </c>
      <c r="V628" s="99"/>
    </row>
    <row r="629" spans="1:22">
      <c r="A629" s="92"/>
      <c r="B629" s="146"/>
      <c r="C629" s="136"/>
      <c r="D629" s="137"/>
      <c r="E629" s="150"/>
      <c r="F629" s="139"/>
      <c r="G629" s="98"/>
      <c r="H629" s="99"/>
      <c r="I629" s="99"/>
      <c r="J629" s="100"/>
      <c r="K629" s="99"/>
      <c r="L629" s="99"/>
      <c r="M629" s="99"/>
      <c r="N629" s="99"/>
      <c r="O629" s="112"/>
      <c r="P629" s="140" t="str">
        <f t="shared" si="105"/>
        <v/>
      </c>
      <c r="Q629" s="140" t="str">
        <f t="shared" si="106"/>
        <v/>
      </c>
      <c r="R629" s="140" t="str">
        <f t="shared" si="107"/>
        <v/>
      </c>
      <c r="S629" s="140" t="str">
        <f t="shared" si="108"/>
        <v/>
      </c>
      <c r="T629" s="140" t="str">
        <f t="shared" si="109"/>
        <v/>
      </c>
      <c r="U629" s="140" t="str">
        <f t="shared" si="110"/>
        <v/>
      </c>
      <c r="V629" s="99"/>
    </row>
    <row r="630" spans="1:22">
      <c r="A630" s="92"/>
      <c r="B630" s="146"/>
      <c r="C630" s="136"/>
      <c r="D630" s="109">
        <f>0.3-0.08</f>
        <v>0.21999999999999997</v>
      </c>
      <c r="E630" s="138"/>
      <c r="F630" s="139"/>
      <c r="G630" s="98"/>
      <c r="H630" s="99"/>
      <c r="I630" s="99"/>
      <c r="J630" s="100"/>
      <c r="K630" s="99"/>
      <c r="L630" s="99"/>
      <c r="M630" s="99"/>
      <c r="N630" s="99"/>
      <c r="O630" s="112"/>
      <c r="P630" s="140" t="str">
        <f t="shared" si="105"/>
        <v/>
      </c>
      <c r="Q630" s="140" t="str">
        <f t="shared" si="106"/>
        <v/>
      </c>
      <c r="R630" s="140" t="str">
        <f t="shared" si="107"/>
        <v/>
      </c>
      <c r="S630" s="140" t="str">
        <f t="shared" si="108"/>
        <v/>
      </c>
      <c r="T630" s="140" t="str">
        <f t="shared" si="109"/>
        <v/>
      </c>
      <c r="U630" s="140" t="str">
        <f t="shared" si="110"/>
        <v/>
      </c>
      <c r="V630" s="99"/>
    </row>
    <row r="631" spans="1:22">
      <c r="A631" s="92"/>
      <c r="B631" s="141"/>
      <c r="C631" s="136"/>
      <c r="D631" s="137"/>
      <c r="E631" s="138"/>
      <c r="F631" s="139"/>
      <c r="G631" s="98"/>
      <c r="H631" s="99"/>
      <c r="I631" s="99"/>
      <c r="J631" s="100"/>
      <c r="K631" s="99"/>
      <c r="L631" s="99"/>
      <c r="M631" s="99"/>
      <c r="N631" s="99"/>
      <c r="O631" s="112"/>
      <c r="P631" s="140" t="str">
        <f t="shared" si="105"/>
        <v/>
      </c>
      <c r="Q631" s="140" t="str">
        <f t="shared" si="106"/>
        <v/>
      </c>
      <c r="R631" s="140" t="str">
        <f t="shared" si="107"/>
        <v/>
      </c>
      <c r="S631" s="140" t="str">
        <f t="shared" si="108"/>
        <v/>
      </c>
      <c r="T631" s="140" t="str">
        <f t="shared" si="109"/>
        <v/>
      </c>
      <c r="U631" s="140" t="str">
        <f t="shared" si="110"/>
        <v/>
      </c>
      <c r="V631" s="99"/>
    </row>
    <row r="632" spans="1:22">
      <c r="A632" s="92"/>
      <c r="B632" s="92"/>
      <c r="C632" s="145">
        <v>0.08</v>
      </c>
      <c r="D632" s="137"/>
      <c r="E632" s="138"/>
      <c r="F632" s="139"/>
      <c r="G632" s="98"/>
      <c r="H632" s="99"/>
      <c r="I632" s="99"/>
      <c r="J632" s="100"/>
      <c r="K632" s="99"/>
      <c r="L632" s="99"/>
      <c r="M632" s="99"/>
      <c r="N632" s="99"/>
      <c r="O632" s="112"/>
      <c r="P632" s="140" t="str">
        <f t="shared" si="105"/>
        <v/>
      </c>
      <c r="Q632" s="140" t="str">
        <f t="shared" si="106"/>
        <v/>
      </c>
      <c r="R632" s="140" t="str">
        <f t="shared" si="107"/>
        <v/>
      </c>
      <c r="S632" s="140" t="str">
        <f t="shared" si="108"/>
        <v/>
      </c>
      <c r="T632" s="140" t="str">
        <f t="shared" si="109"/>
        <v/>
      </c>
      <c r="U632" s="140" t="str">
        <f t="shared" si="110"/>
        <v/>
      </c>
      <c r="V632" s="99"/>
    </row>
    <row r="633" spans="1:22">
      <c r="A633" s="92"/>
      <c r="B633" s="146" t="s">
        <v>383</v>
      </c>
      <c r="C633" s="147"/>
      <c r="D633" s="137"/>
      <c r="E633" s="148">
        <f>((0.6-0.08-0.016)/5)+0.012+0.02</f>
        <v>0.1328</v>
      </c>
      <c r="F633" s="139"/>
      <c r="G633" s="98">
        <v>10</v>
      </c>
      <c r="H633" s="99">
        <v>20</v>
      </c>
      <c r="I633" s="99">
        <f>((2*0.6)/0.075)+2</f>
        <v>18</v>
      </c>
      <c r="J633" s="149">
        <f>2*(D635+E633)+2*8*G633/1000</f>
        <v>0.86560000000000004</v>
      </c>
      <c r="K633" s="99"/>
      <c r="L633" s="99">
        <v>5</v>
      </c>
      <c r="M633" s="112">
        <f>2*G633*L633/1000</f>
        <v>0.1</v>
      </c>
      <c r="N633" s="112">
        <f>(J633+K633-M633)+0.02</f>
        <v>0.78560000000000008</v>
      </c>
      <c r="O633" s="112">
        <f>(H633*I633*N633)</f>
        <v>282.81600000000003</v>
      </c>
      <c r="P633" s="140" t="str">
        <f t="shared" si="105"/>
        <v/>
      </c>
      <c r="Q633" s="140">
        <f t="shared" si="106"/>
        <v>282.81600000000003</v>
      </c>
      <c r="R633" s="140" t="str">
        <f t="shared" si="107"/>
        <v/>
      </c>
      <c r="S633" s="140" t="str">
        <f t="shared" si="108"/>
        <v/>
      </c>
      <c r="T633" s="140" t="str">
        <f t="shared" si="109"/>
        <v/>
      </c>
      <c r="U633" s="140" t="str">
        <f t="shared" si="110"/>
        <v/>
      </c>
      <c r="V633" s="99"/>
    </row>
    <row r="634" spans="1:22">
      <c r="A634" s="92"/>
      <c r="B634" s="146"/>
      <c r="C634" s="136"/>
      <c r="D634" s="137"/>
      <c r="E634" s="150"/>
      <c r="F634" s="139"/>
      <c r="G634" s="98"/>
      <c r="H634" s="99"/>
      <c r="I634" s="99"/>
      <c r="J634" s="100"/>
      <c r="K634" s="99"/>
      <c r="L634" s="99"/>
      <c r="M634" s="99"/>
      <c r="N634" s="99"/>
      <c r="O634" s="112"/>
      <c r="P634" s="140" t="str">
        <f t="shared" si="105"/>
        <v/>
      </c>
      <c r="Q634" s="140" t="str">
        <f t="shared" si="106"/>
        <v/>
      </c>
      <c r="R634" s="140" t="str">
        <f t="shared" si="107"/>
        <v/>
      </c>
      <c r="S634" s="140" t="str">
        <f t="shared" si="108"/>
        <v/>
      </c>
      <c r="T634" s="140" t="str">
        <f t="shared" si="109"/>
        <v/>
      </c>
      <c r="U634" s="140" t="str">
        <f t="shared" si="110"/>
        <v/>
      </c>
      <c r="V634" s="99"/>
    </row>
    <row r="635" spans="1:22">
      <c r="A635" s="92"/>
      <c r="B635" s="146"/>
      <c r="C635" s="136"/>
      <c r="D635" s="109">
        <f>0.3-0.08</f>
        <v>0.21999999999999997</v>
      </c>
      <c r="E635" s="138"/>
      <c r="F635" s="139"/>
      <c r="G635" s="98"/>
      <c r="H635" s="99"/>
      <c r="I635" s="99"/>
      <c r="J635" s="100"/>
      <c r="K635" s="99"/>
      <c r="L635" s="99"/>
      <c r="M635" s="99"/>
      <c r="N635" s="99"/>
      <c r="O635" s="112"/>
      <c r="P635" s="140" t="str">
        <f t="shared" si="105"/>
        <v/>
      </c>
      <c r="Q635" s="140" t="str">
        <f t="shared" si="106"/>
        <v/>
      </c>
      <c r="R635" s="140" t="str">
        <f t="shared" si="107"/>
        <v/>
      </c>
      <c r="S635" s="140" t="str">
        <f t="shared" si="108"/>
        <v/>
      </c>
      <c r="T635" s="140" t="str">
        <f t="shared" si="109"/>
        <v/>
      </c>
      <c r="U635" s="140" t="str">
        <f t="shared" si="110"/>
        <v/>
      </c>
      <c r="V635" s="99"/>
    </row>
    <row r="636" spans="1:22">
      <c r="A636" s="92"/>
      <c r="B636" s="146"/>
      <c r="C636" s="136"/>
      <c r="D636" s="137"/>
      <c r="E636" s="138"/>
      <c r="F636" s="139"/>
      <c r="G636" s="98"/>
      <c r="H636" s="99"/>
      <c r="I636" s="99"/>
      <c r="J636" s="100"/>
      <c r="K636" s="99"/>
      <c r="L636" s="99"/>
      <c r="M636" s="99"/>
      <c r="N636" s="99"/>
      <c r="O636" s="112"/>
      <c r="P636" s="140" t="str">
        <f t="shared" si="105"/>
        <v/>
      </c>
      <c r="Q636" s="140" t="str">
        <f t="shared" si="106"/>
        <v/>
      </c>
      <c r="R636" s="140" t="str">
        <f t="shared" si="107"/>
        <v/>
      </c>
      <c r="S636" s="140" t="str">
        <f t="shared" si="108"/>
        <v/>
      </c>
      <c r="T636" s="140" t="str">
        <f t="shared" si="109"/>
        <v/>
      </c>
      <c r="U636" s="140" t="str">
        <f t="shared" si="110"/>
        <v/>
      </c>
      <c r="V636" s="99"/>
    </row>
    <row r="637" spans="1:22">
      <c r="A637" s="92"/>
      <c r="B637" s="146" t="s">
        <v>384</v>
      </c>
      <c r="C637" s="136"/>
      <c r="D637" s="142"/>
      <c r="E637" s="138"/>
      <c r="F637" s="139"/>
      <c r="G637" s="98">
        <v>10</v>
      </c>
      <c r="H637" s="99">
        <v>20</v>
      </c>
      <c r="I637" s="99">
        <f>((2*0.6)/0.075)+2</f>
        <v>18</v>
      </c>
      <c r="J637" s="149">
        <f>C638+D640+E638+2*8*G637/1000</f>
        <v>0.73</v>
      </c>
      <c r="K637" s="99"/>
      <c r="L637" s="99">
        <v>4</v>
      </c>
      <c r="M637" s="112">
        <f>2*G637*L637/1000</f>
        <v>0.08</v>
      </c>
      <c r="N637" s="112">
        <f>(J637+K637-M637)</f>
        <v>0.65</v>
      </c>
      <c r="O637" s="112">
        <f>(H637*I637*N637)</f>
        <v>234</v>
      </c>
      <c r="P637" s="140" t="str">
        <f t="shared" si="105"/>
        <v/>
      </c>
      <c r="Q637" s="140">
        <f t="shared" si="106"/>
        <v>234</v>
      </c>
      <c r="R637" s="140" t="str">
        <f t="shared" si="107"/>
        <v/>
      </c>
      <c r="S637" s="140" t="str">
        <f t="shared" si="108"/>
        <v/>
      </c>
      <c r="T637" s="140" t="str">
        <f t="shared" si="109"/>
        <v/>
      </c>
      <c r="U637" s="140" t="str">
        <f t="shared" si="110"/>
        <v/>
      </c>
      <c r="V637" s="99"/>
    </row>
    <row r="638" spans="1:22">
      <c r="A638" s="92"/>
      <c r="B638" s="146"/>
      <c r="C638" s="151">
        <v>0.17499999999999999</v>
      </c>
      <c r="D638" s="137"/>
      <c r="E638" s="138">
        <v>0.17499999999999999</v>
      </c>
      <c r="F638" s="139"/>
      <c r="G638" s="98"/>
      <c r="H638" s="99"/>
      <c r="I638" s="99"/>
      <c r="J638" s="100"/>
      <c r="K638" s="99"/>
      <c r="L638" s="99"/>
      <c r="M638" s="99"/>
      <c r="N638" s="99"/>
      <c r="O638" s="112"/>
      <c r="P638" s="140" t="str">
        <f>IF($G638=8,$O638,"")</f>
        <v/>
      </c>
      <c r="Q638" s="140" t="str">
        <f>IF($G638=10,$O638,"")</f>
        <v/>
      </c>
      <c r="R638" s="140" t="str">
        <f>IF($G638=12,$O638,"")</f>
        <v/>
      </c>
      <c r="S638" s="140" t="str">
        <f>IF($G638=16,$O638,"")</f>
        <v/>
      </c>
      <c r="T638" s="140" t="str">
        <f>IF($G638=20,$O638,"")</f>
        <v/>
      </c>
      <c r="U638" s="140" t="str">
        <f>IF($G638=25,$O638,"")</f>
        <v/>
      </c>
      <c r="V638" s="99"/>
    </row>
    <row r="639" spans="1:22">
      <c r="A639" s="92"/>
      <c r="B639" s="146"/>
      <c r="C639" s="136"/>
      <c r="D639" s="137"/>
      <c r="E639" s="138"/>
      <c r="F639" s="139"/>
      <c r="G639" s="98"/>
      <c r="H639" s="99"/>
      <c r="I639" s="99"/>
      <c r="J639" s="100"/>
      <c r="K639" s="99"/>
      <c r="L639" s="99"/>
      <c r="M639" s="99"/>
      <c r="N639" s="99"/>
      <c r="O639" s="112"/>
      <c r="P639" s="140" t="str">
        <f t="shared" si="105"/>
        <v/>
      </c>
      <c r="Q639" s="140" t="str">
        <f t="shared" si="106"/>
        <v/>
      </c>
      <c r="R639" s="140" t="str">
        <f t="shared" si="107"/>
        <v/>
      </c>
      <c r="S639" s="140" t="str">
        <f t="shared" si="108"/>
        <v/>
      </c>
      <c r="T639" s="140" t="str">
        <f t="shared" si="109"/>
        <v/>
      </c>
      <c r="U639" s="140" t="str">
        <f t="shared" si="110"/>
        <v/>
      </c>
      <c r="V639" s="99"/>
    </row>
    <row r="640" spans="1:22">
      <c r="A640" s="92"/>
      <c r="B640" s="146"/>
      <c r="C640" s="136"/>
      <c r="D640" s="109">
        <f>0.3-0.08</f>
        <v>0.21999999999999997</v>
      </c>
      <c r="E640" s="138"/>
      <c r="F640" s="139"/>
      <c r="G640" s="98"/>
      <c r="H640" s="99"/>
      <c r="I640" s="99"/>
      <c r="J640" s="100"/>
      <c r="K640" s="99"/>
      <c r="L640" s="99"/>
      <c r="M640" s="99"/>
      <c r="N640" s="99"/>
      <c r="O640" s="112"/>
      <c r="P640" s="140" t="str">
        <f t="shared" si="105"/>
        <v/>
      </c>
      <c r="Q640" s="140" t="str">
        <f t="shared" si="106"/>
        <v/>
      </c>
      <c r="R640" s="140" t="str">
        <f t="shared" si="107"/>
        <v/>
      </c>
      <c r="S640" s="140" t="str">
        <f t="shared" si="108"/>
        <v/>
      </c>
      <c r="T640" s="140" t="str">
        <f t="shared" si="109"/>
        <v/>
      </c>
      <c r="U640" s="140" t="str">
        <f t="shared" si="110"/>
        <v/>
      </c>
      <c r="V640" s="99"/>
    </row>
    <row r="641" spans="1:22">
      <c r="A641" s="92"/>
      <c r="B641" s="146"/>
      <c r="C641" s="136"/>
      <c r="D641" s="137"/>
      <c r="E641" s="138"/>
      <c r="F641" s="139"/>
      <c r="G641" s="98"/>
      <c r="H641" s="99"/>
      <c r="I641" s="99"/>
      <c r="J641" s="100"/>
      <c r="K641" s="99"/>
      <c r="L641" s="99"/>
      <c r="M641" s="99"/>
      <c r="N641" s="99"/>
      <c r="O641" s="112"/>
      <c r="P641" s="140" t="str">
        <f t="shared" si="105"/>
        <v/>
      </c>
      <c r="Q641" s="140" t="str">
        <f t="shared" si="106"/>
        <v/>
      </c>
      <c r="R641" s="140" t="str">
        <f t="shared" si="107"/>
        <v/>
      </c>
      <c r="S641" s="140" t="str">
        <f t="shared" si="108"/>
        <v/>
      </c>
      <c r="T641" s="140" t="str">
        <f t="shared" si="109"/>
        <v/>
      </c>
      <c r="U641" s="140" t="str">
        <f t="shared" si="110"/>
        <v/>
      </c>
      <c r="V641" s="99"/>
    </row>
    <row r="642" spans="1:22">
      <c r="A642" s="92"/>
      <c r="B642" s="146" t="s">
        <v>385</v>
      </c>
      <c r="C642" s="136"/>
      <c r="D642" s="142"/>
      <c r="E642" s="138"/>
      <c r="F642" s="139"/>
      <c r="G642" s="98">
        <v>10</v>
      </c>
      <c r="H642" s="99">
        <v>20</v>
      </c>
      <c r="I642" s="99">
        <f>((2*0.6)/0.075)+2</f>
        <v>18</v>
      </c>
      <c r="J642" s="149">
        <f>C643+D645+E643+2*8*G642/1000</f>
        <v>0.73</v>
      </c>
      <c r="K642" s="99"/>
      <c r="L642" s="99">
        <v>4</v>
      </c>
      <c r="M642" s="112">
        <f>2*G642*L642/1000</f>
        <v>0.08</v>
      </c>
      <c r="N642" s="112">
        <f>(J642+K642-M642)</f>
        <v>0.65</v>
      </c>
      <c r="O642" s="112">
        <f>(H642*I642*N642)</f>
        <v>234</v>
      </c>
      <c r="P642" s="140" t="str">
        <f t="shared" si="105"/>
        <v/>
      </c>
      <c r="Q642" s="140">
        <f t="shared" si="106"/>
        <v>234</v>
      </c>
      <c r="R642" s="140" t="str">
        <f t="shared" si="107"/>
        <v/>
      </c>
      <c r="S642" s="140" t="str">
        <f t="shared" si="108"/>
        <v/>
      </c>
      <c r="T642" s="140" t="str">
        <f t="shared" si="109"/>
        <v/>
      </c>
      <c r="U642" s="140" t="str">
        <f t="shared" si="110"/>
        <v/>
      </c>
      <c r="V642" s="99"/>
    </row>
    <row r="643" spans="1:22">
      <c r="A643" s="92"/>
      <c r="B643" s="146"/>
      <c r="C643" s="151">
        <v>0.17499999999999999</v>
      </c>
      <c r="D643" s="137"/>
      <c r="E643" s="138">
        <v>0.17499999999999999</v>
      </c>
      <c r="F643" s="139"/>
      <c r="G643" s="98"/>
      <c r="H643" s="99"/>
      <c r="I643" s="99"/>
      <c r="J643" s="100"/>
      <c r="K643" s="99"/>
      <c r="L643" s="99"/>
      <c r="M643" s="99"/>
      <c r="N643" s="99"/>
      <c r="O643" s="112"/>
      <c r="P643" s="140" t="str">
        <f>IF($G643=8,$O643,"")</f>
        <v/>
      </c>
      <c r="Q643" s="140" t="str">
        <f>IF($G643=10,$O643,"")</f>
        <v/>
      </c>
      <c r="R643" s="140" t="str">
        <f>IF($G643=12,$O643,"")</f>
        <v/>
      </c>
      <c r="S643" s="140" t="str">
        <f>IF($G643=16,$O643,"")</f>
        <v/>
      </c>
      <c r="T643" s="140" t="str">
        <f>IF($G643=20,$O643,"")</f>
        <v/>
      </c>
      <c r="U643" s="140" t="str">
        <f>IF($G643=25,$O643,"")</f>
        <v/>
      </c>
      <c r="V643" s="99"/>
    </row>
    <row r="644" spans="1:22">
      <c r="A644" s="92"/>
      <c r="B644" s="146"/>
      <c r="C644" s="136"/>
      <c r="D644" s="137"/>
      <c r="E644" s="138"/>
      <c r="F644" s="139"/>
      <c r="G644" s="98"/>
      <c r="H644" s="99"/>
      <c r="I644" s="99"/>
      <c r="J644" s="100"/>
      <c r="K644" s="99"/>
      <c r="L644" s="99"/>
      <c r="M644" s="99"/>
      <c r="N644" s="99"/>
      <c r="O644" s="101"/>
      <c r="P644" s="140" t="str">
        <f t="shared" si="105"/>
        <v/>
      </c>
      <c r="Q644" s="140" t="str">
        <f t="shared" si="106"/>
        <v/>
      </c>
      <c r="R644" s="140" t="str">
        <f t="shared" si="107"/>
        <v/>
      </c>
      <c r="S644" s="140" t="str">
        <f t="shared" si="108"/>
        <v/>
      </c>
      <c r="T644" s="140" t="str">
        <f t="shared" si="109"/>
        <v/>
      </c>
      <c r="U644" s="140" t="str">
        <f t="shared" si="110"/>
        <v/>
      </c>
      <c r="V644" s="99"/>
    </row>
    <row r="645" spans="1:22">
      <c r="A645" s="92"/>
      <c r="B645" s="146"/>
      <c r="C645" s="136"/>
      <c r="D645" s="109">
        <f>0.3-0.08</f>
        <v>0.21999999999999997</v>
      </c>
      <c r="E645" s="138"/>
      <c r="F645" s="139"/>
      <c r="G645" s="98"/>
      <c r="H645" s="99"/>
      <c r="I645" s="99"/>
      <c r="J645" s="100"/>
      <c r="K645" s="99"/>
      <c r="L645" s="99"/>
      <c r="M645" s="99"/>
      <c r="N645" s="99"/>
      <c r="O645" s="101"/>
      <c r="P645" s="140" t="str">
        <f t="shared" si="105"/>
        <v/>
      </c>
      <c r="Q645" s="140" t="str">
        <f t="shared" si="106"/>
        <v/>
      </c>
      <c r="R645" s="140" t="str">
        <f t="shared" si="107"/>
        <v/>
      </c>
      <c r="S645" s="140" t="str">
        <f t="shared" si="108"/>
        <v/>
      </c>
      <c r="T645" s="140" t="str">
        <f t="shared" si="109"/>
        <v/>
      </c>
      <c r="U645" s="140" t="str">
        <f t="shared" si="110"/>
        <v/>
      </c>
      <c r="V645" s="99"/>
    </row>
    <row r="646" spans="1:22">
      <c r="A646" s="92"/>
      <c r="B646" s="429" t="s">
        <v>645</v>
      </c>
      <c r="C646" s="145">
        <v>0.08</v>
      </c>
      <c r="D646" s="137"/>
      <c r="E646" s="138"/>
      <c r="F646" s="139"/>
      <c r="G646" s="98"/>
      <c r="H646" s="99"/>
      <c r="I646" s="99"/>
      <c r="J646" s="100"/>
      <c r="K646" s="99"/>
      <c r="L646" s="99"/>
      <c r="M646" s="99"/>
      <c r="N646" s="99"/>
      <c r="O646" s="101"/>
      <c r="P646" s="140" t="str">
        <f t="shared" ref="P646:P664" si="113">IF($G646=8,$O646,"")</f>
        <v/>
      </c>
      <c r="Q646" s="140" t="str">
        <f t="shared" ref="Q646:Q664" si="114">IF($G646=10,$O646,"")</f>
        <v/>
      </c>
      <c r="R646" s="140" t="str">
        <f t="shared" ref="R646:R664" si="115">IF($G646=12,$O646,"")</f>
        <v/>
      </c>
      <c r="S646" s="140" t="str">
        <f t="shared" ref="S646:S664" si="116">IF($G646=16,$O646,"")</f>
        <v/>
      </c>
      <c r="T646" s="140" t="str">
        <f t="shared" ref="T646:T664" si="117">IF($G646=20,$O646,"")</f>
        <v/>
      </c>
      <c r="U646" s="140" t="str">
        <f t="shared" ref="U646:U664" si="118">IF($G646=25,$O646,"")</f>
        <v/>
      </c>
      <c r="V646" s="99"/>
    </row>
    <row r="647" spans="1:22">
      <c r="A647" s="92"/>
      <c r="B647" s="146" t="s">
        <v>382</v>
      </c>
      <c r="C647" s="147"/>
      <c r="D647" s="137"/>
      <c r="E647" s="148">
        <f>0.6-0.08</f>
        <v>0.52</v>
      </c>
      <c r="F647" s="139"/>
      <c r="G647" s="98">
        <v>8</v>
      </c>
      <c r="H647" s="99">
        <v>20</v>
      </c>
      <c r="I647" s="111">
        <f>((1.48-2*0.6)/0.15)+1</f>
        <v>2.8666666666666671</v>
      </c>
      <c r="J647" s="149">
        <f>2*(D649+E647)+2*8*G647/1000</f>
        <v>1.6080000000000001</v>
      </c>
      <c r="K647" s="99"/>
      <c r="L647" s="99">
        <v>5</v>
      </c>
      <c r="M647" s="112">
        <f>2*G647*L647/1000</f>
        <v>0.08</v>
      </c>
      <c r="N647" s="112">
        <f>(J647+K647-M647)+0.02</f>
        <v>1.548</v>
      </c>
      <c r="O647" s="112">
        <f>(H647*I647*N647)</f>
        <v>88.752000000000024</v>
      </c>
      <c r="P647" s="140">
        <f t="shared" si="113"/>
        <v>88.752000000000024</v>
      </c>
      <c r="Q647" s="140" t="str">
        <f t="shared" si="114"/>
        <v/>
      </c>
      <c r="R647" s="140" t="str">
        <f t="shared" si="115"/>
        <v/>
      </c>
      <c r="S647" s="140" t="str">
        <f t="shared" si="116"/>
        <v/>
      </c>
      <c r="T647" s="140" t="str">
        <f t="shared" si="117"/>
        <v/>
      </c>
      <c r="U647" s="140" t="str">
        <f t="shared" si="118"/>
        <v/>
      </c>
      <c r="V647" s="99"/>
    </row>
    <row r="648" spans="1:22">
      <c r="A648" s="92"/>
      <c r="B648" s="146"/>
      <c r="C648" s="136"/>
      <c r="D648" s="137"/>
      <c r="E648" s="150"/>
      <c r="F648" s="139"/>
      <c r="G648" s="98"/>
      <c r="H648" s="99"/>
      <c r="I648" s="99"/>
      <c r="J648" s="100"/>
      <c r="K648" s="99"/>
      <c r="L648" s="99"/>
      <c r="M648" s="99"/>
      <c r="N648" s="99"/>
      <c r="O648" s="112"/>
      <c r="P648" s="140" t="str">
        <f t="shared" si="113"/>
        <v/>
      </c>
      <c r="Q648" s="140" t="str">
        <f t="shared" si="114"/>
        <v/>
      </c>
      <c r="R648" s="140" t="str">
        <f t="shared" si="115"/>
        <v/>
      </c>
      <c r="S648" s="140" t="str">
        <f t="shared" si="116"/>
        <v/>
      </c>
      <c r="T648" s="140" t="str">
        <f t="shared" si="117"/>
        <v/>
      </c>
      <c r="U648" s="140" t="str">
        <f t="shared" si="118"/>
        <v/>
      </c>
      <c r="V648" s="99"/>
    </row>
    <row r="649" spans="1:22">
      <c r="A649" s="92"/>
      <c r="B649" s="146"/>
      <c r="C649" s="136"/>
      <c r="D649" s="109">
        <f>0.3-0.08</f>
        <v>0.21999999999999997</v>
      </c>
      <c r="E649" s="138"/>
      <c r="F649" s="139"/>
      <c r="G649" s="98"/>
      <c r="H649" s="99"/>
      <c r="I649" s="99"/>
      <c r="J649" s="100"/>
      <c r="K649" s="99"/>
      <c r="L649" s="99"/>
      <c r="M649" s="99"/>
      <c r="N649" s="99"/>
      <c r="O649" s="112"/>
      <c r="P649" s="140" t="str">
        <f t="shared" si="113"/>
        <v/>
      </c>
      <c r="Q649" s="140" t="str">
        <f t="shared" si="114"/>
        <v/>
      </c>
      <c r="R649" s="140" t="str">
        <f t="shared" si="115"/>
        <v/>
      </c>
      <c r="S649" s="140" t="str">
        <f t="shared" si="116"/>
        <v/>
      </c>
      <c r="T649" s="140" t="str">
        <f t="shared" si="117"/>
        <v/>
      </c>
      <c r="U649" s="140" t="str">
        <f t="shared" si="118"/>
        <v/>
      </c>
      <c r="V649" s="99"/>
    </row>
    <row r="650" spans="1:22">
      <c r="A650" s="92"/>
      <c r="B650" s="141"/>
      <c r="C650" s="136"/>
      <c r="D650" s="137"/>
      <c r="E650" s="138"/>
      <c r="F650" s="139"/>
      <c r="G650" s="98"/>
      <c r="H650" s="99"/>
      <c r="I650" s="99"/>
      <c r="J650" s="100"/>
      <c r="K650" s="99"/>
      <c r="L650" s="99"/>
      <c r="M650" s="99"/>
      <c r="N650" s="99"/>
      <c r="O650" s="112"/>
      <c r="P650" s="140" t="str">
        <f t="shared" si="113"/>
        <v/>
      </c>
      <c r="Q650" s="140" t="str">
        <f t="shared" si="114"/>
        <v/>
      </c>
      <c r="R650" s="140" t="str">
        <f t="shared" si="115"/>
        <v/>
      </c>
      <c r="S650" s="140" t="str">
        <f t="shared" si="116"/>
        <v/>
      </c>
      <c r="T650" s="140" t="str">
        <f t="shared" si="117"/>
        <v/>
      </c>
      <c r="U650" s="140" t="str">
        <f t="shared" si="118"/>
        <v/>
      </c>
      <c r="V650" s="99"/>
    </row>
    <row r="651" spans="1:22">
      <c r="A651" s="92"/>
      <c r="B651" s="92"/>
      <c r="C651" s="145">
        <v>0.08</v>
      </c>
      <c r="D651" s="137"/>
      <c r="E651" s="138"/>
      <c r="F651" s="139"/>
      <c r="G651" s="98"/>
      <c r="H651" s="99"/>
      <c r="I651" s="99"/>
      <c r="J651" s="100"/>
      <c r="K651" s="99"/>
      <c r="L651" s="99"/>
      <c r="M651" s="99"/>
      <c r="N651" s="99"/>
      <c r="O651" s="112"/>
      <c r="P651" s="140" t="str">
        <f t="shared" si="113"/>
        <v/>
      </c>
      <c r="Q651" s="140" t="str">
        <f t="shared" si="114"/>
        <v/>
      </c>
      <c r="R651" s="140" t="str">
        <f t="shared" si="115"/>
        <v/>
      </c>
      <c r="S651" s="140" t="str">
        <f t="shared" si="116"/>
        <v/>
      </c>
      <c r="T651" s="140" t="str">
        <f t="shared" si="117"/>
        <v/>
      </c>
      <c r="U651" s="140" t="str">
        <f t="shared" si="118"/>
        <v/>
      </c>
      <c r="V651" s="99"/>
    </row>
    <row r="652" spans="1:22">
      <c r="A652" s="92"/>
      <c r="B652" s="146" t="s">
        <v>383</v>
      </c>
      <c r="C652" s="147"/>
      <c r="D652" s="137"/>
      <c r="E652" s="148">
        <f>((0.6-0.08-0.016)/5)+0.012+0.02</f>
        <v>0.1328</v>
      </c>
      <c r="F652" s="139"/>
      <c r="G652" s="98">
        <v>8</v>
      </c>
      <c r="H652" s="99">
        <v>20</v>
      </c>
      <c r="I652" s="111">
        <f>((1.48-2*0.6)/0.15)+1</f>
        <v>2.8666666666666671</v>
      </c>
      <c r="J652" s="149">
        <f>2*(D654+E652)+2*8*G652/1000</f>
        <v>0.83360000000000001</v>
      </c>
      <c r="K652" s="99"/>
      <c r="L652" s="99">
        <v>5</v>
      </c>
      <c r="M652" s="112">
        <f>2*G652*L652/1000</f>
        <v>0.08</v>
      </c>
      <c r="N652" s="112">
        <f>(J652+K652-M652)+0.02</f>
        <v>0.77360000000000007</v>
      </c>
      <c r="O652" s="112">
        <f>(H652*I652*N652)</f>
        <v>44.353066666666678</v>
      </c>
      <c r="P652" s="140">
        <f t="shared" si="113"/>
        <v>44.353066666666678</v>
      </c>
      <c r="Q652" s="140" t="str">
        <f t="shared" si="114"/>
        <v/>
      </c>
      <c r="R652" s="140" t="str">
        <f t="shared" si="115"/>
        <v/>
      </c>
      <c r="S652" s="140" t="str">
        <f t="shared" si="116"/>
        <v/>
      </c>
      <c r="T652" s="140" t="str">
        <f t="shared" si="117"/>
        <v/>
      </c>
      <c r="U652" s="140" t="str">
        <f t="shared" si="118"/>
        <v/>
      </c>
      <c r="V652" s="99"/>
    </row>
    <row r="653" spans="1:22">
      <c r="A653" s="92"/>
      <c r="B653" s="146"/>
      <c r="C653" s="136"/>
      <c r="D653" s="137"/>
      <c r="E653" s="150"/>
      <c r="F653" s="139"/>
      <c r="G653" s="98"/>
      <c r="H653" s="99"/>
      <c r="I653" s="99"/>
      <c r="J653" s="100"/>
      <c r="K653" s="99"/>
      <c r="L653" s="99"/>
      <c r="M653" s="99"/>
      <c r="N653" s="99"/>
      <c r="O653" s="112"/>
      <c r="P653" s="140" t="str">
        <f t="shared" si="113"/>
        <v/>
      </c>
      <c r="Q653" s="140" t="str">
        <f t="shared" si="114"/>
        <v/>
      </c>
      <c r="R653" s="140" t="str">
        <f t="shared" si="115"/>
        <v/>
      </c>
      <c r="S653" s="140" t="str">
        <f t="shared" si="116"/>
        <v/>
      </c>
      <c r="T653" s="140" t="str">
        <f t="shared" si="117"/>
        <v/>
      </c>
      <c r="U653" s="140" t="str">
        <f t="shared" si="118"/>
        <v/>
      </c>
      <c r="V653" s="99"/>
    </row>
    <row r="654" spans="1:22">
      <c r="A654" s="92"/>
      <c r="B654" s="146"/>
      <c r="C654" s="136"/>
      <c r="D654" s="109">
        <f>0.3-0.08</f>
        <v>0.21999999999999997</v>
      </c>
      <c r="E654" s="138"/>
      <c r="F654" s="139"/>
      <c r="G654" s="98"/>
      <c r="H654" s="99"/>
      <c r="I654" s="99"/>
      <c r="J654" s="100"/>
      <c r="K654" s="99"/>
      <c r="L654" s="99"/>
      <c r="M654" s="99"/>
      <c r="N654" s="99"/>
      <c r="O654" s="112"/>
      <c r="P654" s="140" t="str">
        <f t="shared" si="113"/>
        <v/>
      </c>
      <c r="Q654" s="140" t="str">
        <f t="shared" si="114"/>
        <v/>
      </c>
      <c r="R654" s="140" t="str">
        <f t="shared" si="115"/>
        <v/>
      </c>
      <c r="S654" s="140" t="str">
        <f t="shared" si="116"/>
        <v/>
      </c>
      <c r="T654" s="140" t="str">
        <f t="shared" si="117"/>
        <v/>
      </c>
      <c r="U654" s="140" t="str">
        <f t="shared" si="118"/>
        <v/>
      </c>
      <c r="V654" s="99"/>
    </row>
    <row r="655" spans="1:22">
      <c r="A655" s="92"/>
      <c r="B655" s="146"/>
      <c r="C655" s="136"/>
      <c r="D655" s="137"/>
      <c r="E655" s="138"/>
      <c r="F655" s="139"/>
      <c r="G655" s="98"/>
      <c r="H655" s="99"/>
      <c r="I655" s="99"/>
      <c r="J655" s="100"/>
      <c r="K655" s="99"/>
      <c r="L655" s="99"/>
      <c r="M655" s="99"/>
      <c r="N655" s="99"/>
      <c r="O655" s="112"/>
      <c r="P655" s="140" t="str">
        <f t="shared" si="113"/>
        <v/>
      </c>
      <c r="Q655" s="140" t="str">
        <f t="shared" si="114"/>
        <v/>
      </c>
      <c r="R655" s="140" t="str">
        <f t="shared" si="115"/>
        <v/>
      </c>
      <c r="S655" s="140" t="str">
        <f t="shared" si="116"/>
        <v/>
      </c>
      <c r="T655" s="140" t="str">
        <f t="shared" si="117"/>
        <v/>
      </c>
      <c r="U655" s="140" t="str">
        <f t="shared" si="118"/>
        <v/>
      </c>
      <c r="V655" s="99"/>
    </row>
    <row r="656" spans="1:22">
      <c r="A656" s="92"/>
      <c r="B656" s="146" t="s">
        <v>384</v>
      </c>
      <c r="C656" s="136"/>
      <c r="D656" s="142"/>
      <c r="E656" s="138"/>
      <c r="F656" s="139"/>
      <c r="G656" s="98">
        <v>8</v>
      </c>
      <c r="H656" s="99">
        <v>20</v>
      </c>
      <c r="I656" s="111">
        <f>((1.48-2*0.6)/0.15)+1</f>
        <v>2.8666666666666671</v>
      </c>
      <c r="J656" s="149">
        <f>C657+D659+E657+2*8*G656/1000</f>
        <v>0.69799999999999995</v>
      </c>
      <c r="K656" s="99"/>
      <c r="L656" s="99">
        <v>4</v>
      </c>
      <c r="M656" s="112">
        <f>2*G656*L656/1000</f>
        <v>6.4000000000000001E-2</v>
      </c>
      <c r="N656" s="112">
        <f>(J656+K656-M656)</f>
        <v>0.6339999999999999</v>
      </c>
      <c r="O656" s="112">
        <f>(H656*I656*N656)</f>
        <v>36.349333333333334</v>
      </c>
      <c r="P656" s="140">
        <f t="shared" si="113"/>
        <v>36.349333333333334</v>
      </c>
      <c r="Q656" s="140" t="str">
        <f t="shared" si="114"/>
        <v/>
      </c>
      <c r="R656" s="140" t="str">
        <f t="shared" si="115"/>
        <v/>
      </c>
      <c r="S656" s="140" t="str">
        <f t="shared" si="116"/>
        <v/>
      </c>
      <c r="T656" s="140" t="str">
        <f t="shared" si="117"/>
        <v/>
      </c>
      <c r="U656" s="140" t="str">
        <f t="shared" si="118"/>
        <v/>
      </c>
      <c r="V656" s="99"/>
    </row>
    <row r="657" spans="1:22">
      <c r="A657" s="92"/>
      <c r="B657" s="146"/>
      <c r="C657" s="151">
        <v>0.17499999999999999</v>
      </c>
      <c r="D657" s="137"/>
      <c r="E657" s="138">
        <v>0.17499999999999999</v>
      </c>
      <c r="F657" s="139"/>
      <c r="G657" s="98"/>
      <c r="H657" s="99"/>
      <c r="I657" s="99"/>
      <c r="J657" s="100"/>
      <c r="K657" s="99"/>
      <c r="L657" s="99"/>
      <c r="M657" s="99"/>
      <c r="N657" s="99"/>
      <c r="O657" s="112"/>
      <c r="P657" s="140" t="str">
        <f>IF($G657=8,$O657,"")</f>
        <v/>
      </c>
      <c r="Q657" s="140" t="str">
        <f>IF($G657=10,$O657,"")</f>
        <v/>
      </c>
      <c r="R657" s="140" t="str">
        <f>IF($G657=12,$O657,"")</f>
        <v/>
      </c>
      <c r="S657" s="140" t="str">
        <f>IF($G657=16,$O657,"")</f>
        <v/>
      </c>
      <c r="T657" s="140" t="str">
        <f>IF($G657=20,$O657,"")</f>
        <v/>
      </c>
      <c r="U657" s="140" t="str">
        <f>IF($G657=25,$O657,"")</f>
        <v/>
      </c>
      <c r="V657" s="99"/>
    </row>
    <row r="658" spans="1:22">
      <c r="A658" s="92"/>
      <c r="B658" s="146"/>
      <c r="C658" s="136"/>
      <c r="D658" s="137"/>
      <c r="E658" s="138"/>
      <c r="F658" s="139"/>
      <c r="G658" s="98"/>
      <c r="H658" s="99"/>
      <c r="I658" s="99"/>
      <c r="J658" s="100"/>
      <c r="K658" s="99"/>
      <c r="L658" s="99"/>
      <c r="M658" s="99"/>
      <c r="N658" s="99"/>
      <c r="O658" s="112"/>
      <c r="P658" s="140" t="str">
        <f t="shared" si="113"/>
        <v/>
      </c>
      <c r="Q658" s="140" t="str">
        <f t="shared" si="114"/>
        <v/>
      </c>
      <c r="R658" s="140" t="str">
        <f t="shared" si="115"/>
        <v/>
      </c>
      <c r="S658" s="140" t="str">
        <f t="shared" si="116"/>
        <v/>
      </c>
      <c r="T658" s="140" t="str">
        <f t="shared" si="117"/>
        <v/>
      </c>
      <c r="U658" s="140" t="str">
        <f t="shared" si="118"/>
        <v/>
      </c>
      <c r="V658" s="99"/>
    </row>
    <row r="659" spans="1:22">
      <c r="A659" s="92"/>
      <c r="B659" s="146"/>
      <c r="C659" s="136"/>
      <c r="D659" s="109">
        <f>0.3-0.08</f>
        <v>0.21999999999999997</v>
      </c>
      <c r="E659" s="138"/>
      <c r="F659" s="139"/>
      <c r="G659" s="98"/>
      <c r="H659" s="99"/>
      <c r="I659" s="99"/>
      <c r="J659" s="100"/>
      <c r="K659" s="99"/>
      <c r="L659" s="99"/>
      <c r="M659" s="99"/>
      <c r="N659" s="99"/>
      <c r="O659" s="112"/>
      <c r="P659" s="140" t="str">
        <f t="shared" si="113"/>
        <v/>
      </c>
      <c r="Q659" s="140" t="str">
        <f t="shared" si="114"/>
        <v/>
      </c>
      <c r="R659" s="140" t="str">
        <f t="shared" si="115"/>
        <v/>
      </c>
      <c r="S659" s="140" t="str">
        <f t="shared" si="116"/>
        <v/>
      </c>
      <c r="T659" s="140" t="str">
        <f t="shared" si="117"/>
        <v/>
      </c>
      <c r="U659" s="140" t="str">
        <f t="shared" si="118"/>
        <v/>
      </c>
      <c r="V659" s="99"/>
    </row>
    <row r="660" spans="1:22">
      <c r="A660" s="92"/>
      <c r="B660" s="146"/>
      <c r="C660" s="136"/>
      <c r="D660" s="137"/>
      <c r="E660" s="138"/>
      <c r="F660" s="139"/>
      <c r="G660" s="98"/>
      <c r="H660" s="99"/>
      <c r="I660" s="99"/>
      <c r="J660" s="100"/>
      <c r="K660" s="99"/>
      <c r="L660" s="99"/>
      <c r="M660" s="99"/>
      <c r="N660" s="99"/>
      <c r="O660" s="112"/>
      <c r="P660" s="140" t="str">
        <f t="shared" si="113"/>
        <v/>
      </c>
      <c r="Q660" s="140" t="str">
        <f t="shared" si="114"/>
        <v/>
      </c>
      <c r="R660" s="140" t="str">
        <f t="shared" si="115"/>
        <v/>
      </c>
      <c r="S660" s="140" t="str">
        <f t="shared" si="116"/>
        <v/>
      </c>
      <c r="T660" s="140" t="str">
        <f t="shared" si="117"/>
        <v/>
      </c>
      <c r="U660" s="140" t="str">
        <f t="shared" si="118"/>
        <v/>
      </c>
      <c r="V660" s="99"/>
    </row>
    <row r="661" spans="1:22">
      <c r="A661" s="92"/>
      <c r="B661" s="146" t="s">
        <v>385</v>
      </c>
      <c r="C661" s="136"/>
      <c r="D661" s="142"/>
      <c r="E661" s="138"/>
      <c r="F661" s="139"/>
      <c r="G661" s="98">
        <v>8</v>
      </c>
      <c r="H661" s="99">
        <v>20</v>
      </c>
      <c r="I661" s="111">
        <f>((1.48-2*0.6)/0.15)+1</f>
        <v>2.8666666666666671</v>
      </c>
      <c r="J661" s="149">
        <f>C662+D664+E662+2*8*G661/1000</f>
        <v>0.69799999999999995</v>
      </c>
      <c r="K661" s="99"/>
      <c r="L661" s="99">
        <v>4</v>
      </c>
      <c r="M661" s="112">
        <f>2*G661*L661/1000</f>
        <v>6.4000000000000001E-2</v>
      </c>
      <c r="N661" s="112">
        <f>(J661+K661-M661)</f>
        <v>0.6339999999999999</v>
      </c>
      <c r="O661" s="112">
        <f>(H661*I661*N661)</f>
        <v>36.349333333333334</v>
      </c>
      <c r="P661" s="140">
        <f t="shared" si="113"/>
        <v>36.349333333333334</v>
      </c>
      <c r="Q661" s="140" t="str">
        <f t="shared" si="114"/>
        <v/>
      </c>
      <c r="R661" s="140" t="str">
        <f t="shared" si="115"/>
        <v/>
      </c>
      <c r="S661" s="140" t="str">
        <f t="shared" si="116"/>
        <v/>
      </c>
      <c r="T661" s="140" t="str">
        <f t="shared" si="117"/>
        <v/>
      </c>
      <c r="U661" s="140" t="str">
        <f t="shared" si="118"/>
        <v/>
      </c>
      <c r="V661" s="99"/>
    </row>
    <row r="662" spans="1:22">
      <c r="A662" s="92"/>
      <c r="B662" s="146"/>
      <c r="C662" s="151">
        <v>0.17499999999999999</v>
      </c>
      <c r="D662" s="137"/>
      <c r="E662" s="138">
        <v>0.17499999999999999</v>
      </c>
      <c r="F662" s="139"/>
      <c r="G662" s="98"/>
      <c r="H662" s="99"/>
      <c r="I662" s="99"/>
      <c r="J662" s="100"/>
      <c r="K662" s="99"/>
      <c r="L662" s="99"/>
      <c r="M662" s="99"/>
      <c r="N662" s="99"/>
      <c r="O662" s="112"/>
      <c r="P662" s="140" t="str">
        <f>IF($G662=8,$O662,"")</f>
        <v/>
      </c>
      <c r="Q662" s="140" t="str">
        <f>IF($G662=10,$O662,"")</f>
        <v/>
      </c>
      <c r="R662" s="140" t="str">
        <f>IF($G662=12,$O662,"")</f>
        <v/>
      </c>
      <c r="S662" s="140" t="str">
        <f>IF($G662=16,$O662,"")</f>
        <v/>
      </c>
      <c r="T662" s="140" t="str">
        <f>IF($G662=20,$O662,"")</f>
        <v/>
      </c>
      <c r="U662" s="140" t="str">
        <f>IF($G662=25,$O662,"")</f>
        <v/>
      </c>
      <c r="V662" s="99"/>
    </row>
    <row r="663" spans="1:22">
      <c r="A663" s="92"/>
      <c r="B663" s="146"/>
      <c r="C663" s="136"/>
      <c r="D663" s="137"/>
      <c r="E663" s="138"/>
      <c r="F663" s="139"/>
      <c r="G663" s="98"/>
      <c r="H663" s="99"/>
      <c r="I663" s="99"/>
      <c r="J663" s="100"/>
      <c r="K663" s="99"/>
      <c r="L663" s="99"/>
      <c r="M663" s="99"/>
      <c r="N663" s="99"/>
      <c r="O663" s="101"/>
      <c r="P663" s="140" t="str">
        <f t="shared" si="113"/>
        <v/>
      </c>
      <c r="Q663" s="140" t="str">
        <f t="shared" si="114"/>
        <v/>
      </c>
      <c r="R663" s="140" t="str">
        <f t="shared" si="115"/>
        <v/>
      </c>
      <c r="S663" s="140" t="str">
        <f t="shared" si="116"/>
        <v/>
      </c>
      <c r="T663" s="140" t="str">
        <f t="shared" si="117"/>
        <v/>
      </c>
      <c r="U663" s="140" t="str">
        <f t="shared" si="118"/>
        <v/>
      </c>
      <c r="V663" s="99"/>
    </row>
    <row r="664" spans="1:22">
      <c r="A664" s="92"/>
      <c r="B664" s="146"/>
      <c r="C664" s="136"/>
      <c r="D664" s="109">
        <f>0.3-0.08</f>
        <v>0.21999999999999997</v>
      </c>
      <c r="E664" s="138"/>
      <c r="F664" s="139"/>
      <c r="G664" s="98"/>
      <c r="H664" s="99"/>
      <c r="I664" s="99"/>
      <c r="J664" s="100"/>
      <c r="K664" s="99"/>
      <c r="L664" s="99"/>
      <c r="M664" s="99"/>
      <c r="N664" s="99"/>
      <c r="O664" s="101"/>
      <c r="P664" s="140" t="str">
        <f t="shared" si="113"/>
        <v/>
      </c>
      <c r="Q664" s="140" t="str">
        <f t="shared" si="114"/>
        <v/>
      </c>
      <c r="R664" s="140" t="str">
        <f t="shared" si="115"/>
        <v/>
      </c>
      <c r="S664" s="140" t="str">
        <f t="shared" si="116"/>
        <v/>
      </c>
      <c r="T664" s="140" t="str">
        <f t="shared" si="117"/>
        <v/>
      </c>
      <c r="U664" s="140" t="str">
        <f t="shared" si="118"/>
        <v/>
      </c>
      <c r="V664" s="99"/>
    </row>
    <row r="665" spans="1:22">
      <c r="A665" s="92">
        <v>1</v>
      </c>
      <c r="B665" s="92" t="s">
        <v>377</v>
      </c>
      <c r="C665" s="136"/>
      <c r="D665" s="137"/>
      <c r="E665" s="138"/>
      <c r="F665" s="139"/>
      <c r="G665" s="98"/>
      <c r="H665" s="99"/>
      <c r="I665" s="99"/>
      <c r="J665" s="109"/>
      <c r="K665" s="112"/>
      <c r="L665" s="112"/>
      <c r="M665" s="99"/>
      <c r="N665" s="112"/>
      <c r="O665" s="112"/>
      <c r="P665" s="140" t="str">
        <f>IF($G665=8,$O665,"")</f>
        <v/>
      </c>
      <c r="Q665" s="140" t="str">
        <f>IF($G665=10,$O665,"")</f>
        <v/>
      </c>
      <c r="R665" s="140" t="str">
        <f>IF($G665=12,$O665,"")</f>
        <v/>
      </c>
      <c r="S665" s="140" t="str">
        <f>IF($G665=16,$O665,"")</f>
        <v/>
      </c>
      <c r="T665" s="140" t="str">
        <f>IF($G665=20,$O665,"")</f>
        <v/>
      </c>
      <c r="U665" s="140" t="str">
        <f>IF($G665=25,$O665,"")</f>
        <v/>
      </c>
      <c r="V665" s="99"/>
    </row>
    <row r="666" spans="1:22">
      <c r="A666" s="92"/>
      <c r="B666" s="141" t="s">
        <v>378</v>
      </c>
      <c r="C666" s="136"/>
      <c r="D666" s="142">
        <v>1.68</v>
      </c>
      <c r="E666" s="138"/>
      <c r="F666" s="139"/>
      <c r="G666" s="98">
        <v>16</v>
      </c>
      <c r="H666" s="99">
        <v>12</v>
      </c>
      <c r="I666" s="99">
        <v>4</v>
      </c>
      <c r="J666" s="109">
        <f>D666</f>
        <v>1.68</v>
      </c>
      <c r="K666" s="110" t="str">
        <f>IF(N666&lt;12,"0",0.049*G666)</f>
        <v>0</v>
      </c>
      <c r="L666" s="111">
        <v>0</v>
      </c>
      <c r="M666" s="99">
        <f>2*G666*L666/1000</f>
        <v>0</v>
      </c>
      <c r="N666" s="112">
        <f>J666+E668-M666</f>
        <v>1.68</v>
      </c>
      <c r="O666" s="112">
        <f>H666*I666*N666</f>
        <v>80.64</v>
      </c>
      <c r="P666" s="140" t="str">
        <f t="shared" ref="P666:P708" si="119">IF($G666=8,$O666,"")</f>
        <v/>
      </c>
      <c r="Q666" s="140" t="str">
        <f t="shared" ref="Q666:Q708" si="120">IF($G666=10,$O666,"")</f>
        <v/>
      </c>
      <c r="R666" s="140" t="str">
        <f t="shared" ref="R666:R708" si="121">IF($G666=12,$O666,"")</f>
        <v/>
      </c>
      <c r="S666" s="140">
        <f t="shared" ref="S666:S708" si="122">IF($G666=16,$O666,"")</f>
        <v>80.64</v>
      </c>
      <c r="T666" s="140" t="str">
        <f t="shared" ref="T666:T708" si="123">IF($G666=20,$O666,"")</f>
        <v/>
      </c>
      <c r="U666" s="140" t="str">
        <f t="shared" ref="U666:U708" si="124">IF($G666=25,$O666,"")</f>
        <v/>
      </c>
      <c r="V666" s="99"/>
    </row>
    <row r="667" spans="1:22">
      <c r="A667" s="92"/>
      <c r="B667" s="141" t="s">
        <v>379</v>
      </c>
      <c r="C667" s="136"/>
      <c r="D667" s="137"/>
      <c r="E667" s="138"/>
      <c r="F667" s="139"/>
      <c r="G667" s="98">
        <v>12</v>
      </c>
      <c r="H667" s="99">
        <v>12</v>
      </c>
      <c r="I667" s="99">
        <v>2</v>
      </c>
      <c r="J667" s="109">
        <f>D666</f>
        <v>1.68</v>
      </c>
      <c r="K667" s="110" t="str">
        <f t="shared" ref="K667:K669" si="125">IF(N667&lt;12,"0",0.049*G667)</f>
        <v>0</v>
      </c>
      <c r="L667" s="111">
        <v>0</v>
      </c>
      <c r="M667" s="99">
        <f t="shared" ref="M667:M668" si="126">2*G667*L667/1000</f>
        <v>0</v>
      </c>
      <c r="N667" s="112">
        <f>J667+E668-M667</f>
        <v>1.68</v>
      </c>
      <c r="O667" s="112">
        <f>H667*I667*N667</f>
        <v>40.32</v>
      </c>
      <c r="P667" s="140" t="str">
        <f t="shared" si="119"/>
        <v/>
      </c>
      <c r="Q667" s="140" t="str">
        <f t="shared" si="120"/>
        <v/>
      </c>
      <c r="R667" s="140">
        <f t="shared" si="121"/>
        <v>40.32</v>
      </c>
      <c r="S667" s="140" t="str">
        <f t="shared" si="122"/>
        <v/>
      </c>
      <c r="T667" s="140" t="str">
        <f t="shared" si="123"/>
        <v/>
      </c>
      <c r="U667" s="140" t="str">
        <f t="shared" si="124"/>
        <v/>
      </c>
      <c r="V667" s="99"/>
    </row>
    <row r="668" spans="1:22">
      <c r="A668" s="92"/>
      <c r="B668" s="141" t="s">
        <v>380</v>
      </c>
      <c r="C668" s="143"/>
      <c r="D668" s="142"/>
      <c r="E668" s="144"/>
      <c r="F668" s="139"/>
      <c r="G668" s="98">
        <v>16</v>
      </c>
      <c r="H668" s="99">
        <v>12</v>
      </c>
      <c r="I668" s="99">
        <v>4</v>
      </c>
      <c r="J668" s="109">
        <f>D666</f>
        <v>1.68</v>
      </c>
      <c r="K668" s="110" t="str">
        <f t="shared" si="125"/>
        <v>0</v>
      </c>
      <c r="L668" s="111">
        <v>0</v>
      </c>
      <c r="M668" s="99">
        <f t="shared" si="126"/>
        <v>0</v>
      </c>
      <c r="N668" s="112">
        <f>J668+E668-M668</f>
        <v>1.68</v>
      </c>
      <c r="O668" s="112">
        <f>H668*I668*N668</f>
        <v>80.64</v>
      </c>
      <c r="P668" s="140" t="str">
        <f t="shared" si="119"/>
        <v/>
      </c>
      <c r="Q668" s="140" t="str">
        <f t="shared" si="120"/>
        <v/>
      </c>
      <c r="R668" s="140" t="str">
        <f t="shared" si="121"/>
        <v/>
      </c>
      <c r="S668" s="140">
        <f t="shared" si="122"/>
        <v>80.64</v>
      </c>
      <c r="T668" s="140" t="str">
        <f t="shared" si="123"/>
        <v/>
      </c>
      <c r="U668" s="140" t="str">
        <f t="shared" si="124"/>
        <v/>
      </c>
      <c r="V668" s="99"/>
    </row>
    <row r="669" spans="1:22">
      <c r="A669" s="92"/>
      <c r="B669" s="141" t="s">
        <v>381</v>
      </c>
      <c r="C669" s="136"/>
      <c r="D669" s="137"/>
      <c r="E669" s="138"/>
      <c r="F669" s="139"/>
      <c r="G669" s="98">
        <v>12</v>
      </c>
      <c r="H669" s="99">
        <v>12</v>
      </c>
      <c r="I669" s="99">
        <v>4</v>
      </c>
      <c r="J669" s="109">
        <f>D666</f>
        <v>1.68</v>
      </c>
      <c r="K669" s="110" t="str">
        <f t="shared" si="125"/>
        <v>0</v>
      </c>
      <c r="L669" s="111">
        <v>0</v>
      </c>
      <c r="M669" s="99">
        <f>2*G669*L669/1000</f>
        <v>0</v>
      </c>
      <c r="N669" s="112">
        <f>J669+E668-M669</f>
        <v>1.68</v>
      </c>
      <c r="O669" s="112">
        <f>H669*I669*N669</f>
        <v>80.64</v>
      </c>
      <c r="P669" s="140" t="str">
        <f t="shared" si="119"/>
        <v/>
      </c>
      <c r="Q669" s="140" t="str">
        <f t="shared" si="120"/>
        <v/>
      </c>
      <c r="R669" s="140">
        <f t="shared" si="121"/>
        <v>80.64</v>
      </c>
      <c r="S669" s="140" t="str">
        <f t="shared" si="122"/>
        <v/>
      </c>
      <c r="T669" s="140" t="str">
        <f t="shared" si="123"/>
        <v/>
      </c>
      <c r="U669" s="140" t="str">
        <f t="shared" si="124"/>
        <v/>
      </c>
      <c r="V669" s="99"/>
    </row>
    <row r="670" spans="1:22">
      <c r="A670" s="92"/>
      <c r="B670" s="141"/>
      <c r="C670" s="136"/>
      <c r="D670" s="137"/>
      <c r="E670" s="138"/>
      <c r="F670" s="139"/>
      <c r="G670" s="98"/>
      <c r="H670" s="99"/>
      <c r="I670" s="99"/>
      <c r="J670" s="100"/>
      <c r="K670" s="99"/>
      <c r="L670" s="99"/>
      <c r="M670" s="99"/>
      <c r="N670" s="99"/>
      <c r="O670" s="101"/>
      <c r="P670" s="140" t="str">
        <f t="shared" si="119"/>
        <v/>
      </c>
      <c r="Q670" s="140" t="str">
        <f t="shared" si="120"/>
        <v/>
      </c>
      <c r="R670" s="140" t="str">
        <f t="shared" si="121"/>
        <v/>
      </c>
      <c r="S670" s="140" t="str">
        <f t="shared" si="122"/>
        <v/>
      </c>
      <c r="T670" s="140" t="str">
        <f t="shared" si="123"/>
        <v/>
      </c>
      <c r="U670" s="140" t="str">
        <f t="shared" si="124"/>
        <v/>
      </c>
      <c r="V670" s="99"/>
    </row>
    <row r="671" spans="1:22">
      <c r="A671" s="92"/>
      <c r="B671" s="429" t="s">
        <v>644</v>
      </c>
      <c r="C671" s="145">
        <v>0.08</v>
      </c>
      <c r="D671" s="137"/>
      <c r="E671" s="138"/>
      <c r="F671" s="139"/>
      <c r="G671" s="98"/>
      <c r="H671" s="99"/>
      <c r="I671" s="99"/>
      <c r="J671" s="100"/>
      <c r="K671" s="99"/>
      <c r="L671" s="99"/>
      <c r="M671" s="99"/>
      <c r="N671" s="99"/>
      <c r="O671" s="101"/>
      <c r="P671" s="140" t="str">
        <f t="shared" si="119"/>
        <v/>
      </c>
      <c r="Q671" s="140" t="str">
        <f t="shared" si="120"/>
        <v/>
      </c>
      <c r="R671" s="140" t="str">
        <f t="shared" si="121"/>
        <v/>
      </c>
      <c r="S671" s="140" t="str">
        <f t="shared" si="122"/>
        <v/>
      </c>
      <c r="T671" s="140" t="str">
        <f t="shared" si="123"/>
        <v/>
      </c>
      <c r="U671" s="140" t="str">
        <f t="shared" si="124"/>
        <v/>
      </c>
      <c r="V671" s="99"/>
    </row>
    <row r="672" spans="1:22">
      <c r="A672" s="92"/>
      <c r="B672" s="146" t="s">
        <v>382</v>
      </c>
      <c r="C672" s="147"/>
      <c r="D672" s="137"/>
      <c r="E672" s="148">
        <f>0.6-0.08</f>
        <v>0.52</v>
      </c>
      <c r="F672" s="139"/>
      <c r="G672" s="98">
        <v>10</v>
      </c>
      <c r="H672" s="99">
        <v>12</v>
      </c>
      <c r="I672" s="99">
        <f>((2*0.6)/0.075)+2</f>
        <v>18</v>
      </c>
      <c r="J672" s="149">
        <f>2*(D674+E672)+2*8*G672/1000</f>
        <v>1.64</v>
      </c>
      <c r="K672" s="99"/>
      <c r="L672" s="99">
        <v>5</v>
      </c>
      <c r="M672" s="112">
        <f>2*G672*L672/1000</f>
        <v>0.1</v>
      </c>
      <c r="N672" s="112">
        <f>(J672+K672-M672)+0.02</f>
        <v>1.5599999999999998</v>
      </c>
      <c r="O672" s="112">
        <f>(H672*I672*N672)</f>
        <v>336.96</v>
      </c>
      <c r="P672" s="140" t="str">
        <f t="shared" si="119"/>
        <v/>
      </c>
      <c r="Q672" s="140">
        <f t="shared" si="120"/>
        <v>336.96</v>
      </c>
      <c r="R672" s="140" t="str">
        <f t="shared" si="121"/>
        <v/>
      </c>
      <c r="S672" s="140" t="str">
        <f t="shared" si="122"/>
        <v/>
      </c>
      <c r="T672" s="140" t="str">
        <f t="shared" si="123"/>
        <v/>
      </c>
      <c r="U672" s="140" t="str">
        <f t="shared" si="124"/>
        <v/>
      </c>
      <c r="V672" s="99"/>
    </row>
    <row r="673" spans="1:22">
      <c r="A673" s="92"/>
      <c r="B673" s="146"/>
      <c r="C673" s="136"/>
      <c r="D673" s="137"/>
      <c r="E673" s="150"/>
      <c r="F673" s="139"/>
      <c r="G673" s="98"/>
      <c r="H673" s="99"/>
      <c r="I673" s="99"/>
      <c r="J673" s="100"/>
      <c r="K673" s="99"/>
      <c r="L673" s="99"/>
      <c r="M673" s="99"/>
      <c r="N673" s="99"/>
      <c r="O673" s="112"/>
      <c r="P673" s="140" t="str">
        <f t="shared" si="119"/>
        <v/>
      </c>
      <c r="Q673" s="140" t="str">
        <f t="shared" si="120"/>
        <v/>
      </c>
      <c r="R673" s="140" t="str">
        <f t="shared" si="121"/>
        <v/>
      </c>
      <c r="S673" s="140" t="str">
        <f t="shared" si="122"/>
        <v/>
      </c>
      <c r="T673" s="140" t="str">
        <f t="shared" si="123"/>
        <v/>
      </c>
      <c r="U673" s="140" t="str">
        <f t="shared" si="124"/>
        <v/>
      </c>
      <c r="V673" s="99"/>
    </row>
    <row r="674" spans="1:22">
      <c r="A674" s="92"/>
      <c r="B674" s="146"/>
      <c r="C674" s="136"/>
      <c r="D674" s="109">
        <f>0.3-0.08</f>
        <v>0.21999999999999997</v>
      </c>
      <c r="E674" s="138"/>
      <c r="F674" s="139"/>
      <c r="G674" s="98"/>
      <c r="H674" s="99"/>
      <c r="I674" s="99"/>
      <c r="J674" s="100"/>
      <c r="K674" s="99"/>
      <c r="L674" s="99"/>
      <c r="M674" s="99"/>
      <c r="N674" s="99"/>
      <c r="O674" s="112"/>
      <c r="P674" s="140" t="str">
        <f t="shared" si="119"/>
        <v/>
      </c>
      <c r="Q674" s="140" t="str">
        <f t="shared" si="120"/>
        <v/>
      </c>
      <c r="R674" s="140" t="str">
        <f t="shared" si="121"/>
        <v/>
      </c>
      <c r="S674" s="140" t="str">
        <f t="shared" si="122"/>
        <v/>
      </c>
      <c r="T674" s="140" t="str">
        <f t="shared" si="123"/>
        <v/>
      </c>
      <c r="U674" s="140" t="str">
        <f t="shared" si="124"/>
        <v/>
      </c>
      <c r="V674" s="99"/>
    </row>
    <row r="675" spans="1:22">
      <c r="A675" s="92"/>
      <c r="B675" s="141"/>
      <c r="C675" s="136"/>
      <c r="D675" s="137"/>
      <c r="E675" s="138"/>
      <c r="F675" s="139"/>
      <c r="G675" s="98"/>
      <c r="H675" s="99"/>
      <c r="I675" s="99"/>
      <c r="J675" s="100"/>
      <c r="K675" s="99"/>
      <c r="L675" s="99"/>
      <c r="M675" s="99"/>
      <c r="N675" s="99"/>
      <c r="O675" s="112"/>
      <c r="P675" s="140" t="str">
        <f t="shared" si="119"/>
        <v/>
      </c>
      <c r="Q675" s="140" t="str">
        <f t="shared" si="120"/>
        <v/>
      </c>
      <c r="R675" s="140" t="str">
        <f t="shared" si="121"/>
        <v/>
      </c>
      <c r="S675" s="140" t="str">
        <f t="shared" si="122"/>
        <v/>
      </c>
      <c r="T675" s="140" t="str">
        <f t="shared" si="123"/>
        <v/>
      </c>
      <c r="U675" s="140" t="str">
        <f t="shared" si="124"/>
        <v/>
      </c>
      <c r="V675" s="99"/>
    </row>
    <row r="676" spans="1:22">
      <c r="A676" s="92"/>
      <c r="B676" s="92"/>
      <c r="C676" s="145">
        <v>0.08</v>
      </c>
      <c r="D676" s="137"/>
      <c r="E676" s="138"/>
      <c r="F676" s="139"/>
      <c r="G676" s="98"/>
      <c r="H676" s="99"/>
      <c r="I676" s="99"/>
      <c r="J676" s="100"/>
      <c r="K676" s="99"/>
      <c r="L676" s="99"/>
      <c r="M676" s="99"/>
      <c r="N676" s="99"/>
      <c r="O676" s="112"/>
      <c r="P676" s="140" t="str">
        <f t="shared" si="119"/>
        <v/>
      </c>
      <c r="Q676" s="140" t="str">
        <f t="shared" si="120"/>
        <v/>
      </c>
      <c r="R676" s="140" t="str">
        <f t="shared" si="121"/>
        <v/>
      </c>
      <c r="S676" s="140" t="str">
        <f t="shared" si="122"/>
        <v/>
      </c>
      <c r="T676" s="140" t="str">
        <f t="shared" si="123"/>
        <v/>
      </c>
      <c r="U676" s="140" t="str">
        <f t="shared" si="124"/>
        <v/>
      </c>
      <c r="V676" s="99"/>
    </row>
    <row r="677" spans="1:22">
      <c r="A677" s="92"/>
      <c r="B677" s="146" t="s">
        <v>383</v>
      </c>
      <c r="C677" s="147"/>
      <c r="D677" s="137"/>
      <c r="E677" s="148">
        <f>((0.6-0.08-0.016)/5)+0.012+0.02</f>
        <v>0.1328</v>
      </c>
      <c r="F677" s="139"/>
      <c r="G677" s="98">
        <v>10</v>
      </c>
      <c r="H677" s="99">
        <v>12</v>
      </c>
      <c r="I677" s="99">
        <f>((2*0.6)/0.075)+2</f>
        <v>18</v>
      </c>
      <c r="J677" s="149">
        <f>2*(D679+E677)+2*8*G677/1000</f>
        <v>0.86560000000000004</v>
      </c>
      <c r="K677" s="99"/>
      <c r="L677" s="99">
        <v>5</v>
      </c>
      <c r="M677" s="112">
        <f>2*G677*L677/1000</f>
        <v>0.1</v>
      </c>
      <c r="N677" s="112">
        <f>(J677+K677-M677)+0.02</f>
        <v>0.78560000000000008</v>
      </c>
      <c r="O677" s="112">
        <f>(H677*I677*N677)</f>
        <v>169.68960000000001</v>
      </c>
      <c r="P677" s="140" t="str">
        <f t="shared" si="119"/>
        <v/>
      </c>
      <c r="Q677" s="140">
        <f t="shared" si="120"/>
        <v>169.68960000000001</v>
      </c>
      <c r="R677" s="140" t="str">
        <f t="shared" si="121"/>
        <v/>
      </c>
      <c r="S677" s="140" t="str">
        <f t="shared" si="122"/>
        <v/>
      </c>
      <c r="T677" s="140" t="str">
        <f t="shared" si="123"/>
        <v/>
      </c>
      <c r="U677" s="140" t="str">
        <f t="shared" si="124"/>
        <v/>
      </c>
      <c r="V677" s="99"/>
    </row>
    <row r="678" spans="1:22">
      <c r="A678" s="92"/>
      <c r="B678" s="146"/>
      <c r="C678" s="136"/>
      <c r="D678" s="137"/>
      <c r="E678" s="150"/>
      <c r="F678" s="139"/>
      <c r="G678" s="98"/>
      <c r="H678" s="99"/>
      <c r="I678" s="99"/>
      <c r="J678" s="100"/>
      <c r="K678" s="99"/>
      <c r="L678" s="99"/>
      <c r="M678" s="99"/>
      <c r="N678" s="99"/>
      <c r="O678" s="112"/>
      <c r="P678" s="140" t="str">
        <f t="shared" si="119"/>
        <v/>
      </c>
      <c r="Q678" s="140" t="str">
        <f t="shared" si="120"/>
        <v/>
      </c>
      <c r="R678" s="140" t="str">
        <f t="shared" si="121"/>
        <v/>
      </c>
      <c r="S678" s="140" t="str">
        <f t="shared" si="122"/>
        <v/>
      </c>
      <c r="T678" s="140" t="str">
        <f t="shared" si="123"/>
        <v/>
      </c>
      <c r="U678" s="140" t="str">
        <f t="shared" si="124"/>
        <v/>
      </c>
      <c r="V678" s="99"/>
    </row>
    <row r="679" spans="1:22">
      <c r="A679" s="92"/>
      <c r="B679" s="146"/>
      <c r="C679" s="136"/>
      <c r="D679" s="109">
        <f>0.3-0.08</f>
        <v>0.21999999999999997</v>
      </c>
      <c r="E679" s="138"/>
      <c r="F679" s="139"/>
      <c r="G679" s="98"/>
      <c r="H679" s="99"/>
      <c r="I679" s="99"/>
      <c r="J679" s="100"/>
      <c r="K679" s="99"/>
      <c r="L679" s="99"/>
      <c r="M679" s="99"/>
      <c r="N679" s="99"/>
      <c r="O679" s="112"/>
      <c r="P679" s="140" t="str">
        <f t="shared" si="119"/>
        <v/>
      </c>
      <c r="Q679" s="140" t="str">
        <f t="shared" si="120"/>
        <v/>
      </c>
      <c r="R679" s="140" t="str">
        <f t="shared" si="121"/>
        <v/>
      </c>
      <c r="S679" s="140" t="str">
        <f t="shared" si="122"/>
        <v/>
      </c>
      <c r="T679" s="140" t="str">
        <f t="shared" si="123"/>
        <v/>
      </c>
      <c r="U679" s="140" t="str">
        <f t="shared" si="124"/>
        <v/>
      </c>
      <c r="V679" s="99"/>
    </row>
    <row r="680" spans="1:22">
      <c r="A680" s="92"/>
      <c r="B680" s="146"/>
      <c r="C680" s="136"/>
      <c r="D680" s="137"/>
      <c r="E680" s="138"/>
      <c r="F680" s="139"/>
      <c r="G680" s="98"/>
      <c r="H680" s="99"/>
      <c r="I680" s="99"/>
      <c r="J680" s="100"/>
      <c r="K680" s="99"/>
      <c r="L680" s="99"/>
      <c r="M680" s="99"/>
      <c r="N680" s="99"/>
      <c r="O680" s="112"/>
      <c r="P680" s="140" t="str">
        <f t="shared" si="119"/>
        <v/>
      </c>
      <c r="Q680" s="140" t="str">
        <f t="shared" si="120"/>
        <v/>
      </c>
      <c r="R680" s="140" t="str">
        <f t="shared" si="121"/>
        <v/>
      </c>
      <c r="S680" s="140" t="str">
        <f t="shared" si="122"/>
        <v/>
      </c>
      <c r="T680" s="140" t="str">
        <f t="shared" si="123"/>
        <v/>
      </c>
      <c r="U680" s="140" t="str">
        <f t="shared" si="124"/>
        <v/>
      </c>
      <c r="V680" s="99"/>
    </row>
    <row r="681" spans="1:22">
      <c r="A681" s="92"/>
      <c r="B681" s="146" t="s">
        <v>384</v>
      </c>
      <c r="C681" s="136"/>
      <c r="D681" s="142"/>
      <c r="E681" s="138"/>
      <c r="F681" s="139"/>
      <c r="G681" s="98">
        <v>10</v>
      </c>
      <c r="H681" s="99">
        <v>12</v>
      </c>
      <c r="I681" s="99">
        <f>((2*0.6)/0.075)+2</f>
        <v>18</v>
      </c>
      <c r="J681" s="149">
        <f>C682+D684+E682+2*8*G681/1000</f>
        <v>0.73</v>
      </c>
      <c r="K681" s="99"/>
      <c r="L681" s="99">
        <v>4</v>
      </c>
      <c r="M681" s="112">
        <f>2*G681*L681/1000</f>
        <v>0.08</v>
      </c>
      <c r="N681" s="112">
        <f>(J681+K681-M681)</f>
        <v>0.65</v>
      </c>
      <c r="O681" s="112">
        <f>(H681*I681*N681)</f>
        <v>140.4</v>
      </c>
      <c r="P681" s="140" t="str">
        <f t="shared" si="119"/>
        <v/>
      </c>
      <c r="Q681" s="140">
        <f t="shared" si="120"/>
        <v>140.4</v>
      </c>
      <c r="R681" s="140" t="str">
        <f t="shared" si="121"/>
        <v/>
      </c>
      <c r="S681" s="140" t="str">
        <f t="shared" si="122"/>
        <v/>
      </c>
      <c r="T681" s="140" t="str">
        <f t="shared" si="123"/>
        <v/>
      </c>
      <c r="U681" s="140" t="str">
        <f t="shared" si="124"/>
        <v/>
      </c>
      <c r="V681" s="99"/>
    </row>
    <row r="682" spans="1:22">
      <c r="A682" s="92"/>
      <c r="B682" s="146"/>
      <c r="C682" s="151">
        <v>0.17499999999999999</v>
      </c>
      <c r="D682" s="137"/>
      <c r="E682" s="138">
        <v>0.17499999999999999</v>
      </c>
      <c r="F682" s="139"/>
      <c r="G682" s="98"/>
      <c r="H682" s="99"/>
      <c r="I682" s="99"/>
      <c r="J682" s="100"/>
      <c r="K682" s="99"/>
      <c r="L682" s="99"/>
      <c r="M682" s="99"/>
      <c r="N682" s="99"/>
      <c r="O682" s="112"/>
      <c r="P682" s="140" t="str">
        <f>IF($G682=8,$O682,"")</f>
        <v/>
      </c>
      <c r="Q682" s="140" t="str">
        <f>IF($G682=10,$O682,"")</f>
        <v/>
      </c>
      <c r="R682" s="140" t="str">
        <f>IF($G682=12,$O682,"")</f>
        <v/>
      </c>
      <c r="S682" s="140" t="str">
        <f>IF($G682=16,$O682,"")</f>
        <v/>
      </c>
      <c r="T682" s="140" t="str">
        <f>IF($G682=20,$O682,"")</f>
        <v/>
      </c>
      <c r="U682" s="140" t="str">
        <f>IF($G682=25,$O682,"")</f>
        <v/>
      </c>
      <c r="V682" s="99"/>
    </row>
    <row r="683" spans="1:22">
      <c r="A683" s="92"/>
      <c r="B683" s="146"/>
      <c r="C683" s="136"/>
      <c r="D683" s="137"/>
      <c r="E683" s="138"/>
      <c r="F683" s="139"/>
      <c r="G683" s="98"/>
      <c r="H683" s="99"/>
      <c r="I683" s="99"/>
      <c r="J683" s="100"/>
      <c r="K683" s="99"/>
      <c r="L683" s="99"/>
      <c r="M683" s="99"/>
      <c r="N683" s="99"/>
      <c r="O683" s="112"/>
      <c r="P683" s="140" t="str">
        <f t="shared" si="119"/>
        <v/>
      </c>
      <c r="Q683" s="140" t="str">
        <f t="shared" si="120"/>
        <v/>
      </c>
      <c r="R683" s="140" t="str">
        <f t="shared" si="121"/>
        <v/>
      </c>
      <c r="S683" s="140" t="str">
        <f t="shared" si="122"/>
        <v/>
      </c>
      <c r="T683" s="140" t="str">
        <f t="shared" si="123"/>
        <v/>
      </c>
      <c r="U683" s="140" t="str">
        <f t="shared" si="124"/>
        <v/>
      </c>
      <c r="V683" s="99"/>
    </row>
    <row r="684" spans="1:22">
      <c r="A684" s="92"/>
      <c r="B684" s="146"/>
      <c r="C684" s="136"/>
      <c r="D684" s="109">
        <f>0.3-0.08</f>
        <v>0.21999999999999997</v>
      </c>
      <c r="E684" s="138"/>
      <c r="F684" s="139"/>
      <c r="G684" s="98"/>
      <c r="H684" s="99"/>
      <c r="I684" s="99"/>
      <c r="J684" s="100"/>
      <c r="K684" s="99"/>
      <c r="L684" s="99"/>
      <c r="M684" s="99"/>
      <c r="N684" s="99"/>
      <c r="O684" s="112"/>
      <c r="P684" s="140" t="str">
        <f t="shared" si="119"/>
        <v/>
      </c>
      <c r="Q684" s="140" t="str">
        <f t="shared" si="120"/>
        <v/>
      </c>
      <c r="R684" s="140" t="str">
        <f t="shared" si="121"/>
        <v/>
      </c>
      <c r="S684" s="140" t="str">
        <f t="shared" si="122"/>
        <v/>
      </c>
      <c r="T684" s="140" t="str">
        <f t="shared" si="123"/>
        <v/>
      </c>
      <c r="U684" s="140" t="str">
        <f t="shared" si="124"/>
        <v/>
      </c>
      <c r="V684" s="99"/>
    </row>
    <row r="685" spans="1:22">
      <c r="A685" s="92"/>
      <c r="B685" s="146"/>
      <c r="C685" s="136"/>
      <c r="D685" s="137"/>
      <c r="E685" s="138"/>
      <c r="F685" s="139"/>
      <c r="G685" s="98"/>
      <c r="H685" s="99"/>
      <c r="I685" s="99"/>
      <c r="J685" s="100"/>
      <c r="K685" s="99"/>
      <c r="L685" s="99"/>
      <c r="M685" s="99"/>
      <c r="N685" s="99"/>
      <c r="O685" s="112"/>
      <c r="P685" s="140" t="str">
        <f t="shared" si="119"/>
        <v/>
      </c>
      <c r="Q685" s="140" t="str">
        <f t="shared" si="120"/>
        <v/>
      </c>
      <c r="R685" s="140" t="str">
        <f t="shared" si="121"/>
        <v/>
      </c>
      <c r="S685" s="140" t="str">
        <f t="shared" si="122"/>
        <v/>
      </c>
      <c r="T685" s="140" t="str">
        <f t="shared" si="123"/>
        <v/>
      </c>
      <c r="U685" s="140" t="str">
        <f t="shared" si="124"/>
        <v/>
      </c>
      <c r="V685" s="99"/>
    </row>
    <row r="686" spans="1:22">
      <c r="A686" s="92"/>
      <c r="B686" s="146" t="s">
        <v>385</v>
      </c>
      <c r="C686" s="136"/>
      <c r="D686" s="142"/>
      <c r="E686" s="138"/>
      <c r="F686" s="139"/>
      <c r="G686" s="98">
        <v>10</v>
      </c>
      <c r="H686" s="99">
        <v>12</v>
      </c>
      <c r="I686" s="99">
        <f>((2*0.6)/0.075)+2</f>
        <v>18</v>
      </c>
      <c r="J686" s="149">
        <f>C687+D689+E687+2*8*G686/1000</f>
        <v>0.73</v>
      </c>
      <c r="K686" s="99"/>
      <c r="L686" s="99">
        <v>4</v>
      </c>
      <c r="M686" s="112">
        <f>2*G686*L686/1000</f>
        <v>0.08</v>
      </c>
      <c r="N686" s="112">
        <f>(J686+K686-M686)</f>
        <v>0.65</v>
      </c>
      <c r="O686" s="112">
        <f>(H686*I686*N686)</f>
        <v>140.4</v>
      </c>
      <c r="P686" s="140" t="str">
        <f t="shared" si="119"/>
        <v/>
      </c>
      <c r="Q686" s="140">
        <f t="shared" si="120"/>
        <v>140.4</v>
      </c>
      <c r="R686" s="140" t="str">
        <f t="shared" si="121"/>
        <v/>
      </c>
      <c r="S686" s="140" t="str">
        <f t="shared" si="122"/>
        <v/>
      </c>
      <c r="T686" s="140" t="str">
        <f t="shared" si="123"/>
        <v/>
      </c>
      <c r="U686" s="140" t="str">
        <f t="shared" si="124"/>
        <v/>
      </c>
      <c r="V686" s="99"/>
    </row>
    <row r="687" spans="1:22">
      <c r="A687" s="92"/>
      <c r="B687" s="146"/>
      <c r="C687" s="151">
        <v>0.17499999999999999</v>
      </c>
      <c r="D687" s="137"/>
      <c r="E687" s="138">
        <v>0.17499999999999999</v>
      </c>
      <c r="F687" s="139"/>
      <c r="G687" s="98"/>
      <c r="H687" s="99"/>
      <c r="I687" s="99"/>
      <c r="J687" s="100"/>
      <c r="K687" s="99"/>
      <c r="L687" s="99"/>
      <c r="M687" s="99"/>
      <c r="N687" s="99"/>
      <c r="O687" s="112"/>
      <c r="P687" s="140" t="str">
        <f>IF($G687=8,$O687,"")</f>
        <v/>
      </c>
      <c r="Q687" s="140" t="str">
        <f>IF($G687=10,$O687,"")</f>
        <v/>
      </c>
      <c r="R687" s="140" t="str">
        <f>IF($G687=12,$O687,"")</f>
        <v/>
      </c>
      <c r="S687" s="140" t="str">
        <f>IF($G687=16,$O687,"")</f>
        <v/>
      </c>
      <c r="T687" s="140" t="str">
        <f>IF($G687=20,$O687,"")</f>
        <v/>
      </c>
      <c r="U687" s="140" t="str">
        <f>IF($G687=25,$O687,"")</f>
        <v/>
      </c>
      <c r="V687" s="99"/>
    </row>
    <row r="688" spans="1:22">
      <c r="A688" s="92"/>
      <c r="B688" s="146"/>
      <c r="C688" s="136"/>
      <c r="D688" s="137"/>
      <c r="E688" s="138"/>
      <c r="F688" s="139"/>
      <c r="G688" s="98"/>
      <c r="H688" s="99"/>
      <c r="I688" s="99"/>
      <c r="J688" s="100"/>
      <c r="K688" s="99"/>
      <c r="L688" s="99"/>
      <c r="M688" s="99"/>
      <c r="N688" s="99"/>
      <c r="O688" s="101"/>
      <c r="P688" s="140" t="str">
        <f t="shared" si="119"/>
        <v/>
      </c>
      <c r="Q688" s="140" t="str">
        <f t="shared" si="120"/>
        <v/>
      </c>
      <c r="R688" s="140" t="str">
        <f t="shared" si="121"/>
        <v/>
      </c>
      <c r="S688" s="140" t="str">
        <f t="shared" si="122"/>
        <v/>
      </c>
      <c r="T688" s="140" t="str">
        <f t="shared" si="123"/>
        <v/>
      </c>
      <c r="U688" s="140" t="str">
        <f t="shared" si="124"/>
        <v/>
      </c>
      <c r="V688" s="99"/>
    </row>
    <row r="689" spans="1:22">
      <c r="A689" s="92"/>
      <c r="B689" s="146"/>
      <c r="C689" s="136"/>
      <c r="D689" s="109">
        <f>0.3-0.08</f>
        <v>0.21999999999999997</v>
      </c>
      <c r="E689" s="138"/>
      <c r="F689" s="139"/>
      <c r="G689" s="98"/>
      <c r="H689" s="99"/>
      <c r="I689" s="99"/>
      <c r="J689" s="100"/>
      <c r="K689" s="99"/>
      <c r="L689" s="99"/>
      <c r="M689" s="99"/>
      <c r="N689" s="99"/>
      <c r="O689" s="101"/>
      <c r="P689" s="140" t="str">
        <f t="shared" si="119"/>
        <v/>
      </c>
      <c r="Q689" s="140" t="str">
        <f t="shared" si="120"/>
        <v/>
      </c>
      <c r="R689" s="140" t="str">
        <f t="shared" si="121"/>
        <v/>
      </c>
      <c r="S689" s="140" t="str">
        <f t="shared" si="122"/>
        <v/>
      </c>
      <c r="T689" s="140" t="str">
        <f t="shared" si="123"/>
        <v/>
      </c>
      <c r="U689" s="140" t="str">
        <f t="shared" si="124"/>
        <v/>
      </c>
      <c r="V689" s="99"/>
    </row>
    <row r="690" spans="1:22">
      <c r="A690" s="92"/>
      <c r="B690" s="429" t="s">
        <v>645</v>
      </c>
      <c r="C690" s="145">
        <v>0.08</v>
      </c>
      <c r="D690" s="137"/>
      <c r="E690" s="138"/>
      <c r="F690" s="139"/>
      <c r="G690" s="98"/>
      <c r="H690" s="99"/>
      <c r="I690" s="99"/>
      <c r="J690" s="100"/>
      <c r="K690" s="99"/>
      <c r="L690" s="99"/>
      <c r="M690" s="99"/>
      <c r="N690" s="99"/>
      <c r="O690" s="101"/>
      <c r="P690" s="140" t="str">
        <f t="shared" si="119"/>
        <v/>
      </c>
      <c r="Q690" s="140" t="str">
        <f t="shared" si="120"/>
        <v/>
      </c>
      <c r="R690" s="140" t="str">
        <f t="shared" si="121"/>
        <v/>
      </c>
      <c r="S690" s="140" t="str">
        <f t="shared" si="122"/>
        <v/>
      </c>
      <c r="T690" s="140" t="str">
        <f t="shared" si="123"/>
        <v/>
      </c>
      <c r="U690" s="140" t="str">
        <f t="shared" si="124"/>
        <v/>
      </c>
      <c r="V690" s="99"/>
    </row>
    <row r="691" spans="1:22">
      <c r="A691" s="92"/>
      <c r="B691" s="146" t="s">
        <v>382</v>
      </c>
      <c r="C691" s="147"/>
      <c r="D691" s="137"/>
      <c r="E691" s="148">
        <f>0.6-0.08</f>
        <v>0.52</v>
      </c>
      <c r="F691" s="139"/>
      <c r="G691" s="98">
        <v>8</v>
      </c>
      <c r="H691" s="99">
        <v>12</v>
      </c>
      <c r="I691" s="111">
        <f>((1.68-2*0.6)/0.15)+1</f>
        <v>4.2</v>
      </c>
      <c r="J691" s="149">
        <f>2*(D693+E691)+2*8*G691/1000</f>
        <v>1.6080000000000001</v>
      </c>
      <c r="K691" s="99"/>
      <c r="L691" s="99">
        <v>5</v>
      </c>
      <c r="M691" s="112">
        <f>2*G691*L691/1000</f>
        <v>0.08</v>
      </c>
      <c r="N691" s="112">
        <f>(J691+K691-M691)+0.02</f>
        <v>1.548</v>
      </c>
      <c r="O691" s="112">
        <f>(H691*I691*N691)</f>
        <v>78.019200000000012</v>
      </c>
      <c r="P691" s="140">
        <f t="shared" si="119"/>
        <v>78.019200000000012</v>
      </c>
      <c r="Q691" s="140" t="str">
        <f t="shared" si="120"/>
        <v/>
      </c>
      <c r="R691" s="140" t="str">
        <f t="shared" si="121"/>
        <v/>
      </c>
      <c r="S691" s="140" t="str">
        <f t="shared" si="122"/>
        <v/>
      </c>
      <c r="T691" s="140" t="str">
        <f t="shared" si="123"/>
        <v/>
      </c>
      <c r="U691" s="140" t="str">
        <f t="shared" si="124"/>
        <v/>
      </c>
      <c r="V691" s="99"/>
    </row>
    <row r="692" spans="1:22">
      <c r="A692" s="92"/>
      <c r="B692" s="146"/>
      <c r="C692" s="136"/>
      <c r="D692" s="137"/>
      <c r="E692" s="150"/>
      <c r="F692" s="139"/>
      <c r="G692" s="98"/>
      <c r="H692" s="99"/>
      <c r="I692" s="99"/>
      <c r="J692" s="100"/>
      <c r="K692" s="99"/>
      <c r="L692" s="99"/>
      <c r="M692" s="99"/>
      <c r="N692" s="99"/>
      <c r="O692" s="112"/>
      <c r="P692" s="140" t="str">
        <f t="shared" si="119"/>
        <v/>
      </c>
      <c r="Q692" s="140" t="str">
        <f t="shared" si="120"/>
        <v/>
      </c>
      <c r="R692" s="140" t="str">
        <f t="shared" si="121"/>
        <v/>
      </c>
      <c r="S692" s="140" t="str">
        <f t="shared" si="122"/>
        <v/>
      </c>
      <c r="T692" s="140" t="str">
        <f t="shared" si="123"/>
        <v/>
      </c>
      <c r="U692" s="140" t="str">
        <f t="shared" si="124"/>
        <v/>
      </c>
      <c r="V692" s="99"/>
    </row>
    <row r="693" spans="1:22">
      <c r="A693" s="92"/>
      <c r="B693" s="146"/>
      <c r="C693" s="136"/>
      <c r="D693" s="109">
        <f>0.3-0.08</f>
        <v>0.21999999999999997</v>
      </c>
      <c r="E693" s="138"/>
      <c r="F693" s="139"/>
      <c r="G693" s="98"/>
      <c r="H693" s="99"/>
      <c r="I693" s="99"/>
      <c r="J693" s="100"/>
      <c r="K693" s="99"/>
      <c r="L693" s="99"/>
      <c r="M693" s="99"/>
      <c r="N693" s="99"/>
      <c r="O693" s="112"/>
      <c r="P693" s="140" t="str">
        <f t="shared" si="119"/>
        <v/>
      </c>
      <c r="Q693" s="140" t="str">
        <f t="shared" si="120"/>
        <v/>
      </c>
      <c r="R693" s="140" t="str">
        <f t="shared" si="121"/>
        <v/>
      </c>
      <c r="S693" s="140" t="str">
        <f t="shared" si="122"/>
        <v/>
      </c>
      <c r="T693" s="140" t="str">
        <f t="shared" si="123"/>
        <v/>
      </c>
      <c r="U693" s="140" t="str">
        <f t="shared" si="124"/>
        <v/>
      </c>
      <c r="V693" s="99"/>
    </row>
    <row r="694" spans="1:22">
      <c r="A694" s="92"/>
      <c r="B694" s="141"/>
      <c r="C694" s="136"/>
      <c r="D694" s="137"/>
      <c r="E694" s="138"/>
      <c r="F694" s="139"/>
      <c r="G694" s="98"/>
      <c r="H694" s="99"/>
      <c r="I694" s="99"/>
      <c r="J694" s="100"/>
      <c r="K694" s="99"/>
      <c r="L694" s="99"/>
      <c r="M694" s="99"/>
      <c r="N694" s="99"/>
      <c r="O694" s="112"/>
      <c r="P694" s="140" t="str">
        <f t="shared" si="119"/>
        <v/>
      </c>
      <c r="Q694" s="140" t="str">
        <f t="shared" si="120"/>
        <v/>
      </c>
      <c r="R694" s="140" t="str">
        <f t="shared" si="121"/>
        <v/>
      </c>
      <c r="S694" s="140" t="str">
        <f t="shared" si="122"/>
        <v/>
      </c>
      <c r="T694" s="140" t="str">
        <f t="shared" si="123"/>
        <v/>
      </c>
      <c r="U694" s="140" t="str">
        <f t="shared" si="124"/>
        <v/>
      </c>
      <c r="V694" s="99"/>
    </row>
    <row r="695" spans="1:22">
      <c r="A695" s="92"/>
      <c r="B695" s="92"/>
      <c r="C695" s="145">
        <v>0.08</v>
      </c>
      <c r="D695" s="137"/>
      <c r="E695" s="138"/>
      <c r="F695" s="139"/>
      <c r="G695" s="98"/>
      <c r="H695" s="99"/>
      <c r="I695" s="99"/>
      <c r="J695" s="100"/>
      <c r="K695" s="99"/>
      <c r="L695" s="99"/>
      <c r="M695" s="99"/>
      <c r="N695" s="99"/>
      <c r="O695" s="112"/>
      <c r="P695" s="140" t="str">
        <f t="shared" si="119"/>
        <v/>
      </c>
      <c r="Q695" s="140" t="str">
        <f t="shared" si="120"/>
        <v/>
      </c>
      <c r="R695" s="140" t="str">
        <f t="shared" si="121"/>
        <v/>
      </c>
      <c r="S695" s="140" t="str">
        <f t="shared" si="122"/>
        <v/>
      </c>
      <c r="T695" s="140" t="str">
        <f t="shared" si="123"/>
        <v/>
      </c>
      <c r="U695" s="140" t="str">
        <f t="shared" si="124"/>
        <v/>
      </c>
      <c r="V695" s="99"/>
    </row>
    <row r="696" spans="1:22">
      <c r="A696" s="92"/>
      <c r="B696" s="146" t="s">
        <v>383</v>
      </c>
      <c r="C696" s="147"/>
      <c r="D696" s="137"/>
      <c r="E696" s="148">
        <f>((0.6-0.08-0.016)/5)+0.012+0.02</f>
        <v>0.1328</v>
      </c>
      <c r="F696" s="139"/>
      <c r="G696" s="98">
        <v>8</v>
      </c>
      <c r="H696" s="99">
        <v>12</v>
      </c>
      <c r="I696" s="111">
        <f>((1.68-2*0.6)/0.15)+1</f>
        <v>4.2</v>
      </c>
      <c r="J696" s="149">
        <f>2*(D698+E696)+2*8*G696/1000</f>
        <v>0.83360000000000001</v>
      </c>
      <c r="K696" s="99"/>
      <c r="L696" s="99">
        <v>5</v>
      </c>
      <c r="M696" s="112">
        <f>2*G696*L696/1000</f>
        <v>0.08</v>
      </c>
      <c r="N696" s="112">
        <f>(J696+K696-M696)+0.02</f>
        <v>0.77360000000000007</v>
      </c>
      <c r="O696" s="112">
        <f>(H696*I696*N696)</f>
        <v>38.989440000000009</v>
      </c>
      <c r="P696" s="140">
        <f t="shared" si="119"/>
        <v>38.989440000000009</v>
      </c>
      <c r="Q696" s="140" t="str">
        <f t="shared" si="120"/>
        <v/>
      </c>
      <c r="R696" s="140" t="str">
        <f t="shared" si="121"/>
        <v/>
      </c>
      <c r="S696" s="140" t="str">
        <f t="shared" si="122"/>
        <v/>
      </c>
      <c r="T696" s="140" t="str">
        <f t="shared" si="123"/>
        <v/>
      </c>
      <c r="U696" s="140" t="str">
        <f t="shared" si="124"/>
        <v/>
      </c>
      <c r="V696" s="99"/>
    </row>
    <row r="697" spans="1:22">
      <c r="A697" s="92"/>
      <c r="B697" s="146"/>
      <c r="C697" s="136"/>
      <c r="D697" s="137"/>
      <c r="E697" s="150"/>
      <c r="F697" s="139"/>
      <c r="G697" s="98"/>
      <c r="H697" s="99"/>
      <c r="I697" s="99"/>
      <c r="J697" s="100"/>
      <c r="K697" s="99"/>
      <c r="L697" s="99"/>
      <c r="M697" s="99"/>
      <c r="N697" s="99"/>
      <c r="O697" s="112"/>
      <c r="P697" s="140" t="str">
        <f t="shared" si="119"/>
        <v/>
      </c>
      <c r="Q697" s="140" t="str">
        <f t="shared" si="120"/>
        <v/>
      </c>
      <c r="R697" s="140" t="str">
        <f t="shared" si="121"/>
        <v/>
      </c>
      <c r="S697" s="140" t="str">
        <f t="shared" si="122"/>
        <v/>
      </c>
      <c r="T697" s="140" t="str">
        <f t="shared" si="123"/>
        <v/>
      </c>
      <c r="U697" s="140" t="str">
        <f t="shared" si="124"/>
        <v/>
      </c>
      <c r="V697" s="99"/>
    </row>
    <row r="698" spans="1:22">
      <c r="A698" s="92"/>
      <c r="B698" s="146"/>
      <c r="C698" s="136"/>
      <c r="D698" s="109">
        <f>0.3-0.08</f>
        <v>0.21999999999999997</v>
      </c>
      <c r="E698" s="138"/>
      <c r="F698" s="139"/>
      <c r="G698" s="98"/>
      <c r="H698" s="99"/>
      <c r="I698" s="99"/>
      <c r="J698" s="100"/>
      <c r="K698" s="99"/>
      <c r="L698" s="99"/>
      <c r="M698" s="99"/>
      <c r="N698" s="99"/>
      <c r="O698" s="112"/>
      <c r="P698" s="140" t="str">
        <f t="shared" si="119"/>
        <v/>
      </c>
      <c r="Q698" s="140" t="str">
        <f t="shared" si="120"/>
        <v/>
      </c>
      <c r="R698" s="140" t="str">
        <f t="shared" si="121"/>
        <v/>
      </c>
      <c r="S698" s="140" t="str">
        <f t="shared" si="122"/>
        <v/>
      </c>
      <c r="T698" s="140" t="str">
        <f t="shared" si="123"/>
        <v/>
      </c>
      <c r="U698" s="140" t="str">
        <f t="shared" si="124"/>
        <v/>
      </c>
      <c r="V698" s="99"/>
    </row>
    <row r="699" spans="1:22">
      <c r="A699" s="92"/>
      <c r="B699" s="146"/>
      <c r="C699" s="136"/>
      <c r="D699" s="137"/>
      <c r="E699" s="138"/>
      <c r="F699" s="139"/>
      <c r="G699" s="98"/>
      <c r="H699" s="99"/>
      <c r="I699" s="99"/>
      <c r="J699" s="100"/>
      <c r="K699" s="99"/>
      <c r="L699" s="99"/>
      <c r="M699" s="99"/>
      <c r="N699" s="99"/>
      <c r="O699" s="112"/>
      <c r="P699" s="140" t="str">
        <f t="shared" si="119"/>
        <v/>
      </c>
      <c r="Q699" s="140" t="str">
        <f t="shared" si="120"/>
        <v/>
      </c>
      <c r="R699" s="140" t="str">
        <f t="shared" si="121"/>
        <v/>
      </c>
      <c r="S699" s="140" t="str">
        <f t="shared" si="122"/>
        <v/>
      </c>
      <c r="T699" s="140" t="str">
        <f t="shared" si="123"/>
        <v/>
      </c>
      <c r="U699" s="140" t="str">
        <f t="shared" si="124"/>
        <v/>
      </c>
      <c r="V699" s="99"/>
    </row>
    <row r="700" spans="1:22">
      <c r="A700" s="92"/>
      <c r="B700" s="146" t="s">
        <v>384</v>
      </c>
      <c r="C700" s="136"/>
      <c r="D700" s="142"/>
      <c r="E700" s="138"/>
      <c r="F700" s="139"/>
      <c r="G700" s="98">
        <v>8</v>
      </c>
      <c r="H700" s="99">
        <v>12</v>
      </c>
      <c r="I700" s="111">
        <f>((1.68-2*0.6)/0.15)+1</f>
        <v>4.2</v>
      </c>
      <c r="J700" s="149">
        <f>C701+D703+E701+2*8*G700/1000</f>
        <v>0.69799999999999995</v>
      </c>
      <c r="K700" s="99"/>
      <c r="L700" s="99">
        <v>4</v>
      </c>
      <c r="M700" s="112">
        <f>2*G700*L700/1000</f>
        <v>6.4000000000000001E-2</v>
      </c>
      <c r="N700" s="112">
        <f>(J700+K700-M700)</f>
        <v>0.6339999999999999</v>
      </c>
      <c r="O700" s="112">
        <f>(H700*I700*N700)</f>
        <v>31.953599999999998</v>
      </c>
      <c r="P700" s="140">
        <f t="shared" si="119"/>
        <v>31.953599999999998</v>
      </c>
      <c r="Q700" s="140" t="str">
        <f t="shared" si="120"/>
        <v/>
      </c>
      <c r="R700" s="140" t="str">
        <f t="shared" si="121"/>
        <v/>
      </c>
      <c r="S700" s="140" t="str">
        <f t="shared" si="122"/>
        <v/>
      </c>
      <c r="T700" s="140" t="str">
        <f t="shared" si="123"/>
        <v/>
      </c>
      <c r="U700" s="140" t="str">
        <f t="shared" si="124"/>
        <v/>
      </c>
      <c r="V700" s="99"/>
    </row>
    <row r="701" spans="1:22">
      <c r="A701" s="92"/>
      <c r="B701" s="146"/>
      <c r="C701" s="151">
        <v>0.17499999999999999</v>
      </c>
      <c r="D701" s="137"/>
      <c r="E701" s="138">
        <v>0.17499999999999999</v>
      </c>
      <c r="F701" s="139"/>
      <c r="G701" s="98"/>
      <c r="H701" s="99"/>
      <c r="I701" s="99"/>
      <c r="J701" s="100"/>
      <c r="K701" s="99"/>
      <c r="L701" s="99"/>
      <c r="M701" s="99"/>
      <c r="N701" s="99"/>
      <c r="O701" s="112"/>
      <c r="P701" s="140" t="str">
        <f>IF($G701=8,$O701,"")</f>
        <v/>
      </c>
      <c r="Q701" s="140" t="str">
        <f>IF($G701=10,$O701,"")</f>
        <v/>
      </c>
      <c r="R701" s="140" t="str">
        <f>IF($G701=12,$O701,"")</f>
        <v/>
      </c>
      <c r="S701" s="140" t="str">
        <f>IF($G701=16,$O701,"")</f>
        <v/>
      </c>
      <c r="T701" s="140" t="str">
        <f>IF($G701=20,$O701,"")</f>
        <v/>
      </c>
      <c r="U701" s="140" t="str">
        <f>IF($G701=25,$O701,"")</f>
        <v/>
      </c>
      <c r="V701" s="99"/>
    </row>
    <row r="702" spans="1:22">
      <c r="A702" s="92"/>
      <c r="B702" s="146"/>
      <c r="C702" s="136"/>
      <c r="D702" s="137"/>
      <c r="E702" s="138"/>
      <c r="F702" s="139"/>
      <c r="G702" s="98"/>
      <c r="H702" s="99"/>
      <c r="I702" s="99"/>
      <c r="J702" s="100"/>
      <c r="K702" s="99"/>
      <c r="L702" s="99"/>
      <c r="M702" s="99"/>
      <c r="N702" s="99"/>
      <c r="O702" s="112"/>
      <c r="P702" s="140" t="str">
        <f t="shared" si="119"/>
        <v/>
      </c>
      <c r="Q702" s="140" t="str">
        <f t="shared" si="120"/>
        <v/>
      </c>
      <c r="R702" s="140" t="str">
        <f t="shared" si="121"/>
        <v/>
      </c>
      <c r="S702" s="140" t="str">
        <f t="shared" si="122"/>
        <v/>
      </c>
      <c r="T702" s="140" t="str">
        <f t="shared" si="123"/>
        <v/>
      </c>
      <c r="U702" s="140" t="str">
        <f t="shared" si="124"/>
        <v/>
      </c>
      <c r="V702" s="99"/>
    </row>
    <row r="703" spans="1:22">
      <c r="A703" s="92"/>
      <c r="B703" s="146"/>
      <c r="C703" s="136"/>
      <c r="D703" s="109">
        <f>0.3-0.08</f>
        <v>0.21999999999999997</v>
      </c>
      <c r="E703" s="138"/>
      <c r="F703" s="139"/>
      <c r="G703" s="98"/>
      <c r="H703" s="99"/>
      <c r="I703" s="99"/>
      <c r="J703" s="100"/>
      <c r="K703" s="99"/>
      <c r="L703" s="99"/>
      <c r="M703" s="99"/>
      <c r="N703" s="99"/>
      <c r="O703" s="112"/>
      <c r="P703" s="140" t="str">
        <f t="shared" si="119"/>
        <v/>
      </c>
      <c r="Q703" s="140" t="str">
        <f t="shared" si="120"/>
        <v/>
      </c>
      <c r="R703" s="140" t="str">
        <f t="shared" si="121"/>
        <v/>
      </c>
      <c r="S703" s="140" t="str">
        <f t="shared" si="122"/>
        <v/>
      </c>
      <c r="T703" s="140" t="str">
        <f t="shared" si="123"/>
        <v/>
      </c>
      <c r="U703" s="140" t="str">
        <f t="shared" si="124"/>
        <v/>
      </c>
      <c r="V703" s="99"/>
    </row>
    <row r="704" spans="1:22">
      <c r="A704" s="92"/>
      <c r="B704" s="146"/>
      <c r="C704" s="136"/>
      <c r="D704" s="137"/>
      <c r="E704" s="138"/>
      <c r="F704" s="139"/>
      <c r="G704" s="98"/>
      <c r="H704" s="99"/>
      <c r="I704" s="99"/>
      <c r="J704" s="100"/>
      <c r="K704" s="99"/>
      <c r="L704" s="99"/>
      <c r="M704" s="99"/>
      <c r="N704" s="99"/>
      <c r="O704" s="112"/>
      <c r="P704" s="140" t="str">
        <f t="shared" si="119"/>
        <v/>
      </c>
      <c r="Q704" s="140" t="str">
        <f t="shared" si="120"/>
        <v/>
      </c>
      <c r="R704" s="140" t="str">
        <f t="shared" si="121"/>
        <v/>
      </c>
      <c r="S704" s="140" t="str">
        <f t="shared" si="122"/>
        <v/>
      </c>
      <c r="T704" s="140" t="str">
        <f t="shared" si="123"/>
        <v/>
      </c>
      <c r="U704" s="140" t="str">
        <f t="shared" si="124"/>
        <v/>
      </c>
      <c r="V704" s="99"/>
    </row>
    <row r="705" spans="1:22">
      <c r="A705" s="92"/>
      <c r="B705" s="146" t="s">
        <v>385</v>
      </c>
      <c r="C705" s="136"/>
      <c r="D705" s="142"/>
      <c r="E705" s="138"/>
      <c r="F705" s="139"/>
      <c r="G705" s="98">
        <v>8</v>
      </c>
      <c r="H705" s="99">
        <v>12</v>
      </c>
      <c r="I705" s="111">
        <f>((1.68-2*0.6)/0.15)+1</f>
        <v>4.2</v>
      </c>
      <c r="J705" s="149">
        <f>C706+D708+E706+2*8*G705/1000</f>
        <v>0.69799999999999995</v>
      </c>
      <c r="K705" s="99"/>
      <c r="L705" s="99">
        <v>4</v>
      </c>
      <c r="M705" s="112">
        <f>2*G705*L705/1000</f>
        <v>6.4000000000000001E-2</v>
      </c>
      <c r="N705" s="112">
        <f>(J705+K705-M705)</f>
        <v>0.6339999999999999</v>
      </c>
      <c r="O705" s="112">
        <f>(H705*I705*N705)</f>
        <v>31.953599999999998</v>
      </c>
      <c r="P705" s="140">
        <f t="shared" si="119"/>
        <v>31.953599999999998</v>
      </c>
      <c r="Q705" s="140" t="str">
        <f t="shared" si="120"/>
        <v/>
      </c>
      <c r="R705" s="140" t="str">
        <f t="shared" si="121"/>
        <v/>
      </c>
      <c r="S705" s="140" t="str">
        <f t="shared" si="122"/>
        <v/>
      </c>
      <c r="T705" s="140" t="str">
        <f t="shared" si="123"/>
        <v/>
      </c>
      <c r="U705" s="140" t="str">
        <f t="shared" si="124"/>
        <v/>
      </c>
      <c r="V705" s="99"/>
    </row>
    <row r="706" spans="1:22">
      <c r="A706" s="92"/>
      <c r="B706" s="146"/>
      <c r="C706" s="151">
        <v>0.17499999999999999</v>
      </c>
      <c r="D706" s="137"/>
      <c r="E706" s="138">
        <v>0.17499999999999999</v>
      </c>
      <c r="F706" s="139"/>
      <c r="G706" s="98"/>
      <c r="H706" s="99"/>
      <c r="I706" s="99"/>
      <c r="J706" s="100"/>
      <c r="K706" s="99"/>
      <c r="L706" s="99"/>
      <c r="M706" s="99"/>
      <c r="N706" s="99"/>
      <c r="O706" s="112"/>
      <c r="P706" s="140" t="str">
        <f>IF($G706=8,$O706,"")</f>
        <v/>
      </c>
      <c r="Q706" s="140" t="str">
        <f>IF($G706=10,$O706,"")</f>
        <v/>
      </c>
      <c r="R706" s="140" t="str">
        <f>IF($G706=12,$O706,"")</f>
        <v/>
      </c>
      <c r="S706" s="140" t="str">
        <f>IF($G706=16,$O706,"")</f>
        <v/>
      </c>
      <c r="T706" s="140" t="str">
        <f>IF($G706=20,$O706,"")</f>
        <v/>
      </c>
      <c r="U706" s="140" t="str">
        <f>IF($G706=25,$O706,"")</f>
        <v/>
      </c>
      <c r="V706" s="99"/>
    </row>
    <row r="707" spans="1:22">
      <c r="A707" s="92"/>
      <c r="B707" s="146"/>
      <c r="C707" s="136"/>
      <c r="D707" s="137"/>
      <c r="E707" s="138"/>
      <c r="F707" s="139"/>
      <c r="G707" s="98"/>
      <c r="H707" s="99"/>
      <c r="I707" s="99"/>
      <c r="J707" s="100"/>
      <c r="K707" s="99"/>
      <c r="L707" s="99"/>
      <c r="M707" s="99"/>
      <c r="N707" s="99"/>
      <c r="O707" s="101"/>
      <c r="P707" s="140" t="str">
        <f t="shared" si="119"/>
        <v/>
      </c>
      <c r="Q707" s="140" t="str">
        <f t="shared" si="120"/>
        <v/>
      </c>
      <c r="R707" s="140" t="str">
        <f t="shared" si="121"/>
        <v/>
      </c>
      <c r="S707" s="140" t="str">
        <f t="shared" si="122"/>
        <v/>
      </c>
      <c r="T707" s="140" t="str">
        <f t="shared" si="123"/>
        <v/>
      </c>
      <c r="U707" s="140" t="str">
        <f t="shared" si="124"/>
        <v/>
      </c>
      <c r="V707" s="99"/>
    </row>
    <row r="708" spans="1:22">
      <c r="A708" s="92"/>
      <c r="B708" s="146"/>
      <c r="C708" s="136"/>
      <c r="D708" s="109">
        <f>0.3-0.08</f>
        <v>0.21999999999999997</v>
      </c>
      <c r="E708" s="138"/>
      <c r="F708" s="139"/>
      <c r="G708" s="98"/>
      <c r="H708" s="99"/>
      <c r="I708" s="99"/>
      <c r="J708" s="100"/>
      <c r="K708" s="99"/>
      <c r="L708" s="99"/>
      <c r="M708" s="99"/>
      <c r="N708" s="99"/>
      <c r="O708" s="101"/>
      <c r="P708" s="140" t="str">
        <f t="shared" si="119"/>
        <v/>
      </c>
      <c r="Q708" s="140" t="str">
        <f t="shared" si="120"/>
        <v/>
      </c>
      <c r="R708" s="140" t="str">
        <f t="shared" si="121"/>
        <v/>
      </c>
      <c r="S708" s="140" t="str">
        <f t="shared" si="122"/>
        <v/>
      </c>
      <c r="T708" s="140" t="str">
        <f t="shared" si="123"/>
        <v/>
      </c>
      <c r="U708" s="140" t="str">
        <f t="shared" si="124"/>
        <v/>
      </c>
      <c r="V708" s="99"/>
    </row>
    <row r="709" spans="1:22">
      <c r="A709" s="92"/>
      <c r="B709" s="141"/>
      <c r="C709" s="136"/>
      <c r="D709" s="137"/>
      <c r="E709" s="138"/>
      <c r="F709" s="139"/>
      <c r="G709" s="98"/>
      <c r="H709" s="99"/>
      <c r="I709" s="99"/>
      <c r="J709" s="100"/>
      <c r="K709" s="99"/>
      <c r="L709" s="99"/>
      <c r="M709" s="99"/>
      <c r="N709" s="99"/>
      <c r="O709" s="101"/>
      <c r="P709" s="140" t="str">
        <f t="shared" si="105"/>
        <v/>
      </c>
      <c r="Q709" s="140" t="str">
        <f t="shared" si="106"/>
        <v/>
      </c>
      <c r="R709" s="140" t="str">
        <f t="shared" si="107"/>
        <v/>
      </c>
      <c r="S709" s="140" t="str">
        <f t="shared" si="108"/>
        <v/>
      </c>
      <c r="T709" s="140" t="str">
        <f t="shared" si="109"/>
        <v/>
      </c>
      <c r="U709" s="140" t="str">
        <f t="shared" si="110"/>
        <v/>
      </c>
      <c r="V709" s="99"/>
    </row>
    <row r="710" spans="1:22">
      <c r="A710" s="92">
        <v>2</v>
      </c>
      <c r="B710" s="92" t="s">
        <v>386</v>
      </c>
      <c r="C710" s="136"/>
      <c r="D710" s="137"/>
      <c r="E710" s="138"/>
      <c r="F710" s="139"/>
      <c r="G710" s="98"/>
      <c r="H710" s="99"/>
      <c r="I710" s="99"/>
      <c r="J710" s="109"/>
      <c r="K710" s="112"/>
      <c r="L710" s="112"/>
      <c r="M710" s="99"/>
      <c r="N710" s="112"/>
      <c r="O710" s="112"/>
      <c r="P710" s="140" t="str">
        <f>IF($G710=8,$O710,"")</f>
        <v/>
      </c>
      <c r="Q710" s="140" t="str">
        <f>IF($G710=10,$O710,"")</f>
        <v/>
      </c>
      <c r="R710" s="140" t="str">
        <f>IF($G710=12,$O710,"")</f>
        <v/>
      </c>
      <c r="S710" s="140" t="str">
        <f>IF($G710=16,$O710,"")</f>
        <v/>
      </c>
      <c r="T710" s="140" t="str">
        <f>IF($G710=20,$O710,"")</f>
        <v/>
      </c>
      <c r="U710" s="140" t="str">
        <f>IF($G710=25,$O710,"")</f>
        <v/>
      </c>
      <c r="V710" s="99"/>
    </row>
    <row r="711" spans="1:22">
      <c r="A711" s="92"/>
      <c r="B711" s="141" t="s">
        <v>378</v>
      </c>
      <c r="C711" s="136"/>
      <c r="D711" s="142">
        <v>1.48</v>
      </c>
      <c r="E711" s="138"/>
      <c r="F711" s="139"/>
      <c r="G711" s="98">
        <v>20</v>
      </c>
      <c r="H711" s="99">
        <v>12</v>
      </c>
      <c r="I711" s="99">
        <v>4</v>
      </c>
      <c r="J711" s="109">
        <f>D711</f>
        <v>1.48</v>
      </c>
      <c r="K711" s="110" t="str">
        <f>IF(N711&lt;12,"0",0.049*G711)</f>
        <v>0</v>
      </c>
      <c r="L711" s="111">
        <v>0</v>
      </c>
      <c r="M711" s="99">
        <f>2*G711*L711/1000</f>
        <v>0</v>
      </c>
      <c r="N711" s="112">
        <f>J711+E713-M711</f>
        <v>1.48</v>
      </c>
      <c r="O711" s="112">
        <f>H711*I711*N711</f>
        <v>71.039999999999992</v>
      </c>
      <c r="P711" s="140" t="str">
        <f t="shared" si="105"/>
        <v/>
      </c>
      <c r="Q711" s="140" t="str">
        <f t="shared" si="106"/>
        <v/>
      </c>
      <c r="R711" s="140" t="str">
        <f t="shared" si="107"/>
        <v/>
      </c>
      <c r="S711" s="140" t="str">
        <f t="shared" si="108"/>
        <v/>
      </c>
      <c r="T711" s="140">
        <f t="shared" si="109"/>
        <v>71.039999999999992</v>
      </c>
      <c r="U711" s="140" t="str">
        <f t="shared" si="110"/>
        <v/>
      </c>
      <c r="V711" s="99"/>
    </row>
    <row r="712" spans="1:22">
      <c r="A712" s="92"/>
      <c r="B712" s="141" t="s">
        <v>379</v>
      </c>
      <c r="C712" s="136"/>
      <c r="D712" s="137"/>
      <c r="E712" s="138"/>
      <c r="F712" s="139"/>
      <c r="G712" s="98">
        <v>20</v>
      </c>
      <c r="H712" s="99">
        <v>12</v>
      </c>
      <c r="I712" s="99">
        <v>2</v>
      </c>
      <c r="J712" s="109">
        <f>D711</f>
        <v>1.48</v>
      </c>
      <c r="K712" s="110" t="str">
        <f t="shared" ref="K712:K714" si="127">IF(N712&lt;12,"0",0.049*G712)</f>
        <v>0</v>
      </c>
      <c r="L712" s="111">
        <v>0</v>
      </c>
      <c r="M712" s="99">
        <f t="shared" ref="M712:M714" si="128">2*G712*L712/1000</f>
        <v>0</v>
      </c>
      <c r="N712" s="112">
        <f>J712+E713-M712</f>
        <v>1.48</v>
      </c>
      <c r="O712" s="112">
        <f>H712*I712*N712</f>
        <v>35.519999999999996</v>
      </c>
      <c r="P712" s="140" t="str">
        <f t="shared" si="105"/>
        <v/>
      </c>
      <c r="Q712" s="140" t="str">
        <f t="shared" si="106"/>
        <v/>
      </c>
      <c r="R712" s="140" t="str">
        <f t="shared" si="107"/>
        <v/>
      </c>
      <c r="S712" s="140" t="str">
        <f t="shared" si="108"/>
        <v/>
      </c>
      <c r="T712" s="140">
        <f t="shared" si="109"/>
        <v>35.519999999999996</v>
      </c>
      <c r="U712" s="140" t="str">
        <f t="shared" si="110"/>
        <v/>
      </c>
      <c r="V712" s="99"/>
    </row>
    <row r="713" spans="1:22">
      <c r="A713" s="92"/>
      <c r="B713" s="141" t="s">
        <v>380</v>
      </c>
      <c r="C713" s="143"/>
      <c r="D713" s="142"/>
      <c r="E713" s="144"/>
      <c r="F713" s="139"/>
      <c r="G713" s="98">
        <v>16</v>
      </c>
      <c r="H713" s="99">
        <v>12</v>
      </c>
      <c r="I713" s="99">
        <v>4</v>
      </c>
      <c r="J713" s="109">
        <f>D711</f>
        <v>1.48</v>
      </c>
      <c r="K713" s="110" t="str">
        <f t="shared" si="127"/>
        <v>0</v>
      </c>
      <c r="L713" s="111">
        <v>0</v>
      </c>
      <c r="M713" s="99">
        <f t="shared" si="128"/>
        <v>0</v>
      </c>
      <c r="N713" s="112">
        <f>J713+E713-M713</f>
        <v>1.48</v>
      </c>
      <c r="O713" s="112">
        <f>H713*I713*N713</f>
        <v>71.039999999999992</v>
      </c>
      <c r="P713" s="140" t="str">
        <f t="shared" si="105"/>
        <v/>
      </c>
      <c r="Q713" s="140" t="str">
        <f t="shared" si="106"/>
        <v/>
      </c>
      <c r="R713" s="140" t="str">
        <f t="shared" si="107"/>
        <v/>
      </c>
      <c r="S713" s="140">
        <f t="shared" si="108"/>
        <v>71.039999999999992</v>
      </c>
      <c r="T713" s="140" t="str">
        <f t="shared" si="109"/>
        <v/>
      </c>
      <c r="U713" s="140" t="str">
        <f t="shared" si="110"/>
        <v/>
      </c>
      <c r="V713" s="99"/>
    </row>
    <row r="714" spans="1:22">
      <c r="A714" s="92"/>
      <c r="B714" s="141" t="s">
        <v>381</v>
      </c>
      <c r="C714" s="136"/>
      <c r="D714" s="137"/>
      <c r="E714" s="138"/>
      <c r="F714" s="139"/>
      <c r="G714" s="98">
        <v>16</v>
      </c>
      <c r="H714" s="99">
        <v>12</v>
      </c>
      <c r="I714" s="99">
        <v>4</v>
      </c>
      <c r="J714" s="109">
        <f>D711</f>
        <v>1.48</v>
      </c>
      <c r="K714" s="110" t="str">
        <f t="shared" si="127"/>
        <v>0</v>
      </c>
      <c r="L714" s="111">
        <v>0</v>
      </c>
      <c r="M714" s="99">
        <f t="shared" si="128"/>
        <v>0</v>
      </c>
      <c r="N714" s="112">
        <f>J714+E713-M714</f>
        <v>1.48</v>
      </c>
      <c r="O714" s="112">
        <f>H714*I714*N714</f>
        <v>71.039999999999992</v>
      </c>
      <c r="P714" s="140" t="str">
        <f t="shared" si="105"/>
        <v/>
      </c>
      <c r="Q714" s="140" t="str">
        <f t="shared" si="106"/>
        <v/>
      </c>
      <c r="R714" s="140" t="str">
        <f t="shared" si="107"/>
        <v/>
      </c>
      <c r="S714" s="140">
        <f t="shared" si="108"/>
        <v>71.039999999999992</v>
      </c>
      <c r="T714" s="140" t="str">
        <f t="shared" si="109"/>
        <v/>
      </c>
      <c r="U714" s="140" t="str">
        <f t="shared" si="110"/>
        <v/>
      </c>
      <c r="V714" s="99"/>
    </row>
    <row r="715" spans="1:22">
      <c r="A715" s="92"/>
      <c r="B715" s="141"/>
      <c r="C715" s="136"/>
      <c r="D715" s="137"/>
      <c r="E715" s="138"/>
      <c r="F715" s="139"/>
      <c r="G715" s="98"/>
      <c r="H715" s="99"/>
      <c r="I715" s="99"/>
      <c r="J715" s="100"/>
      <c r="K715" s="99"/>
      <c r="L715" s="99"/>
      <c r="M715" s="99"/>
      <c r="N715" s="99"/>
      <c r="O715" s="101"/>
      <c r="P715" s="140" t="str">
        <f t="shared" si="105"/>
        <v/>
      </c>
      <c r="Q715" s="140" t="str">
        <f t="shared" si="106"/>
        <v/>
      </c>
      <c r="R715" s="140" t="str">
        <f t="shared" si="107"/>
        <v/>
      </c>
      <c r="S715" s="140" t="str">
        <f t="shared" si="108"/>
        <v/>
      </c>
      <c r="T715" s="140" t="str">
        <f t="shared" si="109"/>
        <v/>
      </c>
      <c r="U715" s="140" t="str">
        <f t="shared" si="110"/>
        <v/>
      </c>
      <c r="V715" s="99"/>
    </row>
    <row r="716" spans="1:22">
      <c r="A716" s="92"/>
      <c r="B716" s="429" t="s">
        <v>644</v>
      </c>
      <c r="C716" s="145">
        <v>0.08</v>
      </c>
      <c r="D716" s="137"/>
      <c r="E716" s="138"/>
      <c r="F716" s="139"/>
      <c r="G716" s="98"/>
      <c r="H716" s="99"/>
      <c r="I716" s="99"/>
      <c r="J716" s="100"/>
      <c r="K716" s="99"/>
      <c r="L716" s="99"/>
      <c r="M716" s="99"/>
      <c r="N716" s="99"/>
      <c r="O716" s="101"/>
      <c r="P716" s="140" t="str">
        <f t="shared" si="105"/>
        <v/>
      </c>
      <c r="Q716" s="140" t="str">
        <f t="shared" si="106"/>
        <v/>
      </c>
      <c r="R716" s="140" t="str">
        <f t="shared" si="107"/>
        <v/>
      </c>
      <c r="S716" s="140" t="str">
        <f t="shared" si="108"/>
        <v/>
      </c>
      <c r="T716" s="140" t="str">
        <f t="shared" si="109"/>
        <v/>
      </c>
      <c r="U716" s="140" t="str">
        <f t="shared" si="110"/>
        <v/>
      </c>
      <c r="V716" s="99"/>
    </row>
    <row r="717" spans="1:22">
      <c r="A717" s="92"/>
      <c r="B717" s="146" t="s">
        <v>382</v>
      </c>
      <c r="C717" s="147"/>
      <c r="D717" s="137"/>
      <c r="E717" s="148">
        <f>0.6-0.08</f>
        <v>0.52</v>
      </c>
      <c r="F717" s="139"/>
      <c r="G717" s="98">
        <v>10</v>
      </c>
      <c r="H717" s="99">
        <v>12</v>
      </c>
      <c r="I717" s="99">
        <f>((2*0.6)/0.075)+2</f>
        <v>18</v>
      </c>
      <c r="J717" s="149">
        <f>2*(D719+E717)+2*8*G717/1000</f>
        <v>1.64</v>
      </c>
      <c r="K717" s="99"/>
      <c r="L717" s="99">
        <v>5</v>
      </c>
      <c r="M717" s="112">
        <f>2*G717*L717/1000</f>
        <v>0.1</v>
      </c>
      <c r="N717" s="112">
        <f>(J717+K717-M717)</f>
        <v>1.5399999999999998</v>
      </c>
      <c r="O717" s="112">
        <f>(H717*I717*N717)</f>
        <v>332.64</v>
      </c>
      <c r="P717" s="140" t="str">
        <f t="shared" si="105"/>
        <v/>
      </c>
      <c r="Q717" s="140">
        <f t="shared" si="106"/>
        <v>332.64</v>
      </c>
      <c r="R717" s="140" t="str">
        <f t="shared" si="107"/>
        <v/>
      </c>
      <c r="S717" s="140" t="str">
        <f t="shared" si="108"/>
        <v/>
      </c>
      <c r="T717" s="140" t="str">
        <f t="shared" si="109"/>
        <v/>
      </c>
      <c r="U717" s="140" t="str">
        <f t="shared" si="110"/>
        <v/>
      </c>
      <c r="V717" s="99"/>
    </row>
    <row r="718" spans="1:22">
      <c r="A718" s="92"/>
      <c r="B718" s="146"/>
      <c r="C718" s="136"/>
      <c r="D718" s="137"/>
      <c r="E718" s="150"/>
      <c r="F718" s="139"/>
      <c r="G718" s="98"/>
      <c r="H718" s="99"/>
      <c r="I718" s="99"/>
      <c r="J718" s="100"/>
      <c r="K718" s="99"/>
      <c r="L718" s="99"/>
      <c r="M718" s="99"/>
      <c r="N718" s="99"/>
      <c r="O718" s="112"/>
      <c r="P718" s="140" t="str">
        <f t="shared" si="105"/>
        <v/>
      </c>
      <c r="Q718" s="140" t="str">
        <f t="shared" si="106"/>
        <v/>
      </c>
      <c r="R718" s="140" t="str">
        <f t="shared" si="107"/>
        <v/>
      </c>
      <c r="S718" s="140" t="str">
        <f t="shared" si="108"/>
        <v/>
      </c>
      <c r="T718" s="140" t="str">
        <f t="shared" si="109"/>
        <v/>
      </c>
      <c r="U718" s="140" t="str">
        <f t="shared" si="110"/>
        <v/>
      </c>
      <c r="V718" s="99"/>
    </row>
    <row r="719" spans="1:22">
      <c r="A719" s="92"/>
      <c r="B719" s="146"/>
      <c r="C719" s="136"/>
      <c r="D719" s="109">
        <f>0.3-0.08</f>
        <v>0.21999999999999997</v>
      </c>
      <c r="E719" s="138"/>
      <c r="F719" s="139"/>
      <c r="G719" s="98"/>
      <c r="H719" s="99"/>
      <c r="I719" s="99"/>
      <c r="J719" s="100"/>
      <c r="K719" s="99"/>
      <c r="L719" s="99"/>
      <c r="M719" s="99"/>
      <c r="N719" s="99"/>
      <c r="O719" s="112"/>
      <c r="P719" s="140" t="str">
        <f t="shared" si="105"/>
        <v/>
      </c>
      <c r="Q719" s="140" t="str">
        <f t="shared" si="106"/>
        <v/>
      </c>
      <c r="R719" s="140" t="str">
        <f t="shared" si="107"/>
        <v/>
      </c>
      <c r="S719" s="140" t="str">
        <f t="shared" si="108"/>
        <v/>
      </c>
      <c r="T719" s="140" t="str">
        <f t="shared" si="109"/>
        <v/>
      </c>
      <c r="U719" s="140" t="str">
        <f t="shared" si="110"/>
        <v/>
      </c>
      <c r="V719" s="99"/>
    </row>
    <row r="720" spans="1:22">
      <c r="A720" s="92"/>
      <c r="B720" s="141"/>
      <c r="C720" s="136"/>
      <c r="D720" s="137"/>
      <c r="E720" s="138"/>
      <c r="F720" s="139"/>
      <c r="G720" s="98"/>
      <c r="H720" s="99"/>
      <c r="I720" s="99"/>
      <c r="J720" s="100"/>
      <c r="K720" s="99"/>
      <c r="L720" s="99"/>
      <c r="M720" s="99"/>
      <c r="N720" s="99"/>
      <c r="O720" s="112"/>
      <c r="P720" s="140" t="str">
        <f t="shared" si="105"/>
        <v/>
      </c>
      <c r="Q720" s="140" t="str">
        <f t="shared" si="106"/>
        <v/>
      </c>
      <c r="R720" s="140" t="str">
        <f t="shared" si="107"/>
        <v/>
      </c>
      <c r="S720" s="140" t="str">
        <f t="shared" si="108"/>
        <v/>
      </c>
      <c r="T720" s="140" t="str">
        <f t="shared" si="109"/>
        <v/>
      </c>
      <c r="U720" s="140" t="str">
        <f t="shared" si="110"/>
        <v/>
      </c>
      <c r="V720" s="99"/>
    </row>
    <row r="721" spans="1:22">
      <c r="A721" s="92"/>
      <c r="B721" s="92"/>
      <c r="C721" s="145">
        <v>0.08</v>
      </c>
      <c r="D721" s="137"/>
      <c r="E721" s="138"/>
      <c r="F721" s="139"/>
      <c r="G721" s="98"/>
      <c r="H721" s="99"/>
      <c r="I721" s="99"/>
      <c r="J721" s="100"/>
      <c r="K721" s="99"/>
      <c r="L721" s="99"/>
      <c r="M721" s="99"/>
      <c r="N721" s="99"/>
      <c r="O721" s="112"/>
      <c r="P721" s="140" t="str">
        <f t="shared" si="105"/>
        <v/>
      </c>
      <c r="Q721" s="140" t="str">
        <f t="shared" si="106"/>
        <v/>
      </c>
      <c r="R721" s="140" t="str">
        <f t="shared" si="107"/>
        <v/>
      </c>
      <c r="S721" s="140" t="str">
        <f t="shared" si="108"/>
        <v/>
      </c>
      <c r="T721" s="140" t="str">
        <f t="shared" si="109"/>
        <v/>
      </c>
      <c r="U721" s="140" t="str">
        <f t="shared" si="110"/>
        <v/>
      </c>
      <c r="V721" s="99"/>
    </row>
    <row r="722" spans="1:22">
      <c r="A722" s="92"/>
      <c r="B722" s="146" t="s">
        <v>383</v>
      </c>
      <c r="C722" s="147"/>
      <c r="D722" s="137"/>
      <c r="E722" s="148">
        <f>((0.6-0.08-0.016)/5)+0.012+0.02</f>
        <v>0.1328</v>
      </c>
      <c r="F722" s="139"/>
      <c r="G722" s="98">
        <v>10</v>
      </c>
      <c r="H722" s="99">
        <v>12</v>
      </c>
      <c r="I722" s="99">
        <f>((2*0.6)/0.075)+2</f>
        <v>18</v>
      </c>
      <c r="J722" s="149">
        <f>2*(D724+E722)+2*8*G722/1000</f>
        <v>0.86560000000000004</v>
      </c>
      <c r="K722" s="99"/>
      <c r="L722" s="99">
        <v>5</v>
      </c>
      <c r="M722" s="112">
        <f>2*G722*L722/1000</f>
        <v>0.1</v>
      </c>
      <c r="N722" s="112">
        <f>(J722+K722-M722)</f>
        <v>0.76560000000000006</v>
      </c>
      <c r="O722" s="112">
        <f>(H722*I722*N722)</f>
        <v>165.36960000000002</v>
      </c>
      <c r="P722" s="140" t="str">
        <f t="shared" si="105"/>
        <v/>
      </c>
      <c r="Q722" s="140">
        <f t="shared" si="106"/>
        <v>165.36960000000002</v>
      </c>
      <c r="R722" s="140" t="str">
        <f t="shared" si="107"/>
        <v/>
      </c>
      <c r="S722" s="140" t="str">
        <f t="shared" si="108"/>
        <v/>
      </c>
      <c r="T722" s="140" t="str">
        <f t="shared" si="109"/>
        <v/>
      </c>
      <c r="U722" s="140" t="str">
        <f t="shared" si="110"/>
        <v/>
      </c>
      <c r="V722" s="99"/>
    </row>
    <row r="723" spans="1:22">
      <c r="A723" s="92"/>
      <c r="B723" s="146"/>
      <c r="C723" s="136"/>
      <c r="D723" s="137"/>
      <c r="E723" s="150"/>
      <c r="F723" s="139"/>
      <c r="G723" s="98"/>
      <c r="H723" s="99"/>
      <c r="I723" s="99"/>
      <c r="J723" s="100"/>
      <c r="K723" s="99"/>
      <c r="L723" s="99"/>
      <c r="M723" s="99"/>
      <c r="N723" s="99"/>
      <c r="O723" s="112"/>
      <c r="P723" s="140" t="str">
        <f t="shared" si="105"/>
        <v/>
      </c>
      <c r="Q723" s="140" t="str">
        <f t="shared" si="106"/>
        <v/>
      </c>
      <c r="R723" s="140" t="str">
        <f t="shared" si="107"/>
        <v/>
      </c>
      <c r="S723" s="140" t="str">
        <f t="shared" si="108"/>
        <v/>
      </c>
      <c r="T723" s="140" t="str">
        <f t="shared" si="109"/>
        <v/>
      </c>
      <c r="U723" s="140" t="str">
        <f t="shared" si="110"/>
        <v/>
      </c>
      <c r="V723" s="99"/>
    </row>
    <row r="724" spans="1:22">
      <c r="A724" s="92"/>
      <c r="B724" s="146"/>
      <c r="C724" s="136"/>
      <c r="D724" s="109">
        <f>0.3-0.08</f>
        <v>0.21999999999999997</v>
      </c>
      <c r="E724" s="138"/>
      <c r="F724" s="139"/>
      <c r="G724" s="98"/>
      <c r="H724" s="99"/>
      <c r="I724" s="99"/>
      <c r="J724" s="100"/>
      <c r="K724" s="99"/>
      <c r="L724" s="99"/>
      <c r="M724" s="99"/>
      <c r="N724" s="99"/>
      <c r="O724" s="112"/>
      <c r="P724" s="140" t="str">
        <f t="shared" si="105"/>
        <v/>
      </c>
      <c r="Q724" s="140" t="str">
        <f t="shared" si="106"/>
        <v/>
      </c>
      <c r="R724" s="140" t="str">
        <f t="shared" si="107"/>
        <v/>
      </c>
      <c r="S724" s="140" t="str">
        <f t="shared" si="108"/>
        <v/>
      </c>
      <c r="T724" s="140" t="str">
        <f t="shared" si="109"/>
        <v/>
      </c>
      <c r="U724" s="140" t="str">
        <f t="shared" si="110"/>
        <v/>
      </c>
      <c r="V724" s="99"/>
    </row>
    <row r="725" spans="1:22">
      <c r="A725" s="92"/>
      <c r="B725" s="146"/>
      <c r="C725" s="136"/>
      <c r="D725" s="137"/>
      <c r="E725" s="138"/>
      <c r="F725" s="139"/>
      <c r="G725" s="98"/>
      <c r="H725" s="99"/>
      <c r="I725" s="99"/>
      <c r="J725" s="100"/>
      <c r="K725" s="99"/>
      <c r="L725" s="99"/>
      <c r="M725" s="99"/>
      <c r="N725" s="99"/>
      <c r="O725" s="112"/>
      <c r="P725" s="140" t="str">
        <f t="shared" si="105"/>
        <v/>
      </c>
      <c r="Q725" s="140" t="str">
        <f t="shared" si="106"/>
        <v/>
      </c>
      <c r="R725" s="140" t="str">
        <f t="shared" si="107"/>
        <v/>
      </c>
      <c r="S725" s="140" t="str">
        <f t="shared" si="108"/>
        <v/>
      </c>
      <c r="T725" s="140" t="str">
        <f t="shared" si="109"/>
        <v/>
      </c>
      <c r="U725" s="140" t="str">
        <f t="shared" si="110"/>
        <v/>
      </c>
      <c r="V725" s="99"/>
    </row>
    <row r="726" spans="1:22">
      <c r="A726" s="92"/>
      <c r="B726" s="146" t="s">
        <v>384</v>
      </c>
      <c r="C726" s="136"/>
      <c r="D726" s="142"/>
      <c r="E726" s="138"/>
      <c r="F726" s="139"/>
      <c r="G726" s="98">
        <v>10</v>
      </c>
      <c r="H726" s="99">
        <v>12</v>
      </c>
      <c r="I726" s="99">
        <f>((2*0.6)/0.075)+2</f>
        <v>18</v>
      </c>
      <c r="J726" s="149">
        <f>C727+D729+E727+2*8*G726/1000</f>
        <v>0.73</v>
      </c>
      <c r="K726" s="99"/>
      <c r="L726" s="99">
        <v>4</v>
      </c>
      <c r="M726" s="112">
        <f>2*G726*L726/1000</f>
        <v>0.08</v>
      </c>
      <c r="N726" s="112">
        <f>(J726+K726-M726)</f>
        <v>0.65</v>
      </c>
      <c r="O726" s="112">
        <f>(H726*I726*N726)</f>
        <v>140.4</v>
      </c>
      <c r="P726" s="140" t="str">
        <f t="shared" si="105"/>
        <v/>
      </c>
      <c r="Q726" s="140">
        <f t="shared" si="106"/>
        <v>140.4</v>
      </c>
      <c r="R726" s="140" t="str">
        <f t="shared" si="107"/>
        <v/>
      </c>
      <c r="S726" s="140" t="str">
        <f t="shared" si="108"/>
        <v/>
      </c>
      <c r="T726" s="140" t="str">
        <f t="shared" si="109"/>
        <v/>
      </c>
      <c r="U726" s="140" t="str">
        <f t="shared" si="110"/>
        <v/>
      </c>
      <c r="V726" s="99"/>
    </row>
    <row r="727" spans="1:22">
      <c r="A727" s="92"/>
      <c r="B727" s="146"/>
      <c r="C727" s="151">
        <v>0.17499999999999999</v>
      </c>
      <c r="D727" s="137"/>
      <c r="E727" s="138">
        <v>0.17499999999999999</v>
      </c>
      <c r="F727" s="139"/>
      <c r="G727" s="98"/>
      <c r="H727" s="99"/>
      <c r="I727" s="99"/>
      <c r="J727" s="100"/>
      <c r="K727" s="99"/>
      <c r="L727" s="99"/>
      <c r="M727" s="99"/>
      <c r="N727" s="99"/>
      <c r="O727" s="112"/>
      <c r="P727" s="140" t="str">
        <f>IF($G727=8,$O727,"")</f>
        <v/>
      </c>
      <c r="Q727" s="140" t="str">
        <f>IF($G727=10,$O727,"")</f>
        <v/>
      </c>
      <c r="R727" s="140" t="str">
        <f>IF($G727=12,$O727,"")</f>
        <v/>
      </c>
      <c r="S727" s="140" t="str">
        <f>IF($G727=16,$O727,"")</f>
        <v/>
      </c>
      <c r="T727" s="140" t="str">
        <f>IF($G727=20,$O727,"")</f>
        <v/>
      </c>
      <c r="U727" s="140" t="str">
        <f>IF($G727=25,$O727,"")</f>
        <v/>
      </c>
      <c r="V727" s="99"/>
    </row>
    <row r="728" spans="1:22">
      <c r="A728" s="92"/>
      <c r="B728" s="146"/>
      <c r="C728" s="136"/>
      <c r="D728" s="137"/>
      <c r="E728" s="138"/>
      <c r="F728" s="139"/>
      <c r="G728" s="98"/>
      <c r="H728" s="99"/>
      <c r="I728" s="99"/>
      <c r="J728" s="100"/>
      <c r="K728" s="99"/>
      <c r="L728" s="99"/>
      <c r="M728" s="99"/>
      <c r="N728" s="99"/>
      <c r="O728" s="112"/>
      <c r="P728" s="140" t="str">
        <f t="shared" si="105"/>
        <v/>
      </c>
      <c r="Q728" s="140" t="str">
        <f t="shared" si="106"/>
        <v/>
      </c>
      <c r="R728" s="140" t="str">
        <f t="shared" si="107"/>
        <v/>
      </c>
      <c r="S728" s="140" t="str">
        <f t="shared" si="108"/>
        <v/>
      </c>
      <c r="T728" s="140" t="str">
        <f t="shared" si="109"/>
        <v/>
      </c>
      <c r="U728" s="140" t="str">
        <f t="shared" si="110"/>
        <v/>
      </c>
      <c r="V728" s="99"/>
    </row>
    <row r="729" spans="1:22">
      <c r="A729" s="92"/>
      <c r="B729" s="146"/>
      <c r="C729" s="136"/>
      <c r="D729" s="109">
        <f>0.3-0.08</f>
        <v>0.21999999999999997</v>
      </c>
      <c r="E729" s="138"/>
      <c r="F729" s="139"/>
      <c r="G729" s="98"/>
      <c r="H729" s="99"/>
      <c r="I729" s="99"/>
      <c r="J729" s="100"/>
      <c r="K729" s="99"/>
      <c r="L729" s="99"/>
      <c r="M729" s="99"/>
      <c r="N729" s="99"/>
      <c r="O729" s="112"/>
      <c r="P729" s="140" t="str">
        <f t="shared" si="105"/>
        <v/>
      </c>
      <c r="Q729" s="140" t="str">
        <f t="shared" si="106"/>
        <v/>
      </c>
      <c r="R729" s="140" t="str">
        <f t="shared" si="107"/>
        <v/>
      </c>
      <c r="S729" s="140" t="str">
        <f t="shared" si="108"/>
        <v/>
      </c>
      <c r="T729" s="140" t="str">
        <f t="shared" si="109"/>
        <v/>
      </c>
      <c r="U729" s="140" t="str">
        <f t="shared" si="110"/>
        <v/>
      </c>
      <c r="V729" s="99"/>
    </row>
    <row r="730" spans="1:22">
      <c r="A730" s="92"/>
      <c r="B730" s="146"/>
      <c r="C730" s="136"/>
      <c r="D730" s="137"/>
      <c r="E730" s="138"/>
      <c r="F730" s="139"/>
      <c r="G730" s="98"/>
      <c r="H730" s="99"/>
      <c r="I730" s="99"/>
      <c r="J730" s="100"/>
      <c r="K730" s="99"/>
      <c r="L730" s="99"/>
      <c r="M730" s="99"/>
      <c r="N730" s="99"/>
      <c r="O730" s="112"/>
      <c r="P730" s="140" t="str">
        <f t="shared" si="105"/>
        <v/>
      </c>
      <c r="Q730" s="140" t="str">
        <f t="shared" si="106"/>
        <v/>
      </c>
      <c r="R730" s="140" t="str">
        <f t="shared" si="107"/>
        <v/>
      </c>
      <c r="S730" s="140" t="str">
        <f t="shared" si="108"/>
        <v/>
      </c>
      <c r="T730" s="140" t="str">
        <f t="shared" si="109"/>
        <v/>
      </c>
      <c r="U730" s="140" t="str">
        <f t="shared" si="110"/>
        <v/>
      </c>
      <c r="V730" s="99"/>
    </row>
    <row r="731" spans="1:22">
      <c r="A731" s="92"/>
      <c r="B731" s="146" t="s">
        <v>385</v>
      </c>
      <c r="C731" s="136"/>
      <c r="D731" s="142"/>
      <c r="E731" s="138"/>
      <c r="F731" s="139"/>
      <c r="G731" s="98">
        <v>10</v>
      </c>
      <c r="H731" s="99">
        <v>12</v>
      </c>
      <c r="I731" s="99">
        <f>((2*0.6)/0.075)+2</f>
        <v>18</v>
      </c>
      <c r="J731" s="149">
        <f>C732+D734+E732+2*8*G731/1000</f>
        <v>0.73</v>
      </c>
      <c r="K731" s="99"/>
      <c r="L731" s="99">
        <v>4</v>
      </c>
      <c r="M731" s="112">
        <f>2*G731*L731/1000</f>
        <v>0.08</v>
      </c>
      <c r="N731" s="112">
        <f>(J731+K731-M731)</f>
        <v>0.65</v>
      </c>
      <c r="O731" s="112">
        <f>(H731*I731*N731)</f>
        <v>140.4</v>
      </c>
      <c r="P731" s="140" t="str">
        <f t="shared" si="105"/>
        <v/>
      </c>
      <c r="Q731" s="140">
        <f t="shared" si="106"/>
        <v>140.4</v>
      </c>
      <c r="R731" s="140" t="str">
        <f t="shared" si="107"/>
        <v/>
      </c>
      <c r="S731" s="140" t="str">
        <f t="shared" si="108"/>
        <v/>
      </c>
      <c r="T731" s="140" t="str">
        <f t="shared" si="109"/>
        <v/>
      </c>
      <c r="U731" s="140" t="str">
        <f t="shared" si="110"/>
        <v/>
      </c>
      <c r="V731" s="99"/>
    </row>
    <row r="732" spans="1:22">
      <c r="A732" s="92"/>
      <c r="B732" s="146"/>
      <c r="C732" s="151">
        <v>0.17499999999999999</v>
      </c>
      <c r="D732" s="137"/>
      <c r="E732" s="138">
        <v>0.17499999999999999</v>
      </c>
      <c r="F732" s="139"/>
      <c r="G732" s="98"/>
      <c r="H732" s="99"/>
      <c r="I732" s="99"/>
      <c r="J732" s="100"/>
      <c r="K732" s="99"/>
      <c r="L732" s="99"/>
      <c r="M732" s="99"/>
      <c r="N732" s="99"/>
      <c r="O732" s="112"/>
      <c r="P732" s="140" t="str">
        <f>IF($G732=8,$O732,"")</f>
        <v/>
      </c>
      <c r="Q732" s="140" t="str">
        <f>IF($G732=10,$O732,"")</f>
        <v/>
      </c>
      <c r="R732" s="140" t="str">
        <f>IF($G732=12,$O732,"")</f>
        <v/>
      </c>
      <c r="S732" s="140" t="str">
        <f>IF($G732=16,$O732,"")</f>
        <v/>
      </c>
      <c r="T732" s="140" t="str">
        <f>IF($G732=20,$O732,"")</f>
        <v/>
      </c>
      <c r="U732" s="140" t="str">
        <f>IF($G732=25,$O732,"")</f>
        <v/>
      </c>
      <c r="V732" s="99"/>
    </row>
    <row r="733" spans="1:22">
      <c r="A733" s="92"/>
      <c r="B733" s="146"/>
      <c r="C733" s="136"/>
      <c r="D733" s="137"/>
      <c r="E733" s="138"/>
      <c r="F733" s="139"/>
      <c r="G733" s="98"/>
      <c r="H733" s="99"/>
      <c r="I733" s="99"/>
      <c r="J733" s="100"/>
      <c r="K733" s="99"/>
      <c r="L733" s="99"/>
      <c r="M733" s="99"/>
      <c r="N733" s="99"/>
      <c r="O733" s="101"/>
      <c r="P733" s="140" t="str">
        <f t="shared" si="105"/>
        <v/>
      </c>
      <c r="Q733" s="140" t="str">
        <f t="shared" si="106"/>
        <v/>
      </c>
      <c r="R733" s="140" t="str">
        <f t="shared" si="107"/>
        <v/>
      </c>
      <c r="S733" s="140" t="str">
        <f t="shared" si="108"/>
        <v/>
      </c>
      <c r="T733" s="140" t="str">
        <f t="shared" si="109"/>
        <v/>
      </c>
      <c r="U733" s="140" t="str">
        <f t="shared" si="110"/>
        <v/>
      </c>
      <c r="V733" s="99"/>
    </row>
    <row r="734" spans="1:22">
      <c r="A734" s="92"/>
      <c r="B734" s="146"/>
      <c r="C734" s="136"/>
      <c r="D734" s="109">
        <f>0.3-0.08</f>
        <v>0.21999999999999997</v>
      </c>
      <c r="E734" s="138"/>
      <c r="F734" s="139"/>
      <c r="G734" s="98"/>
      <c r="H734" s="99"/>
      <c r="I734" s="99"/>
      <c r="J734" s="100"/>
      <c r="K734" s="99"/>
      <c r="L734" s="99"/>
      <c r="M734" s="99"/>
      <c r="N734" s="99"/>
      <c r="O734" s="101"/>
      <c r="P734" s="140" t="str">
        <f t="shared" si="105"/>
        <v/>
      </c>
      <c r="Q734" s="140" t="str">
        <f t="shared" si="106"/>
        <v/>
      </c>
      <c r="R734" s="140" t="str">
        <f t="shared" si="107"/>
        <v/>
      </c>
      <c r="S734" s="140" t="str">
        <f t="shared" si="108"/>
        <v/>
      </c>
      <c r="T734" s="140" t="str">
        <f t="shared" si="109"/>
        <v/>
      </c>
      <c r="U734" s="140" t="str">
        <f t="shared" si="110"/>
        <v/>
      </c>
      <c r="V734" s="99"/>
    </row>
    <row r="735" spans="1:22">
      <c r="A735" s="92"/>
      <c r="B735" s="141"/>
      <c r="C735" s="136"/>
      <c r="D735" s="137"/>
      <c r="E735" s="138"/>
      <c r="F735" s="139"/>
      <c r="G735" s="98"/>
      <c r="H735" s="99"/>
      <c r="I735" s="99"/>
      <c r="J735" s="100"/>
      <c r="K735" s="99"/>
      <c r="L735" s="99"/>
      <c r="M735" s="99"/>
      <c r="N735" s="99"/>
      <c r="O735" s="101"/>
      <c r="P735" s="140" t="str">
        <f t="shared" ref="P735:P797" si="129">IF($G735=8,$O735,"")</f>
        <v/>
      </c>
      <c r="Q735" s="140" t="str">
        <f t="shared" ref="Q735:Q797" si="130">IF($G735=10,$O735,"")</f>
        <v/>
      </c>
      <c r="R735" s="140" t="str">
        <f t="shared" ref="R735:R797" si="131">IF($G735=12,$O735,"")</f>
        <v/>
      </c>
      <c r="S735" s="140" t="str">
        <f t="shared" ref="S735:S797" si="132">IF($G735=16,$O735,"")</f>
        <v/>
      </c>
      <c r="T735" s="140" t="str">
        <f t="shared" ref="T735:T797" si="133">IF($G735=20,$O735,"")</f>
        <v/>
      </c>
      <c r="U735" s="140" t="str">
        <f t="shared" ref="U735:U797" si="134">IF($G735=25,$O735,"")</f>
        <v/>
      </c>
      <c r="V735" s="99"/>
    </row>
    <row r="736" spans="1:22">
      <c r="A736" s="92"/>
      <c r="B736" s="429" t="s">
        <v>645</v>
      </c>
      <c r="C736" s="145">
        <v>0.08</v>
      </c>
      <c r="D736" s="137"/>
      <c r="E736" s="138"/>
      <c r="F736" s="139"/>
      <c r="G736" s="98"/>
      <c r="H736" s="99"/>
      <c r="I736" s="99"/>
      <c r="J736" s="100"/>
      <c r="K736" s="99"/>
      <c r="L736" s="99"/>
      <c r="M736" s="99"/>
      <c r="N736" s="99"/>
      <c r="O736" s="101"/>
      <c r="P736" s="140" t="str">
        <f t="shared" si="129"/>
        <v/>
      </c>
      <c r="Q736" s="140" t="str">
        <f t="shared" si="130"/>
        <v/>
      </c>
      <c r="R736" s="140" t="str">
        <f t="shared" si="131"/>
        <v/>
      </c>
      <c r="S736" s="140" t="str">
        <f t="shared" si="132"/>
        <v/>
      </c>
      <c r="T736" s="140" t="str">
        <f t="shared" si="133"/>
        <v/>
      </c>
      <c r="U736" s="140" t="str">
        <f t="shared" si="134"/>
        <v/>
      </c>
      <c r="V736" s="99"/>
    </row>
    <row r="737" spans="1:22">
      <c r="A737" s="92"/>
      <c r="B737" s="146" t="s">
        <v>382</v>
      </c>
      <c r="C737" s="147"/>
      <c r="D737" s="137"/>
      <c r="E737" s="148">
        <f>0.6-0.08</f>
        <v>0.52</v>
      </c>
      <c r="F737" s="139"/>
      <c r="G737" s="98">
        <v>8</v>
      </c>
      <c r="H737" s="99">
        <v>12</v>
      </c>
      <c r="I737" s="111">
        <f>((1.48-2*0.6)/0.15)+1</f>
        <v>2.8666666666666671</v>
      </c>
      <c r="J737" s="149">
        <f>2*(D739+E737)+2*8*G737/1000</f>
        <v>1.6080000000000001</v>
      </c>
      <c r="K737" s="99"/>
      <c r="L737" s="99">
        <v>5</v>
      </c>
      <c r="M737" s="112">
        <f>2*G737*L737/1000</f>
        <v>0.08</v>
      </c>
      <c r="N737" s="112">
        <f>(J737+K737-M737)</f>
        <v>1.528</v>
      </c>
      <c r="O737" s="112">
        <f>(H737*I737*N737)</f>
        <v>52.563200000000009</v>
      </c>
      <c r="P737" s="140">
        <f t="shared" si="129"/>
        <v>52.563200000000009</v>
      </c>
      <c r="Q737" s="140" t="str">
        <f t="shared" si="130"/>
        <v/>
      </c>
      <c r="R737" s="140" t="str">
        <f t="shared" si="131"/>
        <v/>
      </c>
      <c r="S737" s="140" t="str">
        <f t="shared" si="132"/>
        <v/>
      </c>
      <c r="T737" s="140" t="str">
        <f t="shared" si="133"/>
        <v/>
      </c>
      <c r="U737" s="140" t="str">
        <f t="shared" si="134"/>
        <v/>
      </c>
      <c r="V737" s="99"/>
    </row>
    <row r="738" spans="1:22">
      <c r="A738" s="92"/>
      <c r="B738" s="146"/>
      <c r="C738" s="136"/>
      <c r="D738" s="137"/>
      <c r="E738" s="150"/>
      <c r="F738" s="139"/>
      <c r="G738" s="98"/>
      <c r="H738" s="99"/>
      <c r="I738" s="99"/>
      <c r="J738" s="100"/>
      <c r="K738" s="99"/>
      <c r="L738" s="99"/>
      <c r="M738" s="99"/>
      <c r="N738" s="99"/>
      <c r="O738" s="112"/>
      <c r="P738" s="140" t="str">
        <f t="shared" si="129"/>
        <v/>
      </c>
      <c r="Q738" s="140" t="str">
        <f t="shared" si="130"/>
        <v/>
      </c>
      <c r="R738" s="140" t="str">
        <f t="shared" si="131"/>
        <v/>
      </c>
      <c r="S738" s="140" t="str">
        <f t="shared" si="132"/>
        <v/>
      </c>
      <c r="T738" s="140" t="str">
        <f t="shared" si="133"/>
        <v/>
      </c>
      <c r="U738" s="140" t="str">
        <f t="shared" si="134"/>
        <v/>
      </c>
      <c r="V738" s="99"/>
    </row>
    <row r="739" spans="1:22">
      <c r="A739" s="92"/>
      <c r="B739" s="146"/>
      <c r="C739" s="136"/>
      <c r="D739" s="109">
        <f>0.3-0.08</f>
        <v>0.21999999999999997</v>
      </c>
      <c r="E739" s="138"/>
      <c r="F739" s="139"/>
      <c r="G739" s="98"/>
      <c r="H739" s="99"/>
      <c r="I739" s="99"/>
      <c r="J739" s="100"/>
      <c r="K739" s="99"/>
      <c r="L739" s="99"/>
      <c r="M739" s="99"/>
      <c r="N739" s="99"/>
      <c r="O739" s="112"/>
      <c r="P739" s="140" t="str">
        <f t="shared" si="129"/>
        <v/>
      </c>
      <c r="Q739" s="140" t="str">
        <f t="shared" si="130"/>
        <v/>
      </c>
      <c r="R739" s="140" t="str">
        <f t="shared" si="131"/>
        <v/>
      </c>
      <c r="S739" s="140" t="str">
        <f t="shared" si="132"/>
        <v/>
      </c>
      <c r="T739" s="140" t="str">
        <f t="shared" si="133"/>
        <v/>
      </c>
      <c r="U739" s="140" t="str">
        <f t="shared" si="134"/>
        <v/>
      </c>
      <c r="V739" s="99"/>
    </row>
    <row r="740" spans="1:22">
      <c r="A740" s="92"/>
      <c r="B740" s="141"/>
      <c r="C740" s="136"/>
      <c r="D740" s="137"/>
      <c r="E740" s="138"/>
      <c r="F740" s="139"/>
      <c r="G740" s="98"/>
      <c r="H740" s="99"/>
      <c r="I740" s="99"/>
      <c r="J740" s="100"/>
      <c r="K740" s="99"/>
      <c r="L740" s="99"/>
      <c r="M740" s="99"/>
      <c r="N740" s="99"/>
      <c r="O740" s="112"/>
      <c r="P740" s="140" t="str">
        <f t="shared" si="129"/>
        <v/>
      </c>
      <c r="Q740" s="140" t="str">
        <f t="shared" si="130"/>
        <v/>
      </c>
      <c r="R740" s="140" t="str">
        <f t="shared" si="131"/>
        <v/>
      </c>
      <c r="S740" s="140" t="str">
        <f t="shared" si="132"/>
        <v/>
      </c>
      <c r="T740" s="140" t="str">
        <f t="shared" si="133"/>
        <v/>
      </c>
      <c r="U740" s="140" t="str">
        <f t="shared" si="134"/>
        <v/>
      </c>
      <c r="V740" s="99"/>
    </row>
    <row r="741" spans="1:22">
      <c r="A741" s="92"/>
      <c r="B741" s="92"/>
      <c r="C741" s="145">
        <v>0.08</v>
      </c>
      <c r="D741" s="137"/>
      <c r="E741" s="138"/>
      <c r="F741" s="139"/>
      <c r="G741" s="98"/>
      <c r="H741" s="99"/>
      <c r="I741" s="99"/>
      <c r="J741" s="100"/>
      <c r="K741" s="99"/>
      <c r="L741" s="99"/>
      <c r="M741" s="99"/>
      <c r="N741" s="99"/>
      <c r="O741" s="112"/>
      <c r="P741" s="140" t="str">
        <f t="shared" si="129"/>
        <v/>
      </c>
      <c r="Q741" s="140" t="str">
        <f t="shared" si="130"/>
        <v/>
      </c>
      <c r="R741" s="140" t="str">
        <f t="shared" si="131"/>
        <v/>
      </c>
      <c r="S741" s="140" t="str">
        <f t="shared" si="132"/>
        <v/>
      </c>
      <c r="T741" s="140" t="str">
        <f t="shared" si="133"/>
        <v/>
      </c>
      <c r="U741" s="140" t="str">
        <f t="shared" si="134"/>
        <v/>
      </c>
      <c r="V741" s="99"/>
    </row>
    <row r="742" spans="1:22">
      <c r="A742" s="92"/>
      <c r="B742" s="146" t="s">
        <v>383</v>
      </c>
      <c r="C742" s="147"/>
      <c r="D742" s="137"/>
      <c r="E742" s="148">
        <f>((0.6-0.08-0.016)/5)+0.012+0.02</f>
        <v>0.1328</v>
      </c>
      <c r="F742" s="139"/>
      <c r="G742" s="98">
        <v>8</v>
      </c>
      <c r="H742" s="99">
        <v>12</v>
      </c>
      <c r="I742" s="111">
        <f>((1.48-2*0.6)/0.15)+1</f>
        <v>2.8666666666666671</v>
      </c>
      <c r="J742" s="149">
        <f>2*(D744+E742)+2*8*G742/1000</f>
        <v>0.83360000000000001</v>
      </c>
      <c r="K742" s="99"/>
      <c r="L742" s="99">
        <v>5</v>
      </c>
      <c r="M742" s="112">
        <f>2*G742*L742/1000</f>
        <v>0.08</v>
      </c>
      <c r="N742" s="112">
        <f>(J742+K742-M742)</f>
        <v>0.75360000000000005</v>
      </c>
      <c r="O742" s="112">
        <f>(H742*I742*N742)</f>
        <v>25.923840000000006</v>
      </c>
      <c r="P742" s="140">
        <f t="shared" si="129"/>
        <v>25.923840000000006</v>
      </c>
      <c r="Q742" s="140" t="str">
        <f t="shared" si="130"/>
        <v/>
      </c>
      <c r="R742" s="140" t="str">
        <f t="shared" si="131"/>
        <v/>
      </c>
      <c r="S742" s="140" t="str">
        <f t="shared" si="132"/>
        <v/>
      </c>
      <c r="T742" s="140" t="str">
        <f t="shared" si="133"/>
        <v/>
      </c>
      <c r="U742" s="140" t="str">
        <f t="shared" si="134"/>
        <v/>
      </c>
      <c r="V742" s="99"/>
    </row>
    <row r="743" spans="1:22">
      <c r="A743" s="92"/>
      <c r="B743" s="146"/>
      <c r="C743" s="136"/>
      <c r="D743" s="137"/>
      <c r="E743" s="150"/>
      <c r="F743" s="139"/>
      <c r="G743" s="98"/>
      <c r="H743" s="99"/>
      <c r="I743" s="99"/>
      <c r="J743" s="100"/>
      <c r="K743" s="99"/>
      <c r="L743" s="99"/>
      <c r="M743" s="99"/>
      <c r="N743" s="99"/>
      <c r="O743" s="112"/>
      <c r="P743" s="140" t="str">
        <f t="shared" si="129"/>
        <v/>
      </c>
      <c r="Q743" s="140" t="str">
        <f t="shared" si="130"/>
        <v/>
      </c>
      <c r="R743" s="140" t="str">
        <f t="shared" si="131"/>
        <v/>
      </c>
      <c r="S743" s="140" t="str">
        <f t="shared" si="132"/>
        <v/>
      </c>
      <c r="T743" s="140" t="str">
        <f t="shared" si="133"/>
        <v/>
      </c>
      <c r="U743" s="140" t="str">
        <f t="shared" si="134"/>
        <v/>
      </c>
      <c r="V743" s="99"/>
    </row>
    <row r="744" spans="1:22">
      <c r="A744" s="92"/>
      <c r="B744" s="146"/>
      <c r="C744" s="136"/>
      <c r="D744" s="109">
        <f>0.3-0.08</f>
        <v>0.21999999999999997</v>
      </c>
      <c r="E744" s="138"/>
      <c r="F744" s="139"/>
      <c r="G744" s="98"/>
      <c r="H744" s="99"/>
      <c r="I744" s="99"/>
      <c r="J744" s="100"/>
      <c r="K744" s="99"/>
      <c r="L744" s="99"/>
      <c r="M744" s="99"/>
      <c r="N744" s="99"/>
      <c r="O744" s="112"/>
      <c r="P744" s="140" t="str">
        <f t="shared" si="129"/>
        <v/>
      </c>
      <c r="Q744" s="140" t="str">
        <f t="shared" si="130"/>
        <v/>
      </c>
      <c r="R744" s="140" t="str">
        <f t="shared" si="131"/>
        <v/>
      </c>
      <c r="S744" s="140" t="str">
        <f t="shared" si="132"/>
        <v/>
      </c>
      <c r="T744" s="140" t="str">
        <f t="shared" si="133"/>
        <v/>
      </c>
      <c r="U744" s="140" t="str">
        <f t="shared" si="134"/>
        <v/>
      </c>
      <c r="V744" s="99"/>
    </row>
    <row r="745" spans="1:22">
      <c r="A745" s="92"/>
      <c r="B745" s="146"/>
      <c r="C745" s="136"/>
      <c r="D745" s="137"/>
      <c r="E745" s="138"/>
      <c r="F745" s="139"/>
      <c r="G745" s="98"/>
      <c r="H745" s="99"/>
      <c r="I745" s="99"/>
      <c r="J745" s="100"/>
      <c r="K745" s="99"/>
      <c r="L745" s="99"/>
      <c r="M745" s="99"/>
      <c r="N745" s="99"/>
      <c r="O745" s="112"/>
      <c r="P745" s="140" t="str">
        <f t="shared" si="129"/>
        <v/>
      </c>
      <c r="Q745" s="140" t="str">
        <f t="shared" si="130"/>
        <v/>
      </c>
      <c r="R745" s="140" t="str">
        <f t="shared" si="131"/>
        <v/>
      </c>
      <c r="S745" s="140" t="str">
        <f t="shared" si="132"/>
        <v/>
      </c>
      <c r="T745" s="140" t="str">
        <f t="shared" si="133"/>
        <v/>
      </c>
      <c r="U745" s="140" t="str">
        <f t="shared" si="134"/>
        <v/>
      </c>
      <c r="V745" s="99"/>
    </row>
    <row r="746" spans="1:22">
      <c r="A746" s="92"/>
      <c r="B746" s="146" t="s">
        <v>384</v>
      </c>
      <c r="C746" s="136"/>
      <c r="D746" s="142"/>
      <c r="E746" s="138"/>
      <c r="F746" s="139"/>
      <c r="G746" s="98">
        <v>8</v>
      </c>
      <c r="H746" s="99">
        <v>12</v>
      </c>
      <c r="I746" s="111">
        <f>((1.48-2*0.6)/0.15)+1</f>
        <v>2.8666666666666671</v>
      </c>
      <c r="J746" s="149">
        <f>C747+D749+E747+2*8*G746/1000</f>
        <v>0.69799999999999995</v>
      </c>
      <c r="K746" s="99"/>
      <c r="L746" s="99">
        <v>4</v>
      </c>
      <c r="M746" s="112">
        <f>2*G746*L746/1000</f>
        <v>6.4000000000000001E-2</v>
      </c>
      <c r="N746" s="112">
        <f>(J746+K746-M746)</f>
        <v>0.6339999999999999</v>
      </c>
      <c r="O746" s="112">
        <f>(H746*I746*N746)</f>
        <v>21.8096</v>
      </c>
      <c r="P746" s="140">
        <f t="shared" si="129"/>
        <v>21.8096</v>
      </c>
      <c r="Q746" s="140" t="str">
        <f t="shared" si="130"/>
        <v/>
      </c>
      <c r="R746" s="140" t="str">
        <f t="shared" si="131"/>
        <v/>
      </c>
      <c r="S746" s="140" t="str">
        <f t="shared" si="132"/>
        <v/>
      </c>
      <c r="T746" s="140" t="str">
        <f t="shared" si="133"/>
        <v/>
      </c>
      <c r="U746" s="140" t="str">
        <f t="shared" si="134"/>
        <v/>
      </c>
      <c r="V746" s="99"/>
    </row>
    <row r="747" spans="1:22">
      <c r="A747" s="92"/>
      <c r="B747" s="146"/>
      <c r="C747" s="151">
        <v>0.17499999999999999</v>
      </c>
      <c r="D747" s="137"/>
      <c r="E747" s="138">
        <v>0.17499999999999999</v>
      </c>
      <c r="F747" s="139"/>
      <c r="G747" s="98"/>
      <c r="H747" s="99"/>
      <c r="I747" s="99"/>
      <c r="J747" s="100"/>
      <c r="K747" s="99"/>
      <c r="L747" s="99"/>
      <c r="M747" s="99"/>
      <c r="N747" s="99"/>
      <c r="O747" s="112"/>
      <c r="P747" s="140" t="str">
        <f>IF($G747=8,$O747,"")</f>
        <v/>
      </c>
      <c r="Q747" s="140" t="str">
        <f>IF($G747=10,$O747,"")</f>
        <v/>
      </c>
      <c r="R747" s="140" t="str">
        <f>IF($G747=12,$O747,"")</f>
        <v/>
      </c>
      <c r="S747" s="140" t="str">
        <f>IF($G747=16,$O747,"")</f>
        <v/>
      </c>
      <c r="T747" s="140" t="str">
        <f>IF($G747=20,$O747,"")</f>
        <v/>
      </c>
      <c r="U747" s="140" t="str">
        <f>IF($G747=25,$O747,"")</f>
        <v/>
      </c>
      <c r="V747" s="99"/>
    </row>
    <row r="748" spans="1:22">
      <c r="A748" s="92"/>
      <c r="B748" s="146"/>
      <c r="C748" s="136"/>
      <c r="D748" s="137"/>
      <c r="E748" s="138"/>
      <c r="F748" s="139"/>
      <c r="G748" s="98"/>
      <c r="H748" s="99"/>
      <c r="I748" s="99"/>
      <c r="J748" s="100"/>
      <c r="K748" s="99"/>
      <c r="L748" s="99"/>
      <c r="M748" s="99"/>
      <c r="N748" s="99"/>
      <c r="O748" s="112"/>
      <c r="P748" s="140" t="str">
        <f t="shared" si="129"/>
        <v/>
      </c>
      <c r="Q748" s="140" t="str">
        <f t="shared" si="130"/>
        <v/>
      </c>
      <c r="R748" s="140" t="str">
        <f t="shared" si="131"/>
        <v/>
      </c>
      <c r="S748" s="140" t="str">
        <f t="shared" si="132"/>
        <v/>
      </c>
      <c r="T748" s="140" t="str">
        <f t="shared" si="133"/>
        <v/>
      </c>
      <c r="U748" s="140" t="str">
        <f t="shared" si="134"/>
        <v/>
      </c>
      <c r="V748" s="99"/>
    </row>
    <row r="749" spans="1:22">
      <c r="A749" s="92"/>
      <c r="B749" s="146"/>
      <c r="C749" s="136"/>
      <c r="D749" s="109">
        <f>0.3-0.08</f>
        <v>0.21999999999999997</v>
      </c>
      <c r="E749" s="138"/>
      <c r="F749" s="139"/>
      <c r="G749" s="98"/>
      <c r="H749" s="99"/>
      <c r="I749" s="99"/>
      <c r="J749" s="100"/>
      <c r="K749" s="99"/>
      <c r="L749" s="99"/>
      <c r="M749" s="99"/>
      <c r="N749" s="99"/>
      <c r="O749" s="112"/>
      <c r="P749" s="140" t="str">
        <f t="shared" si="129"/>
        <v/>
      </c>
      <c r="Q749" s="140" t="str">
        <f t="shared" si="130"/>
        <v/>
      </c>
      <c r="R749" s="140" t="str">
        <f t="shared" si="131"/>
        <v/>
      </c>
      <c r="S749" s="140" t="str">
        <f t="shared" si="132"/>
        <v/>
      </c>
      <c r="T749" s="140" t="str">
        <f t="shared" si="133"/>
        <v/>
      </c>
      <c r="U749" s="140" t="str">
        <f t="shared" si="134"/>
        <v/>
      </c>
      <c r="V749" s="99"/>
    </row>
    <row r="750" spans="1:22">
      <c r="A750" s="92"/>
      <c r="B750" s="146"/>
      <c r="C750" s="136"/>
      <c r="D750" s="137"/>
      <c r="E750" s="138"/>
      <c r="F750" s="139"/>
      <c r="G750" s="98"/>
      <c r="H750" s="99"/>
      <c r="I750" s="99"/>
      <c r="J750" s="100"/>
      <c r="K750" s="99"/>
      <c r="L750" s="99"/>
      <c r="M750" s="99"/>
      <c r="N750" s="99"/>
      <c r="O750" s="112"/>
      <c r="P750" s="140" t="str">
        <f t="shared" si="129"/>
        <v/>
      </c>
      <c r="Q750" s="140" t="str">
        <f t="shared" si="130"/>
        <v/>
      </c>
      <c r="R750" s="140" t="str">
        <f t="shared" si="131"/>
        <v/>
      </c>
      <c r="S750" s="140" t="str">
        <f t="shared" si="132"/>
        <v/>
      </c>
      <c r="T750" s="140" t="str">
        <f t="shared" si="133"/>
        <v/>
      </c>
      <c r="U750" s="140" t="str">
        <f t="shared" si="134"/>
        <v/>
      </c>
      <c r="V750" s="99"/>
    </row>
    <row r="751" spans="1:22">
      <c r="A751" s="92"/>
      <c r="B751" s="146" t="s">
        <v>385</v>
      </c>
      <c r="C751" s="136"/>
      <c r="D751" s="142"/>
      <c r="E751" s="138"/>
      <c r="F751" s="139"/>
      <c r="G751" s="98">
        <v>8</v>
      </c>
      <c r="H751" s="99">
        <v>12</v>
      </c>
      <c r="I751" s="111">
        <f>((1.48-2*0.6)/0.15)+1</f>
        <v>2.8666666666666671</v>
      </c>
      <c r="J751" s="149">
        <f>C752+D754+E752+2*8*G751/1000</f>
        <v>0.69799999999999995</v>
      </c>
      <c r="K751" s="99"/>
      <c r="L751" s="99">
        <v>4</v>
      </c>
      <c r="M751" s="112">
        <f>2*G751*L751/1000</f>
        <v>6.4000000000000001E-2</v>
      </c>
      <c r="N751" s="112">
        <f>(J751+K751-M751)</f>
        <v>0.6339999999999999</v>
      </c>
      <c r="O751" s="112">
        <f>(H751*I751*N751)</f>
        <v>21.8096</v>
      </c>
      <c r="P751" s="140">
        <f t="shared" si="129"/>
        <v>21.8096</v>
      </c>
      <c r="Q751" s="140" t="str">
        <f t="shared" si="130"/>
        <v/>
      </c>
      <c r="R751" s="140" t="str">
        <f t="shared" si="131"/>
        <v/>
      </c>
      <c r="S751" s="140" t="str">
        <f t="shared" si="132"/>
        <v/>
      </c>
      <c r="T751" s="140" t="str">
        <f t="shared" si="133"/>
        <v/>
      </c>
      <c r="U751" s="140" t="str">
        <f t="shared" si="134"/>
        <v/>
      </c>
      <c r="V751" s="99"/>
    </row>
    <row r="752" spans="1:22">
      <c r="A752" s="92"/>
      <c r="B752" s="146"/>
      <c r="C752" s="151">
        <v>0.17499999999999999</v>
      </c>
      <c r="D752" s="137"/>
      <c r="E752" s="138">
        <v>0.17499999999999999</v>
      </c>
      <c r="F752" s="139"/>
      <c r="G752" s="98"/>
      <c r="H752" s="99"/>
      <c r="I752" s="99"/>
      <c r="J752" s="100"/>
      <c r="K752" s="99"/>
      <c r="L752" s="99"/>
      <c r="M752" s="99"/>
      <c r="N752" s="99"/>
      <c r="O752" s="112"/>
      <c r="P752" s="140" t="str">
        <f>IF($G752=8,$O752,"")</f>
        <v/>
      </c>
      <c r="Q752" s="140" t="str">
        <f>IF($G752=10,$O752,"")</f>
        <v/>
      </c>
      <c r="R752" s="140" t="str">
        <f>IF($G752=12,$O752,"")</f>
        <v/>
      </c>
      <c r="S752" s="140" t="str">
        <f>IF($G752=16,$O752,"")</f>
        <v/>
      </c>
      <c r="T752" s="140" t="str">
        <f>IF($G752=20,$O752,"")</f>
        <v/>
      </c>
      <c r="U752" s="140" t="str">
        <f>IF($G752=25,$O752,"")</f>
        <v/>
      </c>
      <c r="V752" s="99"/>
    </row>
    <row r="753" spans="1:22">
      <c r="A753" s="92"/>
      <c r="B753" s="146"/>
      <c r="C753" s="136"/>
      <c r="D753" s="137"/>
      <c r="E753" s="138"/>
      <c r="F753" s="139"/>
      <c r="G753" s="98"/>
      <c r="H753" s="99"/>
      <c r="I753" s="99"/>
      <c r="J753" s="100"/>
      <c r="K753" s="99"/>
      <c r="L753" s="99"/>
      <c r="M753" s="99"/>
      <c r="N753" s="99"/>
      <c r="O753" s="101"/>
      <c r="P753" s="140" t="str">
        <f t="shared" si="129"/>
        <v/>
      </c>
      <c r="Q753" s="140" t="str">
        <f t="shared" si="130"/>
        <v/>
      </c>
      <c r="R753" s="140" t="str">
        <f t="shared" si="131"/>
        <v/>
      </c>
      <c r="S753" s="140" t="str">
        <f t="shared" si="132"/>
        <v/>
      </c>
      <c r="T753" s="140" t="str">
        <f t="shared" si="133"/>
        <v/>
      </c>
      <c r="U753" s="140" t="str">
        <f t="shared" si="134"/>
        <v/>
      </c>
      <c r="V753" s="99"/>
    </row>
    <row r="754" spans="1:22">
      <c r="A754" s="92"/>
      <c r="B754" s="146"/>
      <c r="C754" s="136"/>
      <c r="D754" s="109">
        <f>0.3-0.08</f>
        <v>0.21999999999999997</v>
      </c>
      <c r="E754" s="138"/>
      <c r="F754" s="139"/>
      <c r="G754" s="98"/>
      <c r="H754" s="99"/>
      <c r="I754" s="99"/>
      <c r="J754" s="100"/>
      <c r="K754" s="99"/>
      <c r="L754" s="99"/>
      <c r="M754" s="99"/>
      <c r="N754" s="99"/>
      <c r="O754" s="101"/>
      <c r="P754" s="140" t="str">
        <f t="shared" si="129"/>
        <v/>
      </c>
      <c r="Q754" s="140" t="str">
        <f t="shared" si="130"/>
        <v/>
      </c>
      <c r="R754" s="140" t="str">
        <f t="shared" si="131"/>
        <v/>
      </c>
      <c r="S754" s="140" t="str">
        <f t="shared" si="132"/>
        <v/>
      </c>
      <c r="T754" s="140" t="str">
        <f t="shared" si="133"/>
        <v/>
      </c>
      <c r="U754" s="140" t="str">
        <f t="shared" si="134"/>
        <v/>
      </c>
      <c r="V754" s="99"/>
    </row>
    <row r="755" spans="1:22">
      <c r="A755" s="92"/>
      <c r="B755" s="141"/>
      <c r="C755" s="136"/>
      <c r="D755" s="137"/>
      <c r="E755" s="138"/>
      <c r="F755" s="139"/>
      <c r="G755" s="98"/>
      <c r="H755" s="99"/>
      <c r="I755" s="99"/>
      <c r="J755" s="100"/>
      <c r="K755" s="99"/>
      <c r="L755" s="99"/>
      <c r="M755" s="99"/>
      <c r="N755" s="99"/>
      <c r="O755" s="101"/>
      <c r="P755" s="140" t="str">
        <f t="shared" si="129"/>
        <v/>
      </c>
      <c r="Q755" s="140" t="str">
        <f t="shared" si="130"/>
        <v/>
      </c>
      <c r="R755" s="140" t="str">
        <f t="shared" si="131"/>
        <v/>
      </c>
      <c r="S755" s="140" t="str">
        <f t="shared" si="132"/>
        <v/>
      </c>
      <c r="T755" s="140" t="str">
        <f t="shared" si="133"/>
        <v/>
      </c>
      <c r="U755" s="140" t="str">
        <f t="shared" si="134"/>
        <v/>
      </c>
      <c r="V755" s="99"/>
    </row>
    <row r="756" spans="1:22">
      <c r="A756" s="92">
        <v>2</v>
      </c>
      <c r="B756" s="92" t="s">
        <v>386</v>
      </c>
      <c r="C756" s="136"/>
      <c r="D756" s="137"/>
      <c r="E756" s="138"/>
      <c r="F756" s="139"/>
      <c r="G756" s="98"/>
      <c r="H756" s="99"/>
      <c r="I756" s="99"/>
      <c r="J756" s="109"/>
      <c r="K756" s="112"/>
      <c r="L756" s="112"/>
      <c r="M756" s="99"/>
      <c r="N756" s="112"/>
      <c r="O756" s="112"/>
      <c r="P756" s="140" t="str">
        <f>IF($G756=8,$O756,"")</f>
        <v/>
      </c>
      <c r="Q756" s="140" t="str">
        <f>IF($G756=10,$O756,"")</f>
        <v/>
      </c>
      <c r="R756" s="140" t="str">
        <f>IF($G756=12,$O756,"")</f>
        <v/>
      </c>
      <c r="S756" s="140" t="str">
        <f>IF($G756=16,$O756,"")</f>
        <v/>
      </c>
      <c r="T756" s="140" t="str">
        <f>IF($G756=20,$O756,"")</f>
        <v/>
      </c>
      <c r="U756" s="140" t="str">
        <f>IF($G756=25,$O756,"")</f>
        <v/>
      </c>
      <c r="V756" s="99"/>
    </row>
    <row r="757" spans="1:22">
      <c r="A757" s="92"/>
      <c r="B757" s="141" t="s">
        <v>378</v>
      </c>
      <c r="C757" s="136"/>
      <c r="D757" s="142">
        <v>1.68</v>
      </c>
      <c r="E757" s="138"/>
      <c r="F757" s="139"/>
      <c r="G757" s="98">
        <v>20</v>
      </c>
      <c r="H757" s="99">
        <v>10</v>
      </c>
      <c r="I757" s="99">
        <v>4</v>
      </c>
      <c r="J757" s="109">
        <f>D757</f>
        <v>1.68</v>
      </c>
      <c r="K757" s="110" t="str">
        <f>IF(N757&lt;12,"0",0.049*G757)</f>
        <v>0</v>
      </c>
      <c r="L757" s="111">
        <v>0</v>
      </c>
      <c r="M757" s="99">
        <f>2*G757*L757/1000</f>
        <v>0</v>
      </c>
      <c r="N757" s="112">
        <f>J757+E759-M757</f>
        <v>1.68</v>
      </c>
      <c r="O757" s="112">
        <f>H757*I757*N757</f>
        <v>67.2</v>
      </c>
      <c r="P757" s="140" t="str">
        <f t="shared" si="129"/>
        <v/>
      </c>
      <c r="Q757" s="140" t="str">
        <f t="shared" si="130"/>
        <v/>
      </c>
      <c r="R757" s="140" t="str">
        <f t="shared" si="131"/>
        <v/>
      </c>
      <c r="S757" s="140" t="str">
        <f t="shared" si="132"/>
        <v/>
      </c>
      <c r="T757" s="140">
        <f t="shared" si="133"/>
        <v>67.2</v>
      </c>
      <c r="U757" s="140" t="str">
        <f t="shared" si="134"/>
        <v/>
      </c>
      <c r="V757" s="99"/>
    </row>
    <row r="758" spans="1:22">
      <c r="A758" s="92"/>
      <c r="B758" s="141" t="s">
        <v>379</v>
      </c>
      <c r="C758" s="136"/>
      <c r="D758" s="137"/>
      <c r="E758" s="138"/>
      <c r="F758" s="139"/>
      <c r="G758" s="98">
        <v>20</v>
      </c>
      <c r="H758" s="99">
        <v>10</v>
      </c>
      <c r="I758" s="99">
        <v>2</v>
      </c>
      <c r="J758" s="109">
        <f>D757</f>
        <v>1.68</v>
      </c>
      <c r="K758" s="110" t="str">
        <f t="shared" ref="K758:K760" si="135">IF(N758&lt;12,"0",0.049*G758)</f>
        <v>0</v>
      </c>
      <c r="L758" s="111">
        <v>0</v>
      </c>
      <c r="M758" s="99">
        <f t="shared" ref="M758:M760" si="136">2*G758*L758/1000</f>
        <v>0</v>
      </c>
      <c r="N758" s="112">
        <f>J758+E759-M758</f>
        <v>1.68</v>
      </c>
      <c r="O758" s="112">
        <f>H758*I758*N758</f>
        <v>33.6</v>
      </c>
      <c r="P758" s="140" t="str">
        <f t="shared" si="129"/>
        <v/>
      </c>
      <c r="Q758" s="140" t="str">
        <f t="shared" si="130"/>
        <v/>
      </c>
      <c r="R758" s="140" t="str">
        <f t="shared" si="131"/>
        <v/>
      </c>
      <c r="S758" s="140" t="str">
        <f t="shared" si="132"/>
        <v/>
      </c>
      <c r="T758" s="140">
        <f t="shared" si="133"/>
        <v>33.6</v>
      </c>
      <c r="U758" s="140" t="str">
        <f t="shared" si="134"/>
        <v/>
      </c>
      <c r="V758" s="99"/>
    </row>
    <row r="759" spans="1:22">
      <c r="A759" s="92"/>
      <c r="B759" s="141" t="s">
        <v>380</v>
      </c>
      <c r="C759" s="143"/>
      <c r="D759" s="142"/>
      <c r="E759" s="144"/>
      <c r="F759" s="139"/>
      <c r="G759" s="98">
        <v>16</v>
      </c>
      <c r="H759" s="99">
        <v>10</v>
      </c>
      <c r="I759" s="99">
        <v>4</v>
      </c>
      <c r="J759" s="109">
        <f>D757</f>
        <v>1.68</v>
      </c>
      <c r="K759" s="110" t="str">
        <f t="shared" si="135"/>
        <v>0</v>
      </c>
      <c r="L759" s="111">
        <v>0</v>
      </c>
      <c r="M759" s="99">
        <f t="shared" si="136"/>
        <v>0</v>
      </c>
      <c r="N759" s="112">
        <f>J759+E759-M759</f>
        <v>1.68</v>
      </c>
      <c r="O759" s="112">
        <f>H759*I759*N759</f>
        <v>67.2</v>
      </c>
      <c r="P759" s="140" t="str">
        <f t="shared" si="129"/>
        <v/>
      </c>
      <c r="Q759" s="140" t="str">
        <f t="shared" si="130"/>
        <v/>
      </c>
      <c r="R759" s="140" t="str">
        <f t="shared" si="131"/>
        <v/>
      </c>
      <c r="S759" s="140">
        <f t="shared" si="132"/>
        <v>67.2</v>
      </c>
      <c r="T759" s="140" t="str">
        <f t="shared" si="133"/>
        <v/>
      </c>
      <c r="U759" s="140" t="str">
        <f t="shared" si="134"/>
        <v/>
      </c>
      <c r="V759" s="99"/>
    </row>
    <row r="760" spans="1:22">
      <c r="A760" s="92"/>
      <c r="B760" s="141" t="s">
        <v>381</v>
      </c>
      <c r="C760" s="136"/>
      <c r="D760" s="137"/>
      <c r="E760" s="138"/>
      <c r="F760" s="139"/>
      <c r="G760" s="98">
        <v>16</v>
      </c>
      <c r="H760" s="99">
        <v>10</v>
      </c>
      <c r="I760" s="99">
        <v>4</v>
      </c>
      <c r="J760" s="109">
        <f>D757</f>
        <v>1.68</v>
      </c>
      <c r="K760" s="110" t="str">
        <f t="shared" si="135"/>
        <v>0</v>
      </c>
      <c r="L760" s="111">
        <v>0</v>
      </c>
      <c r="M760" s="99">
        <f t="shared" si="136"/>
        <v>0</v>
      </c>
      <c r="N760" s="112">
        <f>J760+E759-M760</f>
        <v>1.68</v>
      </c>
      <c r="O760" s="112">
        <f>H760*I760*N760</f>
        <v>67.2</v>
      </c>
      <c r="P760" s="140" t="str">
        <f t="shared" si="129"/>
        <v/>
      </c>
      <c r="Q760" s="140" t="str">
        <f t="shared" si="130"/>
        <v/>
      </c>
      <c r="R760" s="140" t="str">
        <f t="shared" si="131"/>
        <v/>
      </c>
      <c r="S760" s="140">
        <f t="shared" si="132"/>
        <v>67.2</v>
      </c>
      <c r="T760" s="140" t="str">
        <f t="shared" si="133"/>
        <v/>
      </c>
      <c r="U760" s="140" t="str">
        <f t="shared" si="134"/>
        <v/>
      </c>
      <c r="V760" s="99"/>
    </row>
    <row r="761" spans="1:22">
      <c r="A761" s="92"/>
      <c r="B761" s="141"/>
      <c r="C761" s="136"/>
      <c r="D761" s="137"/>
      <c r="E761" s="138"/>
      <c r="F761" s="139"/>
      <c r="G761" s="98"/>
      <c r="H761" s="99"/>
      <c r="I761" s="99"/>
      <c r="J761" s="100"/>
      <c r="K761" s="99"/>
      <c r="L761" s="99"/>
      <c r="M761" s="99"/>
      <c r="N761" s="99"/>
      <c r="O761" s="101"/>
      <c r="P761" s="140" t="str">
        <f t="shared" si="129"/>
        <v/>
      </c>
      <c r="Q761" s="140" t="str">
        <f t="shared" si="130"/>
        <v/>
      </c>
      <c r="R761" s="140" t="str">
        <f t="shared" si="131"/>
        <v/>
      </c>
      <c r="S761" s="140" t="str">
        <f t="shared" si="132"/>
        <v/>
      </c>
      <c r="T761" s="140" t="str">
        <f t="shared" si="133"/>
        <v/>
      </c>
      <c r="U761" s="140" t="str">
        <f t="shared" si="134"/>
        <v/>
      </c>
      <c r="V761" s="99"/>
    </row>
    <row r="762" spans="1:22">
      <c r="A762" s="92"/>
      <c r="B762" s="429" t="s">
        <v>644</v>
      </c>
      <c r="C762" s="145">
        <v>0.08</v>
      </c>
      <c r="D762" s="137"/>
      <c r="E762" s="138"/>
      <c r="F762" s="139"/>
      <c r="G762" s="98"/>
      <c r="H762" s="99"/>
      <c r="I762" s="99"/>
      <c r="J762" s="100"/>
      <c r="K762" s="99"/>
      <c r="L762" s="99"/>
      <c r="M762" s="99"/>
      <c r="N762" s="99"/>
      <c r="O762" s="101"/>
      <c r="P762" s="140" t="str">
        <f t="shared" si="129"/>
        <v/>
      </c>
      <c r="Q762" s="140" t="str">
        <f t="shared" si="130"/>
        <v/>
      </c>
      <c r="R762" s="140" t="str">
        <f t="shared" si="131"/>
        <v/>
      </c>
      <c r="S762" s="140" t="str">
        <f t="shared" si="132"/>
        <v/>
      </c>
      <c r="T762" s="140" t="str">
        <f t="shared" si="133"/>
        <v/>
      </c>
      <c r="U762" s="140" t="str">
        <f t="shared" si="134"/>
        <v/>
      </c>
      <c r="V762" s="99"/>
    </row>
    <row r="763" spans="1:22">
      <c r="A763" s="92"/>
      <c r="B763" s="146" t="s">
        <v>382</v>
      </c>
      <c r="C763" s="147"/>
      <c r="D763" s="137"/>
      <c r="E763" s="148">
        <f>0.6-0.08</f>
        <v>0.52</v>
      </c>
      <c r="F763" s="139"/>
      <c r="G763" s="98">
        <v>10</v>
      </c>
      <c r="H763" s="99">
        <v>10</v>
      </c>
      <c r="I763" s="99">
        <f>((2*0.6)/0.075)+2</f>
        <v>18</v>
      </c>
      <c r="J763" s="149">
        <f>2*(D765+E763)+2*8*G763/1000</f>
        <v>1.64</v>
      </c>
      <c r="K763" s="99"/>
      <c r="L763" s="99">
        <v>5</v>
      </c>
      <c r="M763" s="112">
        <f>2*G763*L763/1000</f>
        <v>0.1</v>
      </c>
      <c r="N763" s="112">
        <f>(J763+K763-M763)</f>
        <v>1.5399999999999998</v>
      </c>
      <c r="O763" s="112">
        <f>(H763*I763*N763)</f>
        <v>277.2</v>
      </c>
      <c r="P763" s="140" t="str">
        <f t="shared" si="129"/>
        <v/>
      </c>
      <c r="Q763" s="140">
        <f t="shared" si="130"/>
        <v>277.2</v>
      </c>
      <c r="R763" s="140" t="str">
        <f t="shared" si="131"/>
        <v/>
      </c>
      <c r="S763" s="140" t="str">
        <f t="shared" si="132"/>
        <v/>
      </c>
      <c r="T763" s="140" t="str">
        <f t="shared" si="133"/>
        <v/>
      </c>
      <c r="U763" s="140" t="str">
        <f t="shared" si="134"/>
        <v/>
      </c>
      <c r="V763" s="99"/>
    </row>
    <row r="764" spans="1:22">
      <c r="A764" s="92"/>
      <c r="B764" s="146"/>
      <c r="C764" s="136"/>
      <c r="D764" s="137"/>
      <c r="E764" s="150"/>
      <c r="F764" s="139"/>
      <c r="G764" s="98"/>
      <c r="H764" s="99"/>
      <c r="I764" s="99"/>
      <c r="J764" s="100"/>
      <c r="K764" s="99"/>
      <c r="L764" s="99"/>
      <c r="M764" s="99"/>
      <c r="N764" s="99"/>
      <c r="O764" s="112"/>
      <c r="P764" s="140" t="str">
        <f t="shared" si="129"/>
        <v/>
      </c>
      <c r="Q764" s="140" t="str">
        <f t="shared" si="130"/>
        <v/>
      </c>
      <c r="R764" s="140" t="str">
        <f t="shared" si="131"/>
        <v/>
      </c>
      <c r="S764" s="140" t="str">
        <f t="shared" si="132"/>
        <v/>
      </c>
      <c r="T764" s="140" t="str">
        <f t="shared" si="133"/>
        <v/>
      </c>
      <c r="U764" s="140" t="str">
        <f t="shared" si="134"/>
        <v/>
      </c>
      <c r="V764" s="99"/>
    </row>
    <row r="765" spans="1:22">
      <c r="A765" s="92"/>
      <c r="B765" s="146"/>
      <c r="C765" s="136"/>
      <c r="D765" s="109">
        <f>0.3-0.08</f>
        <v>0.21999999999999997</v>
      </c>
      <c r="E765" s="138"/>
      <c r="F765" s="139"/>
      <c r="G765" s="98"/>
      <c r="H765" s="99"/>
      <c r="I765" s="99"/>
      <c r="J765" s="100"/>
      <c r="K765" s="99"/>
      <c r="L765" s="99"/>
      <c r="M765" s="99"/>
      <c r="N765" s="99"/>
      <c r="O765" s="112"/>
      <c r="P765" s="140" t="str">
        <f t="shared" si="129"/>
        <v/>
      </c>
      <c r="Q765" s="140" t="str">
        <f t="shared" si="130"/>
        <v/>
      </c>
      <c r="R765" s="140" t="str">
        <f t="shared" si="131"/>
        <v/>
      </c>
      <c r="S765" s="140" t="str">
        <f t="shared" si="132"/>
        <v/>
      </c>
      <c r="T765" s="140" t="str">
        <f t="shared" si="133"/>
        <v/>
      </c>
      <c r="U765" s="140" t="str">
        <f t="shared" si="134"/>
        <v/>
      </c>
      <c r="V765" s="99"/>
    </row>
    <row r="766" spans="1:22">
      <c r="A766" s="92"/>
      <c r="B766" s="141"/>
      <c r="C766" s="136"/>
      <c r="D766" s="137"/>
      <c r="E766" s="138"/>
      <c r="F766" s="139"/>
      <c r="G766" s="98"/>
      <c r="H766" s="99"/>
      <c r="I766" s="99"/>
      <c r="J766" s="100"/>
      <c r="K766" s="99"/>
      <c r="L766" s="99"/>
      <c r="M766" s="99"/>
      <c r="N766" s="99"/>
      <c r="O766" s="112"/>
      <c r="P766" s="140" t="str">
        <f t="shared" si="129"/>
        <v/>
      </c>
      <c r="Q766" s="140" t="str">
        <f t="shared" si="130"/>
        <v/>
      </c>
      <c r="R766" s="140" t="str">
        <f t="shared" si="131"/>
        <v/>
      </c>
      <c r="S766" s="140" t="str">
        <f t="shared" si="132"/>
        <v/>
      </c>
      <c r="T766" s="140" t="str">
        <f t="shared" si="133"/>
        <v/>
      </c>
      <c r="U766" s="140" t="str">
        <f t="shared" si="134"/>
        <v/>
      </c>
      <c r="V766" s="99"/>
    </row>
    <row r="767" spans="1:22">
      <c r="A767" s="92"/>
      <c r="B767" s="92"/>
      <c r="C767" s="145">
        <v>0.08</v>
      </c>
      <c r="D767" s="137"/>
      <c r="E767" s="138"/>
      <c r="F767" s="139"/>
      <c r="G767" s="98"/>
      <c r="H767" s="99"/>
      <c r="I767" s="99"/>
      <c r="J767" s="100"/>
      <c r="K767" s="99"/>
      <c r="L767" s="99"/>
      <c r="M767" s="99"/>
      <c r="N767" s="99"/>
      <c r="O767" s="112"/>
      <c r="P767" s="140" t="str">
        <f t="shared" si="129"/>
        <v/>
      </c>
      <c r="Q767" s="140" t="str">
        <f t="shared" si="130"/>
        <v/>
      </c>
      <c r="R767" s="140" t="str">
        <f t="shared" si="131"/>
        <v/>
      </c>
      <c r="S767" s="140" t="str">
        <f t="shared" si="132"/>
        <v/>
      </c>
      <c r="T767" s="140" t="str">
        <f t="shared" si="133"/>
        <v/>
      </c>
      <c r="U767" s="140" t="str">
        <f t="shared" si="134"/>
        <v/>
      </c>
      <c r="V767" s="99"/>
    </row>
    <row r="768" spans="1:22">
      <c r="A768" s="92"/>
      <c r="B768" s="146" t="s">
        <v>383</v>
      </c>
      <c r="C768" s="147"/>
      <c r="D768" s="137"/>
      <c r="E768" s="148">
        <f>((0.6-0.08-0.016)/5)+0.012+0.02</f>
        <v>0.1328</v>
      </c>
      <c r="F768" s="139"/>
      <c r="G768" s="98">
        <v>10</v>
      </c>
      <c r="H768" s="99">
        <v>10</v>
      </c>
      <c r="I768" s="99">
        <f>((2*0.6)/0.075)+2</f>
        <v>18</v>
      </c>
      <c r="J768" s="149">
        <f>2*(D770+E768)+2*8*G768/1000</f>
        <v>0.86560000000000004</v>
      </c>
      <c r="K768" s="99"/>
      <c r="L768" s="99">
        <v>5</v>
      </c>
      <c r="M768" s="112">
        <f>2*G768*L768/1000</f>
        <v>0.1</v>
      </c>
      <c r="N768" s="112">
        <f>(J768+K768-M768)</f>
        <v>0.76560000000000006</v>
      </c>
      <c r="O768" s="112">
        <f>(H768*I768*N768)</f>
        <v>137.80800000000002</v>
      </c>
      <c r="P768" s="140" t="str">
        <f t="shared" si="129"/>
        <v/>
      </c>
      <c r="Q768" s="140">
        <f t="shared" si="130"/>
        <v>137.80800000000002</v>
      </c>
      <c r="R768" s="140" t="str">
        <f t="shared" si="131"/>
        <v/>
      </c>
      <c r="S768" s="140" t="str">
        <f t="shared" si="132"/>
        <v/>
      </c>
      <c r="T768" s="140" t="str">
        <f t="shared" si="133"/>
        <v/>
      </c>
      <c r="U768" s="140" t="str">
        <f t="shared" si="134"/>
        <v/>
      </c>
      <c r="V768" s="99"/>
    </row>
    <row r="769" spans="1:22">
      <c r="A769" s="92"/>
      <c r="B769" s="146"/>
      <c r="C769" s="136"/>
      <c r="D769" s="137"/>
      <c r="E769" s="150"/>
      <c r="F769" s="139"/>
      <c r="G769" s="98"/>
      <c r="H769" s="99"/>
      <c r="I769" s="99"/>
      <c r="J769" s="100"/>
      <c r="K769" s="99"/>
      <c r="L769" s="99"/>
      <c r="M769" s="99"/>
      <c r="N769" s="99"/>
      <c r="O769" s="112"/>
      <c r="P769" s="140" t="str">
        <f t="shared" si="129"/>
        <v/>
      </c>
      <c r="Q769" s="140" t="str">
        <f t="shared" si="130"/>
        <v/>
      </c>
      <c r="R769" s="140" t="str">
        <f t="shared" si="131"/>
        <v/>
      </c>
      <c r="S769" s="140" t="str">
        <f t="shared" si="132"/>
        <v/>
      </c>
      <c r="T769" s="140" t="str">
        <f t="shared" si="133"/>
        <v/>
      </c>
      <c r="U769" s="140" t="str">
        <f t="shared" si="134"/>
        <v/>
      </c>
      <c r="V769" s="99"/>
    </row>
    <row r="770" spans="1:22">
      <c r="A770" s="92"/>
      <c r="B770" s="146"/>
      <c r="C770" s="136"/>
      <c r="D770" s="109">
        <f>0.3-0.08</f>
        <v>0.21999999999999997</v>
      </c>
      <c r="E770" s="138"/>
      <c r="F770" s="139"/>
      <c r="G770" s="98"/>
      <c r="H770" s="99"/>
      <c r="I770" s="99"/>
      <c r="J770" s="100"/>
      <c r="K770" s="99"/>
      <c r="L770" s="99"/>
      <c r="M770" s="99"/>
      <c r="N770" s="99"/>
      <c r="O770" s="112"/>
      <c r="P770" s="140" t="str">
        <f t="shared" si="129"/>
        <v/>
      </c>
      <c r="Q770" s="140" t="str">
        <f t="shared" si="130"/>
        <v/>
      </c>
      <c r="R770" s="140" t="str">
        <f t="shared" si="131"/>
        <v/>
      </c>
      <c r="S770" s="140" t="str">
        <f t="shared" si="132"/>
        <v/>
      </c>
      <c r="T770" s="140" t="str">
        <f t="shared" si="133"/>
        <v/>
      </c>
      <c r="U770" s="140" t="str">
        <f t="shared" si="134"/>
        <v/>
      </c>
      <c r="V770" s="99"/>
    </row>
    <row r="771" spans="1:22">
      <c r="A771" s="92"/>
      <c r="B771" s="146"/>
      <c r="C771" s="136"/>
      <c r="D771" s="137"/>
      <c r="E771" s="138"/>
      <c r="F771" s="139"/>
      <c r="G771" s="98"/>
      <c r="H771" s="99"/>
      <c r="I771" s="99"/>
      <c r="J771" s="100"/>
      <c r="K771" s="99"/>
      <c r="L771" s="99"/>
      <c r="M771" s="99"/>
      <c r="N771" s="99"/>
      <c r="O771" s="112"/>
      <c r="P771" s="140" t="str">
        <f t="shared" si="129"/>
        <v/>
      </c>
      <c r="Q771" s="140" t="str">
        <f t="shared" si="130"/>
        <v/>
      </c>
      <c r="R771" s="140" t="str">
        <f t="shared" si="131"/>
        <v/>
      </c>
      <c r="S771" s="140" t="str">
        <f t="shared" si="132"/>
        <v/>
      </c>
      <c r="T771" s="140" t="str">
        <f t="shared" si="133"/>
        <v/>
      </c>
      <c r="U771" s="140" t="str">
        <f t="shared" si="134"/>
        <v/>
      </c>
      <c r="V771" s="99"/>
    </row>
    <row r="772" spans="1:22">
      <c r="A772" s="92"/>
      <c r="B772" s="146" t="s">
        <v>384</v>
      </c>
      <c r="C772" s="136"/>
      <c r="D772" s="142"/>
      <c r="E772" s="138"/>
      <c r="F772" s="139"/>
      <c r="G772" s="98">
        <v>10</v>
      </c>
      <c r="H772" s="99">
        <v>10</v>
      </c>
      <c r="I772" s="99">
        <f>((2*0.6)/0.075)+2</f>
        <v>18</v>
      </c>
      <c r="J772" s="149">
        <f>C773+D775+E773+2*8*G772/1000</f>
        <v>0.73</v>
      </c>
      <c r="K772" s="99"/>
      <c r="L772" s="99">
        <v>4</v>
      </c>
      <c r="M772" s="112">
        <f>2*G772*L772/1000</f>
        <v>0.08</v>
      </c>
      <c r="N772" s="112">
        <f>(J772+K772-M772)</f>
        <v>0.65</v>
      </c>
      <c r="O772" s="112">
        <f>(H772*I772*N772)</f>
        <v>117</v>
      </c>
      <c r="P772" s="140" t="str">
        <f t="shared" si="129"/>
        <v/>
      </c>
      <c r="Q772" s="140">
        <f t="shared" si="130"/>
        <v>117</v>
      </c>
      <c r="R772" s="140" t="str">
        <f t="shared" si="131"/>
        <v/>
      </c>
      <c r="S772" s="140" t="str">
        <f t="shared" si="132"/>
        <v/>
      </c>
      <c r="T772" s="140" t="str">
        <f t="shared" si="133"/>
        <v/>
      </c>
      <c r="U772" s="140" t="str">
        <f t="shared" si="134"/>
        <v/>
      </c>
      <c r="V772" s="99"/>
    </row>
    <row r="773" spans="1:22">
      <c r="A773" s="92"/>
      <c r="B773" s="146"/>
      <c r="C773" s="151">
        <v>0.17499999999999999</v>
      </c>
      <c r="D773" s="137"/>
      <c r="E773" s="138">
        <v>0.17499999999999999</v>
      </c>
      <c r="F773" s="139"/>
      <c r="G773" s="98"/>
      <c r="H773" s="99"/>
      <c r="I773" s="99"/>
      <c r="J773" s="100"/>
      <c r="K773" s="99"/>
      <c r="L773" s="99"/>
      <c r="M773" s="99"/>
      <c r="N773" s="99"/>
      <c r="O773" s="112"/>
      <c r="P773" s="140" t="str">
        <f>IF($G773=8,$O773,"")</f>
        <v/>
      </c>
      <c r="Q773" s="140" t="str">
        <f>IF($G773=10,$O773,"")</f>
        <v/>
      </c>
      <c r="R773" s="140" t="str">
        <f>IF($G773=12,$O773,"")</f>
        <v/>
      </c>
      <c r="S773" s="140" t="str">
        <f>IF($G773=16,$O773,"")</f>
        <v/>
      </c>
      <c r="T773" s="140" t="str">
        <f>IF($G773=20,$O773,"")</f>
        <v/>
      </c>
      <c r="U773" s="140" t="str">
        <f>IF($G773=25,$O773,"")</f>
        <v/>
      </c>
      <c r="V773" s="99"/>
    </row>
    <row r="774" spans="1:22">
      <c r="A774" s="92"/>
      <c r="B774" s="146"/>
      <c r="C774" s="136"/>
      <c r="D774" s="137"/>
      <c r="E774" s="138"/>
      <c r="F774" s="139"/>
      <c r="G774" s="98"/>
      <c r="H774" s="99"/>
      <c r="I774" s="99"/>
      <c r="J774" s="100"/>
      <c r="K774" s="99"/>
      <c r="L774" s="99"/>
      <c r="M774" s="99"/>
      <c r="N774" s="99"/>
      <c r="O774" s="112"/>
      <c r="P774" s="140" t="str">
        <f t="shared" si="129"/>
        <v/>
      </c>
      <c r="Q774" s="140" t="str">
        <f t="shared" si="130"/>
        <v/>
      </c>
      <c r="R774" s="140" t="str">
        <f t="shared" si="131"/>
        <v/>
      </c>
      <c r="S774" s="140" t="str">
        <f t="shared" si="132"/>
        <v/>
      </c>
      <c r="T774" s="140" t="str">
        <f t="shared" si="133"/>
        <v/>
      </c>
      <c r="U774" s="140" t="str">
        <f t="shared" si="134"/>
        <v/>
      </c>
      <c r="V774" s="99"/>
    </row>
    <row r="775" spans="1:22">
      <c r="A775" s="92"/>
      <c r="B775" s="146"/>
      <c r="C775" s="136"/>
      <c r="D775" s="109">
        <f>0.3-0.08</f>
        <v>0.21999999999999997</v>
      </c>
      <c r="E775" s="138"/>
      <c r="F775" s="139"/>
      <c r="G775" s="98"/>
      <c r="H775" s="99"/>
      <c r="I775" s="99"/>
      <c r="J775" s="100"/>
      <c r="K775" s="99"/>
      <c r="L775" s="99"/>
      <c r="M775" s="99"/>
      <c r="N775" s="99"/>
      <c r="O775" s="112"/>
      <c r="P775" s="140" t="str">
        <f t="shared" si="129"/>
        <v/>
      </c>
      <c r="Q775" s="140" t="str">
        <f t="shared" si="130"/>
        <v/>
      </c>
      <c r="R775" s="140" t="str">
        <f t="shared" si="131"/>
        <v/>
      </c>
      <c r="S775" s="140" t="str">
        <f t="shared" si="132"/>
        <v/>
      </c>
      <c r="T775" s="140" t="str">
        <f t="shared" si="133"/>
        <v/>
      </c>
      <c r="U775" s="140" t="str">
        <f t="shared" si="134"/>
        <v/>
      </c>
      <c r="V775" s="99"/>
    </row>
    <row r="776" spans="1:22">
      <c r="A776" s="92"/>
      <c r="B776" s="146"/>
      <c r="C776" s="136"/>
      <c r="D776" s="137"/>
      <c r="E776" s="138"/>
      <c r="F776" s="139"/>
      <c r="G776" s="98"/>
      <c r="H776" s="99"/>
      <c r="I776" s="99"/>
      <c r="J776" s="100"/>
      <c r="K776" s="99"/>
      <c r="L776" s="99"/>
      <c r="M776" s="99"/>
      <c r="N776" s="99"/>
      <c r="O776" s="112"/>
      <c r="P776" s="140" t="str">
        <f t="shared" si="129"/>
        <v/>
      </c>
      <c r="Q776" s="140" t="str">
        <f t="shared" si="130"/>
        <v/>
      </c>
      <c r="R776" s="140" t="str">
        <f t="shared" si="131"/>
        <v/>
      </c>
      <c r="S776" s="140" t="str">
        <f t="shared" si="132"/>
        <v/>
      </c>
      <c r="T776" s="140" t="str">
        <f t="shared" si="133"/>
        <v/>
      </c>
      <c r="U776" s="140" t="str">
        <f t="shared" si="134"/>
        <v/>
      </c>
      <c r="V776" s="99"/>
    </row>
    <row r="777" spans="1:22">
      <c r="A777" s="92"/>
      <c r="B777" s="146" t="s">
        <v>385</v>
      </c>
      <c r="C777" s="136"/>
      <c r="D777" s="142"/>
      <c r="E777" s="138"/>
      <c r="F777" s="139"/>
      <c r="G777" s="98">
        <v>10</v>
      </c>
      <c r="H777" s="99">
        <v>10</v>
      </c>
      <c r="I777" s="99">
        <f>((2*0.6)/0.075)+2</f>
        <v>18</v>
      </c>
      <c r="J777" s="149">
        <f>C778+D780+E778+2*8*G777/1000</f>
        <v>0.73</v>
      </c>
      <c r="K777" s="99"/>
      <c r="L777" s="99">
        <v>4</v>
      </c>
      <c r="M777" s="112">
        <f>2*G777*L777/1000</f>
        <v>0.08</v>
      </c>
      <c r="N777" s="112">
        <f>(J777+K777-M777)</f>
        <v>0.65</v>
      </c>
      <c r="O777" s="112">
        <f>(H777*I777*N777)</f>
        <v>117</v>
      </c>
      <c r="P777" s="140" t="str">
        <f t="shared" si="129"/>
        <v/>
      </c>
      <c r="Q777" s="140">
        <f t="shared" si="130"/>
        <v>117</v>
      </c>
      <c r="R777" s="140" t="str">
        <f t="shared" si="131"/>
        <v/>
      </c>
      <c r="S777" s="140" t="str">
        <f t="shared" si="132"/>
        <v/>
      </c>
      <c r="T777" s="140" t="str">
        <f t="shared" si="133"/>
        <v/>
      </c>
      <c r="U777" s="140" t="str">
        <f t="shared" si="134"/>
        <v/>
      </c>
      <c r="V777" s="99"/>
    </row>
    <row r="778" spans="1:22">
      <c r="A778" s="92"/>
      <c r="B778" s="146"/>
      <c r="C778" s="151">
        <v>0.17499999999999999</v>
      </c>
      <c r="D778" s="137"/>
      <c r="E778" s="138">
        <v>0.17499999999999999</v>
      </c>
      <c r="F778" s="139"/>
      <c r="G778" s="98"/>
      <c r="H778" s="99"/>
      <c r="I778" s="99"/>
      <c r="J778" s="100"/>
      <c r="K778" s="99"/>
      <c r="L778" s="99"/>
      <c r="M778" s="99"/>
      <c r="N778" s="99"/>
      <c r="O778" s="112"/>
      <c r="P778" s="140" t="str">
        <f>IF($G778=8,$O778,"")</f>
        <v/>
      </c>
      <c r="Q778" s="140" t="str">
        <f>IF($G778=10,$O778,"")</f>
        <v/>
      </c>
      <c r="R778" s="140" t="str">
        <f>IF($G778=12,$O778,"")</f>
        <v/>
      </c>
      <c r="S778" s="140" t="str">
        <f>IF($G778=16,$O778,"")</f>
        <v/>
      </c>
      <c r="T778" s="140" t="str">
        <f>IF($G778=20,$O778,"")</f>
        <v/>
      </c>
      <c r="U778" s="140" t="str">
        <f>IF($G778=25,$O778,"")</f>
        <v/>
      </c>
      <c r="V778" s="99"/>
    </row>
    <row r="779" spans="1:22">
      <c r="A779" s="92"/>
      <c r="B779" s="146"/>
      <c r="C779" s="136"/>
      <c r="D779" s="137"/>
      <c r="E779" s="138"/>
      <c r="F779" s="139"/>
      <c r="G779" s="98"/>
      <c r="H779" s="99"/>
      <c r="I779" s="99"/>
      <c r="J779" s="100"/>
      <c r="K779" s="99"/>
      <c r="L779" s="99"/>
      <c r="M779" s="99"/>
      <c r="N779" s="99"/>
      <c r="O779" s="101"/>
      <c r="P779" s="140" t="str">
        <f t="shared" si="129"/>
        <v/>
      </c>
      <c r="Q779" s="140" t="str">
        <f t="shared" si="130"/>
        <v/>
      </c>
      <c r="R779" s="140" t="str">
        <f t="shared" si="131"/>
        <v/>
      </c>
      <c r="S779" s="140" t="str">
        <f t="shared" si="132"/>
        <v/>
      </c>
      <c r="T779" s="140" t="str">
        <f t="shared" si="133"/>
        <v/>
      </c>
      <c r="U779" s="140" t="str">
        <f t="shared" si="134"/>
        <v/>
      </c>
      <c r="V779" s="99"/>
    </row>
    <row r="780" spans="1:22">
      <c r="A780" s="92"/>
      <c r="B780" s="146"/>
      <c r="C780" s="136"/>
      <c r="D780" s="109">
        <f>0.3-0.08</f>
        <v>0.21999999999999997</v>
      </c>
      <c r="E780" s="138"/>
      <c r="F780" s="139"/>
      <c r="G780" s="98"/>
      <c r="H780" s="99"/>
      <c r="I780" s="99"/>
      <c r="J780" s="100"/>
      <c r="K780" s="99"/>
      <c r="L780" s="99"/>
      <c r="M780" s="99"/>
      <c r="N780" s="99"/>
      <c r="O780" s="101"/>
      <c r="P780" s="140" t="str">
        <f t="shared" si="129"/>
        <v/>
      </c>
      <c r="Q780" s="140" t="str">
        <f t="shared" si="130"/>
        <v/>
      </c>
      <c r="R780" s="140" t="str">
        <f t="shared" si="131"/>
        <v/>
      </c>
      <c r="S780" s="140" t="str">
        <f t="shared" si="132"/>
        <v/>
      </c>
      <c r="T780" s="140" t="str">
        <f t="shared" si="133"/>
        <v/>
      </c>
      <c r="U780" s="140" t="str">
        <f t="shared" si="134"/>
        <v/>
      </c>
      <c r="V780" s="99"/>
    </row>
    <row r="781" spans="1:22">
      <c r="A781" s="92"/>
      <c r="B781" s="141"/>
      <c r="C781" s="136"/>
      <c r="D781" s="137"/>
      <c r="E781" s="138"/>
      <c r="F781" s="139"/>
      <c r="G781" s="98"/>
      <c r="H781" s="99"/>
      <c r="I781" s="99"/>
      <c r="J781" s="100"/>
      <c r="K781" s="99"/>
      <c r="L781" s="99"/>
      <c r="M781" s="99"/>
      <c r="N781" s="99"/>
      <c r="O781" s="101"/>
      <c r="P781" s="140" t="str">
        <f t="shared" si="129"/>
        <v/>
      </c>
      <c r="Q781" s="140" t="str">
        <f t="shared" si="130"/>
        <v/>
      </c>
      <c r="R781" s="140" t="str">
        <f t="shared" si="131"/>
        <v/>
      </c>
      <c r="S781" s="140" t="str">
        <f t="shared" si="132"/>
        <v/>
      </c>
      <c r="T781" s="140" t="str">
        <f t="shared" si="133"/>
        <v/>
      </c>
      <c r="U781" s="140" t="str">
        <f t="shared" si="134"/>
        <v/>
      </c>
      <c r="V781" s="99"/>
    </row>
    <row r="782" spans="1:22">
      <c r="A782" s="92"/>
      <c r="B782" s="429" t="s">
        <v>645</v>
      </c>
      <c r="C782" s="145">
        <v>0.08</v>
      </c>
      <c r="D782" s="137"/>
      <c r="E782" s="138"/>
      <c r="F782" s="139"/>
      <c r="G782" s="98"/>
      <c r="H782" s="99"/>
      <c r="I782" s="99"/>
      <c r="J782" s="100"/>
      <c r="K782" s="99"/>
      <c r="L782" s="99"/>
      <c r="M782" s="99"/>
      <c r="N782" s="99"/>
      <c r="O782" s="101"/>
      <c r="P782" s="140" t="str">
        <f t="shared" si="129"/>
        <v/>
      </c>
      <c r="Q782" s="140" t="str">
        <f t="shared" si="130"/>
        <v/>
      </c>
      <c r="R782" s="140" t="str">
        <f t="shared" si="131"/>
        <v/>
      </c>
      <c r="S782" s="140" t="str">
        <f t="shared" si="132"/>
        <v/>
      </c>
      <c r="T782" s="140" t="str">
        <f t="shared" si="133"/>
        <v/>
      </c>
      <c r="U782" s="140" t="str">
        <f t="shared" si="134"/>
        <v/>
      </c>
      <c r="V782" s="99"/>
    </row>
    <row r="783" spans="1:22">
      <c r="A783" s="92"/>
      <c r="B783" s="146" t="s">
        <v>382</v>
      </c>
      <c r="C783" s="147"/>
      <c r="D783" s="137"/>
      <c r="E783" s="148">
        <f>0.6-0.08</f>
        <v>0.52</v>
      </c>
      <c r="F783" s="139"/>
      <c r="G783" s="98">
        <v>8</v>
      </c>
      <c r="H783" s="99">
        <v>10</v>
      </c>
      <c r="I783" s="111">
        <f>((1.68-2*0.6)/0.15)+1</f>
        <v>4.2</v>
      </c>
      <c r="J783" s="149">
        <f>2*(D785+E783)+2*8*G783/1000</f>
        <v>1.6080000000000001</v>
      </c>
      <c r="K783" s="99"/>
      <c r="L783" s="99">
        <v>5</v>
      </c>
      <c r="M783" s="112">
        <f>2*G783*L783/1000</f>
        <v>0.08</v>
      </c>
      <c r="N783" s="112">
        <f>(J783+K783-M783)</f>
        <v>1.528</v>
      </c>
      <c r="O783" s="112">
        <f>(H783*I783*N783)</f>
        <v>64.176000000000002</v>
      </c>
      <c r="P783" s="140">
        <f t="shared" si="129"/>
        <v>64.176000000000002</v>
      </c>
      <c r="Q783" s="140" t="str">
        <f t="shared" si="130"/>
        <v/>
      </c>
      <c r="R783" s="140" t="str">
        <f t="shared" si="131"/>
        <v/>
      </c>
      <c r="S783" s="140" t="str">
        <f t="shared" si="132"/>
        <v/>
      </c>
      <c r="T783" s="140" t="str">
        <f t="shared" si="133"/>
        <v/>
      </c>
      <c r="U783" s="140" t="str">
        <f t="shared" si="134"/>
        <v/>
      </c>
      <c r="V783" s="99"/>
    </row>
    <row r="784" spans="1:22">
      <c r="A784" s="92"/>
      <c r="B784" s="146"/>
      <c r="C784" s="136"/>
      <c r="D784" s="137"/>
      <c r="E784" s="150"/>
      <c r="F784" s="139"/>
      <c r="G784" s="98"/>
      <c r="H784" s="99"/>
      <c r="I784" s="99"/>
      <c r="J784" s="100"/>
      <c r="K784" s="99"/>
      <c r="L784" s="99"/>
      <c r="M784" s="99"/>
      <c r="N784" s="99"/>
      <c r="O784" s="112"/>
      <c r="P784" s="140" t="str">
        <f t="shared" si="129"/>
        <v/>
      </c>
      <c r="Q784" s="140" t="str">
        <f t="shared" si="130"/>
        <v/>
      </c>
      <c r="R784" s="140" t="str">
        <f t="shared" si="131"/>
        <v/>
      </c>
      <c r="S784" s="140" t="str">
        <f t="shared" si="132"/>
        <v/>
      </c>
      <c r="T784" s="140" t="str">
        <f t="shared" si="133"/>
        <v/>
      </c>
      <c r="U784" s="140" t="str">
        <f t="shared" si="134"/>
        <v/>
      </c>
      <c r="V784" s="99"/>
    </row>
    <row r="785" spans="1:22">
      <c r="A785" s="92"/>
      <c r="B785" s="146"/>
      <c r="C785" s="136"/>
      <c r="D785" s="109">
        <f>0.3-0.08</f>
        <v>0.21999999999999997</v>
      </c>
      <c r="E785" s="138"/>
      <c r="F785" s="139"/>
      <c r="G785" s="98"/>
      <c r="H785" s="99"/>
      <c r="I785" s="99"/>
      <c r="J785" s="100"/>
      <c r="K785" s="99"/>
      <c r="L785" s="99"/>
      <c r="M785" s="99"/>
      <c r="N785" s="99"/>
      <c r="O785" s="112"/>
      <c r="P785" s="140" t="str">
        <f t="shared" si="129"/>
        <v/>
      </c>
      <c r="Q785" s="140" t="str">
        <f t="shared" si="130"/>
        <v/>
      </c>
      <c r="R785" s="140" t="str">
        <f t="shared" si="131"/>
        <v/>
      </c>
      <c r="S785" s="140" t="str">
        <f t="shared" si="132"/>
        <v/>
      </c>
      <c r="T785" s="140" t="str">
        <f t="shared" si="133"/>
        <v/>
      </c>
      <c r="U785" s="140" t="str">
        <f t="shared" si="134"/>
        <v/>
      </c>
      <c r="V785" s="99"/>
    </row>
    <row r="786" spans="1:22">
      <c r="A786" s="92"/>
      <c r="B786" s="141"/>
      <c r="C786" s="136"/>
      <c r="D786" s="137"/>
      <c r="E786" s="138"/>
      <c r="F786" s="139"/>
      <c r="G786" s="98"/>
      <c r="H786" s="99"/>
      <c r="I786" s="99"/>
      <c r="J786" s="100"/>
      <c r="K786" s="99"/>
      <c r="L786" s="99"/>
      <c r="M786" s="99"/>
      <c r="N786" s="99"/>
      <c r="O786" s="112"/>
      <c r="P786" s="140" t="str">
        <f t="shared" si="129"/>
        <v/>
      </c>
      <c r="Q786" s="140" t="str">
        <f t="shared" si="130"/>
        <v/>
      </c>
      <c r="R786" s="140" t="str">
        <f t="shared" si="131"/>
        <v/>
      </c>
      <c r="S786" s="140" t="str">
        <f t="shared" si="132"/>
        <v/>
      </c>
      <c r="T786" s="140" t="str">
        <f t="shared" si="133"/>
        <v/>
      </c>
      <c r="U786" s="140" t="str">
        <f t="shared" si="134"/>
        <v/>
      </c>
      <c r="V786" s="99"/>
    </row>
    <row r="787" spans="1:22">
      <c r="A787" s="92"/>
      <c r="B787" s="92"/>
      <c r="C787" s="145">
        <v>0.08</v>
      </c>
      <c r="D787" s="137"/>
      <c r="E787" s="138"/>
      <c r="F787" s="139"/>
      <c r="G787" s="98"/>
      <c r="H787" s="99"/>
      <c r="I787" s="99"/>
      <c r="J787" s="100"/>
      <c r="K787" s="99"/>
      <c r="L787" s="99"/>
      <c r="M787" s="99"/>
      <c r="N787" s="99"/>
      <c r="O787" s="112"/>
      <c r="P787" s="140" t="str">
        <f t="shared" si="129"/>
        <v/>
      </c>
      <c r="Q787" s="140" t="str">
        <f t="shared" si="130"/>
        <v/>
      </c>
      <c r="R787" s="140" t="str">
        <f t="shared" si="131"/>
        <v/>
      </c>
      <c r="S787" s="140" t="str">
        <f t="shared" si="132"/>
        <v/>
      </c>
      <c r="T787" s="140" t="str">
        <f t="shared" si="133"/>
        <v/>
      </c>
      <c r="U787" s="140" t="str">
        <f t="shared" si="134"/>
        <v/>
      </c>
      <c r="V787" s="99"/>
    </row>
    <row r="788" spans="1:22">
      <c r="A788" s="92"/>
      <c r="B788" s="146" t="s">
        <v>383</v>
      </c>
      <c r="C788" s="147"/>
      <c r="D788" s="137"/>
      <c r="E788" s="148">
        <f>((0.6-0.08-0.016)/5)+0.012+0.02</f>
        <v>0.1328</v>
      </c>
      <c r="F788" s="139"/>
      <c r="G788" s="98">
        <v>8</v>
      </c>
      <c r="H788" s="99">
        <v>10</v>
      </c>
      <c r="I788" s="111">
        <f>((1.68-2*0.6)/0.15)+1</f>
        <v>4.2</v>
      </c>
      <c r="J788" s="149">
        <f>2*(D790+E788)+2*8*G788/1000</f>
        <v>0.83360000000000001</v>
      </c>
      <c r="K788" s="99"/>
      <c r="L788" s="99">
        <v>5</v>
      </c>
      <c r="M788" s="112">
        <f>2*G788*L788/1000</f>
        <v>0.08</v>
      </c>
      <c r="N788" s="112">
        <f>(J788+K788-M788)</f>
        <v>0.75360000000000005</v>
      </c>
      <c r="O788" s="112">
        <f>(H788*I788*N788)</f>
        <v>31.651200000000003</v>
      </c>
      <c r="P788" s="140">
        <f t="shared" si="129"/>
        <v>31.651200000000003</v>
      </c>
      <c r="Q788" s="140" t="str">
        <f t="shared" si="130"/>
        <v/>
      </c>
      <c r="R788" s="140" t="str">
        <f t="shared" si="131"/>
        <v/>
      </c>
      <c r="S788" s="140" t="str">
        <f t="shared" si="132"/>
        <v/>
      </c>
      <c r="T788" s="140" t="str">
        <f t="shared" si="133"/>
        <v/>
      </c>
      <c r="U788" s="140" t="str">
        <f t="shared" si="134"/>
        <v/>
      </c>
      <c r="V788" s="99"/>
    </row>
    <row r="789" spans="1:22">
      <c r="A789" s="92"/>
      <c r="B789" s="146"/>
      <c r="C789" s="136"/>
      <c r="D789" s="137"/>
      <c r="E789" s="150"/>
      <c r="F789" s="139"/>
      <c r="G789" s="98"/>
      <c r="H789" s="99"/>
      <c r="I789" s="99"/>
      <c r="J789" s="100"/>
      <c r="K789" s="99"/>
      <c r="L789" s="99"/>
      <c r="M789" s="99"/>
      <c r="N789" s="99"/>
      <c r="O789" s="112"/>
      <c r="P789" s="140" t="str">
        <f t="shared" si="129"/>
        <v/>
      </c>
      <c r="Q789" s="140" t="str">
        <f t="shared" si="130"/>
        <v/>
      </c>
      <c r="R789" s="140" t="str">
        <f t="shared" si="131"/>
        <v/>
      </c>
      <c r="S789" s="140" t="str">
        <f t="shared" si="132"/>
        <v/>
      </c>
      <c r="T789" s="140" t="str">
        <f t="shared" si="133"/>
        <v/>
      </c>
      <c r="U789" s="140" t="str">
        <f t="shared" si="134"/>
        <v/>
      </c>
      <c r="V789" s="99"/>
    </row>
    <row r="790" spans="1:22">
      <c r="A790" s="92"/>
      <c r="B790" s="146"/>
      <c r="C790" s="136"/>
      <c r="D790" s="109">
        <f>0.3-0.08</f>
        <v>0.21999999999999997</v>
      </c>
      <c r="E790" s="138"/>
      <c r="F790" s="139"/>
      <c r="G790" s="98"/>
      <c r="H790" s="99"/>
      <c r="I790" s="99"/>
      <c r="J790" s="100"/>
      <c r="K790" s="99"/>
      <c r="L790" s="99"/>
      <c r="M790" s="99"/>
      <c r="N790" s="99"/>
      <c r="O790" s="112"/>
      <c r="P790" s="140" t="str">
        <f t="shared" si="129"/>
        <v/>
      </c>
      <c r="Q790" s="140" t="str">
        <f t="shared" si="130"/>
        <v/>
      </c>
      <c r="R790" s="140" t="str">
        <f t="shared" si="131"/>
        <v/>
      </c>
      <c r="S790" s="140" t="str">
        <f t="shared" si="132"/>
        <v/>
      </c>
      <c r="T790" s="140" t="str">
        <f t="shared" si="133"/>
        <v/>
      </c>
      <c r="U790" s="140" t="str">
        <f t="shared" si="134"/>
        <v/>
      </c>
      <c r="V790" s="99"/>
    </row>
    <row r="791" spans="1:22">
      <c r="A791" s="92"/>
      <c r="B791" s="146"/>
      <c r="C791" s="136"/>
      <c r="D791" s="137"/>
      <c r="E791" s="138"/>
      <c r="F791" s="139"/>
      <c r="G791" s="98"/>
      <c r="H791" s="99"/>
      <c r="I791" s="99"/>
      <c r="J791" s="100"/>
      <c r="K791" s="99"/>
      <c r="L791" s="99"/>
      <c r="M791" s="99"/>
      <c r="N791" s="99"/>
      <c r="O791" s="112"/>
      <c r="P791" s="140" t="str">
        <f t="shared" si="129"/>
        <v/>
      </c>
      <c r="Q791" s="140" t="str">
        <f t="shared" si="130"/>
        <v/>
      </c>
      <c r="R791" s="140" t="str">
        <f t="shared" si="131"/>
        <v/>
      </c>
      <c r="S791" s="140" t="str">
        <f t="shared" si="132"/>
        <v/>
      </c>
      <c r="T791" s="140" t="str">
        <f t="shared" si="133"/>
        <v/>
      </c>
      <c r="U791" s="140" t="str">
        <f t="shared" si="134"/>
        <v/>
      </c>
      <c r="V791" s="99"/>
    </row>
    <row r="792" spans="1:22">
      <c r="A792" s="92"/>
      <c r="B792" s="146" t="s">
        <v>384</v>
      </c>
      <c r="C792" s="136"/>
      <c r="D792" s="142"/>
      <c r="E792" s="138"/>
      <c r="F792" s="139"/>
      <c r="G792" s="98">
        <v>8</v>
      </c>
      <c r="H792" s="99">
        <v>10</v>
      </c>
      <c r="I792" s="111">
        <f>((1.68-2*0.6)/0.15)+1</f>
        <v>4.2</v>
      </c>
      <c r="J792" s="149">
        <f>C793+D795+E793+2*8*G792/1000</f>
        <v>0.69799999999999995</v>
      </c>
      <c r="K792" s="99"/>
      <c r="L792" s="99">
        <v>4</v>
      </c>
      <c r="M792" s="112">
        <f>2*G792*L792/1000</f>
        <v>6.4000000000000001E-2</v>
      </c>
      <c r="N792" s="112">
        <f>(J792+K792-M792)</f>
        <v>0.6339999999999999</v>
      </c>
      <c r="O792" s="112">
        <f>(H792*I792*N792)</f>
        <v>26.627999999999997</v>
      </c>
      <c r="P792" s="140">
        <f t="shared" si="129"/>
        <v>26.627999999999997</v>
      </c>
      <c r="Q792" s="140" t="str">
        <f t="shared" si="130"/>
        <v/>
      </c>
      <c r="R792" s="140" t="str">
        <f t="shared" si="131"/>
        <v/>
      </c>
      <c r="S792" s="140" t="str">
        <f t="shared" si="132"/>
        <v/>
      </c>
      <c r="T792" s="140" t="str">
        <f t="shared" si="133"/>
        <v/>
      </c>
      <c r="U792" s="140" t="str">
        <f t="shared" si="134"/>
        <v/>
      </c>
      <c r="V792" s="99"/>
    </row>
    <row r="793" spans="1:22">
      <c r="A793" s="92"/>
      <c r="B793" s="146"/>
      <c r="C793" s="151">
        <v>0.17499999999999999</v>
      </c>
      <c r="D793" s="137"/>
      <c r="E793" s="138">
        <v>0.17499999999999999</v>
      </c>
      <c r="F793" s="139"/>
      <c r="G793" s="98"/>
      <c r="H793" s="99"/>
      <c r="I793" s="99"/>
      <c r="J793" s="100"/>
      <c r="K793" s="99"/>
      <c r="L793" s="99"/>
      <c r="M793" s="99"/>
      <c r="N793" s="99"/>
      <c r="O793" s="112"/>
      <c r="P793" s="140" t="str">
        <f>IF($G793=8,$O793,"")</f>
        <v/>
      </c>
      <c r="Q793" s="140" t="str">
        <f>IF($G793=10,$O793,"")</f>
        <v/>
      </c>
      <c r="R793" s="140" t="str">
        <f>IF($G793=12,$O793,"")</f>
        <v/>
      </c>
      <c r="S793" s="140" t="str">
        <f>IF($G793=16,$O793,"")</f>
        <v/>
      </c>
      <c r="T793" s="140" t="str">
        <f>IF($G793=20,$O793,"")</f>
        <v/>
      </c>
      <c r="U793" s="140" t="str">
        <f>IF($G793=25,$O793,"")</f>
        <v/>
      </c>
      <c r="V793" s="99"/>
    </row>
    <row r="794" spans="1:22">
      <c r="A794" s="92"/>
      <c r="B794" s="146"/>
      <c r="C794" s="136"/>
      <c r="D794" s="137"/>
      <c r="E794" s="138"/>
      <c r="F794" s="139"/>
      <c r="G794" s="98"/>
      <c r="H794" s="99"/>
      <c r="I794" s="99"/>
      <c r="J794" s="100"/>
      <c r="K794" s="99"/>
      <c r="L794" s="99"/>
      <c r="M794" s="99"/>
      <c r="N794" s="99"/>
      <c r="O794" s="112"/>
      <c r="P794" s="140" t="str">
        <f t="shared" si="129"/>
        <v/>
      </c>
      <c r="Q794" s="140" t="str">
        <f t="shared" si="130"/>
        <v/>
      </c>
      <c r="R794" s="140" t="str">
        <f t="shared" si="131"/>
        <v/>
      </c>
      <c r="S794" s="140" t="str">
        <f t="shared" si="132"/>
        <v/>
      </c>
      <c r="T794" s="140" t="str">
        <f t="shared" si="133"/>
        <v/>
      </c>
      <c r="U794" s="140" t="str">
        <f t="shared" si="134"/>
        <v/>
      </c>
      <c r="V794" s="99"/>
    </row>
    <row r="795" spans="1:22">
      <c r="A795" s="92"/>
      <c r="B795" s="146"/>
      <c r="C795" s="136"/>
      <c r="D795" s="109">
        <f>0.3-0.08</f>
        <v>0.21999999999999997</v>
      </c>
      <c r="E795" s="138"/>
      <c r="F795" s="139"/>
      <c r="G795" s="98"/>
      <c r="H795" s="99"/>
      <c r="I795" s="99"/>
      <c r="J795" s="100"/>
      <c r="K795" s="99"/>
      <c r="L795" s="99"/>
      <c r="M795" s="99"/>
      <c r="N795" s="99"/>
      <c r="O795" s="112"/>
      <c r="P795" s="140" t="str">
        <f t="shared" si="129"/>
        <v/>
      </c>
      <c r="Q795" s="140" t="str">
        <f t="shared" si="130"/>
        <v/>
      </c>
      <c r="R795" s="140" t="str">
        <f t="shared" si="131"/>
        <v/>
      </c>
      <c r="S795" s="140" t="str">
        <f t="shared" si="132"/>
        <v/>
      </c>
      <c r="T795" s="140" t="str">
        <f t="shared" si="133"/>
        <v/>
      </c>
      <c r="U795" s="140" t="str">
        <f t="shared" si="134"/>
        <v/>
      </c>
      <c r="V795" s="99"/>
    </row>
    <row r="796" spans="1:22">
      <c r="A796" s="92"/>
      <c r="B796" s="146"/>
      <c r="C796" s="136"/>
      <c r="D796" s="137"/>
      <c r="E796" s="138"/>
      <c r="F796" s="139"/>
      <c r="G796" s="98"/>
      <c r="H796" s="99"/>
      <c r="I796" s="99"/>
      <c r="J796" s="100"/>
      <c r="K796" s="99"/>
      <c r="L796" s="99"/>
      <c r="M796" s="99"/>
      <c r="N796" s="99"/>
      <c r="O796" s="112"/>
      <c r="P796" s="140" t="str">
        <f t="shared" si="129"/>
        <v/>
      </c>
      <c r="Q796" s="140" t="str">
        <f t="shared" si="130"/>
        <v/>
      </c>
      <c r="R796" s="140" t="str">
        <f t="shared" si="131"/>
        <v/>
      </c>
      <c r="S796" s="140" t="str">
        <f t="shared" si="132"/>
        <v/>
      </c>
      <c r="T796" s="140" t="str">
        <f t="shared" si="133"/>
        <v/>
      </c>
      <c r="U796" s="140" t="str">
        <f t="shared" si="134"/>
        <v/>
      </c>
      <c r="V796" s="99"/>
    </row>
    <row r="797" spans="1:22">
      <c r="A797" s="92"/>
      <c r="B797" s="146" t="s">
        <v>385</v>
      </c>
      <c r="C797" s="136"/>
      <c r="D797" s="142"/>
      <c r="E797" s="138"/>
      <c r="F797" s="139"/>
      <c r="G797" s="98">
        <v>8</v>
      </c>
      <c r="H797" s="99">
        <v>10</v>
      </c>
      <c r="I797" s="111">
        <f>((1.68-2*0.6)/0.15)+1</f>
        <v>4.2</v>
      </c>
      <c r="J797" s="149">
        <f>C798+D800+E798+2*8*G797/1000</f>
        <v>0.69799999999999995</v>
      </c>
      <c r="K797" s="99"/>
      <c r="L797" s="99">
        <v>4</v>
      </c>
      <c r="M797" s="112">
        <f>2*G797*L797/1000</f>
        <v>6.4000000000000001E-2</v>
      </c>
      <c r="N797" s="112">
        <f>(J797+K797-M797)</f>
        <v>0.6339999999999999</v>
      </c>
      <c r="O797" s="112">
        <f>(H797*I797*N797)</f>
        <v>26.627999999999997</v>
      </c>
      <c r="P797" s="140">
        <f t="shared" si="129"/>
        <v>26.627999999999997</v>
      </c>
      <c r="Q797" s="140" t="str">
        <f t="shared" si="130"/>
        <v/>
      </c>
      <c r="R797" s="140" t="str">
        <f t="shared" si="131"/>
        <v/>
      </c>
      <c r="S797" s="140" t="str">
        <f t="shared" si="132"/>
        <v/>
      </c>
      <c r="T797" s="140" t="str">
        <f t="shared" si="133"/>
        <v/>
      </c>
      <c r="U797" s="140" t="str">
        <f t="shared" si="134"/>
        <v/>
      </c>
      <c r="V797" s="99"/>
    </row>
    <row r="798" spans="1:22">
      <c r="A798" s="92"/>
      <c r="B798" s="146"/>
      <c r="C798" s="151">
        <v>0.17499999999999999</v>
      </c>
      <c r="D798" s="137"/>
      <c r="E798" s="138">
        <v>0.17499999999999999</v>
      </c>
      <c r="F798" s="139"/>
      <c r="G798" s="98"/>
      <c r="H798" s="99"/>
      <c r="I798" s="99"/>
      <c r="J798" s="100"/>
      <c r="K798" s="99"/>
      <c r="L798" s="99"/>
      <c r="M798" s="99"/>
      <c r="N798" s="99"/>
      <c r="O798" s="112"/>
      <c r="P798" s="140" t="str">
        <f>IF($G798=8,$O798,"")</f>
        <v/>
      </c>
      <c r="Q798" s="140" t="str">
        <f>IF($G798=10,$O798,"")</f>
        <v/>
      </c>
      <c r="R798" s="140" t="str">
        <f>IF($G798=12,$O798,"")</f>
        <v/>
      </c>
      <c r="S798" s="140" t="str">
        <f>IF($G798=16,$O798,"")</f>
        <v/>
      </c>
      <c r="T798" s="140" t="str">
        <f>IF($G798=20,$O798,"")</f>
        <v/>
      </c>
      <c r="U798" s="140" t="str">
        <f>IF($G798=25,$O798,"")</f>
        <v/>
      </c>
      <c r="V798" s="99"/>
    </row>
    <row r="799" spans="1:22">
      <c r="A799" s="92"/>
      <c r="B799" s="146"/>
      <c r="C799" s="136"/>
      <c r="D799" s="137"/>
      <c r="E799" s="138"/>
      <c r="F799" s="139"/>
      <c r="G799" s="98"/>
      <c r="H799" s="99"/>
      <c r="I799" s="99"/>
      <c r="J799" s="100"/>
      <c r="K799" s="99"/>
      <c r="L799" s="99"/>
      <c r="M799" s="99"/>
      <c r="N799" s="99"/>
      <c r="O799" s="101"/>
      <c r="P799" s="140" t="str">
        <f t="shared" ref="P799:P800" si="137">IF($G799=8,$O799,"")</f>
        <v/>
      </c>
      <c r="Q799" s="140" t="str">
        <f t="shared" ref="Q799:Q800" si="138">IF($G799=10,$O799,"")</f>
        <v/>
      </c>
      <c r="R799" s="140" t="str">
        <f t="shared" ref="R799:R800" si="139">IF($G799=12,$O799,"")</f>
        <v/>
      </c>
      <c r="S799" s="140" t="str">
        <f t="shared" ref="S799:S800" si="140">IF($G799=16,$O799,"")</f>
        <v/>
      </c>
      <c r="T799" s="140" t="str">
        <f t="shared" ref="T799:T800" si="141">IF($G799=20,$O799,"")</f>
        <v/>
      </c>
      <c r="U799" s="140" t="str">
        <f t="shared" ref="U799:U800" si="142">IF($G799=25,$O799,"")</f>
        <v/>
      </c>
      <c r="V799" s="99"/>
    </row>
    <row r="800" spans="1:22">
      <c r="A800" s="92"/>
      <c r="B800" s="146"/>
      <c r="C800" s="136"/>
      <c r="D800" s="109">
        <f>0.3-0.08</f>
        <v>0.21999999999999997</v>
      </c>
      <c r="E800" s="138"/>
      <c r="F800" s="139"/>
      <c r="G800" s="98"/>
      <c r="H800" s="99"/>
      <c r="I800" s="99"/>
      <c r="J800" s="100"/>
      <c r="K800" s="99"/>
      <c r="L800" s="99"/>
      <c r="M800" s="99"/>
      <c r="N800" s="99"/>
      <c r="O800" s="101"/>
      <c r="P800" s="140" t="str">
        <f t="shared" si="137"/>
        <v/>
      </c>
      <c r="Q800" s="140" t="str">
        <f t="shared" si="138"/>
        <v/>
      </c>
      <c r="R800" s="140" t="str">
        <f t="shared" si="139"/>
        <v/>
      </c>
      <c r="S800" s="140" t="str">
        <f t="shared" si="140"/>
        <v/>
      </c>
      <c r="T800" s="140" t="str">
        <f t="shared" si="141"/>
        <v/>
      </c>
      <c r="U800" s="140" t="str">
        <f t="shared" si="142"/>
        <v/>
      </c>
      <c r="V800" s="99"/>
    </row>
    <row r="801" spans="1:22">
      <c r="A801" s="92"/>
      <c r="B801" s="141"/>
      <c r="C801" s="136"/>
      <c r="D801" s="137"/>
      <c r="E801" s="138"/>
      <c r="F801" s="139"/>
      <c r="G801" s="98"/>
      <c r="H801" s="99"/>
      <c r="I801" s="99"/>
      <c r="J801" s="100"/>
      <c r="K801" s="99"/>
      <c r="L801" s="99"/>
      <c r="M801" s="99"/>
      <c r="N801" s="99"/>
      <c r="O801" s="101"/>
      <c r="P801" s="140" t="str">
        <f t="shared" si="105"/>
        <v/>
      </c>
      <c r="Q801" s="140" t="str">
        <f t="shared" si="106"/>
        <v/>
      </c>
      <c r="R801" s="140" t="str">
        <f t="shared" si="107"/>
        <v/>
      </c>
      <c r="S801" s="140" t="str">
        <f t="shared" si="108"/>
        <v/>
      </c>
      <c r="T801" s="140" t="str">
        <f t="shared" si="109"/>
        <v/>
      </c>
      <c r="U801" s="140" t="str">
        <f t="shared" si="110"/>
        <v/>
      </c>
      <c r="V801" s="99"/>
    </row>
    <row r="802" spans="1:22">
      <c r="A802" s="92">
        <v>3</v>
      </c>
      <c r="B802" s="92" t="s">
        <v>387</v>
      </c>
      <c r="C802" s="136"/>
      <c r="D802" s="137"/>
      <c r="E802" s="138"/>
      <c r="F802" s="139"/>
      <c r="G802" s="98"/>
      <c r="H802" s="99"/>
      <c r="I802" s="99"/>
      <c r="J802" s="109"/>
      <c r="K802" s="112"/>
      <c r="L802" s="112"/>
      <c r="M802" s="99"/>
      <c r="N802" s="112"/>
      <c r="O802" s="112"/>
      <c r="P802" s="140" t="str">
        <f>IF($G802=8,$O802,"")</f>
        <v/>
      </c>
      <c r="Q802" s="140" t="str">
        <f>IF($G802=10,$O802,"")</f>
        <v/>
      </c>
      <c r="R802" s="140" t="str">
        <f>IF($G802=12,$O802,"")</f>
        <v/>
      </c>
      <c r="S802" s="140" t="str">
        <f>IF($G802=16,$O802,"")</f>
        <v/>
      </c>
      <c r="T802" s="140" t="str">
        <f>IF($G802=20,$O802,"")</f>
        <v/>
      </c>
      <c r="U802" s="140" t="str">
        <f>IF($G802=25,$O802,"")</f>
        <v/>
      </c>
      <c r="V802" s="99"/>
    </row>
    <row r="803" spans="1:22">
      <c r="A803" s="92"/>
      <c r="B803" s="141" t="s">
        <v>378</v>
      </c>
      <c r="C803" s="136"/>
      <c r="D803" s="142">
        <v>1.68</v>
      </c>
      <c r="E803" s="138"/>
      <c r="F803" s="139"/>
      <c r="G803" s="98">
        <v>25</v>
      </c>
      <c r="H803" s="99">
        <v>4</v>
      </c>
      <c r="I803" s="99">
        <v>4</v>
      </c>
      <c r="J803" s="109">
        <f>D803</f>
        <v>1.68</v>
      </c>
      <c r="K803" s="110" t="str">
        <f>IF(N803&lt;12,"0",0.049*G803)</f>
        <v>0</v>
      </c>
      <c r="L803" s="111">
        <v>0</v>
      </c>
      <c r="M803" s="99">
        <f>2*G803*L803/1000</f>
        <v>0</v>
      </c>
      <c r="N803" s="112">
        <f>J803+E805-M803</f>
        <v>1.68</v>
      </c>
      <c r="O803" s="112">
        <f>H803*I803*N803</f>
        <v>26.88</v>
      </c>
      <c r="P803" s="140" t="str">
        <f t="shared" si="105"/>
        <v/>
      </c>
      <c r="Q803" s="140" t="str">
        <f t="shared" si="106"/>
        <v/>
      </c>
      <c r="R803" s="140" t="str">
        <f t="shared" si="107"/>
        <v/>
      </c>
      <c r="S803" s="140" t="str">
        <f t="shared" si="108"/>
        <v/>
      </c>
      <c r="T803" s="140" t="str">
        <f t="shared" si="109"/>
        <v/>
      </c>
      <c r="U803" s="140">
        <f t="shared" si="110"/>
        <v>26.88</v>
      </c>
      <c r="V803" s="99"/>
    </row>
    <row r="804" spans="1:22">
      <c r="A804" s="92"/>
      <c r="B804" s="141" t="s">
        <v>379</v>
      </c>
      <c r="C804" s="136"/>
      <c r="D804" s="137"/>
      <c r="E804" s="138"/>
      <c r="F804" s="139"/>
      <c r="G804" s="98">
        <v>25</v>
      </c>
      <c r="H804" s="99">
        <v>4</v>
      </c>
      <c r="I804" s="99">
        <v>2</v>
      </c>
      <c r="J804" s="109">
        <f>D803</f>
        <v>1.68</v>
      </c>
      <c r="K804" s="110" t="str">
        <f t="shared" ref="K804:K806" si="143">IF(N804&lt;12,"0",0.049*G804)</f>
        <v>0</v>
      </c>
      <c r="L804" s="111">
        <v>0</v>
      </c>
      <c r="M804" s="99">
        <f t="shared" ref="M804:M806" si="144">2*G804*L804/1000</f>
        <v>0</v>
      </c>
      <c r="N804" s="112">
        <f>J804+E805-M804</f>
        <v>1.68</v>
      </c>
      <c r="O804" s="112">
        <f>H804*I804*N804</f>
        <v>13.44</v>
      </c>
      <c r="P804" s="140" t="str">
        <f t="shared" si="105"/>
        <v/>
      </c>
      <c r="Q804" s="140" t="str">
        <f t="shared" si="106"/>
        <v/>
      </c>
      <c r="R804" s="140" t="str">
        <f t="shared" si="107"/>
        <v/>
      </c>
      <c r="S804" s="140" t="str">
        <f t="shared" si="108"/>
        <v/>
      </c>
      <c r="T804" s="140" t="str">
        <f t="shared" si="109"/>
        <v/>
      </c>
      <c r="U804" s="140">
        <f t="shared" si="110"/>
        <v>13.44</v>
      </c>
      <c r="V804" s="99"/>
    </row>
    <row r="805" spans="1:22">
      <c r="A805" s="92"/>
      <c r="B805" s="141" t="s">
        <v>380</v>
      </c>
      <c r="C805" s="143"/>
      <c r="D805" s="142"/>
      <c r="E805" s="144"/>
      <c r="F805" s="139"/>
      <c r="G805" s="98">
        <v>25</v>
      </c>
      <c r="H805" s="99">
        <v>4</v>
      </c>
      <c r="I805" s="99">
        <v>4</v>
      </c>
      <c r="J805" s="109">
        <f>D803</f>
        <v>1.68</v>
      </c>
      <c r="K805" s="110" t="str">
        <f t="shared" si="143"/>
        <v>0</v>
      </c>
      <c r="L805" s="111">
        <v>0</v>
      </c>
      <c r="M805" s="99">
        <f t="shared" si="144"/>
        <v>0</v>
      </c>
      <c r="N805" s="112">
        <f>J805+E805-M805</f>
        <v>1.68</v>
      </c>
      <c r="O805" s="112">
        <f>H805*I805*N805</f>
        <v>26.88</v>
      </c>
      <c r="P805" s="140" t="str">
        <f t="shared" si="105"/>
        <v/>
      </c>
      <c r="Q805" s="140" t="str">
        <f t="shared" si="106"/>
        <v/>
      </c>
      <c r="R805" s="140" t="str">
        <f t="shared" si="107"/>
        <v/>
      </c>
      <c r="S805" s="140" t="str">
        <f t="shared" si="108"/>
        <v/>
      </c>
      <c r="T805" s="140" t="str">
        <f t="shared" si="109"/>
        <v/>
      </c>
      <c r="U805" s="140">
        <f t="shared" si="110"/>
        <v>26.88</v>
      </c>
      <c r="V805" s="99"/>
    </row>
    <row r="806" spans="1:22">
      <c r="A806" s="92"/>
      <c r="B806" s="141" t="s">
        <v>381</v>
      </c>
      <c r="C806" s="136"/>
      <c r="D806" s="137"/>
      <c r="E806" s="138"/>
      <c r="F806" s="139"/>
      <c r="G806" s="98">
        <v>20</v>
      </c>
      <c r="H806" s="99">
        <v>4</v>
      </c>
      <c r="I806" s="99">
        <v>4</v>
      </c>
      <c r="J806" s="109">
        <f>D803</f>
        <v>1.68</v>
      </c>
      <c r="K806" s="110" t="str">
        <f t="shared" si="143"/>
        <v>0</v>
      </c>
      <c r="L806" s="111">
        <v>0</v>
      </c>
      <c r="M806" s="99">
        <f t="shared" si="144"/>
        <v>0</v>
      </c>
      <c r="N806" s="112">
        <f>J806+E805-M806</f>
        <v>1.68</v>
      </c>
      <c r="O806" s="112">
        <f>H806*I806*N806</f>
        <v>26.88</v>
      </c>
      <c r="P806" s="140" t="str">
        <f t="shared" si="105"/>
        <v/>
      </c>
      <c r="Q806" s="140" t="str">
        <f t="shared" si="106"/>
        <v/>
      </c>
      <c r="R806" s="140" t="str">
        <f t="shared" si="107"/>
        <v/>
      </c>
      <c r="S806" s="140" t="str">
        <f t="shared" si="108"/>
        <v/>
      </c>
      <c r="T806" s="140">
        <f t="shared" si="109"/>
        <v>26.88</v>
      </c>
      <c r="U806" s="140" t="str">
        <f t="shared" si="110"/>
        <v/>
      </c>
      <c r="V806" s="99"/>
    </row>
    <row r="807" spans="1:22">
      <c r="A807" s="92"/>
      <c r="B807" s="141"/>
      <c r="C807" s="136"/>
      <c r="D807" s="137"/>
      <c r="E807" s="138"/>
      <c r="F807" s="139"/>
      <c r="G807" s="98"/>
      <c r="H807" s="99"/>
      <c r="I807" s="99"/>
      <c r="J807" s="100"/>
      <c r="K807" s="99"/>
      <c r="L807" s="99"/>
      <c r="M807" s="99"/>
      <c r="N807" s="99"/>
      <c r="O807" s="101"/>
      <c r="P807" s="140" t="str">
        <f t="shared" si="105"/>
        <v/>
      </c>
      <c r="Q807" s="140" t="str">
        <f t="shared" si="106"/>
        <v/>
      </c>
      <c r="R807" s="140" t="str">
        <f t="shared" si="107"/>
        <v/>
      </c>
      <c r="S807" s="140" t="str">
        <f t="shared" si="108"/>
        <v/>
      </c>
      <c r="T807" s="140" t="str">
        <f t="shared" si="109"/>
        <v/>
      </c>
      <c r="U807" s="140" t="str">
        <f t="shared" si="110"/>
        <v/>
      </c>
      <c r="V807" s="99"/>
    </row>
    <row r="808" spans="1:22">
      <c r="A808" s="92"/>
      <c r="B808" s="429" t="s">
        <v>644</v>
      </c>
      <c r="C808" s="145">
        <v>0.08</v>
      </c>
      <c r="D808" s="137"/>
      <c r="E808" s="138"/>
      <c r="F808" s="139"/>
      <c r="G808" s="98"/>
      <c r="H808" s="99"/>
      <c r="I808" s="99"/>
      <c r="J808" s="100"/>
      <c r="K808" s="99"/>
      <c r="L808" s="99"/>
      <c r="M808" s="99"/>
      <c r="N808" s="99"/>
      <c r="O808" s="101"/>
      <c r="P808" s="140" t="str">
        <f t="shared" si="105"/>
        <v/>
      </c>
      <c r="Q808" s="140" t="str">
        <f t="shared" si="106"/>
        <v/>
      </c>
      <c r="R808" s="140" t="str">
        <f t="shared" si="107"/>
        <v/>
      </c>
      <c r="S808" s="140" t="str">
        <f t="shared" si="108"/>
        <v/>
      </c>
      <c r="T808" s="140" t="str">
        <f t="shared" si="109"/>
        <v/>
      </c>
      <c r="U808" s="140" t="str">
        <f t="shared" si="110"/>
        <v/>
      </c>
      <c r="V808" s="99"/>
    </row>
    <row r="809" spans="1:22">
      <c r="A809" s="92"/>
      <c r="B809" s="146" t="s">
        <v>382</v>
      </c>
      <c r="C809" s="147"/>
      <c r="D809" s="137"/>
      <c r="E809" s="148">
        <f>0.6-0.08</f>
        <v>0.52</v>
      </c>
      <c r="F809" s="139"/>
      <c r="G809" s="98">
        <v>10</v>
      </c>
      <c r="H809" s="99">
        <v>4</v>
      </c>
      <c r="I809" s="99">
        <f>((2*0.6)/0.075)+2</f>
        <v>18</v>
      </c>
      <c r="J809" s="149">
        <f>2*(D811+E809)+2*8*G809/1000</f>
        <v>1.64</v>
      </c>
      <c r="K809" s="99"/>
      <c r="L809" s="99">
        <v>5</v>
      </c>
      <c r="M809" s="112">
        <f>2*G809*L809/1000</f>
        <v>0.1</v>
      </c>
      <c r="N809" s="112">
        <f>(J809+K809-M809)</f>
        <v>1.5399999999999998</v>
      </c>
      <c r="O809" s="112">
        <f>(H809*I809*N809)</f>
        <v>110.87999999999998</v>
      </c>
      <c r="P809" s="140" t="str">
        <f t="shared" si="105"/>
        <v/>
      </c>
      <c r="Q809" s="140">
        <f t="shared" si="106"/>
        <v>110.87999999999998</v>
      </c>
      <c r="R809" s="140" t="str">
        <f t="shared" si="107"/>
        <v/>
      </c>
      <c r="S809" s="140" t="str">
        <f t="shared" si="108"/>
        <v/>
      </c>
      <c r="T809" s="140" t="str">
        <f t="shared" si="109"/>
        <v/>
      </c>
      <c r="U809" s="140" t="str">
        <f t="shared" si="110"/>
        <v/>
      </c>
      <c r="V809" s="99"/>
    </row>
    <row r="810" spans="1:22">
      <c r="A810" s="92"/>
      <c r="B810" s="146"/>
      <c r="C810" s="136"/>
      <c r="D810" s="137"/>
      <c r="E810" s="150"/>
      <c r="F810" s="139"/>
      <c r="G810" s="98"/>
      <c r="H810" s="99"/>
      <c r="I810" s="99"/>
      <c r="J810" s="100"/>
      <c r="K810" s="99"/>
      <c r="L810" s="99"/>
      <c r="M810" s="99"/>
      <c r="N810" s="99"/>
      <c r="O810" s="112"/>
      <c r="P810" s="140" t="str">
        <f t="shared" si="105"/>
        <v/>
      </c>
      <c r="Q810" s="140" t="str">
        <f t="shared" si="106"/>
        <v/>
      </c>
      <c r="R810" s="140" t="str">
        <f t="shared" si="107"/>
        <v/>
      </c>
      <c r="S810" s="140" t="str">
        <f t="shared" si="108"/>
        <v/>
      </c>
      <c r="T810" s="140" t="str">
        <f t="shared" si="109"/>
        <v/>
      </c>
      <c r="U810" s="140" t="str">
        <f t="shared" si="110"/>
        <v/>
      </c>
      <c r="V810" s="99"/>
    </row>
    <row r="811" spans="1:22">
      <c r="A811" s="92"/>
      <c r="B811" s="146"/>
      <c r="C811" s="136"/>
      <c r="D811" s="109">
        <f>0.3-0.08</f>
        <v>0.21999999999999997</v>
      </c>
      <c r="E811" s="138"/>
      <c r="F811" s="139"/>
      <c r="G811" s="98"/>
      <c r="H811" s="99"/>
      <c r="I811" s="99"/>
      <c r="J811" s="100"/>
      <c r="K811" s="99"/>
      <c r="L811" s="99"/>
      <c r="M811" s="99"/>
      <c r="N811" s="99"/>
      <c r="O811" s="112"/>
      <c r="P811" s="140" t="str">
        <f t="shared" si="105"/>
        <v/>
      </c>
      <c r="Q811" s="140" t="str">
        <f t="shared" si="106"/>
        <v/>
      </c>
      <c r="R811" s="140" t="str">
        <f t="shared" si="107"/>
        <v/>
      </c>
      <c r="S811" s="140" t="str">
        <f t="shared" si="108"/>
        <v/>
      </c>
      <c r="T811" s="140" t="str">
        <f t="shared" si="109"/>
        <v/>
      </c>
      <c r="U811" s="140" t="str">
        <f t="shared" si="110"/>
        <v/>
      </c>
      <c r="V811" s="99"/>
    </row>
    <row r="812" spans="1:22">
      <c r="A812" s="92"/>
      <c r="B812" s="141"/>
      <c r="C812" s="136"/>
      <c r="D812" s="137"/>
      <c r="E812" s="138"/>
      <c r="F812" s="139"/>
      <c r="G812" s="98"/>
      <c r="H812" s="99"/>
      <c r="I812" s="99"/>
      <c r="J812" s="100"/>
      <c r="K812" s="99"/>
      <c r="L812" s="99"/>
      <c r="M812" s="99"/>
      <c r="N812" s="99"/>
      <c r="O812" s="112"/>
      <c r="P812" s="140" t="str">
        <f t="shared" si="105"/>
        <v/>
      </c>
      <c r="Q812" s="140" t="str">
        <f t="shared" si="106"/>
        <v/>
      </c>
      <c r="R812" s="140" t="str">
        <f t="shared" si="107"/>
        <v/>
      </c>
      <c r="S812" s="140" t="str">
        <f t="shared" si="108"/>
        <v/>
      </c>
      <c r="T812" s="140" t="str">
        <f t="shared" si="109"/>
        <v/>
      </c>
      <c r="U812" s="140" t="str">
        <f t="shared" si="110"/>
        <v/>
      </c>
      <c r="V812" s="99"/>
    </row>
    <row r="813" spans="1:22">
      <c r="A813" s="92"/>
      <c r="B813" s="92"/>
      <c r="C813" s="145">
        <v>0.08</v>
      </c>
      <c r="D813" s="137"/>
      <c r="E813" s="138"/>
      <c r="F813" s="139"/>
      <c r="G813" s="98"/>
      <c r="H813" s="99"/>
      <c r="I813" s="99"/>
      <c r="J813" s="100"/>
      <c r="K813" s="99"/>
      <c r="L813" s="99"/>
      <c r="M813" s="99"/>
      <c r="N813" s="99"/>
      <c r="O813" s="112"/>
      <c r="P813" s="140" t="str">
        <f t="shared" si="105"/>
        <v/>
      </c>
      <c r="Q813" s="140" t="str">
        <f t="shared" si="106"/>
        <v/>
      </c>
      <c r="R813" s="140" t="str">
        <f t="shared" si="107"/>
        <v/>
      </c>
      <c r="S813" s="140" t="str">
        <f t="shared" si="108"/>
        <v/>
      </c>
      <c r="T813" s="140" t="str">
        <f t="shared" si="109"/>
        <v/>
      </c>
      <c r="U813" s="140" t="str">
        <f t="shared" si="110"/>
        <v/>
      </c>
      <c r="V813" s="99"/>
    </row>
    <row r="814" spans="1:22">
      <c r="A814" s="92"/>
      <c r="B814" s="146" t="s">
        <v>383</v>
      </c>
      <c r="C814" s="147"/>
      <c r="D814" s="137"/>
      <c r="E814" s="148">
        <f>((0.6-0.08-0.016)/5)+0.012+0.02</f>
        <v>0.1328</v>
      </c>
      <c r="F814" s="139"/>
      <c r="G814" s="98">
        <v>10</v>
      </c>
      <c r="H814" s="99">
        <v>4</v>
      </c>
      <c r="I814" s="99">
        <f>((2*0.6)/0.075)+2</f>
        <v>18</v>
      </c>
      <c r="J814" s="149">
        <f>2*(D816+E814)+2*8*G814/1000</f>
        <v>0.86560000000000004</v>
      </c>
      <c r="K814" s="99"/>
      <c r="L814" s="99">
        <v>5</v>
      </c>
      <c r="M814" s="112">
        <f>2*G814*L814/1000</f>
        <v>0.1</v>
      </c>
      <c r="N814" s="112">
        <f>(J814+K814-M814)</f>
        <v>0.76560000000000006</v>
      </c>
      <c r="O814" s="112">
        <f>(H814*I814*N814)</f>
        <v>55.123200000000004</v>
      </c>
      <c r="P814" s="140" t="str">
        <f t="shared" si="105"/>
        <v/>
      </c>
      <c r="Q814" s="140">
        <f t="shared" si="106"/>
        <v>55.123200000000004</v>
      </c>
      <c r="R814" s="140" t="str">
        <f t="shared" si="107"/>
        <v/>
      </c>
      <c r="S814" s="140" t="str">
        <f t="shared" si="108"/>
        <v/>
      </c>
      <c r="T814" s="140" t="str">
        <f t="shared" si="109"/>
        <v/>
      </c>
      <c r="U814" s="140" t="str">
        <f t="shared" si="110"/>
        <v/>
      </c>
      <c r="V814" s="99"/>
    </row>
    <row r="815" spans="1:22">
      <c r="A815" s="92"/>
      <c r="B815" s="146"/>
      <c r="C815" s="136"/>
      <c r="D815" s="137"/>
      <c r="E815" s="150"/>
      <c r="F815" s="139"/>
      <c r="G815" s="98"/>
      <c r="H815" s="99"/>
      <c r="I815" s="99"/>
      <c r="J815" s="100"/>
      <c r="K815" s="99"/>
      <c r="L815" s="99"/>
      <c r="M815" s="99"/>
      <c r="N815" s="99"/>
      <c r="O815" s="112"/>
      <c r="P815" s="140" t="str">
        <f t="shared" si="105"/>
        <v/>
      </c>
      <c r="Q815" s="140" t="str">
        <f t="shared" si="106"/>
        <v/>
      </c>
      <c r="R815" s="140" t="str">
        <f t="shared" si="107"/>
        <v/>
      </c>
      <c r="S815" s="140" t="str">
        <f t="shared" si="108"/>
        <v/>
      </c>
      <c r="T815" s="140" t="str">
        <f t="shared" si="109"/>
        <v/>
      </c>
      <c r="U815" s="140" t="str">
        <f t="shared" si="110"/>
        <v/>
      </c>
      <c r="V815" s="99"/>
    </row>
    <row r="816" spans="1:22">
      <c r="A816" s="92"/>
      <c r="B816" s="146"/>
      <c r="C816" s="136"/>
      <c r="D816" s="109">
        <f>0.3-0.08</f>
        <v>0.21999999999999997</v>
      </c>
      <c r="E816" s="138"/>
      <c r="F816" s="139"/>
      <c r="G816" s="98"/>
      <c r="H816" s="99"/>
      <c r="I816" s="99"/>
      <c r="J816" s="100"/>
      <c r="K816" s="99"/>
      <c r="L816" s="99"/>
      <c r="M816" s="99"/>
      <c r="N816" s="99"/>
      <c r="O816" s="112"/>
      <c r="P816" s="140" t="str">
        <f t="shared" si="105"/>
        <v/>
      </c>
      <c r="Q816" s="140" t="str">
        <f t="shared" si="106"/>
        <v/>
      </c>
      <c r="R816" s="140" t="str">
        <f t="shared" si="107"/>
        <v/>
      </c>
      <c r="S816" s="140" t="str">
        <f t="shared" si="108"/>
        <v/>
      </c>
      <c r="T816" s="140" t="str">
        <f t="shared" si="109"/>
        <v/>
      </c>
      <c r="U816" s="140" t="str">
        <f t="shared" si="110"/>
        <v/>
      </c>
      <c r="V816" s="99"/>
    </row>
    <row r="817" spans="1:22">
      <c r="A817" s="92"/>
      <c r="B817" s="146"/>
      <c r="C817" s="136"/>
      <c r="D817" s="137"/>
      <c r="E817" s="138"/>
      <c r="F817" s="139"/>
      <c r="G817" s="98"/>
      <c r="H817" s="99"/>
      <c r="I817" s="99"/>
      <c r="J817" s="100"/>
      <c r="K817" s="99"/>
      <c r="L817" s="99"/>
      <c r="M817" s="99"/>
      <c r="N817" s="99"/>
      <c r="O817" s="112"/>
      <c r="P817" s="140" t="str">
        <f t="shared" si="105"/>
        <v/>
      </c>
      <c r="Q817" s="140" t="str">
        <f t="shared" si="106"/>
        <v/>
      </c>
      <c r="R817" s="140" t="str">
        <f t="shared" si="107"/>
        <v/>
      </c>
      <c r="S817" s="140" t="str">
        <f t="shared" si="108"/>
        <v/>
      </c>
      <c r="T817" s="140" t="str">
        <f t="shared" si="109"/>
        <v/>
      </c>
      <c r="U817" s="140" t="str">
        <f t="shared" si="110"/>
        <v/>
      </c>
      <c r="V817" s="99"/>
    </row>
    <row r="818" spans="1:22">
      <c r="A818" s="92"/>
      <c r="B818" s="146" t="s">
        <v>384</v>
      </c>
      <c r="C818" s="136"/>
      <c r="D818" s="142"/>
      <c r="E818" s="138"/>
      <c r="F818" s="139"/>
      <c r="G818" s="98">
        <v>10</v>
      </c>
      <c r="H818" s="99">
        <v>4</v>
      </c>
      <c r="I818" s="99">
        <f>((2*0.6)/0.075)+2</f>
        <v>18</v>
      </c>
      <c r="J818" s="149">
        <f>C819+D821+E819+2*8*G818/1000</f>
        <v>0.73</v>
      </c>
      <c r="K818" s="99"/>
      <c r="L818" s="99">
        <v>4</v>
      </c>
      <c r="M818" s="112">
        <f>2*G818*L818/1000</f>
        <v>0.08</v>
      </c>
      <c r="N818" s="112">
        <f>(J818+K818-M818)</f>
        <v>0.65</v>
      </c>
      <c r="O818" s="112">
        <f>(H818*I818*N818)</f>
        <v>46.800000000000004</v>
      </c>
      <c r="P818" s="140" t="str">
        <f t="shared" si="105"/>
        <v/>
      </c>
      <c r="Q818" s="140">
        <f t="shared" si="106"/>
        <v>46.800000000000004</v>
      </c>
      <c r="R818" s="140" t="str">
        <f t="shared" si="107"/>
        <v/>
      </c>
      <c r="S818" s="140" t="str">
        <f t="shared" si="108"/>
        <v/>
      </c>
      <c r="T818" s="140" t="str">
        <f t="shared" si="109"/>
        <v/>
      </c>
      <c r="U818" s="140" t="str">
        <f t="shared" si="110"/>
        <v/>
      </c>
      <c r="V818" s="99"/>
    </row>
    <row r="819" spans="1:22">
      <c r="A819" s="92"/>
      <c r="B819" s="146"/>
      <c r="C819" s="151">
        <v>0.17499999999999999</v>
      </c>
      <c r="D819" s="137"/>
      <c r="E819" s="138">
        <v>0.17499999999999999</v>
      </c>
      <c r="F819" s="139"/>
      <c r="G819" s="98"/>
      <c r="H819" s="99"/>
      <c r="I819" s="99"/>
      <c r="J819" s="100"/>
      <c r="K819" s="99"/>
      <c r="L819" s="99"/>
      <c r="M819" s="99"/>
      <c r="N819" s="99"/>
      <c r="O819" s="112"/>
      <c r="P819" s="140" t="str">
        <f>IF($G819=8,$O819,"")</f>
        <v/>
      </c>
      <c r="Q819" s="140" t="str">
        <f>IF($G819=10,$O819,"")</f>
        <v/>
      </c>
      <c r="R819" s="140" t="str">
        <f>IF($G819=12,$O819,"")</f>
        <v/>
      </c>
      <c r="S819" s="140" t="str">
        <f>IF($G819=16,$O819,"")</f>
        <v/>
      </c>
      <c r="T819" s="140" t="str">
        <f>IF($G819=20,$O819,"")</f>
        <v/>
      </c>
      <c r="U819" s="140" t="str">
        <f>IF($G819=25,$O819,"")</f>
        <v/>
      </c>
      <c r="V819" s="99"/>
    </row>
    <row r="820" spans="1:22">
      <c r="A820" s="92"/>
      <c r="B820" s="146"/>
      <c r="C820" s="136"/>
      <c r="D820" s="137"/>
      <c r="E820" s="138"/>
      <c r="F820" s="139"/>
      <c r="G820" s="98"/>
      <c r="H820" s="99"/>
      <c r="I820" s="99"/>
      <c r="J820" s="100"/>
      <c r="K820" s="99"/>
      <c r="L820" s="99"/>
      <c r="M820" s="99"/>
      <c r="N820" s="99"/>
      <c r="O820" s="112"/>
      <c r="P820" s="140" t="str">
        <f t="shared" si="105"/>
        <v/>
      </c>
      <c r="Q820" s="140" t="str">
        <f t="shared" si="106"/>
        <v/>
      </c>
      <c r="R820" s="140" t="str">
        <f t="shared" si="107"/>
        <v/>
      </c>
      <c r="S820" s="140" t="str">
        <f t="shared" si="108"/>
        <v/>
      </c>
      <c r="T820" s="140" t="str">
        <f t="shared" si="109"/>
        <v/>
      </c>
      <c r="U820" s="140" t="str">
        <f t="shared" si="110"/>
        <v/>
      </c>
      <c r="V820" s="99"/>
    </row>
    <row r="821" spans="1:22">
      <c r="A821" s="92"/>
      <c r="B821" s="146"/>
      <c r="C821" s="136"/>
      <c r="D821" s="109">
        <f>0.3-0.08</f>
        <v>0.21999999999999997</v>
      </c>
      <c r="E821" s="138"/>
      <c r="F821" s="139"/>
      <c r="G821" s="98"/>
      <c r="H821" s="99"/>
      <c r="I821" s="99"/>
      <c r="J821" s="100"/>
      <c r="K821" s="99"/>
      <c r="L821" s="99"/>
      <c r="M821" s="99"/>
      <c r="N821" s="99"/>
      <c r="O821" s="112"/>
      <c r="P821" s="140" t="str">
        <f t="shared" si="105"/>
        <v/>
      </c>
      <c r="Q821" s="140" t="str">
        <f t="shared" si="106"/>
        <v/>
      </c>
      <c r="R821" s="140" t="str">
        <f t="shared" si="107"/>
        <v/>
      </c>
      <c r="S821" s="140" t="str">
        <f t="shared" si="108"/>
        <v/>
      </c>
      <c r="T821" s="140" t="str">
        <f t="shared" si="109"/>
        <v/>
      </c>
      <c r="U821" s="140" t="str">
        <f t="shared" si="110"/>
        <v/>
      </c>
      <c r="V821" s="99"/>
    </row>
    <row r="822" spans="1:22">
      <c r="A822" s="92"/>
      <c r="B822" s="146"/>
      <c r="C822" s="136"/>
      <c r="D822" s="137"/>
      <c r="E822" s="138"/>
      <c r="F822" s="139"/>
      <c r="G822" s="98"/>
      <c r="H822" s="99"/>
      <c r="I822" s="99"/>
      <c r="J822" s="100"/>
      <c r="K822" s="99"/>
      <c r="L822" s="99"/>
      <c r="M822" s="99"/>
      <c r="N822" s="99"/>
      <c r="O822" s="112"/>
      <c r="P822" s="140" t="str">
        <f t="shared" si="105"/>
        <v/>
      </c>
      <c r="Q822" s="140" t="str">
        <f t="shared" si="106"/>
        <v/>
      </c>
      <c r="R822" s="140" t="str">
        <f t="shared" si="107"/>
        <v/>
      </c>
      <c r="S822" s="140" t="str">
        <f t="shared" si="108"/>
        <v/>
      </c>
      <c r="T822" s="140" t="str">
        <f t="shared" si="109"/>
        <v/>
      </c>
      <c r="U822" s="140" t="str">
        <f t="shared" si="110"/>
        <v/>
      </c>
      <c r="V822" s="99"/>
    </row>
    <row r="823" spans="1:22">
      <c r="A823" s="92"/>
      <c r="B823" s="146" t="s">
        <v>385</v>
      </c>
      <c r="C823" s="136"/>
      <c r="D823" s="142"/>
      <c r="E823" s="138"/>
      <c r="F823" s="139"/>
      <c r="G823" s="98">
        <v>10</v>
      </c>
      <c r="H823" s="99">
        <v>4</v>
      </c>
      <c r="I823" s="99">
        <f>((2*0.6)/0.075)+2</f>
        <v>18</v>
      </c>
      <c r="J823" s="149">
        <f>C824+D826+E824+2*8*G823/1000</f>
        <v>0.73</v>
      </c>
      <c r="K823" s="99"/>
      <c r="L823" s="99">
        <v>4</v>
      </c>
      <c r="M823" s="112">
        <f>2*G823*L823/1000</f>
        <v>0.08</v>
      </c>
      <c r="N823" s="112">
        <f>(J823+K823-M823)</f>
        <v>0.65</v>
      </c>
      <c r="O823" s="112">
        <f>(H823*I823*N823)</f>
        <v>46.800000000000004</v>
      </c>
      <c r="P823" s="140" t="str">
        <f t="shared" si="105"/>
        <v/>
      </c>
      <c r="Q823" s="140">
        <f t="shared" si="106"/>
        <v>46.800000000000004</v>
      </c>
      <c r="R823" s="140" t="str">
        <f t="shared" si="107"/>
        <v/>
      </c>
      <c r="S823" s="140" t="str">
        <f t="shared" si="108"/>
        <v/>
      </c>
      <c r="T823" s="140" t="str">
        <f t="shared" si="109"/>
        <v/>
      </c>
      <c r="U823" s="140" t="str">
        <f t="shared" si="110"/>
        <v/>
      </c>
      <c r="V823" s="99"/>
    </row>
    <row r="824" spans="1:22">
      <c r="A824" s="92"/>
      <c r="B824" s="146"/>
      <c r="C824" s="151">
        <v>0.17499999999999999</v>
      </c>
      <c r="D824" s="137"/>
      <c r="E824" s="138">
        <v>0.17499999999999999</v>
      </c>
      <c r="F824" s="139"/>
      <c r="G824" s="98"/>
      <c r="H824" s="99"/>
      <c r="I824" s="99"/>
      <c r="J824" s="100"/>
      <c r="K824" s="99"/>
      <c r="L824" s="99"/>
      <c r="M824" s="99"/>
      <c r="N824" s="99"/>
      <c r="O824" s="112"/>
      <c r="P824" s="140" t="str">
        <f>IF($G824=8,$O824,"")</f>
        <v/>
      </c>
      <c r="Q824" s="140" t="str">
        <f>IF($G824=10,$O824,"")</f>
        <v/>
      </c>
      <c r="R824" s="140" t="str">
        <f>IF($G824=12,$O824,"")</f>
        <v/>
      </c>
      <c r="S824" s="140" t="str">
        <f>IF($G824=16,$O824,"")</f>
        <v/>
      </c>
      <c r="T824" s="140" t="str">
        <f>IF($G824=20,$O824,"")</f>
        <v/>
      </c>
      <c r="U824" s="140" t="str">
        <f>IF($G824=25,$O824,"")</f>
        <v/>
      </c>
      <c r="V824" s="99"/>
    </row>
    <row r="825" spans="1:22">
      <c r="A825" s="92"/>
      <c r="B825" s="146"/>
      <c r="C825" s="136"/>
      <c r="D825" s="137"/>
      <c r="E825" s="138"/>
      <c r="F825" s="139"/>
      <c r="G825" s="98"/>
      <c r="H825" s="99"/>
      <c r="I825" s="99"/>
      <c r="J825" s="100"/>
      <c r="K825" s="99"/>
      <c r="L825" s="99"/>
      <c r="M825" s="99"/>
      <c r="N825" s="99"/>
      <c r="O825" s="101"/>
      <c r="P825" s="140" t="str">
        <f t="shared" si="105"/>
        <v/>
      </c>
      <c r="Q825" s="140" t="str">
        <f t="shared" si="106"/>
        <v/>
      </c>
      <c r="R825" s="140" t="str">
        <f t="shared" si="107"/>
        <v/>
      </c>
      <c r="S825" s="140" t="str">
        <f t="shared" si="108"/>
        <v/>
      </c>
      <c r="T825" s="140" t="str">
        <f t="shared" si="109"/>
        <v/>
      </c>
      <c r="U825" s="140" t="str">
        <f t="shared" si="110"/>
        <v/>
      </c>
      <c r="V825" s="99"/>
    </row>
    <row r="826" spans="1:22">
      <c r="A826" s="92"/>
      <c r="B826" s="146"/>
      <c r="C826" s="136"/>
      <c r="D826" s="109">
        <f>0.3-0.08</f>
        <v>0.21999999999999997</v>
      </c>
      <c r="E826" s="138"/>
      <c r="F826" s="139"/>
      <c r="G826" s="98"/>
      <c r="H826" s="99"/>
      <c r="I826" s="99"/>
      <c r="J826" s="100"/>
      <c r="K826" s="99"/>
      <c r="L826" s="99"/>
      <c r="M826" s="99"/>
      <c r="N826" s="99"/>
      <c r="O826" s="101"/>
      <c r="P826" s="140" t="str">
        <f t="shared" si="105"/>
        <v/>
      </c>
      <c r="Q826" s="140" t="str">
        <f t="shared" si="106"/>
        <v/>
      </c>
      <c r="R826" s="140" t="str">
        <f t="shared" si="107"/>
        <v/>
      </c>
      <c r="S826" s="140" t="str">
        <f t="shared" si="108"/>
        <v/>
      </c>
      <c r="T826" s="140" t="str">
        <f t="shared" si="109"/>
        <v/>
      </c>
      <c r="U826" s="140" t="str">
        <f t="shared" si="110"/>
        <v/>
      </c>
      <c r="V826" s="99"/>
    </row>
    <row r="827" spans="1:22">
      <c r="A827" s="92"/>
      <c r="B827" s="141"/>
      <c r="C827" s="136"/>
      <c r="D827" s="137"/>
      <c r="E827" s="138"/>
      <c r="F827" s="139"/>
      <c r="G827" s="98"/>
      <c r="H827" s="99"/>
      <c r="I827" s="99"/>
      <c r="J827" s="100"/>
      <c r="K827" s="99"/>
      <c r="L827" s="99"/>
      <c r="M827" s="99"/>
      <c r="N827" s="99"/>
      <c r="O827" s="101"/>
      <c r="P827" s="140" t="str">
        <f t="shared" ref="P827:P846" si="145">IF($G827=8,$O827,"")</f>
        <v/>
      </c>
      <c r="Q827" s="140" t="str">
        <f t="shared" ref="Q827:Q846" si="146">IF($G827=10,$O827,"")</f>
        <v/>
      </c>
      <c r="R827" s="140" t="str">
        <f t="shared" ref="R827:R846" si="147">IF($G827=12,$O827,"")</f>
        <v/>
      </c>
      <c r="S827" s="140" t="str">
        <f t="shared" ref="S827:S846" si="148">IF($G827=16,$O827,"")</f>
        <v/>
      </c>
      <c r="T827" s="140" t="str">
        <f t="shared" ref="T827:T846" si="149">IF($G827=20,$O827,"")</f>
        <v/>
      </c>
      <c r="U827" s="140" t="str">
        <f t="shared" ref="U827:U846" si="150">IF($G827=25,$O827,"")</f>
        <v/>
      </c>
      <c r="V827" s="99"/>
    </row>
    <row r="828" spans="1:22">
      <c r="A828" s="92"/>
      <c r="B828" s="429" t="s">
        <v>645</v>
      </c>
      <c r="C828" s="145">
        <v>0.08</v>
      </c>
      <c r="D828" s="137"/>
      <c r="E828" s="138"/>
      <c r="F828" s="139"/>
      <c r="G828" s="98"/>
      <c r="H828" s="99"/>
      <c r="I828" s="99"/>
      <c r="J828" s="100"/>
      <c r="K828" s="99"/>
      <c r="L828" s="99"/>
      <c r="M828" s="99"/>
      <c r="N828" s="99"/>
      <c r="O828" s="101"/>
      <c r="P828" s="140" t="str">
        <f t="shared" si="145"/>
        <v/>
      </c>
      <c r="Q828" s="140" t="str">
        <f t="shared" si="146"/>
        <v/>
      </c>
      <c r="R828" s="140" t="str">
        <f t="shared" si="147"/>
        <v/>
      </c>
      <c r="S828" s="140" t="str">
        <f t="shared" si="148"/>
        <v/>
      </c>
      <c r="T828" s="140" t="str">
        <f t="shared" si="149"/>
        <v/>
      </c>
      <c r="U828" s="140" t="str">
        <f t="shared" si="150"/>
        <v/>
      </c>
      <c r="V828" s="99"/>
    </row>
    <row r="829" spans="1:22">
      <c r="A829" s="92"/>
      <c r="B829" s="146" t="s">
        <v>382</v>
      </c>
      <c r="C829" s="147"/>
      <c r="D829" s="137"/>
      <c r="E829" s="148">
        <f>0.6-0.08</f>
        <v>0.52</v>
      </c>
      <c r="F829" s="139"/>
      <c r="G829" s="98">
        <v>8</v>
      </c>
      <c r="H829" s="99">
        <v>4</v>
      </c>
      <c r="I829" s="111">
        <f>((1.68-2*0.6)/0.15)+1</f>
        <v>4.2</v>
      </c>
      <c r="J829" s="149">
        <f>2*(D831+E829)+2*8*G829/1000</f>
        <v>1.6080000000000001</v>
      </c>
      <c r="K829" s="99"/>
      <c r="L829" s="99">
        <v>5</v>
      </c>
      <c r="M829" s="112">
        <f>2*G829*L829/1000</f>
        <v>0.08</v>
      </c>
      <c r="N829" s="112">
        <f>(J829+K829-M829)</f>
        <v>1.528</v>
      </c>
      <c r="O829" s="112">
        <f>(H829*I829*N829)</f>
        <v>25.670400000000001</v>
      </c>
      <c r="P829" s="140">
        <f t="shared" si="145"/>
        <v>25.670400000000001</v>
      </c>
      <c r="Q829" s="140" t="str">
        <f t="shared" si="146"/>
        <v/>
      </c>
      <c r="R829" s="140" t="str">
        <f t="shared" si="147"/>
        <v/>
      </c>
      <c r="S829" s="140" t="str">
        <f t="shared" si="148"/>
        <v/>
      </c>
      <c r="T829" s="140" t="str">
        <f t="shared" si="149"/>
        <v/>
      </c>
      <c r="U829" s="140" t="str">
        <f t="shared" si="150"/>
        <v/>
      </c>
      <c r="V829" s="99"/>
    </row>
    <row r="830" spans="1:22">
      <c r="A830" s="92"/>
      <c r="B830" s="146"/>
      <c r="C830" s="136"/>
      <c r="D830" s="137"/>
      <c r="E830" s="150"/>
      <c r="F830" s="139"/>
      <c r="G830" s="98"/>
      <c r="H830" s="99"/>
      <c r="I830" s="99"/>
      <c r="J830" s="100"/>
      <c r="K830" s="99"/>
      <c r="L830" s="99"/>
      <c r="M830" s="99"/>
      <c r="N830" s="99"/>
      <c r="O830" s="112"/>
      <c r="P830" s="140" t="str">
        <f t="shared" si="145"/>
        <v/>
      </c>
      <c r="Q830" s="140" t="str">
        <f t="shared" si="146"/>
        <v/>
      </c>
      <c r="R830" s="140" t="str">
        <f t="shared" si="147"/>
        <v/>
      </c>
      <c r="S830" s="140" t="str">
        <f t="shared" si="148"/>
        <v/>
      </c>
      <c r="T830" s="140" t="str">
        <f t="shared" si="149"/>
        <v/>
      </c>
      <c r="U830" s="140" t="str">
        <f t="shared" si="150"/>
        <v/>
      </c>
      <c r="V830" s="99"/>
    </row>
    <row r="831" spans="1:22">
      <c r="A831" s="92"/>
      <c r="B831" s="146"/>
      <c r="C831" s="136"/>
      <c r="D831" s="109">
        <f>0.3-0.08</f>
        <v>0.21999999999999997</v>
      </c>
      <c r="E831" s="138"/>
      <c r="F831" s="139"/>
      <c r="G831" s="98"/>
      <c r="H831" s="99"/>
      <c r="I831" s="99"/>
      <c r="J831" s="100"/>
      <c r="K831" s="99"/>
      <c r="L831" s="99"/>
      <c r="M831" s="99"/>
      <c r="N831" s="99"/>
      <c r="O831" s="112"/>
      <c r="P831" s="140" t="str">
        <f t="shared" si="145"/>
        <v/>
      </c>
      <c r="Q831" s="140" t="str">
        <f t="shared" si="146"/>
        <v/>
      </c>
      <c r="R831" s="140" t="str">
        <f t="shared" si="147"/>
        <v/>
      </c>
      <c r="S831" s="140" t="str">
        <f t="shared" si="148"/>
        <v/>
      </c>
      <c r="T831" s="140" t="str">
        <f t="shared" si="149"/>
        <v/>
      </c>
      <c r="U831" s="140" t="str">
        <f t="shared" si="150"/>
        <v/>
      </c>
      <c r="V831" s="99"/>
    </row>
    <row r="832" spans="1:22">
      <c r="A832" s="92"/>
      <c r="B832" s="141"/>
      <c r="C832" s="136"/>
      <c r="D832" s="137"/>
      <c r="E832" s="138"/>
      <c r="F832" s="139"/>
      <c r="G832" s="98"/>
      <c r="H832" s="99"/>
      <c r="I832" s="99"/>
      <c r="J832" s="100"/>
      <c r="K832" s="99"/>
      <c r="L832" s="99"/>
      <c r="M832" s="99"/>
      <c r="N832" s="99"/>
      <c r="O832" s="112"/>
      <c r="P832" s="140" t="str">
        <f t="shared" si="145"/>
        <v/>
      </c>
      <c r="Q832" s="140" t="str">
        <f t="shared" si="146"/>
        <v/>
      </c>
      <c r="R832" s="140" t="str">
        <f t="shared" si="147"/>
        <v/>
      </c>
      <c r="S832" s="140" t="str">
        <f t="shared" si="148"/>
        <v/>
      </c>
      <c r="T832" s="140" t="str">
        <f t="shared" si="149"/>
        <v/>
      </c>
      <c r="U832" s="140" t="str">
        <f t="shared" si="150"/>
        <v/>
      </c>
      <c r="V832" s="99"/>
    </row>
    <row r="833" spans="1:22">
      <c r="A833" s="92"/>
      <c r="B833" s="92"/>
      <c r="C833" s="145">
        <v>0.08</v>
      </c>
      <c r="D833" s="137"/>
      <c r="E833" s="138"/>
      <c r="F833" s="139"/>
      <c r="G833" s="98"/>
      <c r="H833" s="99"/>
      <c r="I833" s="99"/>
      <c r="J833" s="100"/>
      <c r="K833" s="99"/>
      <c r="L833" s="99"/>
      <c r="M833" s="99"/>
      <c r="N833" s="99"/>
      <c r="O833" s="112"/>
      <c r="P833" s="140" t="str">
        <f t="shared" si="145"/>
        <v/>
      </c>
      <c r="Q833" s="140" t="str">
        <f t="shared" si="146"/>
        <v/>
      </c>
      <c r="R833" s="140" t="str">
        <f t="shared" si="147"/>
        <v/>
      </c>
      <c r="S833" s="140" t="str">
        <f t="shared" si="148"/>
        <v/>
      </c>
      <c r="T833" s="140" t="str">
        <f t="shared" si="149"/>
        <v/>
      </c>
      <c r="U833" s="140" t="str">
        <f t="shared" si="150"/>
        <v/>
      </c>
      <c r="V833" s="99"/>
    </row>
    <row r="834" spans="1:22">
      <c r="A834" s="92"/>
      <c r="B834" s="146" t="s">
        <v>383</v>
      </c>
      <c r="C834" s="147"/>
      <c r="D834" s="137"/>
      <c r="E834" s="148">
        <f>((0.6-0.08-0.016)/5)+0.012+0.02</f>
        <v>0.1328</v>
      </c>
      <c r="F834" s="139"/>
      <c r="G834" s="98">
        <v>8</v>
      </c>
      <c r="H834" s="99">
        <v>4</v>
      </c>
      <c r="I834" s="111">
        <f>((1.68-2*0.6)/0.15)+1</f>
        <v>4.2</v>
      </c>
      <c r="J834" s="149">
        <f>2*(D836+E834)+2*8*G834/1000</f>
        <v>0.83360000000000001</v>
      </c>
      <c r="K834" s="99"/>
      <c r="L834" s="99">
        <v>5</v>
      </c>
      <c r="M834" s="112">
        <f>2*G834*L834/1000</f>
        <v>0.08</v>
      </c>
      <c r="N834" s="112">
        <f>(J834+K834-M834)</f>
        <v>0.75360000000000005</v>
      </c>
      <c r="O834" s="112">
        <f>(H834*I834*N834)</f>
        <v>12.660480000000002</v>
      </c>
      <c r="P834" s="140">
        <f t="shared" si="145"/>
        <v>12.660480000000002</v>
      </c>
      <c r="Q834" s="140" t="str">
        <f t="shared" si="146"/>
        <v/>
      </c>
      <c r="R834" s="140" t="str">
        <f t="shared" si="147"/>
        <v/>
      </c>
      <c r="S834" s="140" t="str">
        <f t="shared" si="148"/>
        <v/>
      </c>
      <c r="T834" s="140" t="str">
        <f t="shared" si="149"/>
        <v/>
      </c>
      <c r="U834" s="140" t="str">
        <f t="shared" si="150"/>
        <v/>
      </c>
      <c r="V834" s="99"/>
    </row>
    <row r="835" spans="1:22">
      <c r="A835" s="92"/>
      <c r="B835" s="146"/>
      <c r="C835" s="136"/>
      <c r="D835" s="137"/>
      <c r="E835" s="150"/>
      <c r="F835" s="139"/>
      <c r="G835" s="98"/>
      <c r="H835" s="99"/>
      <c r="I835" s="99"/>
      <c r="J835" s="100"/>
      <c r="K835" s="99"/>
      <c r="L835" s="99"/>
      <c r="M835" s="99"/>
      <c r="N835" s="99"/>
      <c r="O835" s="112"/>
      <c r="P835" s="140" t="str">
        <f t="shared" si="145"/>
        <v/>
      </c>
      <c r="Q835" s="140" t="str">
        <f t="shared" si="146"/>
        <v/>
      </c>
      <c r="R835" s="140" t="str">
        <f t="shared" si="147"/>
        <v/>
      </c>
      <c r="S835" s="140" t="str">
        <f t="shared" si="148"/>
        <v/>
      </c>
      <c r="T835" s="140" t="str">
        <f t="shared" si="149"/>
        <v/>
      </c>
      <c r="U835" s="140" t="str">
        <f t="shared" si="150"/>
        <v/>
      </c>
      <c r="V835" s="99"/>
    </row>
    <row r="836" spans="1:22">
      <c r="A836" s="92"/>
      <c r="B836" s="146"/>
      <c r="C836" s="136"/>
      <c r="D836" s="109">
        <f>0.3-0.08</f>
        <v>0.21999999999999997</v>
      </c>
      <c r="E836" s="138"/>
      <c r="F836" s="139"/>
      <c r="G836" s="98"/>
      <c r="H836" s="99"/>
      <c r="I836" s="99"/>
      <c r="J836" s="100"/>
      <c r="K836" s="99"/>
      <c r="L836" s="99"/>
      <c r="M836" s="99"/>
      <c r="N836" s="99"/>
      <c r="O836" s="112"/>
      <c r="P836" s="140" t="str">
        <f t="shared" si="145"/>
        <v/>
      </c>
      <c r="Q836" s="140" t="str">
        <f t="shared" si="146"/>
        <v/>
      </c>
      <c r="R836" s="140" t="str">
        <f t="shared" si="147"/>
        <v/>
      </c>
      <c r="S836" s="140" t="str">
        <f t="shared" si="148"/>
        <v/>
      </c>
      <c r="T836" s="140" t="str">
        <f t="shared" si="149"/>
        <v/>
      </c>
      <c r="U836" s="140" t="str">
        <f t="shared" si="150"/>
        <v/>
      </c>
      <c r="V836" s="99"/>
    </row>
    <row r="837" spans="1:22">
      <c r="A837" s="92"/>
      <c r="B837" s="146"/>
      <c r="C837" s="136"/>
      <c r="D837" s="137"/>
      <c r="E837" s="138"/>
      <c r="F837" s="139"/>
      <c r="G837" s="98"/>
      <c r="H837" s="99"/>
      <c r="I837" s="99"/>
      <c r="J837" s="100"/>
      <c r="K837" s="99"/>
      <c r="L837" s="99"/>
      <c r="M837" s="99"/>
      <c r="N837" s="99"/>
      <c r="O837" s="112"/>
      <c r="P837" s="140" t="str">
        <f t="shared" si="145"/>
        <v/>
      </c>
      <c r="Q837" s="140" t="str">
        <f t="shared" si="146"/>
        <v/>
      </c>
      <c r="R837" s="140" t="str">
        <f t="shared" si="147"/>
        <v/>
      </c>
      <c r="S837" s="140" t="str">
        <f t="shared" si="148"/>
        <v/>
      </c>
      <c r="T837" s="140" t="str">
        <f t="shared" si="149"/>
        <v/>
      </c>
      <c r="U837" s="140" t="str">
        <f t="shared" si="150"/>
        <v/>
      </c>
      <c r="V837" s="99"/>
    </row>
    <row r="838" spans="1:22">
      <c r="A838" s="92"/>
      <c r="B838" s="146" t="s">
        <v>384</v>
      </c>
      <c r="C838" s="136"/>
      <c r="D838" s="142"/>
      <c r="E838" s="138"/>
      <c r="F838" s="139"/>
      <c r="G838" s="98">
        <v>8</v>
      </c>
      <c r="H838" s="99">
        <v>4</v>
      </c>
      <c r="I838" s="111">
        <f>((1.68-2*0.6)/0.15)+1</f>
        <v>4.2</v>
      </c>
      <c r="J838" s="149">
        <f>C839+D841+E839+2*8*G838/1000</f>
        <v>0.69799999999999995</v>
      </c>
      <c r="K838" s="99"/>
      <c r="L838" s="99">
        <v>4</v>
      </c>
      <c r="M838" s="112">
        <f>2*G838*L838/1000</f>
        <v>6.4000000000000001E-2</v>
      </c>
      <c r="N838" s="112">
        <f>(J838+K838-M838)</f>
        <v>0.6339999999999999</v>
      </c>
      <c r="O838" s="112">
        <f>(H838*I838*N838)</f>
        <v>10.651199999999999</v>
      </c>
      <c r="P838" s="140">
        <f t="shared" si="145"/>
        <v>10.651199999999999</v>
      </c>
      <c r="Q838" s="140" t="str">
        <f t="shared" si="146"/>
        <v/>
      </c>
      <c r="R838" s="140" t="str">
        <f t="shared" si="147"/>
        <v/>
      </c>
      <c r="S838" s="140" t="str">
        <f t="shared" si="148"/>
        <v/>
      </c>
      <c r="T838" s="140" t="str">
        <f t="shared" si="149"/>
        <v/>
      </c>
      <c r="U838" s="140" t="str">
        <f t="shared" si="150"/>
        <v/>
      </c>
      <c r="V838" s="99"/>
    </row>
    <row r="839" spans="1:22">
      <c r="A839" s="92"/>
      <c r="B839" s="146"/>
      <c r="C839" s="151">
        <v>0.17499999999999999</v>
      </c>
      <c r="D839" s="137"/>
      <c r="E839" s="138">
        <v>0.17499999999999999</v>
      </c>
      <c r="F839" s="139"/>
      <c r="G839" s="98"/>
      <c r="H839" s="99"/>
      <c r="I839" s="99"/>
      <c r="J839" s="100"/>
      <c r="K839" s="99"/>
      <c r="L839" s="99"/>
      <c r="M839" s="99"/>
      <c r="N839" s="99"/>
      <c r="O839" s="112"/>
      <c r="P839" s="140" t="str">
        <f>IF($G839=8,$O839,"")</f>
        <v/>
      </c>
      <c r="Q839" s="140" t="str">
        <f>IF($G839=10,$O839,"")</f>
        <v/>
      </c>
      <c r="R839" s="140" t="str">
        <f>IF($G839=12,$O839,"")</f>
        <v/>
      </c>
      <c r="S839" s="140" t="str">
        <f>IF($G839=16,$O839,"")</f>
        <v/>
      </c>
      <c r="T839" s="140" t="str">
        <f>IF($G839=20,$O839,"")</f>
        <v/>
      </c>
      <c r="U839" s="140" t="str">
        <f>IF($G839=25,$O839,"")</f>
        <v/>
      </c>
      <c r="V839" s="99"/>
    </row>
    <row r="840" spans="1:22">
      <c r="A840" s="92"/>
      <c r="B840" s="146"/>
      <c r="C840" s="136"/>
      <c r="D840" s="137"/>
      <c r="E840" s="138"/>
      <c r="F840" s="139"/>
      <c r="G840" s="98"/>
      <c r="H840" s="99"/>
      <c r="I840" s="99"/>
      <c r="J840" s="100"/>
      <c r="K840" s="99"/>
      <c r="L840" s="99"/>
      <c r="M840" s="99"/>
      <c r="N840" s="99"/>
      <c r="O840" s="112"/>
      <c r="P840" s="140" t="str">
        <f t="shared" si="145"/>
        <v/>
      </c>
      <c r="Q840" s="140" t="str">
        <f t="shared" si="146"/>
        <v/>
      </c>
      <c r="R840" s="140" t="str">
        <f t="shared" si="147"/>
        <v/>
      </c>
      <c r="S840" s="140" t="str">
        <f t="shared" si="148"/>
        <v/>
      </c>
      <c r="T840" s="140" t="str">
        <f t="shared" si="149"/>
        <v/>
      </c>
      <c r="U840" s="140" t="str">
        <f t="shared" si="150"/>
        <v/>
      </c>
      <c r="V840" s="99"/>
    </row>
    <row r="841" spans="1:22">
      <c r="A841" s="92"/>
      <c r="B841" s="146"/>
      <c r="C841" s="136"/>
      <c r="D841" s="109">
        <f>0.3-0.08</f>
        <v>0.21999999999999997</v>
      </c>
      <c r="E841" s="138"/>
      <c r="F841" s="139"/>
      <c r="G841" s="98"/>
      <c r="H841" s="99"/>
      <c r="I841" s="99"/>
      <c r="J841" s="100"/>
      <c r="K841" s="99"/>
      <c r="L841" s="99"/>
      <c r="M841" s="99"/>
      <c r="N841" s="99"/>
      <c r="O841" s="112"/>
      <c r="P841" s="140" t="str">
        <f t="shared" si="145"/>
        <v/>
      </c>
      <c r="Q841" s="140" t="str">
        <f t="shared" si="146"/>
        <v/>
      </c>
      <c r="R841" s="140" t="str">
        <f t="shared" si="147"/>
        <v/>
      </c>
      <c r="S841" s="140" t="str">
        <f t="shared" si="148"/>
        <v/>
      </c>
      <c r="T841" s="140" t="str">
        <f t="shared" si="149"/>
        <v/>
      </c>
      <c r="U841" s="140" t="str">
        <f t="shared" si="150"/>
        <v/>
      </c>
      <c r="V841" s="99"/>
    </row>
    <row r="842" spans="1:22">
      <c r="A842" s="92"/>
      <c r="B842" s="146"/>
      <c r="C842" s="136"/>
      <c r="D842" s="137"/>
      <c r="E842" s="138"/>
      <c r="F842" s="139"/>
      <c r="G842" s="98"/>
      <c r="H842" s="99"/>
      <c r="I842" s="99"/>
      <c r="J842" s="100"/>
      <c r="K842" s="99"/>
      <c r="L842" s="99"/>
      <c r="M842" s="99"/>
      <c r="N842" s="99"/>
      <c r="O842" s="112"/>
      <c r="P842" s="140" t="str">
        <f t="shared" si="145"/>
        <v/>
      </c>
      <c r="Q842" s="140" t="str">
        <f t="shared" si="146"/>
        <v/>
      </c>
      <c r="R842" s="140" t="str">
        <f t="shared" si="147"/>
        <v/>
      </c>
      <c r="S842" s="140" t="str">
        <f t="shared" si="148"/>
        <v/>
      </c>
      <c r="T842" s="140" t="str">
        <f t="shared" si="149"/>
        <v/>
      </c>
      <c r="U842" s="140" t="str">
        <f t="shared" si="150"/>
        <v/>
      </c>
      <c r="V842" s="99"/>
    </row>
    <row r="843" spans="1:22">
      <c r="A843" s="92"/>
      <c r="B843" s="146" t="s">
        <v>385</v>
      </c>
      <c r="C843" s="136"/>
      <c r="D843" s="142"/>
      <c r="E843" s="138"/>
      <c r="F843" s="139"/>
      <c r="G843" s="98">
        <v>8</v>
      </c>
      <c r="H843" s="99">
        <v>4</v>
      </c>
      <c r="I843" s="111">
        <f>((1.68-2*0.6)/0.15)+1</f>
        <v>4.2</v>
      </c>
      <c r="J843" s="149">
        <f>C844+D846+E844+2*8*G843/1000</f>
        <v>0.69799999999999995</v>
      </c>
      <c r="K843" s="99"/>
      <c r="L843" s="99">
        <v>4</v>
      </c>
      <c r="M843" s="112">
        <f>2*G843*L843/1000</f>
        <v>6.4000000000000001E-2</v>
      </c>
      <c r="N843" s="112">
        <f>(J843+K843-M843)</f>
        <v>0.6339999999999999</v>
      </c>
      <c r="O843" s="112">
        <f>(H843*I843*N843)</f>
        <v>10.651199999999999</v>
      </c>
      <c r="P843" s="140">
        <f t="shared" si="145"/>
        <v>10.651199999999999</v>
      </c>
      <c r="Q843" s="140" t="str">
        <f t="shared" si="146"/>
        <v/>
      </c>
      <c r="R843" s="140" t="str">
        <f t="shared" si="147"/>
        <v/>
      </c>
      <c r="S843" s="140" t="str">
        <f t="shared" si="148"/>
        <v/>
      </c>
      <c r="T843" s="140" t="str">
        <f t="shared" si="149"/>
        <v/>
      </c>
      <c r="U843" s="140" t="str">
        <f t="shared" si="150"/>
        <v/>
      </c>
      <c r="V843" s="99"/>
    </row>
    <row r="844" spans="1:22">
      <c r="A844" s="92"/>
      <c r="B844" s="146"/>
      <c r="C844" s="151">
        <v>0.17499999999999999</v>
      </c>
      <c r="D844" s="137"/>
      <c r="E844" s="138">
        <v>0.17499999999999999</v>
      </c>
      <c r="F844" s="139"/>
      <c r="G844" s="98"/>
      <c r="H844" s="99"/>
      <c r="I844" s="99"/>
      <c r="J844" s="100"/>
      <c r="K844" s="99"/>
      <c r="L844" s="99"/>
      <c r="M844" s="99"/>
      <c r="N844" s="99"/>
      <c r="O844" s="112"/>
      <c r="P844" s="140" t="str">
        <f>IF($G844=8,$O844,"")</f>
        <v/>
      </c>
      <c r="Q844" s="140" t="str">
        <f>IF($G844=10,$O844,"")</f>
        <v/>
      </c>
      <c r="R844" s="140" t="str">
        <f>IF($G844=12,$O844,"")</f>
        <v/>
      </c>
      <c r="S844" s="140" t="str">
        <f>IF($G844=16,$O844,"")</f>
        <v/>
      </c>
      <c r="T844" s="140" t="str">
        <f>IF($G844=20,$O844,"")</f>
        <v/>
      </c>
      <c r="U844" s="140" t="str">
        <f>IF($G844=25,$O844,"")</f>
        <v/>
      </c>
      <c r="V844" s="99"/>
    </row>
    <row r="845" spans="1:22">
      <c r="A845" s="92"/>
      <c r="B845" s="146"/>
      <c r="C845" s="136"/>
      <c r="D845" s="137"/>
      <c r="E845" s="138"/>
      <c r="F845" s="139"/>
      <c r="G845" s="98"/>
      <c r="H845" s="99"/>
      <c r="I845" s="99"/>
      <c r="J845" s="100"/>
      <c r="K845" s="99"/>
      <c r="L845" s="99"/>
      <c r="M845" s="99"/>
      <c r="N845" s="99"/>
      <c r="O845" s="101"/>
      <c r="P845" s="140" t="str">
        <f t="shared" si="145"/>
        <v/>
      </c>
      <c r="Q845" s="140" t="str">
        <f t="shared" si="146"/>
        <v/>
      </c>
      <c r="R845" s="140" t="str">
        <f t="shared" si="147"/>
        <v/>
      </c>
      <c r="S845" s="140" t="str">
        <f t="shared" si="148"/>
        <v/>
      </c>
      <c r="T845" s="140" t="str">
        <f t="shared" si="149"/>
        <v/>
      </c>
      <c r="U845" s="140" t="str">
        <f t="shared" si="150"/>
        <v/>
      </c>
      <c r="V845" s="99"/>
    </row>
    <row r="846" spans="1:22">
      <c r="A846" s="92"/>
      <c r="B846" s="146"/>
      <c r="C846" s="136"/>
      <c r="D846" s="109">
        <f>0.3-0.08</f>
        <v>0.21999999999999997</v>
      </c>
      <c r="E846" s="138"/>
      <c r="F846" s="139"/>
      <c r="G846" s="98"/>
      <c r="H846" s="99"/>
      <c r="I846" s="99"/>
      <c r="J846" s="100"/>
      <c r="K846" s="99"/>
      <c r="L846" s="99"/>
      <c r="M846" s="99"/>
      <c r="N846" s="99"/>
      <c r="O846" s="101"/>
      <c r="P846" s="140" t="str">
        <f t="shared" si="145"/>
        <v/>
      </c>
      <c r="Q846" s="140" t="str">
        <f t="shared" si="146"/>
        <v/>
      </c>
      <c r="R846" s="140" t="str">
        <f t="shared" si="147"/>
        <v/>
      </c>
      <c r="S846" s="140" t="str">
        <f t="shared" si="148"/>
        <v/>
      </c>
      <c r="T846" s="140" t="str">
        <f t="shared" si="149"/>
        <v/>
      </c>
      <c r="U846" s="140" t="str">
        <f t="shared" si="150"/>
        <v/>
      </c>
      <c r="V846" s="99"/>
    </row>
    <row r="847" spans="1:22">
      <c r="A847" s="92"/>
      <c r="B847" s="141"/>
      <c r="C847" s="136"/>
      <c r="D847" s="137"/>
      <c r="E847" s="138"/>
      <c r="F847" s="139"/>
      <c r="G847" s="98"/>
      <c r="H847" s="99"/>
      <c r="I847" s="99"/>
      <c r="J847" s="100"/>
      <c r="K847" s="99"/>
      <c r="L847" s="99"/>
      <c r="M847" s="99"/>
      <c r="N847" s="99"/>
      <c r="O847" s="101"/>
      <c r="P847" s="140" t="str">
        <f t="shared" si="105"/>
        <v/>
      </c>
      <c r="Q847" s="140" t="str">
        <f t="shared" si="106"/>
        <v/>
      </c>
      <c r="R847" s="140" t="str">
        <f t="shared" si="107"/>
        <v/>
      </c>
      <c r="S847" s="140" t="str">
        <f t="shared" si="108"/>
        <v/>
      </c>
      <c r="T847" s="140" t="str">
        <f t="shared" si="109"/>
        <v/>
      </c>
      <c r="U847" s="140" t="str">
        <f t="shared" si="110"/>
        <v/>
      </c>
      <c r="V847" s="99"/>
    </row>
    <row r="848" spans="1:22">
      <c r="A848" s="92">
        <v>4</v>
      </c>
      <c r="B848" s="92" t="s">
        <v>388</v>
      </c>
      <c r="C848" s="136"/>
      <c r="D848" s="137"/>
      <c r="E848" s="138"/>
      <c r="F848" s="139"/>
      <c r="G848" s="98"/>
      <c r="H848" s="99"/>
      <c r="I848" s="99"/>
      <c r="J848" s="109"/>
      <c r="K848" s="112"/>
      <c r="L848" s="112"/>
      <c r="M848" s="99"/>
      <c r="N848" s="112"/>
      <c r="O848" s="112"/>
      <c r="P848" s="140" t="str">
        <f>IF($G848=8,$O848,"")</f>
        <v/>
      </c>
      <c r="Q848" s="140" t="str">
        <f>IF($G848=10,$O848,"")</f>
        <v/>
      </c>
      <c r="R848" s="140" t="str">
        <f>IF($G848=12,$O848,"")</f>
        <v/>
      </c>
      <c r="S848" s="140" t="str">
        <f>IF($G848=16,$O848,"")</f>
        <v/>
      </c>
      <c r="T848" s="140" t="str">
        <f>IF($G848=20,$O848,"")</f>
        <v/>
      </c>
      <c r="U848" s="140" t="str">
        <f>IF($G848=25,$O848,"")</f>
        <v/>
      </c>
      <c r="V848" s="99"/>
    </row>
    <row r="849" spans="1:22">
      <c r="A849" s="92"/>
      <c r="B849" s="141" t="s">
        <v>378</v>
      </c>
      <c r="C849" s="136"/>
      <c r="D849" s="142">
        <v>1.48</v>
      </c>
      <c r="E849" s="138"/>
      <c r="F849" s="139"/>
      <c r="G849" s="98">
        <v>20</v>
      </c>
      <c r="H849" s="99">
        <v>8</v>
      </c>
      <c r="I849" s="99">
        <v>4</v>
      </c>
      <c r="J849" s="109">
        <f>D849</f>
        <v>1.48</v>
      </c>
      <c r="K849" s="110" t="str">
        <f>IF(N849&lt;12,"0",0.049*G849)</f>
        <v>0</v>
      </c>
      <c r="L849" s="111">
        <v>0</v>
      </c>
      <c r="M849" s="99">
        <f>2*G849*L849/1000</f>
        <v>0</v>
      </c>
      <c r="N849" s="112">
        <f>J849+E851-M849</f>
        <v>1.48</v>
      </c>
      <c r="O849" s="112">
        <f>H849*I849*N849</f>
        <v>47.36</v>
      </c>
      <c r="P849" s="140" t="str">
        <f t="shared" si="105"/>
        <v/>
      </c>
      <c r="Q849" s="140" t="str">
        <f t="shared" si="106"/>
        <v/>
      </c>
      <c r="R849" s="140" t="str">
        <f t="shared" si="107"/>
        <v/>
      </c>
      <c r="S849" s="140" t="str">
        <f t="shared" si="108"/>
        <v/>
      </c>
      <c r="T849" s="140">
        <f t="shared" si="109"/>
        <v>47.36</v>
      </c>
      <c r="U849" s="140" t="str">
        <f t="shared" si="110"/>
        <v/>
      </c>
      <c r="V849" s="99"/>
    </row>
    <row r="850" spans="1:22">
      <c r="A850" s="92"/>
      <c r="B850" s="141" t="s">
        <v>379</v>
      </c>
      <c r="C850" s="136"/>
      <c r="D850" s="137"/>
      <c r="E850" s="138"/>
      <c r="F850" s="139"/>
      <c r="G850" s="98">
        <v>20</v>
      </c>
      <c r="H850" s="99">
        <v>8</v>
      </c>
      <c r="I850" s="99">
        <v>2</v>
      </c>
      <c r="J850" s="109">
        <f>D849</f>
        <v>1.48</v>
      </c>
      <c r="K850" s="110" t="str">
        <f t="shared" ref="K850:K853" si="151">IF(N850&lt;12,"0",0.049*G850)</f>
        <v>0</v>
      </c>
      <c r="L850" s="111">
        <v>0</v>
      </c>
      <c r="M850" s="99">
        <f t="shared" ref="M850:M853" si="152">2*G850*L850/1000</f>
        <v>0</v>
      </c>
      <c r="N850" s="112">
        <f>J850+E851-M850</f>
        <v>1.48</v>
      </c>
      <c r="O850" s="112">
        <f>H850*I850*N850</f>
        <v>23.68</v>
      </c>
      <c r="P850" s="140" t="str">
        <f t="shared" si="105"/>
        <v/>
      </c>
      <c r="Q850" s="140" t="str">
        <f t="shared" si="106"/>
        <v/>
      </c>
      <c r="R850" s="140" t="str">
        <f t="shared" si="107"/>
        <v/>
      </c>
      <c r="S850" s="140" t="str">
        <f t="shared" si="108"/>
        <v/>
      </c>
      <c r="T850" s="140">
        <f t="shared" si="109"/>
        <v>23.68</v>
      </c>
      <c r="U850" s="140" t="str">
        <f t="shared" si="110"/>
        <v/>
      </c>
      <c r="V850" s="99"/>
    </row>
    <row r="851" spans="1:22">
      <c r="A851" s="92"/>
      <c r="B851" s="141" t="s">
        <v>380</v>
      </c>
      <c r="C851" s="143"/>
      <c r="D851" s="142"/>
      <c r="E851" s="144"/>
      <c r="F851" s="139"/>
      <c r="G851" s="98">
        <v>20</v>
      </c>
      <c r="H851" s="99">
        <v>8</v>
      </c>
      <c r="I851" s="99">
        <v>4</v>
      </c>
      <c r="J851" s="109">
        <f>D849</f>
        <v>1.48</v>
      </c>
      <c r="K851" s="110" t="str">
        <f t="shared" si="151"/>
        <v>0</v>
      </c>
      <c r="L851" s="111">
        <v>0</v>
      </c>
      <c r="M851" s="99">
        <f t="shared" si="152"/>
        <v>0</v>
      </c>
      <c r="N851" s="112">
        <f>J851+E851-M851</f>
        <v>1.48</v>
      </c>
      <c r="O851" s="112">
        <f>H851*I851*N851</f>
        <v>47.36</v>
      </c>
      <c r="P851" s="140" t="str">
        <f t="shared" si="105"/>
        <v/>
      </c>
      <c r="Q851" s="140" t="str">
        <f t="shared" si="106"/>
        <v/>
      </c>
      <c r="R851" s="140" t="str">
        <f t="shared" si="107"/>
        <v/>
      </c>
      <c r="S851" s="140" t="str">
        <f t="shared" si="108"/>
        <v/>
      </c>
      <c r="T851" s="140">
        <f t="shared" si="109"/>
        <v>47.36</v>
      </c>
      <c r="U851" s="140" t="str">
        <f t="shared" si="110"/>
        <v/>
      </c>
      <c r="V851" s="99"/>
    </row>
    <row r="852" spans="1:22">
      <c r="A852" s="92"/>
      <c r="B852" s="141" t="s">
        <v>381</v>
      </c>
      <c r="C852" s="136"/>
      <c r="D852" s="137"/>
      <c r="E852" s="138"/>
      <c r="F852" s="139"/>
      <c r="G852" s="98">
        <v>20</v>
      </c>
      <c r="H852" s="99">
        <v>8</v>
      </c>
      <c r="I852" s="99">
        <v>4</v>
      </c>
      <c r="J852" s="109">
        <f>D849</f>
        <v>1.48</v>
      </c>
      <c r="K852" s="110" t="str">
        <f t="shared" si="151"/>
        <v>0</v>
      </c>
      <c r="L852" s="111">
        <v>0</v>
      </c>
      <c r="M852" s="99">
        <f t="shared" si="152"/>
        <v>0</v>
      </c>
      <c r="N852" s="112">
        <f>J852+E851-M852</f>
        <v>1.48</v>
      </c>
      <c r="O852" s="112">
        <f>H852*I852*N852</f>
        <v>47.36</v>
      </c>
      <c r="P852" s="140" t="str">
        <f t="shared" si="105"/>
        <v/>
      </c>
      <c r="Q852" s="140" t="str">
        <f t="shared" si="106"/>
        <v/>
      </c>
      <c r="R852" s="140" t="str">
        <f t="shared" si="107"/>
        <v/>
      </c>
      <c r="S852" s="140" t="str">
        <f t="shared" si="108"/>
        <v/>
      </c>
      <c r="T852" s="140">
        <f t="shared" si="109"/>
        <v>47.36</v>
      </c>
      <c r="U852" s="140" t="str">
        <f t="shared" si="110"/>
        <v/>
      </c>
      <c r="V852" s="99"/>
    </row>
    <row r="853" spans="1:22">
      <c r="A853" s="92"/>
      <c r="B853" s="141" t="s">
        <v>389</v>
      </c>
      <c r="C853" s="136"/>
      <c r="D853" s="137"/>
      <c r="E853" s="138"/>
      <c r="F853" s="139"/>
      <c r="G853" s="98">
        <v>20</v>
      </c>
      <c r="H853" s="99">
        <v>8</v>
      </c>
      <c r="I853" s="99">
        <v>2</v>
      </c>
      <c r="J853" s="109">
        <f>D849</f>
        <v>1.48</v>
      </c>
      <c r="K853" s="110" t="str">
        <f t="shared" si="151"/>
        <v>0</v>
      </c>
      <c r="L853" s="111">
        <v>0</v>
      </c>
      <c r="M853" s="99">
        <f t="shared" si="152"/>
        <v>0</v>
      </c>
      <c r="N853" s="112">
        <f>J853+E851-M853</f>
        <v>1.48</v>
      </c>
      <c r="O853" s="112">
        <f>H853*I853*N853</f>
        <v>23.68</v>
      </c>
      <c r="P853" s="140" t="str">
        <f t="shared" si="105"/>
        <v/>
      </c>
      <c r="Q853" s="140" t="str">
        <f t="shared" si="106"/>
        <v/>
      </c>
      <c r="R853" s="140" t="str">
        <f t="shared" si="107"/>
        <v/>
      </c>
      <c r="S853" s="140" t="str">
        <f t="shared" si="108"/>
        <v/>
      </c>
      <c r="T853" s="140">
        <f t="shared" si="109"/>
        <v>23.68</v>
      </c>
      <c r="U853" s="140" t="str">
        <f t="shared" si="110"/>
        <v/>
      </c>
      <c r="V853" s="99"/>
    </row>
    <row r="854" spans="1:22">
      <c r="A854" s="92"/>
      <c r="B854" s="141"/>
      <c r="C854" s="136"/>
      <c r="D854" s="137"/>
      <c r="E854" s="138"/>
      <c r="F854" s="139"/>
      <c r="G854" s="98"/>
      <c r="H854" s="99"/>
      <c r="I854" s="99"/>
      <c r="J854" s="100"/>
      <c r="K854" s="99"/>
      <c r="L854" s="99"/>
      <c r="M854" s="99"/>
      <c r="N854" s="99"/>
      <c r="O854" s="101"/>
      <c r="P854" s="140" t="str">
        <f t="shared" si="105"/>
        <v/>
      </c>
      <c r="Q854" s="140" t="str">
        <f t="shared" si="106"/>
        <v/>
      </c>
      <c r="R854" s="140" t="str">
        <f t="shared" si="107"/>
        <v/>
      </c>
      <c r="S854" s="140" t="str">
        <f t="shared" si="108"/>
        <v/>
      </c>
      <c r="T854" s="140" t="str">
        <f t="shared" si="109"/>
        <v/>
      </c>
      <c r="U854" s="140" t="str">
        <f t="shared" si="110"/>
        <v/>
      </c>
      <c r="V854" s="99"/>
    </row>
    <row r="855" spans="1:22">
      <c r="A855" s="92"/>
      <c r="B855" s="429" t="s">
        <v>644</v>
      </c>
      <c r="C855" s="145">
        <v>0.08</v>
      </c>
      <c r="D855" s="137"/>
      <c r="E855" s="138"/>
      <c r="F855" s="139"/>
      <c r="G855" s="98"/>
      <c r="H855" s="99"/>
      <c r="I855" s="99"/>
      <c r="J855" s="100"/>
      <c r="K855" s="99"/>
      <c r="L855" s="99"/>
      <c r="M855" s="99"/>
      <c r="N855" s="99"/>
      <c r="O855" s="101"/>
      <c r="P855" s="140" t="str">
        <f t="shared" si="105"/>
        <v/>
      </c>
      <c r="Q855" s="140" t="str">
        <f t="shared" si="106"/>
        <v/>
      </c>
      <c r="R855" s="140" t="str">
        <f t="shared" si="107"/>
        <v/>
      </c>
      <c r="S855" s="140" t="str">
        <f t="shared" si="108"/>
        <v/>
      </c>
      <c r="T855" s="140" t="str">
        <f t="shared" si="109"/>
        <v/>
      </c>
      <c r="U855" s="140" t="str">
        <f t="shared" si="110"/>
        <v/>
      </c>
      <c r="V855" s="99"/>
    </row>
    <row r="856" spans="1:22">
      <c r="A856" s="92"/>
      <c r="B856" s="146" t="s">
        <v>382</v>
      </c>
      <c r="C856" s="147"/>
      <c r="D856" s="137"/>
      <c r="E856" s="148">
        <f>0.75-0.08</f>
        <v>0.67</v>
      </c>
      <c r="F856" s="139"/>
      <c r="G856" s="98">
        <v>10</v>
      </c>
      <c r="H856" s="99">
        <v>8</v>
      </c>
      <c r="I856" s="99">
        <f>((2*0.75)/0.075)+2</f>
        <v>22</v>
      </c>
      <c r="J856" s="149">
        <f>2*(D858+E856)+2*8*G856/1000</f>
        <v>1.94</v>
      </c>
      <c r="K856" s="99"/>
      <c r="L856" s="99">
        <v>5</v>
      </c>
      <c r="M856" s="112">
        <f>2*G856*L856/1000</f>
        <v>0.1</v>
      </c>
      <c r="N856" s="112">
        <f>(J856+K856-M856)</f>
        <v>1.8399999999999999</v>
      </c>
      <c r="O856" s="112">
        <f>(H856*I856*N856)</f>
        <v>323.83999999999997</v>
      </c>
      <c r="P856" s="140" t="str">
        <f t="shared" si="105"/>
        <v/>
      </c>
      <c r="Q856" s="140">
        <f t="shared" si="106"/>
        <v>323.83999999999997</v>
      </c>
      <c r="R856" s="140" t="str">
        <f t="shared" si="107"/>
        <v/>
      </c>
      <c r="S856" s="140" t="str">
        <f t="shared" si="108"/>
        <v/>
      </c>
      <c r="T856" s="140" t="str">
        <f t="shared" si="109"/>
        <v/>
      </c>
      <c r="U856" s="140" t="str">
        <f t="shared" si="110"/>
        <v/>
      </c>
      <c r="V856" s="99"/>
    </row>
    <row r="857" spans="1:22">
      <c r="A857" s="92"/>
      <c r="B857" s="146"/>
      <c r="C857" s="136"/>
      <c r="D857" s="137"/>
      <c r="E857" s="150"/>
      <c r="F857" s="139"/>
      <c r="G857" s="98"/>
      <c r="H857" s="99"/>
      <c r="I857" s="99"/>
      <c r="J857" s="100"/>
      <c r="K857" s="99"/>
      <c r="L857" s="99"/>
      <c r="M857" s="99"/>
      <c r="N857" s="99"/>
      <c r="O857" s="112"/>
      <c r="P857" s="140" t="str">
        <f t="shared" si="105"/>
        <v/>
      </c>
      <c r="Q857" s="140" t="str">
        <f t="shared" si="106"/>
        <v/>
      </c>
      <c r="R857" s="140" t="str">
        <f t="shared" si="107"/>
        <v/>
      </c>
      <c r="S857" s="140" t="str">
        <f t="shared" si="108"/>
        <v/>
      </c>
      <c r="T857" s="140" t="str">
        <f t="shared" si="109"/>
        <v/>
      </c>
      <c r="U857" s="140" t="str">
        <f t="shared" si="110"/>
        <v/>
      </c>
      <c r="V857" s="99"/>
    </row>
    <row r="858" spans="1:22">
      <c r="A858" s="92"/>
      <c r="B858" s="146"/>
      <c r="C858" s="136"/>
      <c r="D858" s="109">
        <f>0.3-0.08</f>
        <v>0.21999999999999997</v>
      </c>
      <c r="E858" s="138"/>
      <c r="F858" s="139"/>
      <c r="G858" s="98"/>
      <c r="H858" s="99"/>
      <c r="I858" s="99"/>
      <c r="J858" s="100"/>
      <c r="K858" s="99"/>
      <c r="L858" s="99"/>
      <c r="M858" s="99"/>
      <c r="N858" s="99"/>
      <c r="O858" s="112"/>
      <c r="P858" s="140" t="str">
        <f t="shared" si="105"/>
        <v/>
      </c>
      <c r="Q858" s="140" t="str">
        <f t="shared" si="106"/>
        <v/>
      </c>
      <c r="R858" s="140" t="str">
        <f t="shared" si="107"/>
        <v/>
      </c>
      <c r="S858" s="140" t="str">
        <f t="shared" si="108"/>
        <v/>
      </c>
      <c r="T858" s="140" t="str">
        <f t="shared" si="109"/>
        <v/>
      </c>
      <c r="U858" s="140" t="str">
        <f t="shared" si="110"/>
        <v/>
      </c>
      <c r="V858" s="99"/>
    </row>
    <row r="859" spans="1:22">
      <c r="A859" s="92"/>
      <c r="B859" s="141"/>
      <c r="C859" s="136"/>
      <c r="D859" s="137"/>
      <c r="E859" s="138"/>
      <c r="F859" s="139"/>
      <c r="G859" s="98"/>
      <c r="H859" s="99"/>
      <c r="I859" s="99"/>
      <c r="J859" s="100"/>
      <c r="K859" s="99"/>
      <c r="L859" s="99"/>
      <c r="M859" s="99"/>
      <c r="N859" s="99"/>
      <c r="O859" s="112"/>
      <c r="P859" s="140" t="str">
        <f t="shared" si="105"/>
        <v/>
      </c>
      <c r="Q859" s="140" t="str">
        <f t="shared" si="106"/>
        <v/>
      </c>
      <c r="R859" s="140" t="str">
        <f t="shared" si="107"/>
        <v/>
      </c>
      <c r="S859" s="140" t="str">
        <f t="shared" si="108"/>
        <v/>
      </c>
      <c r="T859" s="140" t="str">
        <f t="shared" si="109"/>
        <v/>
      </c>
      <c r="U859" s="140" t="str">
        <f t="shared" si="110"/>
        <v/>
      </c>
      <c r="V859" s="99"/>
    </row>
    <row r="860" spans="1:22">
      <c r="A860" s="92"/>
      <c r="B860" s="92"/>
      <c r="C860" s="145">
        <v>0.08</v>
      </c>
      <c r="D860" s="137"/>
      <c r="E860" s="138"/>
      <c r="F860" s="139"/>
      <c r="G860" s="98"/>
      <c r="H860" s="99"/>
      <c r="I860" s="99"/>
      <c r="J860" s="100"/>
      <c r="K860" s="99"/>
      <c r="L860" s="99"/>
      <c r="M860" s="99"/>
      <c r="N860" s="99"/>
      <c r="O860" s="112"/>
      <c r="P860" s="140" t="str">
        <f t="shared" si="105"/>
        <v/>
      </c>
      <c r="Q860" s="140" t="str">
        <f t="shared" si="106"/>
        <v/>
      </c>
      <c r="R860" s="140" t="str">
        <f t="shared" si="107"/>
        <v/>
      </c>
      <c r="S860" s="140" t="str">
        <f t="shared" si="108"/>
        <v/>
      </c>
      <c r="T860" s="140" t="str">
        <f t="shared" si="109"/>
        <v/>
      </c>
      <c r="U860" s="140" t="str">
        <f t="shared" si="110"/>
        <v/>
      </c>
      <c r="V860" s="99"/>
    </row>
    <row r="861" spans="1:22">
      <c r="A861" s="92"/>
      <c r="B861" s="146" t="s">
        <v>383</v>
      </c>
      <c r="C861" s="147"/>
      <c r="D861" s="137"/>
      <c r="E861" s="148">
        <f>(2*((0.75-0.08-0.016)/6))+0.012+0.02</f>
        <v>0.25</v>
      </c>
      <c r="F861" s="139"/>
      <c r="G861" s="98">
        <v>10</v>
      </c>
      <c r="H861" s="99">
        <v>8</v>
      </c>
      <c r="I861" s="99">
        <f>((2*0.75)/0.075)+2</f>
        <v>22</v>
      </c>
      <c r="J861" s="149">
        <f>2*(D863+E861)+2*8*G861/1000</f>
        <v>1.0999999999999999</v>
      </c>
      <c r="K861" s="99"/>
      <c r="L861" s="99">
        <v>5</v>
      </c>
      <c r="M861" s="112">
        <f>2*G861*L861/1000</f>
        <v>0.1</v>
      </c>
      <c r="N861" s="112">
        <f>(J861+K861-M861)</f>
        <v>0.99999999999999989</v>
      </c>
      <c r="O861" s="112">
        <f>(H861*I861*N861)</f>
        <v>175.99999999999997</v>
      </c>
      <c r="P861" s="140" t="str">
        <f t="shared" si="105"/>
        <v/>
      </c>
      <c r="Q861" s="140">
        <f t="shared" si="106"/>
        <v>175.99999999999997</v>
      </c>
      <c r="R861" s="140" t="str">
        <f t="shared" si="107"/>
        <v/>
      </c>
      <c r="S861" s="140" t="str">
        <f t="shared" si="108"/>
        <v/>
      </c>
      <c r="T861" s="140" t="str">
        <f t="shared" si="109"/>
        <v/>
      </c>
      <c r="U861" s="140" t="str">
        <f t="shared" si="110"/>
        <v/>
      </c>
      <c r="V861" s="99"/>
    </row>
    <row r="862" spans="1:22">
      <c r="A862" s="92"/>
      <c r="B862" s="146"/>
      <c r="C862" s="136"/>
      <c r="D862" s="137"/>
      <c r="E862" s="150"/>
      <c r="F862" s="139"/>
      <c r="G862" s="98"/>
      <c r="H862" s="99"/>
      <c r="I862" s="99"/>
      <c r="J862" s="100"/>
      <c r="K862" s="99"/>
      <c r="L862" s="99"/>
      <c r="M862" s="99"/>
      <c r="N862" s="99"/>
      <c r="O862" s="112"/>
      <c r="P862" s="140" t="str">
        <f t="shared" si="105"/>
        <v/>
      </c>
      <c r="Q862" s="140" t="str">
        <f t="shared" si="106"/>
        <v/>
      </c>
      <c r="R862" s="140" t="str">
        <f t="shared" si="107"/>
        <v/>
      </c>
      <c r="S862" s="140" t="str">
        <f t="shared" si="108"/>
        <v/>
      </c>
      <c r="T862" s="140" t="str">
        <f t="shared" si="109"/>
        <v/>
      </c>
      <c r="U862" s="140" t="str">
        <f t="shared" si="110"/>
        <v/>
      </c>
      <c r="V862" s="99"/>
    </row>
    <row r="863" spans="1:22">
      <c r="A863" s="92"/>
      <c r="B863" s="146"/>
      <c r="C863" s="136"/>
      <c r="D863" s="109">
        <f>0.3-0.08</f>
        <v>0.21999999999999997</v>
      </c>
      <c r="E863" s="138"/>
      <c r="F863" s="139"/>
      <c r="G863" s="98"/>
      <c r="H863" s="99"/>
      <c r="I863" s="99"/>
      <c r="J863" s="100"/>
      <c r="K863" s="99"/>
      <c r="L863" s="99"/>
      <c r="M863" s="99"/>
      <c r="N863" s="99"/>
      <c r="O863" s="112"/>
      <c r="P863" s="140" t="str">
        <f t="shared" si="105"/>
        <v/>
      </c>
      <c r="Q863" s="140" t="str">
        <f t="shared" si="106"/>
        <v/>
      </c>
      <c r="R863" s="140" t="str">
        <f t="shared" si="107"/>
        <v/>
      </c>
      <c r="S863" s="140" t="str">
        <f t="shared" si="108"/>
        <v/>
      </c>
      <c r="T863" s="140" t="str">
        <f t="shared" si="109"/>
        <v/>
      </c>
      <c r="U863" s="140" t="str">
        <f t="shared" si="110"/>
        <v/>
      </c>
      <c r="V863" s="99"/>
    </row>
    <row r="864" spans="1:22">
      <c r="A864" s="92"/>
      <c r="B864" s="146"/>
      <c r="C864" s="136"/>
      <c r="D864" s="137"/>
      <c r="E864" s="138"/>
      <c r="F864" s="139"/>
      <c r="G864" s="98"/>
      <c r="H864" s="99"/>
      <c r="I864" s="99"/>
      <c r="J864" s="100"/>
      <c r="K864" s="99"/>
      <c r="L864" s="99"/>
      <c r="M864" s="99"/>
      <c r="N864" s="99"/>
      <c r="O864" s="112"/>
      <c r="P864" s="140" t="str">
        <f t="shared" si="105"/>
        <v/>
      </c>
      <c r="Q864" s="140" t="str">
        <f t="shared" si="106"/>
        <v/>
      </c>
      <c r="R864" s="140" t="str">
        <f t="shared" si="107"/>
        <v/>
      </c>
      <c r="S864" s="140" t="str">
        <f t="shared" si="108"/>
        <v/>
      </c>
      <c r="T864" s="140" t="str">
        <f t="shared" si="109"/>
        <v/>
      </c>
      <c r="U864" s="140" t="str">
        <f t="shared" si="110"/>
        <v/>
      </c>
      <c r="V864" s="99"/>
    </row>
    <row r="865" spans="1:22">
      <c r="A865" s="92"/>
      <c r="B865" s="146" t="s">
        <v>384</v>
      </c>
      <c r="C865" s="136"/>
      <c r="D865" s="142"/>
      <c r="E865" s="138"/>
      <c r="F865" s="139"/>
      <c r="G865" s="98">
        <v>10</v>
      </c>
      <c r="H865" s="99">
        <v>8</v>
      </c>
      <c r="I865" s="99">
        <f>((2*0.75)/0.075)+2</f>
        <v>22</v>
      </c>
      <c r="J865" s="149">
        <f>C866+D868+E866+2*8*G865/1000</f>
        <v>0.73</v>
      </c>
      <c r="K865" s="99"/>
      <c r="L865" s="99">
        <v>4</v>
      </c>
      <c r="M865" s="112">
        <f>2*G865*L865/1000</f>
        <v>0.08</v>
      </c>
      <c r="N865" s="112">
        <f>(J865+K865-M865)</f>
        <v>0.65</v>
      </c>
      <c r="O865" s="112">
        <f>(H865*I865*N865)</f>
        <v>114.4</v>
      </c>
      <c r="P865" s="140" t="str">
        <f t="shared" si="105"/>
        <v/>
      </c>
      <c r="Q865" s="140">
        <f t="shared" si="106"/>
        <v>114.4</v>
      </c>
      <c r="R865" s="140" t="str">
        <f t="shared" si="107"/>
        <v/>
      </c>
      <c r="S865" s="140" t="str">
        <f t="shared" si="108"/>
        <v/>
      </c>
      <c r="T865" s="140" t="str">
        <f t="shared" si="109"/>
        <v/>
      </c>
      <c r="U865" s="140" t="str">
        <f t="shared" si="110"/>
        <v/>
      </c>
      <c r="V865" s="99"/>
    </row>
    <row r="866" spans="1:22">
      <c r="A866" s="92"/>
      <c r="B866" s="146"/>
      <c r="C866" s="151">
        <v>0.17499999999999999</v>
      </c>
      <c r="D866" s="137"/>
      <c r="E866" s="138">
        <v>0.17499999999999999</v>
      </c>
      <c r="F866" s="139"/>
      <c r="G866" s="98"/>
      <c r="H866" s="99"/>
      <c r="I866" s="99"/>
      <c r="J866" s="100"/>
      <c r="K866" s="99"/>
      <c r="L866" s="99"/>
      <c r="M866" s="99"/>
      <c r="N866" s="99"/>
      <c r="O866" s="112"/>
      <c r="P866" s="140" t="str">
        <f>IF($G866=8,$O866,"")</f>
        <v/>
      </c>
      <c r="Q866" s="140" t="str">
        <f>IF($G866=10,$O866,"")</f>
        <v/>
      </c>
      <c r="R866" s="140" t="str">
        <f>IF($G866=12,$O866,"")</f>
        <v/>
      </c>
      <c r="S866" s="140" t="str">
        <f>IF($G866=16,$O866,"")</f>
        <v/>
      </c>
      <c r="T866" s="140" t="str">
        <f>IF($G866=20,$O866,"")</f>
        <v/>
      </c>
      <c r="U866" s="140" t="str">
        <f>IF($G866=25,$O866,"")</f>
        <v/>
      </c>
      <c r="V866" s="99"/>
    </row>
    <row r="867" spans="1:22">
      <c r="A867" s="92"/>
      <c r="B867" s="146"/>
      <c r="C867" s="136"/>
      <c r="D867" s="137"/>
      <c r="E867" s="138"/>
      <c r="F867" s="139"/>
      <c r="G867" s="98"/>
      <c r="H867" s="99"/>
      <c r="I867" s="99"/>
      <c r="J867" s="100"/>
      <c r="K867" s="99"/>
      <c r="L867" s="99"/>
      <c r="M867" s="99"/>
      <c r="N867" s="99"/>
      <c r="O867" s="112"/>
      <c r="P867" s="140" t="str">
        <f t="shared" si="105"/>
        <v/>
      </c>
      <c r="Q867" s="140" t="str">
        <f t="shared" si="106"/>
        <v/>
      </c>
      <c r="R867" s="140" t="str">
        <f t="shared" si="107"/>
        <v/>
      </c>
      <c r="S867" s="140" t="str">
        <f t="shared" si="108"/>
        <v/>
      </c>
      <c r="T867" s="140" t="str">
        <f t="shared" si="109"/>
        <v/>
      </c>
      <c r="U867" s="140" t="str">
        <f t="shared" si="110"/>
        <v/>
      </c>
      <c r="V867" s="99"/>
    </row>
    <row r="868" spans="1:22">
      <c r="A868" s="92"/>
      <c r="B868" s="146"/>
      <c r="C868" s="136"/>
      <c r="D868" s="109">
        <f>0.3-0.08</f>
        <v>0.21999999999999997</v>
      </c>
      <c r="E868" s="138"/>
      <c r="F868" s="139"/>
      <c r="G868" s="98"/>
      <c r="H868" s="99"/>
      <c r="I868" s="99"/>
      <c r="J868" s="100"/>
      <c r="K868" s="99"/>
      <c r="L868" s="99"/>
      <c r="M868" s="99"/>
      <c r="N868" s="99"/>
      <c r="O868" s="112"/>
      <c r="P868" s="140" t="str">
        <f t="shared" si="105"/>
        <v/>
      </c>
      <c r="Q868" s="140" t="str">
        <f t="shared" si="106"/>
        <v/>
      </c>
      <c r="R868" s="140" t="str">
        <f t="shared" si="107"/>
        <v/>
      </c>
      <c r="S868" s="140" t="str">
        <f t="shared" si="108"/>
        <v/>
      </c>
      <c r="T868" s="140" t="str">
        <f t="shared" si="109"/>
        <v/>
      </c>
      <c r="U868" s="140" t="str">
        <f t="shared" si="110"/>
        <v/>
      </c>
      <c r="V868" s="99"/>
    </row>
    <row r="869" spans="1:22">
      <c r="A869" s="92"/>
      <c r="B869" s="146"/>
      <c r="C869" s="136"/>
      <c r="D869" s="137"/>
      <c r="E869" s="138"/>
      <c r="F869" s="139"/>
      <c r="G869" s="98"/>
      <c r="H869" s="99"/>
      <c r="I869" s="99"/>
      <c r="J869" s="100"/>
      <c r="K869" s="99"/>
      <c r="L869" s="99"/>
      <c r="M869" s="99"/>
      <c r="N869" s="99"/>
      <c r="O869" s="112"/>
      <c r="P869" s="140" t="str">
        <f t="shared" si="105"/>
        <v/>
      </c>
      <c r="Q869" s="140" t="str">
        <f t="shared" si="106"/>
        <v/>
      </c>
      <c r="R869" s="140" t="str">
        <f t="shared" si="107"/>
        <v/>
      </c>
      <c r="S869" s="140" t="str">
        <f t="shared" si="108"/>
        <v/>
      </c>
      <c r="T869" s="140" t="str">
        <f t="shared" si="109"/>
        <v/>
      </c>
      <c r="U869" s="140" t="str">
        <f t="shared" si="110"/>
        <v/>
      </c>
      <c r="V869" s="99"/>
    </row>
    <row r="870" spans="1:22">
      <c r="A870" s="92"/>
      <c r="B870" s="146" t="s">
        <v>385</v>
      </c>
      <c r="C870" s="136"/>
      <c r="D870" s="142"/>
      <c r="E870" s="138"/>
      <c r="F870" s="139"/>
      <c r="G870" s="98">
        <v>10</v>
      </c>
      <c r="H870" s="99">
        <v>8</v>
      </c>
      <c r="I870" s="99">
        <f>((2*0.75)/0.075)+2</f>
        <v>22</v>
      </c>
      <c r="J870" s="149">
        <f>C871+D873+E871+2*8*G870/1000</f>
        <v>0.73</v>
      </c>
      <c r="K870" s="99"/>
      <c r="L870" s="99">
        <v>4</v>
      </c>
      <c r="M870" s="112">
        <f>2*G870*L870/1000</f>
        <v>0.08</v>
      </c>
      <c r="N870" s="112">
        <f>(J870+K870-M870)</f>
        <v>0.65</v>
      </c>
      <c r="O870" s="112">
        <f>(H870*I870*N870)</f>
        <v>114.4</v>
      </c>
      <c r="P870" s="140" t="str">
        <f t="shared" si="105"/>
        <v/>
      </c>
      <c r="Q870" s="140">
        <f t="shared" si="106"/>
        <v>114.4</v>
      </c>
      <c r="R870" s="140" t="str">
        <f t="shared" si="107"/>
        <v/>
      </c>
      <c r="S870" s="140" t="str">
        <f t="shared" si="108"/>
        <v/>
      </c>
      <c r="T870" s="140" t="str">
        <f t="shared" si="109"/>
        <v/>
      </c>
      <c r="U870" s="140" t="str">
        <f t="shared" si="110"/>
        <v/>
      </c>
      <c r="V870" s="99"/>
    </row>
    <row r="871" spans="1:22">
      <c r="A871" s="92"/>
      <c r="B871" s="146"/>
      <c r="C871" s="151">
        <v>0.17499999999999999</v>
      </c>
      <c r="D871" s="137"/>
      <c r="E871" s="138">
        <v>0.17499999999999999</v>
      </c>
      <c r="F871" s="139"/>
      <c r="G871" s="98"/>
      <c r="H871" s="99"/>
      <c r="I871" s="99"/>
      <c r="J871" s="100"/>
      <c r="K871" s="99"/>
      <c r="L871" s="99"/>
      <c r="M871" s="99"/>
      <c r="N871" s="99"/>
      <c r="O871" s="112"/>
      <c r="P871" s="140" t="str">
        <f t="shared" si="105"/>
        <v/>
      </c>
      <c r="Q871" s="140" t="str">
        <f t="shared" si="106"/>
        <v/>
      </c>
      <c r="R871" s="140" t="str">
        <f t="shared" si="107"/>
        <v/>
      </c>
      <c r="S871" s="140" t="str">
        <f t="shared" si="108"/>
        <v/>
      </c>
      <c r="T871" s="140" t="str">
        <f t="shared" si="109"/>
        <v/>
      </c>
      <c r="U871" s="140" t="str">
        <f t="shared" si="110"/>
        <v/>
      </c>
      <c r="V871" s="99"/>
    </row>
    <row r="872" spans="1:22">
      <c r="A872" s="92"/>
      <c r="B872" s="146"/>
      <c r="C872" s="136"/>
      <c r="D872" s="137"/>
      <c r="E872" s="138"/>
      <c r="F872" s="139"/>
      <c r="G872" s="98"/>
      <c r="H872" s="99"/>
      <c r="I872" s="99"/>
      <c r="J872" s="100"/>
      <c r="K872" s="99"/>
      <c r="L872" s="99"/>
      <c r="M872" s="99"/>
      <c r="N872" s="99"/>
      <c r="O872" s="101"/>
      <c r="P872" s="140" t="str">
        <f t="shared" si="105"/>
        <v/>
      </c>
      <c r="Q872" s="140" t="str">
        <f t="shared" si="106"/>
        <v/>
      </c>
      <c r="R872" s="140" t="str">
        <f t="shared" si="107"/>
        <v/>
      </c>
      <c r="S872" s="140" t="str">
        <f t="shared" si="108"/>
        <v/>
      </c>
      <c r="T872" s="140" t="str">
        <f t="shared" si="109"/>
        <v/>
      </c>
      <c r="U872" s="140" t="str">
        <f t="shared" si="110"/>
        <v/>
      </c>
      <c r="V872" s="99"/>
    </row>
    <row r="873" spans="1:22">
      <c r="A873" s="92"/>
      <c r="B873" s="146"/>
      <c r="C873" s="136"/>
      <c r="D873" s="109">
        <f>0.3-0.08</f>
        <v>0.21999999999999997</v>
      </c>
      <c r="E873" s="138"/>
      <c r="F873" s="139"/>
      <c r="G873" s="98"/>
      <c r="H873" s="99"/>
      <c r="I873" s="99"/>
      <c r="J873" s="100"/>
      <c r="K873" s="99"/>
      <c r="L873" s="99"/>
      <c r="M873" s="99"/>
      <c r="N873" s="99"/>
      <c r="O873" s="101"/>
      <c r="P873" s="140" t="str">
        <f t="shared" si="105"/>
        <v/>
      </c>
      <c r="Q873" s="140" t="str">
        <f t="shared" si="106"/>
        <v/>
      </c>
      <c r="R873" s="140" t="str">
        <f t="shared" si="107"/>
        <v/>
      </c>
      <c r="S873" s="140" t="str">
        <f t="shared" si="108"/>
        <v/>
      </c>
      <c r="T873" s="140" t="str">
        <f t="shared" si="109"/>
        <v/>
      </c>
      <c r="U873" s="140" t="str">
        <f t="shared" si="110"/>
        <v/>
      </c>
      <c r="V873" s="99"/>
    </row>
    <row r="874" spans="1:22">
      <c r="A874" s="92"/>
      <c r="B874" s="141"/>
      <c r="C874" s="136"/>
      <c r="D874" s="137"/>
      <c r="E874" s="138"/>
      <c r="F874" s="139"/>
      <c r="G874" s="98"/>
      <c r="H874" s="99"/>
      <c r="I874" s="99"/>
      <c r="J874" s="100"/>
      <c r="K874" s="99"/>
      <c r="L874" s="99"/>
      <c r="M874" s="99"/>
      <c r="N874" s="99"/>
      <c r="O874" s="101"/>
      <c r="P874" s="140" t="str">
        <f t="shared" si="105"/>
        <v/>
      </c>
      <c r="Q874" s="140" t="str">
        <f t="shared" si="106"/>
        <v/>
      </c>
      <c r="R874" s="140" t="str">
        <f t="shared" si="107"/>
        <v/>
      </c>
      <c r="S874" s="140" t="str">
        <f t="shared" si="108"/>
        <v/>
      </c>
      <c r="T874" s="140" t="str">
        <f t="shared" si="109"/>
        <v/>
      </c>
      <c r="U874" s="140" t="str">
        <f t="shared" si="110"/>
        <v/>
      </c>
      <c r="V874" s="99"/>
    </row>
    <row r="875" spans="1:22">
      <c r="A875" s="92"/>
      <c r="B875" s="141"/>
      <c r="C875" s="136"/>
      <c r="D875" s="137"/>
      <c r="E875" s="144">
        <v>0.08</v>
      </c>
      <c r="F875" s="139"/>
      <c r="G875" s="98"/>
      <c r="H875" s="99"/>
      <c r="I875" s="99"/>
      <c r="J875" s="100"/>
      <c r="K875" s="99"/>
      <c r="L875" s="99"/>
      <c r="M875" s="99"/>
      <c r="N875" s="99"/>
      <c r="O875" s="101"/>
      <c r="P875" s="140" t="str">
        <f t="shared" si="105"/>
        <v/>
      </c>
      <c r="Q875" s="140" t="str">
        <f t="shared" si="106"/>
        <v/>
      </c>
      <c r="R875" s="140" t="str">
        <f t="shared" si="107"/>
        <v/>
      </c>
      <c r="S875" s="140" t="str">
        <f t="shared" si="108"/>
        <v/>
      </c>
      <c r="T875" s="140" t="str">
        <f t="shared" si="109"/>
        <v/>
      </c>
      <c r="U875" s="140" t="str">
        <f t="shared" si="110"/>
        <v/>
      </c>
      <c r="V875" s="99"/>
    </row>
    <row r="876" spans="1:22">
      <c r="A876" s="92"/>
      <c r="B876" s="146" t="s">
        <v>390</v>
      </c>
      <c r="C876" s="136"/>
      <c r="D876" s="142">
        <f>0.3-0.08</f>
        <v>0.21999999999999997</v>
      </c>
      <c r="E876" s="144"/>
      <c r="F876" s="139"/>
      <c r="G876" s="98">
        <v>10</v>
      </c>
      <c r="H876" s="99">
        <v>8</v>
      </c>
      <c r="I876" s="99">
        <f>((2*0.75)/0.075)+2</f>
        <v>22</v>
      </c>
      <c r="J876" s="149">
        <f>D876+E875+E877</f>
        <v>0.38</v>
      </c>
      <c r="K876" s="99"/>
      <c r="L876" s="99">
        <v>2</v>
      </c>
      <c r="M876" s="112">
        <f>2*G876*L876/1000</f>
        <v>0.04</v>
      </c>
      <c r="N876" s="112">
        <f>(J876+K876-M876)</f>
        <v>0.34</v>
      </c>
      <c r="O876" s="112">
        <f>(H876*I876*N876)</f>
        <v>59.84</v>
      </c>
      <c r="P876" s="140" t="str">
        <f t="shared" si="105"/>
        <v/>
      </c>
      <c r="Q876" s="140">
        <f t="shared" si="106"/>
        <v>59.84</v>
      </c>
      <c r="R876" s="140" t="str">
        <f t="shared" si="107"/>
        <v/>
      </c>
      <c r="S876" s="140" t="str">
        <f t="shared" si="108"/>
        <v/>
      </c>
      <c r="T876" s="140" t="str">
        <f t="shared" si="109"/>
        <v/>
      </c>
      <c r="U876" s="140" t="str">
        <f t="shared" si="110"/>
        <v/>
      </c>
      <c r="V876" s="99"/>
    </row>
    <row r="877" spans="1:22">
      <c r="A877" s="92"/>
      <c r="B877" s="141"/>
      <c r="C877" s="136"/>
      <c r="D877" s="137"/>
      <c r="E877" s="144">
        <v>0.08</v>
      </c>
      <c r="F877" s="139"/>
      <c r="G877" s="98"/>
      <c r="H877" s="99"/>
      <c r="I877" s="99"/>
      <c r="J877" s="100"/>
      <c r="K877" s="99"/>
      <c r="L877" s="99"/>
      <c r="M877" s="99"/>
      <c r="N877" s="99"/>
      <c r="O877" s="101"/>
      <c r="P877" s="140" t="str">
        <f t="shared" si="105"/>
        <v/>
      </c>
      <c r="Q877" s="140" t="str">
        <f t="shared" si="106"/>
        <v/>
      </c>
      <c r="R877" s="140" t="str">
        <f t="shared" si="107"/>
        <v/>
      </c>
      <c r="S877" s="140" t="str">
        <f t="shared" si="108"/>
        <v/>
      </c>
      <c r="T877" s="140" t="str">
        <f t="shared" si="109"/>
        <v/>
      </c>
      <c r="U877" s="140" t="str">
        <f t="shared" si="110"/>
        <v/>
      </c>
      <c r="V877" s="99"/>
    </row>
    <row r="878" spans="1:22">
      <c r="A878" s="92"/>
      <c r="B878" s="141"/>
      <c r="C878" s="136"/>
      <c r="D878" s="137"/>
      <c r="E878" s="138"/>
      <c r="F878" s="139"/>
      <c r="G878" s="98"/>
      <c r="H878" s="99"/>
      <c r="I878" s="99"/>
      <c r="J878" s="100"/>
      <c r="K878" s="99"/>
      <c r="L878" s="99"/>
      <c r="M878" s="99"/>
      <c r="N878" s="99"/>
      <c r="O878" s="101"/>
      <c r="P878" s="140" t="str">
        <f t="shared" ref="P878:P941" si="153">IF($G878=8,$O878,"")</f>
        <v/>
      </c>
      <c r="Q878" s="140" t="str">
        <f t="shared" ref="Q878:Q941" si="154">IF($G878=10,$O878,"")</f>
        <v/>
      </c>
      <c r="R878" s="140" t="str">
        <f t="shared" ref="R878:R941" si="155">IF($G878=12,$O878,"")</f>
        <v/>
      </c>
      <c r="S878" s="140" t="str">
        <f t="shared" ref="S878:S941" si="156">IF($G878=16,$O878,"")</f>
        <v/>
      </c>
      <c r="T878" s="140" t="str">
        <f t="shared" ref="T878:T941" si="157">IF($G878=20,$O878,"")</f>
        <v/>
      </c>
      <c r="U878" s="140" t="str">
        <f t="shared" ref="U878:U941" si="158">IF($G878=25,$O878,"")</f>
        <v/>
      </c>
      <c r="V878" s="99"/>
    </row>
    <row r="879" spans="1:22">
      <c r="A879" s="92"/>
      <c r="B879" s="429" t="s">
        <v>645</v>
      </c>
      <c r="C879" s="145">
        <v>0.08</v>
      </c>
      <c r="D879" s="137"/>
      <c r="E879" s="138"/>
      <c r="F879" s="139"/>
      <c r="G879" s="98"/>
      <c r="H879" s="99"/>
      <c r="I879" s="99"/>
      <c r="J879" s="100"/>
      <c r="K879" s="99"/>
      <c r="L879" s="99"/>
      <c r="M879" s="99"/>
      <c r="N879" s="99"/>
      <c r="O879" s="101"/>
      <c r="P879" s="140" t="str">
        <f t="shared" si="153"/>
        <v/>
      </c>
      <c r="Q879" s="140" t="str">
        <f t="shared" si="154"/>
        <v/>
      </c>
      <c r="R879" s="140" t="str">
        <f t="shared" si="155"/>
        <v/>
      </c>
      <c r="S879" s="140" t="str">
        <f t="shared" si="156"/>
        <v/>
      </c>
      <c r="T879" s="140" t="str">
        <f t="shared" si="157"/>
        <v/>
      </c>
      <c r="U879" s="140" t="str">
        <f t="shared" si="158"/>
        <v/>
      </c>
      <c r="V879" s="99"/>
    </row>
    <row r="880" spans="1:22">
      <c r="A880" s="92"/>
      <c r="B880" s="146" t="s">
        <v>382</v>
      </c>
      <c r="C880" s="147"/>
      <c r="D880" s="137"/>
      <c r="E880" s="148">
        <f>0.75-0.08</f>
        <v>0.67</v>
      </c>
      <c r="F880" s="139"/>
      <c r="G880" s="98">
        <v>8</v>
      </c>
      <c r="H880" s="99">
        <v>8</v>
      </c>
      <c r="I880" s="111">
        <f>((1.48-2*0.75)/0.15)+1</f>
        <v>0.86666666666666647</v>
      </c>
      <c r="J880" s="149">
        <f>2*(D882+E880)+2*8*G880/1000</f>
        <v>1.9079999999999999</v>
      </c>
      <c r="K880" s="99"/>
      <c r="L880" s="99">
        <v>5</v>
      </c>
      <c r="M880" s="112">
        <f>2*G880*L880/1000</f>
        <v>0.08</v>
      </c>
      <c r="N880" s="112">
        <f>(J880+K880-M880)</f>
        <v>1.8279999999999998</v>
      </c>
      <c r="O880" s="112">
        <f>(H880*I880*N880)</f>
        <v>12.67413333333333</v>
      </c>
      <c r="P880" s="140">
        <f t="shared" si="153"/>
        <v>12.67413333333333</v>
      </c>
      <c r="Q880" s="140" t="str">
        <f t="shared" si="154"/>
        <v/>
      </c>
      <c r="R880" s="140" t="str">
        <f t="shared" si="155"/>
        <v/>
      </c>
      <c r="S880" s="140" t="str">
        <f t="shared" si="156"/>
        <v/>
      </c>
      <c r="T880" s="140" t="str">
        <f t="shared" si="157"/>
        <v/>
      </c>
      <c r="U880" s="140" t="str">
        <f t="shared" si="158"/>
        <v/>
      </c>
      <c r="V880" s="99"/>
    </row>
    <row r="881" spans="1:22">
      <c r="A881" s="92"/>
      <c r="B881" s="146"/>
      <c r="C881" s="136"/>
      <c r="D881" s="137"/>
      <c r="E881" s="150"/>
      <c r="F881" s="139"/>
      <c r="G881" s="98"/>
      <c r="H881" s="99"/>
      <c r="I881" s="99"/>
      <c r="J881" s="100"/>
      <c r="K881" s="99"/>
      <c r="L881" s="99"/>
      <c r="M881" s="99"/>
      <c r="N881" s="99"/>
      <c r="O881" s="112"/>
      <c r="P881" s="140" t="str">
        <f t="shared" si="153"/>
        <v/>
      </c>
      <c r="Q881" s="140" t="str">
        <f t="shared" si="154"/>
        <v/>
      </c>
      <c r="R881" s="140" t="str">
        <f t="shared" si="155"/>
        <v/>
      </c>
      <c r="S881" s="140" t="str">
        <f t="shared" si="156"/>
        <v/>
      </c>
      <c r="T881" s="140" t="str">
        <f t="shared" si="157"/>
        <v/>
      </c>
      <c r="U881" s="140" t="str">
        <f t="shared" si="158"/>
        <v/>
      </c>
      <c r="V881" s="99"/>
    </row>
    <row r="882" spans="1:22">
      <c r="A882" s="92"/>
      <c r="B882" s="146"/>
      <c r="C882" s="136"/>
      <c r="D882" s="109">
        <f>0.3-0.08</f>
        <v>0.21999999999999997</v>
      </c>
      <c r="E882" s="138"/>
      <c r="F882" s="139"/>
      <c r="G882" s="98"/>
      <c r="H882" s="99"/>
      <c r="I882" s="99"/>
      <c r="J882" s="100"/>
      <c r="K882" s="99"/>
      <c r="L882" s="99"/>
      <c r="M882" s="99"/>
      <c r="N882" s="99"/>
      <c r="O882" s="112"/>
      <c r="P882" s="140" t="str">
        <f t="shared" si="153"/>
        <v/>
      </c>
      <c r="Q882" s="140" t="str">
        <f t="shared" si="154"/>
        <v/>
      </c>
      <c r="R882" s="140" t="str">
        <f t="shared" si="155"/>
        <v/>
      </c>
      <c r="S882" s="140" t="str">
        <f t="shared" si="156"/>
        <v/>
      </c>
      <c r="T882" s="140" t="str">
        <f t="shared" si="157"/>
        <v/>
      </c>
      <c r="U882" s="140" t="str">
        <f t="shared" si="158"/>
        <v/>
      </c>
      <c r="V882" s="99"/>
    </row>
    <row r="883" spans="1:22">
      <c r="A883" s="92"/>
      <c r="B883" s="141"/>
      <c r="C883" s="136"/>
      <c r="D883" s="137"/>
      <c r="E883" s="138"/>
      <c r="F883" s="139"/>
      <c r="G883" s="98"/>
      <c r="H883" s="99"/>
      <c r="I883" s="99"/>
      <c r="J883" s="100"/>
      <c r="K883" s="99"/>
      <c r="L883" s="99"/>
      <c r="M883" s="99"/>
      <c r="N883" s="99"/>
      <c r="O883" s="112"/>
      <c r="P883" s="140" t="str">
        <f t="shared" si="153"/>
        <v/>
      </c>
      <c r="Q883" s="140" t="str">
        <f t="shared" si="154"/>
        <v/>
      </c>
      <c r="R883" s="140" t="str">
        <f t="shared" si="155"/>
        <v/>
      </c>
      <c r="S883" s="140" t="str">
        <f t="shared" si="156"/>
        <v/>
      </c>
      <c r="T883" s="140" t="str">
        <f t="shared" si="157"/>
        <v/>
      </c>
      <c r="U883" s="140" t="str">
        <f t="shared" si="158"/>
        <v/>
      </c>
      <c r="V883" s="99"/>
    </row>
    <row r="884" spans="1:22">
      <c r="A884" s="92"/>
      <c r="B884" s="92"/>
      <c r="C884" s="145">
        <v>0.08</v>
      </c>
      <c r="D884" s="137"/>
      <c r="E884" s="138"/>
      <c r="F884" s="139"/>
      <c r="G884" s="98"/>
      <c r="H884" s="99"/>
      <c r="I884" s="99"/>
      <c r="J884" s="100"/>
      <c r="K884" s="99"/>
      <c r="L884" s="99"/>
      <c r="M884" s="99"/>
      <c r="N884" s="99"/>
      <c r="O884" s="112"/>
      <c r="P884" s="140" t="str">
        <f t="shared" si="153"/>
        <v/>
      </c>
      <c r="Q884" s="140" t="str">
        <f t="shared" si="154"/>
        <v/>
      </c>
      <c r="R884" s="140" t="str">
        <f t="shared" si="155"/>
        <v/>
      </c>
      <c r="S884" s="140" t="str">
        <f t="shared" si="156"/>
        <v/>
      </c>
      <c r="T884" s="140" t="str">
        <f t="shared" si="157"/>
        <v/>
      </c>
      <c r="U884" s="140" t="str">
        <f t="shared" si="158"/>
        <v/>
      </c>
      <c r="V884" s="99"/>
    </row>
    <row r="885" spans="1:22">
      <c r="A885" s="92"/>
      <c r="B885" s="146" t="s">
        <v>383</v>
      </c>
      <c r="C885" s="147"/>
      <c r="D885" s="137"/>
      <c r="E885" s="148">
        <f>(2*((0.75-0.08-0.016)/6))+0.012+0.02</f>
        <v>0.25</v>
      </c>
      <c r="F885" s="139"/>
      <c r="G885" s="98">
        <v>8</v>
      </c>
      <c r="H885" s="99">
        <v>8</v>
      </c>
      <c r="I885" s="111">
        <f>((1.48-2*0.75)/0.15)+1</f>
        <v>0.86666666666666647</v>
      </c>
      <c r="J885" s="149">
        <f>2*(D887+E885)+2*8*G885/1000</f>
        <v>1.0680000000000001</v>
      </c>
      <c r="K885" s="99"/>
      <c r="L885" s="99">
        <v>5</v>
      </c>
      <c r="M885" s="112">
        <f>2*G885*L885/1000</f>
        <v>0.08</v>
      </c>
      <c r="N885" s="112">
        <f>(J885+K885-M885)</f>
        <v>0.9880000000000001</v>
      </c>
      <c r="O885" s="112">
        <f>(H885*I885*N885)</f>
        <v>6.8501333333333321</v>
      </c>
      <c r="P885" s="140">
        <f t="shared" si="153"/>
        <v>6.8501333333333321</v>
      </c>
      <c r="Q885" s="140" t="str">
        <f t="shared" si="154"/>
        <v/>
      </c>
      <c r="R885" s="140" t="str">
        <f t="shared" si="155"/>
        <v/>
      </c>
      <c r="S885" s="140" t="str">
        <f t="shared" si="156"/>
        <v/>
      </c>
      <c r="T885" s="140" t="str">
        <f t="shared" si="157"/>
        <v/>
      </c>
      <c r="U885" s="140" t="str">
        <f t="shared" si="158"/>
        <v/>
      </c>
      <c r="V885" s="99"/>
    </row>
    <row r="886" spans="1:22">
      <c r="A886" s="92"/>
      <c r="B886" s="146"/>
      <c r="C886" s="136"/>
      <c r="D886" s="137"/>
      <c r="E886" s="150"/>
      <c r="F886" s="139"/>
      <c r="G886" s="98"/>
      <c r="H886" s="99"/>
      <c r="I886" s="99"/>
      <c r="J886" s="100"/>
      <c r="K886" s="99"/>
      <c r="L886" s="99"/>
      <c r="M886" s="99"/>
      <c r="N886" s="99"/>
      <c r="O886" s="112"/>
      <c r="P886" s="140" t="str">
        <f t="shared" si="153"/>
        <v/>
      </c>
      <c r="Q886" s="140" t="str">
        <f t="shared" si="154"/>
        <v/>
      </c>
      <c r="R886" s="140" t="str">
        <f t="shared" si="155"/>
        <v/>
      </c>
      <c r="S886" s="140" t="str">
        <f t="shared" si="156"/>
        <v/>
      </c>
      <c r="T886" s="140" t="str">
        <f t="shared" si="157"/>
        <v/>
      </c>
      <c r="U886" s="140" t="str">
        <f t="shared" si="158"/>
        <v/>
      </c>
      <c r="V886" s="99"/>
    </row>
    <row r="887" spans="1:22">
      <c r="A887" s="92"/>
      <c r="B887" s="146"/>
      <c r="C887" s="136"/>
      <c r="D887" s="109">
        <f>0.3-0.08</f>
        <v>0.21999999999999997</v>
      </c>
      <c r="E887" s="138"/>
      <c r="F887" s="139"/>
      <c r="G887" s="98"/>
      <c r="H887" s="99"/>
      <c r="I887" s="99"/>
      <c r="J887" s="100"/>
      <c r="K887" s="99"/>
      <c r="L887" s="99"/>
      <c r="M887" s="99"/>
      <c r="N887" s="99"/>
      <c r="O887" s="112"/>
      <c r="P887" s="140" t="str">
        <f t="shared" si="153"/>
        <v/>
      </c>
      <c r="Q887" s="140" t="str">
        <f t="shared" si="154"/>
        <v/>
      </c>
      <c r="R887" s="140" t="str">
        <f t="shared" si="155"/>
        <v/>
      </c>
      <c r="S887" s="140" t="str">
        <f t="shared" si="156"/>
        <v/>
      </c>
      <c r="T887" s="140" t="str">
        <f t="shared" si="157"/>
        <v/>
      </c>
      <c r="U887" s="140" t="str">
        <f t="shared" si="158"/>
        <v/>
      </c>
      <c r="V887" s="99"/>
    </row>
    <row r="888" spans="1:22">
      <c r="A888" s="92"/>
      <c r="B888" s="146"/>
      <c r="C888" s="136"/>
      <c r="D888" s="137"/>
      <c r="E888" s="138"/>
      <c r="F888" s="139"/>
      <c r="G888" s="98"/>
      <c r="H888" s="99"/>
      <c r="I888" s="99"/>
      <c r="J888" s="100"/>
      <c r="K888" s="99"/>
      <c r="L888" s="99"/>
      <c r="M888" s="99"/>
      <c r="N888" s="99"/>
      <c r="O888" s="112"/>
      <c r="P888" s="140" t="str">
        <f t="shared" si="153"/>
        <v/>
      </c>
      <c r="Q888" s="140" t="str">
        <f t="shared" si="154"/>
        <v/>
      </c>
      <c r="R888" s="140" t="str">
        <f t="shared" si="155"/>
        <v/>
      </c>
      <c r="S888" s="140" t="str">
        <f t="shared" si="156"/>
        <v/>
      </c>
      <c r="T888" s="140" t="str">
        <f t="shared" si="157"/>
        <v/>
      </c>
      <c r="U888" s="140" t="str">
        <f t="shared" si="158"/>
        <v/>
      </c>
      <c r="V888" s="99"/>
    </row>
    <row r="889" spans="1:22">
      <c r="A889" s="92"/>
      <c r="B889" s="146" t="s">
        <v>384</v>
      </c>
      <c r="C889" s="136"/>
      <c r="D889" s="142"/>
      <c r="E889" s="138"/>
      <c r="F889" s="139"/>
      <c r="G889" s="98">
        <v>8</v>
      </c>
      <c r="H889" s="99">
        <v>8</v>
      </c>
      <c r="I889" s="111">
        <f>((1.48-2*0.75)/0.15)+1</f>
        <v>0.86666666666666647</v>
      </c>
      <c r="J889" s="149">
        <f>C890+D892+E890+2*8*G889/1000</f>
        <v>0.69799999999999995</v>
      </c>
      <c r="K889" s="99"/>
      <c r="L889" s="99">
        <v>4</v>
      </c>
      <c r="M889" s="112">
        <f>2*G889*L889/1000</f>
        <v>6.4000000000000001E-2</v>
      </c>
      <c r="N889" s="112">
        <f>(J889+K889-M889)</f>
        <v>0.6339999999999999</v>
      </c>
      <c r="O889" s="112">
        <f>(H889*I889*N889)</f>
        <v>4.3957333333333315</v>
      </c>
      <c r="P889" s="140">
        <f t="shared" si="153"/>
        <v>4.3957333333333315</v>
      </c>
      <c r="Q889" s="140" t="str">
        <f t="shared" si="154"/>
        <v/>
      </c>
      <c r="R889" s="140" t="str">
        <f t="shared" si="155"/>
        <v/>
      </c>
      <c r="S889" s="140" t="str">
        <f t="shared" si="156"/>
        <v/>
      </c>
      <c r="T889" s="140" t="str">
        <f t="shared" si="157"/>
        <v/>
      </c>
      <c r="U889" s="140" t="str">
        <f t="shared" si="158"/>
        <v/>
      </c>
      <c r="V889" s="99"/>
    </row>
    <row r="890" spans="1:22">
      <c r="A890" s="92"/>
      <c r="B890" s="146"/>
      <c r="C890" s="151">
        <v>0.17499999999999999</v>
      </c>
      <c r="D890" s="137"/>
      <c r="E890" s="138">
        <v>0.17499999999999999</v>
      </c>
      <c r="F890" s="139"/>
      <c r="G890" s="98"/>
      <c r="H890" s="99"/>
      <c r="I890" s="99"/>
      <c r="J890" s="100"/>
      <c r="K890" s="99"/>
      <c r="L890" s="99"/>
      <c r="M890" s="99"/>
      <c r="N890" s="99"/>
      <c r="O890" s="112"/>
      <c r="P890" s="140" t="str">
        <f>IF($G890=8,$O890,"")</f>
        <v/>
      </c>
      <c r="Q890" s="140" t="str">
        <f>IF($G890=10,$O890,"")</f>
        <v/>
      </c>
      <c r="R890" s="140" t="str">
        <f>IF($G890=12,$O890,"")</f>
        <v/>
      </c>
      <c r="S890" s="140" t="str">
        <f>IF($G890=16,$O890,"")</f>
        <v/>
      </c>
      <c r="T890" s="140" t="str">
        <f>IF($G890=20,$O890,"")</f>
        <v/>
      </c>
      <c r="U890" s="140" t="str">
        <f>IF($G890=25,$O890,"")</f>
        <v/>
      </c>
      <c r="V890" s="99"/>
    </row>
    <row r="891" spans="1:22">
      <c r="A891" s="92"/>
      <c r="B891" s="146"/>
      <c r="C891" s="136"/>
      <c r="D891" s="137"/>
      <c r="E891" s="138"/>
      <c r="F891" s="139"/>
      <c r="G891" s="98"/>
      <c r="H891" s="99"/>
      <c r="I891" s="99"/>
      <c r="J891" s="100"/>
      <c r="K891" s="99"/>
      <c r="L891" s="99"/>
      <c r="M891" s="99"/>
      <c r="N891" s="99"/>
      <c r="O891" s="112"/>
      <c r="P891" s="140" t="str">
        <f t="shared" si="153"/>
        <v/>
      </c>
      <c r="Q891" s="140" t="str">
        <f t="shared" si="154"/>
        <v/>
      </c>
      <c r="R891" s="140" t="str">
        <f t="shared" si="155"/>
        <v/>
      </c>
      <c r="S891" s="140" t="str">
        <f t="shared" si="156"/>
        <v/>
      </c>
      <c r="T891" s="140" t="str">
        <f t="shared" si="157"/>
        <v/>
      </c>
      <c r="U891" s="140" t="str">
        <f t="shared" si="158"/>
        <v/>
      </c>
      <c r="V891" s="99"/>
    </row>
    <row r="892" spans="1:22">
      <c r="A892" s="92"/>
      <c r="B892" s="146"/>
      <c r="C892" s="136"/>
      <c r="D892" s="109">
        <f>0.3-0.08</f>
        <v>0.21999999999999997</v>
      </c>
      <c r="E892" s="138"/>
      <c r="F892" s="139"/>
      <c r="G892" s="98"/>
      <c r="H892" s="99"/>
      <c r="I892" s="99"/>
      <c r="J892" s="100"/>
      <c r="K892" s="99"/>
      <c r="L892" s="99"/>
      <c r="M892" s="99"/>
      <c r="N892" s="99"/>
      <c r="O892" s="112"/>
      <c r="P892" s="140" t="str">
        <f t="shared" si="153"/>
        <v/>
      </c>
      <c r="Q892" s="140" t="str">
        <f t="shared" si="154"/>
        <v/>
      </c>
      <c r="R892" s="140" t="str">
        <f t="shared" si="155"/>
        <v/>
      </c>
      <c r="S892" s="140" t="str">
        <f t="shared" si="156"/>
        <v/>
      </c>
      <c r="T892" s="140" t="str">
        <f t="shared" si="157"/>
        <v/>
      </c>
      <c r="U892" s="140" t="str">
        <f t="shared" si="158"/>
        <v/>
      </c>
      <c r="V892" s="99"/>
    </row>
    <row r="893" spans="1:22">
      <c r="A893" s="92"/>
      <c r="B893" s="146"/>
      <c r="C893" s="136"/>
      <c r="D893" s="137"/>
      <c r="E893" s="138"/>
      <c r="F893" s="139"/>
      <c r="G893" s="98"/>
      <c r="H893" s="99"/>
      <c r="I893" s="99"/>
      <c r="J893" s="100"/>
      <c r="K893" s="99"/>
      <c r="L893" s="99"/>
      <c r="M893" s="99"/>
      <c r="N893" s="99"/>
      <c r="O893" s="112"/>
      <c r="P893" s="140" t="str">
        <f t="shared" si="153"/>
        <v/>
      </c>
      <c r="Q893" s="140" t="str">
        <f t="shared" si="154"/>
        <v/>
      </c>
      <c r="R893" s="140" t="str">
        <f t="shared" si="155"/>
        <v/>
      </c>
      <c r="S893" s="140" t="str">
        <f t="shared" si="156"/>
        <v/>
      </c>
      <c r="T893" s="140" t="str">
        <f t="shared" si="157"/>
        <v/>
      </c>
      <c r="U893" s="140" t="str">
        <f t="shared" si="158"/>
        <v/>
      </c>
      <c r="V893" s="99"/>
    </row>
    <row r="894" spans="1:22">
      <c r="A894" s="92"/>
      <c r="B894" s="146" t="s">
        <v>385</v>
      </c>
      <c r="C894" s="136"/>
      <c r="D894" s="142"/>
      <c r="E894" s="138"/>
      <c r="F894" s="139"/>
      <c r="G894" s="98">
        <v>8</v>
      </c>
      <c r="H894" s="99">
        <v>8</v>
      </c>
      <c r="I894" s="111">
        <f>((1.48-2*0.75)/0.15)+1</f>
        <v>0.86666666666666647</v>
      </c>
      <c r="J894" s="149">
        <f>C895+D897+E895+2*8*G894/1000</f>
        <v>0.69799999999999995</v>
      </c>
      <c r="K894" s="99"/>
      <c r="L894" s="99">
        <v>4</v>
      </c>
      <c r="M894" s="112">
        <f>2*G894*L894/1000</f>
        <v>6.4000000000000001E-2</v>
      </c>
      <c r="N894" s="112">
        <f>(J894+K894-M894)</f>
        <v>0.6339999999999999</v>
      </c>
      <c r="O894" s="112">
        <f>(H894*I894*N894)</f>
        <v>4.3957333333333315</v>
      </c>
      <c r="P894" s="140">
        <f t="shared" si="153"/>
        <v>4.3957333333333315</v>
      </c>
      <c r="Q894" s="140" t="str">
        <f t="shared" si="154"/>
        <v/>
      </c>
      <c r="R894" s="140" t="str">
        <f t="shared" si="155"/>
        <v/>
      </c>
      <c r="S894" s="140" t="str">
        <f t="shared" si="156"/>
        <v/>
      </c>
      <c r="T894" s="140" t="str">
        <f t="shared" si="157"/>
        <v/>
      </c>
      <c r="U894" s="140" t="str">
        <f t="shared" si="158"/>
        <v/>
      </c>
      <c r="V894" s="99"/>
    </row>
    <row r="895" spans="1:22">
      <c r="A895" s="92"/>
      <c r="B895" s="146"/>
      <c r="C895" s="151">
        <v>0.17499999999999999</v>
      </c>
      <c r="D895" s="137"/>
      <c r="E895" s="138">
        <v>0.17499999999999999</v>
      </c>
      <c r="F895" s="139"/>
      <c r="G895" s="98"/>
      <c r="H895" s="99"/>
      <c r="I895" s="99"/>
      <c r="J895" s="100"/>
      <c r="K895" s="99"/>
      <c r="L895" s="99"/>
      <c r="M895" s="99"/>
      <c r="N895" s="99"/>
      <c r="O895" s="112"/>
      <c r="P895" s="140" t="str">
        <f t="shared" si="153"/>
        <v/>
      </c>
      <c r="Q895" s="140" t="str">
        <f t="shared" si="154"/>
        <v/>
      </c>
      <c r="R895" s="140" t="str">
        <f t="shared" si="155"/>
        <v/>
      </c>
      <c r="S895" s="140" t="str">
        <f t="shared" si="156"/>
        <v/>
      </c>
      <c r="T895" s="140" t="str">
        <f t="shared" si="157"/>
        <v/>
      </c>
      <c r="U895" s="140" t="str">
        <f t="shared" si="158"/>
        <v/>
      </c>
      <c r="V895" s="99"/>
    </row>
    <row r="896" spans="1:22">
      <c r="A896" s="92"/>
      <c r="B896" s="146"/>
      <c r="C896" s="136"/>
      <c r="D896" s="137"/>
      <c r="E896" s="138"/>
      <c r="F896" s="139"/>
      <c r="G896" s="98"/>
      <c r="H896" s="99"/>
      <c r="I896" s="99"/>
      <c r="J896" s="100"/>
      <c r="K896" s="99"/>
      <c r="L896" s="99"/>
      <c r="M896" s="99"/>
      <c r="N896" s="99"/>
      <c r="O896" s="101"/>
      <c r="P896" s="140" t="str">
        <f t="shared" si="153"/>
        <v/>
      </c>
      <c r="Q896" s="140" t="str">
        <f t="shared" si="154"/>
        <v/>
      </c>
      <c r="R896" s="140" t="str">
        <f t="shared" si="155"/>
        <v/>
      </c>
      <c r="S896" s="140" t="str">
        <f t="shared" si="156"/>
        <v/>
      </c>
      <c r="T896" s="140" t="str">
        <f t="shared" si="157"/>
        <v/>
      </c>
      <c r="U896" s="140" t="str">
        <f t="shared" si="158"/>
        <v/>
      </c>
      <c r="V896" s="99"/>
    </row>
    <row r="897" spans="1:22">
      <c r="A897" s="92"/>
      <c r="B897" s="146"/>
      <c r="C897" s="136"/>
      <c r="D897" s="109">
        <f>0.3-0.08</f>
        <v>0.21999999999999997</v>
      </c>
      <c r="E897" s="138"/>
      <c r="F897" s="139"/>
      <c r="G897" s="98"/>
      <c r="H897" s="99"/>
      <c r="I897" s="99"/>
      <c r="J897" s="100"/>
      <c r="K897" s="99"/>
      <c r="L897" s="99"/>
      <c r="M897" s="99"/>
      <c r="N897" s="99"/>
      <c r="O897" s="101"/>
      <c r="P897" s="140" t="str">
        <f t="shared" si="153"/>
        <v/>
      </c>
      <c r="Q897" s="140" t="str">
        <f t="shared" si="154"/>
        <v/>
      </c>
      <c r="R897" s="140" t="str">
        <f t="shared" si="155"/>
        <v/>
      </c>
      <c r="S897" s="140" t="str">
        <f t="shared" si="156"/>
        <v/>
      </c>
      <c r="T897" s="140" t="str">
        <f t="shared" si="157"/>
        <v/>
      </c>
      <c r="U897" s="140" t="str">
        <f t="shared" si="158"/>
        <v/>
      </c>
      <c r="V897" s="99"/>
    </row>
    <row r="898" spans="1:22">
      <c r="A898" s="92"/>
      <c r="B898" s="141"/>
      <c r="C898" s="136"/>
      <c r="D898" s="137"/>
      <c r="E898" s="138"/>
      <c r="F898" s="139"/>
      <c r="G898" s="98"/>
      <c r="H898" s="99"/>
      <c r="I898" s="99"/>
      <c r="J898" s="100"/>
      <c r="K898" s="99"/>
      <c r="L898" s="99"/>
      <c r="M898" s="99"/>
      <c r="N898" s="99"/>
      <c r="O898" s="101"/>
      <c r="P898" s="140" t="str">
        <f t="shared" si="153"/>
        <v/>
      </c>
      <c r="Q898" s="140" t="str">
        <f t="shared" si="154"/>
        <v/>
      </c>
      <c r="R898" s="140" t="str">
        <f t="shared" si="155"/>
        <v/>
      </c>
      <c r="S898" s="140" t="str">
        <f t="shared" si="156"/>
        <v/>
      </c>
      <c r="T898" s="140" t="str">
        <f t="shared" si="157"/>
        <v/>
      </c>
      <c r="U898" s="140" t="str">
        <f t="shared" si="158"/>
        <v/>
      </c>
      <c r="V898" s="99"/>
    </row>
    <row r="899" spans="1:22">
      <c r="A899" s="92"/>
      <c r="B899" s="141"/>
      <c r="C899" s="136"/>
      <c r="D899" s="137"/>
      <c r="E899" s="144">
        <v>0.08</v>
      </c>
      <c r="F899" s="139"/>
      <c r="G899" s="98"/>
      <c r="H899" s="99"/>
      <c r="I899" s="99"/>
      <c r="J899" s="100"/>
      <c r="K899" s="99"/>
      <c r="L899" s="99"/>
      <c r="M899" s="99"/>
      <c r="N899" s="99"/>
      <c r="O899" s="101"/>
      <c r="P899" s="140" t="str">
        <f t="shared" si="153"/>
        <v/>
      </c>
      <c r="Q899" s="140" t="str">
        <f t="shared" si="154"/>
        <v/>
      </c>
      <c r="R899" s="140" t="str">
        <f t="shared" si="155"/>
        <v/>
      </c>
      <c r="S899" s="140" t="str">
        <f t="shared" si="156"/>
        <v/>
      </c>
      <c r="T899" s="140" t="str">
        <f t="shared" si="157"/>
        <v/>
      </c>
      <c r="U899" s="140" t="str">
        <f t="shared" si="158"/>
        <v/>
      </c>
      <c r="V899" s="99"/>
    </row>
    <row r="900" spans="1:22">
      <c r="A900" s="92"/>
      <c r="B900" s="146" t="s">
        <v>390</v>
      </c>
      <c r="C900" s="136"/>
      <c r="D900" s="142">
        <f>0.3-0.08</f>
        <v>0.21999999999999997</v>
      </c>
      <c r="E900" s="144"/>
      <c r="F900" s="139"/>
      <c r="G900" s="98">
        <v>8</v>
      </c>
      <c r="H900" s="99">
        <v>8</v>
      </c>
      <c r="I900" s="111">
        <f>((1.48-2*0.75)/0.15)+1</f>
        <v>0.86666666666666647</v>
      </c>
      <c r="J900" s="149">
        <f>D900+E899+E901</f>
        <v>0.38</v>
      </c>
      <c r="K900" s="99"/>
      <c r="L900" s="99">
        <v>2</v>
      </c>
      <c r="M900" s="112">
        <f>2*G900*L900/1000</f>
        <v>3.2000000000000001E-2</v>
      </c>
      <c r="N900" s="112">
        <f>(J900+K900-M900)</f>
        <v>0.34799999999999998</v>
      </c>
      <c r="O900" s="112">
        <f>(H900*I900*N900)</f>
        <v>2.4127999999999994</v>
      </c>
      <c r="P900" s="140">
        <f t="shared" si="153"/>
        <v>2.4127999999999994</v>
      </c>
      <c r="Q900" s="140" t="str">
        <f t="shared" si="154"/>
        <v/>
      </c>
      <c r="R900" s="140" t="str">
        <f t="shared" si="155"/>
        <v/>
      </c>
      <c r="S900" s="140" t="str">
        <f t="shared" si="156"/>
        <v/>
      </c>
      <c r="T900" s="140" t="str">
        <f t="shared" si="157"/>
        <v/>
      </c>
      <c r="U900" s="140" t="str">
        <f t="shared" si="158"/>
        <v/>
      </c>
      <c r="V900" s="99"/>
    </row>
    <row r="901" spans="1:22">
      <c r="A901" s="92"/>
      <c r="B901" s="141"/>
      <c r="C901" s="136"/>
      <c r="D901" s="137"/>
      <c r="E901" s="144">
        <v>0.08</v>
      </c>
      <c r="F901" s="139"/>
      <c r="G901" s="98"/>
      <c r="H901" s="99"/>
      <c r="I901" s="99"/>
      <c r="J901" s="100"/>
      <c r="K901" s="99"/>
      <c r="L901" s="99"/>
      <c r="M901" s="99"/>
      <c r="N901" s="99"/>
      <c r="O901" s="101"/>
      <c r="P901" s="140" t="str">
        <f t="shared" si="153"/>
        <v/>
      </c>
      <c r="Q901" s="140" t="str">
        <f t="shared" si="154"/>
        <v/>
      </c>
      <c r="R901" s="140" t="str">
        <f t="shared" si="155"/>
        <v/>
      </c>
      <c r="S901" s="140" t="str">
        <f t="shared" si="156"/>
        <v/>
      </c>
      <c r="T901" s="140" t="str">
        <f t="shared" si="157"/>
        <v/>
      </c>
      <c r="U901" s="140" t="str">
        <f t="shared" si="158"/>
        <v/>
      </c>
      <c r="V901" s="99"/>
    </row>
    <row r="902" spans="1:22">
      <c r="A902" s="92"/>
      <c r="B902" s="141"/>
      <c r="C902" s="136"/>
      <c r="D902" s="137"/>
      <c r="E902" s="138"/>
      <c r="F902" s="139"/>
      <c r="G902" s="98"/>
      <c r="H902" s="99"/>
      <c r="I902" s="99"/>
      <c r="J902" s="100"/>
      <c r="K902" s="99"/>
      <c r="L902" s="99"/>
      <c r="M902" s="99"/>
      <c r="N902" s="99"/>
      <c r="O902" s="101"/>
      <c r="P902" s="140" t="str">
        <f t="shared" si="153"/>
        <v/>
      </c>
      <c r="Q902" s="140" t="str">
        <f t="shared" si="154"/>
        <v/>
      </c>
      <c r="R902" s="140" t="str">
        <f t="shared" si="155"/>
        <v/>
      </c>
      <c r="S902" s="140" t="str">
        <f t="shared" si="156"/>
        <v/>
      </c>
      <c r="T902" s="140" t="str">
        <f t="shared" si="157"/>
        <v/>
      </c>
      <c r="U902" s="140" t="str">
        <f t="shared" si="158"/>
        <v/>
      </c>
      <c r="V902" s="99"/>
    </row>
    <row r="903" spans="1:22">
      <c r="A903" s="92">
        <v>4</v>
      </c>
      <c r="B903" s="92" t="s">
        <v>388</v>
      </c>
      <c r="C903" s="136"/>
      <c r="D903" s="137"/>
      <c r="E903" s="138"/>
      <c r="F903" s="139"/>
      <c r="G903" s="98"/>
      <c r="H903" s="99"/>
      <c r="I903" s="99"/>
      <c r="J903" s="109"/>
      <c r="K903" s="112"/>
      <c r="L903" s="112"/>
      <c r="M903" s="99"/>
      <c r="N903" s="112"/>
      <c r="O903" s="112"/>
      <c r="P903" s="140" t="str">
        <f>IF($G903=8,$O903,"")</f>
        <v/>
      </c>
      <c r="Q903" s="140" t="str">
        <f>IF($G903=10,$O903,"")</f>
        <v/>
      </c>
      <c r="R903" s="140" t="str">
        <f>IF($G903=12,$O903,"")</f>
        <v/>
      </c>
      <c r="S903" s="140" t="str">
        <f>IF($G903=16,$O903,"")</f>
        <v/>
      </c>
      <c r="T903" s="140" t="str">
        <f>IF($G903=20,$O903,"")</f>
        <v/>
      </c>
      <c r="U903" s="140" t="str">
        <f>IF($G903=25,$O903,"")</f>
        <v/>
      </c>
      <c r="V903" s="99"/>
    </row>
    <row r="904" spans="1:22">
      <c r="A904" s="92"/>
      <c r="B904" s="141" t="s">
        <v>378</v>
      </c>
      <c r="C904" s="136"/>
      <c r="D904" s="142">
        <v>1.68</v>
      </c>
      <c r="E904" s="138"/>
      <c r="F904" s="139"/>
      <c r="G904" s="98">
        <v>20</v>
      </c>
      <c r="H904" s="99">
        <v>8</v>
      </c>
      <c r="I904" s="99">
        <v>4</v>
      </c>
      <c r="J904" s="109">
        <f>D904</f>
        <v>1.68</v>
      </c>
      <c r="K904" s="110" t="str">
        <f>IF(N904&lt;12,"0",0.049*G904)</f>
        <v>0</v>
      </c>
      <c r="L904" s="111">
        <v>0</v>
      </c>
      <c r="M904" s="99">
        <f>2*G904*L904/1000</f>
        <v>0</v>
      </c>
      <c r="N904" s="112">
        <f>J904+E906-M904</f>
        <v>1.68</v>
      </c>
      <c r="O904" s="112">
        <f>H904*I904*N904</f>
        <v>53.76</v>
      </c>
      <c r="P904" s="140" t="str">
        <f t="shared" si="153"/>
        <v/>
      </c>
      <c r="Q904" s="140" t="str">
        <f t="shared" si="154"/>
        <v/>
      </c>
      <c r="R904" s="140" t="str">
        <f t="shared" si="155"/>
        <v/>
      </c>
      <c r="S904" s="140" t="str">
        <f t="shared" si="156"/>
        <v/>
      </c>
      <c r="T904" s="140">
        <f t="shared" si="157"/>
        <v>53.76</v>
      </c>
      <c r="U904" s="140" t="str">
        <f t="shared" si="158"/>
        <v/>
      </c>
      <c r="V904" s="99"/>
    </row>
    <row r="905" spans="1:22">
      <c r="A905" s="92"/>
      <c r="B905" s="141" t="s">
        <v>379</v>
      </c>
      <c r="C905" s="136"/>
      <c r="D905" s="137"/>
      <c r="E905" s="138"/>
      <c r="F905" s="139"/>
      <c r="G905" s="98">
        <v>20</v>
      </c>
      <c r="H905" s="99">
        <v>8</v>
      </c>
      <c r="I905" s="99">
        <v>2</v>
      </c>
      <c r="J905" s="109">
        <f>D904</f>
        <v>1.68</v>
      </c>
      <c r="K905" s="110" t="str">
        <f t="shared" ref="K905:K908" si="159">IF(N905&lt;12,"0",0.049*G905)</f>
        <v>0</v>
      </c>
      <c r="L905" s="111">
        <v>0</v>
      </c>
      <c r="M905" s="99">
        <f t="shared" ref="M905:M908" si="160">2*G905*L905/1000</f>
        <v>0</v>
      </c>
      <c r="N905" s="112">
        <f>J905+E906-M905</f>
        <v>1.68</v>
      </c>
      <c r="O905" s="112">
        <f>H905*I905*N905</f>
        <v>26.88</v>
      </c>
      <c r="P905" s="140" t="str">
        <f t="shared" si="153"/>
        <v/>
      </c>
      <c r="Q905" s="140" t="str">
        <f t="shared" si="154"/>
        <v/>
      </c>
      <c r="R905" s="140" t="str">
        <f t="shared" si="155"/>
        <v/>
      </c>
      <c r="S905" s="140" t="str">
        <f t="shared" si="156"/>
        <v/>
      </c>
      <c r="T905" s="140">
        <f t="shared" si="157"/>
        <v>26.88</v>
      </c>
      <c r="U905" s="140" t="str">
        <f t="shared" si="158"/>
        <v/>
      </c>
      <c r="V905" s="99"/>
    </row>
    <row r="906" spans="1:22">
      <c r="A906" s="92"/>
      <c r="B906" s="141" t="s">
        <v>380</v>
      </c>
      <c r="C906" s="143"/>
      <c r="D906" s="142"/>
      <c r="E906" s="144"/>
      <c r="F906" s="139"/>
      <c r="G906" s="98">
        <v>20</v>
      </c>
      <c r="H906" s="99">
        <v>8</v>
      </c>
      <c r="I906" s="99">
        <v>4</v>
      </c>
      <c r="J906" s="109">
        <f>D904</f>
        <v>1.68</v>
      </c>
      <c r="K906" s="110" t="str">
        <f t="shared" si="159"/>
        <v>0</v>
      </c>
      <c r="L906" s="111">
        <v>0</v>
      </c>
      <c r="M906" s="99">
        <f t="shared" si="160"/>
        <v>0</v>
      </c>
      <c r="N906" s="112">
        <f>J906+E906-M906</f>
        <v>1.68</v>
      </c>
      <c r="O906" s="112">
        <f>H906*I906*N906</f>
        <v>53.76</v>
      </c>
      <c r="P906" s="140" t="str">
        <f t="shared" si="153"/>
        <v/>
      </c>
      <c r="Q906" s="140" t="str">
        <f t="shared" si="154"/>
        <v/>
      </c>
      <c r="R906" s="140" t="str">
        <f t="shared" si="155"/>
        <v/>
      </c>
      <c r="S906" s="140" t="str">
        <f t="shared" si="156"/>
        <v/>
      </c>
      <c r="T906" s="140">
        <f t="shared" si="157"/>
        <v>53.76</v>
      </c>
      <c r="U906" s="140" t="str">
        <f t="shared" si="158"/>
        <v/>
      </c>
      <c r="V906" s="99"/>
    </row>
    <row r="907" spans="1:22">
      <c r="A907" s="92"/>
      <c r="B907" s="141" t="s">
        <v>381</v>
      </c>
      <c r="C907" s="136"/>
      <c r="D907" s="137"/>
      <c r="E907" s="138"/>
      <c r="F907" s="139"/>
      <c r="G907" s="98">
        <v>20</v>
      </c>
      <c r="H907" s="99">
        <v>8</v>
      </c>
      <c r="I907" s="99">
        <v>4</v>
      </c>
      <c r="J907" s="109">
        <f>D904</f>
        <v>1.68</v>
      </c>
      <c r="K907" s="110" t="str">
        <f t="shared" si="159"/>
        <v>0</v>
      </c>
      <c r="L907" s="111">
        <v>0</v>
      </c>
      <c r="M907" s="99">
        <f t="shared" si="160"/>
        <v>0</v>
      </c>
      <c r="N907" s="112">
        <f>J907+E906-M907</f>
        <v>1.68</v>
      </c>
      <c r="O907" s="112">
        <f>H907*I907*N907</f>
        <v>53.76</v>
      </c>
      <c r="P907" s="140" t="str">
        <f t="shared" si="153"/>
        <v/>
      </c>
      <c r="Q907" s="140" t="str">
        <f t="shared" si="154"/>
        <v/>
      </c>
      <c r="R907" s="140" t="str">
        <f t="shared" si="155"/>
        <v/>
      </c>
      <c r="S907" s="140" t="str">
        <f t="shared" si="156"/>
        <v/>
      </c>
      <c r="T907" s="140">
        <f t="shared" si="157"/>
        <v>53.76</v>
      </c>
      <c r="U907" s="140" t="str">
        <f t="shared" si="158"/>
        <v/>
      </c>
      <c r="V907" s="99"/>
    </row>
    <row r="908" spans="1:22">
      <c r="A908" s="92"/>
      <c r="B908" s="141" t="s">
        <v>389</v>
      </c>
      <c r="C908" s="136"/>
      <c r="D908" s="137"/>
      <c r="E908" s="138"/>
      <c r="F908" s="139"/>
      <c r="G908" s="98">
        <v>20</v>
      </c>
      <c r="H908" s="99">
        <v>8</v>
      </c>
      <c r="I908" s="99">
        <v>2</v>
      </c>
      <c r="J908" s="109">
        <f>D904</f>
        <v>1.68</v>
      </c>
      <c r="K908" s="110" t="str">
        <f t="shared" si="159"/>
        <v>0</v>
      </c>
      <c r="L908" s="111">
        <v>0</v>
      </c>
      <c r="M908" s="99">
        <f t="shared" si="160"/>
        <v>0</v>
      </c>
      <c r="N908" s="112">
        <f>J908+E906-M908</f>
        <v>1.68</v>
      </c>
      <c r="O908" s="112">
        <f>H908*I908*N908</f>
        <v>26.88</v>
      </c>
      <c r="P908" s="140" t="str">
        <f t="shared" si="153"/>
        <v/>
      </c>
      <c r="Q908" s="140" t="str">
        <f t="shared" si="154"/>
        <v/>
      </c>
      <c r="R908" s="140" t="str">
        <f t="shared" si="155"/>
        <v/>
      </c>
      <c r="S908" s="140" t="str">
        <f t="shared" si="156"/>
        <v/>
      </c>
      <c r="T908" s="140">
        <f t="shared" si="157"/>
        <v>26.88</v>
      </c>
      <c r="U908" s="140" t="str">
        <f t="shared" si="158"/>
        <v/>
      </c>
      <c r="V908" s="99"/>
    </row>
    <row r="909" spans="1:22">
      <c r="A909" s="92"/>
      <c r="B909" s="141"/>
      <c r="C909" s="136"/>
      <c r="D909" s="137"/>
      <c r="E909" s="138"/>
      <c r="F909" s="139"/>
      <c r="G909" s="98"/>
      <c r="H909" s="99"/>
      <c r="I909" s="99"/>
      <c r="J909" s="100"/>
      <c r="K909" s="99"/>
      <c r="L909" s="99"/>
      <c r="M909" s="99"/>
      <c r="N909" s="99"/>
      <c r="O909" s="101"/>
      <c r="P909" s="140" t="str">
        <f t="shared" si="153"/>
        <v/>
      </c>
      <c r="Q909" s="140" t="str">
        <f t="shared" si="154"/>
        <v/>
      </c>
      <c r="R909" s="140" t="str">
        <f t="shared" si="155"/>
        <v/>
      </c>
      <c r="S909" s="140" t="str">
        <f t="shared" si="156"/>
        <v/>
      </c>
      <c r="T909" s="140" t="str">
        <f t="shared" si="157"/>
        <v/>
      </c>
      <c r="U909" s="140" t="str">
        <f t="shared" si="158"/>
        <v/>
      </c>
      <c r="V909" s="99"/>
    </row>
    <row r="910" spans="1:22">
      <c r="A910" s="92"/>
      <c r="B910" s="429" t="s">
        <v>644</v>
      </c>
      <c r="C910" s="145">
        <v>0.08</v>
      </c>
      <c r="D910" s="137"/>
      <c r="E910" s="138"/>
      <c r="F910" s="139"/>
      <c r="G910" s="98"/>
      <c r="H910" s="99"/>
      <c r="I910" s="99"/>
      <c r="J910" s="100"/>
      <c r="K910" s="99"/>
      <c r="L910" s="99"/>
      <c r="M910" s="99"/>
      <c r="N910" s="99"/>
      <c r="O910" s="101"/>
      <c r="P910" s="140" t="str">
        <f t="shared" si="153"/>
        <v/>
      </c>
      <c r="Q910" s="140" t="str">
        <f t="shared" si="154"/>
        <v/>
      </c>
      <c r="R910" s="140" t="str">
        <f t="shared" si="155"/>
        <v/>
      </c>
      <c r="S910" s="140" t="str">
        <f t="shared" si="156"/>
        <v/>
      </c>
      <c r="T910" s="140" t="str">
        <f t="shared" si="157"/>
        <v/>
      </c>
      <c r="U910" s="140" t="str">
        <f t="shared" si="158"/>
        <v/>
      </c>
      <c r="V910" s="99"/>
    </row>
    <row r="911" spans="1:22">
      <c r="A911" s="92"/>
      <c r="B911" s="146" t="s">
        <v>382</v>
      </c>
      <c r="C911" s="147"/>
      <c r="D911" s="137"/>
      <c r="E911" s="148">
        <f>0.75-0.08</f>
        <v>0.67</v>
      </c>
      <c r="F911" s="139"/>
      <c r="G911" s="98">
        <v>10</v>
      </c>
      <c r="H911" s="99">
        <v>8</v>
      </c>
      <c r="I911" s="99">
        <f>((2*0.75)/0.075)+2</f>
        <v>22</v>
      </c>
      <c r="J911" s="149">
        <f>2*(D913+E911)+2*8*G911/1000</f>
        <v>1.94</v>
      </c>
      <c r="K911" s="99"/>
      <c r="L911" s="99">
        <v>5</v>
      </c>
      <c r="M911" s="112">
        <f>2*G911*L911/1000</f>
        <v>0.1</v>
      </c>
      <c r="N911" s="112">
        <f>(J911+K911-M911)</f>
        <v>1.8399999999999999</v>
      </c>
      <c r="O911" s="112">
        <f>(H911*I911*N911)</f>
        <v>323.83999999999997</v>
      </c>
      <c r="P911" s="140" t="str">
        <f t="shared" si="153"/>
        <v/>
      </c>
      <c r="Q911" s="140">
        <f t="shared" si="154"/>
        <v>323.83999999999997</v>
      </c>
      <c r="R911" s="140" t="str">
        <f t="shared" si="155"/>
        <v/>
      </c>
      <c r="S911" s="140" t="str">
        <f t="shared" si="156"/>
        <v/>
      </c>
      <c r="T911" s="140" t="str">
        <f t="shared" si="157"/>
        <v/>
      </c>
      <c r="U911" s="140" t="str">
        <f t="shared" si="158"/>
        <v/>
      </c>
      <c r="V911" s="99"/>
    </row>
    <row r="912" spans="1:22">
      <c r="A912" s="92"/>
      <c r="B912" s="146"/>
      <c r="C912" s="136"/>
      <c r="D912" s="137"/>
      <c r="E912" s="150"/>
      <c r="F912" s="139"/>
      <c r="G912" s="98"/>
      <c r="H912" s="99"/>
      <c r="I912" s="99"/>
      <c r="J912" s="100"/>
      <c r="K912" s="99"/>
      <c r="L912" s="99"/>
      <c r="M912" s="99"/>
      <c r="N912" s="99"/>
      <c r="O912" s="112"/>
      <c r="P912" s="140" t="str">
        <f t="shared" si="153"/>
        <v/>
      </c>
      <c r="Q912" s="140" t="str">
        <f t="shared" si="154"/>
        <v/>
      </c>
      <c r="R912" s="140" t="str">
        <f t="shared" si="155"/>
        <v/>
      </c>
      <c r="S912" s="140" t="str">
        <f t="shared" si="156"/>
        <v/>
      </c>
      <c r="T912" s="140" t="str">
        <f t="shared" si="157"/>
        <v/>
      </c>
      <c r="U912" s="140" t="str">
        <f t="shared" si="158"/>
        <v/>
      </c>
      <c r="V912" s="99"/>
    </row>
    <row r="913" spans="1:22">
      <c r="A913" s="92"/>
      <c r="B913" s="146"/>
      <c r="C913" s="136"/>
      <c r="D913" s="109">
        <f>0.3-0.08</f>
        <v>0.21999999999999997</v>
      </c>
      <c r="E913" s="138"/>
      <c r="F913" s="139"/>
      <c r="G913" s="98"/>
      <c r="H913" s="99"/>
      <c r="I913" s="99"/>
      <c r="J913" s="100"/>
      <c r="K913" s="99"/>
      <c r="L913" s="99"/>
      <c r="M913" s="99"/>
      <c r="N913" s="99"/>
      <c r="O913" s="112"/>
      <c r="P913" s="140" t="str">
        <f t="shared" si="153"/>
        <v/>
      </c>
      <c r="Q913" s="140" t="str">
        <f t="shared" si="154"/>
        <v/>
      </c>
      <c r="R913" s="140" t="str">
        <f t="shared" si="155"/>
        <v/>
      </c>
      <c r="S913" s="140" t="str">
        <f t="shared" si="156"/>
        <v/>
      </c>
      <c r="T913" s="140" t="str">
        <f t="shared" si="157"/>
        <v/>
      </c>
      <c r="U913" s="140" t="str">
        <f t="shared" si="158"/>
        <v/>
      </c>
      <c r="V913" s="99"/>
    </row>
    <row r="914" spans="1:22">
      <c r="A914" s="92"/>
      <c r="B914" s="141"/>
      <c r="C914" s="136"/>
      <c r="D914" s="137"/>
      <c r="E914" s="138"/>
      <c r="F914" s="139"/>
      <c r="G914" s="98"/>
      <c r="H914" s="99"/>
      <c r="I914" s="99"/>
      <c r="J914" s="100"/>
      <c r="K914" s="99"/>
      <c r="L914" s="99"/>
      <c r="M914" s="99"/>
      <c r="N914" s="99"/>
      <c r="O914" s="112"/>
      <c r="P914" s="140" t="str">
        <f t="shared" si="153"/>
        <v/>
      </c>
      <c r="Q914" s="140" t="str">
        <f t="shared" si="154"/>
        <v/>
      </c>
      <c r="R914" s="140" t="str">
        <f t="shared" si="155"/>
        <v/>
      </c>
      <c r="S914" s="140" t="str">
        <f t="shared" si="156"/>
        <v/>
      </c>
      <c r="T914" s="140" t="str">
        <f t="shared" si="157"/>
        <v/>
      </c>
      <c r="U914" s="140" t="str">
        <f t="shared" si="158"/>
        <v/>
      </c>
      <c r="V914" s="99"/>
    </row>
    <row r="915" spans="1:22">
      <c r="A915" s="92"/>
      <c r="B915" s="92"/>
      <c r="C915" s="145">
        <v>0.08</v>
      </c>
      <c r="D915" s="137"/>
      <c r="E915" s="138"/>
      <c r="F915" s="139"/>
      <c r="G915" s="98"/>
      <c r="H915" s="99"/>
      <c r="I915" s="99"/>
      <c r="J915" s="100"/>
      <c r="K915" s="99"/>
      <c r="L915" s="99"/>
      <c r="M915" s="99"/>
      <c r="N915" s="99"/>
      <c r="O915" s="112"/>
      <c r="P915" s="140" t="str">
        <f t="shared" si="153"/>
        <v/>
      </c>
      <c r="Q915" s="140" t="str">
        <f t="shared" si="154"/>
        <v/>
      </c>
      <c r="R915" s="140" t="str">
        <f t="shared" si="155"/>
        <v/>
      </c>
      <c r="S915" s="140" t="str">
        <f t="shared" si="156"/>
        <v/>
      </c>
      <c r="T915" s="140" t="str">
        <f t="shared" si="157"/>
        <v/>
      </c>
      <c r="U915" s="140" t="str">
        <f t="shared" si="158"/>
        <v/>
      </c>
      <c r="V915" s="99"/>
    </row>
    <row r="916" spans="1:22">
      <c r="A916" s="92"/>
      <c r="B916" s="146" t="s">
        <v>383</v>
      </c>
      <c r="C916" s="147"/>
      <c r="D916" s="137"/>
      <c r="E916" s="148">
        <f>(2*((0.75-0.08-0.016)/6))+0.012+0.02</f>
        <v>0.25</v>
      </c>
      <c r="F916" s="139"/>
      <c r="G916" s="98">
        <v>10</v>
      </c>
      <c r="H916" s="99">
        <v>8</v>
      </c>
      <c r="I916" s="99">
        <f>((2*0.75)/0.075)+2</f>
        <v>22</v>
      </c>
      <c r="J916" s="149">
        <f>2*(D918+E916)+2*8*G916/1000</f>
        <v>1.0999999999999999</v>
      </c>
      <c r="K916" s="99"/>
      <c r="L916" s="99">
        <v>5</v>
      </c>
      <c r="M916" s="112">
        <f>2*G916*L916/1000</f>
        <v>0.1</v>
      </c>
      <c r="N916" s="112">
        <f>(J916+K916-M916)</f>
        <v>0.99999999999999989</v>
      </c>
      <c r="O916" s="112">
        <f>(H916*I916*N916)</f>
        <v>175.99999999999997</v>
      </c>
      <c r="P916" s="140" t="str">
        <f t="shared" si="153"/>
        <v/>
      </c>
      <c r="Q916" s="140">
        <f t="shared" si="154"/>
        <v>175.99999999999997</v>
      </c>
      <c r="R916" s="140" t="str">
        <f t="shared" si="155"/>
        <v/>
      </c>
      <c r="S916" s="140" t="str">
        <f t="shared" si="156"/>
        <v/>
      </c>
      <c r="T916" s="140" t="str">
        <f t="shared" si="157"/>
        <v/>
      </c>
      <c r="U916" s="140" t="str">
        <f t="shared" si="158"/>
        <v/>
      </c>
      <c r="V916" s="99"/>
    </row>
    <row r="917" spans="1:22">
      <c r="A917" s="92"/>
      <c r="B917" s="146"/>
      <c r="C917" s="136"/>
      <c r="D917" s="137"/>
      <c r="E917" s="150"/>
      <c r="F917" s="139"/>
      <c r="G917" s="98"/>
      <c r="H917" s="99"/>
      <c r="I917" s="99"/>
      <c r="J917" s="100"/>
      <c r="K917" s="99"/>
      <c r="L917" s="99"/>
      <c r="M917" s="99"/>
      <c r="N917" s="99"/>
      <c r="O917" s="112"/>
      <c r="P917" s="140" t="str">
        <f t="shared" si="153"/>
        <v/>
      </c>
      <c r="Q917" s="140" t="str">
        <f t="shared" si="154"/>
        <v/>
      </c>
      <c r="R917" s="140" t="str">
        <f t="shared" si="155"/>
        <v/>
      </c>
      <c r="S917" s="140" t="str">
        <f t="shared" si="156"/>
        <v/>
      </c>
      <c r="T917" s="140" t="str">
        <f t="shared" si="157"/>
        <v/>
      </c>
      <c r="U917" s="140" t="str">
        <f t="shared" si="158"/>
        <v/>
      </c>
      <c r="V917" s="99"/>
    </row>
    <row r="918" spans="1:22">
      <c r="A918" s="92"/>
      <c r="B918" s="146"/>
      <c r="C918" s="136"/>
      <c r="D918" s="109">
        <f>0.3-0.08</f>
        <v>0.21999999999999997</v>
      </c>
      <c r="E918" s="138"/>
      <c r="F918" s="139"/>
      <c r="G918" s="98"/>
      <c r="H918" s="99"/>
      <c r="I918" s="99"/>
      <c r="J918" s="100"/>
      <c r="K918" s="99"/>
      <c r="L918" s="99"/>
      <c r="M918" s="99"/>
      <c r="N918" s="99"/>
      <c r="O918" s="112"/>
      <c r="P918" s="140" t="str">
        <f t="shared" si="153"/>
        <v/>
      </c>
      <c r="Q918" s="140" t="str">
        <f t="shared" si="154"/>
        <v/>
      </c>
      <c r="R918" s="140" t="str">
        <f t="shared" si="155"/>
        <v/>
      </c>
      <c r="S918" s="140" t="str">
        <f t="shared" si="156"/>
        <v/>
      </c>
      <c r="T918" s="140" t="str">
        <f t="shared" si="157"/>
        <v/>
      </c>
      <c r="U918" s="140" t="str">
        <f t="shared" si="158"/>
        <v/>
      </c>
      <c r="V918" s="99"/>
    </row>
    <row r="919" spans="1:22">
      <c r="A919" s="92"/>
      <c r="B919" s="146"/>
      <c r="C919" s="136"/>
      <c r="D919" s="137"/>
      <c r="E919" s="138"/>
      <c r="F919" s="139"/>
      <c r="G919" s="98"/>
      <c r="H919" s="99"/>
      <c r="I919" s="99"/>
      <c r="J919" s="100"/>
      <c r="K919" s="99"/>
      <c r="L919" s="99"/>
      <c r="M919" s="99"/>
      <c r="N919" s="99"/>
      <c r="O919" s="112"/>
      <c r="P919" s="140" t="str">
        <f t="shared" si="153"/>
        <v/>
      </c>
      <c r="Q919" s="140" t="str">
        <f t="shared" si="154"/>
        <v/>
      </c>
      <c r="R919" s="140" t="str">
        <f t="shared" si="155"/>
        <v/>
      </c>
      <c r="S919" s="140" t="str">
        <f t="shared" si="156"/>
        <v/>
      </c>
      <c r="T919" s="140" t="str">
        <f t="shared" si="157"/>
        <v/>
      </c>
      <c r="U919" s="140" t="str">
        <f t="shared" si="158"/>
        <v/>
      </c>
      <c r="V919" s="99"/>
    </row>
    <row r="920" spans="1:22">
      <c r="A920" s="92"/>
      <c r="B920" s="146" t="s">
        <v>384</v>
      </c>
      <c r="C920" s="136"/>
      <c r="D920" s="142"/>
      <c r="E920" s="138"/>
      <c r="F920" s="139"/>
      <c r="G920" s="98">
        <v>10</v>
      </c>
      <c r="H920" s="99">
        <v>8</v>
      </c>
      <c r="I920" s="99">
        <f>((2*0.75)/0.075)+2</f>
        <v>22</v>
      </c>
      <c r="J920" s="149">
        <f>C921+D923+E921+2*8*G920/1000</f>
        <v>0.73</v>
      </c>
      <c r="K920" s="99"/>
      <c r="L920" s="99">
        <v>4</v>
      </c>
      <c r="M920" s="112">
        <f>2*G920*L920/1000</f>
        <v>0.08</v>
      </c>
      <c r="N920" s="112">
        <f>(J920+K920-M920)</f>
        <v>0.65</v>
      </c>
      <c r="O920" s="112">
        <f>(H920*I920*N920)</f>
        <v>114.4</v>
      </c>
      <c r="P920" s="140" t="str">
        <f t="shared" si="153"/>
        <v/>
      </c>
      <c r="Q920" s="140">
        <f t="shared" si="154"/>
        <v>114.4</v>
      </c>
      <c r="R920" s="140" t="str">
        <f t="shared" si="155"/>
        <v/>
      </c>
      <c r="S920" s="140" t="str">
        <f t="shared" si="156"/>
        <v/>
      </c>
      <c r="T920" s="140" t="str">
        <f t="shared" si="157"/>
        <v/>
      </c>
      <c r="U920" s="140" t="str">
        <f t="shared" si="158"/>
        <v/>
      </c>
      <c r="V920" s="99"/>
    </row>
    <row r="921" spans="1:22">
      <c r="A921" s="92"/>
      <c r="B921" s="146"/>
      <c r="C921" s="151">
        <v>0.17499999999999999</v>
      </c>
      <c r="D921" s="137"/>
      <c r="E921" s="138">
        <v>0.17499999999999999</v>
      </c>
      <c r="F921" s="139"/>
      <c r="G921" s="98"/>
      <c r="H921" s="99"/>
      <c r="I921" s="99"/>
      <c r="J921" s="100"/>
      <c r="K921" s="99"/>
      <c r="L921" s="99"/>
      <c r="M921" s="99"/>
      <c r="N921" s="99"/>
      <c r="O921" s="112"/>
      <c r="P921" s="140" t="str">
        <f>IF($G921=8,$O921,"")</f>
        <v/>
      </c>
      <c r="Q921" s="140" t="str">
        <f>IF($G921=10,$O921,"")</f>
        <v/>
      </c>
      <c r="R921" s="140" t="str">
        <f>IF($G921=12,$O921,"")</f>
        <v/>
      </c>
      <c r="S921" s="140" t="str">
        <f>IF($G921=16,$O921,"")</f>
        <v/>
      </c>
      <c r="T921" s="140" t="str">
        <f>IF($G921=20,$O921,"")</f>
        <v/>
      </c>
      <c r="U921" s="140" t="str">
        <f>IF($G921=25,$O921,"")</f>
        <v/>
      </c>
      <c r="V921" s="99"/>
    </row>
    <row r="922" spans="1:22">
      <c r="A922" s="92"/>
      <c r="B922" s="146"/>
      <c r="C922" s="136"/>
      <c r="D922" s="137"/>
      <c r="E922" s="138"/>
      <c r="F922" s="139"/>
      <c r="G922" s="98"/>
      <c r="H922" s="99"/>
      <c r="I922" s="99"/>
      <c r="J922" s="100"/>
      <c r="K922" s="99"/>
      <c r="L922" s="99"/>
      <c r="M922" s="99"/>
      <c r="N922" s="99"/>
      <c r="O922" s="112"/>
      <c r="P922" s="140" t="str">
        <f t="shared" si="153"/>
        <v/>
      </c>
      <c r="Q922" s="140" t="str">
        <f t="shared" si="154"/>
        <v/>
      </c>
      <c r="R922" s="140" t="str">
        <f t="shared" si="155"/>
        <v/>
      </c>
      <c r="S922" s="140" t="str">
        <f t="shared" si="156"/>
        <v/>
      </c>
      <c r="T922" s="140" t="str">
        <f t="shared" si="157"/>
        <v/>
      </c>
      <c r="U922" s="140" t="str">
        <f t="shared" si="158"/>
        <v/>
      </c>
      <c r="V922" s="99"/>
    </row>
    <row r="923" spans="1:22">
      <c r="A923" s="92"/>
      <c r="B923" s="146"/>
      <c r="C923" s="136"/>
      <c r="D923" s="109">
        <f>0.3-0.08</f>
        <v>0.21999999999999997</v>
      </c>
      <c r="E923" s="138"/>
      <c r="F923" s="139"/>
      <c r="G923" s="98"/>
      <c r="H923" s="99"/>
      <c r="I923" s="99"/>
      <c r="J923" s="100"/>
      <c r="K923" s="99"/>
      <c r="L923" s="99"/>
      <c r="M923" s="99"/>
      <c r="N923" s="99"/>
      <c r="O923" s="112"/>
      <c r="P923" s="140" t="str">
        <f t="shared" si="153"/>
        <v/>
      </c>
      <c r="Q923" s="140" t="str">
        <f t="shared" si="154"/>
        <v/>
      </c>
      <c r="R923" s="140" t="str">
        <f t="shared" si="155"/>
        <v/>
      </c>
      <c r="S923" s="140" t="str">
        <f t="shared" si="156"/>
        <v/>
      </c>
      <c r="T923" s="140" t="str">
        <f t="shared" si="157"/>
        <v/>
      </c>
      <c r="U923" s="140" t="str">
        <f t="shared" si="158"/>
        <v/>
      </c>
      <c r="V923" s="99"/>
    </row>
    <row r="924" spans="1:22">
      <c r="A924" s="92"/>
      <c r="B924" s="146"/>
      <c r="C924" s="136"/>
      <c r="D924" s="137"/>
      <c r="E924" s="138"/>
      <c r="F924" s="139"/>
      <c r="G924" s="98"/>
      <c r="H924" s="99"/>
      <c r="I924" s="99"/>
      <c r="J924" s="100"/>
      <c r="K924" s="99"/>
      <c r="L924" s="99"/>
      <c r="M924" s="99"/>
      <c r="N924" s="99"/>
      <c r="O924" s="112"/>
      <c r="P924" s="140" t="str">
        <f t="shared" si="153"/>
        <v/>
      </c>
      <c r="Q924" s="140" t="str">
        <f t="shared" si="154"/>
        <v/>
      </c>
      <c r="R924" s="140" t="str">
        <f t="shared" si="155"/>
        <v/>
      </c>
      <c r="S924" s="140" t="str">
        <f t="shared" si="156"/>
        <v/>
      </c>
      <c r="T924" s="140" t="str">
        <f t="shared" si="157"/>
        <v/>
      </c>
      <c r="U924" s="140" t="str">
        <f t="shared" si="158"/>
        <v/>
      </c>
      <c r="V924" s="99"/>
    </row>
    <row r="925" spans="1:22">
      <c r="A925" s="92"/>
      <c r="B925" s="146" t="s">
        <v>385</v>
      </c>
      <c r="C925" s="136"/>
      <c r="D925" s="142"/>
      <c r="E925" s="138"/>
      <c r="F925" s="139"/>
      <c r="G925" s="98">
        <v>10</v>
      </c>
      <c r="H925" s="99">
        <v>8</v>
      </c>
      <c r="I925" s="99">
        <f>((2*0.75)/0.075)+2</f>
        <v>22</v>
      </c>
      <c r="J925" s="149">
        <f>C926+D928+E926+2*8*G925/1000</f>
        <v>0.73</v>
      </c>
      <c r="K925" s="99"/>
      <c r="L925" s="99">
        <v>4</v>
      </c>
      <c r="M925" s="112">
        <f>2*G925*L925/1000</f>
        <v>0.08</v>
      </c>
      <c r="N925" s="112">
        <f>(J925+K925-M925)</f>
        <v>0.65</v>
      </c>
      <c r="O925" s="112">
        <f>(H925*I925*N925)</f>
        <v>114.4</v>
      </c>
      <c r="P925" s="140" t="str">
        <f t="shared" si="153"/>
        <v/>
      </c>
      <c r="Q925" s="140">
        <f t="shared" si="154"/>
        <v>114.4</v>
      </c>
      <c r="R925" s="140" t="str">
        <f t="shared" si="155"/>
        <v/>
      </c>
      <c r="S925" s="140" t="str">
        <f t="shared" si="156"/>
        <v/>
      </c>
      <c r="T925" s="140" t="str">
        <f t="shared" si="157"/>
        <v/>
      </c>
      <c r="U925" s="140" t="str">
        <f t="shared" si="158"/>
        <v/>
      </c>
      <c r="V925" s="99"/>
    </row>
    <row r="926" spans="1:22">
      <c r="A926" s="92"/>
      <c r="B926" s="146"/>
      <c r="C926" s="151">
        <v>0.17499999999999999</v>
      </c>
      <c r="D926" s="137"/>
      <c r="E926" s="138">
        <v>0.17499999999999999</v>
      </c>
      <c r="F926" s="139"/>
      <c r="G926" s="98"/>
      <c r="H926" s="99"/>
      <c r="I926" s="99"/>
      <c r="J926" s="100"/>
      <c r="K926" s="99"/>
      <c r="L926" s="99"/>
      <c r="M926" s="99"/>
      <c r="N926" s="99"/>
      <c r="O926" s="112"/>
      <c r="P926" s="140" t="str">
        <f t="shared" si="153"/>
        <v/>
      </c>
      <c r="Q926" s="140" t="str">
        <f t="shared" si="154"/>
        <v/>
      </c>
      <c r="R926" s="140" t="str">
        <f t="shared" si="155"/>
        <v/>
      </c>
      <c r="S926" s="140" t="str">
        <f t="shared" si="156"/>
        <v/>
      </c>
      <c r="T926" s="140" t="str">
        <f t="shared" si="157"/>
        <v/>
      </c>
      <c r="U926" s="140" t="str">
        <f t="shared" si="158"/>
        <v/>
      </c>
      <c r="V926" s="99"/>
    </row>
    <row r="927" spans="1:22">
      <c r="A927" s="92"/>
      <c r="B927" s="146"/>
      <c r="C927" s="136"/>
      <c r="D927" s="137"/>
      <c r="E927" s="138"/>
      <c r="F927" s="139"/>
      <c r="G927" s="98"/>
      <c r="H927" s="99"/>
      <c r="I927" s="99"/>
      <c r="J927" s="100"/>
      <c r="K927" s="99"/>
      <c r="L927" s="99"/>
      <c r="M927" s="99"/>
      <c r="N927" s="99"/>
      <c r="O927" s="101"/>
      <c r="P927" s="140" t="str">
        <f t="shared" si="153"/>
        <v/>
      </c>
      <c r="Q927" s="140" t="str">
        <f t="shared" si="154"/>
        <v/>
      </c>
      <c r="R927" s="140" t="str">
        <f t="shared" si="155"/>
        <v/>
      </c>
      <c r="S927" s="140" t="str">
        <f t="shared" si="156"/>
        <v/>
      </c>
      <c r="T927" s="140" t="str">
        <f t="shared" si="157"/>
        <v/>
      </c>
      <c r="U927" s="140" t="str">
        <f t="shared" si="158"/>
        <v/>
      </c>
      <c r="V927" s="99"/>
    </row>
    <row r="928" spans="1:22">
      <c r="A928" s="92"/>
      <c r="B928" s="146"/>
      <c r="C928" s="136"/>
      <c r="D928" s="109">
        <f>0.3-0.08</f>
        <v>0.21999999999999997</v>
      </c>
      <c r="E928" s="138"/>
      <c r="F928" s="139"/>
      <c r="G928" s="98"/>
      <c r="H928" s="99"/>
      <c r="I928" s="99"/>
      <c r="J928" s="100"/>
      <c r="K928" s="99"/>
      <c r="L928" s="99"/>
      <c r="M928" s="99"/>
      <c r="N928" s="99"/>
      <c r="O928" s="101"/>
      <c r="P928" s="140" t="str">
        <f t="shared" si="153"/>
        <v/>
      </c>
      <c r="Q928" s="140" t="str">
        <f t="shared" si="154"/>
        <v/>
      </c>
      <c r="R928" s="140" t="str">
        <f t="shared" si="155"/>
        <v/>
      </c>
      <c r="S928" s="140" t="str">
        <f t="shared" si="156"/>
        <v/>
      </c>
      <c r="T928" s="140" t="str">
        <f t="shared" si="157"/>
        <v/>
      </c>
      <c r="U928" s="140" t="str">
        <f t="shared" si="158"/>
        <v/>
      </c>
      <c r="V928" s="99"/>
    </row>
    <row r="929" spans="1:22">
      <c r="A929" s="92"/>
      <c r="B929" s="141"/>
      <c r="C929" s="136"/>
      <c r="D929" s="137"/>
      <c r="E929" s="138"/>
      <c r="F929" s="139"/>
      <c r="G929" s="98"/>
      <c r="H929" s="99"/>
      <c r="I929" s="99"/>
      <c r="J929" s="100"/>
      <c r="K929" s="99"/>
      <c r="L929" s="99"/>
      <c r="M929" s="99"/>
      <c r="N929" s="99"/>
      <c r="O929" s="101"/>
      <c r="P929" s="140" t="str">
        <f t="shared" si="153"/>
        <v/>
      </c>
      <c r="Q929" s="140" t="str">
        <f t="shared" si="154"/>
        <v/>
      </c>
      <c r="R929" s="140" t="str">
        <f t="shared" si="155"/>
        <v/>
      </c>
      <c r="S929" s="140" t="str">
        <f t="shared" si="156"/>
        <v/>
      </c>
      <c r="T929" s="140" t="str">
        <f t="shared" si="157"/>
        <v/>
      </c>
      <c r="U929" s="140" t="str">
        <f t="shared" si="158"/>
        <v/>
      </c>
      <c r="V929" s="99"/>
    </row>
    <row r="930" spans="1:22">
      <c r="A930" s="92"/>
      <c r="B930" s="141"/>
      <c r="C930" s="136"/>
      <c r="D930" s="137"/>
      <c r="E930" s="144">
        <v>0.08</v>
      </c>
      <c r="F930" s="139"/>
      <c r="G930" s="98"/>
      <c r="H930" s="99"/>
      <c r="I930" s="99"/>
      <c r="J930" s="100"/>
      <c r="K930" s="99"/>
      <c r="L930" s="99"/>
      <c r="M930" s="99"/>
      <c r="N930" s="99"/>
      <c r="O930" s="101"/>
      <c r="P930" s="140" t="str">
        <f t="shared" si="153"/>
        <v/>
      </c>
      <c r="Q930" s="140" t="str">
        <f t="shared" si="154"/>
        <v/>
      </c>
      <c r="R930" s="140" t="str">
        <f t="shared" si="155"/>
        <v/>
      </c>
      <c r="S930" s="140" t="str">
        <f t="shared" si="156"/>
        <v/>
      </c>
      <c r="T930" s="140" t="str">
        <f t="shared" si="157"/>
        <v/>
      </c>
      <c r="U930" s="140" t="str">
        <f t="shared" si="158"/>
        <v/>
      </c>
      <c r="V930" s="99"/>
    </row>
    <row r="931" spans="1:22">
      <c r="A931" s="92"/>
      <c r="B931" s="146" t="s">
        <v>390</v>
      </c>
      <c r="C931" s="136"/>
      <c r="D931" s="142">
        <f>0.3-0.08</f>
        <v>0.21999999999999997</v>
      </c>
      <c r="E931" s="144"/>
      <c r="F931" s="139"/>
      <c r="G931" s="98">
        <v>10</v>
      </c>
      <c r="H931" s="99">
        <v>8</v>
      </c>
      <c r="I931" s="99">
        <f>((2*0.75)/0.075)+2</f>
        <v>22</v>
      </c>
      <c r="J931" s="149">
        <f>D931+E930+E932</f>
        <v>0.38</v>
      </c>
      <c r="K931" s="99"/>
      <c r="L931" s="99">
        <v>2</v>
      </c>
      <c r="M931" s="112">
        <f>2*G931*L931/1000</f>
        <v>0.04</v>
      </c>
      <c r="N931" s="112">
        <f>(J931+K931-M931)</f>
        <v>0.34</v>
      </c>
      <c r="O931" s="112">
        <f>(H931*I931*N931)</f>
        <v>59.84</v>
      </c>
      <c r="P931" s="140" t="str">
        <f t="shared" si="153"/>
        <v/>
      </c>
      <c r="Q931" s="140">
        <f t="shared" si="154"/>
        <v>59.84</v>
      </c>
      <c r="R931" s="140" t="str">
        <f t="shared" si="155"/>
        <v/>
      </c>
      <c r="S931" s="140" t="str">
        <f t="shared" si="156"/>
        <v/>
      </c>
      <c r="T931" s="140" t="str">
        <f t="shared" si="157"/>
        <v/>
      </c>
      <c r="U931" s="140" t="str">
        <f t="shared" si="158"/>
        <v/>
      </c>
      <c r="V931" s="99"/>
    </row>
    <row r="932" spans="1:22">
      <c r="A932" s="92"/>
      <c r="B932" s="141"/>
      <c r="C932" s="136"/>
      <c r="D932" s="137"/>
      <c r="E932" s="144">
        <v>0.08</v>
      </c>
      <c r="F932" s="139"/>
      <c r="G932" s="98"/>
      <c r="H932" s="99"/>
      <c r="I932" s="99"/>
      <c r="J932" s="100"/>
      <c r="K932" s="99"/>
      <c r="L932" s="99"/>
      <c r="M932" s="99"/>
      <c r="N932" s="99"/>
      <c r="O932" s="101"/>
      <c r="P932" s="140" t="str">
        <f t="shared" si="153"/>
        <v/>
      </c>
      <c r="Q932" s="140" t="str">
        <f t="shared" si="154"/>
        <v/>
      </c>
      <c r="R932" s="140" t="str">
        <f t="shared" si="155"/>
        <v/>
      </c>
      <c r="S932" s="140" t="str">
        <f t="shared" si="156"/>
        <v/>
      </c>
      <c r="T932" s="140" t="str">
        <f t="shared" si="157"/>
        <v/>
      </c>
      <c r="U932" s="140" t="str">
        <f t="shared" si="158"/>
        <v/>
      </c>
      <c r="V932" s="99"/>
    </row>
    <row r="933" spans="1:22">
      <c r="A933" s="92"/>
      <c r="B933" s="141"/>
      <c r="C933" s="136"/>
      <c r="D933" s="137"/>
      <c r="E933" s="138"/>
      <c r="F933" s="139"/>
      <c r="G933" s="98"/>
      <c r="H933" s="99"/>
      <c r="I933" s="99"/>
      <c r="J933" s="100"/>
      <c r="K933" s="99"/>
      <c r="L933" s="99"/>
      <c r="M933" s="99"/>
      <c r="N933" s="99"/>
      <c r="O933" s="101"/>
      <c r="P933" s="140" t="str">
        <f t="shared" si="153"/>
        <v/>
      </c>
      <c r="Q933" s="140" t="str">
        <f t="shared" si="154"/>
        <v/>
      </c>
      <c r="R933" s="140" t="str">
        <f t="shared" si="155"/>
        <v/>
      </c>
      <c r="S933" s="140" t="str">
        <f t="shared" si="156"/>
        <v/>
      </c>
      <c r="T933" s="140" t="str">
        <f t="shared" si="157"/>
        <v/>
      </c>
      <c r="U933" s="140" t="str">
        <f t="shared" si="158"/>
        <v/>
      </c>
      <c r="V933" s="99"/>
    </row>
    <row r="934" spans="1:22">
      <c r="A934" s="92"/>
      <c r="B934" s="429" t="s">
        <v>645</v>
      </c>
      <c r="C934" s="145">
        <v>0.08</v>
      </c>
      <c r="D934" s="137"/>
      <c r="E934" s="138"/>
      <c r="F934" s="139"/>
      <c r="G934" s="98"/>
      <c r="H934" s="99"/>
      <c r="I934" s="99"/>
      <c r="J934" s="100"/>
      <c r="K934" s="99"/>
      <c r="L934" s="99"/>
      <c r="M934" s="99"/>
      <c r="N934" s="99"/>
      <c r="O934" s="101"/>
      <c r="P934" s="140" t="str">
        <f t="shared" si="153"/>
        <v/>
      </c>
      <c r="Q934" s="140" t="str">
        <f t="shared" si="154"/>
        <v/>
      </c>
      <c r="R934" s="140" t="str">
        <f t="shared" si="155"/>
        <v/>
      </c>
      <c r="S934" s="140" t="str">
        <f t="shared" si="156"/>
        <v/>
      </c>
      <c r="T934" s="140" t="str">
        <f t="shared" si="157"/>
        <v/>
      </c>
      <c r="U934" s="140" t="str">
        <f t="shared" si="158"/>
        <v/>
      </c>
      <c r="V934" s="99"/>
    </row>
    <row r="935" spans="1:22">
      <c r="A935" s="92"/>
      <c r="B935" s="146" t="s">
        <v>382</v>
      </c>
      <c r="C935" s="147"/>
      <c r="D935" s="137"/>
      <c r="E935" s="148">
        <f>0.75-0.08</f>
        <v>0.67</v>
      </c>
      <c r="F935" s="139"/>
      <c r="G935" s="98">
        <v>8</v>
      </c>
      <c r="H935" s="99">
        <v>8</v>
      </c>
      <c r="I935" s="111">
        <f>((1.68-2*0.75)/0.15)+1</f>
        <v>2.1999999999999997</v>
      </c>
      <c r="J935" s="149">
        <f>2*(D937+E935)+2*8*G935/1000</f>
        <v>1.9079999999999999</v>
      </c>
      <c r="K935" s="99"/>
      <c r="L935" s="99">
        <v>5</v>
      </c>
      <c r="M935" s="112">
        <f>2*G935*L935/1000</f>
        <v>0.08</v>
      </c>
      <c r="N935" s="112">
        <f>(J935+K935-M935)</f>
        <v>1.8279999999999998</v>
      </c>
      <c r="O935" s="112">
        <f>(H935*I935*N935)</f>
        <v>32.172799999999995</v>
      </c>
      <c r="P935" s="140">
        <f t="shared" si="153"/>
        <v>32.172799999999995</v>
      </c>
      <c r="Q935" s="140" t="str">
        <f t="shared" si="154"/>
        <v/>
      </c>
      <c r="R935" s="140" t="str">
        <f t="shared" si="155"/>
        <v/>
      </c>
      <c r="S935" s="140" t="str">
        <f t="shared" si="156"/>
        <v/>
      </c>
      <c r="T935" s="140" t="str">
        <f t="shared" si="157"/>
        <v/>
      </c>
      <c r="U935" s="140" t="str">
        <f t="shared" si="158"/>
        <v/>
      </c>
      <c r="V935" s="99"/>
    </row>
    <row r="936" spans="1:22">
      <c r="A936" s="92"/>
      <c r="B936" s="146"/>
      <c r="C936" s="136"/>
      <c r="D936" s="137"/>
      <c r="E936" s="150"/>
      <c r="F936" s="139"/>
      <c r="G936" s="98"/>
      <c r="H936" s="99"/>
      <c r="I936" s="99"/>
      <c r="J936" s="100"/>
      <c r="K936" s="99"/>
      <c r="L936" s="99"/>
      <c r="M936" s="99"/>
      <c r="N936" s="99"/>
      <c r="O936" s="112"/>
      <c r="P936" s="140" t="str">
        <f t="shared" si="153"/>
        <v/>
      </c>
      <c r="Q936" s="140" t="str">
        <f t="shared" si="154"/>
        <v/>
      </c>
      <c r="R936" s="140" t="str">
        <f t="shared" si="155"/>
        <v/>
      </c>
      <c r="S936" s="140" t="str">
        <f t="shared" si="156"/>
        <v/>
      </c>
      <c r="T936" s="140" t="str">
        <f t="shared" si="157"/>
        <v/>
      </c>
      <c r="U936" s="140" t="str">
        <f t="shared" si="158"/>
        <v/>
      </c>
      <c r="V936" s="99"/>
    </row>
    <row r="937" spans="1:22">
      <c r="A937" s="92"/>
      <c r="B937" s="146"/>
      <c r="C937" s="136"/>
      <c r="D937" s="109">
        <f>0.3-0.08</f>
        <v>0.21999999999999997</v>
      </c>
      <c r="E937" s="138"/>
      <c r="F937" s="139"/>
      <c r="G937" s="98"/>
      <c r="H937" s="99"/>
      <c r="I937" s="99"/>
      <c r="J937" s="100"/>
      <c r="K937" s="99"/>
      <c r="L937" s="99"/>
      <c r="M937" s="99"/>
      <c r="N937" s="99"/>
      <c r="O937" s="112"/>
      <c r="P937" s="140" t="str">
        <f t="shared" si="153"/>
        <v/>
      </c>
      <c r="Q937" s="140" t="str">
        <f t="shared" si="154"/>
        <v/>
      </c>
      <c r="R937" s="140" t="str">
        <f t="shared" si="155"/>
        <v/>
      </c>
      <c r="S937" s="140" t="str">
        <f t="shared" si="156"/>
        <v/>
      </c>
      <c r="T937" s="140" t="str">
        <f t="shared" si="157"/>
        <v/>
      </c>
      <c r="U937" s="140" t="str">
        <f t="shared" si="158"/>
        <v/>
      </c>
      <c r="V937" s="99"/>
    </row>
    <row r="938" spans="1:22">
      <c r="A938" s="92"/>
      <c r="B938" s="141"/>
      <c r="C938" s="136"/>
      <c r="D938" s="137"/>
      <c r="E938" s="138"/>
      <c r="F938" s="139"/>
      <c r="G938" s="98"/>
      <c r="H938" s="99"/>
      <c r="I938" s="99"/>
      <c r="J938" s="100"/>
      <c r="K938" s="99"/>
      <c r="L938" s="99"/>
      <c r="M938" s="99"/>
      <c r="N938" s="99"/>
      <c r="O938" s="112"/>
      <c r="P938" s="140" t="str">
        <f t="shared" si="153"/>
        <v/>
      </c>
      <c r="Q938" s="140" t="str">
        <f t="shared" si="154"/>
        <v/>
      </c>
      <c r="R938" s="140" t="str">
        <f t="shared" si="155"/>
        <v/>
      </c>
      <c r="S938" s="140" t="str">
        <f t="shared" si="156"/>
        <v/>
      </c>
      <c r="T938" s="140" t="str">
        <f t="shared" si="157"/>
        <v/>
      </c>
      <c r="U938" s="140" t="str">
        <f t="shared" si="158"/>
        <v/>
      </c>
      <c r="V938" s="99"/>
    </row>
    <row r="939" spans="1:22">
      <c r="A939" s="92"/>
      <c r="B939" s="92"/>
      <c r="C939" s="145">
        <v>0.08</v>
      </c>
      <c r="D939" s="137"/>
      <c r="E939" s="138"/>
      <c r="F939" s="139"/>
      <c r="G939" s="98"/>
      <c r="H939" s="99"/>
      <c r="I939" s="99"/>
      <c r="J939" s="100"/>
      <c r="K939" s="99"/>
      <c r="L939" s="99"/>
      <c r="M939" s="99"/>
      <c r="N939" s="99"/>
      <c r="O939" s="112"/>
      <c r="P939" s="140" t="str">
        <f t="shared" si="153"/>
        <v/>
      </c>
      <c r="Q939" s="140" t="str">
        <f t="shared" si="154"/>
        <v/>
      </c>
      <c r="R939" s="140" t="str">
        <f t="shared" si="155"/>
        <v/>
      </c>
      <c r="S939" s="140" t="str">
        <f t="shared" si="156"/>
        <v/>
      </c>
      <c r="T939" s="140" t="str">
        <f t="shared" si="157"/>
        <v/>
      </c>
      <c r="U939" s="140" t="str">
        <f t="shared" si="158"/>
        <v/>
      </c>
      <c r="V939" s="99"/>
    </row>
    <row r="940" spans="1:22">
      <c r="A940" s="92"/>
      <c r="B940" s="146" t="s">
        <v>383</v>
      </c>
      <c r="C940" s="147"/>
      <c r="D940" s="137"/>
      <c r="E940" s="148">
        <f>(2*((0.75-0.08-0.016)/6))+0.012+0.02</f>
        <v>0.25</v>
      </c>
      <c r="F940" s="139"/>
      <c r="G940" s="98">
        <v>8</v>
      </c>
      <c r="H940" s="99">
        <v>8</v>
      </c>
      <c r="I940" s="111">
        <f>((1.68-2*0.75)/0.15)+1</f>
        <v>2.1999999999999997</v>
      </c>
      <c r="J940" s="149">
        <f>2*(D942+E940)+2*8*G940/1000</f>
        <v>1.0680000000000001</v>
      </c>
      <c r="K940" s="99"/>
      <c r="L940" s="99">
        <v>5</v>
      </c>
      <c r="M940" s="112">
        <f>2*G940*L940/1000</f>
        <v>0.08</v>
      </c>
      <c r="N940" s="112">
        <f>(J940+K940-M940)</f>
        <v>0.9880000000000001</v>
      </c>
      <c r="O940" s="112">
        <f>(H940*I940*N940)</f>
        <v>17.3888</v>
      </c>
      <c r="P940" s="140">
        <f t="shared" si="153"/>
        <v>17.3888</v>
      </c>
      <c r="Q940" s="140" t="str">
        <f t="shared" si="154"/>
        <v/>
      </c>
      <c r="R940" s="140" t="str">
        <f t="shared" si="155"/>
        <v/>
      </c>
      <c r="S940" s="140" t="str">
        <f t="shared" si="156"/>
        <v/>
      </c>
      <c r="T940" s="140" t="str">
        <f t="shared" si="157"/>
        <v/>
      </c>
      <c r="U940" s="140" t="str">
        <f t="shared" si="158"/>
        <v/>
      </c>
      <c r="V940" s="99"/>
    </row>
    <row r="941" spans="1:22">
      <c r="A941" s="92"/>
      <c r="B941" s="146"/>
      <c r="C941" s="136"/>
      <c r="D941" s="137"/>
      <c r="E941" s="150"/>
      <c r="F941" s="139"/>
      <c r="G941" s="98"/>
      <c r="H941" s="99"/>
      <c r="I941" s="99"/>
      <c r="J941" s="100"/>
      <c r="K941" s="99"/>
      <c r="L941" s="99"/>
      <c r="M941" s="99"/>
      <c r="N941" s="99"/>
      <c r="O941" s="112"/>
      <c r="P941" s="140" t="str">
        <f t="shared" si="153"/>
        <v/>
      </c>
      <c r="Q941" s="140" t="str">
        <f t="shared" si="154"/>
        <v/>
      </c>
      <c r="R941" s="140" t="str">
        <f t="shared" si="155"/>
        <v/>
      </c>
      <c r="S941" s="140" t="str">
        <f t="shared" si="156"/>
        <v/>
      </c>
      <c r="T941" s="140" t="str">
        <f t="shared" si="157"/>
        <v/>
      </c>
      <c r="U941" s="140" t="str">
        <f t="shared" si="158"/>
        <v/>
      </c>
      <c r="V941" s="99"/>
    </row>
    <row r="942" spans="1:22">
      <c r="A942" s="92"/>
      <c r="B942" s="146"/>
      <c r="C942" s="136"/>
      <c r="D942" s="109">
        <f>0.3-0.08</f>
        <v>0.21999999999999997</v>
      </c>
      <c r="E942" s="138"/>
      <c r="F942" s="139"/>
      <c r="G942" s="98"/>
      <c r="H942" s="99"/>
      <c r="I942" s="99"/>
      <c r="J942" s="100"/>
      <c r="K942" s="99"/>
      <c r="L942" s="99"/>
      <c r="M942" s="99"/>
      <c r="N942" s="99"/>
      <c r="O942" s="112"/>
      <c r="P942" s="140" t="str">
        <f t="shared" ref="P942:P956" si="161">IF($G942=8,$O942,"")</f>
        <v/>
      </c>
      <c r="Q942" s="140" t="str">
        <f t="shared" ref="Q942:Q956" si="162">IF($G942=10,$O942,"")</f>
        <v/>
      </c>
      <c r="R942" s="140" t="str">
        <f t="shared" ref="R942:R956" si="163">IF($G942=12,$O942,"")</f>
        <v/>
      </c>
      <c r="S942" s="140" t="str">
        <f t="shared" ref="S942:S956" si="164">IF($G942=16,$O942,"")</f>
        <v/>
      </c>
      <c r="T942" s="140" t="str">
        <f t="shared" ref="T942:T956" si="165">IF($G942=20,$O942,"")</f>
        <v/>
      </c>
      <c r="U942" s="140" t="str">
        <f t="shared" ref="U942:U956" si="166">IF($G942=25,$O942,"")</f>
        <v/>
      </c>
      <c r="V942" s="99"/>
    </row>
    <row r="943" spans="1:22">
      <c r="A943" s="92"/>
      <c r="B943" s="146"/>
      <c r="C943" s="136"/>
      <c r="D943" s="137"/>
      <c r="E943" s="138"/>
      <c r="F943" s="139"/>
      <c r="G943" s="98"/>
      <c r="H943" s="99"/>
      <c r="I943" s="99"/>
      <c r="J943" s="100"/>
      <c r="K943" s="99"/>
      <c r="L943" s="99"/>
      <c r="M943" s="99"/>
      <c r="N943" s="99"/>
      <c r="O943" s="112"/>
      <c r="P943" s="140" t="str">
        <f t="shared" si="161"/>
        <v/>
      </c>
      <c r="Q943" s="140" t="str">
        <f t="shared" si="162"/>
        <v/>
      </c>
      <c r="R943" s="140" t="str">
        <f t="shared" si="163"/>
        <v/>
      </c>
      <c r="S943" s="140" t="str">
        <f t="shared" si="164"/>
        <v/>
      </c>
      <c r="T943" s="140" t="str">
        <f t="shared" si="165"/>
        <v/>
      </c>
      <c r="U943" s="140" t="str">
        <f t="shared" si="166"/>
        <v/>
      </c>
      <c r="V943" s="99"/>
    </row>
    <row r="944" spans="1:22">
      <c r="A944" s="92"/>
      <c r="B944" s="146" t="s">
        <v>384</v>
      </c>
      <c r="C944" s="136"/>
      <c r="D944" s="142"/>
      <c r="E944" s="138"/>
      <c r="F944" s="139"/>
      <c r="G944" s="98">
        <v>8</v>
      </c>
      <c r="H944" s="99">
        <v>8</v>
      </c>
      <c r="I944" s="111">
        <f>((1.68-2*0.75)/0.15)+1</f>
        <v>2.1999999999999997</v>
      </c>
      <c r="J944" s="149">
        <f>C945+D947+E945+2*8*G944/1000</f>
        <v>0.69799999999999995</v>
      </c>
      <c r="K944" s="99"/>
      <c r="L944" s="99">
        <v>4</v>
      </c>
      <c r="M944" s="112">
        <f>2*G944*L944/1000</f>
        <v>6.4000000000000001E-2</v>
      </c>
      <c r="N944" s="112">
        <f>(J944+K944-M944)</f>
        <v>0.6339999999999999</v>
      </c>
      <c r="O944" s="112">
        <f>(H944*I944*N944)</f>
        <v>11.158399999999997</v>
      </c>
      <c r="P944" s="140">
        <f t="shared" si="161"/>
        <v>11.158399999999997</v>
      </c>
      <c r="Q944" s="140" t="str">
        <f t="shared" si="162"/>
        <v/>
      </c>
      <c r="R944" s="140" t="str">
        <f t="shared" si="163"/>
        <v/>
      </c>
      <c r="S944" s="140" t="str">
        <f t="shared" si="164"/>
        <v/>
      </c>
      <c r="T944" s="140" t="str">
        <f t="shared" si="165"/>
        <v/>
      </c>
      <c r="U944" s="140" t="str">
        <f t="shared" si="166"/>
        <v/>
      </c>
      <c r="V944" s="99"/>
    </row>
    <row r="945" spans="1:22">
      <c r="A945" s="92"/>
      <c r="B945" s="146"/>
      <c r="C945" s="151">
        <v>0.17499999999999999</v>
      </c>
      <c r="D945" s="137"/>
      <c r="E945" s="138">
        <v>0.17499999999999999</v>
      </c>
      <c r="F945" s="139"/>
      <c r="G945" s="98"/>
      <c r="H945" s="99"/>
      <c r="I945" s="99"/>
      <c r="J945" s="100"/>
      <c r="K945" s="99"/>
      <c r="L945" s="99"/>
      <c r="M945" s="99"/>
      <c r="N945" s="99"/>
      <c r="O945" s="112"/>
      <c r="P945" s="140" t="str">
        <f>IF($G945=8,$O945,"")</f>
        <v/>
      </c>
      <c r="Q945" s="140" t="str">
        <f>IF($G945=10,$O945,"")</f>
        <v/>
      </c>
      <c r="R945" s="140" t="str">
        <f>IF($G945=12,$O945,"")</f>
        <v/>
      </c>
      <c r="S945" s="140" t="str">
        <f>IF($G945=16,$O945,"")</f>
        <v/>
      </c>
      <c r="T945" s="140" t="str">
        <f>IF($G945=20,$O945,"")</f>
        <v/>
      </c>
      <c r="U945" s="140" t="str">
        <f>IF($G945=25,$O945,"")</f>
        <v/>
      </c>
      <c r="V945" s="99"/>
    </row>
    <row r="946" spans="1:22">
      <c r="A946" s="92"/>
      <c r="B946" s="146"/>
      <c r="C946" s="136"/>
      <c r="D946" s="137"/>
      <c r="E946" s="138"/>
      <c r="F946" s="139"/>
      <c r="G946" s="98"/>
      <c r="H946" s="99"/>
      <c r="I946" s="99"/>
      <c r="J946" s="100"/>
      <c r="K946" s="99"/>
      <c r="L946" s="99"/>
      <c r="M946" s="99"/>
      <c r="N946" s="99"/>
      <c r="O946" s="112"/>
      <c r="P946" s="140" t="str">
        <f t="shared" si="161"/>
        <v/>
      </c>
      <c r="Q946" s="140" t="str">
        <f t="shared" si="162"/>
        <v/>
      </c>
      <c r="R946" s="140" t="str">
        <f t="shared" si="163"/>
        <v/>
      </c>
      <c r="S946" s="140" t="str">
        <f t="shared" si="164"/>
        <v/>
      </c>
      <c r="T946" s="140" t="str">
        <f t="shared" si="165"/>
        <v/>
      </c>
      <c r="U946" s="140" t="str">
        <f t="shared" si="166"/>
        <v/>
      </c>
      <c r="V946" s="99"/>
    </row>
    <row r="947" spans="1:22">
      <c r="A947" s="92"/>
      <c r="B947" s="146"/>
      <c r="C947" s="136"/>
      <c r="D947" s="109">
        <f>0.3-0.08</f>
        <v>0.21999999999999997</v>
      </c>
      <c r="E947" s="138"/>
      <c r="F947" s="139"/>
      <c r="G947" s="98"/>
      <c r="H947" s="99"/>
      <c r="I947" s="99"/>
      <c r="J947" s="100"/>
      <c r="K947" s="99"/>
      <c r="L947" s="99"/>
      <c r="M947" s="99"/>
      <c r="N947" s="99"/>
      <c r="O947" s="112"/>
      <c r="P947" s="140" t="str">
        <f t="shared" si="161"/>
        <v/>
      </c>
      <c r="Q947" s="140" t="str">
        <f t="shared" si="162"/>
        <v/>
      </c>
      <c r="R947" s="140" t="str">
        <f t="shared" si="163"/>
        <v/>
      </c>
      <c r="S947" s="140" t="str">
        <f t="shared" si="164"/>
        <v/>
      </c>
      <c r="T947" s="140" t="str">
        <f t="shared" si="165"/>
        <v/>
      </c>
      <c r="U947" s="140" t="str">
        <f t="shared" si="166"/>
        <v/>
      </c>
      <c r="V947" s="99"/>
    </row>
    <row r="948" spans="1:22">
      <c r="A948" s="92"/>
      <c r="B948" s="146"/>
      <c r="C948" s="136"/>
      <c r="D948" s="137"/>
      <c r="E948" s="138"/>
      <c r="F948" s="139"/>
      <c r="G948" s="98"/>
      <c r="H948" s="99"/>
      <c r="I948" s="99"/>
      <c r="J948" s="100"/>
      <c r="K948" s="99"/>
      <c r="L948" s="99"/>
      <c r="M948" s="99"/>
      <c r="N948" s="99"/>
      <c r="O948" s="112"/>
      <c r="P948" s="140" t="str">
        <f t="shared" si="161"/>
        <v/>
      </c>
      <c r="Q948" s="140" t="str">
        <f t="shared" si="162"/>
        <v/>
      </c>
      <c r="R948" s="140" t="str">
        <f t="shared" si="163"/>
        <v/>
      </c>
      <c r="S948" s="140" t="str">
        <f t="shared" si="164"/>
        <v/>
      </c>
      <c r="T948" s="140" t="str">
        <f t="shared" si="165"/>
        <v/>
      </c>
      <c r="U948" s="140" t="str">
        <f t="shared" si="166"/>
        <v/>
      </c>
      <c r="V948" s="99"/>
    </row>
    <row r="949" spans="1:22">
      <c r="A949" s="92"/>
      <c r="B949" s="146" t="s">
        <v>385</v>
      </c>
      <c r="C949" s="136"/>
      <c r="D949" s="142"/>
      <c r="E949" s="138"/>
      <c r="F949" s="139"/>
      <c r="G949" s="98">
        <v>8</v>
      </c>
      <c r="H949" s="99">
        <v>8</v>
      </c>
      <c r="I949" s="111">
        <f>((1.68-2*0.75)/0.15)+1</f>
        <v>2.1999999999999997</v>
      </c>
      <c r="J949" s="149">
        <f>C950+D952+E950+2*8*G949/1000</f>
        <v>0.69799999999999995</v>
      </c>
      <c r="K949" s="99"/>
      <c r="L949" s="99">
        <v>4</v>
      </c>
      <c r="M949" s="112">
        <f>2*G949*L949/1000</f>
        <v>6.4000000000000001E-2</v>
      </c>
      <c r="N949" s="112">
        <f>(J949+K949-M949)</f>
        <v>0.6339999999999999</v>
      </c>
      <c r="O949" s="112">
        <f>(H949*I949*N949)</f>
        <v>11.158399999999997</v>
      </c>
      <c r="P949" s="140">
        <f t="shared" si="161"/>
        <v>11.158399999999997</v>
      </c>
      <c r="Q949" s="140" t="str">
        <f t="shared" si="162"/>
        <v/>
      </c>
      <c r="R949" s="140" t="str">
        <f t="shared" si="163"/>
        <v/>
      </c>
      <c r="S949" s="140" t="str">
        <f t="shared" si="164"/>
        <v/>
      </c>
      <c r="T949" s="140" t="str">
        <f t="shared" si="165"/>
        <v/>
      </c>
      <c r="U949" s="140" t="str">
        <f t="shared" si="166"/>
        <v/>
      </c>
      <c r="V949" s="99"/>
    </row>
    <row r="950" spans="1:22">
      <c r="A950" s="92"/>
      <c r="B950" s="146"/>
      <c r="C950" s="151">
        <v>0.17499999999999999</v>
      </c>
      <c r="D950" s="137"/>
      <c r="E950" s="138">
        <v>0.17499999999999999</v>
      </c>
      <c r="F950" s="139"/>
      <c r="G950" s="98"/>
      <c r="H950" s="99"/>
      <c r="I950" s="99"/>
      <c r="J950" s="100"/>
      <c r="K950" s="99"/>
      <c r="L950" s="99"/>
      <c r="M950" s="99"/>
      <c r="N950" s="99"/>
      <c r="O950" s="112"/>
      <c r="P950" s="140" t="str">
        <f t="shared" si="161"/>
        <v/>
      </c>
      <c r="Q950" s="140" t="str">
        <f t="shared" si="162"/>
        <v/>
      </c>
      <c r="R950" s="140" t="str">
        <f t="shared" si="163"/>
        <v/>
      </c>
      <c r="S950" s="140" t="str">
        <f t="shared" si="164"/>
        <v/>
      </c>
      <c r="T950" s="140" t="str">
        <f t="shared" si="165"/>
        <v/>
      </c>
      <c r="U950" s="140" t="str">
        <f t="shared" si="166"/>
        <v/>
      </c>
      <c r="V950" s="99"/>
    </row>
    <row r="951" spans="1:22">
      <c r="A951" s="92"/>
      <c r="B951" s="146"/>
      <c r="C951" s="136"/>
      <c r="D951" s="137"/>
      <c r="E951" s="138"/>
      <c r="F951" s="139"/>
      <c r="G951" s="98"/>
      <c r="H951" s="99"/>
      <c r="I951" s="99"/>
      <c r="J951" s="100"/>
      <c r="K951" s="99"/>
      <c r="L951" s="99"/>
      <c r="M951" s="99"/>
      <c r="N951" s="99"/>
      <c r="O951" s="101"/>
      <c r="P951" s="140" t="str">
        <f t="shared" si="161"/>
        <v/>
      </c>
      <c r="Q951" s="140" t="str">
        <f t="shared" si="162"/>
        <v/>
      </c>
      <c r="R951" s="140" t="str">
        <f t="shared" si="163"/>
        <v/>
      </c>
      <c r="S951" s="140" t="str">
        <f t="shared" si="164"/>
        <v/>
      </c>
      <c r="T951" s="140" t="str">
        <f t="shared" si="165"/>
        <v/>
      </c>
      <c r="U951" s="140" t="str">
        <f t="shared" si="166"/>
        <v/>
      </c>
      <c r="V951" s="99"/>
    </row>
    <row r="952" spans="1:22">
      <c r="A952" s="92"/>
      <c r="B952" s="146"/>
      <c r="C952" s="136"/>
      <c r="D952" s="109">
        <f>0.3-0.08</f>
        <v>0.21999999999999997</v>
      </c>
      <c r="E952" s="138"/>
      <c r="F952" s="139"/>
      <c r="G952" s="98"/>
      <c r="H952" s="99"/>
      <c r="I952" s="99"/>
      <c r="J952" s="100"/>
      <c r="K952" s="99"/>
      <c r="L952" s="99"/>
      <c r="M952" s="99"/>
      <c r="N952" s="99"/>
      <c r="O952" s="101"/>
      <c r="P952" s="140" t="str">
        <f t="shared" si="161"/>
        <v/>
      </c>
      <c r="Q952" s="140" t="str">
        <f t="shared" si="162"/>
        <v/>
      </c>
      <c r="R952" s="140" t="str">
        <f t="shared" si="163"/>
        <v/>
      </c>
      <c r="S952" s="140" t="str">
        <f t="shared" si="164"/>
        <v/>
      </c>
      <c r="T952" s="140" t="str">
        <f t="shared" si="165"/>
        <v/>
      </c>
      <c r="U952" s="140" t="str">
        <f t="shared" si="166"/>
        <v/>
      </c>
      <c r="V952" s="99"/>
    </row>
    <row r="953" spans="1:22">
      <c r="A953" s="92"/>
      <c r="B953" s="141"/>
      <c r="C953" s="136"/>
      <c r="D953" s="137"/>
      <c r="E953" s="138"/>
      <c r="F953" s="139"/>
      <c r="G953" s="98"/>
      <c r="H953" s="99"/>
      <c r="I953" s="99"/>
      <c r="J953" s="100"/>
      <c r="K953" s="99"/>
      <c r="L953" s="99"/>
      <c r="M953" s="99"/>
      <c r="N953" s="99"/>
      <c r="O953" s="101"/>
      <c r="P953" s="140" t="str">
        <f t="shared" si="161"/>
        <v/>
      </c>
      <c r="Q953" s="140" t="str">
        <f t="shared" si="162"/>
        <v/>
      </c>
      <c r="R953" s="140" t="str">
        <f t="shared" si="163"/>
        <v/>
      </c>
      <c r="S953" s="140" t="str">
        <f t="shared" si="164"/>
        <v/>
      </c>
      <c r="T953" s="140" t="str">
        <f t="shared" si="165"/>
        <v/>
      </c>
      <c r="U953" s="140" t="str">
        <f t="shared" si="166"/>
        <v/>
      </c>
      <c r="V953" s="99"/>
    </row>
    <row r="954" spans="1:22">
      <c r="A954" s="92"/>
      <c r="B954" s="141"/>
      <c r="C954" s="136"/>
      <c r="D954" s="137"/>
      <c r="E954" s="144">
        <v>0.08</v>
      </c>
      <c r="F954" s="139"/>
      <c r="G954" s="98"/>
      <c r="H954" s="99"/>
      <c r="I954" s="99"/>
      <c r="J954" s="100"/>
      <c r="K954" s="99"/>
      <c r="L954" s="99"/>
      <c r="M954" s="99"/>
      <c r="N954" s="99"/>
      <c r="O954" s="101"/>
      <c r="P954" s="140" t="str">
        <f t="shared" si="161"/>
        <v/>
      </c>
      <c r="Q954" s="140" t="str">
        <f t="shared" si="162"/>
        <v/>
      </c>
      <c r="R954" s="140" t="str">
        <f t="shared" si="163"/>
        <v/>
      </c>
      <c r="S954" s="140" t="str">
        <f t="shared" si="164"/>
        <v/>
      </c>
      <c r="T954" s="140" t="str">
        <f t="shared" si="165"/>
        <v/>
      </c>
      <c r="U954" s="140" t="str">
        <f t="shared" si="166"/>
        <v/>
      </c>
      <c r="V954" s="99"/>
    </row>
    <row r="955" spans="1:22">
      <c r="A955" s="92"/>
      <c r="B955" s="146" t="s">
        <v>390</v>
      </c>
      <c r="C955" s="136"/>
      <c r="D955" s="142">
        <f>0.3-0.08</f>
        <v>0.21999999999999997</v>
      </c>
      <c r="E955" s="144"/>
      <c r="F955" s="139"/>
      <c r="G955" s="98">
        <v>8</v>
      </c>
      <c r="H955" s="99">
        <v>8</v>
      </c>
      <c r="I955" s="111">
        <f>((1.68-2*0.75)/0.15)+1</f>
        <v>2.1999999999999997</v>
      </c>
      <c r="J955" s="149">
        <f>D955+E954+E956</f>
        <v>0.38</v>
      </c>
      <c r="K955" s="99"/>
      <c r="L955" s="99">
        <v>2</v>
      </c>
      <c r="M955" s="112">
        <f>2*G955*L955/1000</f>
        <v>3.2000000000000001E-2</v>
      </c>
      <c r="N955" s="112">
        <f>(J955+K955-M955)</f>
        <v>0.34799999999999998</v>
      </c>
      <c r="O955" s="112">
        <f>(H955*I955*N955)</f>
        <v>6.1247999999999987</v>
      </c>
      <c r="P955" s="140">
        <f t="shared" si="161"/>
        <v>6.1247999999999987</v>
      </c>
      <c r="Q955" s="140" t="str">
        <f t="shared" si="162"/>
        <v/>
      </c>
      <c r="R955" s="140" t="str">
        <f t="shared" si="163"/>
        <v/>
      </c>
      <c r="S955" s="140" t="str">
        <f t="shared" si="164"/>
        <v/>
      </c>
      <c r="T955" s="140" t="str">
        <f t="shared" si="165"/>
        <v/>
      </c>
      <c r="U955" s="140" t="str">
        <f t="shared" si="166"/>
        <v/>
      </c>
      <c r="V955" s="99"/>
    </row>
    <row r="956" spans="1:22">
      <c r="A956" s="92"/>
      <c r="B956" s="141"/>
      <c r="C956" s="136"/>
      <c r="D956" s="137"/>
      <c r="E956" s="144">
        <v>0.08</v>
      </c>
      <c r="F956" s="139"/>
      <c r="G956" s="98"/>
      <c r="H956" s="99"/>
      <c r="I956" s="99"/>
      <c r="J956" s="100"/>
      <c r="K956" s="99"/>
      <c r="L956" s="99"/>
      <c r="M956" s="99"/>
      <c r="N956" s="99"/>
      <c r="O956" s="101"/>
      <c r="P956" s="140" t="str">
        <f t="shared" si="161"/>
        <v/>
      </c>
      <c r="Q956" s="140" t="str">
        <f t="shared" si="162"/>
        <v/>
      </c>
      <c r="R956" s="140" t="str">
        <f t="shared" si="163"/>
        <v/>
      </c>
      <c r="S956" s="140" t="str">
        <f t="shared" si="164"/>
        <v/>
      </c>
      <c r="T956" s="140" t="str">
        <f t="shared" si="165"/>
        <v/>
      </c>
      <c r="U956" s="140" t="str">
        <f t="shared" si="166"/>
        <v/>
      </c>
      <c r="V956" s="99"/>
    </row>
    <row r="957" spans="1:22">
      <c r="A957" s="92"/>
      <c r="B957" s="146"/>
      <c r="C957" s="136"/>
      <c r="D957" s="152"/>
      <c r="E957" s="138"/>
      <c r="F957" s="139"/>
      <c r="G957" s="98"/>
      <c r="H957" s="99"/>
      <c r="I957" s="99"/>
      <c r="J957" s="100"/>
      <c r="K957" s="99"/>
      <c r="L957" s="99"/>
      <c r="M957" s="99"/>
      <c r="N957" s="99"/>
      <c r="O957" s="101"/>
      <c r="P957" s="140" t="str">
        <f t="shared" si="105"/>
        <v/>
      </c>
      <c r="Q957" s="140" t="str">
        <f t="shared" si="106"/>
        <v/>
      </c>
      <c r="R957" s="140" t="str">
        <f t="shared" si="107"/>
        <v/>
      </c>
      <c r="S957" s="140" t="str">
        <f t="shared" si="108"/>
        <v/>
      </c>
      <c r="T957" s="140" t="str">
        <f t="shared" si="109"/>
        <v/>
      </c>
      <c r="U957" s="140" t="str">
        <f t="shared" si="110"/>
        <v/>
      </c>
      <c r="V957" s="99"/>
    </row>
    <row r="958" spans="1:22">
      <c r="A958" s="92"/>
      <c r="B958" s="141"/>
      <c r="C958" s="136"/>
      <c r="D958" s="137"/>
      <c r="E958" s="138"/>
      <c r="F958" s="139"/>
      <c r="G958" s="98"/>
      <c r="H958" s="99"/>
      <c r="I958" s="99"/>
      <c r="J958" s="100"/>
      <c r="K958" s="99"/>
      <c r="L958" s="99"/>
      <c r="M958" s="99"/>
      <c r="N958" s="99"/>
      <c r="O958" s="101"/>
      <c r="P958" s="140" t="str">
        <f t="shared" si="105"/>
        <v/>
      </c>
      <c r="Q958" s="140" t="str">
        <f t="shared" si="106"/>
        <v/>
      </c>
      <c r="R958" s="140" t="str">
        <f t="shared" si="107"/>
        <v/>
      </c>
      <c r="S958" s="140" t="str">
        <f t="shared" si="108"/>
        <v/>
      </c>
      <c r="T958" s="140" t="str">
        <f t="shared" si="109"/>
        <v/>
      </c>
      <c r="U958" s="140" t="str">
        <f t="shared" si="110"/>
        <v/>
      </c>
      <c r="V958" s="99"/>
    </row>
    <row r="959" spans="1:22">
      <c r="A959" s="92">
        <v>5</v>
      </c>
      <c r="B959" s="92" t="s">
        <v>391</v>
      </c>
      <c r="C959" s="136"/>
      <c r="D959" s="137"/>
      <c r="E959" s="138"/>
      <c r="F959" s="139"/>
      <c r="G959" s="98"/>
      <c r="H959" s="99"/>
      <c r="I959" s="99"/>
      <c r="J959" s="109"/>
      <c r="K959" s="112"/>
      <c r="L959" s="112"/>
      <c r="M959" s="99"/>
      <c r="N959" s="112"/>
      <c r="O959" s="112"/>
      <c r="P959" s="140" t="str">
        <f>IF($G959=8,$O959,"")</f>
        <v/>
      </c>
      <c r="Q959" s="140" t="str">
        <f>IF($G959=10,$O959,"")</f>
        <v/>
      </c>
      <c r="R959" s="140" t="str">
        <f>IF($G959=12,$O959,"")</f>
        <v/>
      </c>
      <c r="S959" s="140" t="str">
        <f>IF($G959=16,$O959,"")</f>
        <v/>
      </c>
      <c r="T959" s="140" t="str">
        <f>IF($G959=20,$O959,"")</f>
        <v/>
      </c>
      <c r="U959" s="140" t="str">
        <f>IF($G959=25,$O959,"")</f>
        <v/>
      </c>
      <c r="V959" s="99"/>
    </row>
    <row r="960" spans="1:22">
      <c r="A960" s="92"/>
      <c r="B960" s="141" t="s">
        <v>378</v>
      </c>
      <c r="C960" s="136"/>
      <c r="D960" s="142">
        <v>1.68</v>
      </c>
      <c r="E960" s="138"/>
      <c r="F960" s="139"/>
      <c r="G960" s="98">
        <v>20</v>
      </c>
      <c r="H960" s="99">
        <v>10</v>
      </c>
      <c r="I960" s="99">
        <v>4</v>
      </c>
      <c r="J960" s="109">
        <f>D960</f>
        <v>1.68</v>
      </c>
      <c r="K960" s="110" t="str">
        <f>IF(N960&lt;12,"0",0.049*G960)</f>
        <v>0</v>
      </c>
      <c r="L960" s="111">
        <v>0</v>
      </c>
      <c r="M960" s="99">
        <f>2*G960*L960/1000</f>
        <v>0</v>
      </c>
      <c r="N960" s="112">
        <f>J960-M960</f>
        <v>1.68</v>
      </c>
      <c r="O960" s="112">
        <f>H960*I960*N960</f>
        <v>67.2</v>
      </c>
      <c r="P960" s="140" t="str">
        <f t="shared" si="105"/>
        <v/>
      </c>
      <c r="Q960" s="140" t="str">
        <f t="shared" si="106"/>
        <v/>
      </c>
      <c r="R960" s="140" t="str">
        <f t="shared" si="107"/>
        <v/>
      </c>
      <c r="S960" s="140" t="str">
        <f t="shared" si="108"/>
        <v/>
      </c>
      <c r="T960" s="140">
        <f t="shared" si="109"/>
        <v>67.2</v>
      </c>
      <c r="U960" s="140" t="str">
        <f t="shared" si="110"/>
        <v/>
      </c>
      <c r="V960" s="99"/>
    </row>
    <row r="961" spans="1:22">
      <c r="A961" s="92"/>
      <c r="B961" s="141" t="s">
        <v>379</v>
      </c>
      <c r="C961" s="136"/>
      <c r="D961" s="137"/>
      <c r="E961" s="138"/>
      <c r="F961" s="139"/>
      <c r="G961" s="98">
        <v>16</v>
      </c>
      <c r="H961" s="99">
        <v>10</v>
      </c>
      <c r="I961" s="99">
        <v>2</v>
      </c>
      <c r="J961" s="109">
        <f>D960</f>
        <v>1.68</v>
      </c>
      <c r="K961" s="110" t="str">
        <f t="shared" ref="K961:K964" si="167">IF(N961&lt;12,"0",0.049*G961)</f>
        <v>0</v>
      </c>
      <c r="L961" s="111">
        <v>0</v>
      </c>
      <c r="M961" s="99">
        <f t="shared" ref="M961:M964" si="168">2*G961*L961/1000</f>
        <v>0</v>
      </c>
      <c r="N961" s="112">
        <f t="shared" ref="N961:N964" si="169">J961-M961</f>
        <v>1.68</v>
      </c>
      <c r="O961" s="112">
        <f>H961*I961*N961</f>
        <v>33.6</v>
      </c>
      <c r="P961" s="140" t="str">
        <f t="shared" si="105"/>
        <v/>
      </c>
      <c r="Q961" s="140" t="str">
        <f t="shared" si="106"/>
        <v/>
      </c>
      <c r="R961" s="140" t="str">
        <f t="shared" si="107"/>
        <v/>
      </c>
      <c r="S961" s="140">
        <f t="shared" si="108"/>
        <v>33.6</v>
      </c>
      <c r="T961" s="140" t="str">
        <f t="shared" si="109"/>
        <v/>
      </c>
      <c r="U961" s="140" t="str">
        <f t="shared" si="110"/>
        <v/>
      </c>
      <c r="V961" s="99"/>
    </row>
    <row r="962" spans="1:22">
      <c r="A962" s="92"/>
      <c r="B962" s="141" t="s">
        <v>380</v>
      </c>
      <c r="C962" s="143"/>
      <c r="D962" s="142"/>
      <c r="E962" s="144"/>
      <c r="F962" s="139"/>
      <c r="G962" s="98">
        <v>16</v>
      </c>
      <c r="H962" s="99">
        <v>10</v>
      </c>
      <c r="I962" s="99">
        <v>4</v>
      </c>
      <c r="J962" s="109">
        <f>D960</f>
        <v>1.68</v>
      </c>
      <c r="K962" s="110" t="str">
        <f t="shared" si="167"/>
        <v>0</v>
      </c>
      <c r="L962" s="111">
        <v>0</v>
      </c>
      <c r="M962" s="99">
        <f t="shared" si="168"/>
        <v>0</v>
      </c>
      <c r="N962" s="112">
        <f t="shared" si="169"/>
        <v>1.68</v>
      </c>
      <c r="O962" s="112">
        <f>H962*I962*N962</f>
        <v>67.2</v>
      </c>
      <c r="P962" s="140" t="str">
        <f t="shared" si="105"/>
        <v/>
      </c>
      <c r="Q962" s="140" t="str">
        <f t="shared" si="106"/>
        <v/>
      </c>
      <c r="R962" s="140" t="str">
        <f t="shared" si="107"/>
        <v/>
      </c>
      <c r="S962" s="140">
        <f t="shared" si="108"/>
        <v>67.2</v>
      </c>
      <c r="T962" s="140" t="str">
        <f t="shared" si="109"/>
        <v/>
      </c>
      <c r="U962" s="140" t="str">
        <f t="shared" si="110"/>
        <v/>
      </c>
      <c r="V962" s="99"/>
    </row>
    <row r="963" spans="1:22">
      <c r="A963" s="92"/>
      <c r="B963" s="141" t="s">
        <v>381</v>
      </c>
      <c r="C963" s="136"/>
      <c r="D963" s="137"/>
      <c r="E963" s="138"/>
      <c r="F963" s="139"/>
      <c r="G963" s="98">
        <v>16</v>
      </c>
      <c r="H963" s="99">
        <v>10</v>
      </c>
      <c r="I963" s="99">
        <v>4</v>
      </c>
      <c r="J963" s="109">
        <f>D960</f>
        <v>1.68</v>
      </c>
      <c r="K963" s="110" t="str">
        <f t="shared" si="167"/>
        <v>0</v>
      </c>
      <c r="L963" s="111">
        <v>0</v>
      </c>
      <c r="M963" s="99">
        <f t="shared" si="168"/>
        <v>0</v>
      </c>
      <c r="N963" s="112">
        <f t="shared" si="169"/>
        <v>1.68</v>
      </c>
      <c r="O963" s="112">
        <f>H963*I963*N963</f>
        <v>67.2</v>
      </c>
      <c r="P963" s="140" t="str">
        <f t="shared" si="105"/>
        <v/>
      </c>
      <c r="Q963" s="140" t="str">
        <f t="shared" si="106"/>
        <v/>
      </c>
      <c r="R963" s="140" t="str">
        <f t="shared" si="107"/>
        <v/>
      </c>
      <c r="S963" s="140">
        <f t="shared" si="108"/>
        <v>67.2</v>
      </c>
      <c r="T963" s="140" t="str">
        <f t="shared" si="109"/>
        <v/>
      </c>
      <c r="U963" s="140" t="str">
        <f t="shared" si="110"/>
        <v/>
      </c>
      <c r="V963" s="99"/>
    </row>
    <row r="964" spans="1:22">
      <c r="A964" s="92"/>
      <c r="B964" s="141" t="s">
        <v>389</v>
      </c>
      <c r="C964" s="136"/>
      <c r="D964" s="137"/>
      <c r="E964" s="138"/>
      <c r="F964" s="139"/>
      <c r="G964" s="98">
        <v>16</v>
      </c>
      <c r="H964" s="99">
        <v>10</v>
      </c>
      <c r="I964" s="99">
        <v>2</v>
      </c>
      <c r="J964" s="109">
        <f>D960</f>
        <v>1.68</v>
      </c>
      <c r="K964" s="110" t="str">
        <f t="shared" si="167"/>
        <v>0</v>
      </c>
      <c r="L964" s="111">
        <v>0</v>
      </c>
      <c r="M964" s="99">
        <f t="shared" si="168"/>
        <v>0</v>
      </c>
      <c r="N964" s="112">
        <f t="shared" si="169"/>
        <v>1.68</v>
      </c>
      <c r="O964" s="112">
        <f>H964*I964*N964</f>
        <v>33.6</v>
      </c>
      <c r="P964" s="140" t="str">
        <f t="shared" si="105"/>
        <v/>
      </c>
      <c r="Q964" s="140" t="str">
        <f t="shared" si="106"/>
        <v/>
      </c>
      <c r="R964" s="140" t="str">
        <f t="shared" si="107"/>
        <v/>
      </c>
      <c r="S964" s="140">
        <f t="shared" si="108"/>
        <v>33.6</v>
      </c>
      <c r="T964" s="140" t="str">
        <f t="shared" si="109"/>
        <v/>
      </c>
      <c r="U964" s="140" t="str">
        <f t="shared" si="110"/>
        <v/>
      </c>
      <c r="V964" s="99"/>
    </row>
    <row r="965" spans="1:22">
      <c r="A965" s="92"/>
      <c r="B965" s="141"/>
      <c r="C965" s="136"/>
      <c r="D965" s="137"/>
      <c r="E965" s="138"/>
      <c r="F965" s="139"/>
      <c r="G965" s="98"/>
      <c r="H965" s="99"/>
      <c r="I965" s="99"/>
      <c r="J965" s="100"/>
      <c r="K965" s="99"/>
      <c r="L965" s="99"/>
      <c r="M965" s="99"/>
      <c r="N965" s="99"/>
      <c r="O965" s="101"/>
      <c r="P965" s="140" t="str">
        <f t="shared" si="105"/>
        <v/>
      </c>
      <c r="Q965" s="140" t="str">
        <f t="shared" si="106"/>
        <v/>
      </c>
      <c r="R965" s="140" t="str">
        <f t="shared" si="107"/>
        <v/>
      </c>
      <c r="S965" s="140" t="str">
        <f t="shared" si="108"/>
        <v/>
      </c>
      <c r="T965" s="140" t="str">
        <f t="shared" si="109"/>
        <v/>
      </c>
      <c r="U965" s="140" t="str">
        <f t="shared" si="110"/>
        <v/>
      </c>
      <c r="V965" s="99"/>
    </row>
    <row r="966" spans="1:22">
      <c r="A966" s="92"/>
      <c r="B966" s="429" t="s">
        <v>644</v>
      </c>
      <c r="C966" s="145">
        <v>0.08</v>
      </c>
      <c r="D966" s="137"/>
      <c r="E966" s="138"/>
      <c r="F966" s="139"/>
      <c r="G966" s="98"/>
      <c r="H966" s="99"/>
      <c r="I966" s="99"/>
      <c r="J966" s="100"/>
      <c r="K966" s="99"/>
      <c r="L966" s="99"/>
      <c r="M966" s="99"/>
      <c r="N966" s="99"/>
      <c r="O966" s="101"/>
      <c r="P966" s="140" t="str">
        <f t="shared" si="105"/>
        <v/>
      </c>
      <c r="Q966" s="140" t="str">
        <f t="shared" si="106"/>
        <v/>
      </c>
      <c r="R966" s="140" t="str">
        <f t="shared" si="107"/>
        <v/>
      </c>
      <c r="S966" s="140" t="str">
        <f t="shared" si="108"/>
        <v/>
      </c>
      <c r="T966" s="140" t="str">
        <f t="shared" si="109"/>
        <v/>
      </c>
      <c r="U966" s="140" t="str">
        <f t="shared" si="110"/>
        <v/>
      </c>
      <c r="V966" s="99"/>
    </row>
    <row r="967" spans="1:22">
      <c r="A967" s="92"/>
      <c r="B967" s="146" t="s">
        <v>382</v>
      </c>
      <c r="C967" s="147"/>
      <c r="D967" s="137"/>
      <c r="E967" s="148">
        <f>0.75-0.08</f>
        <v>0.67</v>
      </c>
      <c r="F967" s="139"/>
      <c r="G967" s="98">
        <v>10</v>
      </c>
      <c r="H967" s="99">
        <v>10</v>
      </c>
      <c r="I967" s="99">
        <f>((2*0.75)/0.075)+2</f>
        <v>22</v>
      </c>
      <c r="J967" s="149">
        <f>2*(D969+E967)+2*8*G967/1000</f>
        <v>1.94</v>
      </c>
      <c r="K967" s="99"/>
      <c r="L967" s="99">
        <v>5</v>
      </c>
      <c r="M967" s="112">
        <f>2*G967*L967/1000</f>
        <v>0.1</v>
      </c>
      <c r="N967" s="112">
        <f>(J967+K967-M967)</f>
        <v>1.8399999999999999</v>
      </c>
      <c r="O967" s="112">
        <f>(H967*I967*N967)</f>
        <v>404.79999999999995</v>
      </c>
      <c r="P967" s="140" t="str">
        <f t="shared" si="105"/>
        <v/>
      </c>
      <c r="Q967" s="140">
        <f t="shared" si="106"/>
        <v>404.79999999999995</v>
      </c>
      <c r="R967" s="140" t="str">
        <f t="shared" si="107"/>
        <v/>
      </c>
      <c r="S967" s="140" t="str">
        <f t="shared" si="108"/>
        <v/>
      </c>
      <c r="T967" s="140" t="str">
        <f t="shared" si="109"/>
        <v/>
      </c>
      <c r="U967" s="140" t="str">
        <f t="shared" si="110"/>
        <v/>
      </c>
      <c r="V967" s="99"/>
    </row>
    <row r="968" spans="1:22">
      <c r="A968" s="92"/>
      <c r="B968" s="146"/>
      <c r="C968" s="136"/>
      <c r="D968" s="137"/>
      <c r="E968" s="150"/>
      <c r="F968" s="139"/>
      <c r="G968" s="98"/>
      <c r="H968" s="99"/>
      <c r="I968" s="99"/>
      <c r="J968" s="100"/>
      <c r="K968" s="99"/>
      <c r="L968" s="99"/>
      <c r="M968" s="99"/>
      <c r="N968" s="99"/>
      <c r="O968" s="112"/>
      <c r="P968" s="140" t="str">
        <f t="shared" si="105"/>
        <v/>
      </c>
      <c r="Q968" s="140" t="str">
        <f t="shared" si="106"/>
        <v/>
      </c>
      <c r="R968" s="140" t="str">
        <f t="shared" si="107"/>
        <v/>
      </c>
      <c r="S968" s="140" t="str">
        <f t="shared" si="108"/>
        <v/>
      </c>
      <c r="T968" s="140" t="str">
        <f t="shared" si="109"/>
        <v/>
      </c>
      <c r="U968" s="140" t="str">
        <f t="shared" si="110"/>
        <v/>
      </c>
      <c r="V968" s="99"/>
    </row>
    <row r="969" spans="1:22">
      <c r="A969" s="92"/>
      <c r="B969" s="146"/>
      <c r="C969" s="136"/>
      <c r="D969" s="109">
        <f>0.3-0.08</f>
        <v>0.21999999999999997</v>
      </c>
      <c r="E969" s="138"/>
      <c r="F969" s="139"/>
      <c r="G969" s="98"/>
      <c r="H969" s="99"/>
      <c r="I969" s="99"/>
      <c r="J969" s="100"/>
      <c r="K969" s="99"/>
      <c r="L969" s="99"/>
      <c r="M969" s="99"/>
      <c r="N969" s="99"/>
      <c r="O969" s="112"/>
      <c r="P969" s="140" t="str">
        <f t="shared" si="105"/>
        <v/>
      </c>
      <c r="Q969" s="140" t="str">
        <f t="shared" si="106"/>
        <v/>
      </c>
      <c r="R969" s="140" t="str">
        <f t="shared" si="107"/>
        <v/>
      </c>
      <c r="S969" s="140" t="str">
        <f t="shared" si="108"/>
        <v/>
      </c>
      <c r="T969" s="140" t="str">
        <f t="shared" si="109"/>
        <v/>
      </c>
      <c r="U969" s="140" t="str">
        <f t="shared" si="110"/>
        <v/>
      </c>
      <c r="V969" s="99"/>
    </row>
    <row r="970" spans="1:22">
      <c r="A970" s="92"/>
      <c r="B970" s="141"/>
      <c r="C970" s="136"/>
      <c r="D970" s="137"/>
      <c r="E970" s="138"/>
      <c r="F970" s="139"/>
      <c r="G970" s="98"/>
      <c r="H970" s="99"/>
      <c r="I970" s="99"/>
      <c r="J970" s="100"/>
      <c r="K970" s="99"/>
      <c r="L970" s="99"/>
      <c r="M970" s="99"/>
      <c r="N970" s="99"/>
      <c r="O970" s="112"/>
      <c r="P970" s="140" t="str">
        <f t="shared" si="105"/>
        <v/>
      </c>
      <c r="Q970" s="140" t="str">
        <f t="shared" si="106"/>
        <v/>
      </c>
      <c r="R970" s="140" t="str">
        <f t="shared" si="107"/>
        <v/>
      </c>
      <c r="S970" s="140" t="str">
        <f t="shared" si="108"/>
        <v/>
      </c>
      <c r="T970" s="140" t="str">
        <f t="shared" si="109"/>
        <v/>
      </c>
      <c r="U970" s="140" t="str">
        <f t="shared" si="110"/>
        <v/>
      </c>
      <c r="V970" s="99"/>
    </row>
    <row r="971" spans="1:22">
      <c r="A971" s="92"/>
      <c r="B971" s="92"/>
      <c r="C971" s="145">
        <v>0.08</v>
      </c>
      <c r="D971" s="137"/>
      <c r="E971" s="138"/>
      <c r="F971" s="139"/>
      <c r="G971" s="98"/>
      <c r="H971" s="99"/>
      <c r="I971" s="99"/>
      <c r="J971" s="100"/>
      <c r="K971" s="99"/>
      <c r="L971" s="99"/>
      <c r="M971" s="99"/>
      <c r="N971" s="99"/>
      <c r="O971" s="112"/>
      <c r="P971" s="140" t="str">
        <f t="shared" si="105"/>
        <v/>
      </c>
      <c r="Q971" s="140" t="str">
        <f t="shared" si="106"/>
        <v/>
      </c>
      <c r="R971" s="140" t="str">
        <f t="shared" si="107"/>
        <v/>
      </c>
      <c r="S971" s="140" t="str">
        <f t="shared" si="108"/>
        <v/>
      </c>
      <c r="T971" s="140" t="str">
        <f t="shared" si="109"/>
        <v/>
      </c>
      <c r="U971" s="140" t="str">
        <f t="shared" si="110"/>
        <v/>
      </c>
      <c r="V971" s="99"/>
    </row>
    <row r="972" spans="1:22">
      <c r="A972" s="92"/>
      <c r="B972" s="146" t="s">
        <v>383</v>
      </c>
      <c r="C972" s="147"/>
      <c r="D972" s="137"/>
      <c r="E972" s="148">
        <f>(2*((0.75-0.08-0.016)/6))+0.012+0.02</f>
        <v>0.25</v>
      </c>
      <c r="F972" s="139"/>
      <c r="G972" s="98">
        <v>10</v>
      </c>
      <c r="H972" s="99">
        <v>10</v>
      </c>
      <c r="I972" s="99">
        <f>((2*0.75)/0.075)+2</f>
        <v>22</v>
      </c>
      <c r="J972" s="149">
        <f>2*(D974+E972)+2*8*G972/1000</f>
        <v>1.0999999999999999</v>
      </c>
      <c r="K972" s="99"/>
      <c r="L972" s="99">
        <v>5</v>
      </c>
      <c r="M972" s="112">
        <f>2*G972*L972/1000</f>
        <v>0.1</v>
      </c>
      <c r="N972" s="112">
        <f>(J972+K972-M972)</f>
        <v>0.99999999999999989</v>
      </c>
      <c r="O972" s="112">
        <f>(H972*I972*N972)</f>
        <v>219.99999999999997</v>
      </c>
      <c r="P972" s="140" t="str">
        <f t="shared" si="105"/>
        <v/>
      </c>
      <c r="Q972" s="140">
        <f t="shared" si="106"/>
        <v>219.99999999999997</v>
      </c>
      <c r="R972" s="140" t="str">
        <f t="shared" si="107"/>
        <v/>
      </c>
      <c r="S972" s="140" t="str">
        <f t="shared" si="108"/>
        <v/>
      </c>
      <c r="T972" s="140" t="str">
        <f t="shared" si="109"/>
        <v/>
      </c>
      <c r="U972" s="140" t="str">
        <f t="shared" si="110"/>
        <v/>
      </c>
      <c r="V972" s="99"/>
    </row>
    <row r="973" spans="1:22">
      <c r="A973" s="92"/>
      <c r="B973" s="146"/>
      <c r="C973" s="136"/>
      <c r="D973" s="137"/>
      <c r="E973" s="150"/>
      <c r="F973" s="139"/>
      <c r="G973" s="98"/>
      <c r="H973" s="99"/>
      <c r="I973" s="99"/>
      <c r="J973" s="100"/>
      <c r="K973" s="99"/>
      <c r="L973" s="99"/>
      <c r="M973" s="99"/>
      <c r="N973" s="99"/>
      <c r="O973" s="112"/>
      <c r="P973" s="140" t="str">
        <f t="shared" si="105"/>
        <v/>
      </c>
      <c r="Q973" s="140" t="str">
        <f t="shared" si="106"/>
        <v/>
      </c>
      <c r="R973" s="140" t="str">
        <f t="shared" si="107"/>
        <v/>
      </c>
      <c r="S973" s="140" t="str">
        <f t="shared" si="108"/>
        <v/>
      </c>
      <c r="T973" s="140" t="str">
        <f t="shared" si="109"/>
        <v/>
      </c>
      <c r="U973" s="140" t="str">
        <f t="shared" si="110"/>
        <v/>
      </c>
      <c r="V973" s="99"/>
    </row>
    <row r="974" spans="1:22">
      <c r="A974" s="92"/>
      <c r="B974" s="146"/>
      <c r="C974" s="136"/>
      <c r="D974" s="109">
        <f>0.3-0.08</f>
        <v>0.21999999999999997</v>
      </c>
      <c r="E974" s="138"/>
      <c r="F974" s="139"/>
      <c r="G974" s="98"/>
      <c r="H974" s="99"/>
      <c r="I974" s="99"/>
      <c r="J974" s="100"/>
      <c r="K974" s="99"/>
      <c r="L974" s="99"/>
      <c r="M974" s="99"/>
      <c r="N974" s="99"/>
      <c r="O974" s="112"/>
      <c r="P974" s="140" t="str">
        <f t="shared" si="105"/>
        <v/>
      </c>
      <c r="Q974" s="140" t="str">
        <f t="shared" si="106"/>
        <v/>
      </c>
      <c r="R974" s="140" t="str">
        <f t="shared" si="107"/>
        <v/>
      </c>
      <c r="S974" s="140" t="str">
        <f t="shared" si="108"/>
        <v/>
      </c>
      <c r="T974" s="140" t="str">
        <f t="shared" si="109"/>
        <v/>
      </c>
      <c r="U974" s="140" t="str">
        <f t="shared" si="110"/>
        <v/>
      </c>
      <c r="V974" s="99"/>
    </row>
    <row r="975" spans="1:22">
      <c r="A975" s="92"/>
      <c r="B975" s="146"/>
      <c r="C975" s="136"/>
      <c r="D975" s="137"/>
      <c r="E975" s="138"/>
      <c r="F975" s="139"/>
      <c r="G975" s="98"/>
      <c r="H975" s="99"/>
      <c r="I975" s="99"/>
      <c r="J975" s="100"/>
      <c r="K975" s="99"/>
      <c r="L975" s="99"/>
      <c r="M975" s="99"/>
      <c r="N975" s="99"/>
      <c r="O975" s="112"/>
      <c r="P975" s="140" t="str">
        <f t="shared" si="105"/>
        <v/>
      </c>
      <c r="Q975" s="140" t="str">
        <f t="shared" si="106"/>
        <v/>
      </c>
      <c r="R975" s="140" t="str">
        <f t="shared" si="107"/>
        <v/>
      </c>
      <c r="S975" s="140" t="str">
        <f t="shared" si="108"/>
        <v/>
      </c>
      <c r="T975" s="140" t="str">
        <f t="shared" si="109"/>
        <v/>
      </c>
      <c r="U975" s="140" t="str">
        <f t="shared" si="110"/>
        <v/>
      </c>
      <c r="V975" s="99"/>
    </row>
    <row r="976" spans="1:22">
      <c r="A976" s="92"/>
      <c r="B976" s="146" t="s">
        <v>384</v>
      </c>
      <c r="C976" s="136"/>
      <c r="D976" s="142"/>
      <c r="E976" s="138"/>
      <c r="F976" s="139"/>
      <c r="G976" s="98">
        <v>10</v>
      </c>
      <c r="H976" s="99">
        <v>10</v>
      </c>
      <c r="I976" s="99">
        <f>((2*0.75)/0.075)+2</f>
        <v>22</v>
      </c>
      <c r="J976" s="149">
        <f>C977+D979+E977+2*8*G976/1000</f>
        <v>0.73</v>
      </c>
      <c r="K976" s="99"/>
      <c r="L976" s="99">
        <v>4</v>
      </c>
      <c r="M976" s="112">
        <f>2*G976*L976/1000</f>
        <v>0.08</v>
      </c>
      <c r="N976" s="112">
        <f>(J976+K976-M976)</f>
        <v>0.65</v>
      </c>
      <c r="O976" s="112">
        <f>(H976*I976*N976)</f>
        <v>143</v>
      </c>
      <c r="P976" s="140" t="str">
        <f t="shared" si="105"/>
        <v/>
      </c>
      <c r="Q976" s="140">
        <f t="shared" si="106"/>
        <v>143</v>
      </c>
      <c r="R976" s="140" t="str">
        <f t="shared" si="107"/>
        <v/>
      </c>
      <c r="S976" s="140" t="str">
        <f t="shared" si="108"/>
        <v/>
      </c>
      <c r="T976" s="140" t="str">
        <f t="shared" si="109"/>
        <v/>
      </c>
      <c r="U976" s="140" t="str">
        <f t="shared" si="110"/>
        <v/>
      </c>
      <c r="V976" s="99"/>
    </row>
    <row r="977" spans="1:22">
      <c r="A977" s="92"/>
      <c r="B977" s="146"/>
      <c r="C977" s="151">
        <v>0.17499999999999999</v>
      </c>
      <c r="D977" s="137"/>
      <c r="E977" s="138">
        <v>0.17499999999999999</v>
      </c>
      <c r="F977" s="139"/>
      <c r="G977" s="98"/>
      <c r="H977" s="99"/>
      <c r="I977" s="99"/>
      <c r="J977" s="100"/>
      <c r="K977" s="99"/>
      <c r="L977" s="99"/>
      <c r="M977" s="99"/>
      <c r="N977" s="99"/>
      <c r="O977" s="112"/>
      <c r="P977" s="140" t="str">
        <f>IF($G977=8,$O977,"")</f>
        <v/>
      </c>
      <c r="Q977" s="140" t="str">
        <f>IF($G977=10,$O977,"")</f>
        <v/>
      </c>
      <c r="R977" s="140" t="str">
        <f>IF($G977=12,$O977,"")</f>
        <v/>
      </c>
      <c r="S977" s="140" t="str">
        <f>IF($G977=16,$O977,"")</f>
        <v/>
      </c>
      <c r="T977" s="140" t="str">
        <f>IF($G977=20,$O977,"")</f>
        <v/>
      </c>
      <c r="U977" s="140" t="str">
        <f>IF($G977=25,$O977,"")</f>
        <v/>
      </c>
      <c r="V977" s="99"/>
    </row>
    <row r="978" spans="1:22">
      <c r="A978" s="92"/>
      <c r="B978" s="146"/>
      <c r="C978" s="136"/>
      <c r="D978" s="137"/>
      <c r="E978" s="138"/>
      <c r="F978" s="139"/>
      <c r="G978" s="98"/>
      <c r="H978" s="99"/>
      <c r="I978" s="99"/>
      <c r="J978" s="100"/>
      <c r="K978" s="99"/>
      <c r="L978" s="99"/>
      <c r="M978" s="99"/>
      <c r="N978" s="99"/>
      <c r="O978" s="112"/>
      <c r="P978" s="140" t="str">
        <f t="shared" si="105"/>
        <v/>
      </c>
      <c r="Q978" s="140" t="str">
        <f t="shared" si="106"/>
        <v/>
      </c>
      <c r="R978" s="140" t="str">
        <f t="shared" si="107"/>
        <v/>
      </c>
      <c r="S978" s="140" t="str">
        <f t="shared" si="108"/>
        <v/>
      </c>
      <c r="T978" s="140" t="str">
        <f t="shared" si="109"/>
        <v/>
      </c>
      <c r="U978" s="140" t="str">
        <f t="shared" si="110"/>
        <v/>
      </c>
      <c r="V978" s="99"/>
    </row>
    <row r="979" spans="1:22">
      <c r="A979" s="92"/>
      <c r="B979" s="146"/>
      <c r="C979" s="136"/>
      <c r="D979" s="109">
        <f>0.3-0.08</f>
        <v>0.21999999999999997</v>
      </c>
      <c r="E979" s="138"/>
      <c r="F979" s="139"/>
      <c r="G979" s="98"/>
      <c r="H979" s="99"/>
      <c r="I979" s="99"/>
      <c r="J979" s="100"/>
      <c r="K979" s="99"/>
      <c r="L979" s="99"/>
      <c r="M979" s="99"/>
      <c r="N979" s="99"/>
      <c r="O979" s="112"/>
      <c r="P979" s="140" t="str">
        <f t="shared" si="105"/>
        <v/>
      </c>
      <c r="Q979" s="140" t="str">
        <f t="shared" si="106"/>
        <v/>
      </c>
      <c r="R979" s="140" t="str">
        <f t="shared" si="107"/>
        <v/>
      </c>
      <c r="S979" s="140" t="str">
        <f t="shared" si="108"/>
        <v/>
      </c>
      <c r="T979" s="140" t="str">
        <f t="shared" si="109"/>
        <v/>
      </c>
      <c r="U979" s="140" t="str">
        <f t="shared" si="110"/>
        <v/>
      </c>
      <c r="V979" s="99"/>
    </row>
    <row r="980" spans="1:22">
      <c r="A980" s="92"/>
      <c r="B980" s="146"/>
      <c r="C980" s="136"/>
      <c r="D980" s="137"/>
      <c r="E980" s="138"/>
      <c r="F980" s="139"/>
      <c r="G980" s="98"/>
      <c r="H980" s="99"/>
      <c r="I980" s="99"/>
      <c r="J980" s="100"/>
      <c r="K980" s="99"/>
      <c r="L980" s="99"/>
      <c r="M980" s="99"/>
      <c r="N980" s="99"/>
      <c r="O980" s="112"/>
      <c r="P980" s="140" t="str">
        <f t="shared" si="105"/>
        <v/>
      </c>
      <c r="Q980" s="140" t="str">
        <f t="shared" si="106"/>
        <v/>
      </c>
      <c r="R980" s="140" t="str">
        <f t="shared" si="107"/>
        <v/>
      </c>
      <c r="S980" s="140" t="str">
        <f t="shared" si="108"/>
        <v/>
      </c>
      <c r="T980" s="140" t="str">
        <f t="shared" si="109"/>
        <v/>
      </c>
      <c r="U980" s="140" t="str">
        <f t="shared" si="110"/>
        <v/>
      </c>
      <c r="V980" s="99"/>
    </row>
    <row r="981" spans="1:22">
      <c r="A981" s="92"/>
      <c r="B981" s="146" t="s">
        <v>385</v>
      </c>
      <c r="C981" s="136"/>
      <c r="D981" s="142"/>
      <c r="E981" s="138"/>
      <c r="F981" s="139"/>
      <c r="G981" s="98">
        <v>10</v>
      </c>
      <c r="H981" s="99">
        <v>10</v>
      </c>
      <c r="I981" s="99">
        <f>((2*0.75)/0.075)+2</f>
        <v>22</v>
      </c>
      <c r="J981" s="149">
        <f>C982+D984+E982+2*8*G981/1000</f>
        <v>0.73</v>
      </c>
      <c r="K981" s="99"/>
      <c r="L981" s="99">
        <v>4</v>
      </c>
      <c r="M981" s="112">
        <f>2*G981*L981/1000</f>
        <v>0.08</v>
      </c>
      <c r="N981" s="112">
        <f>(J981+K981-M981)</f>
        <v>0.65</v>
      </c>
      <c r="O981" s="112">
        <f>(H981*I981*N981)</f>
        <v>143</v>
      </c>
      <c r="P981" s="140" t="str">
        <f t="shared" si="105"/>
        <v/>
      </c>
      <c r="Q981" s="140">
        <f t="shared" si="106"/>
        <v>143</v>
      </c>
      <c r="R981" s="140" t="str">
        <f t="shared" si="107"/>
        <v/>
      </c>
      <c r="S981" s="140" t="str">
        <f t="shared" si="108"/>
        <v/>
      </c>
      <c r="T981" s="140" t="str">
        <f t="shared" si="109"/>
        <v/>
      </c>
      <c r="U981" s="140" t="str">
        <f t="shared" si="110"/>
        <v/>
      </c>
      <c r="V981" s="99"/>
    </row>
    <row r="982" spans="1:22">
      <c r="A982" s="92"/>
      <c r="B982" s="146"/>
      <c r="C982" s="151">
        <v>0.17499999999999999</v>
      </c>
      <c r="D982" s="137"/>
      <c r="E982" s="138">
        <v>0.17499999999999999</v>
      </c>
      <c r="F982" s="139"/>
      <c r="G982" s="98"/>
      <c r="H982" s="99"/>
      <c r="I982" s="99"/>
      <c r="J982" s="100"/>
      <c r="K982" s="99"/>
      <c r="L982" s="99"/>
      <c r="M982" s="99"/>
      <c r="N982" s="99"/>
      <c r="O982" s="112"/>
      <c r="P982" s="140" t="str">
        <f t="shared" si="105"/>
        <v/>
      </c>
      <c r="Q982" s="140" t="str">
        <f t="shared" si="106"/>
        <v/>
      </c>
      <c r="R982" s="140" t="str">
        <f t="shared" si="107"/>
        <v/>
      </c>
      <c r="S982" s="140" t="str">
        <f t="shared" si="108"/>
        <v/>
      </c>
      <c r="T982" s="140" t="str">
        <f t="shared" si="109"/>
        <v/>
      </c>
      <c r="U982" s="140" t="str">
        <f t="shared" si="110"/>
        <v/>
      </c>
      <c r="V982" s="99"/>
    </row>
    <row r="983" spans="1:22">
      <c r="A983" s="92"/>
      <c r="B983" s="146"/>
      <c r="C983" s="136"/>
      <c r="D983" s="137"/>
      <c r="E983" s="138"/>
      <c r="F983" s="139"/>
      <c r="G983" s="98"/>
      <c r="H983" s="99"/>
      <c r="I983" s="99"/>
      <c r="J983" s="100"/>
      <c r="K983" s="99"/>
      <c r="L983" s="99"/>
      <c r="M983" s="99"/>
      <c r="N983" s="99"/>
      <c r="O983" s="101"/>
      <c r="P983" s="140" t="str">
        <f t="shared" si="105"/>
        <v/>
      </c>
      <c r="Q983" s="140" t="str">
        <f t="shared" si="106"/>
        <v/>
      </c>
      <c r="R983" s="140" t="str">
        <f t="shared" si="107"/>
        <v/>
      </c>
      <c r="S983" s="140" t="str">
        <f t="shared" si="108"/>
        <v/>
      </c>
      <c r="T983" s="140" t="str">
        <f t="shared" si="109"/>
        <v/>
      </c>
      <c r="U983" s="140" t="str">
        <f t="shared" si="110"/>
        <v/>
      </c>
      <c r="V983" s="99"/>
    </row>
    <row r="984" spans="1:22">
      <c r="A984" s="92"/>
      <c r="B984" s="146"/>
      <c r="C984" s="136"/>
      <c r="D984" s="109">
        <f>0.3-0.08</f>
        <v>0.21999999999999997</v>
      </c>
      <c r="E984" s="138"/>
      <c r="F984" s="139"/>
      <c r="G984" s="98"/>
      <c r="H984" s="99"/>
      <c r="I984" s="99"/>
      <c r="J984" s="100"/>
      <c r="K984" s="99"/>
      <c r="L984" s="99"/>
      <c r="M984" s="99"/>
      <c r="N984" s="99"/>
      <c r="O984" s="101"/>
      <c r="P984" s="140" t="str">
        <f t="shared" si="105"/>
        <v/>
      </c>
      <c r="Q984" s="140" t="str">
        <f t="shared" si="106"/>
        <v/>
      </c>
      <c r="R984" s="140" t="str">
        <f t="shared" si="107"/>
        <v/>
      </c>
      <c r="S984" s="140" t="str">
        <f t="shared" si="108"/>
        <v/>
      </c>
      <c r="T984" s="140" t="str">
        <f t="shared" si="109"/>
        <v/>
      </c>
      <c r="U984" s="140" t="str">
        <f t="shared" si="110"/>
        <v/>
      </c>
      <c r="V984" s="99"/>
    </row>
    <row r="985" spans="1:22">
      <c r="A985" s="92"/>
      <c r="B985" s="141"/>
      <c r="C985" s="136"/>
      <c r="D985" s="137"/>
      <c r="E985" s="138"/>
      <c r="F985" s="139"/>
      <c r="G985" s="98"/>
      <c r="H985" s="99"/>
      <c r="I985" s="99"/>
      <c r="J985" s="100"/>
      <c r="K985" s="99"/>
      <c r="L985" s="99"/>
      <c r="M985" s="99"/>
      <c r="N985" s="99"/>
      <c r="O985" s="101"/>
      <c r="P985" s="140" t="str">
        <f t="shared" si="105"/>
        <v/>
      </c>
      <c r="Q985" s="140" t="str">
        <f t="shared" si="106"/>
        <v/>
      </c>
      <c r="R985" s="140" t="str">
        <f t="shared" si="107"/>
        <v/>
      </c>
      <c r="S985" s="140" t="str">
        <f t="shared" si="108"/>
        <v/>
      </c>
      <c r="T985" s="140" t="str">
        <f t="shared" si="109"/>
        <v/>
      </c>
      <c r="U985" s="140" t="str">
        <f t="shared" si="110"/>
        <v/>
      </c>
      <c r="V985" s="99"/>
    </row>
    <row r="986" spans="1:22">
      <c r="A986" s="92"/>
      <c r="B986" s="141"/>
      <c r="C986" s="136"/>
      <c r="D986" s="137"/>
      <c r="E986" s="144">
        <v>0.08</v>
      </c>
      <c r="F986" s="139"/>
      <c r="G986" s="98"/>
      <c r="H986" s="99"/>
      <c r="I986" s="99"/>
      <c r="J986" s="100"/>
      <c r="K986" s="99"/>
      <c r="L986" s="99"/>
      <c r="M986" s="99"/>
      <c r="N986" s="99"/>
      <c r="O986" s="101"/>
      <c r="P986" s="140" t="str">
        <f t="shared" si="105"/>
        <v/>
      </c>
      <c r="Q986" s="140" t="str">
        <f t="shared" si="106"/>
        <v/>
      </c>
      <c r="R986" s="140" t="str">
        <f t="shared" si="107"/>
        <v/>
      </c>
      <c r="S986" s="140" t="str">
        <f t="shared" si="108"/>
        <v/>
      </c>
      <c r="T986" s="140" t="str">
        <f t="shared" si="109"/>
        <v/>
      </c>
      <c r="U986" s="140" t="str">
        <f t="shared" si="110"/>
        <v/>
      </c>
      <c r="V986" s="99"/>
    </row>
    <row r="987" spans="1:22">
      <c r="A987" s="92"/>
      <c r="B987" s="146" t="s">
        <v>390</v>
      </c>
      <c r="C987" s="136"/>
      <c r="D987" s="142">
        <f>0.3-0.08</f>
        <v>0.21999999999999997</v>
      </c>
      <c r="E987" s="144"/>
      <c r="F987" s="139"/>
      <c r="G987" s="98">
        <v>10</v>
      </c>
      <c r="H987" s="99">
        <v>10</v>
      </c>
      <c r="I987" s="99">
        <f>((2*0.75)/0.075)+2</f>
        <v>22</v>
      </c>
      <c r="J987" s="149">
        <f>D987+E986+E988</f>
        <v>0.38</v>
      </c>
      <c r="K987" s="99"/>
      <c r="L987" s="99">
        <v>2</v>
      </c>
      <c r="M987" s="112">
        <f>2*G987*L987/1000</f>
        <v>0.04</v>
      </c>
      <c r="N987" s="112">
        <f>(J987+K987-M987)</f>
        <v>0.34</v>
      </c>
      <c r="O987" s="112">
        <f>(H987*I987*N987)</f>
        <v>74.800000000000011</v>
      </c>
      <c r="P987" s="140" t="str">
        <f t="shared" si="105"/>
        <v/>
      </c>
      <c r="Q987" s="140">
        <f t="shared" si="106"/>
        <v>74.800000000000011</v>
      </c>
      <c r="R987" s="140" t="str">
        <f t="shared" si="107"/>
        <v/>
      </c>
      <c r="S987" s="140" t="str">
        <f t="shared" si="108"/>
        <v/>
      </c>
      <c r="T987" s="140" t="str">
        <f t="shared" si="109"/>
        <v/>
      </c>
      <c r="U987" s="140" t="str">
        <f t="shared" si="110"/>
        <v/>
      </c>
      <c r="V987" s="99"/>
    </row>
    <row r="988" spans="1:22">
      <c r="A988" s="92"/>
      <c r="B988" s="141"/>
      <c r="C988" s="136"/>
      <c r="D988" s="137"/>
      <c r="E988" s="144">
        <v>0.08</v>
      </c>
      <c r="F988" s="139"/>
      <c r="G988" s="98"/>
      <c r="H988" s="99"/>
      <c r="I988" s="99"/>
      <c r="J988" s="100"/>
      <c r="K988" s="99"/>
      <c r="L988" s="99"/>
      <c r="M988" s="99"/>
      <c r="N988" s="99"/>
      <c r="O988" s="101"/>
      <c r="P988" s="140" t="str">
        <f t="shared" si="105"/>
        <v/>
      </c>
      <c r="Q988" s="140" t="str">
        <f t="shared" si="106"/>
        <v/>
      </c>
      <c r="R988" s="140" t="str">
        <f t="shared" si="107"/>
        <v/>
      </c>
      <c r="S988" s="140" t="str">
        <f t="shared" si="108"/>
        <v/>
      </c>
      <c r="T988" s="140" t="str">
        <f t="shared" si="109"/>
        <v/>
      </c>
      <c r="U988" s="140" t="str">
        <f t="shared" si="110"/>
        <v/>
      </c>
      <c r="V988" s="99"/>
    </row>
    <row r="989" spans="1:22">
      <c r="A989" s="92"/>
      <c r="B989" s="141"/>
      <c r="C989" s="136"/>
      <c r="D989" s="137"/>
      <c r="E989" s="138"/>
      <c r="F989" s="139"/>
      <c r="G989" s="98"/>
      <c r="H989" s="99"/>
      <c r="I989" s="99"/>
      <c r="J989" s="100"/>
      <c r="K989" s="99"/>
      <c r="L989" s="99"/>
      <c r="M989" s="99"/>
      <c r="N989" s="99"/>
      <c r="O989" s="101"/>
      <c r="P989" s="140" t="str">
        <f t="shared" ref="P989:P1052" si="170">IF($G989=8,$O989,"")</f>
        <v/>
      </c>
      <c r="Q989" s="140" t="str">
        <f t="shared" ref="Q989:Q1052" si="171">IF($G989=10,$O989,"")</f>
        <v/>
      </c>
      <c r="R989" s="140" t="str">
        <f t="shared" ref="R989:R1052" si="172">IF($G989=12,$O989,"")</f>
        <v/>
      </c>
      <c r="S989" s="140" t="str">
        <f t="shared" ref="S989:S1052" si="173">IF($G989=16,$O989,"")</f>
        <v/>
      </c>
      <c r="T989" s="140" t="str">
        <f t="shared" ref="T989:T1052" si="174">IF($G989=20,$O989,"")</f>
        <v/>
      </c>
      <c r="U989" s="140" t="str">
        <f t="shared" ref="U989:U1052" si="175">IF($G989=25,$O989,"")</f>
        <v/>
      </c>
      <c r="V989" s="99"/>
    </row>
    <row r="990" spans="1:22">
      <c r="A990" s="92"/>
      <c r="B990" s="429" t="s">
        <v>645</v>
      </c>
      <c r="C990" s="145">
        <v>0.08</v>
      </c>
      <c r="D990" s="137"/>
      <c r="E990" s="138"/>
      <c r="F990" s="139"/>
      <c r="G990" s="98"/>
      <c r="H990" s="99"/>
      <c r="I990" s="99"/>
      <c r="J990" s="100"/>
      <c r="K990" s="99"/>
      <c r="L990" s="99"/>
      <c r="M990" s="99"/>
      <c r="N990" s="99"/>
      <c r="O990" s="101"/>
      <c r="P990" s="140" t="str">
        <f t="shared" si="170"/>
        <v/>
      </c>
      <c r="Q990" s="140" t="str">
        <f t="shared" si="171"/>
        <v/>
      </c>
      <c r="R990" s="140" t="str">
        <f t="shared" si="172"/>
        <v/>
      </c>
      <c r="S990" s="140" t="str">
        <f t="shared" si="173"/>
        <v/>
      </c>
      <c r="T990" s="140" t="str">
        <f t="shared" si="174"/>
        <v/>
      </c>
      <c r="U990" s="140" t="str">
        <f t="shared" si="175"/>
        <v/>
      </c>
      <c r="V990" s="99"/>
    </row>
    <row r="991" spans="1:22">
      <c r="A991" s="92"/>
      <c r="B991" s="146" t="s">
        <v>382</v>
      </c>
      <c r="C991" s="147"/>
      <c r="D991" s="137"/>
      <c r="E991" s="148">
        <f>0.75-0.08</f>
        <v>0.67</v>
      </c>
      <c r="F991" s="139"/>
      <c r="G991" s="98">
        <v>8</v>
      </c>
      <c r="H991" s="99">
        <v>10</v>
      </c>
      <c r="I991" s="111">
        <f>((1.48-2*0.75)/0.15)+1</f>
        <v>0.86666666666666647</v>
      </c>
      <c r="J991" s="149">
        <f>2*(D993+E991)+2*8*G991/1000</f>
        <v>1.9079999999999999</v>
      </c>
      <c r="K991" s="99"/>
      <c r="L991" s="99">
        <v>5</v>
      </c>
      <c r="M991" s="112">
        <f>2*G991*L991/1000</f>
        <v>0.08</v>
      </c>
      <c r="N991" s="112">
        <f>(J991+K991-M991)</f>
        <v>1.8279999999999998</v>
      </c>
      <c r="O991" s="112">
        <f>(H991*I991*N991)</f>
        <v>15.842666666666661</v>
      </c>
      <c r="P991" s="140">
        <f t="shared" si="170"/>
        <v>15.842666666666661</v>
      </c>
      <c r="Q991" s="140" t="str">
        <f t="shared" si="171"/>
        <v/>
      </c>
      <c r="R991" s="140" t="str">
        <f t="shared" si="172"/>
        <v/>
      </c>
      <c r="S991" s="140" t="str">
        <f t="shared" si="173"/>
        <v/>
      </c>
      <c r="T991" s="140" t="str">
        <f t="shared" si="174"/>
        <v/>
      </c>
      <c r="U991" s="140" t="str">
        <f t="shared" si="175"/>
        <v/>
      </c>
      <c r="V991" s="99"/>
    </row>
    <row r="992" spans="1:22">
      <c r="A992" s="92"/>
      <c r="B992" s="146"/>
      <c r="C992" s="136"/>
      <c r="D992" s="137"/>
      <c r="E992" s="150"/>
      <c r="F992" s="139"/>
      <c r="G992" s="98"/>
      <c r="H992" s="99"/>
      <c r="I992" s="99"/>
      <c r="J992" s="100"/>
      <c r="K992" s="99"/>
      <c r="L992" s="99"/>
      <c r="M992" s="99"/>
      <c r="N992" s="99"/>
      <c r="O992" s="112"/>
      <c r="P992" s="140" t="str">
        <f t="shared" si="170"/>
        <v/>
      </c>
      <c r="Q992" s="140" t="str">
        <f t="shared" si="171"/>
        <v/>
      </c>
      <c r="R992" s="140" t="str">
        <f t="shared" si="172"/>
        <v/>
      </c>
      <c r="S992" s="140" t="str">
        <f t="shared" si="173"/>
        <v/>
      </c>
      <c r="T992" s="140" t="str">
        <f t="shared" si="174"/>
        <v/>
      </c>
      <c r="U992" s="140" t="str">
        <f t="shared" si="175"/>
        <v/>
      </c>
      <c r="V992" s="99"/>
    </row>
    <row r="993" spans="1:22">
      <c r="A993" s="92"/>
      <c r="B993" s="146"/>
      <c r="C993" s="136"/>
      <c r="D993" s="109">
        <f>0.3-0.08</f>
        <v>0.21999999999999997</v>
      </c>
      <c r="E993" s="138"/>
      <c r="F993" s="139"/>
      <c r="G993" s="98"/>
      <c r="H993" s="99"/>
      <c r="I993" s="99"/>
      <c r="J993" s="100"/>
      <c r="K993" s="99"/>
      <c r="L993" s="99"/>
      <c r="M993" s="99"/>
      <c r="N993" s="99"/>
      <c r="O993" s="112"/>
      <c r="P993" s="140" t="str">
        <f t="shared" si="170"/>
        <v/>
      </c>
      <c r="Q993" s="140" t="str">
        <f t="shared" si="171"/>
        <v/>
      </c>
      <c r="R993" s="140" t="str">
        <f t="shared" si="172"/>
        <v/>
      </c>
      <c r="S993" s="140" t="str">
        <f t="shared" si="173"/>
        <v/>
      </c>
      <c r="T993" s="140" t="str">
        <f t="shared" si="174"/>
        <v/>
      </c>
      <c r="U993" s="140" t="str">
        <f t="shared" si="175"/>
        <v/>
      </c>
      <c r="V993" s="99"/>
    </row>
    <row r="994" spans="1:22">
      <c r="A994" s="92"/>
      <c r="B994" s="141"/>
      <c r="C994" s="136"/>
      <c r="D994" s="137"/>
      <c r="E994" s="138"/>
      <c r="F994" s="139"/>
      <c r="G994" s="98"/>
      <c r="H994" s="99"/>
      <c r="I994" s="99"/>
      <c r="J994" s="100"/>
      <c r="K994" s="99"/>
      <c r="L994" s="99"/>
      <c r="M994" s="99"/>
      <c r="N994" s="99"/>
      <c r="O994" s="112"/>
      <c r="P994" s="140" t="str">
        <f t="shared" si="170"/>
        <v/>
      </c>
      <c r="Q994" s="140" t="str">
        <f t="shared" si="171"/>
        <v/>
      </c>
      <c r="R994" s="140" t="str">
        <f t="shared" si="172"/>
        <v/>
      </c>
      <c r="S994" s="140" t="str">
        <f t="shared" si="173"/>
        <v/>
      </c>
      <c r="T994" s="140" t="str">
        <f t="shared" si="174"/>
        <v/>
      </c>
      <c r="U994" s="140" t="str">
        <f t="shared" si="175"/>
        <v/>
      </c>
      <c r="V994" s="99"/>
    </row>
    <row r="995" spans="1:22">
      <c r="A995" s="92"/>
      <c r="B995" s="92"/>
      <c r="C995" s="145">
        <v>0.08</v>
      </c>
      <c r="D995" s="137"/>
      <c r="E995" s="138"/>
      <c r="F995" s="139"/>
      <c r="G995" s="98"/>
      <c r="H995" s="99"/>
      <c r="I995" s="99"/>
      <c r="J995" s="100"/>
      <c r="K995" s="99"/>
      <c r="L995" s="99"/>
      <c r="M995" s="99"/>
      <c r="N995" s="99"/>
      <c r="O995" s="112"/>
      <c r="P995" s="140" t="str">
        <f t="shared" si="170"/>
        <v/>
      </c>
      <c r="Q995" s="140" t="str">
        <f t="shared" si="171"/>
        <v/>
      </c>
      <c r="R995" s="140" t="str">
        <f t="shared" si="172"/>
        <v/>
      </c>
      <c r="S995" s="140" t="str">
        <f t="shared" si="173"/>
        <v/>
      </c>
      <c r="T995" s="140" t="str">
        <f t="shared" si="174"/>
        <v/>
      </c>
      <c r="U995" s="140" t="str">
        <f t="shared" si="175"/>
        <v/>
      </c>
      <c r="V995" s="99"/>
    </row>
    <row r="996" spans="1:22">
      <c r="A996" s="92"/>
      <c r="B996" s="146" t="s">
        <v>383</v>
      </c>
      <c r="C996" s="147"/>
      <c r="D996" s="137"/>
      <c r="E996" s="148">
        <f>(2*((0.75-0.08-0.016)/6))+0.012+0.02</f>
        <v>0.25</v>
      </c>
      <c r="F996" s="139"/>
      <c r="G996" s="98">
        <v>8</v>
      </c>
      <c r="H996" s="99">
        <v>10</v>
      </c>
      <c r="I996" s="111">
        <f>((1.48-2*0.75)/0.15)+1</f>
        <v>0.86666666666666647</v>
      </c>
      <c r="J996" s="149">
        <f>2*(D998+E996)+2*8*G996/1000</f>
        <v>1.0680000000000001</v>
      </c>
      <c r="K996" s="99"/>
      <c r="L996" s="99">
        <v>5</v>
      </c>
      <c r="M996" s="112">
        <f>2*G996*L996/1000</f>
        <v>0.08</v>
      </c>
      <c r="N996" s="112">
        <f>(J996+K996-M996)</f>
        <v>0.9880000000000001</v>
      </c>
      <c r="O996" s="112">
        <f>(H996*I996*N996)</f>
        <v>8.5626666666666651</v>
      </c>
      <c r="P996" s="140">
        <f t="shared" si="170"/>
        <v>8.5626666666666651</v>
      </c>
      <c r="Q996" s="140" t="str">
        <f t="shared" si="171"/>
        <v/>
      </c>
      <c r="R996" s="140" t="str">
        <f t="shared" si="172"/>
        <v/>
      </c>
      <c r="S996" s="140" t="str">
        <f t="shared" si="173"/>
        <v/>
      </c>
      <c r="T996" s="140" t="str">
        <f t="shared" si="174"/>
        <v/>
      </c>
      <c r="U996" s="140" t="str">
        <f t="shared" si="175"/>
        <v/>
      </c>
      <c r="V996" s="99"/>
    </row>
    <row r="997" spans="1:22">
      <c r="A997" s="92"/>
      <c r="B997" s="146"/>
      <c r="C997" s="136"/>
      <c r="D997" s="137"/>
      <c r="E997" s="150"/>
      <c r="F997" s="139"/>
      <c r="G997" s="98"/>
      <c r="H997" s="99"/>
      <c r="I997" s="99"/>
      <c r="J997" s="100"/>
      <c r="K997" s="99"/>
      <c r="L997" s="99"/>
      <c r="M997" s="99"/>
      <c r="N997" s="99"/>
      <c r="O997" s="112"/>
      <c r="P997" s="140" t="str">
        <f t="shared" si="170"/>
        <v/>
      </c>
      <c r="Q997" s="140" t="str">
        <f t="shared" si="171"/>
        <v/>
      </c>
      <c r="R997" s="140" t="str">
        <f t="shared" si="172"/>
        <v/>
      </c>
      <c r="S997" s="140" t="str">
        <f t="shared" si="173"/>
        <v/>
      </c>
      <c r="T997" s="140" t="str">
        <f t="shared" si="174"/>
        <v/>
      </c>
      <c r="U997" s="140" t="str">
        <f t="shared" si="175"/>
        <v/>
      </c>
      <c r="V997" s="99"/>
    </row>
    <row r="998" spans="1:22">
      <c r="A998" s="92"/>
      <c r="B998" s="146"/>
      <c r="C998" s="136"/>
      <c r="D998" s="109">
        <f>0.3-0.08</f>
        <v>0.21999999999999997</v>
      </c>
      <c r="E998" s="138"/>
      <c r="F998" s="139"/>
      <c r="G998" s="98"/>
      <c r="H998" s="99"/>
      <c r="I998" s="99"/>
      <c r="J998" s="100"/>
      <c r="K998" s="99"/>
      <c r="L998" s="99"/>
      <c r="M998" s="99"/>
      <c r="N998" s="99"/>
      <c r="O998" s="112"/>
      <c r="P998" s="140" t="str">
        <f t="shared" si="170"/>
        <v/>
      </c>
      <c r="Q998" s="140" t="str">
        <f t="shared" si="171"/>
        <v/>
      </c>
      <c r="R998" s="140" t="str">
        <f t="shared" si="172"/>
        <v/>
      </c>
      <c r="S998" s="140" t="str">
        <f t="shared" si="173"/>
        <v/>
      </c>
      <c r="T998" s="140" t="str">
        <f t="shared" si="174"/>
        <v/>
      </c>
      <c r="U998" s="140" t="str">
        <f t="shared" si="175"/>
        <v/>
      </c>
      <c r="V998" s="99"/>
    </row>
    <row r="999" spans="1:22">
      <c r="A999" s="92"/>
      <c r="B999" s="146"/>
      <c r="C999" s="136"/>
      <c r="D999" s="137"/>
      <c r="E999" s="138"/>
      <c r="F999" s="139"/>
      <c r="G999" s="98"/>
      <c r="H999" s="99"/>
      <c r="I999" s="99"/>
      <c r="J999" s="100"/>
      <c r="K999" s="99"/>
      <c r="L999" s="99"/>
      <c r="M999" s="99"/>
      <c r="N999" s="99"/>
      <c r="O999" s="112"/>
      <c r="P999" s="140" t="str">
        <f t="shared" si="170"/>
        <v/>
      </c>
      <c r="Q999" s="140" t="str">
        <f t="shared" si="171"/>
        <v/>
      </c>
      <c r="R999" s="140" t="str">
        <f t="shared" si="172"/>
        <v/>
      </c>
      <c r="S999" s="140" t="str">
        <f t="shared" si="173"/>
        <v/>
      </c>
      <c r="T999" s="140" t="str">
        <f t="shared" si="174"/>
        <v/>
      </c>
      <c r="U999" s="140" t="str">
        <f t="shared" si="175"/>
        <v/>
      </c>
      <c r="V999" s="99"/>
    </row>
    <row r="1000" spans="1:22">
      <c r="A1000" s="92"/>
      <c r="B1000" s="146" t="s">
        <v>384</v>
      </c>
      <c r="C1000" s="136"/>
      <c r="D1000" s="142"/>
      <c r="E1000" s="138"/>
      <c r="F1000" s="139"/>
      <c r="G1000" s="98">
        <v>8</v>
      </c>
      <c r="H1000" s="99">
        <v>10</v>
      </c>
      <c r="I1000" s="111">
        <f>((1.48-2*0.75)/0.15)+1</f>
        <v>0.86666666666666647</v>
      </c>
      <c r="J1000" s="149">
        <f>C1001+D1003+E1001+2*8*G1000/1000</f>
        <v>0.69799999999999995</v>
      </c>
      <c r="K1000" s="99"/>
      <c r="L1000" s="99">
        <v>4</v>
      </c>
      <c r="M1000" s="112">
        <f>2*G1000*L1000/1000</f>
        <v>6.4000000000000001E-2</v>
      </c>
      <c r="N1000" s="112">
        <f>(J1000+K1000-M1000)</f>
        <v>0.6339999999999999</v>
      </c>
      <c r="O1000" s="112">
        <f>(H1000*I1000*N1000)</f>
        <v>5.4946666666666646</v>
      </c>
      <c r="P1000" s="140">
        <f t="shared" si="170"/>
        <v>5.4946666666666646</v>
      </c>
      <c r="Q1000" s="140" t="str">
        <f t="shared" si="171"/>
        <v/>
      </c>
      <c r="R1000" s="140" t="str">
        <f t="shared" si="172"/>
        <v/>
      </c>
      <c r="S1000" s="140" t="str">
        <f t="shared" si="173"/>
        <v/>
      </c>
      <c r="T1000" s="140" t="str">
        <f t="shared" si="174"/>
        <v/>
      </c>
      <c r="U1000" s="140" t="str">
        <f t="shared" si="175"/>
        <v/>
      </c>
      <c r="V1000" s="99"/>
    </row>
    <row r="1001" spans="1:22">
      <c r="A1001" s="92"/>
      <c r="B1001" s="146"/>
      <c r="C1001" s="151">
        <v>0.17499999999999999</v>
      </c>
      <c r="D1001" s="137"/>
      <c r="E1001" s="138">
        <v>0.17499999999999999</v>
      </c>
      <c r="F1001" s="139"/>
      <c r="G1001" s="98"/>
      <c r="H1001" s="99"/>
      <c r="I1001" s="99"/>
      <c r="J1001" s="100"/>
      <c r="K1001" s="99"/>
      <c r="L1001" s="99"/>
      <c r="M1001" s="99"/>
      <c r="N1001" s="99"/>
      <c r="O1001" s="112"/>
      <c r="P1001" s="140" t="str">
        <f>IF($G1001=8,$O1001,"")</f>
        <v/>
      </c>
      <c r="Q1001" s="140" t="str">
        <f>IF($G1001=10,$O1001,"")</f>
        <v/>
      </c>
      <c r="R1001" s="140" t="str">
        <f>IF($G1001=12,$O1001,"")</f>
        <v/>
      </c>
      <c r="S1001" s="140" t="str">
        <f>IF($G1001=16,$O1001,"")</f>
        <v/>
      </c>
      <c r="T1001" s="140" t="str">
        <f>IF($G1001=20,$O1001,"")</f>
        <v/>
      </c>
      <c r="U1001" s="140" t="str">
        <f>IF($G1001=25,$O1001,"")</f>
        <v/>
      </c>
      <c r="V1001" s="99"/>
    </row>
    <row r="1002" spans="1:22">
      <c r="A1002" s="92"/>
      <c r="B1002" s="146"/>
      <c r="C1002" s="136"/>
      <c r="D1002" s="137"/>
      <c r="E1002" s="138"/>
      <c r="F1002" s="139"/>
      <c r="G1002" s="98"/>
      <c r="H1002" s="99"/>
      <c r="I1002" s="99"/>
      <c r="J1002" s="100"/>
      <c r="K1002" s="99"/>
      <c r="L1002" s="99"/>
      <c r="M1002" s="99"/>
      <c r="N1002" s="99"/>
      <c r="O1002" s="112"/>
      <c r="P1002" s="140" t="str">
        <f t="shared" si="170"/>
        <v/>
      </c>
      <c r="Q1002" s="140" t="str">
        <f t="shared" si="171"/>
        <v/>
      </c>
      <c r="R1002" s="140" t="str">
        <f t="shared" si="172"/>
        <v/>
      </c>
      <c r="S1002" s="140" t="str">
        <f t="shared" si="173"/>
        <v/>
      </c>
      <c r="T1002" s="140" t="str">
        <f t="shared" si="174"/>
        <v/>
      </c>
      <c r="U1002" s="140" t="str">
        <f t="shared" si="175"/>
        <v/>
      </c>
      <c r="V1002" s="99"/>
    </row>
    <row r="1003" spans="1:22">
      <c r="A1003" s="92"/>
      <c r="B1003" s="146"/>
      <c r="C1003" s="136"/>
      <c r="D1003" s="109">
        <f>0.3-0.08</f>
        <v>0.21999999999999997</v>
      </c>
      <c r="E1003" s="138"/>
      <c r="F1003" s="139"/>
      <c r="G1003" s="98"/>
      <c r="H1003" s="99"/>
      <c r="I1003" s="99"/>
      <c r="J1003" s="100"/>
      <c r="K1003" s="99"/>
      <c r="L1003" s="99"/>
      <c r="M1003" s="99"/>
      <c r="N1003" s="99"/>
      <c r="O1003" s="112"/>
      <c r="P1003" s="140" t="str">
        <f t="shared" si="170"/>
        <v/>
      </c>
      <c r="Q1003" s="140" t="str">
        <f t="shared" si="171"/>
        <v/>
      </c>
      <c r="R1003" s="140" t="str">
        <f t="shared" si="172"/>
        <v/>
      </c>
      <c r="S1003" s="140" t="str">
        <f t="shared" si="173"/>
        <v/>
      </c>
      <c r="T1003" s="140" t="str">
        <f t="shared" si="174"/>
        <v/>
      </c>
      <c r="U1003" s="140" t="str">
        <f t="shared" si="175"/>
        <v/>
      </c>
      <c r="V1003" s="99"/>
    </row>
    <row r="1004" spans="1:22">
      <c r="A1004" s="92"/>
      <c r="B1004" s="146"/>
      <c r="C1004" s="136"/>
      <c r="D1004" s="137"/>
      <c r="E1004" s="138"/>
      <c r="F1004" s="139"/>
      <c r="G1004" s="98"/>
      <c r="H1004" s="99"/>
      <c r="I1004" s="99"/>
      <c r="J1004" s="100"/>
      <c r="K1004" s="99"/>
      <c r="L1004" s="99"/>
      <c r="M1004" s="99"/>
      <c r="N1004" s="99"/>
      <c r="O1004" s="112"/>
      <c r="P1004" s="140" t="str">
        <f t="shared" si="170"/>
        <v/>
      </c>
      <c r="Q1004" s="140" t="str">
        <f t="shared" si="171"/>
        <v/>
      </c>
      <c r="R1004" s="140" t="str">
        <f t="shared" si="172"/>
        <v/>
      </c>
      <c r="S1004" s="140" t="str">
        <f t="shared" si="173"/>
        <v/>
      </c>
      <c r="T1004" s="140" t="str">
        <f t="shared" si="174"/>
        <v/>
      </c>
      <c r="U1004" s="140" t="str">
        <f t="shared" si="175"/>
        <v/>
      </c>
      <c r="V1004" s="99"/>
    </row>
    <row r="1005" spans="1:22">
      <c r="A1005" s="92"/>
      <c r="B1005" s="146" t="s">
        <v>385</v>
      </c>
      <c r="C1005" s="136"/>
      <c r="D1005" s="142"/>
      <c r="E1005" s="138"/>
      <c r="F1005" s="139"/>
      <c r="G1005" s="98">
        <v>8</v>
      </c>
      <c r="H1005" s="99">
        <v>10</v>
      </c>
      <c r="I1005" s="111">
        <f>((1.48-2*0.75)/0.15)+1</f>
        <v>0.86666666666666647</v>
      </c>
      <c r="J1005" s="149">
        <f>C1006+D1008+E1006+2*8*G1005/1000</f>
        <v>0.69799999999999995</v>
      </c>
      <c r="K1005" s="99"/>
      <c r="L1005" s="99">
        <v>4</v>
      </c>
      <c r="M1005" s="112">
        <f>2*G1005*L1005/1000</f>
        <v>6.4000000000000001E-2</v>
      </c>
      <c r="N1005" s="112">
        <f>(J1005+K1005-M1005)</f>
        <v>0.6339999999999999</v>
      </c>
      <c r="O1005" s="112">
        <f>(H1005*I1005*N1005)</f>
        <v>5.4946666666666646</v>
      </c>
      <c r="P1005" s="140">
        <f t="shared" si="170"/>
        <v>5.4946666666666646</v>
      </c>
      <c r="Q1005" s="140" t="str">
        <f t="shared" si="171"/>
        <v/>
      </c>
      <c r="R1005" s="140" t="str">
        <f t="shared" si="172"/>
        <v/>
      </c>
      <c r="S1005" s="140" t="str">
        <f t="shared" si="173"/>
        <v/>
      </c>
      <c r="T1005" s="140" t="str">
        <f t="shared" si="174"/>
        <v/>
      </c>
      <c r="U1005" s="140" t="str">
        <f t="shared" si="175"/>
        <v/>
      </c>
      <c r="V1005" s="99"/>
    </row>
    <row r="1006" spans="1:22">
      <c r="A1006" s="92"/>
      <c r="B1006" s="146"/>
      <c r="C1006" s="151">
        <v>0.17499999999999999</v>
      </c>
      <c r="D1006" s="137"/>
      <c r="E1006" s="138">
        <v>0.17499999999999999</v>
      </c>
      <c r="F1006" s="139"/>
      <c r="G1006" s="98"/>
      <c r="H1006" s="99"/>
      <c r="I1006" s="99"/>
      <c r="J1006" s="100"/>
      <c r="K1006" s="99"/>
      <c r="L1006" s="99"/>
      <c r="M1006" s="99"/>
      <c r="N1006" s="99"/>
      <c r="O1006" s="112"/>
      <c r="P1006" s="140" t="str">
        <f t="shared" si="170"/>
        <v/>
      </c>
      <c r="Q1006" s="140" t="str">
        <f t="shared" si="171"/>
        <v/>
      </c>
      <c r="R1006" s="140" t="str">
        <f t="shared" si="172"/>
        <v/>
      </c>
      <c r="S1006" s="140" t="str">
        <f t="shared" si="173"/>
        <v/>
      </c>
      <c r="T1006" s="140" t="str">
        <f t="shared" si="174"/>
        <v/>
      </c>
      <c r="U1006" s="140" t="str">
        <f t="shared" si="175"/>
        <v/>
      </c>
      <c r="V1006" s="99"/>
    </row>
    <row r="1007" spans="1:22">
      <c r="A1007" s="92"/>
      <c r="B1007" s="146"/>
      <c r="C1007" s="136"/>
      <c r="D1007" s="137"/>
      <c r="E1007" s="138"/>
      <c r="F1007" s="139"/>
      <c r="G1007" s="98"/>
      <c r="H1007" s="99"/>
      <c r="I1007" s="99"/>
      <c r="J1007" s="100"/>
      <c r="K1007" s="99"/>
      <c r="L1007" s="99"/>
      <c r="M1007" s="99"/>
      <c r="N1007" s="99"/>
      <c r="O1007" s="101"/>
      <c r="P1007" s="140" t="str">
        <f t="shared" si="170"/>
        <v/>
      </c>
      <c r="Q1007" s="140" t="str">
        <f t="shared" si="171"/>
        <v/>
      </c>
      <c r="R1007" s="140" t="str">
        <f t="shared" si="172"/>
        <v/>
      </c>
      <c r="S1007" s="140" t="str">
        <f t="shared" si="173"/>
        <v/>
      </c>
      <c r="T1007" s="140" t="str">
        <f t="shared" si="174"/>
        <v/>
      </c>
      <c r="U1007" s="140" t="str">
        <f t="shared" si="175"/>
        <v/>
      </c>
      <c r="V1007" s="99"/>
    </row>
    <row r="1008" spans="1:22">
      <c r="A1008" s="92"/>
      <c r="B1008" s="146"/>
      <c r="C1008" s="136"/>
      <c r="D1008" s="109">
        <f>0.3-0.08</f>
        <v>0.21999999999999997</v>
      </c>
      <c r="E1008" s="138"/>
      <c r="F1008" s="139"/>
      <c r="G1008" s="98"/>
      <c r="H1008" s="99"/>
      <c r="I1008" s="99"/>
      <c r="J1008" s="100"/>
      <c r="K1008" s="99"/>
      <c r="L1008" s="99"/>
      <c r="M1008" s="99"/>
      <c r="N1008" s="99"/>
      <c r="O1008" s="101"/>
      <c r="P1008" s="140" t="str">
        <f t="shared" si="170"/>
        <v/>
      </c>
      <c r="Q1008" s="140" t="str">
        <f t="shared" si="171"/>
        <v/>
      </c>
      <c r="R1008" s="140" t="str">
        <f t="shared" si="172"/>
        <v/>
      </c>
      <c r="S1008" s="140" t="str">
        <f t="shared" si="173"/>
        <v/>
      </c>
      <c r="T1008" s="140" t="str">
        <f t="shared" si="174"/>
        <v/>
      </c>
      <c r="U1008" s="140" t="str">
        <f t="shared" si="175"/>
        <v/>
      </c>
      <c r="V1008" s="99"/>
    </row>
    <row r="1009" spans="1:22">
      <c r="A1009" s="92"/>
      <c r="B1009" s="141"/>
      <c r="C1009" s="136"/>
      <c r="D1009" s="137"/>
      <c r="E1009" s="138"/>
      <c r="F1009" s="139"/>
      <c r="G1009" s="98"/>
      <c r="H1009" s="99"/>
      <c r="I1009" s="99"/>
      <c r="J1009" s="100"/>
      <c r="K1009" s="99"/>
      <c r="L1009" s="99"/>
      <c r="M1009" s="99"/>
      <c r="N1009" s="99"/>
      <c r="O1009" s="101"/>
      <c r="P1009" s="140" t="str">
        <f t="shared" si="170"/>
        <v/>
      </c>
      <c r="Q1009" s="140" t="str">
        <f t="shared" si="171"/>
        <v/>
      </c>
      <c r="R1009" s="140" t="str">
        <f t="shared" si="172"/>
        <v/>
      </c>
      <c r="S1009" s="140" t="str">
        <f t="shared" si="173"/>
        <v/>
      </c>
      <c r="T1009" s="140" t="str">
        <f t="shared" si="174"/>
        <v/>
      </c>
      <c r="U1009" s="140" t="str">
        <f t="shared" si="175"/>
        <v/>
      </c>
      <c r="V1009" s="99"/>
    </row>
    <row r="1010" spans="1:22">
      <c r="A1010" s="92"/>
      <c r="B1010" s="141"/>
      <c r="C1010" s="136"/>
      <c r="D1010" s="137"/>
      <c r="E1010" s="144">
        <v>0.08</v>
      </c>
      <c r="F1010" s="139"/>
      <c r="G1010" s="98"/>
      <c r="H1010" s="99"/>
      <c r="I1010" s="99"/>
      <c r="J1010" s="100"/>
      <c r="K1010" s="99"/>
      <c r="L1010" s="99"/>
      <c r="M1010" s="99"/>
      <c r="N1010" s="99"/>
      <c r="O1010" s="101"/>
      <c r="P1010" s="140" t="str">
        <f t="shared" si="170"/>
        <v/>
      </c>
      <c r="Q1010" s="140" t="str">
        <f t="shared" si="171"/>
        <v/>
      </c>
      <c r="R1010" s="140" t="str">
        <f t="shared" si="172"/>
        <v/>
      </c>
      <c r="S1010" s="140" t="str">
        <f t="shared" si="173"/>
        <v/>
      </c>
      <c r="T1010" s="140" t="str">
        <f t="shared" si="174"/>
        <v/>
      </c>
      <c r="U1010" s="140" t="str">
        <f t="shared" si="175"/>
        <v/>
      </c>
      <c r="V1010" s="99"/>
    </row>
    <row r="1011" spans="1:22">
      <c r="A1011" s="92"/>
      <c r="B1011" s="146" t="s">
        <v>390</v>
      </c>
      <c r="C1011" s="136"/>
      <c r="D1011" s="142">
        <f>0.3-0.08</f>
        <v>0.21999999999999997</v>
      </c>
      <c r="E1011" s="144"/>
      <c r="F1011" s="139"/>
      <c r="G1011" s="98">
        <v>8</v>
      </c>
      <c r="H1011" s="99">
        <v>10</v>
      </c>
      <c r="I1011" s="111">
        <f>((1.48-2*0.75)/0.15)+1</f>
        <v>0.86666666666666647</v>
      </c>
      <c r="J1011" s="149">
        <f>D1011+E1010+E1012</f>
        <v>0.38</v>
      </c>
      <c r="K1011" s="99"/>
      <c r="L1011" s="99">
        <v>2</v>
      </c>
      <c r="M1011" s="112">
        <f>2*G1011*L1011/1000</f>
        <v>3.2000000000000001E-2</v>
      </c>
      <c r="N1011" s="112">
        <f>(J1011+K1011-M1011)</f>
        <v>0.34799999999999998</v>
      </c>
      <c r="O1011" s="112">
        <f>(H1011*I1011*N1011)</f>
        <v>3.0159999999999991</v>
      </c>
      <c r="P1011" s="140">
        <f t="shared" si="170"/>
        <v>3.0159999999999991</v>
      </c>
      <c r="Q1011" s="140" t="str">
        <f t="shared" si="171"/>
        <v/>
      </c>
      <c r="R1011" s="140" t="str">
        <f t="shared" si="172"/>
        <v/>
      </c>
      <c r="S1011" s="140" t="str">
        <f t="shared" si="173"/>
        <v/>
      </c>
      <c r="T1011" s="140" t="str">
        <f t="shared" si="174"/>
        <v/>
      </c>
      <c r="U1011" s="140" t="str">
        <f t="shared" si="175"/>
        <v/>
      </c>
      <c r="V1011" s="99"/>
    </row>
    <row r="1012" spans="1:22">
      <c r="A1012" s="92"/>
      <c r="B1012" s="141"/>
      <c r="C1012" s="136"/>
      <c r="D1012" s="137"/>
      <c r="E1012" s="144">
        <v>0.08</v>
      </c>
      <c r="F1012" s="139"/>
      <c r="G1012" s="98"/>
      <c r="H1012" s="99"/>
      <c r="I1012" s="99"/>
      <c r="J1012" s="100"/>
      <c r="K1012" s="99"/>
      <c r="L1012" s="99"/>
      <c r="M1012" s="99"/>
      <c r="N1012" s="99"/>
      <c r="O1012" s="101"/>
      <c r="P1012" s="140" t="str">
        <f t="shared" si="170"/>
        <v/>
      </c>
      <c r="Q1012" s="140" t="str">
        <f t="shared" si="171"/>
        <v/>
      </c>
      <c r="R1012" s="140" t="str">
        <f t="shared" si="172"/>
        <v/>
      </c>
      <c r="S1012" s="140" t="str">
        <f t="shared" si="173"/>
        <v/>
      </c>
      <c r="T1012" s="140" t="str">
        <f t="shared" si="174"/>
        <v/>
      </c>
      <c r="U1012" s="140" t="str">
        <f t="shared" si="175"/>
        <v/>
      </c>
      <c r="V1012" s="99"/>
    </row>
    <row r="1013" spans="1:22">
      <c r="A1013" s="92"/>
      <c r="B1013" s="141"/>
      <c r="C1013" s="136"/>
      <c r="D1013" s="137"/>
      <c r="E1013" s="138"/>
      <c r="F1013" s="139"/>
      <c r="G1013" s="98"/>
      <c r="H1013" s="99"/>
      <c r="I1013" s="99"/>
      <c r="J1013" s="100"/>
      <c r="K1013" s="99"/>
      <c r="L1013" s="99"/>
      <c r="M1013" s="99"/>
      <c r="N1013" s="99"/>
      <c r="O1013" s="101"/>
      <c r="P1013" s="140" t="str">
        <f t="shared" si="170"/>
        <v/>
      </c>
      <c r="Q1013" s="140" t="str">
        <f t="shared" si="171"/>
        <v/>
      </c>
      <c r="R1013" s="140" t="str">
        <f t="shared" si="172"/>
        <v/>
      </c>
      <c r="S1013" s="140" t="str">
        <f t="shared" si="173"/>
        <v/>
      </c>
      <c r="T1013" s="140" t="str">
        <f t="shared" si="174"/>
        <v/>
      </c>
      <c r="U1013" s="140" t="str">
        <f t="shared" si="175"/>
        <v/>
      </c>
      <c r="V1013" s="99"/>
    </row>
    <row r="1014" spans="1:22">
      <c r="A1014" s="92">
        <v>5</v>
      </c>
      <c r="B1014" s="92" t="s">
        <v>391</v>
      </c>
      <c r="C1014" s="136"/>
      <c r="D1014" s="137"/>
      <c r="E1014" s="138"/>
      <c r="F1014" s="139"/>
      <c r="G1014" s="98"/>
      <c r="H1014" s="99"/>
      <c r="I1014" s="99"/>
      <c r="J1014" s="109"/>
      <c r="K1014" s="112"/>
      <c r="L1014" s="112"/>
      <c r="M1014" s="99"/>
      <c r="N1014" s="112"/>
      <c r="O1014" s="112"/>
      <c r="P1014" s="140" t="str">
        <f>IF($G1014=8,$O1014,"")</f>
        <v/>
      </c>
      <c r="Q1014" s="140" t="str">
        <f>IF($G1014=10,$O1014,"")</f>
        <v/>
      </c>
      <c r="R1014" s="140" t="str">
        <f>IF($G1014=12,$O1014,"")</f>
        <v/>
      </c>
      <c r="S1014" s="140" t="str">
        <f>IF($G1014=16,$O1014,"")</f>
        <v/>
      </c>
      <c r="T1014" s="140" t="str">
        <f>IF($G1014=20,$O1014,"")</f>
        <v/>
      </c>
      <c r="U1014" s="140" t="str">
        <f>IF($G1014=25,$O1014,"")</f>
        <v/>
      </c>
      <c r="V1014" s="99"/>
    </row>
    <row r="1015" spans="1:22">
      <c r="A1015" s="92"/>
      <c r="B1015" s="141" t="s">
        <v>378</v>
      </c>
      <c r="C1015" s="136"/>
      <c r="D1015" s="142">
        <v>1.68</v>
      </c>
      <c r="E1015" s="138"/>
      <c r="F1015" s="139"/>
      <c r="G1015" s="98">
        <v>20</v>
      </c>
      <c r="H1015" s="99">
        <v>4</v>
      </c>
      <c r="I1015" s="99">
        <v>4</v>
      </c>
      <c r="J1015" s="109">
        <f>D1015</f>
        <v>1.68</v>
      </c>
      <c r="K1015" s="110" t="str">
        <f>IF(N1015&lt;12,"0",0.049*G1015)</f>
        <v>0</v>
      </c>
      <c r="L1015" s="111">
        <v>0</v>
      </c>
      <c r="M1015" s="99">
        <f>2*G1015*L1015/1000</f>
        <v>0</v>
      </c>
      <c r="N1015" s="112">
        <f>J1015-M1015</f>
        <v>1.68</v>
      </c>
      <c r="O1015" s="112">
        <f>H1015*I1015*N1015</f>
        <v>26.88</v>
      </c>
      <c r="P1015" s="140" t="str">
        <f t="shared" si="170"/>
        <v/>
      </c>
      <c r="Q1015" s="140" t="str">
        <f t="shared" si="171"/>
        <v/>
      </c>
      <c r="R1015" s="140" t="str">
        <f t="shared" si="172"/>
        <v/>
      </c>
      <c r="S1015" s="140" t="str">
        <f t="shared" si="173"/>
        <v/>
      </c>
      <c r="T1015" s="140">
        <f t="shared" si="174"/>
        <v>26.88</v>
      </c>
      <c r="U1015" s="140" t="str">
        <f t="shared" si="175"/>
        <v/>
      </c>
      <c r="V1015" s="99"/>
    </row>
    <row r="1016" spans="1:22">
      <c r="A1016" s="92"/>
      <c r="B1016" s="141" t="s">
        <v>379</v>
      </c>
      <c r="C1016" s="136"/>
      <c r="D1016" s="137"/>
      <c r="E1016" s="138"/>
      <c r="F1016" s="139"/>
      <c r="G1016" s="98">
        <v>16</v>
      </c>
      <c r="H1016" s="99">
        <v>4</v>
      </c>
      <c r="I1016" s="99">
        <v>2</v>
      </c>
      <c r="J1016" s="109">
        <f>D1015</f>
        <v>1.68</v>
      </c>
      <c r="K1016" s="110" t="str">
        <f t="shared" ref="K1016:K1019" si="176">IF(N1016&lt;12,"0",0.049*G1016)</f>
        <v>0</v>
      </c>
      <c r="L1016" s="111">
        <v>0</v>
      </c>
      <c r="M1016" s="99">
        <f t="shared" ref="M1016:M1019" si="177">2*G1016*L1016/1000</f>
        <v>0</v>
      </c>
      <c r="N1016" s="112">
        <f t="shared" ref="N1016:N1019" si="178">J1016-M1016</f>
        <v>1.68</v>
      </c>
      <c r="O1016" s="112">
        <f>H1016*I1016*N1016</f>
        <v>13.44</v>
      </c>
      <c r="P1016" s="140" t="str">
        <f t="shared" si="170"/>
        <v/>
      </c>
      <c r="Q1016" s="140" t="str">
        <f t="shared" si="171"/>
        <v/>
      </c>
      <c r="R1016" s="140" t="str">
        <f t="shared" si="172"/>
        <v/>
      </c>
      <c r="S1016" s="140">
        <f t="shared" si="173"/>
        <v>13.44</v>
      </c>
      <c r="T1016" s="140" t="str">
        <f t="shared" si="174"/>
        <v/>
      </c>
      <c r="U1016" s="140" t="str">
        <f t="shared" si="175"/>
        <v/>
      </c>
      <c r="V1016" s="99"/>
    </row>
    <row r="1017" spans="1:22">
      <c r="A1017" s="92"/>
      <c r="B1017" s="141" t="s">
        <v>380</v>
      </c>
      <c r="C1017" s="143"/>
      <c r="D1017" s="142"/>
      <c r="E1017" s="144"/>
      <c r="F1017" s="139"/>
      <c r="G1017" s="98">
        <v>16</v>
      </c>
      <c r="H1017" s="99">
        <v>4</v>
      </c>
      <c r="I1017" s="99">
        <v>4</v>
      </c>
      <c r="J1017" s="109">
        <f>D1015</f>
        <v>1.68</v>
      </c>
      <c r="K1017" s="110" t="str">
        <f t="shared" si="176"/>
        <v>0</v>
      </c>
      <c r="L1017" s="111">
        <v>0</v>
      </c>
      <c r="M1017" s="99">
        <f t="shared" si="177"/>
        <v>0</v>
      </c>
      <c r="N1017" s="112">
        <f t="shared" si="178"/>
        <v>1.68</v>
      </c>
      <c r="O1017" s="112">
        <f>H1017*I1017*N1017</f>
        <v>26.88</v>
      </c>
      <c r="P1017" s="140" t="str">
        <f t="shared" si="170"/>
        <v/>
      </c>
      <c r="Q1017" s="140" t="str">
        <f t="shared" si="171"/>
        <v/>
      </c>
      <c r="R1017" s="140" t="str">
        <f t="shared" si="172"/>
        <v/>
      </c>
      <c r="S1017" s="140">
        <f t="shared" si="173"/>
        <v>26.88</v>
      </c>
      <c r="T1017" s="140" t="str">
        <f t="shared" si="174"/>
        <v/>
      </c>
      <c r="U1017" s="140" t="str">
        <f t="shared" si="175"/>
        <v/>
      </c>
      <c r="V1017" s="99"/>
    </row>
    <row r="1018" spans="1:22">
      <c r="A1018" s="92"/>
      <c r="B1018" s="141" t="s">
        <v>381</v>
      </c>
      <c r="C1018" s="136"/>
      <c r="D1018" s="137"/>
      <c r="E1018" s="138"/>
      <c r="F1018" s="139"/>
      <c r="G1018" s="98">
        <v>16</v>
      </c>
      <c r="H1018" s="99">
        <v>4</v>
      </c>
      <c r="I1018" s="99">
        <v>4</v>
      </c>
      <c r="J1018" s="109">
        <f>D1015</f>
        <v>1.68</v>
      </c>
      <c r="K1018" s="110" t="str">
        <f t="shared" si="176"/>
        <v>0</v>
      </c>
      <c r="L1018" s="111">
        <v>0</v>
      </c>
      <c r="M1018" s="99">
        <f t="shared" si="177"/>
        <v>0</v>
      </c>
      <c r="N1018" s="112">
        <f t="shared" si="178"/>
        <v>1.68</v>
      </c>
      <c r="O1018" s="112">
        <f>H1018*I1018*N1018</f>
        <v>26.88</v>
      </c>
      <c r="P1018" s="140" t="str">
        <f t="shared" si="170"/>
        <v/>
      </c>
      <c r="Q1018" s="140" t="str">
        <f t="shared" si="171"/>
        <v/>
      </c>
      <c r="R1018" s="140" t="str">
        <f t="shared" si="172"/>
        <v/>
      </c>
      <c r="S1018" s="140">
        <f t="shared" si="173"/>
        <v>26.88</v>
      </c>
      <c r="T1018" s="140" t="str">
        <f t="shared" si="174"/>
        <v/>
      </c>
      <c r="U1018" s="140" t="str">
        <f t="shared" si="175"/>
        <v/>
      </c>
      <c r="V1018" s="99"/>
    </row>
    <row r="1019" spans="1:22">
      <c r="A1019" s="92"/>
      <c r="B1019" s="141" t="s">
        <v>389</v>
      </c>
      <c r="C1019" s="136"/>
      <c r="D1019" s="137"/>
      <c r="E1019" s="138"/>
      <c r="F1019" s="139"/>
      <c r="G1019" s="98">
        <v>16</v>
      </c>
      <c r="H1019" s="99">
        <v>4</v>
      </c>
      <c r="I1019" s="99">
        <v>2</v>
      </c>
      <c r="J1019" s="109">
        <f>D1015</f>
        <v>1.68</v>
      </c>
      <c r="K1019" s="110" t="str">
        <f t="shared" si="176"/>
        <v>0</v>
      </c>
      <c r="L1019" s="111">
        <v>0</v>
      </c>
      <c r="M1019" s="99">
        <f t="shared" si="177"/>
        <v>0</v>
      </c>
      <c r="N1019" s="112">
        <f t="shared" si="178"/>
        <v>1.68</v>
      </c>
      <c r="O1019" s="112">
        <f>H1019*I1019*N1019</f>
        <v>13.44</v>
      </c>
      <c r="P1019" s="140" t="str">
        <f t="shared" si="170"/>
        <v/>
      </c>
      <c r="Q1019" s="140" t="str">
        <f t="shared" si="171"/>
        <v/>
      </c>
      <c r="R1019" s="140" t="str">
        <f t="shared" si="172"/>
        <v/>
      </c>
      <c r="S1019" s="140">
        <f t="shared" si="173"/>
        <v>13.44</v>
      </c>
      <c r="T1019" s="140" t="str">
        <f t="shared" si="174"/>
        <v/>
      </c>
      <c r="U1019" s="140" t="str">
        <f t="shared" si="175"/>
        <v/>
      </c>
      <c r="V1019" s="99"/>
    </row>
    <row r="1020" spans="1:22">
      <c r="A1020" s="92"/>
      <c r="B1020" s="141"/>
      <c r="C1020" s="136"/>
      <c r="D1020" s="137"/>
      <c r="E1020" s="138"/>
      <c r="F1020" s="139"/>
      <c r="G1020" s="98"/>
      <c r="H1020" s="99"/>
      <c r="I1020" s="99"/>
      <c r="J1020" s="100"/>
      <c r="K1020" s="99"/>
      <c r="L1020" s="99"/>
      <c r="M1020" s="99"/>
      <c r="N1020" s="99"/>
      <c r="O1020" s="101"/>
      <c r="P1020" s="140" t="str">
        <f t="shared" si="170"/>
        <v/>
      </c>
      <c r="Q1020" s="140" t="str">
        <f t="shared" si="171"/>
        <v/>
      </c>
      <c r="R1020" s="140" t="str">
        <f t="shared" si="172"/>
        <v/>
      </c>
      <c r="S1020" s="140" t="str">
        <f t="shared" si="173"/>
        <v/>
      </c>
      <c r="T1020" s="140" t="str">
        <f t="shared" si="174"/>
        <v/>
      </c>
      <c r="U1020" s="140" t="str">
        <f t="shared" si="175"/>
        <v/>
      </c>
      <c r="V1020" s="99"/>
    </row>
    <row r="1021" spans="1:22">
      <c r="A1021" s="92"/>
      <c r="B1021" s="429" t="s">
        <v>644</v>
      </c>
      <c r="C1021" s="145">
        <v>0.08</v>
      </c>
      <c r="D1021" s="137"/>
      <c r="E1021" s="138"/>
      <c r="F1021" s="139"/>
      <c r="G1021" s="98"/>
      <c r="H1021" s="99"/>
      <c r="I1021" s="99"/>
      <c r="J1021" s="100"/>
      <c r="K1021" s="99"/>
      <c r="L1021" s="99"/>
      <c r="M1021" s="99"/>
      <c r="N1021" s="99"/>
      <c r="O1021" s="101"/>
      <c r="P1021" s="140" t="str">
        <f t="shared" si="170"/>
        <v/>
      </c>
      <c r="Q1021" s="140" t="str">
        <f t="shared" si="171"/>
        <v/>
      </c>
      <c r="R1021" s="140" t="str">
        <f t="shared" si="172"/>
        <v/>
      </c>
      <c r="S1021" s="140" t="str">
        <f t="shared" si="173"/>
        <v/>
      </c>
      <c r="T1021" s="140" t="str">
        <f t="shared" si="174"/>
        <v/>
      </c>
      <c r="U1021" s="140" t="str">
        <f t="shared" si="175"/>
        <v/>
      </c>
      <c r="V1021" s="99"/>
    </row>
    <row r="1022" spans="1:22">
      <c r="A1022" s="92"/>
      <c r="B1022" s="146" t="s">
        <v>382</v>
      </c>
      <c r="C1022" s="147"/>
      <c r="D1022" s="137"/>
      <c r="E1022" s="148">
        <f>0.75-0.08</f>
        <v>0.67</v>
      </c>
      <c r="F1022" s="139"/>
      <c r="G1022" s="98">
        <v>10</v>
      </c>
      <c r="H1022" s="99">
        <v>4</v>
      </c>
      <c r="I1022" s="99">
        <f>((2*0.75)/0.075)+2</f>
        <v>22</v>
      </c>
      <c r="J1022" s="149">
        <f>2*(D1024+E1022)+2*8*G1022/1000</f>
        <v>1.94</v>
      </c>
      <c r="K1022" s="99"/>
      <c r="L1022" s="99">
        <v>5</v>
      </c>
      <c r="M1022" s="112">
        <f>2*G1022*L1022/1000</f>
        <v>0.1</v>
      </c>
      <c r="N1022" s="112">
        <f>(J1022+K1022-M1022)</f>
        <v>1.8399999999999999</v>
      </c>
      <c r="O1022" s="112">
        <f>(H1022*I1022*N1022)</f>
        <v>161.91999999999999</v>
      </c>
      <c r="P1022" s="140" t="str">
        <f t="shared" si="170"/>
        <v/>
      </c>
      <c r="Q1022" s="140">
        <f t="shared" si="171"/>
        <v>161.91999999999999</v>
      </c>
      <c r="R1022" s="140" t="str">
        <f t="shared" si="172"/>
        <v/>
      </c>
      <c r="S1022" s="140" t="str">
        <f t="shared" si="173"/>
        <v/>
      </c>
      <c r="T1022" s="140" t="str">
        <f t="shared" si="174"/>
        <v/>
      </c>
      <c r="U1022" s="140" t="str">
        <f t="shared" si="175"/>
        <v/>
      </c>
      <c r="V1022" s="99"/>
    </row>
    <row r="1023" spans="1:22">
      <c r="A1023" s="92"/>
      <c r="B1023" s="146"/>
      <c r="C1023" s="136"/>
      <c r="D1023" s="137"/>
      <c r="E1023" s="150"/>
      <c r="F1023" s="139"/>
      <c r="G1023" s="98"/>
      <c r="H1023" s="99"/>
      <c r="I1023" s="99"/>
      <c r="J1023" s="100"/>
      <c r="K1023" s="99"/>
      <c r="L1023" s="99"/>
      <c r="M1023" s="99"/>
      <c r="N1023" s="99"/>
      <c r="O1023" s="112"/>
      <c r="P1023" s="140" t="str">
        <f t="shared" si="170"/>
        <v/>
      </c>
      <c r="Q1023" s="140" t="str">
        <f t="shared" si="171"/>
        <v/>
      </c>
      <c r="R1023" s="140" t="str">
        <f t="shared" si="172"/>
        <v/>
      </c>
      <c r="S1023" s="140" t="str">
        <f t="shared" si="173"/>
        <v/>
      </c>
      <c r="T1023" s="140" t="str">
        <f t="shared" si="174"/>
        <v/>
      </c>
      <c r="U1023" s="140" t="str">
        <f t="shared" si="175"/>
        <v/>
      </c>
      <c r="V1023" s="99"/>
    </row>
    <row r="1024" spans="1:22">
      <c r="A1024" s="92"/>
      <c r="B1024" s="146"/>
      <c r="C1024" s="136"/>
      <c r="D1024" s="109">
        <f>0.3-0.08</f>
        <v>0.21999999999999997</v>
      </c>
      <c r="E1024" s="138"/>
      <c r="F1024" s="139"/>
      <c r="G1024" s="98"/>
      <c r="H1024" s="99"/>
      <c r="I1024" s="99"/>
      <c r="J1024" s="100"/>
      <c r="K1024" s="99"/>
      <c r="L1024" s="99"/>
      <c r="M1024" s="99"/>
      <c r="N1024" s="99"/>
      <c r="O1024" s="112"/>
      <c r="P1024" s="140" t="str">
        <f t="shared" si="170"/>
        <v/>
      </c>
      <c r="Q1024" s="140" t="str">
        <f t="shared" si="171"/>
        <v/>
      </c>
      <c r="R1024" s="140" t="str">
        <f t="shared" si="172"/>
        <v/>
      </c>
      <c r="S1024" s="140" t="str">
        <f t="shared" si="173"/>
        <v/>
      </c>
      <c r="T1024" s="140" t="str">
        <f t="shared" si="174"/>
        <v/>
      </c>
      <c r="U1024" s="140" t="str">
        <f t="shared" si="175"/>
        <v/>
      </c>
      <c r="V1024" s="99"/>
    </row>
    <row r="1025" spans="1:22">
      <c r="A1025" s="92"/>
      <c r="B1025" s="141"/>
      <c r="C1025" s="136"/>
      <c r="D1025" s="137"/>
      <c r="E1025" s="138"/>
      <c r="F1025" s="139"/>
      <c r="G1025" s="98"/>
      <c r="H1025" s="99"/>
      <c r="I1025" s="99"/>
      <c r="J1025" s="100"/>
      <c r="K1025" s="99"/>
      <c r="L1025" s="99"/>
      <c r="M1025" s="99"/>
      <c r="N1025" s="99"/>
      <c r="O1025" s="112"/>
      <c r="P1025" s="140" t="str">
        <f t="shared" si="170"/>
        <v/>
      </c>
      <c r="Q1025" s="140" t="str">
        <f t="shared" si="171"/>
        <v/>
      </c>
      <c r="R1025" s="140" t="str">
        <f t="shared" si="172"/>
        <v/>
      </c>
      <c r="S1025" s="140" t="str">
        <f t="shared" si="173"/>
        <v/>
      </c>
      <c r="T1025" s="140" t="str">
        <f t="shared" si="174"/>
        <v/>
      </c>
      <c r="U1025" s="140" t="str">
        <f t="shared" si="175"/>
        <v/>
      </c>
      <c r="V1025" s="99"/>
    </row>
    <row r="1026" spans="1:22">
      <c r="A1026" s="92"/>
      <c r="B1026" s="92"/>
      <c r="C1026" s="145">
        <v>0.08</v>
      </c>
      <c r="D1026" s="137"/>
      <c r="E1026" s="138"/>
      <c r="F1026" s="139"/>
      <c r="G1026" s="98"/>
      <c r="H1026" s="99"/>
      <c r="I1026" s="99"/>
      <c r="J1026" s="100"/>
      <c r="K1026" s="99"/>
      <c r="L1026" s="99"/>
      <c r="M1026" s="99"/>
      <c r="N1026" s="99"/>
      <c r="O1026" s="112"/>
      <c r="P1026" s="140" t="str">
        <f t="shared" si="170"/>
        <v/>
      </c>
      <c r="Q1026" s="140" t="str">
        <f t="shared" si="171"/>
        <v/>
      </c>
      <c r="R1026" s="140" t="str">
        <f t="shared" si="172"/>
        <v/>
      </c>
      <c r="S1026" s="140" t="str">
        <f t="shared" si="173"/>
        <v/>
      </c>
      <c r="T1026" s="140" t="str">
        <f t="shared" si="174"/>
        <v/>
      </c>
      <c r="U1026" s="140" t="str">
        <f t="shared" si="175"/>
        <v/>
      </c>
      <c r="V1026" s="99"/>
    </row>
    <row r="1027" spans="1:22">
      <c r="A1027" s="92"/>
      <c r="B1027" s="146" t="s">
        <v>383</v>
      </c>
      <c r="C1027" s="147"/>
      <c r="D1027" s="137"/>
      <c r="E1027" s="148">
        <f>(2*((0.75-0.08-0.016)/6))+0.012+0.02</f>
        <v>0.25</v>
      </c>
      <c r="F1027" s="139"/>
      <c r="G1027" s="98">
        <v>10</v>
      </c>
      <c r="H1027" s="99">
        <v>4</v>
      </c>
      <c r="I1027" s="99">
        <f>((2*0.75)/0.075)+2</f>
        <v>22</v>
      </c>
      <c r="J1027" s="149">
        <f>2*(D1029+E1027)+2*8*G1027/1000</f>
        <v>1.0999999999999999</v>
      </c>
      <c r="K1027" s="99"/>
      <c r="L1027" s="99">
        <v>5</v>
      </c>
      <c r="M1027" s="112">
        <f>2*G1027*L1027/1000</f>
        <v>0.1</v>
      </c>
      <c r="N1027" s="112">
        <f>(J1027+K1027-M1027)</f>
        <v>0.99999999999999989</v>
      </c>
      <c r="O1027" s="112">
        <f>(H1027*I1027*N1027)</f>
        <v>87.999999999999986</v>
      </c>
      <c r="P1027" s="140" t="str">
        <f t="shared" si="170"/>
        <v/>
      </c>
      <c r="Q1027" s="140">
        <f t="shared" si="171"/>
        <v>87.999999999999986</v>
      </c>
      <c r="R1027" s="140" t="str">
        <f t="shared" si="172"/>
        <v/>
      </c>
      <c r="S1027" s="140" t="str">
        <f t="shared" si="173"/>
        <v/>
      </c>
      <c r="T1027" s="140" t="str">
        <f t="shared" si="174"/>
        <v/>
      </c>
      <c r="U1027" s="140" t="str">
        <f t="shared" si="175"/>
        <v/>
      </c>
      <c r="V1027" s="99"/>
    </row>
    <row r="1028" spans="1:22">
      <c r="A1028" s="92"/>
      <c r="B1028" s="146"/>
      <c r="C1028" s="136"/>
      <c r="D1028" s="137"/>
      <c r="E1028" s="150"/>
      <c r="F1028" s="139"/>
      <c r="G1028" s="98"/>
      <c r="H1028" s="99"/>
      <c r="I1028" s="99"/>
      <c r="J1028" s="100"/>
      <c r="K1028" s="99"/>
      <c r="L1028" s="99"/>
      <c r="M1028" s="99"/>
      <c r="N1028" s="99"/>
      <c r="O1028" s="112"/>
      <c r="P1028" s="140" t="str">
        <f t="shared" si="170"/>
        <v/>
      </c>
      <c r="Q1028" s="140" t="str">
        <f t="shared" si="171"/>
        <v/>
      </c>
      <c r="R1028" s="140" t="str">
        <f t="shared" si="172"/>
        <v/>
      </c>
      <c r="S1028" s="140" t="str">
        <f t="shared" si="173"/>
        <v/>
      </c>
      <c r="T1028" s="140" t="str">
        <f t="shared" si="174"/>
        <v/>
      </c>
      <c r="U1028" s="140" t="str">
        <f t="shared" si="175"/>
        <v/>
      </c>
      <c r="V1028" s="99"/>
    </row>
    <row r="1029" spans="1:22">
      <c r="A1029" s="92"/>
      <c r="B1029" s="146"/>
      <c r="C1029" s="136"/>
      <c r="D1029" s="109">
        <f>0.3-0.08</f>
        <v>0.21999999999999997</v>
      </c>
      <c r="E1029" s="138"/>
      <c r="F1029" s="139"/>
      <c r="G1029" s="98"/>
      <c r="H1029" s="99"/>
      <c r="I1029" s="99"/>
      <c r="J1029" s="100"/>
      <c r="K1029" s="99"/>
      <c r="L1029" s="99"/>
      <c r="M1029" s="99"/>
      <c r="N1029" s="99"/>
      <c r="O1029" s="112"/>
      <c r="P1029" s="140" t="str">
        <f t="shared" si="170"/>
        <v/>
      </c>
      <c r="Q1029" s="140" t="str">
        <f t="shared" si="171"/>
        <v/>
      </c>
      <c r="R1029" s="140" t="str">
        <f t="shared" si="172"/>
        <v/>
      </c>
      <c r="S1029" s="140" t="str">
        <f t="shared" si="173"/>
        <v/>
      </c>
      <c r="T1029" s="140" t="str">
        <f t="shared" si="174"/>
        <v/>
      </c>
      <c r="U1029" s="140" t="str">
        <f t="shared" si="175"/>
        <v/>
      </c>
      <c r="V1029" s="99"/>
    </row>
    <row r="1030" spans="1:22">
      <c r="A1030" s="92"/>
      <c r="B1030" s="146"/>
      <c r="C1030" s="136"/>
      <c r="D1030" s="137"/>
      <c r="E1030" s="138"/>
      <c r="F1030" s="139"/>
      <c r="G1030" s="98"/>
      <c r="H1030" s="99"/>
      <c r="I1030" s="99"/>
      <c r="J1030" s="100"/>
      <c r="K1030" s="99"/>
      <c r="L1030" s="99"/>
      <c r="M1030" s="99"/>
      <c r="N1030" s="99"/>
      <c r="O1030" s="112"/>
      <c r="P1030" s="140" t="str">
        <f t="shared" si="170"/>
        <v/>
      </c>
      <c r="Q1030" s="140" t="str">
        <f t="shared" si="171"/>
        <v/>
      </c>
      <c r="R1030" s="140" t="str">
        <f t="shared" si="172"/>
        <v/>
      </c>
      <c r="S1030" s="140" t="str">
        <f t="shared" si="173"/>
        <v/>
      </c>
      <c r="T1030" s="140" t="str">
        <f t="shared" si="174"/>
        <v/>
      </c>
      <c r="U1030" s="140" t="str">
        <f t="shared" si="175"/>
        <v/>
      </c>
      <c r="V1030" s="99"/>
    </row>
    <row r="1031" spans="1:22">
      <c r="A1031" s="92"/>
      <c r="B1031" s="146" t="s">
        <v>384</v>
      </c>
      <c r="C1031" s="136"/>
      <c r="D1031" s="142"/>
      <c r="E1031" s="138"/>
      <c r="F1031" s="139"/>
      <c r="G1031" s="98">
        <v>10</v>
      </c>
      <c r="H1031" s="99">
        <v>4</v>
      </c>
      <c r="I1031" s="99">
        <f>((2*0.75)/0.075)+2</f>
        <v>22</v>
      </c>
      <c r="J1031" s="149">
        <f>C1032+D1034+E1032+2*8*G1031/1000</f>
        <v>0.73</v>
      </c>
      <c r="K1031" s="99"/>
      <c r="L1031" s="99">
        <v>4</v>
      </c>
      <c r="M1031" s="112">
        <f>2*G1031*L1031/1000</f>
        <v>0.08</v>
      </c>
      <c r="N1031" s="112">
        <f>(J1031+K1031-M1031)</f>
        <v>0.65</v>
      </c>
      <c r="O1031" s="112">
        <f>(H1031*I1031*N1031)</f>
        <v>57.2</v>
      </c>
      <c r="P1031" s="140" t="str">
        <f t="shared" si="170"/>
        <v/>
      </c>
      <c r="Q1031" s="140">
        <f t="shared" si="171"/>
        <v>57.2</v>
      </c>
      <c r="R1031" s="140" t="str">
        <f t="shared" si="172"/>
        <v/>
      </c>
      <c r="S1031" s="140" t="str">
        <f t="shared" si="173"/>
        <v/>
      </c>
      <c r="T1031" s="140" t="str">
        <f t="shared" si="174"/>
        <v/>
      </c>
      <c r="U1031" s="140" t="str">
        <f t="shared" si="175"/>
        <v/>
      </c>
      <c r="V1031" s="99"/>
    </row>
    <row r="1032" spans="1:22">
      <c r="A1032" s="92"/>
      <c r="B1032" s="146"/>
      <c r="C1032" s="151">
        <v>0.17499999999999999</v>
      </c>
      <c r="D1032" s="137"/>
      <c r="E1032" s="138">
        <v>0.17499999999999999</v>
      </c>
      <c r="F1032" s="139"/>
      <c r="G1032" s="98"/>
      <c r="H1032" s="99"/>
      <c r="I1032" s="99"/>
      <c r="J1032" s="100"/>
      <c r="K1032" s="99"/>
      <c r="L1032" s="99"/>
      <c r="M1032" s="99"/>
      <c r="N1032" s="99"/>
      <c r="O1032" s="112"/>
      <c r="P1032" s="140" t="str">
        <f>IF($G1032=8,$O1032,"")</f>
        <v/>
      </c>
      <c r="Q1032" s="140" t="str">
        <f>IF($G1032=10,$O1032,"")</f>
        <v/>
      </c>
      <c r="R1032" s="140" t="str">
        <f>IF($G1032=12,$O1032,"")</f>
        <v/>
      </c>
      <c r="S1032" s="140" t="str">
        <f>IF($G1032=16,$O1032,"")</f>
        <v/>
      </c>
      <c r="T1032" s="140" t="str">
        <f>IF($G1032=20,$O1032,"")</f>
        <v/>
      </c>
      <c r="U1032" s="140" t="str">
        <f>IF($G1032=25,$O1032,"")</f>
        <v/>
      </c>
      <c r="V1032" s="99"/>
    </row>
    <row r="1033" spans="1:22">
      <c r="A1033" s="92"/>
      <c r="B1033" s="146"/>
      <c r="C1033" s="136"/>
      <c r="D1033" s="137"/>
      <c r="E1033" s="138"/>
      <c r="F1033" s="139"/>
      <c r="G1033" s="98"/>
      <c r="H1033" s="99"/>
      <c r="I1033" s="99"/>
      <c r="J1033" s="100"/>
      <c r="K1033" s="99"/>
      <c r="L1033" s="99"/>
      <c r="M1033" s="99"/>
      <c r="N1033" s="99"/>
      <c r="O1033" s="112"/>
      <c r="P1033" s="140" t="str">
        <f t="shared" si="170"/>
        <v/>
      </c>
      <c r="Q1033" s="140" t="str">
        <f t="shared" si="171"/>
        <v/>
      </c>
      <c r="R1033" s="140" t="str">
        <f t="shared" si="172"/>
        <v/>
      </c>
      <c r="S1033" s="140" t="str">
        <f t="shared" si="173"/>
        <v/>
      </c>
      <c r="T1033" s="140" t="str">
        <f t="shared" si="174"/>
        <v/>
      </c>
      <c r="U1033" s="140" t="str">
        <f t="shared" si="175"/>
        <v/>
      </c>
      <c r="V1033" s="99"/>
    </row>
    <row r="1034" spans="1:22">
      <c r="A1034" s="92"/>
      <c r="B1034" s="146"/>
      <c r="C1034" s="136"/>
      <c r="D1034" s="109">
        <f>0.3-0.08</f>
        <v>0.21999999999999997</v>
      </c>
      <c r="E1034" s="138"/>
      <c r="F1034" s="139"/>
      <c r="G1034" s="98"/>
      <c r="H1034" s="99"/>
      <c r="I1034" s="99"/>
      <c r="J1034" s="100"/>
      <c r="K1034" s="99"/>
      <c r="L1034" s="99"/>
      <c r="M1034" s="99"/>
      <c r="N1034" s="99"/>
      <c r="O1034" s="112"/>
      <c r="P1034" s="140" t="str">
        <f t="shared" si="170"/>
        <v/>
      </c>
      <c r="Q1034" s="140" t="str">
        <f t="shared" si="171"/>
        <v/>
      </c>
      <c r="R1034" s="140" t="str">
        <f t="shared" si="172"/>
        <v/>
      </c>
      <c r="S1034" s="140" t="str">
        <f t="shared" si="173"/>
        <v/>
      </c>
      <c r="T1034" s="140" t="str">
        <f t="shared" si="174"/>
        <v/>
      </c>
      <c r="U1034" s="140" t="str">
        <f t="shared" si="175"/>
        <v/>
      </c>
      <c r="V1034" s="99"/>
    </row>
    <row r="1035" spans="1:22">
      <c r="A1035" s="92"/>
      <c r="B1035" s="146"/>
      <c r="C1035" s="136"/>
      <c r="D1035" s="137"/>
      <c r="E1035" s="138"/>
      <c r="F1035" s="139"/>
      <c r="G1035" s="98"/>
      <c r="H1035" s="99"/>
      <c r="I1035" s="99"/>
      <c r="J1035" s="100"/>
      <c r="K1035" s="99"/>
      <c r="L1035" s="99"/>
      <c r="M1035" s="99"/>
      <c r="N1035" s="99"/>
      <c r="O1035" s="112"/>
      <c r="P1035" s="140" t="str">
        <f t="shared" si="170"/>
        <v/>
      </c>
      <c r="Q1035" s="140" t="str">
        <f t="shared" si="171"/>
        <v/>
      </c>
      <c r="R1035" s="140" t="str">
        <f t="shared" si="172"/>
        <v/>
      </c>
      <c r="S1035" s="140" t="str">
        <f t="shared" si="173"/>
        <v/>
      </c>
      <c r="T1035" s="140" t="str">
        <f t="shared" si="174"/>
        <v/>
      </c>
      <c r="U1035" s="140" t="str">
        <f t="shared" si="175"/>
        <v/>
      </c>
      <c r="V1035" s="99"/>
    </row>
    <row r="1036" spans="1:22">
      <c r="A1036" s="92"/>
      <c r="B1036" s="146" t="s">
        <v>385</v>
      </c>
      <c r="C1036" s="136"/>
      <c r="D1036" s="142"/>
      <c r="E1036" s="138"/>
      <c r="F1036" s="139"/>
      <c r="G1036" s="98">
        <v>10</v>
      </c>
      <c r="H1036" s="99">
        <v>4</v>
      </c>
      <c r="I1036" s="99">
        <f>((2*0.75)/0.075)+2</f>
        <v>22</v>
      </c>
      <c r="J1036" s="149">
        <f>C1037+D1039+E1037+2*8*G1036/1000</f>
        <v>0.73</v>
      </c>
      <c r="K1036" s="99"/>
      <c r="L1036" s="99">
        <v>4</v>
      </c>
      <c r="M1036" s="112">
        <f>2*G1036*L1036/1000</f>
        <v>0.08</v>
      </c>
      <c r="N1036" s="112">
        <f>(J1036+K1036-M1036)</f>
        <v>0.65</v>
      </c>
      <c r="O1036" s="112">
        <f>(H1036*I1036*N1036)</f>
        <v>57.2</v>
      </c>
      <c r="P1036" s="140" t="str">
        <f t="shared" si="170"/>
        <v/>
      </c>
      <c r="Q1036" s="140">
        <f t="shared" si="171"/>
        <v>57.2</v>
      </c>
      <c r="R1036" s="140" t="str">
        <f t="shared" si="172"/>
        <v/>
      </c>
      <c r="S1036" s="140" t="str">
        <f t="shared" si="173"/>
        <v/>
      </c>
      <c r="T1036" s="140" t="str">
        <f t="shared" si="174"/>
        <v/>
      </c>
      <c r="U1036" s="140" t="str">
        <f t="shared" si="175"/>
        <v/>
      </c>
      <c r="V1036" s="99"/>
    </row>
    <row r="1037" spans="1:22">
      <c r="A1037" s="92"/>
      <c r="B1037" s="146"/>
      <c r="C1037" s="151">
        <v>0.17499999999999999</v>
      </c>
      <c r="D1037" s="137"/>
      <c r="E1037" s="138">
        <v>0.17499999999999999</v>
      </c>
      <c r="F1037" s="139"/>
      <c r="G1037" s="98"/>
      <c r="H1037" s="99"/>
      <c r="I1037" s="99"/>
      <c r="J1037" s="100"/>
      <c r="K1037" s="99"/>
      <c r="L1037" s="99"/>
      <c r="M1037" s="99"/>
      <c r="N1037" s="99"/>
      <c r="O1037" s="112"/>
      <c r="P1037" s="140" t="str">
        <f t="shared" si="170"/>
        <v/>
      </c>
      <c r="Q1037" s="140" t="str">
        <f t="shared" si="171"/>
        <v/>
      </c>
      <c r="R1037" s="140" t="str">
        <f t="shared" si="172"/>
        <v/>
      </c>
      <c r="S1037" s="140" t="str">
        <f t="shared" si="173"/>
        <v/>
      </c>
      <c r="T1037" s="140" t="str">
        <f t="shared" si="174"/>
        <v/>
      </c>
      <c r="U1037" s="140" t="str">
        <f t="shared" si="175"/>
        <v/>
      </c>
      <c r="V1037" s="99"/>
    </row>
    <row r="1038" spans="1:22">
      <c r="A1038" s="92"/>
      <c r="B1038" s="146"/>
      <c r="C1038" s="136"/>
      <c r="D1038" s="137"/>
      <c r="E1038" s="138"/>
      <c r="F1038" s="139"/>
      <c r="G1038" s="98"/>
      <c r="H1038" s="99"/>
      <c r="I1038" s="99"/>
      <c r="J1038" s="100"/>
      <c r="K1038" s="99"/>
      <c r="L1038" s="99"/>
      <c r="M1038" s="99"/>
      <c r="N1038" s="99"/>
      <c r="O1038" s="101"/>
      <c r="P1038" s="140" t="str">
        <f t="shared" si="170"/>
        <v/>
      </c>
      <c r="Q1038" s="140" t="str">
        <f t="shared" si="171"/>
        <v/>
      </c>
      <c r="R1038" s="140" t="str">
        <f t="shared" si="172"/>
        <v/>
      </c>
      <c r="S1038" s="140" t="str">
        <f t="shared" si="173"/>
        <v/>
      </c>
      <c r="T1038" s="140" t="str">
        <f t="shared" si="174"/>
        <v/>
      </c>
      <c r="U1038" s="140" t="str">
        <f t="shared" si="175"/>
        <v/>
      </c>
      <c r="V1038" s="99"/>
    </row>
    <row r="1039" spans="1:22">
      <c r="A1039" s="92"/>
      <c r="B1039" s="146"/>
      <c r="C1039" s="136"/>
      <c r="D1039" s="109">
        <f>0.3-0.08</f>
        <v>0.21999999999999997</v>
      </c>
      <c r="E1039" s="138"/>
      <c r="F1039" s="139"/>
      <c r="G1039" s="98"/>
      <c r="H1039" s="99"/>
      <c r="I1039" s="99"/>
      <c r="J1039" s="100"/>
      <c r="K1039" s="99"/>
      <c r="L1039" s="99"/>
      <c r="M1039" s="99"/>
      <c r="N1039" s="99"/>
      <c r="O1039" s="101"/>
      <c r="P1039" s="140" t="str">
        <f t="shared" si="170"/>
        <v/>
      </c>
      <c r="Q1039" s="140" t="str">
        <f t="shared" si="171"/>
        <v/>
      </c>
      <c r="R1039" s="140" t="str">
        <f t="shared" si="172"/>
        <v/>
      </c>
      <c r="S1039" s="140" t="str">
        <f t="shared" si="173"/>
        <v/>
      </c>
      <c r="T1039" s="140" t="str">
        <f t="shared" si="174"/>
        <v/>
      </c>
      <c r="U1039" s="140" t="str">
        <f t="shared" si="175"/>
        <v/>
      </c>
      <c r="V1039" s="99"/>
    </row>
    <row r="1040" spans="1:22">
      <c r="A1040" s="92"/>
      <c r="B1040" s="141"/>
      <c r="C1040" s="136"/>
      <c r="D1040" s="137"/>
      <c r="E1040" s="138"/>
      <c r="F1040" s="139"/>
      <c r="G1040" s="98"/>
      <c r="H1040" s="99"/>
      <c r="I1040" s="99"/>
      <c r="J1040" s="100"/>
      <c r="K1040" s="99"/>
      <c r="L1040" s="99"/>
      <c r="M1040" s="99"/>
      <c r="N1040" s="99"/>
      <c r="O1040" s="101"/>
      <c r="P1040" s="140" t="str">
        <f t="shared" si="170"/>
        <v/>
      </c>
      <c r="Q1040" s="140" t="str">
        <f t="shared" si="171"/>
        <v/>
      </c>
      <c r="R1040" s="140" t="str">
        <f t="shared" si="172"/>
        <v/>
      </c>
      <c r="S1040" s="140" t="str">
        <f t="shared" si="173"/>
        <v/>
      </c>
      <c r="T1040" s="140" t="str">
        <f t="shared" si="174"/>
        <v/>
      </c>
      <c r="U1040" s="140" t="str">
        <f t="shared" si="175"/>
        <v/>
      </c>
      <c r="V1040" s="99"/>
    </row>
    <row r="1041" spans="1:22">
      <c r="A1041" s="92"/>
      <c r="B1041" s="141"/>
      <c r="C1041" s="136"/>
      <c r="D1041" s="137"/>
      <c r="E1041" s="144">
        <v>0.08</v>
      </c>
      <c r="F1041" s="139"/>
      <c r="G1041" s="98"/>
      <c r="H1041" s="99"/>
      <c r="I1041" s="99"/>
      <c r="J1041" s="100"/>
      <c r="K1041" s="99"/>
      <c r="L1041" s="99"/>
      <c r="M1041" s="99"/>
      <c r="N1041" s="99"/>
      <c r="O1041" s="101"/>
      <c r="P1041" s="140" t="str">
        <f t="shared" si="170"/>
        <v/>
      </c>
      <c r="Q1041" s="140" t="str">
        <f t="shared" si="171"/>
        <v/>
      </c>
      <c r="R1041" s="140" t="str">
        <f t="shared" si="172"/>
        <v/>
      </c>
      <c r="S1041" s="140" t="str">
        <f t="shared" si="173"/>
        <v/>
      </c>
      <c r="T1041" s="140" t="str">
        <f t="shared" si="174"/>
        <v/>
      </c>
      <c r="U1041" s="140" t="str">
        <f t="shared" si="175"/>
        <v/>
      </c>
      <c r="V1041" s="99"/>
    </row>
    <row r="1042" spans="1:22">
      <c r="A1042" s="92"/>
      <c r="B1042" s="146" t="s">
        <v>390</v>
      </c>
      <c r="C1042" s="136"/>
      <c r="D1042" s="142">
        <f>0.3-0.08</f>
        <v>0.21999999999999997</v>
      </c>
      <c r="E1042" s="144"/>
      <c r="F1042" s="139"/>
      <c r="G1042" s="98">
        <v>10</v>
      </c>
      <c r="H1042" s="99">
        <v>4</v>
      </c>
      <c r="I1042" s="99">
        <f>((2*0.75)/0.075)+2</f>
        <v>22</v>
      </c>
      <c r="J1042" s="149">
        <f>D1042+E1041+E1043</f>
        <v>0.38</v>
      </c>
      <c r="K1042" s="99"/>
      <c r="L1042" s="99">
        <v>2</v>
      </c>
      <c r="M1042" s="112">
        <f>2*G1042*L1042/1000</f>
        <v>0.04</v>
      </c>
      <c r="N1042" s="112">
        <f>(J1042+K1042-M1042)</f>
        <v>0.34</v>
      </c>
      <c r="O1042" s="112">
        <f>(H1042*I1042*N1042)</f>
        <v>29.92</v>
      </c>
      <c r="P1042" s="140" t="str">
        <f t="shared" si="170"/>
        <v/>
      </c>
      <c r="Q1042" s="140">
        <f t="shared" si="171"/>
        <v>29.92</v>
      </c>
      <c r="R1042" s="140" t="str">
        <f t="shared" si="172"/>
        <v/>
      </c>
      <c r="S1042" s="140" t="str">
        <f t="shared" si="173"/>
        <v/>
      </c>
      <c r="T1042" s="140" t="str">
        <f t="shared" si="174"/>
        <v/>
      </c>
      <c r="U1042" s="140" t="str">
        <f t="shared" si="175"/>
        <v/>
      </c>
      <c r="V1042" s="99"/>
    </row>
    <row r="1043" spans="1:22">
      <c r="A1043" s="92"/>
      <c r="B1043" s="141"/>
      <c r="C1043" s="136"/>
      <c r="D1043" s="137"/>
      <c r="E1043" s="144">
        <v>0.08</v>
      </c>
      <c r="F1043" s="139"/>
      <c r="G1043" s="98"/>
      <c r="H1043" s="99"/>
      <c r="I1043" s="99"/>
      <c r="J1043" s="100"/>
      <c r="K1043" s="99"/>
      <c r="L1043" s="99"/>
      <c r="M1043" s="99"/>
      <c r="N1043" s="99"/>
      <c r="O1043" s="101"/>
      <c r="P1043" s="140" t="str">
        <f t="shared" si="170"/>
        <v/>
      </c>
      <c r="Q1043" s="140" t="str">
        <f t="shared" si="171"/>
        <v/>
      </c>
      <c r="R1043" s="140" t="str">
        <f t="shared" si="172"/>
        <v/>
      </c>
      <c r="S1043" s="140" t="str">
        <f t="shared" si="173"/>
        <v/>
      </c>
      <c r="T1043" s="140" t="str">
        <f t="shared" si="174"/>
        <v/>
      </c>
      <c r="U1043" s="140" t="str">
        <f t="shared" si="175"/>
        <v/>
      </c>
      <c r="V1043" s="99"/>
    </row>
    <row r="1044" spans="1:22">
      <c r="A1044" s="92"/>
      <c r="B1044" s="141"/>
      <c r="C1044" s="136"/>
      <c r="D1044" s="137"/>
      <c r="E1044" s="138"/>
      <c r="F1044" s="139"/>
      <c r="G1044" s="98"/>
      <c r="H1044" s="99"/>
      <c r="I1044" s="99"/>
      <c r="J1044" s="100"/>
      <c r="K1044" s="99"/>
      <c r="L1044" s="99"/>
      <c r="M1044" s="99"/>
      <c r="N1044" s="99"/>
      <c r="O1044" s="101"/>
      <c r="P1044" s="140" t="str">
        <f t="shared" si="170"/>
        <v/>
      </c>
      <c r="Q1044" s="140" t="str">
        <f t="shared" si="171"/>
        <v/>
      </c>
      <c r="R1044" s="140" t="str">
        <f t="shared" si="172"/>
        <v/>
      </c>
      <c r="S1044" s="140" t="str">
        <f t="shared" si="173"/>
        <v/>
      </c>
      <c r="T1044" s="140" t="str">
        <f t="shared" si="174"/>
        <v/>
      </c>
      <c r="U1044" s="140" t="str">
        <f t="shared" si="175"/>
        <v/>
      </c>
      <c r="V1044" s="99"/>
    </row>
    <row r="1045" spans="1:22">
      <c r="A1045" s="92"/>
      <c r="B1045" s="429" t="s">
        <v>645</v>
      </c>
      <c r="C1045" s="145">
        <v>0.08</v>
      </c>
      <c r="D1045" s="137"/>
      <c r="E1045" s="138"/>
      <c r="F1045" s="139"/>
      <c r="G1045" s="98"/>
      <c r="H1045" s="99"/>
      <c r="I1045" s="99"/>
      <c r="J1045" s="100"/>
      <c r="K1045" s="99"/>
      <c r="L1045" s="99"/>
      <c r="M1045" s="99"/>
      <c r="N1045" s="99"/>
      <c r="O1045" s="101"/>
      <c r="P1045" s="140" t="str">
        <f t="shared" si="170"/>
        <v/>
      </c>
      <c r="Q1045" s="140" t="str">
        <f t="shared" si="171"/>
        <v/>
      </c>
      <c r="R1045" s="140" t="str">
        <f t="shared" si="172"/>
        <v/>
      </c>
      <c r="S1045" s="140" t="str">
        <f t="shared" si="173"/>
        <v/>
      </c>
      <c r="T1045" s="140" t="str">
        <f t="shared" si="174"/>
        <v/>
      </c>
      <c r="U1045" s="140" t="str">
        <f t="shared" si="175"/>
        <v/>
      </c>
      <c r="V1045" s="99"/>
    </row>
    <row r="1046" spans="1:22">
      <c r="A1046" s="92"/>
      <c r="B1046" s="146" t="s">
        <v>382</v>
      </c>
      <c r="C1046" s="147"/>
      <c r="D1046" s="137"/>
      <c r="E1046" s="148">
        <f>0.75-0.08</f>
        <v>0.67</v>
      </c>
      <c r="F1046" s="139"/>
      <c r="G1046" s="98">
        <v>8</v>
      </c>
      <c r="H1046" s="99">
        <v>4</v>
      </c>
      <c r="I1046" s="111">
        <f>((1.68-2*0.75)/0.15)+1</f>
        <v>2.1999999999999997</v>
      </c>
      <c r="J1046" s="149">
        <f>2*(D1048+E1046)+2*8*G1046/1000</f>
        <v>1.9079999999999999</v>
      </c>
      <c r="K1046" s="99"/>
      <c r="L1046" s="99">
        <v>5</v>
      </c>
      <c r="M1046" s="112">
        <f>2*G1046*L1046/1000</f>
        <v>0.08</v>
      </c>
      <c r="N1046" s="112">
        <f>(J1046+K1046-M1046)</f>
        <v>1.8279999999999998</v>
      </c>
      <c r="O1046" s="112">
        <f>(H1046*I1046*N1046)</f>
        <v>16.086399999999998</v>
      </c>
      <c r="P1046" s="140">
        <f t="shared" si="170"/>
        <v>16.086399999999998</v>
      </c>
      <c r="Q1046" s="140" t="str">
        <f t="shared" si="171"/>
        <v/>
      </c>
      <c r="R1046" s="140" t="str">
        <f t="shared" si="172"/>
        <v/>
      </c>
      <c r="S1046" s="140" t="str">
        <f t="shared" si="173"/>
        <v/>
      </c>
      <c r="T1046" s="140" t="str">
        <f t="shared" si="174"/>
        <v/>
      </c>
      <c r="U1046" s="140" t="str">
        <f t="shared" si="175"/>
        <v/>
      </c>
      <c r="V1046" s="99"/>
    </row>
    <row r="1047" spans="1:22">
      <c r="A1047" s="92"/>
      <c r="B1047" s="146"/>
      <c r="C1047" s="136"/>
      <c r="D1047" s="137"/>
      <c r="E1047" s="150"/>
      <c r="F1047" s="139"/>
      <c r="G1047" s="98"/>
      <c r="H1047" s="99"/>
      <c r="I1047" s="99"/>
      <c r="J1047" s="100"/>
      <c r="K1047" s="99"/>
      <c r="L1047" s="99"/>
      <c r="M1047" s="99"/>
      <c r="N1047" s="99"/>
      <c r="O1047" s="112"/>
      <c r="P1047" s="140" t="str">
        <f t="shared" si="170"/>
        <v/>
      </c>
      <c r="Q1047" s="140" t="str">
        <f t="shared" si="171"/>
        <v/>
      </c>
      <c r="R1047" s="140" t="str">
        <f t="shared" si="172"/>
        <v/>
      </c>
      <c r="S1047" s="140" t="str">
        <f t="shared" si="173"/>
        <v/>
      </c>
      <c r="T1047" s="140" t="str">
        <f t="shared" si="174"/>
        <v/>
      </c>
      <c r="U1047" s="140" t="str">
        <f t="shared" si="175"/>
        <v/>
      </c>
      <c r="V1047" s="99"/>
    </row>
    <row r="1048" spans="1:22">
      <c r="A1048" s="92"/>
      <c r="B1048" s="146"/>
      <c r="C1048" s="136"/>
      <c r="D1048" s="109">
        <f>0.3-0.08</f>
        <v>0.21999999999999997</v>
      </c>
      <c r="E1048" s="138"/>
      <c r="F1048" s="139"/>
      <c r="G1048" s="98"/>
      <c r="H1048" s="99"/>
      <c r="I1048" s="99"/>
      <c r="J1048" s="100"/>
      <c r="K1048" s="99"/>
      <c r="L1048" s="99"/>
      <c r="M1048" s="99"/>
      <c r="N1048" s="99"/>
      <c r="O1048" s="112"/>
      <c r="P1048" s="140" t="str">
        <f t="shared" si="170"/>
        <v/>
      </c>
      <c r="Q1048" s="140" t="str">
        <f t="shared" si="171"/>
        <v/>
      </c>
      <c r="R1048" s="140" t="str">
        <f t="shared" si="172"/>
        <v/>
      </c>
      <c r="S1048" s="140" t="str">
        <f t="shared" si="173"/>
        <v/>
      </c>
      <c r="T1048" s="140" t="str">
        <f t="shared" si="174"/>
        <v/>
      </c>
      <c r="U1048" s="140" t="str">
        <f t="shared" si="175"/>
        <v/>
      </c>
      <c r="V1048" s="99"/>
    </row>
    <row r="1049" spans="1:22">
      <c r="A1049" s="92"/>
      <c r="B1049" s="141"/>
      <c r="C1049" s="136"/>
      <c r="D1049" s="137"/>
      <c r="E1049" s="138"/>
      <c r="F1049" s="139"/>
      <c r="G1049" s="98"/>
      <c r="H1049" s="99"/>
      <c r="I1049" s="99"/>
      <c r="J1049" s="100"/>
      <c r="K1049" s="99"/>
      <c r="L1049" s="99"/>
      <c r="M1049" s="99"/>
      <c r="N1049" s="99"/>
      <c r="O1049" s="112"/>
      <c r="P1049" s="140" t="str">
        <f t="shared" si="170"/>
        <v/>
      </c>
      <c r="Q1049" s="140" t="str">
        <f t="shared" si="171"/>
        <v/>
      </c>
      <c r="R1049" s="140" t="str">
        <f t="shared" si="172"/>
        <v/>
      </c>
      <c r="S1049" s="140" t="str">
        <f t="shared" si="173"/>
        <v/>
      </c>
      <c r="T1049" s="140" t="str">
        <f t="shared" si="174"/>
        <v/>
      </c>
      <c r="U1049" s="140" t="str">
        <f t="shared" si="175"/>
        <v/>
      </c>
      <c r="V1049" s="99"/>
    </row>
    <row r="1050" spans="1:22">
      <c r="A1050" s="92"/>
      <c r="B1050" s="92"/>
      <c r="C1050" s="145">
        <v>0.08</v>
      </c>
      <c r="D1050" s="137"/>
      <c r="E1050" s="138"/>
      <c r="F1050" s="139"/>
      <c r="G1050" s="98"/>
      <c r="H1050" s="99"/>
      <c r="I1050" s="99"/>
      <c r="J1050" s="100"/>
      <c r="K1050" s="99"/>
      <c r="L1050" s="99"/>
      <c r="M1050" s="99"/>
      <c r="N1050" s="99"/>
      <c r="O1050" s="112"/>
      <c r="P1050" s="140" t="str">
        <f t="shared" si="170"/>
        <v/>
      </c>
      <c r="Q1050" s="140" t="str">
        <f t="shared" si="171"/>
        <v/>
      </c>
      <c r="R1050" s="140" t="str">
        <f t="shared" si="172"/>
        <v/>
      </c>
      <c r="S1050" s="140" t="str">
        <f t="shared" si="173"/>
        <v/>
      </c>
      <c r="T1050" s="140" t="str">
        <f t="shared" si="174"/>
        <v/>
      </c>
      <c r="U1050" s="140" t="str">
        <f t="shared" si="175"/>
        <v/>
      </c>
      <c r="V1050" s="99"/>
    </row>
    <row r="1051" spans="1:22">
      <c r="A1051" s="92"/>
      <c r="B1051" s="146" t="s">
        <v>383</v>
      </c>
      <c r="C1051" s="147"/>
      <c r="D1051" s="137"/>
      <c r="E1051" s="148">
        <f>(2*((0.75-0.08-0.016)/6))+0.012+0.02</f>
        <v>0.25</v>
      </c>
      <c r="F1051" s="139"/>
      <c r="G1051" s="98">
        <v>8</v>
      </c>
      <c r="H1051" s="99">
        <v>4</v>
      </c>
      <c r="I1051" s="111">
        <f>((1.68-2*0.75)/0.15)+1</f>
        <v>2.1999999999999997</v>
      </c>
      <c r="J1051" s="149">
        <f>2*(D1053+E1051)+2*8*G1051/1000</f>
        <v>1.0680000000000001</v>
      </c>
      <c r="K1051" s="99"/>
      <c r="L1051" s="99">
        <v>5</v>
      </c>
      <c r="M1051" s="112">
        <f>2*G1051*L1051/1000</f>
        <v>0.08</v>
      </c>
      <c r="N1051" s="112">
        <f>(J1051+K1051-M1051)</f>
        <v>0.9880000000000001</v>
      </c>
      <c r="O1051" s="112">
        <f>(H1051*I1051*N1051)</f>
        <v>8.6943999999999999</v>
      </c>
      <c r="P1051" s="140">
        <f t="shared" si="170"/>
        <v>8.6943999999999999</v>
      </c>
      <c r="Q1051" s="140" t="str">
        <f t="shared" si="171"/>
        <v/>
      </c>
      <c r="R1051" s="140" t="str">
        <f t="shared" si="172"/>
        <v/>
      </c>
      <c r="S1051" s="140" t="str">
        <f t="shared" si="173"/>
        <v/>
      </c>
      <c r="T1051" s="140" t="str">
        <f t="shared" si="174"/>
        <v/>
      </c>
      <c r="U1051" s="140" t="str">
        <f t="shared" si="175"/>
        <v/>
      </c>
      <c r="V1051" s="99"/>
    </row>
    <row r="1052" spans="1:22">
      <c r="A1052" s="92"/>
      <c r="B1052" s="146"/>
      <c r="C1052" s="136"/>
      <c r="D1052" s="137"/>
      <c r="E1052" s="150"/>
      <c r="F1052" s="139"/>
      <c r="G1052" s="98"/>
      <c r="H1052" s="99"/>
      <c r="I1052" s="99"/>
      <c r="J1052" s="100"/>
      <c r="K1052" s="99"/>
      <c r="L1052" s="99"/>
      <c r="M1052" s="99"/>
      <c r="N1052" s="99"/>
      <c r="O1052" s="112"/>
      <c r="P1052" s="140" t="str">
        <f t="shared" si="170"/>
        <v/>
      </c>
      <c r="Q1052" s="140" t="str">
        <f t="shared" si="171"/>
        <v/>
      </c>
      <c r="R1052" s="140" t="str">
        <f t="shared" si="172"/>
        <v/>
      </c>
      <c r="S1052" s="140" t="str">
        <f t="shared" si="173"/>
        <v/>
      </c>
      <c r="T1052" s="140" t="str">
        <f t="shared" si="174"/>
        <v/>
      </c>
      <c r="U1052" s="140" t="str">
        <f t="shared" si="175"/>
        <v/>
      </c>
      <c r="V1052" s="99"/>
    </row>
    <row r="1053" spans="1:22">
      <c r="A1053" s="92"/>
      <c r="B1053" s="146"/>
      <c r="C1053" s="136"/>
      <c r="D1053" s="109">
        <f>0.3-0.08</f>
        <v>0.21999999999999997</v>
      </c>
      <c r="E1053" s="138"/>
      <c r="F1053" s="139"/>
      <c r="G1053" s="98"/>
      <c r="H1053" s="99"/>
      <c r="I1053" s="99"/>
      <c r="J1053" s="100"/>
      <c r="K1053" s="99"/>
      <c r="L1053" s="99"/>
      <c r="M1053" s="99"/>
      <c r="N1053" s="99"/>
      <c r="O1053" s="112"/>
      <c r="P1053" s="140" t="str">
        <f t="shared" ref="P1053:P1067" si="179">IF($G1053=8,$O1053,"")</f>
        <v/>
      </c>
      <c r="Q1053" s="140" t="str">
        <f t="shared" ref="Q1053:Q1067" si="180">IF($G1053=10,$O1053,"")</f>
        <v/>
      </c>
      <c r="R1053" s="140" t="str">
        <f t="shared" ref="R1053:R1067" si="181">IF($G1053=12,$O1053,"")</f>
        <v/>
      </c>
      <c r="S1053" s="140" t="str">
        <f t="shared" ref="S1053:S1067" si="182">IF($G1053=16,$O1053,"")</f>
        <v/>
      </c>
      <c r="T1053" s="140" t="str">
        <f t="shared" ref="T1053:T1067" si="183">IF($G1053=20,$O1053,"")</f>
        <v/>
      </c>
      <c r="U1053" s="140" t="str">
        <f t="shared" ref="U1053:U1067" si="184">IF($G1053=25,$O1053,"")</f>
        <v/>
      </c>
      <c r="V1053" s="99"/>
    </row>
    <row r="1054" spans="1:22">
      <c r="A1054" s="92"/>
      <c r="B1054" s="146"/>
      <c r="C1054" s="136"/>
      <c r="D1054" s="137"/>
      <c r="E1054" s="138"/>
      <c r="F1054" s="139"/>
      <c r="G1054" s="98"/>
      <c r="H1054" s="99"/>
      <c r="I1054" s="99"/>
      <c r="J1054" s="100"/>
      <c r="K1054" s="99"/>
      <c r="L1054" s="99"/>
      <c r="M1054" s="99"/>
      <c r="N1054" s="99"/>
      <c r="O1054" s="112"/>
      <c r="P1054" s="140" t="str">
        <f t="shared" si="179"/>
        <v/>
      </c>
      <c r="Q1054" s="140" t="str">
        <f t="shared" si="180"/>
        <v/>
      </c>
      <c r="R1054" s="140" t="str">
        <f t="shared" si="181"/>
        <v/>
      </c>
      <c r="S1054" s="140" t="str">
        <f t="shared" si="182"/>
        <v/>
      </c>
      <c r="T1054" s="140" t="str">
        <f t="shared" si="183"/>
        <v/>
      </c>
      <c r="U1054" s="140" t="str">
        <f t="shared" si="184"/>
        <v/>
      </c>
      <c r="V1054" s="99"/>
    </row>
    <row r="1055" spans="1:22">
      <c r="A1055" s="92"/>
      <c r="B1055" s="146" t="s">
        <v>384</v>
      </c>
      <c r="C1055" s="136"/>
      <c r="D1055" s="142"/>
      <c r="E1055" s="138"/>
      <c r="F1055" s="139"/>
      <c r="G1055" s="98">
        <v>8</v>
      </c>
      <c r="H1055" s="99">
        <v>4</v>
      </c>
      <c r="I1055" s="111">
        <f>((1.68-2*0.75)/0.15)+1</f>
        <v>2.1999999999999997</v>
      </c>
      <c r="J1055" s="149">
        <f>C1056+D1058+E1056+2*8*G1055/1000</f>
        <v>0.69799999999999995</v>
      </c>
      <c r="K1055" s="99"/>
      <c r="L1055" s="99">
        <v>4</v>
      </c>
      <c r="M1055" s="112">
        <f>2*G1055*L1055/1000</f>
        <v>6.4000000000000001E-2</v>
      </c>
      <c r="N1055" s="112">
        <f>(J1055+K1055-M1055)</f>
        <v>0.6339999999999999</v>
      </c>
      <c r="O1055" s="112">
        <f>(H1055*I1055*N1055)</f>
        <v>5.5791999999999984</v>
      </c>
      <c r="P1055" s="140">
        <f t="shared" si="179"/>
        <v>5.5791999999999984</v>
      </c>
      <c r="Q1055" s="140" t="str">
        <f t="shared" si="180"/>
        <v/>
      </c>
      <c r="R1055" s="140" t="str">
        <f t="shared" si="181"/>
        <v/>
      </c>
      <c r="S1055" s="140" t="str">
        <f t="shared" si="182"/>
        <v/>
      </c>
      <c r="T1055" s="140" t="str">
        <f t="shared" si="183"/>
        <v/>
      </c>
      <c r="U1055" s="140" t="str">
        <f t="shared" si="184"/>
        <v/>
      </c>
      <c r="V1055" s="99"/>
    </row>
    <row r="1056" spans="1:22">
      <c r="A1056" s="92"/>
      <c r="B1056" s="146"/>
      <c r="C1056" s="151">
        <v>0.17499999999999999</v>
      </c>
      <c r="D1056" s="137"/>
      <c r="E1056" s="138">
        <v>0.17499999999999999</v>
      </c>
      <c r="F1056" s="139"/>
      <c r="G1056" s="98"/>
      <c r="H1056" s="99"/>
      <c r="I1056" s="99"/>
      <c r="J1056" s="100"/>
      <c r="K1056" s="99"/>
      <c r="L1056" s="99"/>
      <c r="M1056" s="99"/>
      <c r="N1056" s="99"/>
      <c r="O1056" s="112"/>
      <c r="P1056" s="140" t="str">
        <f>IF($G1056=8,$O1056,"")</f>
        <v/>
      </c>
      <c r="Q1056" s="140" t="str">
        <f>IF($G1056=10,$O1056,"")</f>
        <v/>
      </c>
      <c r="R1056" s="140" t="str">
        <f>IF($G1056=12,$O1056,"")</f>
        <v/>
      </c>
      <c r="S1056" s="140" t="str">
        <f>IF($G1056=16,$O1056,"")</f>
        <v/>
      </c>
      <c r="T1056" s="140" t="str">
        <f>IF($G1056=20,$O1056,"")</f>
        <v/>
      </c>
      <c r="U1056" s="140" t="str">
        <f>IF($G1056=25,$O1056,"")</f>
        <v/>
      </c>
      <c r="V1056" s="99"/>
    </row>
    <row r="1057" spans="1:22">
      <c r="A1057" s="92"/>
      <c r="B1057" s="146"/>
      <c r="C1057" s="136"/>
      <c r="D1057" s="137"/>
      <c r="E1057" s="138"/>
      <c r="F1057" s="139"/>
      <c r="G1057" s="98"/>
      <c r="H1057" s="99"/>
      <c r="I1057" s="99"/>
      <c r="J1057" s="100"/>
      <c r="K1057" s="99"/>
      <c r="L1057" s="99"/>
      <c r="M1057" s="99"/>
      <c r="N1057" s="99"/>
      <c r="O1057" s="112"/>
      <c r="P1057" s="140" t="str">
        <f t="shared" si="179"/>
        <v/>
      </c>
      <c r="Q1057" s="140" t="str">
        <f t="shared" si="180"/>
        <v/>
      </c>
      <c r="R1057" s="140" t="str">
        <f t="shared" si="181"/>
        <v/>
      </c>
      <c r="S1057" s="140" t="str">
        <f t="shared" si="182"/>
        <v/>
      </c>
      <c r="T1057" s="140" t="str">
        <f t="shared" si="183"/>
        <v/>
      </c>
      <c r="U1057" s="140" t="str">
        <f t="shared" si="184"/>
        <v/>
      </c>
      <c r="V1057" s="99"/>
    </row>
    <row r="1058" spans="1:22">
      <c r="A1058" s="92"/>
      <c r="B1058" s="146"/>
      <c r="C1058" s="136"/>
      <c r="D1058" s="109">
        <f>0.3-0.08</f>
        <v>0.21999999999999997</v>
      </c>
      <c r="E1058" s="138"/>
      <c r="F1058" s="139"/>
      <c r="G1058" s="98"/>
      <c r="H1058" s="99"/>
      <c r="I1058" s="99"/>
      <c r="J1058" s="100"/>
      <c r="K1058" s="99"/>
      <c r="L1058" s="99"/>
      <c r="M1058" s="99"/>
      <c r="N1058" s="99"/>
      <c r="O1058" s="112"/>
      <c r="P1058" s="140" t="str">
        <f t="shared" si="179"/>
        <v/>
      </c>
      <c r="Q1058" s="140" t="str">
        <f t="shared" si="180"/>
        <v/>
      </c>
      <c r="R1058" s="140" t="str">
        <f t="shared" si="181"/>
        <v/>
      </c>
      <c r="S1058" s="140" t="str">
        <f t="shared" si="182"/>
        <v/>
      </c>
      <c r="T1058" s="140" t="str">
        <f t="shared" si="183"/>
        <v/>
      </c>
      <c r="U1058" s="140" t="str">
        <f t="shared" si="184"/>
        <v/>
      </c>
      <c r="V1058" s="99"/>
    </row>
    <row r="1059" spans="1:22">
      <c r="A1059" s="92"/>
      <c r="B1059" s="146"/>
      <c r="C1059" s="136"/>
      <c r="D1059" s="137"/>
      <c r="E1059" s="138"/>
      <c r="F1059" s="139"/>
      <c r="G1059" s="98"/>
      <c r="H1059" s="99"/>
      <c r="I1059" s="99"/>
      <c r="J1059" s="100"/>
      <c r="K1059" s="99"/>
      <c r="L1059" s="99"/>
      <c r="M1059" s="99"/>
      <c r="N1059" s="99"/>
      <c r="O1059" s="112"/>
      <c r="P1059" s="140" t="str">
        <f t="shared" si="179"/>
        <v/>
      </c>
      <c r="Q1059" s="140" t="str">
        <f t="shared" si="180"/>
        <v/>
      </c>
      <c r="R1059" s="140" t="str">
        <f t="shared" si="181"/>
        <v/>
      </c>
      <c r="S1059" s="140" t="str">
        <f t="shared" si="182"/>
        <v/>
      </c>
      <c r="T1059" s="140" t="str">
        <f t="shared" si="183"/>
        <v/>
      </c>
      <c r="U1059" s="140" t="str">
        <f t="shared" si="184"/>
        <v/>
      </c>
      <c r="V1059" s="99"/>
    </row>
    <row r="1060" spans="1:22">
      <c r="A1060" s="92"/>
      <c r="B1060" s="146" t="s">
        <v>385</v>
      </c>
      <c r="C1060" s="136"/>
      <c r="D1060" s="142"/>
      <c r="E1060" s="138"/>
      <c r="F1060" s="139"/>
      <c r="G1060" s="98">
        <v>8</v>
      </c>
      <c r="H1060" s="99">
        <v>4</v>
      </c>
      <c r="I1060" s="111">
        <f>((1.68-2*0.75)/0.15)+1</f>
        <v>2.1999999999999997</v>
      </c>
      <c r="J1060" s="149">
        <f>C1061+D1063+E1061+2*8*G1060/1000</f>
        <v>0.69799999999999995</v>
      </c>
      <c r="K1060" s="99"/>
      <c r="L1060" s="99">
        <v>4</v>
      </c>
      <c r="M1060" s="112">
        <f>2*G1060*L1060/1000</f>
        <v>6.4000000000000001E-2</v>
      </c>
      <c r="N1060" s="112">
        <f>(J1060+K1060-M1060)</f>
        <v>0.6339999999999999</v>
      </c>
      <c r="O1060" s="112">
        <f>(H1060*I1060*N1060)</f>
        <v>5.5791999999999984</v>
      </c>
      <c r="P1060" s="140">
        <f t="shared" si="179"/>
        <v>5.5791999999999984</v>
      </c>
      <c r="Q1060" s="140" t="str">
        <f t="shared" si="180"/>
        <v/>
      </c>
      <c r="R1060" s="140" t="str">
        <f t="shared" si="181"/>
        <v/>
      </c>
      <c r="S1060" s="140" t="str">
        <f t="shared" si="182"/>
        <v/>
      </c>
      <c r="T1060" s="140" t="str">
        <f t="shared" si="183"/>
        <v/>
      </c>
      <c r="U1060" s="140" t="str">
        <f t="shared" si="184"/>
        <v/>
      </c>
      <c r="V1060" s="99"/>
    </row>
    <row r="1061" spans="1:22">
      <c r="A1061" s="92"/>
      <c r="B1061" s="146"/>
      <c r="C1061" s="151">
        <v>0.17499999999999999</v>
      </c>
      <c r="D1061" s="137"/>
      <c r="E1061" s="138">
        <v>0.17499999999999999</v>
      </c>
      <c r="F1061" s="139"/>
      <c r="G1061" s="98"/>
      <c r="H1061" s="99"/>
      <c r="I1061" s="99"/>
      <c r="J1061" s="100"/>
      <c r="K1061" s="99"/>
      <c r="L1061" s="99"/>
      <c r="M1061" s="99"/>
      <c r="N1061" s="99"/>
      <c r="O1061" s="112"/>
      <c r="P1061" s="140" t="str">
        <f t="shared" si="179"/>
        <v/>
      </c>
      <c r="Q1061" s="140" t="str">
        <f t="shared" si="180"/>
        <v/>
      </c>
      <c r="R1061" s="140" t="str">
        <f t="shared" si="181"/>
        <v/>
      </c>
      <c r="S1061" s="140" t="str">
        <f t="shared" si="182"/>
        <v/>
      </c>
      <c r="T1061" s="140" t="str">
        <f t="shared" si="183"/>
        <v/>
      </c>
      <c r="U1061" s="140" t="str">
        <f t="shared" si="184"/>
        <v/>
      </c>
      <c r="V1061" s="99"/>
    </row>
    <row r="1062" spans="1:22">
      <c r="A1062" s="92"/>
      <c r="B1062" s="146"/>
      <c r="C1062" s="136"/>
      <c r="D1062" s="137"/>
      <c r="E1062" s="138"/>
      <c r="F1062" s="139"/>
      <c r="G1062" s="98"/>
      <c r="H1062" s="99"/>
      <c r="I1062" s="99"/>
      <c r="J1062" s="100"/>
      <c r="K1062" s="99"/>
      <c r="L1062" s="99"/>
      <c r="M1062" s="99"/>
      <c r="N1062" s="99"/>
      <c r="O1062" s="101"/>
      <c r="P1062" s="140" t="str">
        <f t="shared" si="179"/>
        <v/>
      </c>
      <c r="Q1062" s="140" t="str">
        <f t="shared" si="180"/>
        <v/>
      </c>
      <c r="R1062" s="140" t="str">
        <f t="shared" si="181"/>
        <v/>
      </c>
      <c r="S1062" s="140" t="str">
        <f t="shared" si="182"/>
        <v/>
      </c>
      <c r="T1062" s="140" t="str">
        <f t="shared" si="183"/>
        <v/>
      </c>
      <c r="U1062" s="140" t="str">
        <f t="shared" si="184"/>
        <v/>
      </c>
      <c r="V1062" s="99"/>
    </row>
    <row r="1063" spans="1:22">
      <c r="A1063" s="92"/>
      <c r="B1063" s="146"/>
      <c r="C1063" s="136"/>
      <c r="D1063" s="109">
        <f>0.3-0.08</f>
        <v>0.21999999999999997</v>
      </c>
      <c r="E1063" s="138"/>
      <c r="F1063" s="139"/>
      <c r="G1063" s="98"/>
      <c r="H1063" s="99"/>
      <c r="I1063" s="99"/>
      <c r="J1063" s="100"/>
      <c r="K1063" s="99"/>
      <c r="L1063" s="99"/>
      <c r="M1063" s="99"/>
      <c r="N1063" s="99"/>
      <c r="O1063" s="101"/>
      <c r="P1063" s="140" t="str">
        <f t="shared" si="179"/>
        <v/>
      </c>
      <c r="Q1063" s="140" t="str">
        <f t="shared" si="180"/>
        <v/>
      </c>
      <c r="R1063" s="140" t="str">
        <f t="shared" si="181"/>
        <v/>
      </c>
      <c r="S1063" s="140" t="str">
        <f t="shared" si="182"/>
        <v/>
      </c>
      <c r="T1063" s="140" t="str">
        <f t="shared" si="183"/>
        <v/>
      </c>
      <c r="U1063" s="140" t="str">
        <f t="shared" si="184"/>
        <v/>
      </c>
      <c r="V1063" s="99"/>
    </row>
    <row r="1064" spans="1:22">
      <c r="A1064" s="92"/>
      <c r="B1064" s="141"/>
      <c r="C1064" s="136"/>
      <c r="D1064" s="137"/>
      <c r="E1064" s="138"/>
      <c r="F1064" s="139"/>
      <c r="G1064" s="98"/>
      <c r="H1064" s="99"/>
      <c r="I1064" s="99"/>
      <c r="J1064" s="100"/>
      <c r="K1064" s="99"/>
      <c r="L1064" s="99"/>
      <c r="M1064" s="99"/>
      <c r="N1064" s="99"/>
      <c r="O1064" s="101"/>
      <c r="P1064" s="140" t="str">
        <f t="shared" si="179"/>
        <v/>
      </c>
      <c r="Q1064" s="140" t="str">
        <f t="shared" si="180"/>
        <v/>
      </c>
      <c r="R1064" s="140" t="str">
        <f t="shared" si="181"/>
        <v/>
      </c>
      <c r="S1064" s="140" t="str">
        <f t="shared" si="182"/>
        <v/>
      </c>
      <c r="T1064" s="140" t="str">
        <f t="shared" si="183"/>
        <v/>
      </c>
      <c r="U1064" s="140" t="str">
        <f t="shared" si="184"/>
        <v/>
      </c>
      <c r="V1064" s="99"/>
    </row>
    <row r="1065" spans="1:22">
      <c r="A1065" s="92"/>
      <c r="B1065" s="141"/>
      <c r="C1065" s="136"/>
      <c r="D1065" s="137"/>
      <c r="E1065" s="144">
        <v>0.08</v>
      </c>
      <c r="F1065" s="139"/>
      <c r="G1065" s="98"/>
      <c r="H1065" s="99"/>
      <c r="I1065" s="99"/>
      <c r="J1065" s="100"/>
      <c r="K1065" s="99"/>
      <c r="L1065" s="99"/>
      <c r="M1065" s="99"/>
      <c r="N1065" s="99"/>
      <c r="O1065" s="101"/>
      <c r="P1065" s="140" t="str">
        <f t="shared" si="179"/>
        <v/>
      </c>
      <c r="Q1065" s="140" t="str">
        <f t="shared" si="180"/>
        <v/>
      </c>
      <c r="R1065" s="140" t="str">
        <f t="shared" si="181"/>
        <v/>
      </c>
      <c r="S1065" s="140" t="str">
        <f t="shared" si="182"/>
        <v/>
      </c>
      <c r="T1065" s="140" t="str">
        <f t="shared" si="183"/>
        <v/>
      </c>
      <c r="U1065" s="140" t="str">
        <f t="shared" si="184"/>
        <v/>
      </c>
      <c r="V1065" s="99"/>
    </row>
    <row r="1066" spans="1:22">
      <c r="A1066" s="92"/>
      <c r="B1066" s="146" t="s">
        <v>390</v>
      </c>
      <c r="C1066" s="136"/>
      <c r="D1066" s="142">
        <f>0.3-0.08</f>
        <v>0.21999999999999997</v>
      </c>
      <c r="E1066" s="144"/>
      <c r="F1066" s="139"/>
      <c r="G1066" s="98">
        <v>8</v>
      </c>
      <c r="H1066" s="99">
        <v>4</v>
      </c>
      <c r="I1066" s="111">
        <f>((1.68-2*0.75)/0.15)+1</f>
        <v>2.1999999999999997</v>
      </c>
      <c r="J1066" s="149">
        <f>D1066+E1065+E1067</f>
        <v>0.38</v>
      </c>
      <c r="K1066" s="99"/>
      <c r="L1066" s="99">
        <v>2</v>
      </c>
      <c r="M1066" s="112">
        <f>2*G1066*L1066/1000</f>
        <v>3.2000000000000001E-2</v>
      </c>
      <c r="N1066" s="112">
        <f>(J1066+K1066-M1066)</f>
        <v>0.34799999999999998</v>
      </c>
      <c r="O1066" s="112">
        <f>(H1066*I1066*N1066)</f>
        <v>3.0623999999999993</v>
      </c>
      <c r="P1066" s="140">
        <f t="shared" si="179"/>
        <v>3.0623999999999993</v>
      </c>
      <c r="Q1066" s="140" t="str">
        <f t="shared" si="180"/>
        <v/>
      </c>
      <c r="R1066" s="140" t="str">
        <f t="shared" si="181"/>
        <v/>
      </c>
      <c r="S1066" s="140" t="str">
        <f t="shared" si="182"/>
        <v/>
      </c>
      <c r="T1066" s="140" t="str">
        <f t="shared" si="183"/>
        <v/>
      </c>
      <c r="U1066" s="140" t="str">
        <f t="shared" si="184"/>
        <v/>
      </c>
      <c r="V1066" s="99"/>
    </row>
    <row r="1067" spans="1:22">
      <c r="A1067" s="92"/>
      <c r="B1067" s="141"/>
      <c r="C1067" s="136"/>
      <c r="D1067" s="137"/>
      <c r="E1067" s="144">
        <v>0.08</v>
      </c>
      <c r="F1067" s="139"/>
      <c r="G1067" s="98"/>
      <c r="H1067" s="99"/>
      <c r="I1067" s="99"/>
      <c r="J1067" s="100"/>
      <c r="K1067" s="99"/>
      <c r="L1067" s="99"/>
      <c r="M1067" s="99"/>
      <c r="N1067" s="99"/>
      <c r="O1067" s="101"/>
      <c r="P1067" s="140" t="str">
        <f t="shared" si="179"/>
        <v/>
      </c>
      <c r="Q1067" s="140" t="str">
        <f t="shared" si="180"/>
        <v/>
      </c>
      <c r="R1067" s="140" t="str">
        <f t="shared" si="181"/>
        <v/>
      </c>
      <c r="S1067" s="140" t="str">
        <f t="shared" si="182"/>
        <v/>
      </c>
      <c r="T1067" s="140" t="str">
        <f t="shared" si="183"/>
        <v/>
      </c>
      <c r="U1067" s="140" t="str">
        <f t="shared" si="184"/>
        <v/>
      </c>
      <c r="V1067" s="99"/>
    </row>
    <row r="1068" spans="1:22">
      <c r="A1068" s="92"/>
      <c r="B1068" s="146"/>
      <c r="C1068" s="136"/>
      <c r="D1068" s="152"/>
      <c r="E1068" s="138"/>
      <c r="F1068" s="139"/>
      <c r="G1068" s="98"/>
      <c r="H1068" s="99"/>
      <c r="I1068" s="99"/>
      <c r="J1068" s="100"/>
      <c r="K1068" s="99"/>
      <c r="L1068" s="99"/>
      <c r="M1068" s="99"/>
      <c r="N1068" s="99"/>
      <c r="O1068" s="101"/>
      <c r="P1068" s="140" t="str">
        <f t="shared" si="105"/>
        <v/>
      </c>
      <c r="Q1068" s="140" t="str">
        <f t="shared" si="106"/>
        <v/>
      </c>
      <c r="R1068" s="140" t="str">
        <f t="shared" si="107"/>
        <v/>
      </c>
      <c r="S1068" s="140" t="str">
        <f t="shared" si="108"/>
        <v/>
      </c>
      <c r="T1068" s="140" t="str">
        <f t="shared" si="109"/>
        <v/>
      </c>
      <c r="U1068" s="140" t="str">
        <f t="shared" si="110"/>
        <v/>
      </c>
      <c r="V1068" s="99"/>
    </row>
    <row r="1069" spans="1:22">
      <c r="A1069" s="92">
        <v>6</v>
      </c>
      <c r="B1069" s="92" t="s">
        <v>392</v>
      </c>
      <c r="C1069" s="136"/>
      <c r="D1069" s="137"/>
      <c r="E1069" s="138"/>
      <c r="F1069" s="139"/>
      <c r="G1069" s="98"/>
      <c r="H1069" s="99"/>
      <c r="I1069" s="99"/>
      <c r="J1069" s="109"/>
      <c r="K1069" s="112"/>
      <c r="L1069" s="112"/>
      <c r="M1069" s="99"/>
      <c r="N1069" s="112"/>
      <c r="O1069" s="112"/>
      <c r="P1069" s="140" t="str">
        <f>IF($G1069=8,$O1069,"")</f>
        <v/>
      </c>
      <c r="Q1069" s="140" t="str">
        <f>IF($G1069=10,$O1069,"")</f>
        <v/>
      </c>
      <c r="R1069" s="140" t="str">
        <f>IF($G1069=12,$O1069,"")</f>
        <v/>
      </c>
      <c r="S1069" s="140" t="str">
        <f>IF($G1069=16,$O1069,"")</f>
        <v/>
      </c>
      <c r="T1069" s="140" t="str">
        <f>IF($G1069=20,$O1069,"")</f>
        <v/>
      </c>
      <c r="U1069" s="140" t="str">
        <f>IF($G1069=25,$O1069,"")</f>
        <v/>
      </c>
      <c r="V1069" s="99"/>
    </row>
    <row r="1070" spans="1:22">
      <c r="A1070" s="92"/>
      <c r="B1070" s="141" t="s">
        <v>378</v>
      </c>
      <c r="C1070" s="136"/>
      <c r="D1070" s="142">
        <v>1.48</v>
      </c>
      <c r="E1070" s="138"/>
      <c r="F1070" s="139"/>
      <c r="G1070" s="98">
        <v>16</v>
      </c>
      <c r="H1070" s="99">
        <v>14</v>
      </c>
      <c r="I1070" s="99">
        <v>4</v>
      </c>
      <c r="J1070" s="109">
        <f>D1070</f>
        <v>1.48</v>
      </c>
      <c r="K1070" s="110" t="str">
        <f>IF(N1070&lt;12,"0",0.049*G1070)</f>
        <v>0</v>
      </c>
      <c r="L1070" s="111">
        <v>0</v>
      </c>
      <c r="M1070" s="99">
        <f>2*G1070*L1070/1000</f>
        <v>0</v>
      </c>
      <c r="N1070" s="112">
        <f>J1070-M1070</f>
        <v>1.48</v>
      </c>
      <c r="O1070" s="112">
        <f>H1070*I1070*N1070</f>
        <v>82.88</v>
      </c>
      <c r="P1070" s="140" t="str">
        <f t="shared" si="105"/>
        <v/>
      </c>
      <c r="Q1070" s="140" t="str">
        <f t="shared" si="106"/>
        <v/>
      </c>
      <c r="R1070" s="140" t="str">
        <f t="shared" si="107"/>
        <v/>
      </c>
      <c r="S1070" s="140">
        <f t="shared" si="108"/>
        <v>82.88</v>
      </c>
      <c r="T1070" s="140" t="str">
        <f t="shared" si="109"/>
        <v/>
      </c>
      <c r="U1070" s="140" t="str">
        <f t="shared" si="110"/>
        <v/>
      </c>
      <c r="V1070" s="99"/>
    </row>
    <row r="1071" spans="1:22">
      <c r="A1071" s="92"/>
      <c r="B1071" s="141" t="s">
        <v>379</v>
      </c>
      <c r="C1071" s="136"/>
      <c r="D1071" s="137"/>
      <c r="E1071" s="138"/>
      <c r="F1071" s="139"/>
      <c r="G1071" s="98">
        <v>12</v>
      </c>
      <c r="H1071" s="99">
        <v>14</v>
      </c>
      <c r="I1071" s="99">
        <v>2</v>
      </c>
      <c r="J1071" s="109">
        <f>D1070</f>
        <v>1.48</v>
      </c>
      <c r="K1071" s="110" t="str">
        <f t="shared" ref="K1071:K1074" si="185">IF(N1071&lt;12,"0",0.049*G1071)</f>
        <v>0</v>
      </c>
      <c r="L1071" s="111">
        <v>0</v>
      </c>
      <c r="M1071" s="99">
        <f t="shared" ref="M1071:M1074" si="186">2*G1071*L1071/1000</f>
        <v>0</v>
      </c>
      <c r="N1071" s="112">
        <f t="shared" ref="N1071:N1074" si="187">J1071-M1071</f>
        <v>1.48</v>
      </c>
      <c r="O1071" s="112">
        <f>H1071*I1071*N1071</f>
        <v>41.44</v>
      </c>
      <c r="P1071" s="140" t="str">
        <f t="shared" si="105"/>
        <v/>
      </c>
      <c r="Q1071" s="140" t="str">
        <f t="shared" si="106"/>
        <v/>
      </c>
      <c r="R1071" s="140">
        <f t="shared" si="107"/>
        <v>41.44</v>
      </c>
      <c r="S1071" s="140" t="str">
        <f t="shared" si="108"/>
        <v/>
      </c>
      <c r="T1071" s="140" t="str">
        <f t="shared" si="109"/>
        <v/>
      </c>
      <c r="U1071" s="140" t="str">
        <f t="shared" si="110"/>
        <v/>
      </c>
      <c r="V1071" s="99"/>
    </row>
    <row r="1072" spans="1:22">
      <c r="A1072" s="92"/>
      <c r="B1072" s="141" t="s">
        <v>380</v>
      </c>
      <c r="C1072" s="143"/>
      <c r="D1072" s="142"/>
      <c r="E1072" s="144"/>
      <c r="F1072" s="139"/>
      <c r="G1072" s="98">
        <v>12</v>
      </c>
      <c r="H1072" s="99">
        <v>14</v>
      </c>
      <c r="I1072" s="99">
        <v>4</v>
      </c>
      <c r="J1072" s="109">
        <f>D1070</f>
        <v>1.48</v>
      </c>
      <c r="K1072" s="110" t="str">
        <f t="shared" si="185"/>
        <v>0</v>
      </c>
      <c r="L1072" s="111">
        <v>0</v>
      </c>
      <c r="M1072" s="99">
        <f t="shared" si="186"/>
        <v>0</v>
      </c>
      <c r="N1072" s="112">
        <f t="shared" si="187"/>
        <v>1.48</v>
      </c>
      <c r="O1072" s="112">
        <f>H1072*I1072*N1072</f>
        <v>82.88</v>
      </c>
      <c r="P1072" s="140" t="str">
        <f t="shared" si="105"/>
        <v/>
      </c>
      <c r="Q1072" s="140" t="str">
        <f t="shared" si="106"/>
        <v/>
      </c>
      <c r="R1072" s="140">
        <f t="shared" si="107"/>
        <v>82.88</v>
      </c>
      <c r="S1072" s="140" t="str">
        <f t="shared" si="108"/>
        <v/>
      </c>
      <c r="T1072" s="140" t="str">
        <f t="shared" si="109"/>
        <v/>
      </c>
      <c r="U1072" s="140" t="str">
        <f t="shared" si="110"/>
        <v/>
      </c>
      <c r="V1072" s="99"/>
    </row>
    <row r="1073" spans="1:22">
      <c r="A1073" s="92"/>
      <c r="B1073" s="141" t="s">
        <v>381</v>
      </c>
      <c r="C1073" s="136"/>
      <c r="D1073" s="137"/>
      <c r="E1073" s="138"/>
      <c r="F1073" s="139"/>
      <c r="G1073" s="98">
        <v>12</v>
      </c>
      <c r="H1073" s="99">
        <v>14</v>
      </c>
      <c r="I1073" s="99">
        <v>4</v>
      </c>
      <c r="J1073" s="109">
        <f>D1070</f>
        <v>1.48</v>
      </c>
      <c r="K1073" s="110" t="str">
        <f t="shared" si="185"/>
        <v>0</v>
      </c>
      <c r="L1073" s="111">
        <v>0</v>
      </c>
      <c r="M1073" s="99">
        <f t="shared" si="186"/>
        <v>0</v>
      </c>
      <c r="N1073" s="112">
        <f t="shared" si="187"/>
        <v>1.48</v>
      </c>
      <c r="O1073" s="112">
        <f>H1073*I1073*N1073</f>
        <v>82.88</v>
      </c>
      <c r="P1073" s="140" t="str">
        <f t="shared" si="105"/>
        <v/>
      </c>
      <c r="Q1073" s="140" t="str">
        <f t="shared" si="106"/>
        <v/>
      </c>
      <c r="R1073" s="140">
        <f t="shared" si="107"/>
        <v>82.88</v>
      </c>
      <c r="S1073" s="140" t="str">
        <f t="shared" si="108"/>
        <v/>
      </c>
      <c r="T1073" s="140" t="str">
        <f t="shared" si="109"/>
        <v/>
      </c>
      <c r="U1073" s="140" t="str">
        <f t="shared" si="110"/>
        <v/>
      </c>
      <c r="V1073" s="99"/>
    </row>
    <row r="1074" spans="1:22">
      <c r="A1074" s="92"/>
      <c r="B1074" s="141" t="s">
        <v>389</v>
      </c>
      <c r="C1074" s="136"/>
      <c r="D1074" s="137"/>
      <c r="E1074" s="138"/>
      <c r="F1074" s="139"/>
      <c r="G1074" s="98">
        <v>12</v>
      </c>
      <c r="H1074" s="99">
        <v>14</v>
      </c>
      <c r="I1074" s="99">
        <v>2</v>
      </c>
      <c r="J1074" s="109">
        <f>D1070</f>
        <v>1.48</v>
      </c>
      <c r="K1074" s="110" t="str">
        <f t="shared" si="185"/>
        <v>0</v>
      </c>
      <c r="L1074" s="111">
        <v>0</v>
      </c>
      <c r="M1074" s="99">
        <f t="shared" si="186"/>
        <v>0</v>
      </c>
      <c r="N1074" s="112">
        <f t="shared" si="187"/>
        <v>1.48</v>
      </c>
      <c r="O1074" s="112">
        <f>H1074*I1074*N1074</f>
        <v>41.44</v>
      </c>
      <c r="P1074" s="140" t="str">
        <f t="shared" si="105"/>
        <v/>
      </c>
      <c r="Q1074" s="140" t="str">
        <f t="shared" si="106"/>
        <v/>
      </c>
      <c r="R1074" s="140">
        <f t="shared" si="107"/>
        <v>41.44</v>
      </c>
      <c r="S1074" s="140" t="str">
        <f t="shared" si="108"/>
        <v/>
      </c>
      <c r="T1074" s="140" t="str">
        <f t="shared" si="109"/>
        <v/>
      </c>
      <c r="U1074" s="140" t="str">
        <f t="shared" si="110"/>
        <v/>
      </c>
      <c r="V1074" s="99"/>
    </row>
    <row r="1075" spans="1:22">
      <c r="A1075" s="92"/>
      <c r="B1075" s="141"/>
      <c r="C1075" s="136"/>
      <c r="D1075" s="137"/>
      <c r="E1075" s="138"/>
      <c r="F1075" s="139"/>
      <c r="G1075" s="98"/>
      <c r="H1075" s="99"/>
      <c r="I1075" s="99"/>
      <c r="J1075" s="100"/>
      <c r="K1075" s="99"/>
      <c r="L1075" s="99"/>
      <c r="M1075" s="99"/>
      <c r="N1075" s="99"/>
      <c r="O1075" s="101"/>
      <c r="P1075" s="140" t="str">
        <f t="shared" si="105"/>
        <v/>
      </c>
      <c r="Q1075" s="140" t="str">
        <f t="shared" si="106"/>
        <v/>
      </c>
      <c r="R1075" s="140" t="str">
        <f t="shared" si="107"/>
        <v/>
      </c>
      <c r="S1075" s="140" t="str">
        <f t="shared" si="108"/>
        <v/>
      </c>
      <c r="T1075" s="140" t="str">
        <f t="shared" si="109"/>
        <v/>
      </c>
      <c r="U1075" s="140" t="str">
        <f t="shared" si="110"/>
        <v/>
      </c>
      <c r="V1075" s="99"/>
    </row>
    <row r="1076" spans="1:22">
      <c r="A1076" s="92"/>
      <c r="B1076" s="429" t="s">
        <v>644</v>
      </c>
      <c r="C1076" s="145">
        <v>0.08</v>
      </c>
      <c r="D1076" s="137"/>
      <c r="E1076" s="138"/>
      <c r="F1076" s="139"/>
      <c r="G1076" s="98"/>
      <c r="H1076" s="99"/>
      <c r="I1076" s="99"/>
      <c r="J1076" s="100"/>
      <c r="K1076" s="99"/>
      <c r="L1076" s="99"/>
      <c r="M1076" s="99"/>
      <c r="N1076" s="99"/>
      <c r="O1076" s="101"/>
      <c r="P1076" s="140" t="str">
        <f t="shared" si="105"/>
        <v/>
      </c>
      <c r="Q1076" s="140" t="str">
        <f t="shared" si="106"/>
        <v/>
      </c>
      <c r="R1076" s="140" t="str">
        <f t="shared" si="107"/>
        <v/>
      </c>
      <c r="S1076" s="140" t="str">
        <f t="shared" si="108"/>
        <v/>
      </c>
      <c r="T1076" s="140" t="str">
        <f t="shared" si="109"/>
        <v/>
      </c>
      <c r="U1076" s="140" t="str">
        <f t="shared" si="110"/>
        <v/>
      </c>
      <c r="V1076" s="99"/>
    </row>
    <row r="1077" spans="1:22">
      <c r="A1077" s="92"/>
      <c r="B1077" s="146" t="s">
        <v>382</v>
      </c>
      <c r="C1077" s="147"/>
      <c r="D1077" s="137"/>
      <c r="E1077" s="148">
        <f>0.715-0.08</f>
        <v>0.63500000000000001</v>
      </c>
      <c r="F1077" s="139"/>
      <c r="G1077" s="98">
        <v>10</v>
      </c>
      <c r="H1077" s="99">
        <v>14</v>
      </c>
      <c r="I1077" s="111">
        <f>((2*0.715)/0.075)+2</f>
        <v>21.066666666666666</v>
      </c>
      <c r="J1077" s="149">
        <f>2*(D1079+E1077)+2*8*G1077/1000</f>
        <v>1.8699999999999999</v>
      </c>
      <c r="K1077" s="99"/>
      <c r="L1077" s="99">
        <v>5</v>
      </c>
      <c r="M1077" s="112">
        <f>2*G1077*L1077/1000</f>
        <v>0.1</v>
      </c>
      <c r="N1077" s="112">
        <f>(J1077+K1077-M1077)</f>
        <v>1.7699999999999998</v>
      </c>
      <c r="O1077" s="112">
        <f>(H1077*I1077*N1077)</f>
        <v>522.03199999999993</v>
      </c>
      <c r="P1077" s="140" t="str">
        <f t="shared" si="105"/>
        <v/>
      </c>
      <c r="Q1077" s="140">
        <f t="shared" si="106"/>
        <v>522.03199999999993</v>
      </c>
      <c r="R1077" s="140" t="str">
        <f t="shared" si="107"/>
        <v/>
      </c>
      <c r="S1077" s="140" t="str">
        <f t="shared" si="108"/>
        <v/>
      </c>
      <c r="T1077" s="140" t="str">
        <f t="shared" si="109"/>
        <v/>
      </c>
      <c r="U1077" s="140" t="str">
        <f t="shared" si="110"/>
        <v/>
      </c>
      <c r="V1077" s="99"/>
    </row>
    <row r="1078" spans="1:22">
      <c r="A1078" s="92"/>
      <c r="B1078" s="146"/>
      <c r="C1078" s="136"/>
      <c r="D1078" s="137"/>
      <c r="E1078" s="150"/>
      <c r="F1078" s="139"/>
      <c r="G1078" s="98"/>
      <c r="H1078" s="99"/>
      <c r="I1078" s="99"/>
      <c r="J1078" s="100"/>
      <c r="K1078" s="99"/>
      <c r="L1078" s="99"/>
      <c r="M1078" s="99"/>
      <c r="N1078" s="99"/>
      <c r="O1078" s="112"/>
      <c r="P1078" s="140" t="str">
        <f t="shared" si="105"/>
        <v/>
      </c>
      <c r="Q1078" s="140" t="str">
        <f t="shared" si="106"/>
        <v/>
      </c>
      <c r="R1078" s="140" t="str">
        <f t="shared" si="107"/>
        <v/>
      </c>
      <c r="S1078" s="140" t="str">
        <f t="shared" si="108"/>
        <v/>
      </c>
      <c r="T1078" s="140" t="str">
        <f t="shared" si="109"/>
        <v/>
      </c>
      <c r="U1078" s="140" t="str">
        <f t="shared" si="110"/>
        <v/>
      </c>
      <c r="V1078" s="99"/>
    </row>
    <row r="1079" spans="1:22">
      <c r="A1079" s="92"/>
      <c r="B1079" s="146"/>
      <c r="C1079" s="136"/>
      <c r="D1079" s="109">
        <f>0.3-0.08</f>
        <v>0.21999999999999997</v>
      </c>
      <c r="E1079" s="138"/>
      <c r="F1079" s="139"/>
      <c r="G1079" s="98"/>
      <c r="H1079" s="99"/>
      <c r="I1079" s="99"/>
      <c r="J1079" s="100"/>
      <c r="K1079" s="99"/>
      <c r="L1079" s="99"/>
      <c r="M1079" s="99"/>
      <c r="N1079" s="99"/>
      <c r="O1079" s="112"/>
      <c r="P1079" s="140" t="str">
        <f t="shared" si="105"/>
        <v/>
      </c>
      <c r="Q1079" s="140" t="str">
        <f t="shared" si="106"/>
        <v/>
      </c>
      <c r="R1079" s="140" t="str">
        <f t="shared" si="107"/>
        <v/>
      </c>
      <c r="S1079" s="140" t="str">
        <f t="shared" si="108"/>
        <v/>
      </c>
      <c r="T1079" s="140" t="str">
        <f t="shared" si="109"/>
        <v/>
      </c>
      <c r="U1079" s="140" t="str">
        <f t="shared" si="110"/>
        <v/>
      </c>
      <c r="V1079" s="99"/>
    </row>
    <row r="1080" spans="1:22">
      <c r="A1080" s="92"/>
      <c r="B1080" s="141"/>
      <c r="C1080" s="136"/>
      <c r="D1080" s="137"/>
      <c r="E1080" s="138"/>
      <c r="F1080" s="139"/>
      <c r="G1080" s="98"/>
      <c r="H1080" s="99"/>
      <c r="I1080" s="99"/>
      <c r="J1080" s="100"/>
      <c r="K1080" s="99"/>
      <c r="L1080" s="99"/>
      <c r="M1080" s="99"/>
      <c r="N1080" s="99"/>
      <c r="O1080" s="112"/>
      <c r="P1080" s="140" t="str">
        <f t="shared" si="105"/>
        <v/>
      </c>
      <c r="Q1080" s="140" t="str">
        <f t="shared" si="106"/>
        <v/>
      </c>
      <c r="R1080" s="140" t="str">
        <f t="shared" si="107"/>
        <v/>
      </c>
      <c r="S1080" s="140" t="str">
        <f t="shared" si="108"/>
        <v/>
      </c>
      <c r="T1080" s="140" t="str">
        <f t="shared" si="109"/>
        <v/>
      </c>
      <c r="U1080" s="140" t="str">
        <f t="shared" si="110"/>
        <v/>
      </c>
      <c r="V1080" s="99"/>
    </row>
    <row r="1081" spans="1:22">
      <c r="A1081" s="92"/>
      <c r="B1081" s="92"/>
      <c r="C1081" s="145">
        <v>0.08</v>
      </c>
      <c r="D1081" s="137"/>
      <c r="E1081" s="138"/>
      <c r="F1081" s="139"/>
      <c r="G1081" s="98"/>
      <c r="H1081" s="99"/>
      <c r="I1081" s="99"/>
      <c r="J1081" s="100"/>
      <c r="K1081" s="99"/>
      <c r="L1081" s="99"/>
      <c r="M1081" s="99"/>
      <c r="N1081" s="99"/>
      <c r="O1081" s="112"/>
      <c r="P1081" s="140" t="str">
        <f t="shared" si="105"/>
        <v/>
      </c>
      <c r="Q1081" s="140" t="str">
        <f t="shared" si="106"/>
        <v/>
      </c>
      <c r="R1081" s="140" t="str">
        <f t="shared" si="107"/>
        <v/>
      </c>
      <c r="S1081" s="140" t="str">
        <f t="shared" si="108"/>
        <v/>
      </c>
      <c r="T1081" s="140" t="str">
        <f t="shared" si="109"/>
        <v/>
      </c>
      <c r="U1081" s="140" t="str">
        <f t="shared" si="110"/>
        <v/>
      </c>
      <c r="V1081" s="99"/>
    </row>
    <row r="1082" spans="1:22">
      <c r="A1082" s="92"/>
      <c r="B1082" s="146" t="s">
        <v>383</v>
      </c>
      <c r="C1082" s="147"/>
      <c r="D1082" s="137"/>
      <c r="E1082" s="148">
        <f>(2*((0.715-0.08-0.016)/6))+0.012+0.02</f>
        <v>0.23833333333333334</v>
      </c>
      <c r="F1082" s="139"/>
      <c r="G1082" s="98">
        <v>10</v>
      </c>
      <c r="H1082" s="99">
        <v>14</v>
      </c>
      <c r="I1082" s="111">
        <f>((2*0.715)/0.075)+2</f>
        <v>21.066666666666666</v>
      </c>
      <c r="J1082" s="149">
        <f>2*(D1084+E1082)+2*8*G1082/1000</f>
        <v>1.0766666666666667</v>
      </c>
      <c r="K1082" s="99"/>
      <c r="L1082" s="99">
        <v>5</v>
      </c>
      <c r="M1082" s="112">
        <f>2*G1082*L1082/1000</f>
        <v>0.1</v>
      </c>
      <c r="N1082" s="112">
        <f>(J1082+K1082-M1082)</f>
        <v>0.97666666666666668</v>
      </c>
      <c r="O1082" s="112">
        <f>(H1082*I1082*N1082)</f>
        <v>288.05155555555558</v>
      </c>
      <c r="P1082" s="140" t="str">
        <f t="shared" si="105"/>
        <v/>
      </c>
      <c r="Q1082" s="140">
        <f t="shared" si="106"/>
        <v>288.05155555555558</v>
      </c>
      <c r="R1082" s="140" t="str">
        <f t="shared" si="107"/>
        <v/>
      </c>
      <c r="S1082" s="140" t="str">
        <f t="shared" si="108"/>
        <v/>
      </c>
      <c r="T1082" s="140" t="str">
        <f t="shared" si="109"/>
        <v/>
      </c>
      <c r="U1082" s="140" t="str">
        <f t="shared" si="110"/>
        <v/>
      </c>
      <c r="V1082" s="99"/>
    </row>
    <row r="1083" spans="1:22">
      <c r="A1083" s="92"/>
      <c r="B1083" s="146"/>
      <c r="C1083" s="136"/>
      <c r="D1083" s="137"/>
      <c r="E1083" s="150"/>
      <c r="F1083" s="139"/>
      <c r="G1083" s="98"/>
      <c r="H1083" s="99"/>
      <c r="I1083" s="99"/>
      <c r="J1083" s="100"/>
      <c r="K1083" s="99"/>
      <c r="L1083" s="99"/>
      <c r="M1083" s="99"/>
      <c r="N1083" s="99"/>
      <c r="O1083" s="112"/>
      <c r="P1083" s="140" t="str">
        <f t="shared" si="105"/>
        <v/>
      </c>
      <c r="Q1083" s="140" t="str">
        <f t="shared" si="106"/>
        <v/>
      </c>
      <c r="R1083" s="140" t="str">
        <f t="shared" si="107"/>
        <v/>
      </c>
      <c r="S1083" s="140" t="str">
        <f t="shared" si="108"/>
        <v/>
      </c>
      <c r="T1083" s="140" t="str">
        <f t="shared" si="109"/>
        <v/>
      </c>
      <c r="U1083" s="140" t="str">
        <f t="shared" si="110"/>
        <v/>
      </c>
      <c r="V1083" s="99"/>
    </row>
    <row r="1084" spans="1:22">
      <c r="A1084" s="92"/>
      <c r="B1084" s="146"/>
      <c r="C1084" s="136"/>
      <c r="D1084" s="109">
        <f>0.3-0.08</f>
        <v>0.21999999999999997</v>
      </c>
      <c r="E1084" s="138"/>
      <c r="F1084" s="139"/>
      <c r="G1084" s="98"/>
      <c r="H1084" s="99"/>
      <c r="I1084" s="99"/>
      <c r="J1084" s="100"/>
      <c r="K1084" s="99"/>
      <c r="L1084" s="99"/>
      <c r="M1084" s="99"/>
      <c r="N1084" s="99"/>
      <c r="O1084" s="112"/>
      <c r="P1084" s="140" t="str">
        <f t="shared" si="105"/>
        <v/>
      </c>
      <c r="Q1084" s="140" t="str">
        <f t="shared" si="106"/>
        <v/>
      </c>
      <c r="R1084" s="140" t="str">
        <f t="shared" si="107"/>
        <v/>
      </c>
      <c r="S1084" s="140" t="str">
        <f t="shared" si="108"/>
        <v/>
      </c>
      <c r="T1084" s="140" t="str">
        <f t="shared" si="109"/>
        <v/>
      </c>
      <c r="U1084" s="140" t="str">
        <f t="shared" si="110"/>
        <v/>
      </c>
      <c r="V1084" s="99"/>
    </row>
    <row r="1085" spans="1:22">
      <c r="A1085" s="92"/>
      <c r="B1085" s="146"/>
      <c r="C1085" s="136"/>
      <c r="D1085" s="137"/>
      <c r="E1085" s="138"/>
      <c r="F1085" s="139"/>
      <c r="G1085" s="98"/>
      <c r="H1085" s="99"/>
      <c r="I1085" s="99"/>
      <c r="J1085" s="100"/>
      <c r="K1085" s="99"/>
      <c r="L1085" s="99"/>
      <c r="M1085" s="99"/>
      <c r="N1085" s="99"/>
      <c r="O1085" s="112"/>
      <c r="P1085" s="140" t="str">
        <f t="shared" si="105"/>
        <v/>
      </c>
      <c r="Q1085" s="140" t="str">
        <f t="shared" si="106"/>
        <v/>
      </c>
      <c r="R1085" s="140" t="str">
        <f t="shared" si="107"/>
        <v/>
      </c>
      <c r="S1085" s="140" t="str">
        <f t="shared" si="108"/>
        <v/>
      </c>
      <c r="T1085" s="140" t="str">
        <f t="shared" si="109"/>
        <v/>
      </c>
      <c r="U1085" s="140" t="str">
        <f t="shared" si="110"/>
        <v/>
      </c>
      <c r="V1085" s="99"/>
    </row>
    <row r="1086" spans="1:22">
      <c r="A1086" s="92"/>
      <c r="B1086" s="146" t="s">
        <v>384</v>
      </c>
      <c r="C1086" s="136"/>
      <c r="D1086" s="142"/>
      <c r="E1086" s="138"/>
      <c r="F1086" s="139"/>
      <c r="G1086" s="98">
        <v>10</v>
      </c>
      <c r="H1086" s="99">
        <v>14</v>
      </c>
      <c r="I1086" s="111">
        <f>((2*0.715)/0.075)+2</f>
        <v>21.066666666666666</v>
      </c>
      <c r="J1086" s="149">
        <f>C1087+D1089+E1087+2*8*G1086/1000</f>
        <v>0.73</v>
      </c>
      <c r="K1086" s="99"/>
      <c r="L1086" s="99">
        <v>4</v>
      </c>
      <c r="M1086" s="112">
        <f>2*G1086*L1086/1000</f>
        <v>0.08</v>
      </c>
      <c r="N1086" s="112">
        <f>(J1086+K1086-M1086)</f>
        <v>0.65</v>
      </c>
      <c r="O1086" s="112">
        <f>(H1086*I1086*N1086)</f>
        <v>191.70666666666668</v>
      </c>
      <c r="P1086" s="140" t="str">
        <f t="shared" si="105"/>
        <v/>
      </c>
      <c r="Q1086" s="140">
        <f t="shared" si="106"/>
        <v>191.70666666666668</v>
      </c>
      <c r="R1086" s="140" t="str">
        <f t="shared" si="107"/>
        <v/>
      </c>
      <c r="S1086" s="140" t="str">
        <f t="shared" si="108"/>
        <v/>
      </c>
      <c r="T1086" s="140" t="str">
        <f t="shared" si="109"/>
        <v/>
      </c>
      <c r="U1086" s="140" t="str">
        <f t="shared" si="110"/>
        <v/>
      </c>
      <c r="V1086" s="99"/>
    </row>
    <row r="1087" spans="1:22">
      <c r="A1087" s="92"/>
      <c r="B1087" s="146"/>
      <c r="C1087" s="151">
        <v>0.17499999999999999</v>
      </c>
      <c r="D1087" s="137"/>
      <c r="E1087" s="138">
        <v>0.17499999999999999</v>
      </c>
      <c r="F1087" s="139"/>
      <c r="G1087" s="98"/>
      <c r="H1087" s="99"/>
      <c r="I1087" s="99"/>
      <c r="J1087" s="100"/>
      <c r="K1087" s="99"/>
      <c r="L1087" s="99"/>
      <c r="M1087" s="99"/>
      <c r="N1087" s="99"/>
      <c r="O1087" s="112"/>
      <c r="P1087" s="140" t="str">
        <f>IF($G1087=8,$O1087,"")</f>
        <v/>
      </c>
      <c r="Q1087" s="140" t="str">
        <f>IF($G1087=10,$O1087,"")</f>
        <v/>
      </c>
      <c r="R1087" s="140" t="str">
        <f>IF($G1087=12,$O1087,"")</f>
        <v/>
      </c>
      <c r="S1087" s="140" t="str">
        <f>IF($G1087=16,$O1087,"")</f>
        <v/>
      </c>
      <c r="T1087" s="140" t="str">
        <f>IF($G1087=20,$O1087,"")</f>
        <v/>
      </c>
      <c r="U1087" s="140" t="str">
        <f>IF($G1087=25,$O1087,"")</f>
        <v/>
      </c>
      <c r="V1087" s="99"/>
    </row>
    <row r="1088" spans="1:22">
      <c r="A1088" s="92"/>
      <c r="B1088" s="146"/>
      <c r="C1088" s="136"/>
      <c r="D1088" s="137"/>
      <c r="E1088" s="138"/>
      <c r="F1088" s="139"/>
      <c r="G1088" s="98"/>
      <c r="H1088" s="99"/>
      <c r="I1088" s="99"/>
      <c r="J1088" s="100"/>
      <c r="K1088" s="99"/>
      <c r="L1088" s="99"/>
      <c r="M1088" s="99"/>
      <c r="N1088" s="99"/>
      <c r="O1088" s="112"/>
      <c r="P1088" s="140" t="str">
        <f t="shared" si="105"/>
        <v/>
      </c>
      <c r="Q1088" s="140" t="str">
        <f t="shared" si="106"/>
        <v/>
      </c>
      <c r="R1088" s="140" t="str">
        <f t="shared" si="107"/>
        <v/>
      </c>
      <c r="S1088" s="140" t="str">
        <f t="shared" si="108"/>
        <v/>
      </c>
      <c r="T1088" s="140" t="str">
        <f t="shared" si="109"/>
        <v/>
      </c>
      <c r="U1088" s="140" t="str">
        <f t="shared" si="110"/>
        <v/>
      </c>
      <c r="V1088" s="99"/>
    </row>
    <row r="1089" spans="1:22">
      <c r="A1089" s="92"/>
      <c r="B1089" s="146"/>
      <c r="C1089" s="136"/>
      <c r="D1089" s="109">
        <f>0.3-0.08</f>
        <v>0.21999999999999997</v>
      </c>
      <c r="E1089" s="138"/>
      <c r="F1089" s="139"/>
      <c r="G1089" s="98"/>
      <c r="H1089" s="99"/>
      <c r="I1089" s="99"/>
      <c r="J1089" s="100"/>
      <c r="K1089" s="99"/>
      <c r="L1089" s="99"/>
      <c r="M1089" s="99"/>
      <c r="N1089" s="99"/>
      <c r="O1089" s="112"/>
      <c r="P1089" s="140" t="str">
        <f t="shared" si="105"/>
        <v/>
      </c>
      <c r="Q1089" s="140" t="str">
        <f t="shared" si="106"/>
        <v/>
      </c>
      <c r="R1089" s="140" t="str">
        <f t="shared" si="107"/>
        <v/>
      </c>
      <c r="S1089" s="140" t="str">
        <f t="shared" si="108"/>
        <v/>
      </c>
      <c r="T1089" s="140" t="str">
        <f t="shared" si="109"/>
        <v/>
      </c>
      <c r="U1089" s="140" t="str">
        <f t="shared" si="110"/>
        <v/>
      </c>
      <c r="V1089" s="99"/>
    </row>
    <row r="1090" spans="1:22">
      <c r="A1090" s="92"/>
      <c r="B1090" s="146"/>
      <c r="C1090" s="136"/>
      <c r="D1090" s="137"/>
      <c r="E1090" s="138"/>
      <c r="F1090" s="139"/>
      <c r="G1090" s="98"/>
      <c r="H1090" s="99"/>
      <c r="I1090" s="99"/>
      <c r="J1090" s="100"/>
      <c r="K1090" s="99"/>
      <c r="L1090" s="99"/>
      <c r="M1090" s="99"/>
      <c r="N1090" s="99"/>
      <c r="O1090" s="112"/>
      <c r="P1090" s="140" t="str">
        <f t="shared" si="105"/>
        <v/>
      </c>
      <c r="Q1090" s="140" t="str">
        <f t="shared" si="106"/>
        <v/>
      </c>
      <c r="R1090" s="140" t="str">
        <f t="shared" si="107"/>
        <v/>
      </c>
      <c r="S1090" s="140" t="str">
        <f t="shared" si="108"/>
        <v/>
      </c>
      <c r="T1090" s="140" t="str">
        <f t="shared" si="109"/>
        <v/>
      </c>
      <c r="U1090" s="140" t="str">
        <f t="shared" si="110"/>
        <v/>
      </c>
      <c r="V1090" s="99"/>
    </row>
    <row r="1091" spans="1:22">
      <c r="A1091" s="92"/>
      <c r="B1091" s="146" t="s">
        <v>385</v>
      </c>
      <c r="C1091" s="136"/>
      <c r="D1091" s="142"/>
      <c r="E1091" s="138"/>
      <c r="F1091" s="139"/>
      <c r="G1091" s="98">
        <v>10</v>
      </c>
      <c r="H1091" s="99">
        <v>14</v>
      </c>
      <c r="I1091" s="111">
        <f>((2*0.715)/0.075)+2</f>
        <v>21.066666666666666</v>
      </c>
      <c r="J1091" s="149">
        <f>C1092+D1094+E1092+2*8*G1091/1000</f>
        <v>0.73</v>
      </c>
      <c r="K1091" s="99"/>
      <c r="L1091" s="99">
        <v>4</v>
      </c>
      <c r="M1091" s="112">
        <f>2*G1091*L1091/1000</f>
        <v>0.08</v>
      </c>
      <c r="N1091" s="112">
        <f>(J1091+K1091-M1091)</f>
        <v>0.65</v>
      </c>
      <c r="O1091" s="112">
        <f>(H1091*I1091*N1091)</f>
        <v>191.70666666666668</v>
      </c>
      <c r="P1091" s="140" t="str">
        <f t="shared" si="105"/>
        <v/>
      </c>
      <c r="Q1091" s="140">
        <f t="shared" si="106"/>
        <v>191.70666666666668</v>
      </c>
      <c r="R1091" s="140" t="str">
        <f t="shared" si="107"/>
        <v/>
      </c>
      <c r="S1091" s="140" t="str">
        <f t="shared" si="108"/>
        <v/>
      </c>
      <c r="T1091" s="140" t="str">
        <f t="shared" si="109"/>
        <v/>
      </c>
      <c r="U1091" s="140" t="str">
        <f t="shared" si="110"/>
        <v/>
      </c>
      <c r="V1091" s="99"/>
    </row>
    <row r="1092" spans="1:22">
      <c r="A1092" s="92"/>
      <c r="B1092" s="146"/>
      <c r="C1092" s="151">
        <v>0.17499999999999999</v>
      </c>
      <c r="D1092" s="137"/>
      <c r="E1092" s="138">
        <v>0.17499999999999999</v>
      </c>
      <c r="F1092" s="139"/>
      <c r="G1092" s="98"/>
      <c r="H1092" s="99"/>
      <c r="I1092" s="99"/>
      <c r="J1092" s="100"/>
      <c r="K1092" s="99"/>
      <c r="L1092" s="99"/>
      <c r="M1092" s="99"/>
      <c r="N1092" s="99"/>
      <c r="O1092" s="112"/>
      <c r="P1092" s="140" t="str">
        <f t="shared" si="105"/>
        <v/>
      </c>
      <c r="Q1092" s="140" t="str">
        <f t="shared" si="106"/>
        <v/>
      </c>
      <c r="R1092" s="140" t="str">
        <f t="shared" si="107"/>
        <v/>
      </c>
      <c r="S1092" s="140" t="str">
        <f t="shared" si="108"/>
        <v/>
      </c>
      <c r="T1092" s="140" t="str">
        <f t="shared" si="109"/>
        <v/>
      </c>
      <c r="U1092" s="140" t="str">
        <f t="shared" si="110"/>
        <v/>
      </c>
      <c r="V1092" s="99"/>
    </row>
    <row r="1093" spans="1:22">
      <c r="A1093" s="92"/>
      <c r="B1093" s="146"/>
      <c r="C1093" s="136"/>
      <c r="D1093" s="137"/>
      <c r="E1093" s="138"/>
      <c r="F1093" s="139"/>
      <c r="G1093" s="98"/>
      <c r="H1093" s="99"/>
      <c r="I1093" s="99"/>
      <c r="J1093" s="100"/>
      <c r="K1093" s="99"/>
      <c r="L1093" s="99"/>
      <c r="M1093" s="99"/>
      <c r="N1093" s="99"/>
      <c r="O1093" s="101"/>
      <c r="P1093" s="140" t="str">
        <f t="shared" si="105"/>
        <v/>
      </c>
      <c r="Q1093" s="140" t="str">
        <f t="shared" si="106"/>
        <v/>
      </c>
      <c r="R1093" s="140" t="str">
        <f t="shared" si="107"/>
        <v/>
      </c>
      <c r="S1093" s="140" t="str">
        <f t="shared" si="108"/>
        <v/>
      </c>
      <c r="T1093" s="140" t="str">
        <f t="shared" si="109"/>
        <v/>
      </c>
      <c r="U1093" s="140" t="str">
        <f t="shared" si="110"/>
        <v/>
      </c>
      <c r="V1093" s="99"/>
    </row>
    <row r="1094" spans="1:22">
      <c r="A1094" s="92"/>
      <c r="B1094" s="146"/>
      <c r="C1094" s="136"/>
      <c r="D1094" s="109">
        <f>0.3-0.08</f>
        <v>0.21999999999999997</v>
      </c>
      <c r="E1094" s="138"/>
      <c r="F1094" s="139"/>
      <c r="G1094" s="98"/>
      <c r="H1094" s="99"/>
      <c r="I1094" s="99"/>
      <c r="J1094" s="100"/>
      <c r="K1094" s="99"/>
      <c r="L1094" s="99"/>
      <c r="M1094" s="99"/>
      <c r="N1094" s="99"/>
      <c r="O1094" s="101"/>
      <c r="P1094" s="140" t="str">
        <f t="shared" si="105"/>
        <v/>
      </c>
      <c r="Q1094" s="140" t="str">
        <f t="shared" si="106"/>
        <v/>
      </c>
      <c r="R1094" s="140" t="str">
        <f t="shared" si="107"/>
        <v/>
      </c>
      <c r="S1094" s="140" t="str">
        <f t="shared" si="108"/>
        <v/>
      </c>
      <c r="T1094" s="140" t="str">
        <f t="shared" si="109"/>
        <v/>
      </c>
      <c r="U1094" s="140" t="str">
        <f t="shared" si="110"/>
        <v/>
      </c>
      <c r="V1094" s="99"/>
    </row>
    <row r="1095" spans="1:22">
      <c r="A1095" s="92"/>
      <c r="B1095" s="141"/>
      <c r="C1095" s="136"/>
      <c r="D1095" s="137"/>
      <c r="E1095" s="138"/>
      <c r="F1095" s="139"/>
      <c r="G1095" s="98"/>
      <c r="H1095" s="99"/>
      <c r="I1095" s="99"/>
      <c r="J1095" s="100"/>
      <c r="K1095" s="99"/>
      <c r="L1095" s="99"/>
      <c r="M1095" s="99"/>
      <c r="N1095" s="99"/>
      <c r="O1095" s="101"/>
      <c r="P1095" s="140" t="str">
        <f t="shared" si="105"/>
        <v/>
      </c>
      <c r="Q1095" s="140" t="str">
        <f t="shared" si="106"/>
        <v/>
      </c>
      <c r="R1095" s="140" t="str">
        <f t="shared" si="107"/>
        <v/>
      </c>
      <c r="S1095" s="140" t="str">
        <f t="shared" si="108"/>
        <v/>
      </c>
      <c r="T1095" s="140" t="str">
        <f t="shared" si="109"/>
        <v/>
      </c>
      <c r="U1095" s="140" t="str">
        <f t="shared" si="110"/>
        <v/>
      </c>
      <c r="V1095" s="99"/>
    </row>
    <row r="1096" spans="1:22">
      <c r="A1096" s="92"/>
      <c r="B1096" s="141"/>
      <c r="C1096" s="136"/>
      <c r="D1096" s="137"/>
      <c r="E1096" s="144">
        <v>0.08</v>
      </c>
      <c r="F1096" s="139"/>
      <c r="G1096" s="98"/>
      <c r="H1096" s="99"/>
      <c r="I1096" s="99"/>
      <c r="J1096" s="100"/>
      <c r="K1096" s="99"/>
      <c r="L1096" s="99"/>
      <c r="M1096" s="99"/>
      <c r="N1096" s="99"/>
      <c r="O1096" s="101"/>
      <c r="P1096" s="140" t="str">
        <f t="shared" si="105"/>
        <v/>
      </c>
      <c r="Q1096" s="140" t="str">
        <f t="shared" si="106"/>
        <v/>
      </c>
      <c r="R1096" s="140" t="str">
        <f t="shared" si="107"/>
        <v/>
      </c>
      <c r="S1096" s="140" t="str">
        <f t="shared" si="108"/>
        <v/>
      </c>
      <c r="T1096" s="140" t="str">
        <f t="shared" si="109"/>
        <v/>
      </c>
      <c r="U1096" s="140" t="str">
        <f t="shared" si="110"/>
        <v/>
      </c>
      <c r="V1096" s="99"/>
    </row>
    <row r="1097" spans="1:22">
      <c r="A1097" s="92"/>
      <c r="B1097" s="146" t="s">
        <v>390</v>
      </c>
      <c r="C1097" s="136"/>
      <c r="D1097" s="142">
        <f>0.3-0.08</f>
        <v>0.21999999999999997</v>
      </c>
      <c r="E1097" s="144"/>
      <c r="F1097" s="139"/>
      <c r="G1097" s="98">
        <v>10</v>
      </c>
      <c r="H1097" s="99">
        <v>14</v>
      </c>
      <c r="I1097" s="111">
        <f>((2*0.715)/0.075)+2</f>
        <v>21.066666666666666</v>
      </c>
      <c r="J1097" s="149">
        <f>D1097+E1096+E1098</f>
        <v>0.38</v>
      </c>
      <c r="K1097" s="99"/>
      <c r="L1097" s="99">
        <v>2</v>
      </c>
      <c r="M1097" s="112">
        <f>2*G1097*L1097/1000</f>
        <v>0.04</v>
      </c>
      <c r="N1097" s="112">
        <f>(J1097+K1097-M1097)</f>
        <v>0.34</v>
      </c>
      <c r="O1097" s="112">
        <f>(H1097*I1097*N1097)</f>
        <v>100.27733333333335</v>
      </c>
      <c r="P1097" s="140" t="str">
        <f t="shared" si="105"/>
        <v/>
      </c>
      <c r="Q1097" s="140">
        <f t="shared" si="106"/>
        <v>100.27733333333335</v>
      </c>
      <c r="R1097" s="140" t="str">
        <f t="shared" si="107"/>
        <v/>
      </c>
      <c r="S1097" s="140" t="str">
        <f t="shared" si="108"/>
        <v/>
      </c>
      <c r="T1097" s="140" t="str">
        <f t="shared" si="109"/>
        <v/>
      </c>
      <c r="U1097" s="140" t="str">
        <f t="shared" si="110"/>
        <v/>
      </c>
      <c r="V1097" s="99"/>
    </row>
    <row r="1098" spans="1:22">
      <c r="A1098" s="92"/>
      <c r="B1098" s="141"/>
      <c r="C1098" s="136"/>
      <c r="D1098" s="137"/>
      <c r="E1098" s="144">
        <v>0.08</v>
      </c>
      <c r="F1098" s="139"/>
      <c r="G1098" s="98"/>
      <c r="H1098" s="99"/>
      <c r="I1098" s="99"/>
      <c r="J1098" s="100"/>
      <c r="K1098" s="99"/>
      <c r="L1098" s="99"/>
      <c r="M1098" s="99"/>
      <c r="N1098" s="99"/>
      <c r="O1098" s="101"/>
      <c r="P1098" s="140" t="str">
        <f t="shared" si="105"/>
        <v/>
      </c>
      <c r="Q1098" s="140" t="str">
        <f t="shared" si="106"/>
        <v/>
      </c>
      <c r="R1098" s="140" t="str">
        <f t="shared" si="107"/>
        <v/>
      </c>
      <c r="S1098" s="140" t="str">
        <f t="shared" si="108"/>
        <v/>
      </c>
      <c r="T1098" s="140" t="str">
        <f t="shared" si="109"/>
        <v/>
      </c>
      <c r="U1098" s="140" t="str">
        <f t="shared" si="110"/>
        <v/>
      </c>
      <c r="V1098" s="99"/>
    </row>
    <row r="1099" spans="1:22">
      <c r="A1099" s="92"/>
      <c r="B1099" s="141"/>
      <c r="C1099" s="136"/>
      <c r="D1099" s="137"/>
      <c r="E1099" s="138"/>
      <c r="F1099" s="139"/>
      <c r="G1099" s="98"/>
      <c r="H1099" s="99"/>
      <c r="I1099" s="99"/>
      <c r="J1099" s="100"/>
      <c r="K1099" s="99"/>
      <c r="L1099" s="99"/>
      <c r="M1099" s="99"/>
      <c r="N1099" s="99"/>
      <c r="O1099" s="101"/>
      <c r="P1099" s="140" t="str">
        <f t="shared" ref="P1099:P1122" si="188">IF($G1099=8,$O1099,"")</f>
        <v/>
      </c>
      <c r="Q1099" s="140" t="str">
        <f t="shared" ref="Q1099:Q1122" si="189">IF($G1099=10,$O1099,"")</f>
        <v/>
      </c>
      <c r="R1099" s="140" t="str">
        <f t="shared" ref="R1099:R1122" si="190">IF($G1099=12,$O1099,"")</f>
        <v/>
      </c>
      <c r="S1099" s="140" t="str">
        <f t="shared" ref="S1099:S1122" si="191">IF($G1099=16,$O1099,"")</f>
        <v/>
      </c>
      <c r="T1099" s="140" t="str">
        <f t="shared" ref="T1099:T1122" si="192">IF($G1099=20,$O1099,"")</f>
        <v/>
      </c>
      <c r="U1099" s="140" t="str">
        <f t="shared" ref="U1099:U1122" si="193">IF($G1099=25,$O1099,"")</f>
        <v/>
      </c>
      <c r="V1099" s="99"/>
    </row>
    <row r="1100" spans="1:22">
      <c r="A1100" s="92"/>
      <c r="B1100" s="429" t="s">
        <v>645</v>
      </c>
      <c r="C1100" s="145">
        <v>0.08</v>
      </c>
      <c r="D1100" s="137"/>
      <c r="E1100" s="138"/>
      <c r="F1100" s="139"/>
      <c r="G1100" s="98"/>
      <c r="H1100" s="99"/>
      <c r="I1100" s="99"/>
      <c r="J1100" s="100"/>
      <c r="K1100" s="99"/>
      <c r="L1100" s="99"/>
      <c r="M1100" s="99"/>
      <c r="N1100" s="99"/>
      <c r="O1100" s="101"/>
      <c r="P1100" s="140" t="str">
        <f t="shared" si="188"/>
        <v/>
      </c>
      <c r="Q1100" s="140" t="str">
        <f t="shared" si="189"/>
        <v/>
      </c>
      <c r="R1100" s="140" t="str">
        <f t="shared" si="190"/>
        <v/>
      </c>
      <c r="S1100" s="140" t="str">
        <f t="shared" si="191"/>
        <v/>
      </c>
      <c r="T1100" s="140" t="str">
        <f t="shared" si="192"/>
        <v/>
      </c>
      <c r="U1100" s="140" t="str">
        <f t="shared" si="193"/>
        <v/>
      </c>
      <c r="V1100" s="99"/>
    </row>
    <row r="1101" spans="1:22">
      <c r="A1101" s="92"/>
      <c r="B1101" s="146" t="s">
        <v>382</v>
      </c>
      <c r="C1101" s="147"/>
      <c r="D1101" s="137"/>
      <c r="E1101" s="148">
        <f>0.715-0.08</f>
        <v>0.63500000000000001</v>
      </c>
      <c r="F1101" s="139"/>
      <c r="G1101" s="98">
        <v>8</v>
      </c>
      <c r="H1101" s="99">
        <v>14</v>
      </c>
      <c r="I1101" s="111">
        <f>((1.48-2*0.75)/0.15)+1</f>
        <v>0.86666666666666647</v>
      </c>
      <c r="J1101" s="149">
        <f>2*(D1103+E1101)+2*8*G1101/1000</f>
        <v>1.8380000000000001</v>
      </c>
      <c r="K1101" s="99"/>
      <c r="L1101" s="99">
        <v>5</v>
      </c>
      <c r="M1101" s="112">
        <f>2*G1101*L1101/1000</f>
        <v>0.08</v>
      </c>
      <c r="N1101" s="112">
        <f>(J1101+K1101-M1101)</f>
        <v>1.758</v>
      </c>
      <c r="O1101" s="112">
        <f>(H1101*I1101*N1101)</f>
        <v>21.330399999999997</v>
      </c>
      <c r="P1101" s="140">
        <f t="shared" si="188"/>
        <v>21.330399999999997</v>
      </c>
      <c r="Q1101" s="140" t="str">
        <f t="shared" si="189"/>
        <v/>
      </c>
      <c r="R1101" s="140" t="str">
        <f t="shared" si="190"/>
        <v/>
      </c>
      <c r="S1101" s="140" t="str">
        <f t="shared" si="191"/>
        <v/>
      </c>
      <c r="T1101" s="140" t="str">
        <f t="shared" si="192"/>
        <v/>
      </c>
      <c r="U1101" s="140" t="str">
        <f t="shared" si="193"/>
        <v/>
      </c>
      <c r="V1101" s="99"/>
    </row>
    <row r="1102" spans="1:22">
      <c r="A1102" s="92"/>
      <c r="B1102" s="146"/>
      <c r="C1102" s="136"/>
      <c r="D1102" s="137"/>
      <c r="E1102" s="150"/>
      <c r="F1102" s="139"/>
      <c r="G1102" s="98"/>
      <c r="H1102" s="99"/>
      <c r="I1102" s="99"/>
      <c r="J1102" s="100"/>
      <c r="K1102" s="99"/>
      <c r="L1102" s="99"/>
      <c r="M1102" s="99"/>
      <c r="N1102" s="99"/>
      <c r="O1102" s="112"/>
      <c r="P1102" s="140" t="str">
        <f t="shared" si="188"/>
        <v/>
      </c>
      <c r="Q1102" s="140" t="str">
        <f t="shared" si="189"/>
        <v/>
      </c>
      <c r="R1102" s="140" t="str">
        <f t="shared" si="190"/>
        <v/>
      </c>
      <c r="S1102" s="140" t="str">
        <f t="shared" si="191"/>
        <v/>
      </c>
      <c r="T1102" s="140" t="str">
        <f t="shared" si="192"/>
        <v/>
      </c>
      <c r="U1102" s="140" t="str">
        <f t="shared" si="193"/>
        <v/>
      </c>
      <c r="V1102" s="99"/>
    </row>
    <row r="1103" spans="1:22">
      <c r="A1103" s="92"/>
      <c r="B1103" s="146"/>
      <c r="C1103" s="136"/>
      <c r="D1103" s="109">
        <f>0.3-0.08</f>
        <v>0.21999999999999997</v>
      </c>
      <c r="E1103" s="138"/>
      <c r="F1103" s="139"/>
      <c r="G1103" s="98"/>
      <c r="H1103" s="99"/>
      <c r="I1103" s="99"/>
      <c r="J1103" s="100"/>
      <c r="K1103" s="99"/>
      <c r="L1103" s="99"/>
      <c r="M1103" s="99"/>
      <c r="N1103" s="99"/>
      <c r="O1103" s="112"/>
      <c r="P1103" s="140" t="str">
        <f t="shared" si="188"/>
        <v/>
      </c>
      <c r="Q1103" s="140" t="str">
        <f t="shared" si="189"/>
        <v/>
      </c>
      <c r="R1103" s="140" t="str">
        <f t="shared" si="190"/>
        <v/>
      </c>
      <c r="S1103" s="140" t="str">
        <f t="shared" si="191"/>
        <v/>
      </c>
      <c r="T1103" s="140" t="str">
        <f t="shared" si="192"/>
        <v/>
      </c>
      <c r="U1103" s="140" t="str">
        <f t="shared" si="193"/>
        <v/>
      </c>
      <c r="V1103" s="99"/>
    </row>
    <row r="1104" spans="1:22">
      <c r="A1104" s="92"/>
      <c r="B1104" s="141"/>
      <c r="C1104" s="136"/>
      <c r="D1104" s="137"/>
      <c r="E1104" s="138"/>
      <c r="F1104" s="139"/>
      <c r="G1104" s="98"/>
      <c r="H1104" s="99"/>
      <c r="I1104" s="99"/>
      <c r="J1104" s="100"/>
      <c r="K1104" s="99"/>
      <c r="L1104" s="99"/>
      <c r="M1104" s="99"/>
      <c r="N1104" s="99"/>
      <c r="O1104" s="112"/>
      <c r="P1104" s="140" t="str">
        <f t="shared" si="188"/>
        <v/>
      </c>
      <c r="Q1104" s="140" t="str">
        <f t="shared" si="189"/>
        <v/>
      </c>
      <c r="R1104" s="140" t="str">
        <f t="shared" si="190"/>
        <v/>
      </c>
      <c r="S1104" s="140" t="str">
        <f t="shared" si="191"/>
        <v/>
      </c>
      <c r="T1104" s="140" t="str">
        <f t="shared" si="192"/>
        <v/>
      </c>
      <c r="U1104" s="140" t="str">
        <f t="shared" si="193"/>
        <v/>
      </c>
      <c r="V1104" s="99"/>
    </row>
    <row r="1105" spans="1:22">
      <c r="A1105" s="92"/>
      <c r="B1105" s="92"/>
      <c r="C1105" s="145">
        <v>0.08</v>
      </c>
      <c r="D1105" s="137"/>
      <c r="E1105" s="138"/>
      <c r="F1105" s="139"/>
      <c r="G1105" s="98"/>
      <c r="H1105" s="99"/>
      <c r="I1105" s="99"/>
      <c r="J1105" s="100"/>
      <c r="K1105" s="99"/>
      <c r="L1105" s="99"/>
      <c r="M1105" s="99"/>
      <c r="N1105" s="99"/>
      <c r="O1105" s="112"/>
      <c r="P1105" s="140" t="str">
        <f t="shared" si="188"/>
        <v/>
      </c>
      <c r="Q1105" s="140" t="str">
        <f t="shared" si="189"/>
        <v/>
      </c>
      <c r="R1105" s="140" t="str">
        <f t="shared" si="190"/>
        <v/>
      </c>
      <c r="S1105" s="140" t="str">
        <f t="shared" si="191"/>
        <v/>
      </c>
      <c r="T1105" s="140" t="str">
        <f t="shared" si="192"/>
        <v/>
      </c>
      <c r="U1105" s="140" t="str">
        <f t="shared" si="193"/>
        <v/>
      </c>
      <c r="V1105" s="99"/>
    </row>
    <row r="1106" spans="1:22">
      <c r="A1106" s="92"/>
      <c r="B1106" s="146" t="s">
        <v>383</v>
      </c>
      <c r="C1106" s="147"/>
      <c r="D1106" s="137"/>
      <c r="E1106" s="148">
        <f>(2*((0.715-0.08-0.016)/6))+0.012+0.02</f>
        <v>0.23833333333333334</v>
      </c>
      <c r="F1106" s="139"/>
      <c r="G1106" s="98">
        <v>8</v>
      </c>
      <c r="H1106" s="99">
        <v>14</v>
      </c>
      <c r="I1106" s="111">
        <f>((1.48-2*0.75)/0.15)+1</f>
        <v>0.86666666666666647</v>
      </c>
      <c r="J1106" s="149">
        <f>2*(D1108+E1106)+2*8*G1106/1000</f>
        <v>1.0446666666666666</v>
      </c>
      <c r="K1106" s="99"/>
      <c r="L1106" s="99">
        <v>5</v>
      </c>
      <c r="M1106" s="112">
        <f>2*G1106*L1106/1000</f>
        <v>0.08</v>
      </c>
      <c r="N1106" s="112">
        <f>(J1106+K1106-M1106)</f>
        <v>0.96466666666666667</v>
      </c>
      <c r="O1106" s="112">
        <f>(H1106*I1106*N1106)</f>
        <v>11.70462222222222</v>
      </c>
      <c r="P1106" s="140">
        <f t="shared" si="188"/>
        <v>11.70462222222222</v>
      </c>
      <c r="Q1106" s="140" t="str">
        <f t="shared" si="189"/>
        <v/>
      </c>
      <c r="R1106" s="140" t="str">
        <f t="shared" si="190"/>
        <v/>
      </c>
      <c r="S1106" s="140" t="str">
        <f t="shared" si="191"/>
        <v/>
      </c>
      <c r="T1106" s="140" t="str">
        <f t="shared" si="192"/>
        <v/>
      </c>
      <c r="U1106" s="140" t="str">
        <f t="shared" si="193"/>
        <v/>
      </c>
      <c r="V1106" s="99"/>
    </row>
    <row r="1107" spans="1:22">
      <c r="A1107" s="92"/>
      <c r="B1107" s="146"/>
      <c r="C1107" s="136"/>
      <c r="D1107" s="137"/>
      <c r="E1107" s="150"/>
      <c r="F1107" s="139"/>
      <c r="G1107" s="98"/>
      <c r="H1107" s="99"/>
      <c r="I1107" s="99"/>
      <c r="J1107" s="100"/>
      <c r="K1107" s="99"/>
      <c r="L1107" s="99"/>
      <c r="M1107" s="99"/>
      <c r="N1107" s="99"/>
      <c r="O1107" s="112"/>
      <c r="P1107" s="140" t="str">
        <f t="shared" si="188"/>
        <v/>
      </c>
      <c r="Q1107" s="140" t="str">
        <f t="shared" si="189"/>
        <v/>
      </c>
      <c r="R1107" s="140" t="str">
        <f t="shared" si="190"/>
        <v/>
      </c>
      <c r="S1107" s="140" t="str">
        <f t="shared" si="191"/>
        <v/>
      </c>
      <c r="T1107" s="140" t="str">
        <f t="shared" si="192"/>
        <v/>
      </c>
      <c r="U1107" s="140" t="str">
        <f t="shared" si="193"/>
        <v/>
      </c>
      <c r="V1107" s="99"/>
    </row>
    <row r="1108" spans="1:22">
      <c r="A1108" s="92"/>
      <c r="B1108" s="146"/>
      <c r="C1108" s="136"/>
      <c r="D1108" s="109">
        <f>0.3-0.08</f>
        <v>0.21999999999999997</v>
      </c>
      <c r="E1108" s="138"/>
      <c r="F1108" s="139"/>
      <c r="G1108" s="98"/>
      <c r="H1108" s="99"/>
      <c r="I1108" s="99"/>
      <c r="J1108" s="100"/>
      <c r="K1108" s="99"/>
      <c r="L1108" s="99"/>
      <c r="M1108" s="99"/>
      <c r="N1108" s="99"/>
      <c r="O1108" s="112"/>
      <c r="P1108" s="140" t="str">
        <f t="shared" si="188"/>
        <v/>
      </c>
      <c r="Q1108" s="140" t="str">
        <f t="shared" si="189"/>
        <v/>
      </c>
      <c r="R1108" s="140" t="str">
        <f t="shared" si="190"/>
        <v/>
      </c>
      <c r="S1108" s="140" t="str">
        <f t="shared" si="191"/>
        <v/>
      </c>
      <c r="T1108" s="140" t="str">
        <f t="shared" si="192"/>
        <v/>
      </c>
      <c r="U1108" s="140" t="str">
        <f t="shared" si="193"/>
        <v/>
      </c>
      <c r="V1108" s="99"/>
    </row>
    <row r="1109" spans="1:22">
      <c r="A1109" s="92"/>
      <c r="B1109" s="146"/>
      <c r="C1109" s="136"/>
      <c r="D1109" s="137"/>
      <c r="E1109" s="138"/>
      <c r="F1109" s="139"/>
      <c r="G1109" s="98"/>
      <c r="H1109" s="99"/>
      <c r="I1109" s="99"/>
      <c r="J1109" s="100"/>
      <c r="K1109" s="99"/>
      <c r="L1109" s="99"/>
      <c r="M1109" s="99"/>
      <c r="N1109" s="99"/>
      <c r="O1109" s="112"/>
      <c r="P1109" s="140" t="str">
        <f t="shared" si="188"/>
        <v/>
      </c>
      <c r="Q1109" s="140" t="str">
        <f t="shared" si="189"/>
        <v/>
      </c>
      <c r="R1109" s="140" t="str">
        <f t="shared" si="190"/>
        <v/>
      </c>
      <c r="S1109" s="140" t="str">
        <f t="shared" si="191"/>
        <v/>
      </c>
      <c r="T1109" s="140" t="str">
        <f t="shared" si="192"/>
        <v/>
      </c>
      <c r="U1109" s="140" t="str">
        <f t="shared" si="193"/>
        <v/>
      </c>
      <c r="V1109" s="99"/>
    </row>
    <row r="1110" spans="1:22">
      <c r="A1110" s="92"/>
      <c r="B1110" s="146" t="s">
        <v>384</v>
      </c>
      <c r="C1110" s="136"/>
      <c r="D1110" s="142"/>
      <c r="E1110" s="138"/>
      <c r="F1110" s="139"/>
      <c r="G1110" s="98">
        <v>8</v>
      </c>
      <c r="H1110" s="99">
        <v>14</v>
      </c>
      <c r="I1110" s="111">
        <f>((1.48-2*0.75)/0.15)+1</f>
        <v>0.86666666666666647</v>
      </c>
      <c r="J1110" s="149">
        <f>C1111+D1113+E1111+2*8*G1110/1000</f>
        <v>0.69799999999999995</v>
      </c>
      <c r="K1110" s="99"/>
      <c r="L1110" s="99">
        <v>4</v>
      </c>
      <c r="M1110" s="112">
        <f>2*G1110*L1110/1000</f>
        <v>6.4000000000000001E-2</v>
      </c>
      <c r="N1110" s="112">
        <f>(J1110+K1110-M1110)</f>
        <v>0.6339999999999999</v>
      </c>
      <c r="O1110" s="112">
        <f>(H1110*I1110*N1110)</f>
        <v>7.6925333333333308</v>
      </c>
      <c r="P1110" s="140">
        <f t="shared" si="188"/>
        <v>7.6925333333333308</v>
      </c>
      <c r="Q1110" s="140" t="str">
        <f t="shared" si="189"/>
        <v/>
      </c>
      <c r="R1110" s="140" t="str">
        <f t="shared" si="190"/>
        <v/>
      </c>
      <c r="S1110" s="140" t="str">
        <f t="shared" si="191"/>
        <v/>
      </c>
      <c r="T1110" s="140" t="str">
        <f t="shared" si="192"/>
        <v/>
      </c>
      <c r="U1110" s="140" t="str">
        <f t="shared" si="193"/>
        <v/>
      </c>
      <c r="V1110" s="99"/>
    </row>
    <row r="1111" spans="1:22">
      <c r="A1111" s="92"/>
      <c r="B1111" s="146"/>
      <c r="C1111" s="151">
        <v>0.17499999999999999</v>
      </c>
      <c r="D1111" s="137"/>
      <c r="E1111" s="138">
        <v>0.17499999999999999</v>
      </c>
      <c r="F1111" s="139"/>
      <c r="G1111" s="98"/>
      <c r="H1111" s="99"/>
      <c r="I1111" s="99"/>
      <c r="J1111" s="100"/>
      <c r="K1111" s="99"/>
      <c r="L1111" s="99"/>
      <c r="M1111" s="99"/>
      <c r="N1111" s="99"/>
      <c r="O1111" s="112"/>
      <c r="P1111" s="140" t="str">
        <f>IF($G1111=8,$O1111,"")</f>
        <v/>
      </c>
      <c r="Q1111" s="140" t="str">
        <f>IF($G1111=10,$O1111,"")</f>
        <v/>
      </c>
      <c r="R1111" s="140" t="str">
        <f>IF($G1111=12,$O1111,"")</f>
        <v/>
      </c>
      <c r="S1111" s="140" t="str">
        <f>IF($G1111=16,$O1111,"")</f>
        <v/>
      </c>
      <c r="T1111" s="140" t="str">
        <f>IF($G1111=20,$O1111,"")</f>
        <v/>
      </c>
      <c r="U1111" s="140" t="str">
        <f>IF($G1111=25,$O1111,"")</f>
        <v/>
      </c>
      <c r="V1111" s="99"/>
    </row>
    <row r="1112" spans="1:22">
      <c r="A1112" s="92"/>
      <c r="B1112" s="146"/>
      <c r="C1112" s="136"/>
      <c r="D1112" s="137"/>
      <c r="E1112" s="138"/>
      <c r="F1112" s="139"/>
      <c r="G1112" s="98"/>
      <c r="H1112" s="99"/>
      <c r="I1112" s="99"/>
      <c r="J1112" s="100"/>
      <c r="K1112" s="99"/>
      <c r="L1112" s="99"/>
      <c r="M1112" s="99"/>
      <c r="N1112" s="99"/>
      <c r="O1112" s="112"/>
      <c r="P1112" s="140" t="str">
        <f t="shared" si="188"/>
        <v/>
      </c>
      <c r="Q1112" s="140" t="str">
        <f t="shared" si="189"/>
        <v/>
      </c>
      <c r="R1112" s="140" t="str">
        <f t="shared" si="190"/>
        <v/>
      </c>
      <c r="S1112" s="140" t="str">
        <f t="shared" si="191"/>
        <v/>
      </c>
      <c r="T1112" s="140" t="str">
        <f t="shared" si="192"/>
        <v/>
      </c>
      <c r="U1112" s="140" t="str">
        <f t="shared" si="193"/>
        <v/>
      </c>
      <c r="V1112" s="99"/>
    </row>
    <row r="1113" spans="1:22">
      <c r="A1113" s="92"/>
      <c r="B1113" s="146"/>
      <c r="C1113" s="136"/>
      <c r="D1113" s="109">
        <f>0.3-0.08</f>
        <v>0.21999999999999997</v>
      </c>
      <c r="E1113" s="138"/>
      <c r="F1113" s="139"/>
      <c r="G1113" s="98"/>
      <c r="H1113" s="99"/>
      <c r="I1113" s="99"/>
      <c r="J1113" s="100"/>
      <c r="K1113" s="99"/>
      <c r="L1113" s="99"/>
      <c r="M1113" s="99"/>
      <c r="N1113" s="99"/>
      <c r="O1113" s="112"/>
      <c r="P1113" s="140" t="str">
        <f t="shared" si="188"/>
        <v/>
      </c>
      <c r="Q1113" s="140" t="str">
        <f t="shared" si="189"/>
        <v/>
      </c>
      <c r="R1113" s="140" t="str">
        <f t="shared" si="190"/>
        <v/>
      </c>
      <c r="S1113" s="140" t="str">
        <f t="shared" si="191"/>
        <v/>
      </c>
      <c r="T1113" s="140" t="str">
        <f t="shared" si="192"/>
        <v/>
      </c>
      <c r="U1113" s="140" t="str">
        <f t="shared" si="193"/>
        <v/>
      </c>
      <c r="V1113" s="99"/>
    </row>
    <row r="1114" spans="1:22">
      <c r="A1114" s="92"/>
      <c r="B1114" s="146"/>
      <c r="C1114" s="136"/>
      <c r="D1114" s="137"/>
      <c r="E1114" s="138"/>
      <c r="F1114" s="139"/>
      <c r="G1114" s="98"/>
      <c r="H1114" s="99"/>
      <c r="I1114" s="99"/>
      <c r="J1114" s="100"/>
      <c r="K1114" s="99"/>
      <c r="L1114" s="99"/>
      <c r="M1114" s="99"/>
      <c r="N1114" s="99"/>
      <c r="O1114" s="112"/>
      <c r="P1114" s="140" t="str">
        <f t="shared" si="188"/>
        <v/>
      </c>
      <c r="Q1114" s="140" t="str">
        <f t="shared" si="189"/>
        <v/>
      </c>
      <c r="R1114" s="140" t="str">
        <f t="shared" si="190"/>
        <v/>
      </c>
      <c r="S1114" s="140" t="str">
        <f t="shared" si="191"/>
        <v/>
      </c>
      <c r="T1114" s="140" t="str">
        <f t="shared" si="192"/>
        <v/>
      </c>
      <c r="U1114" s="140" t="str">
        <f t="shared" si="193"/>
        <v/>
      </c>
      <c r="V1114" s="99"/>
    </row>
    <row r="1115" spans="1:22">
      <c r="A1115" s="92"/>
      <c r="B1115" s="146" t="s">
        <v>385</v>
      </c>
      <c r="C1115" s="136"/>
      <c r="D1115" s="142"/>
      <c r="E1115" s="138"/>
      <c r="F1115" s="139"/>
      <c r="G1115" s="98">
        <v>8</v>
      </c>
      <c r="H1115" s="99">
        <v>14</v>
      </c>
      <c r="I1115" s="111">
        <f>((1.48-2*0.75)/0.15)+1</f>
        <v>0.86666666666666647</v>
      </c>
      <c r="J1115" s="149">
        <f>C1116+D1118+E1116+2*8*G1115/1000</f>
        <v>0.69799999999999995</v>
      </c>
      <c r="K1115" s="99"/>
      <c r="L1115" s="99">
        <v>4</v>
      </c>
      <c r="M1115" s="112">
        <f>2*G1115*L1115/1000</f>
        <v>6.4000000000000001E-2</v>
      </c>
      <c r="N1115" s="112">
        <f>(J1115+K1115-M1115)</f>
        <v>0.6339999999999999</v>
      </c>
      <c r="O1115" s="112">
        <f>(H1115*I1115*N1115)</f>
        <v>7.6925333333333308</v>
      </c>
      <c r="P1115" s="140">
        <f t="shared" si="188"/>
        <v>7.6925333333333308</v>
      </c>
      <c r="Q1115" s="140" t="str">
        <f t="shared" si="189"/>
        <v/>
      </c>
      <c r="R1115" s="140" t="str">
        <f t="shared" si="190"/>
        <v/>
      </c>
      <c r="S1115" s="140" t="str">
        <f t="shared" si="191"/>
        <v/>
      </c>
      <c r="T1115" s="140" t="str">
        <f t="shared" si="192"/>
        <v/>
      </c>
      <c r="U1115" s="140" t="str">
        <f t="shared" si="193"/>
        <v/>
      </c>
      <c r="V1115" s="99"/>
    </row>
    <row r="1116" spans="1:22">
      <c r="A1116" s="92"/>
      <c r="B1116" s="146"/>
      <c r="C1116" s="151">
        <v>0.17499999999999999</v>
      </c>
      <c r="D1116" s="137"/>
      <c r="E1116" s="138">
        <v>0.17499999999999999</v>
      </c>
      <c r="F1116" s="139"/>
      <c r="G1116" s="98"/>
      <c r="H1116" s="99"/>
      <c r="I1116" s="99"/>
      <c r="J1116" s="100"/>
      <c r="K1116" s="99"/>
      <c r="L1116" s="99"/>
      <c r="M1116" s="99"/>
      <c r="N1116" s="99"/>
      <c r="O1116" s="112"/>
      <c r="P1116" s="140" t="str">
        <f t="shared" si="188"/>
        <v/>
      </c>
      <c r="Q1116" s="140" t="str">
        <f t="shared" si="189"/>
        <v/>
      </c>
      <c r="R1116" s="140" t="str">
        <f t="shared" si="190"/>
        <v/>
      </c>
      <c r="S1116" s="140" t="str">
        <f t="shared" si="191"/>
        <v/>
      </c>
      <c r="T1116" s="140" t="str">
        <f t="shared" si="192"/>
        <v/>
      </c>
      <c r="U1116" s="140" t="str">
        <f t="shared" si="193"/>
        <v/>
      </c>
      <c r="V1116" s="99"/>
    </row>
    <row r="1117" spans="1:22">
      <c r="A1117" s="92"/>
      <c r="B1117" s="146"/>
      <c r="C1117" s="136"/>
      <c r="D1117" s="137"/>
      <c r="E1117" s="138"/>
      <c r="F1117" s="139"/>
      <c r="G1117" s="98"/>
      <c r="H1117" s="99"/>
      <c r="I1117" s="99"/>
      <c r="J1117" s="100"/>
      <c r="K1117" s="99"/>
      <c r="L1117" s="99"/>
      <c r="M1117" s="99"/>
      <c r="N1117" s="99"/>
      <c r="O1117" s="101"/>
      <c r="P1117" s="140" t="str">
        <f t="shared" si="188"/>
        <v/>
      </c>
      <c r="Q1117" s="140" t="str">
        <f t="shared" si="189"/>
        <v/>
      </c>
      <c r="R1117" s="140" t="str">
        <f t="shared" si="190"/>
        <v/>
      </c>
      <c r="S1117" s="140" t="str">
        <f t="shared" si="191"/>
        <v/>
      </c>
      <c r="T1117" s="140" t="str">
        <f t="shared" si="192"/>
        <v/>
      </c>
      <c r="U1117" s="140" t="str">
        <f t="shared" si="193"/>
        <v/>
      </c>
      <c r="V1117" s="99"/>
    </row>
    <row r="1118" spans="1:22">
      <c r="A1118" s="92"/>
      <c r="B1118" s="146"/>
      <c r="C1118" s="136"/>
      <c r="D1118" s="109">
        <f>0.3-0.08</f>
        <v>0.21999999999999997</v>
      </c>
      <c r="E1118" s="138"/>
      <c r="F1118" s="139"/>
      <c r="G1118" s="98"/>
      <c r="H1118" s="99"/>
      <c r="I1118" s="99"/>
      <c r="J1118" s="100"/>
      <c r="K1118" s="99"/>
      <c r="L1118" s="99"/>
      <c r="M1118" s="99"/>
      <c r="N1118" s="99"/>
      <c r="O1118" s="101"/>
      <c r="P1118" s="140" t="str">
        <f t="shared" si="188"/>
        <v/>
      </c>
      <c r="Q1118" s="140" t="str">
        <f t="shared" si="189"/>
        <v/>
      </c>
      <c r="R1118" s="140" t="str">
        <f t="shared" si="190"/>
        <v/>
      </c>
      <c r="S1118" s="140" t="str">
        <f t="shared" si="191"/>
        <v/>
      </c>
      <c r="T1118" s="140" t="str">
        <f t="shared" si="192"/>
        <v/>
      </c>
      <c r="U1118" s="140" t="str">
        <f t="shared" si="193"/>
        <v/>
      </c>
      <c r="V1118" s="99"/>
    </row>
    <row r="1119" spans="1:22">
      <c r="A1119" s="92"/>
      <c r="B1119" s="141"/>
      <c r="C1119" s="136"/>
      <c r="D1119" s="137"/>
      <c r="E1119" s="138"/>
      <c r="F1119" s="139"/>
      <c r="G1119" s="98"/>
      <c r="H1119" s="99"/>
      <c r="I1119" s="99"/>
      <c r="J1119" s="100"/>
      <c r="K1119" s="99"/>
      <c r="L1119" s="99"/>
      <c r="M1119" s="99"/>
      <c r="N1119" s="99"/>
      <c r="O1119" s="101"/>
      <c r="P1119" s="140" t="str">
        <f t="shared" si="188"/>
        <v/>
      </c>
      <c r="Q1119" s="140" t="str">
        <f t="shared" si="189"/>
        <v/>
      </c>
      <c r="R1119" s="140" t="str">
        <f t="shared" si="190"/>
        <v/>
      </c>
      <c r="S1119" s="140" t="str">
        <f t="shared" si="191"/>
        <v/>
      </c>
      <c r="T1119" s="140" t="str">
        <f t="shared" si="192"/>
        <v/>
      </c>
      <c r="U1119" s="140" t="str">
        <f t="shared" si="193"/>
        <v/>
      </c>
      <c r="V1119" s="99"/>
    </row>
    <row r="1120" spans="1:22">
      <c r="A1120" s="92"/>
      <c r="B1120" s="141"/>
      <c r="C1120" s="136"/>
      <c r="D1120" s="137"/>
      <c r="E1120" s="144">
        <v>0.08</v>
      </c>
      <c r="F1120" s="139"/>
      <c r="G1120" s="98"/>
      <c r="H1120" s="99"/>
      <c r="I1120" s="99"/>
      <c r="J1120" s="100"/>
      <c r="K1120" s="99"/>
      <c r="L1120" s="99"/>
      <c r="M1120" s="99"/>
      <c r="N1120" s="99"/>
      <c r="O1120" s="101"/>
      <c r="P1120" s="140" t="str">
        <f t="shared" si="188"/>
        <v/>
      </c>
      <c r="Q1120" s="140" t="str">
        <f t="shared" si="189"/>
        <v/>
      </c>
      <c r="R1120" s="140" t="str">
        <f t="shared" si="190"/>
        <v/>
      </c>
      <c r="S1120" s="140" t="str">
        <f t="shared" si="191"/>
        <v/>
      </c>
      <c r="T1120" s="140" t="str">
        <f t="shared" si="192"/>
        <v/>
      </c>
      <c r="U1120" s="140" t="str">
        <f t="shared" si="193"/>
        <v/>
      </c>
      <c r="V1120" s="99"/>
    </row>
    <row r="1121" spans="1:22">
      <c r="A1121" s="92"/>
      <c r="B1121" s="146" t="s">
        <v>390</v>
      </c>
      <c r="C1121" s="136"/>
      <c r="D1121" s="142">
        <f>0.3-0.08</f>
        <v>0.21999999999999997</v>
      </c>
      <c r="E1121" s="144"/>
      <c r="F1121" s="139"/>
      <c r="G1121" s="98">
        <v>8</v>
      </c>
      <c r="H1121" s="99">
        <v>14</v>
      </c>
      <c r="I1121" s="111">
        <f>((1.48-2*0.75)/0.15)+1</f>
        <v>0.86666666666666647</v>
      </c>
      <c r="J1121" s="149">
        <f>D1121+E1120+E1122</f>
        <v>0.38</v>
      </c>
      <c r="K1121" s="99"/>
      <c r="L1121" s="99">
        <v>2</v>
      </c>
      <c r="M1121" s="112">
        <f>2*G1121*L1121/1000</f>
        <v>3.2000000000000001E-2</v>
      </c>
      <c r="N1121" s="112">
        <f>(J1121+K1121-M1121)</f>
        <v>0.34799999999999998</v>
      </c>
      <c r="O1121" s="112">
        <f>(H1121*I1121*N1121)</f>
        <v>4.2223999999999986</v>
      </c>
      <c r="P1121" s="140">
        <f t="shared" si="188"/>
        <v>4.2223999999999986</v>
      </c>
      <c r="Q1121" s="140" t="str">
        <f t="shared" si="189"/>
        <v/>
      </c>
      <c r="R1121" s="140" t="str">
        <f t="shared" si="190"/>
        <v/>
      </c>
      <c r="S1121" s="140" t="str">
        <f t="shared" si="191"/>
        <v/>
      </c>
      <c r="T1121" s="140" t="str">
        <f t="shared" si="192"/>
        <v/>
      </c>
      <c r="U1121" s="140" t="str">
        <f t="shared" si="193"/>
        <v/>
      </c>
      <c r="V1121" s="99"/>
    </row>
    <row r="1122" spans="1:22">
      <c r="A1122" s="92"/>
      <c r="B1122" s="141"/>
      <c r="C1122" s="136"/>
      <c r="D1122" s="137"/>
      <c r="E1122" s="144">
        <v>0.08</v>
      </c>
      <c r="F1122" s="139"/>
      <c r="G1122" s="98"/>
      <c r="H1122" s="99"/>
      <c r="I1122" s="99"/>
      <c r="J1122" s="100"/>
      <c r="K1122" s="99"/>
      <c r="L1122" s="99"/>
      <c r="M1122" s="99"/>
      <c r="N1122" s="99"/>
      <c r="O1122" s="101"/>
      <c r="P1122" s="140" t="str">
        <f t="shared" si="188"/>
        <v/>
      </c>
      <c r="Q1122" s="140" t="str">
        <f t="shared" si="189"/>
        <v/>
      </c>
      <c r="R1122" s="140" t="str">
        <f t="shared" si="190"/>
        <v/>
      </c>
      <c r="S1122" s="140" t="str">
        <f t="shared" si="191"/>
        <v/>
      </c>
      <c r="T1122" s="140" t="str">
        <f t="shared" si="192"/>
        <v/>
      </c>
      <c r="U1122" s="140" t="str">
        <f t="shared" si="193"/>
        <v/>
      </c>
      <c r="V1122" s="99"/>
    </row>
    <row r="1123" spans="1:22">
      <c r="A1123" s="92"/>
      <c r="B1123" s="146"/>
      <c r="C1123" s="136"/>
      <c r="D1123" s="152"/>
      <c r="E1123" s="138"/>
      <c r="F1123" s="139"/>
      <c r="G1123" s="98"/>
      <c r="H1123" s="99"/>
      <c r="I1123" s="99"/>
      <c r="J1123" s="100"/>
      <c r="K1123" s="99"/>
      <c r="L1123" s="99"/>
      <c r="M1123" s="99"/>
      <c r="N1123" s="99"/>
      <c r="O1123" s="101"/>
      <c r="P1123" s="140" t="str">
        <f t="shared" si="105"/>
        <v/>
      </c>
      <c r="Q1123" s="140" t="str">
        <f t="shared" si="106"/>
        <v/>
      </c>
      <c r="R1123" s="140" t="str">
        <f t="shared" si="107"/>
        <v/>
      </c>
      <c r="S1123" s="140" t="str">
        <f t="shared" si="108"/>
        <v/>
      </c>
      <c r="T1123" s="140" t="str">
        <f t="shared" si="109"/>
        <v/>
      </c>
      <c r="U1123" s="140" t="str">
        <f t="shared" si="110"/>
        <v/>
      </c>
      <c r="V1123" s="99"/>
    </row>
    <row r="1124" spans="1:22">
      <c r="A1124" s="92">
        <v>7</v>
      </c>
      <c r="B1124" s="92" t="s">
        <v>393</v>
      </c>
      <c r="C1124" s="136"/>
      <c r="D1124" s="137"/>
      <c r="E1124" s="138"/>
      <c r="F1124" s="139"/>
      <c r="G1124" s="98"/>
      <c r="H1124" s="99"/>
      <c r="I1124" s="99"/>
      <c r="J1124" s="109"/>
      <c r="K1124" s="112"/>
      <c r="L1124" s="112"/>
      <c r="M1124" s="99"/>
      <c r="N1124" s="112"/>
      <c r="O1124" s="112"/>
      <c r="P1124" s="140" t="str">
        <f>IF($G1124=8,$O1124,"")</f>
        <v/>
      </c>
      <c r="Q1124" s="140" t="str">
        <f>IF($G1124=10,$O1124,"")</f>
        <v/>
      </c>
      <c r="R1124" s="140" t="str">
        <f>IF($G1124=12,$O1124,"")</f>
        <v/>
      </c>
      <c r="S1124" s="140" t="str">
        <f>IF($G1124=16,$O1124,"")</f>
        <v/>
      </c>
      <c r="T1124" s="140" t="str">
        <f>IF($G1124=20,$O1124,"")</f>
        <v/>
      </c>
      <c r="U1124" s="140" t="str">
        <f>IF($G1124=25,$O1124,"")</f>
        <v/>
      </c>
      <c r="V1124" s="99"/>
    </row>
    <row r="1125" spans="1:22">
      <c r="A1125" s="92"/>
      <c r="B1125" s="141" t="s">
        <v>378</v>
      </c>
      <c r="C1125" s="136"/>
      <c r="D1125" s="142">
        <v>1.48</v>
      </c>
      <c r="E1125" s="138"/>
      <c r="F1125" s="139"/>
      <c r="G1125" s="98">
        <v>16</v>
      </c>
      <c r="H1125" s="99">
        <v>2</v>
      </c>
      <c r="I1125" s="99">
        <v>4</v>
      </c>
      <c r="J1125" s="109">
        <f>D1125</f>
        <v>1.48</v>
      </c>
      <c r="K1125" s="110" t="str">
        <f>IF(N1125&lt;12,"0",0.049*G1125)</f>
        <v>0</v>
      </c>
      <c r="L1125" s="111">
        <v>0</v>
      </c>
      <c r="M1125" s="99">
        <f>2*G1125*L1125/1000</f>
        <v>0</v>
      </c>
      <c r="N1125" s="112">
        <f>J1125-M1125</f>
        <v>1.48</v>
      </c>
      <c r="O1125" s="112">
        <f>H1125*I1125*N1125</f>
        <v>11.84</v>
      </c>
      <c r="P1125" s="140" t="str">
        <f t="shared" si="105"/>
        <v/>
      </c>
      <c r="Q1125" s="140" t="str">
        <f t="shared" si="106"/>
        <v/>
      </c>
      <c r="R1125" s="140" t="str">
        <f t="shared" si="107"/>
        <v/>
      </c>
      <c r="S1125" s="140">
        <f t="shared" si="108"/>
        <v>11.84</v>
      </c>
      <c r="T1125" s="140" t="str">
        <f t="shared" si="109"/>
        <v/>
      </c>
      <c r="U1125" s="140" t="str">
        <f t="shared" si="110"/>
        <v/>
      </c>
      <c r="V1125" s="99"/>
    </row>
    <row r="1126" spans="1:22">
      <c r="A1126" s="92"/>
      <c r="B1126" s="141" t="s">
        <v>379</v>
      </c>
      <c r="C1126" s="136"/>
      <c r="D1126" s="137"/>
      <c r="E1126" s="138"/>
      <c r="F1126" s="139"/>
      <c r="G1126" s="98">
        <v>12</v>
      </c>
      <c r="H1126" s="99">
        <v>2</v>
      </c>
      <c r="I1126" s="99">
        <v>2</v>
      </c>
      <c r="J1126" s="109">
        <f>D1125</f>
        <v>1.48</v>
      </c>
      <c r="K1126" s="110" t="str">
        <f t="shared" ref="K1126:K1129" si="194">IF(N1126&lt;12,"0",0.049*G1126)</f>
        <v>0</v>
      </c>
      <c r="L1126" s="111">
        <v>0</v>
      </c>
      <c r="M1126" s="99">
        <f t="shared" ref="M1126:M1129" si="195">2*G1126*L1126/1000</f>
        <v>0</v>
      </c>
      <c r="N1126" s="112">
        <f t="shared" ref="N1126:N1129" si="196">J1126-M1126</f>
        <v>1.48</v>
      </c>
      <c r="O1126" s="112">
        <f>H1126*I1126*N1126</f>
        <v>5.92</v>
      </c>
      <c r="P1126" s="140" t="str">
        <f t="shared" si="105"/>
        <v/>
      </c>
      <c r="Q1126" s="140" t="str">
        <f t="shared" si="106"/>
        <v/>
      </c>
      <c r="R1126" s="140">
        <f t="shared" si="107"/>
        <v>5.92</v>
      </c>
      <c r="S1126" s="140" t="str">
        <f t="shared" si="108"/>
        <v/>
      </c>
      <c r="T1126" s="140" t="str">
        <f t="shared" si="109"/>
        <v/>
      </c>
      <c r="U1126" s="140" t="str">
        <f t="shared" si="110"/>
        <v/>
      </c>
      <c r="V1126" s="99"/>
    </row>
    <row r="1127" spans="1:22">
      <c r="A1127" s="92"/>
      <c r="B1127" s="141" t="s">
        <v>380</v>
      </c>
      <c r="C1127" s="143"/>
      <c r="D1127" s="142"/>
      <c r="E1127" s="144"/>
      <c r="F1127" s="139"/>
      <c r="G1127" s="98">
        <v>12</v>
      </c>
      <c r="H1127" s="99">
        <v>2</v>
      </c>
      <c r="I1127" s="99">
        <v>4</v>
      </c>
      <c r="J1127" s="109">
        <f>D1125</f>
        <v>1.48</v>
      </c>
      <c r="K1127" s="110" t="str">
        <f t="shared" si="194"/>
        <v>0</v>
      </c>
      <c r="L1127" s="111">
        <v>0</v>
      </c>
      <c r="M1127" s="99">
        <f t="shared" si="195"/>
        <v>0</v>
      </c>
      <c r="N1127" s="112">
        <f t="shared" si="196"/>
        <v>1.48</v>
      </c>
      <c r="O1127" s="112">
        <f>H1127*I1127*N1127</f>
        <v>11.84</v>
      </c>
      <c r="P1127" s="140" t="str">
        <f t="shared" si="105"/>
        <v/>
      </c>
      <c r="Q1127" s="140" t="str">
        <f t="shared" si="106"/>
        <v/>
      </c>
      <c r="R1127" s="140">
        <f t="shared" si="107"/>
        <v>11.84</v>
      </c>
      <c r="S1127" s="140" t="str">
        <f t="shared" si="108"/>
        <v/>
      </c>
      <c r="T1127" s="140" t="str">
        <f t="shared" si="109"/>
        <v/>
      </c>
      <c r="U1127" s="140" t="str">
        <f t="shared" si="110"/>
        <v/>
      </c>
      <c r="V1127" s="99"/>
    </row>
    <row r="1128" spans="1:22">
      <c r="A1128" s="92"/>
      <c r="B1128" s="141" t="s">
        <v>381</v>
      </c>
      <c r="C1128" s="136"/>
      <c r="D1128" s="137"/>
      <c r="E1128" s="138"/>
      <c r="F1128" s="139"/>
      <c r="G1128" s="98">
        <v>12</v>
      </c>
      <c r="H1128" s="99">
        <v>2</v>
      </c>
      <c r="I1128" s="99">
        <v>4</v>
      </c>
      <c r="J1128" s="109">
        <f>D1125</f>
        <v>1.48</v>
      </c>
      <c r="K1128" s="110" t="str">
        <f t="shared" si="194"/>
        <v>0</v>
      </c>
      <c r="L1128" s="111">
        <v>0</v>
      </c>
      <c r="M1128" s="99">
        <f t="shared" si="195"/>
        <v>0</v>
      </c>
      <c r="N1128" s="112">
        <f t="shared" si="196"/>
        <v>1.48</v>
      </c>
      <c r="O1128" s="112">
        <f>H1128*I1128*N1128</f>
        <v>11.84</v>
      </c>
      <c r="P1128" s="140" t="str">
        <f t="shared" si="105"/>
        <v/>
      </c>
      <c r="Q1128" s="140" t="str">
        <f t="shared" si="106"/>
        <v/>
      </c>
      <c r="R1128" s="140">
        <f t="shared" si="107"/>
        <v>11.84</v>
      </c>
      <c r="S1128" s="140" t="str">
        <f t="shared" si="108"/>
        <v/>
      </c>
      <c r="T1128" s="140" t="str">
        <f t="shared" si="109"/>
        <v/>
      </c>
      <c r="U1128" s="140" t="str">
        <f t="shared" si="110"/>
        <v/>
      </c>
      <c r="V1128" s="99"/>
    </row>
    <row r="1129" spans="1:22">
      <c r="A1129" s="92"/>
      <c r="B1129" s="141" t="s">
        <v>389</v>
      </c>
      <c r="C1129" s="136"/>
      <c r="D1129" s="137"/>
      <c r="E1129" s="138"/>
      <c r="F1129" s="139"/>
      <c r="G1129" s="98">
        <v>12</v>
      </c>
      <c r="H1129" s="99">
        <v>2</v>
      </c>
      <c r="I1129" s="99">
        <v>4</v>
      </c>
      <c r="J1129" s="109">
        <f>D1125</f>
        <v>1.48</v>
      </c>
      <c r="K1129" s="110" t="str">
        <f t="shared" si="194"/>
        <v>0</v>
      </c>
      <c r="L1129" s="111">
        <v>0</v>
      </c>
      <c r="M1129" s="99">
        <f t="shared" si="195"/>
        <v>0</v>
      </c>
      <c r="N1129" s="112">
        <f t="shared" si="196"/>
        <v>1.48</v>
      </c>
      <c r="O1129" s="112">
        <f>H1129*I1129*N1129</f>
        <v>11.84</v>
      </c>
      <c r="P1129" s="140" t="str">
        <f t="shared" si="105"/>
        <v/>
      </c>
      <c r="Q1129" s="140" t="str">
        <f t="shared" si="106"/>
        <v/>
      </c>
      <c r="R1129" s="140">
        <f t="shared" si="107"/>
        <v>11.84</v>
      </c>
      <c r="S1129" s="140" t="str">
        <f t="shared" si="108"/>
        <v/>
      </c>
      <c r="T1129" s="140" t="str">
        <f t="shared" si="109"/>
        <v/>
      </c>
      <c r="U1129" s="140" t="str">
        <f t="shared" si="110"/>
        <v/>
      </c>
      <c r="V1129" s="99"/>
    </row>
    <row r="1130" spans="1:22">
      <c r="A1130" s="92"/>
      <c r="B1130" s="141"/>
      <c r="C1130" s="136"/>
      <c r="D1130" s="137"/>
      <c r="E1130" s="138"/>
      <c r="F1130" s="139"/>
      <c r="G1130" s="98"/>
      <c r="H1130" s="99"/>
      <c r="I1130" s="99"/>
      <c r="J1130" s="100"/>
      <c r="K1130" s="99"/>
      <c r="L1130" s="99"/>
      <c r="M1130" s="99"/>
      <c r="N1130" s="99"/>
      <c r="O1130" s="101"/>
      <c r="P1130" s="140" t="str">
        <f t="shared" si="105"/>
        <v/>
      </c>
      <c r="Q1130" s="140" t="str">
        <f t="shared" si="106"/>
        <v/>
      </c>
      <c r="R1130" s="140" t="str">
        <f t="shared" si="107"/>
        <v/>
      </c>
      <c r="S1130" s="140" t="str">
        <f t="shared" si="108"/>
        <v/>
      </c>
      <c r="T1130" s="140" t="str">
        <f t="shared" si="109"/>
        <v/>
      </c>
      <c r="U1130" s="140" t="str">
        <f t="shared" si="110"/>
        <v/>
      </c>
      <c r="V1130" s="99"/>
    </row>
    <row r="1131" spans="1:22">
      <c r="A1131" s="92"/>
      <c r="B1131" s="429" t="s">
        <v>644</v>
      </c>
      <c r="C1131" s="145">
        <v>0.08</v>
      </c>
      <c r="D1131" s="137"/>
      <c r="E1131" s="138"/>
      <c r="F1131" s="139"/>
      <c r="G1131" s="98"/>
      <c r="H1131" s="99"/>
      <c r="I1131" s="99"/>
      <c r="J1131" s="100"/>
      <c r="K1131" s="99"/>
      <c r="L1131" s="99"/>
      <c r="M1131" s="99"/>
      <c r="N1131" s="99"/>
      <c r="O1131" s="101"/>
      <c r="P1131" s="140" t="str">
        <f t="shared" si="105"/>
        <v/>
      </c>
      <c r="Q1131" s="140" t="str">
        <f t="shared" si="106"/>
        <v/>
      </c>
      <c r="R1131" s="140" t="str">
        <f t="shared" si="107"/>
        <v/>
      </c>
      <c r="S1131" s="140" t="str">
        <f t="shared" si="108"/>
        <v/>
      </c>
      <c r="T1131" s="140" t="str">
        <f t="shared" si="109"/>
        <v/>
      </c>
      <c r="U1131" s="140" t="str">
        <f t="shared" si="110"/>
        <v/>
      </c>
      <c r="V1131" s="99"/>
    </row>
    <row r="1132" spans="1:22">
      <c r="A1132" s="92"/>
      <c r="B1132" s="146" t="s">
        <v>382</v>
      </c>
      <c r="C1132" s="147"/>
      <c r="D1132" s="137"/>
      <c r="E1132" s="148">
        <f>0.8-0.08</f>
        <v>0.72000000000000008</v>
      </c>
      <c r="F1132" s="139"/>
      <c r="G1132" s="98">
        <v>10</v>
      </c>
      <c r="H1132" s="99">
        <v>2</v>
      </c>
      <c r="I1132" s="111">
        <f>((2*0.8)/0.075)+2</f>
        <v>23.333333333333336</v>
      </c>
      <c r="J1132" s="149">
        <f>2*(D1134+E1132)+2*8*G1132/1000</f>
        <v>2.04</v>
      </c>
      <c r="K1132" s="99"/>
      <c r="L1132" s="99">
        <v>5</v>
      </c>
      <c r="M1132" s="112">
        <f>2*G1132*L1132/1000</f>
        <v>0.1</v>
      </c>
      <c r="N1132" s="112">
        <f>(J1132+K1132-M1132)</f>
        <v>1.94</v>
      </c>
      <c r="O1132" s="112">
        <f>(H1132*I1132*N1132)</f>
        <v>90.533333333333346</v>
      </c>
      <c r="P1132" s="140" t="str">
        <f t="shared" si="105"/>
        <v/>
      </c>
      <c r="Q1132" s="140">
        <f t="shared" si="106"/>
        <v>90.533333333333346</v>
      </c>
      <c r="R1132" s="140" t="str">
        <f t="shared" si="107"/>
        <v/>
      </c>
      <c r="S1132" s="140" t="str">
        <f t="shared" si="108"/>
        <v/>
      </c>
      <c r="T1132" s="140" t="str">
        <f t="shared" si="109"/>
        <v/>
      </c>
      <c r="U1132" s="140" t="str">
        <f t="shared" si="110"/>
        <v/>
      </c>
      <c r="V1132" s="99"/>
    </row>
    <row r="1133" spans="1:22">
      <c r="A1133" s="92"/>
      <c r="B1133" s="146"/>
      <c r="C1133" s="136"/>
      <c r="D1133" s="137"/>
      <c r="E1133" s="150"/>
      <c r="F1133" s="139"/>
      <c r="G1133" s="98"/>
      <c r="H1133" s="99"/>
      <c r="I1133" s="99"/>
      <c r="J1133" s="100"/>
      <c r="K1133" s="99"/>
      <c r="L1133" s="99"/>
      <c r="M1133" s="99"/>
      <c r="N1133" s="99"/>
      <c r="O1133" s="112"/>
      <c r="P1133" s="140" t="str">
        <f t="shared" si="105"/>
        <v/>
      </c>
      <c r="Q1133" s="140" t="str">
        <f t="shared" si="106"/>
        <v/>
      </c>
      <c r="R1133" s="140" t="str">
        <f t="shared" si="107"/>
        <v/>
      </c>
      <c r="S1133" s="140" t="str">
        <f t="shared" si="108"/>
        <v/>
      </c>
      <c r="T1133" s="140" t="str">
        <f t="shared" si="109"/>
        <v/>
      </c>
      <c r="U1133" s="140" t="str">
        <f t="shared" si="110"/>
        <v/>
      </c>
      <c r="V1133" s="99"/>
    </row>
    <row r="1134" spans="1:22">
      <c r="A1134" s="92"/>
      <c r="B1134" s="146"/>
      <c r="C1134" s="136"/>
      <c r="D1134" s="109">
        <f>0.3-0.08</f>
        <v>0.21999999999999997</v>
      </c>
      <c r="E1134" s="138"/>
      <c r="F1134" s="139"/>
      <c r="G1134" s="98"/>
      <c r="H1134" s="99"/>
      <c r="I1134" s="99"/>
      <c r="J1134" s="100"/>
      <c r="K1134" s="99"/>
      <c r="L1134" s="99"/>
      <c r="M1134" s="99"/>
      <c r="N1134" s="99"/>
      <c r="O1134" s="112"/>
      <c r="P1134" s="140" t="str">
        <f t="shared" si="105"/>
        <v/>
      </c>
      <c r="Q1134" s="140" t="str">
        <f t="shared" si="106"/>
        <v/>
      </c>
      <c r="R1134" s="140" t="str">
        <f t="shared" si="107"/>
        <v/>
      </c>
      <c r="S1134" s="140" t="str">
        <f t="shared" si="108"/>
        <v/>
      </c>
      <c r="T1134" s="140" t="str">
        <f t="shared" si="109"/>
        <v/>
      </c>
      <c r="U1134" s="140" t="str">
        <f t="shared" si="110"/>
        <v/>
      </c>
      <c r="V1134" s="99"/>
    </row>
    <row r="1135" spans="1:22">
      <c r="A1135" s="92"/>
      <c r="B1135" s="141"/>
      <c r="C1135" s="136"/>
      <c r="D1135" s="137"/>
      <c r="E1135" s="138"/>
      <c r="F1135" s="139"/>
      <c r="G1135" s="98"/>
      <c r="H1135" s="99"/>
      <c r="I1135" s="99"/>
      <c r="J1135" s="100"/>
      <c r="K1135" s="99"/>
      <c r="L1135" s="99"/>
      <c r="M1135" s="99"/>
      <c r="N1135" s="99"/>
      <c r="O1135" s="112"/>
      <c r="P1135" s="140" t="str">
        <f t="shared" si="105"/>
        <v/>
      </c>
      <c r="Q1135" s="140" t="str">
        <f t="shared" si="106"/>
        <v/>
      </c>
      <c r="R1135" s="140" t="str">
        <f t="shared" si="107"/>
        <v/>
      </c>
      <c r="S1135" s="140" t="str">
        <f t="shared" si="108"/>
        <v/>
      </c>
      <c r="T1135" s="140" t="str">
        <f t="shared" si="109"/>
        <v/>
      </c>
      <c r="U1135" s="140" t="str">
        <f t="shared" si="110"/>
        <v/>
      </c>
      <c r="V1135" s="99"/>
    </row>
    <row r="1136" spans="1:22">
      <c r="A1136" s="92"/>
      <c r="B1136" s="92"/>
      <c r="C1136" s="145">
        <v>0.08</v>
      </c>
      <c r="D1136" s="137"/>
      <c r="E1136" s="138"/>
      <c r="F1136" s="139"/>
      <c r="G1136" s="98"/>
      <c r="H1136" s="99"/>
      <c r="I1136" s="99"/>
      <c r="J1136" s="100"/>
      <c r="K1136" s="99"/>
      <c r="L1136" s="99"/>
      <c r="M1136" s="99"/>
      <c r="N1136" s="99"/>
      <c r="O1136" s="112"/>
      <c r="P1136" s="140" t="str">
        <f t="shared" si="105"/>
        <v/>
      </c>
      <c r="Q1136" s="140" t="str">
        <f t="shared" si="106"/>
        <v/>
      </c>
      <c r="R1136" s="140" t="str">
        <f t="shared" si="107"/>
        <v/>
      </c>
      <c r="S1136" s="140" t="str">
        <f t="shared" si="108"/>
        <v/>
      </c>
      <c r="T1136" s="140" t="str">
        <f t="shared" si="109"/>
        <v/>
      </c>
      <c r="U1136" s="140" t="str">
        <f t="shared" si="110"/>
        <v/>
      </c>
      <c r="V1136" s="99"/>
    </row>
    <row r="1137" spans="1:22">
      <c r="A1137" s="92"/>
      <c r="B1137" s="146" t="s">
        <v>383</v>
      </c>
      <c r="C1137" s="147"/>
      <c r="D1137" s="137"/>
      <c r="E1137" s="148">
        <f>((0.8-0.08-0.016)/7)+0.012+0.02</f>
        <v>0.13257142857142856</v>
      </c>
      <c r="F1137" s="139"/>
      <c r="G1137" s="98">
        <v>10</v>
      </c>
      <c r="H1137" s="99">
        <v>2</v>
      </c>
      <c r="I1137" s="111">
        <f>((2*0.8)/0.075)+2</f>
        <v>23.333333333333336</v>
      </c>
      <c r="J1137" s="149">
        <f>2*(D1139+E1137)+2*8*G1137/1000</f>
        <v>0.8651428571428571</v>
      </c>
      <c r="K1137" s="99"/>
      <c r="L1137" s="99">
        <v>5</v>
      </c>
      <c r="M1137" s="112">
        <f>2*G1137*L1137/1000</f>
        <v>0.1</v>
      </c>
      <c r="N1137" s="112">
        <f>(J1137+K1137-M1137)</f>
        <v>0.76514285714285712</v>
      </c>
      <c r="O1137" s="112">
        <f>(H1137*I1137*N1137)</f>
        <v>35.706666666666671</v>
      </c>
      <c r="P1137" s="140" t="str">
        <f t="shared" si="105"/>
        <v/>
      </c>
      <c r="Q1137" s="140">
        <f t="shared" si="106"/>
        <v>35.706666666666671</v>
      </c>
      <c r="R1137" s="140" t="str">
        <f t="shared" si="107"/>
        <v/>
      </c>
      <c r="S1137" s="140" t="str">
        <f t="shared" si="108"/>
        <v/>
      </c>
      <c r="T1137" s="140" t="str">
        <f t="shared" si="109"/>
        <v/>
      </c>
      <c r="U1137" s="140" t="str">
        <f t="shared" si="110"/>
        <v/>
      </c>
      <c r="V1137" s="99"/>
    </row>
    <row r="1138" spans="1:22">
      <c r="A1138" s="92"/>
      <c r="B1138" s="146"/>
      <c r="C1138" s="136"/>
      <c r="D1138" s="137"/>
      <c r="E1138" s="150"/>
      <c r="F1138" s="139"/>
      <c r="G1138" s="98"/>
      <c r="H1138" s="99"/>
      <c r="I1138" s="99"/>
      <c r="J1138" s="100"/>
      <c r="K1138" s="99"/>
      <c r="L1138" s="99"/>
      <c r="M1138" s="99"/>
      <c r="N1138" s="99"/>
      <c r="O1138" s="112"/>
      <c r="P1138" s="140" t="str">
        <f t="shared" si="105"/>
        <v/>
      </c>
      <c r="Q1138" s="140" t="str">
        <f t="shared" si="106"/>
        <v/>
      </c>
      <c r="R1138" s="140" t="str">
        <f t="shared" si="107"/>
        <v/>
      </c>
      <c r="S1138" s="140" t="str">
        <f t="shared" si="108"/>
        <v/>
      </c>
      <c r="T1138" s="140" t="str">
        <f t="shared" si="109"/>
        <v/>
      </c>
      <c r="U1138" s="140" t="str">
        <f t="shared" si="110"/>
        <v/>
      </c>
      <c r="V1138" s="99"/>
    </row>
    <row r="1139" spans="1:22">
      <c r="A1139" s="92"/>
      <c r="B1139" s="146"/>
      <c r="C1139" s="136"/>
      <c r="D1139" s="109">
        <f>0.3-0.08</f>
        <v>0.21999999999999997</v>
      </c>
      <c r="E1139" s="138"/>
      <c r="F1139" s="139"/>
      <c r="G1139" s="98"/>
      <c r="H1139" s="99"/>
      <c r="I1139" s="99"/>
      <c r="J1139" s="100"/>
      <c r="K1139" s="99"/>
      <c r="L1139" s="99"/>
      <c r="M1139" s="99"/>
      <c r="N1139" s="99"/>
      <c r="O1139" s="112"/>
      <c r="P1139" s="140" t="str">
        <f t="shared" si="105"/>
        <v/>
      </c>
      <c r="Q1139" s="140" t="str">
        <f t="shared" si="106"/>
        <v/>
      </c>
      <c r="R1139" s="140" t="str">
        <f t="shared" si="107"/>
        <v/>
      </c>
      <c r="S1139" s="140" t="str">
        <f t="shared" si="108"/>
        <v/>
      </c>
      <c r="T1139" s="140" t="str">
        <f t="shared" si="109"/>
        <v/>
      </c>
      <c r="U1139" s="140" t="str">
        <f t="shared" si="110"/>
        <v/>
      </c>
      <c r="V1139" s="99"/>
    </row>
    <row r="1140" spans="1:22">
      <c r="A1140" s="92"/>
      <c r="B1140" s="141"/>
      <c r="C1140" s="136"/>
      <c r="D1140" s="137"/>
      <c r="E1140" s="138"/>
      <c r="F1140" s="139"/>
      <c r="G1140" s="98"/>
      <c r="H1140" s="99"/>
      <c r="I1140" s="99"/>
      <c r="J1140" s="100"/>
      <c r="K1140" s="99"/>
      <c r="L1140" s="99"/>
      <c r="M1140" s="99"/>
      <c r="N1140" s="99"/>
      <c r="O1140" s="112"/>
      <c r="P1140" s="140" t="str">
        <f t="shared" si="105"/>
        <v/>
      </c>
      <c r="Q1140" s="140" t="str">
        <f t="shared" si="106"/>
        <v/>
      </c>
      <c r="R1140" s="140" t="str">
        <f t="shared" si="107"/>
        <v/>
      </c>
      <c r="S1140" s="140" t="str">
        <f t="shared" si="108"/>
        <v/>
      </c>
      <c r="T1140" s="140" t="str">
        <f t="shared" si="109"/>
        <v/>
      </c>
      <c r="U1140" s="140" t="str">
        <f t="shared" si="110"/>
        <v/>
      </c>
      <c r="V1140" s="99"/>
    </row>
    <row r="1141" spans="1:22">
      <c r="A1141" s="92"/>
      <c r="B1141" s="92"/>
      <c r="C1141" s="145">
        <v>0.08</v>
      </c>
      <c r="D1141" s="137"/>
      <c r="E1141" s="138"/>
      <c r="F1141" s="139"/>
      <c r="G1141" s="98"/>
      <c r="H1141" s="99"/>
      <c r="I1141" s="99"/>
      <c r="J1141" s="100"/>
      <c r="K1141" s="99"/>
      <c r="L1141" s="99"/>
      <c r="M1141" s="99"/>
      <c r="N1141" s="99"/>
      <c r="O1141" s="112"/>
      <c r="P1141" s="140" t="str">
        <f t="shared" si="105"/>
        <v/>
      </c>
      <c r="Q1141" s="140" t="str">
        <f t="shared" si="106"/>
        <v/>
      </c>
      <c r="R1141" s="140" t="str">
        <f t="shared" si="107"/>
        <v/>
      </c>
      <c r="S1141" s="140" t="str">
        <f t="shared" si="108"/>
        <v/>
      </c>
      <c r="T1141" s="140" t="str">
        <f t="shared" si="109"/>
        <v/>
      </c>
      <c r="U1141" s="140" t="str">
        <f t="shared" si="110"/>
        <v/>
      </c>
      <c r="V1141" s="99"/>
    </row>
    <row r="1142" spans="1:22">
      <c r="A1142" s="92"/>
      <c r="B1142" s="146" t="s">
        <v>384</v>
      </c>
      <c r="C1142" s="147"/>
      <c r="D1142" s="137"/>
      <c r="E1142" s="148">
        <f>((0.8-0.08-0.016)/7)+0.012+0.02</f>
        <v>0.13257142857142856</v>
      </c>
      <c r="F1142" s="139"/>
      <c r="G1142" s="98">
        <v>10</v>
      </c>
      <c r="H1142" s="99">
        <v>2</v>
      </c>
      <c r="I1142" s="111">
        <f>((2*0.8)/0.075)+2</f>
        <v>23.333333333333336</v>
      </c>
      <c r="J1142" s="149">
        <f>2*(D1144+E1142)+2*8*G1142/1000</f>
        <v>0.8651428571428571</v>
      </c>
      <c r="K1142" s="99"/>
      <c r="L1142" s="99">
        <v>5</v>
      </c>
      <c r="M1142" s="112">
        <f>2*G1142*L1142/1000</f>
        <v>0.1</v>
      </c>
      <c r="N1142" s="112">
        <f>(J1142+K1142-M1142)</f>
        <v>0.76514285714285712</v>
      </c>
      <c r="O1142" s="112">
        <f>(H1142*I1142*N1142)</f>
        <v>35.706666666666671</v>
      </c>
      <c r="P1142" s="140" t="str">
        <f t="shared" si="105"/>
        <v/>
      </c>
      <c r="Q1142" s="140">
        <f t="shared" si="106"/>
        <v>35.706666666666671</v>
      </c>
      <c r="R1142" s="140" t="str">
        <f t="shared" si="107"/>
        <v/>
      </c>
      <c r="S1142" s="140" t="str">
        <f t="shared" si="108"/>
        <v/>
      </c>
      <c r="T1142" s="140" t="str">
        <f t="shared" si="109"/>
        <v/>
      </c>
      <c r="U1142" s="140" t="str">
        <f t="shared" si="110"/>
        <v/>
      </c>
      <c r="V1142" s="99"/>
    </row>
    <row r="1143" spans="1:22">
      <c r="A1143" s="92"/>
      <c r="B1143" s="146"/>
      <c r="C1143" s="136"/>
      <c r="D1143" s="137"/>
      <c r="E1143" s="150"/>
      <c r="F1143" s="139"/>
      <c r="G1143" s="98"/>
      <c r="H1143" s="99"/>
      <c r="I1143" s="99"/>
      <c r="J1143" s="100"/>
      <c r="K1143" s="99"/>
      <c r="L1143" s="99"/>
      <c r="M1143" s="99"/>
      <c r="N1143" s="99"/>
      <c r="O1143" s="112"/>
      <c r="P1143" s="140" t="str">
        <f t="shared" si="105"/>
        <v/>
      </c>
      <c r="Q1143" s="140" t="str">
        <f t="shared" si="106"/>
        <v/>
      </c>
      <c r="R1143" s="140" t="str">
        <f t="shared" si="107"/>
        <v/>
      </c>
      <c r="S1143" s="140" t="str">
        <f t="shared" si="108"/>
        <v/>
      </c>
      <c r="T1143" s="140" t="str">
        <f t="shared" si="109"/>
        <v/>
      </c>
      <c r="U1143" s="140" t="str">
        <f t="shared" si="110"/>
        <v/>
      </c>
      <c r="V1143" s="99"/>
    </row>
    <row r="1144" spans="1:22">
      <c r="A1144" s="92"/>
      <c r="B1144" s="146"/>
      <c r="C1144" s="136"/>
      <c r="D1144" s="109">
        <f>0.3-0.08</f>
        <v>0.21999999999999997</v>
      </c>
      <c r="E1144" s="138"/>
      <c r="F1144" s="139"/>
      <c r="G1144" s="98"/>
      <c r="H1144" s="99"/>
      <c r="I1144" s="99"/>
      <c r="J1144" s="100"/>
      <c r="K1144" s="99"/>
      <c r="L1144" s="99"/>
      <c r="M1144" s="99"/>
      <c r="N1144" s="99"/>
      <c r="O1144" s="112"/>
      <c r="P1144" s="140" t="str">
        <f t="shared" si="105"/>
        <v/>
      </c>
      <c r="Q1144" s="140" t="str">
        <f t="shared" si="106"/>
        <v/>
      </c>
      <c r="R1144" s="140" t="str">
        <f t="shared" si="107"/>
        <v/>
      </c>
      <c r="S1144" s="140" t="str">
        <f t="shared" si="108"/>
        <v/>
      </c>
      <c r="T1144" s="140" t="str">
        <f t="shared" si="109"/>
        <v/>
      </c>
      <c r="U1144" s="140" t="str">
        <f t="shared" si="110"/>
        <v/>
      </c>
      <c r="V1144" s="99"/>
    </row>
    <row r="1145" spans="1:22">
      <c r="A1145" s="92"/>
      <c r="B1145" s="146"/>
      <c r="C1145" s="136"/>
      <c r="D1145" s="137"/>
      <c r="E1145" s="138"/>
      <c r="F1145" s="139"/>
      <c r="G1145" s="98"/>
      <c r="H1145" s="99"/>
      <c r="I1145" s="99"/>
      <c r="J1145" s="100"/>
      <c r="K1145" s="99"/>
      <c r="L1145" s="99"/>
      <c r="M1145" s="99"/>
      <c r="N1145" s="99"/>
      <c r="O1145" s="112"/>
      <c r="P1145" s="140" t="str">
        <f t="shared" si="105"/>
        <v/>
      </c>
      <c r="Q1145" s="140" t="str">
        <f t="shared" si="106"/>
        <v/>
      </c>
      <c r="R1145" s="140" t="str">
        <f t="shared" si="107"/>
        <v/>
      </c>
      <c r="S1145" s="140" t="str">
        <f t="shared" si="108"/>
        <v/>
      </c>
      <c r="T1145" s="140" t="str">
        <f t="shared" si="109"/>
        <v/>
      </c>
      <c r="U1145" s="140" t="str">
        <f t="shared" si="110"/>
        <v/>
      </c>
      <c r="V1145" s="99"/>
    </row>
    <row r="1146" spans="1:22">
      <c r="A1146" s="92"/>
      <c r="B1146" s="146" t="s">
        <v>385</v>
      </c>
      <c r="C1146" s="136"/>
      <c r="D1146" s="142"/>
      <c r="E1146" s="138"/>
      <c r="F1146" s="139"/>
      <c r="G1146" s="98">
        <v>10</v>
      </c>
      <c r="H1146" s="99">
        <v>2</v>
      </c>
      <c r="I1146" s="111">
        <f>((2*0.8)/0.075)+2</f>
        <v>23.333333333333336</v>
      </c>
      <c r="J1146" s="149">
        <f>C1147+D1149+E1147+2*8*G1146/1000</f>
        <v>0.73</v>
      </c>
      <c r="K1146" s="99"/>
      <c r="L1146" s="99">
        <v>4</v>
      </c>
      <c r="M1146" s="112">
        <f>2*G1146*L1146/1000</f>
        <v>0.08</v>
      </c>
      <c r="N1146" s="112">
        <f>(J1146+K1146-M1146)</f>
        <v>0.65</v>
      </c>
      <c r="O1146" s="112">
        <f>(H1146*I1146*N1146)</f>
        <v>30.333333333333336</v>
      </c>
      <c r="P1146" s="140" t="str">
        <f t="shared" si="105"/>
        <v/>
      </c>
      <c r="Q1146" s="140">
        <f t="shared" si="106"/>
        <v>30.333333333333336</v>
      </c>
      <c r="R1146" s="140" t="str">
        <f t="shared" si="107"/>
        <v/>
      </c>
      <c r="S1146" s="140" t="str">
        <f t="shared" si="108"/>
        <v/>
      </c>
      <c r="T1146" s="140" t="str">
        <f t="shared" si="109"/>
        <v/>
      </c>
      <c r="U1146" s="140" t="str">
        <f t="shared" si="110"/>
        <v/>
      </c>
      <c r="V1146" s="99"/>
    </row>
    <row r="1147" spans="1:22">
      <c r="A1147" s="92"/>
      <c r="B1147" s="146"/>
      <c r="C1147" s="151">
        <v>0.17499999999999999</v>
      </c>
      <c r="D1147" s="137"/>
      <c r="E1147" s="138">
        <v>0.17499999999999999</v>
      </c>
      <c r="F1147" s="139"/>
      <c r="G1147" s="98"/>
      <c r="H1147" s="99"/>
      <c r="I1147" s="99"/>
      <c r="J1147" s="100"/>
      <c r="K1147" s="99"/>
      <c r="L1147" s="99"/>
      <c r="M1147" s="99"/>
      <c r="N1147" s="99"/>
      <c r="O1147" s="112"/>
      <c r="P1147" s="140" t="str">
        <f>IF($G1147=8,$O1147,"")</f>
        <v/>
      </c>
      <c r="Q1147" s="140" t="str">
        <f>IF($G1147=10,$O1147,"")</f>
        <v/>
      </c>
      <c r="R1147" s="140" t="str">
        <f>IF($G1147=12,$O1147,"")</f>
        <v/>
      </c>
      <c r="S1147" s="140" t="str">
        <f>IF($G1147=16,$O1147,"")</f>
        <v/>
      </c>
      <c r="T1147" s="140" t="str">
        <f>IF($G1147=20,$O1147,"")</f>
        <v/>
      </c>
      <c r="U1147" s="140" t="str">
        <f>IF($G1147=25,$O1147,"")</f>
        <v/>
      </c>
      <c r="V1147" s="99"/>
    </row>
    <row r="1148" spans="1:22">
      <c r="A1148" s="92"/>
      <c r="B1148" s="146"/>
      <c r="C1148" s="136"/>
      <c r="D1148" s="137"/>
      <c r="E1148" s="138"/>
      <c r="F1148" s="139"/>
      <c r="G1148" s="98"/>
      <c r="H1148" s="99"/>
      <c r="I1148" s="99"/>
      <c r="J1148" s="100"/>
      <c r="K1148" s="99"/>
      <c r="L1148" s="99"/>
      <c r="M1148" s="99"/>
      <c r="N1148" s="99"/>
      <c r="O1148" s="112"/>
      <c r="P1148" s="140" t="str">
        <f t="shared" si="105"/>
        <v/>
      </c>
      <c r="Q1148" s="140" t="str">
        <f t="shared" si="106"/>
        <v/>
      </c>
      <c r="R1148" s="140" t="str">
        <f t="shared" si="107"/>
        <v/>
      </c>
      <c r="S1148" s="140" t="str">
        <f t="shared" si="108"/>
        <v/>
      </c>
      <c r="T1148" s="140" t="str">
        <f t="shared" si="109"/>
        <v/>
      </c>
      <c r="U1148" s="140" t="str">
        <f t="shared" si="110"/>
        <v/>
      </c>
      <c r="V1148" s="99"/>
    </row>
    <row r="1149" spans="1:22">
      <c r="A1149" s="92"/>
      <c r="B1149" s="146"/>
      <c r="C1149" s="136"/>
      <c r="D1149" s="109">
        <f>0.3-0.08</f>
        <v>0.21999999999999997</v>
      </c>
      <c r="E1149" s="138"/>
      <c r="F1149" s="139"/>
      <c r="G1149" s="98"/>
      <c r="H1149" s="99"/>
      <c r="I1149" s="99"/>
      <c r="J1149" s="100"/>
      <c r="K1149" s="99"/>
      <c r="L1149" s="99"/>
      <c r="M1149" s="99"/>
      <c r="N1149" s="99"/>
      <c r="O1149" s="112"/>
      <c r="P1149" s="140" t="str">
        <f t="shared" si="105"/>
        <v/>
      </c>
      <c r="Q1149" s="140" t="str">
        <f t="shared" si="106"/>
        <v/>
      </c>
      <c r="R1149" s="140" t="str">
        <f t="shared" si="107"/>
        <v/>
      </c>
      <c r="S1149" s="140" t="str">
        <f t="shared" si="108"/>
        <v/>
      </c>
      <c r="T1149" s="140" t="str">
        <f t="shared" si="109"/>
        <v/>
      </c>
      <c r="U1149" s="140" t="str">
        <f t="shared" si="110"/>
        <v/>
      </c>
      <c r="V1149" s="99"/>
    </row>
    <row r="1150" spans="1:22">
      <c r="A1150" s="92"/>
      <c r="B1150" s="146"/>
      <c r="C1150" s="136"/>
      <c r="D1150" s="137"/>
      <c r="E1150" s="138"/>
      <c r="F1150" s="139"/>
      <c r="G1150" s="98"/>
      <c r="H1150" s="99"/>
      <c r="I1150" s="99"/>
      <c r="J1150" s="100"/>
      <c r="K1150" s="99"/>
      <c r="L1150" s="99"/>
      <c r="M1150" s="99"/>
      <c r="N1150" s="99"/>
      <c r="O1150" s="112"/>
      <c r="P1150" s="140" t="str">
        <f t="shared" si="105"/>
        <v/>
      </c>
      <c r="Q1150" s="140" t="str">
        <f t="shared" si="106"/>
        <v/>
      </c>
      <c r="R1150" s="140" t="str">
        <f t="shared" si="107"/>
        <v/>
      </c>
      <c r="S1150" s="140" t="str">
        <f t="shared" si="108"/>
        <v/>
      </c>
      <c r="T1150" s="140" t="str">
        <f t="shared" si="109"/>
        <v/>
      </c>
      <c r="U1150" s="140" t="str">
        <f t="shared" si="110"/>
        <v/>
      </c>
      <c r="V1150" s="99"/>
    </row>
    <row r="1151" spans="1:22">
      <c r="A1151" s="92"/>
      <c r="B1151" s="146" t="s">
        <v>390</v>
      </c>
      <c r="C1151" s="136"/>
      <c r="D1151" s="142"/>
      <c r="E1151" s="138"/>
      <c r="F1151" s="139"/>
      <c r="G1151" s="98">
        <v>10</v>
      </c>
      <c r="H1151" s="99">
        <v>2</v>
      </c>
      <c r="I1151" s="111">
        <f>((2*0.8)/0.075)+2</f>
        <v>23.333333333333336</v>
      </c>
      <c r="J1151" s="149">
        <f>C1152+D1154+E1152+2*8*G1151/1000</f>
        <v>0.73</v>
      </c>
      <c r="K1151" s="99"/>
      <c r="L1151" s="99">
        <v>4</v>
      </c>
      <c r="M1151" s="112">
        <f>2*G1151*L1151/1000</f>
        <v>0.08</v>
      </c>
      <c r="N1151" s="112">
        <f>(J1151+K1151-M1151)</f>
        <v>0.65</v>
      </c>
      <c r="O1151" s="112">
        <f>(H1151*I1151*N1151)</f>
        <v>30.333333333333336</v>
      </c>
      <c r="P1151" s="140" t="str">
        <f t="shared" si="105"/>
        <v/>
      </c>
      <c r="Q1151" s="140">
        <f t="shared" si="106"/>
        <v>30.333333333333336</v>
      </c>
      <c r="R1151" s="140" t="str">
        <f t="shared" si="107"/>
        <v/>
      </c>
      <c r="S1151" s="140" t="str">
        <f t="shared" si="108"/>
        <v/>
      </c>
      <c r="T1151" s="140" t="str">
        <f t="shared" si="109"/>
        <v/>
      </c>
      <c r="U1151" s="140" t="str">
        <f t="shared" si="110"/>
        <v/>
      </c>
      <c r="V1151" s="99"/>
    </row>
    <row r="1152" spans="1:22">
      <c r="A1152" s="92"/>
      <c r="B1152" s="146"/>
      <c r="C1152" s="151">
        <v>0.17499999999999999</v>
      </c>
      <c r="D1152" s="137"/>
      <c r="E1152" s="138">
        <v>0.17499999999999999</v>
      </c>
      <c r="F1152" s="139"/>
      <c r="G1152" s="98"/>
      <c r="H1152" s="99"/>
      <c r="I1152" s="99"/>
      <c r="J1152" s="100"/>
      <c r="K1152" s="99"/>
      <c r="L1152" s="99"/>
      <c r="M1152" s="99"/>
      <c r="N1152" s="99"/>
      <c r="O1152" s="112"/>
      <c r="P1152" s="140" t="str">
        <f t="shared" si="105"/>
        <v/>
      </c>
      <c r="Q1152" s="140" t="str">
        <f t="shared" si="106"/>
        <v/>
      </c>
      <c r="R1152" s="140" t="str">
        <f t="shared" si="107"/>
        <v/>
      </c>
      <c r="S1152" s="140" t="str">
        <f t="shared" si="108"/>
        <v/>
      </c>
      <c r="T1152" s="140" t="str">
        <f t="shared" si="109"/>
        <v/>
      </c>
      <c r="U1152" s="140" t="str">
        <f t="shared" si="110"/>
        <v/>
      </c>
      <c r="V1152" s="99"/>
    </row>
    <row r="1153" spans="1:22">
      <c r="A1153" s="92"/>
      <c r="B1153" s="146"/>
      <c r="C1153" s="136"/>
      <c r="D1153" s="137"/>
      <c r="E1153" s="138"/>
      <c r="F1153" s="139"/>
      <c r="G1153" s="98"/>
      <c r="H1153" s="99"/>
      <c r="I1153" s="99"/>
      <c r="J1153" s="100"/>
      <c r="K1153" s="99"/>
      <c r="L1153" s="99"/>
      <c r="M1153" s="99"/>
      <c r="N1153" s="99"/>
      <c r="O1153" s="101"/>
      <c r="P1153" s="140" t="str">
        <f t="shared" si="105"/>
        <v/>
      </c>
      <c r="Q1153" s="140" t="str">
        <f t="shared" si="106"/>
        <v/>
      </c>
      <c r="R1153" s="140" t="str">
        <f t="shared" si="107"/>
        <v/>
      </c>
      <c r="S1153" s="140" t="str">
        <f t="shared" si="108"/>
        <v/>
      </c>
      <c r="T1153" s="140" t="str">
        <f t="shared" si="109"/>
        <v/>
      </c>
      <c r="U1153" s="140" t="str">
        <f t="shared" si="110"/>
        <v/>
      </c>
      <c r="V1153" s="99"/>
    </row>
    <row r="1154" spans="1:22">
      <c r="A1154" s="92"/>
      <c r="B1154" s="146"/>
      <c r="C1154" s="136"/>
      <c r="D1154" s="109">
        <f>0.3-0.08</f>
        <v>0.21999999999999997</v>
      </c>
      <c r="E1154" s="138"/>
      <c r="F1154" s="139"/>
      <c r="G1154" s="98"/>
      <c r="H1154" s="99"/>
      <c r="I1154" s="99"/>
      <c r="J1154" s="100"/>
      <c r="K1154" s="99"/>
      <c r="L1154" s="99"/>
      <c r="M1154" s="99"/>
      <c r="N1154" s="99"/>
      <c r="O1154" s="101"/>
      <c r="P1154" s="140" t="str">
        <f t="shared" si="105"/>
        <v/>
      </c>
      <c r="Q1154" s="140" t="str">
        <f t="shared" si="106"/>
        <v/>
      </c>
      <c r="R1154" s="140" t="str">
        <f t="shared" si="107"/>
        <v/>
      </c>
      <c r="S1154" s="140" t="str">
        <f t="shared" si="108"/>
        <v/>
      </c>
      <c r="T1154" s="140" t="str">
        <f t="shared" si="109"/>
        <v/>
      </c>
      <c r="U1154" s="140" t="str">
        <f t="shared" si="110"/>
        <v/>
      </c>
      <c r="V1154" s="99"/>
    </row>
    <row r="1155" spans="1:22">
      <c r="A1155" s="92"/>
      <c r="B1155" s="141"/>
      <c r="C1155" s="136"/>
      <c r="D1155" s="137"/>
      <c r="E1155" s="138"/>
      <c r="F1155" s="139"/>
      <c r="G1155" s="98"/>
      <c r="H1155" s="99"/>
      <c r="I1155" s="99"/>
      <c r="J1155" s="100"/>
      <c r="K1155" s="99"/>
      <c r="L1155" s="99"/>
      <c r="M1155" s="99"/>
      <c r="N1155" s="99"/>
      <c r="O1155" s="101"/>
      <c r="P1155" s="140" t="str">
        <f t="shared" ref="P1155:P1225" si="197">IF($G1155=8,$O1155,"")</f>
        <v/>
      </c>
      <c r="Q1155" s="140" t="str">
        <f t="shared" ref="Q1155:Q1225" si="198">IF($G1155=10,$O1155,"")</f>
        <v/>
      </c>
      <c r="R1155" s="140" t="str">
        <f t="shared" ref="R1155:R1225" si="199">IF($G1155=12,$O1155,"")</f>
        <v/>
      </c>
      <c r="S1155" s="140" t="str">
        <f t="shared" ref="S1155:S1225" si="200">IF($G1155=16,$O1155,"")</f>
        <v/>
      </c>
      <c r="T1155" s="140" t="str">
        <f t="shared" ref="T1155:T1225" si="201">IF($G1155=20,$O1155,"")</f>
        <v/>
      </c>
      <c r="U1155" s="140" t="str">
        <f t="shared" ref="U1155:U1225" si="202">IF($G1155=25,$O1155,"")</f>
        <v/>
      </c>
      <c r="V1155" s="99"/>
    </row>
    <row r="1156" spans="1:22">
      <c r="A1156" s="92"/>
      <c r="B1156" s="429" t="s">
        <v>645</v>
      </c>
      <c r="C1156" s="145">
        <v>0.08</v>
      </c>
      <c r="D1156" s="137"/>
      <c r="E1156" s="138"/>
      <c r="F1156" s="139"/>
      <c r="G1156" s="98"/>
      <c r="H1156" s="99"/>
      <c r="I1156" s="99"/>
      <c r="J1156" s="100"/>
      <c r="K1156" s="99"/>
      <c r="L1156" s="99"/>
      <c r="M1156" s="99"/>
      <c r="N1156" s="99"/>
      <c r="O1156" s="101"/>
      <c r="P1156" s="140" t="str">
        <f t="shared" si="197"/>
        <v/>
      </c>
      <c r="Q1156" s="140" t="str">
        <f t="shared" si="198"/>
        <v/>
      </c>
      <c r="R1156" s="140" t="str">
        <f t="shared" si="199"/>
        <v/>
      </c>
      <c r="S1156" s="140" t="str">
        <f t="shared" si="200"/>
        <v/>
      </c>
      <c r="T1156" s="140" t="str">
        <f t="shared" si="201"/>
        <v/>
      </c>
      <c r="U1156" s="140" t="str">
        <f t="shared" si="202"/>
        <v/>
      </c>
      <c r="V1156" s="99"/>
    </row>
    <row r="1157" spans="1:22">
      <c r="A1157" s="92"/>
      <c r="B1157" s="146" t="s">
        <v>382</v>
      </c>
      <c r="C1157" s="147"/>
      <c r="D1157" s="137"/>
      <c r="E1157" s="148">
        <f>0.8-0.08</f>
        <v>0.72000000000000008</v>
      </c>
      <c r="F1157" s="139"/>
      <c r="G1157" s="98">
        <v>8</v>
      </c>
      <c r="H1157" s="99">
        <v>2</v>
      </c>
      <c r="I1157" s="111">
        <f>((1.48-2*0.75)/0.15)+1</f>
        <v>0.86666666666666647</v>
      </c>
      <c r="J1157" s="149">
        <f>2*(D1159+E1157)+2*8*G1157/1000</f>
        <v>2.008</v>
      </c>
      <c r="K1157" s="99"/>
      <c r="L1157" s="99">
        <v>5</v>
      </c>
      <c r="M1157" s="112">
        <f>2*G1157*L1157/1000</f>
        <v>0.08</v>
      </c>
      <c r="N1157" s="112">
        <f>(J1157+K1157-M1157)</f>
        <v>1.9279999999999999</v>
      </c>
      <c r="O1157" s="112">
        <f>(H1157*I1157*N1157)</f>
        <v>3.3418666666666659</v>
      </c>
      <c r="P1157" s="140">
        <f t="shared" si="197"/>
        <v>3.3418666666666659</v>
      </c>
      <c r="Q1157" s="140" t="str">
        <f t="shared" si="198"/>
        <v/>
      </c>
      <c r="R1157" s="140" t="str">
        <f t="shared" si="199"/>
        <v/>
      </c>
      <c r="S1157" s="140" t="str">
        <f t="shared" si="200"/>
        <v/>
      </c>
      <c r="T1157" s="140" t="str">
        <f t="shared" si="201"/>
        <v/>
      </c>
      <c r="U1157" s="140" t="str">
        <f t="shared" si="202"/>
        <v/>
      </c>
      <c r="V1157" s="99"/>
    </row>
    <row r="1158" spans="1:22">
      <c r="A1158" s="92"/>
      <c r="B1158" s="146"/>
      <c r="C1158" s="136"/>
      <c r="D1158" s="137"/>
      <c r="E1158" s="150"/>
      <c r="F1158" s="139"/>
      <c r="G1158" s="98"/>
      <c r="H1158" s="99"/>
      <c r="I1158" s="99"/>
      <c r="J1158" s="100"/>
      <c r="K1158" s="99"/>
      <c r="L1158" s="99"/>
      <c r="M1158" s="99"/>
      <c r="N1158" s="99"/>
      <c r="O1158" s="112"/>
      <c r="P1158" s="140" t="str">
        <f t="shared" si="197"/>
        <v/>
      </c>
      <c r="Q1158" s="140" t="str">
        <f t="shared" si="198"/>
        <v/>
      </c>
      <c r="R1158" s="140" t="str">
        <f t="shared" si="199"/>
        <v/>
      </c>
      <c r="S1158" s="140" t="str">
        <f t="shared" si="200"/>
        <v/>
      </c>
      <c r="T1158" s="140" t="str">
        <f t="shared" si="201"/>
        <v/>
      </c>
      <c r="U1158" s="140" t="str">
        <f t="shared" si="202"/>
        <v/>
      </c>
      <c r="V1158" s="99"/>
    </row>
    <row r="1159" spans="1:22">
      <c r="A1159" s="92"/>
      <c r="B1159" s="146"/>
      <c r="C1159" s="136"/>
      <c r="D1159" s="109">
        <f>0.3-0.08</f>
        <v>0.21999999999999997</v>
      </c>
      <c r="E1159" s="138"/>
      <c r="F1159" s="139"/>
      <c r="G1159" s="98"/>
      <c r="H1159" s="99"/>
      <c r="I1159" s="99"/>
      <c r="J1159" s="100"/>
      <c r="K1159" s="99"/>
      <c r="L1159" s="99"/>
      <c r="M1159" s="99"/>
      <c r="N1159" s="99"/>
      <c r="O1159" s="112"/>
      <c r="P1159" s="140" t="str">
        <f t="shared" si="197"/>
        <v/>
      </c>
      <c r="Q1159" s="140" t="str">
        <f t="shared" si="198"/>
        <v/>
      </c>
      <c r="R1159" s="140" t="str">
        <f t="shared" si="199"/>
        <v/>
      </c>
      <c r="S1159" s="140" t="str">
        <f t="shared" si="200"/>
        <v/>
      </c>
      <c r="T1159" s="140" t="str">
        <f t="shared" si="201"/>
        <v/>
      </c>
      <c r="U1159" s="140" t="str">
        <f t="shared" si="202"/>
        <v/>
      </c>
      <c r="V1159" s="99"/>
    </row>
    <row r="1160" spans="1:22">
      <c r="A1160" s="92"/>
      <c r="B1160" s="141"/>
      <c r="C1160" s="136"/>
      <c r="D1160" s="137"/>
      <c r="E1160" s="138"/>
      <c r="F1160" s="139"/>
      <c r="G1160" s="98"/>
      <c r="H1160" s="99"/>
      <c r="I1160" s="99"/>
      <c r="J1160" s="100"/>
      <c r="K1160" s="99"/>
      <c r="L1160" s="99"/>
      <c r="M1160" s="99"/>
      <c r="N1160" s="99"/>
      <c r="O1160" s="112"/>
      <c r="P1160" s="140" t="str">
        <f t="shared" si="197"/>
        <v/>
      </c>
      <c r="Q1160" s="140" t="str">
        <f t="shared" si="198"/>
        <v/>
      </c>
      <c r="R1160" s="140" t="str">
        <f t="shared" si="199"/>
        <v/>
      </c>
      <c r="S1160" s="140" t="str">
        <f t="shared" si="200"/>
        <v/>
      </c>
      <c r="T1160" s="140" t="str">
        <f t="shared" si="201"/>
        <v/>
      </c>
      <c r="U1160" s="140" t="str">
        <f t="shared" si="202"/>
        <v/>
      </c>
      <c r="V1160" s="99"/>
    </row>
    <row r="1161" spans="1:22">
      <c r="A1161" s="92"/>
      <c r="B1161" s="92"/>
      <c r="C1161" s="145">
        <v>0.08</v>
      </c>
      <c r="D1161" s="137"/>
      <c r="E1161" s="138"/>
      <c r="F1161" s="139"/>
      <c r="G1161" s="98"/>
      <c r="H1161" s="99"/>
      <c r="I1161" s="99"/>
      <c r="J1161" s="100"/>
      <c r="K1161" s="99"/>
      <c r="L1161" s="99"/>
      <c r="M1161" s="99"/>
      <c r="N1161" s="99"/>
      <c r="O1161" s="112"/>
      <c r="P1161" s="140" t="str">
        <f t="shared" si="197"/>
        <v/>
      </c>
      <c r="Q1161" s="140" t="str">
        <f t="shared" si="198"/>
        <v/>
      </c>
      <c r="R1161" s="140" t="str">
        <f t="shared" si="199"/>
        <v/>
      </c>
      <c r="S1161" s="140" t="str">
        <f t="shared" si="200"/>
        <v/>
      </c>
      <c r="T1161" s="140" t="str">
        <f t="shared" si="201"/>
        <v/>
      </c>
      <c r="U1161" s="140" t="str">
        <f t="shared" si="202"/>
        <v/>
      </c>
      <c r="V1161" s="99"/>
    </row>
    <row r="1162" spans="1:22">
      <c r="A1162" s="92"/>
      <c r="B1162" s="146" t="s">
        <v>383</v>
      </c>
      <c r="C1162" s="147"/>
      <c r="D1162" s="137"/>
      <c r="E1162" s="148">
        <f>((0.8-0.08-0.016)/7)+0.012+0.02</f>
        <v>0.13257142857142856</v>
      </c>
      <c r="F1162" s="139"/>
      <c r="G1162" s="98">
        <v>8</v>
      </c>
      <c r="H1162" s="99">
        <v>2</v>
      </c>
      <c r="I1162" s="111">
        <f>((1.48-2*0.75)/0.15)+1</f>
        <v>0.86666666666666647</v>
      </c>
      <c r="J1162" s="149">
        <f>2*(D1164+E1162)+2*8*G1162/1000</f>
        <v>0.83314285714285707</v>
      </c>
      <c r="K1162" s="99"/>
      <c r="L1162" s="99">
        <v>5</v>
      </c>
      <c r="M1162" s="112">
        <f>2*G1162*L1162/1000</f>
        <v>0.08</v>
      </c>
      <c r="N1162" s="112">
        <f>(J1162+K1162-M1162)</f>
        <v>0.75314285714285711</v>
      </c>
      <c r="O1162" s="112">
        <f>(H1162*I1162*N1162)</f>
        <v>1.3054476190476187</v>
      </c>
      <c r="P1162" s="140">
        <f t="shared" si="197"/>
        <v>1.3054476190476187</v>
      </c>
      <c r="Q1162" s="140" t="str">
        <f t="shared" si="198"/>
        <v/>
      </c>
      <c r="R1162" s="140" t="str">
        <f t="shared" si="199"/>
        <v/>
      </c>
      <c r="S1162" s="140" t="str">
        <f t="shared" si="200"/>
        <v/>
      </c>
      <c r="T1162" s="140" t="str">
        <f t="shared" si="201"/>
        <v/>
      </c>
      <c r="U1162" s="140" t="str">
        <f t="shared" si="202"/>
        <v/>
      </c>
      <c r="V1162" s="99"/>
    </row>
    <row r="1163" spans="1:22">
      <c r="A1163" s="92"/>
      <c r="B1163" s="146"/>
      <c r="C1163" s="136"/>
      <c r="D1163" s="137"/>
      <c r="E1163" s="150"/>
      <c r="F1163" s="139"/>
      <c r="G1163" s="98"/>
      <c r="H1163" s="99"/>
      <c r="I1163" s="99"/>
      <c r="J1163" s="100"/>
      <c r="K1163" s="99"/>
      <c r="L1163" s="99"/>
      <c r="M1163" s="99"/>
      <c r="N1163" s="99"/>
      <c r="O1163" s="112"/>
      <c r="P1163" s="140" t="str">
        <f t="shared" si="197"/>
        <v/>
      </c>
      <c r="Q1163" s="140" t="str">
        <f t="shared" si="198"/>
        <v/>
      </c>
      <c r="R1163" s="140" t="str">
        <f t="shared" si="199"/>
        <v/>
      </c>
      <c r="S1163" s="140" t="str">
        <f t="shared" si="200"/>
        <v/>
      </c>
      <c r="T1163" s="140" t="str">
        <f t="shared" si="201"/>
        <v/>
      </c>
      <c r="U1163" s="140" t="str">
        <f t="shared" si="202"/>
        <v/>
      </c>
      <c r="V1163" s="99"/>
    </row>
    <row r="1164" spans="1:22">
      <c r="A1164" s="92"/>
      <c r="B1164" s="146"/>
      <c r="C1164" s="136"/>
      <c r="D1164" s="109">
        <f>0.3-0.08</f>
        <v>0.21999999999999997</v>
      </c>
      <c r="E1164" s="138"/>
      <c r="F1164" s="139"/>
      <c r="G1164" s="98"/>
      <c r="H1164" s="99"/>
      <c r="I1164" s="99"/>
      <c r="J1164" s="100"/>
      <c r="K1164" s="99"/>
      <c r="L1164" s="99"/>
      <c r="M1164" s="99"/>
      <c r="N1164" s="99"/>
      <c r="O1164" s="112"/>
      <c r="P1164" s="140" t="str">
        <f t="shared" si="197"/>
        <v/>
      </c>
      <c r="Q1164" s="140" t="str">
        <f t="shared" si="198"/>
        <v/>
      </c>
      <c r="R1164" s="140" t="str">
        <f t="shared" si="199"/>
        <v/>
      </c>
      <c r="S1164" s="140" t="str">
        <f t="shared" si="200"/>
        <v/>
      </c>
      <c r="T1164" s="140" t="str">
        <f t="shared" si="201"/>
        <v/>
      </c>
      <c r="U1164" s="140" t="str">
        <f t="shared" si="202"/>
        <v/>
      </c>
      <c r="V1164" s="99"/>
    </row>
    <row r="1165" spans="1:22">
      <c r="A1165" s="92"/>
      <c r="B1165" s="141"/>
      <c r="C1165" s="136"/>
      <c r="D1165" s="137"/>
      <c r="E1165" s="138"/>
      <c r="F1165" s="139"/>
      <c r="G1165" s="98"/>
      <c r="H1165" s="99"/>
      <c r="I1165" s="99"/>
      <c r="J1165" s="100"/>
      <c r="K1165" s="99"/>
      <c r="L1165" s="99"/>
      <c r="M1165" s="99"/>
      <c r="N1165" s="99"/>
      <c r="O1165" s="112"/>
      <c r="P1165" s="140" t="str">
        <f t="shared" si="197"/>
        <v/>
      </c>
      <c r="Q1165" s="140" t="str">
        <f t="shared" si="198"/>
        <v/>
      </c>
      <c r="R1165" s="140" t="str">
        <f t="shared" si="199"/>
        <v/>
      </c>
      <c r="S1165" s="140" t="str">
        <f t="shared" si="200"/>
        <v/>
      </c>
      <c r="T1165" s="140" t="str">
        <f t="shared" si="201"/>
        <v/>
      </c>
      <c r="U1165" s="140" t="str">
        <f t="shared" si="202"/>
        <v/>
      </c>
      <c r="V1165" s="99"/>
    </row>
    <row r="1166" spans="1:22">
      <c r="A1166" s="92"/>
      <c r="B1166" s="92"/>
      <c r="C1166" s="145">
        <v>0.08</v>
      </c>
      <c r="D1166" s="137"/>
      <c r="E1166" s="138"/>
      <c r="F1166" s="139"/>
      <c r="G1166" s="98"/>
      <c r="H1166" s="99"/>
      <c r="I1166" s="99"/>
      <c r="J1166" s="100"/>
      <c r="K1166" s="99"/>
      <c r="L1166" s="99"/>
      <c r="M1166" s="99"/>
      <c r="N1166" s="99"/>
      <c r="O1166" s="112"/>
      <c r="P1166" s="140" t="str">
        <f t="shared" si="197"/>
        <v/>
      </c>
      <c r="Q1166" s="140" t="str">
        <f t="shared" si="198"/>
        <v/>
      </c>
      <c r="R1166" s="140" t="str">
        <f t="shared" si="199"/>
        <v/>
      </c>
      <c r="S1166" s="140" t="str">
        <f t="shared" si="200"/>
        <v/>
      </c>
      <c r="T1166" s="140" t="str">
        <f t="shared" si="201"/>
        <v/>
      </c>
      <c r="U1166" s="140" t="str">
        <f t="shared" si="202"/>
        <v/>
      </c>
      <c r="V1166" s="99"/>
    </row>
    <row r="1167" spans="1:22">
      <c r="A1167" s="92"/>
      <c r="B1167" s="146" t="s">
        <v>384</v>
      </c>
      <c r="C1167" s="147"/>
      <c r="D1167" s="137"/>
      <c r="E1167" s="148">
        <f>((0.8-0.08-0.016)/7)+0.012+0.02</f>
        <v>0.13257142857142856</v>
      </c>
      <c r="F1167" s="139"/>
      <c r="G1167" s="98">
        <v>8</v>
      </c>
      <c r="H1167" s="99">
        <v>2</v>
      </c>
      <c r="I1167" s="111">
        <f>((1.48-2*0.75)/0.15)+1</f>
        <v>0.86666666666666647</v>
      </c>
      <c r="J1167" s="149">
        <f>2*(D1169+E1167)+2*8*G1167/1000</f>
        <v>0.83314285714285707</v>
      </c>
      <c r="K1167" s="99"/>
      <c r="L1167" s="99">
        <v>5</v>
      </c>
      <c r="M1167" s="112">
        <f>2*G1167*L1167/1000</f>
        <v>0.08</v>
      </c>
      <c r="N1167" s="112">
        <f>(J1167+K1167-M1167)</f>
        <v>0.75314285714285711</v>
      </c>
      <c r="O1167" s="112">
        <f>(H1167*I1167*N1167)</f>
        <v>1.3054476190476187</v>
      </c>
      <c r="P1167" s="140">
        <f t="shared" si="197"/>
        <v>1.3054476190476187</v>
      </c>
      <c r="Q1167" s="140" t="str">
        <f t="shared" si="198"/>
        <v/>
      </c>
      <c r="R1167" s="140" t="str">
        <f t="shared" si="199"/>
        <v/>
      </c>
      <c r="S1167" s="140" t="str">
        <f t="shared" si="200"/>
        <v/>
      </c>
      <c r="T1167" s="140" t="str">
        <f t="shared" si="201"/>
        <v/>
      </c>
      <c r="U1167" s="140" t="str">
        <f t="shared" si="202"/>
        <v/>
      </c>
      <c r="V1167" s="99"/>
    </row>
    <row r="1168" spans="1:22">
      <c r="A1168" s="92"/>
      <c r="B1168" s="146"/>
      <c r="C1168" s="136"/>
      <c r="D1168" s="137"/>
      <c r="E1168" s="150"/>
      <c r="F1168" s="139"/>
      <c r="G1168" s="98"/>
      <c r="H1168" s="99"/>
      <c r="I1168" s="99"/>
      <c r="J1168" s="100"/>
      <c r="K1168" s="99"/>
      <c r="L1168" s="99"/>
      <c r="M1168" s="99"/>
      <c r="N1168" s="99"/>
      <c r="O1168" s="112"/>
      <c r="P1168" s="140" t="str">
        <f t="shared" si="197"/>
        <v/>
      </c>
      <c r="Q1168" s="140" t="str">
        <f t="shared" si="198"/>
        <v/>
      </c>
      <c r="R1168" s="140" t="str">
        <f t="shared" si="199"/>
        <v/>
      </c>
      <c r="S1168" s="140" t="str">
        <f t="shared" si="200"/>
        <v/>
      </c>
      <c r="T1168" s="140" t="str">
        <f t="shared" si="201"/>
        <v/>
      </c>
      <c r="U1168" s="140" t="str">
        <f t="shared" si="202"/>
        <v/>
      </c>
      <c r="V1168" s="99"/>
    </row>
    <row r="1169" spans="1:22">
      <c r="A1169" s="92"/>
      <c r="B1169" s="146"/>
      <c r="C1169" s="136"/>
      <c r="D1169" s="109">
        <f>0.3-0.08</f>
        <v>0.21999999999999997</v>
      </c>
      <c r="E1169" s="138"/>
      <c r="F1169" s="139"/>
      <c r="G1169" s="98"/>
      <c r="H1169" s="99"/>
      <c r="I1169" s="99"/>
      <c r="J1169" s="100"/>
      <c r="K1169" s="99"/>
      <c r="L1169" s="99"/>
      <c r="M1169" s="99"/>
      <c r="N1169" s="99"/>
      <c r="O1169" s="112"/>
      <c r="P1169" s="140" t="str">
        <f t="shared" si="197"/>
        <v/>
      </c>
      <c r="Q1169" s="140" t="str">
        <f t="shared" si="198"/>
        <v/>
      </c>
      <c r="R1169" s="140" t="str">
        <f t="shared" si="199"/>
        <v/>
      </c>
      <c r="S1169" s="140" t="str">
        <f t="shared" si="200"/>
        <v/>
      </c>
      <c r="T1169" s="140" t="str">
        <f t="shared" si="201"/>
        <v/>
      </c>
      <c r="U1169" s="140" t="str">
        <f t="shared" si="202"/>
        <v/>
      </c>
      <c r="V1169" s="99"/>
    </row>
    <row r="1170" spans="1:22">
      <c r="A1170" s="92"/>
      <c r="B1170" s="146"/>
      <c r="C1170" s="136"/>
      <c r="D1170" s="137"/>
      <c r="E1170" s="138"/>
      <c r="F1170" s="139"/>
      <c r="G1170" s="98"/>
      <c r="H1170" s="99"/>
      <c r="I1170" s="99"/>
      <c r="J1170" s="100"/>
      <c r="K1170" s="99"/>
      <c r="L1170" s="99"/>
      <c r="M1170" s="99"/>
      <c r="N1170" s="99"/>
      <c r="O1170" s="112"/>
      <c r="P1170" s="140" t="str">
        <f t="shared" si="197"/>
        <v/>
      </c>
      <c r="Q1170" s="140" t="str">
        <f t="shared" si="198"/>
        <v/>
      </c>
      <c r="R1170" s="140" t="str">
        <f t="shared" si="199"/>
        <v/>
      </c>
      <c r="S1170" s="140" t="str">
        <f t="shared" si="200"/>
        <v/>
      </c>
      <c r="T1170" s="140" t="str">
        <f t="shared" si="201"/>
        <v/>
      </c>
      <c r="U1170" s="140" t="str">
        <f t="shared" si="202"/>
        <v/>
      </c>
      <c r="V1170" s="99"/>
    </row>
    <row r="1171" spans="1:22">
      <c r="A1171" s="92"/>
      <c r="B1171" s="146" t="s">
        <v>385</v>
      </c>
      <c r="C1171" s="136"/>
      <c r="D1171" s="142"/>
      <c r="E1171" s="138"/>
      <c r="F1171" s="139"/>
      <c r="G1171" s="98">
        <v>8</v>
      </c>
      <c r="H1171" s="99">
        <v>2</v>
      </c>
      <c r="I1171" s="111">
        <f>((1.48-2*0.75)/0.15)+1</f>
        <v>0.86666666666666647</v>
      </c>
      <c r="J1171" s="149">
        <f>C1172+D1174+E1172+2*8*G1171/1000</f>
        <v>0.69799999999999995</v>
      </c>
      <c r="K1171" s="99"/>
      <c r="L1171" s="99">
        <v>4</v>
      </c>
      <c r="M1171" s="112">
        <f>2*G1171*L1171/1000</f>
        <v>6.4000000000000001E-2</v>
      </c>
      <c r="N1171" s="112">
        <f>(J1171+K1171-M1171)</f>
        <v>0.6339999999999999</v>
      </c>
      <c r="O1171" s="112">
        <f>(H1171*I1171*N1171)</f>
        <v>1.0989333333333329</v>
      </c>
      <c r="P1171" s="140">
        <f t="shared" si="197"/>
        <v>1.0989333333333329</v>
      </c>
      <c r="Q1171" s="140" t="str">
        <f t="shared" si="198"/>
        <v/>
      </c>
      <c r="R1171" s="140" t="str">
        <f t="shared" si="199"/>
        <v/>
      </c>
      <c r="S1171" s="140" t="str">
        <f t="shared" si="200"/>
        <v/>
      </c>
      <c r="T1171" s="140" t="str">
        <f t="shared" si="201"/>
        <v/>
      </c>
      <c r="U1171" s="140" t="str">
        <f t="shared" si="202"/>
        <v/>
      </c>
      <c r="V1171" s="99"/>
    </row>
    <row r="1172" spans="1:22">
      <c r="A1172" s="92"/>
      <c r="B1172" s="146"/>
      <c r="C1172" s="151">
        <v>0.17499999999999999</v>
      </c>
      <c r="D1172" s="137"/>
      <c r="E1172" s="138">
        <v>0.17499999999999999</v>
      </c>
      <c r="F1172" s="139"/>
      <c r="G1172" s="98"/>
      <c r="H1172" s="99"/>
      <c r="I1172" s="99"/>
      <c r="J1172" s="100"/>
      <c r="K1172" s="99"/>
      <c r="L1172" s="99"/>
      <c r="M1172" s="99"/>
      <c r="N1172" s="99"/>
      <c r="O1172" s="112"/>
      <c r="P1172" s="140" t="str">
        <f>IF($G1172=8,$O1172,"")</f>
        <v/>
      </c>
      <c r="Q1172" s="140" t="str">
        <f>IF($G1172=10,$O1172,"")</f>
        <v/>
      </c>
      <c r="R1172" s="140" t="str">
        <f>IF($G1172=12,$O1172,"")</f>
        <v/>
      </c>
      <c r="S1172" s="140" t="str">
        <f>IF($G1172=16,$O1172,"")</f>
        <v/>
      </c>
      <c r="T1172" s="140" t="str">
        <f>IF($G1172=20,$O1172,"")</f>
        <v/>
      </c>
      <c r="U1172" s="140" t="str">
        <f>IF($G1172=25,$O1172,"")</f>
        <v/>
      </c>
      <c r="V1172" s="99"/>
    </row>
    <row r="1173" spans="1:22">
      <c r="A1173" s="92"/>
      <c r="B1173" s="146"/>
      <c r="C1173" s="136"/>
      <c r="D1173" s="137"/>
      <c r="E1173" s="138"/>
      <c r="F1173" s="139"/>
      <c r="G1173" s="98"/>
      <c r="H1173" s="99"/>
      <c r="I1173" s="99"/>
      <c r="J1173" s="100"/>
      <c r="K1173" s="99"/>
      <c r="L1173" s="99"/>
      <c r="M1173" s="99"/>
      <c r="N1173" s="99"/>
      <c r="O1173" s="112"/>
      <c r="P1173" s="140" t="str">
        <f t="shared" si="197"/>
        <v/>
      </c>
      <c r="Q1173" s="140" t="str">
        <f t="shared" si="198"/>
        <v/>
      </c>
      <c r="R1173" s="140" t="str">
        <f t="shared" si="199"/>
        <v/>
      </c>
      <c r="S1173" s="140" t="str">
        <f t="shared" si="200"/>
        <v/>
      </c>
      <c r="T1173" s="140" t="str">
        <f t="shared" si="201"/>
        <v/>
      </c>
      <c r="U1173" s="140" t="str">
        <f t="shared" si="202"/>
        <v/>
      </c>
      <c r="V1173" s="99"/>
    </row>
    <row r="1174" spans="1:22">
      <c r="A1174" s="92"/>
      <c r="B1174" s="146"/>
      <c r="C1174" s="136"/>
      <c r="D1174" s="109">
        <f>0.3-0.08</f>
        <v>0.21999999999999997</v>
      </c>
      <c r="E1174" s="138"/>
      <c r="F1174" s="139"/>
      <c r="G1174" s="98"/>
      <c r="H1174" s="99"/>
      <c r="I1174" s="99"/>
      <c r="J1174" s="100"/>
      <c r="K1174" s="99"/>
      <c r="L1174" s="99"/>
      <c r="M1174" s="99"/>
      <c r="N1174" s="99"/>
      <c r="O1174" s="112"/>
      <c r="P1174" s="140" t="str">
        <f t="shared" si="197"/>
        <v/>
      </c>
      <c r="Q1174" s="140" t="str">
        <f t="shared" si="198"/>
        <v/>
      </c>
      <c r="R1174" s="140" t="str">
        <f t="shared" si="199"/>
        <v/>
      </c>
      <c r="S1174" s="140" t="str">
        <f t="shared" si="200"/>
        <v/>
      </c>
      <c r="T1174" s="140" t="str">
        <f t="shared" si="201"/>
        <v/>
      </c>
      <c r="U1174" s="140" t="str">
        <f t="shared" si="202"/>
        <v/>
      </c>
      <c r="V1174" s="99"/>
    </row>
    <row r="1175" spans="1:22">
      <c r="A1175" s="92"/>
      <c r="B1175" s="146"/>
      <c r="C1175" s="136"/>
      <c r="D1175" s="137"/>
      <c r="E1175" s="138"/>
      <c r="F1175" s="139"/>
      <c r="G1175" s="98"/>
      <c r="H1175" s="99"/>
      <c r="I1175" s="99"/>
      <c r="J1175" s="100"/>
      <c r="K1175" s="99"/>
      <c r="L1175" s="99"/>
      <c r="M1175" s="99"/>
      <c r="N1175" s="99"/>
      <c r="O1175" s="112"/>
      <c r="P1175" s="140" t="str">
        <f t="shared" si="197"/>
        <v/>
      </c>
      <c r="Q1175" s="140" t="str">
        <f t="shared" si="198"/>
        <v/>
      </c>
      <c r="R1175" s="140" t="str">
        <f t="shared" si="199"/>
        <v/>
      </c>
      <c r="S1175" s="140" t="str">
        <f t="shared" si="200"/>
        <v/>
      </c>
      <c r="T1175" s="140" t="str">
        <f t="shared" si="201"/>
        <v/>
      </c>
      <c r="U1175" s="140" t="str">
        <f t="shared" si="202"/>
        <v/>
      </c>
      <c r="V1175" s="99"/>
    </row>
    <row r="1176" spans="1:22">
      <c r="A1176" s="92"/>
      <c r="B1176" s="146" t="s">
        <v>390</v>
      </c>
      <c r="C1176" s="136"/>
      <c r="D1176" s="142"/>
      <c r="E1176" s="138"/>
      <c r="F1176" s="139"/>
      <c r="G1176" s="98">
        <v>8</v>
      </c>
      <c r="H1176" s="99">
        <v>2</v>
      </c>
      <c r="I1176" s="111">
        <f>((1.48-2*0.75)/0.15)+1</f>
        <v>0.86666666666666647</v>
      </c>
      <c r="J1176" s="149">
        <f>C1177+D1179+E1177+2*8*G1176/1000</f>
        <v>0.69799999999999995</v>
      </c>
      <c r="K1176" s="99"/>
      <c r="L1176" s="99">
        <v>4</v>
      </c>
      <c r="M1176" s="112">
        <f>2*G1176*L1176/1000</f>
        <v>6.4000000000000001E-2</v>
      </c>
      <c r="N1176" s="112">
        <f>(J1176+K1176-M1176)</f>
        <v>0.6339999999999999</v>
      </c>
      <c r="O1176" s="112">
        <f>(H1176*I1176*N1176)</f>
        <v>1.0989333333333329</v>
      </c>
      <c r="P1176" s="140">
        <f t="shared" si="197"/>
        <v>1.0989333333333329</v>
      </c>
      <c r="Q1176" s="140" t="str">
        <f t="shared" si="198"/>
        <v/>
      </c>
      <c r="R1176" s="140" t="str">
        <f t="shared" si="199"/>
        <v/>
      </c>
      <c r="S1176" s="140" t="str">
        <f t="shared" si="200"/>
        <v/>
      </c>
      <c r="T1176" s="140" t="str">
        <f t="shared" si="201"/>
        <v/>
      </c>
      <c r="U1176" s="140" t="str">
        <f t="shared" si="202"/>
        <v/>
      </c>
      <c r="V1176" s="99"/>
    </row>
    <row r="1177" spans="1:22">
      <c r="A1177" s="92"/>
      <c r="B1177" s="146"/>
      <c r="C1177" s="151">
        <v>0.17499999999999999</v>
      </c>
      <c r="D1177" s="137"/>
      <c r="E1177" s="138">
        <v>0.17499999999999999</v>
      </c>
      <c r="F1177" s="139"/>
      <c r="G1177" s="98"/>
      <c r="H1177" s="99"/>
      <c r="I1177" s="99"/>
      <c r="J1177" s="100"/>
      <c r="K1177" s="99"/>
      <c r="L1177" s="99"/>
      <c r="M1177" s="99"/>
      <c r="N1177" s="99"/>
      <c r="O1177" s="112"/>
      <c r="P1177" s="140" t="str">
        <f t="shared" si="197"/>
        <v/>
      </c>
      <c r="Q1177" s="140" t="str">
        <f t="shared" si="198"/>
        <v/>
      </c>
      <c r="R1177" s="140" t="str">
        <f t="shared" si="199"/>
        <v/>
      </c>
      <c r="S1177" s="140" t="str">
        <f t="shared" si="200"/>
        <v/>
      </c>
      <c r="T1177" s="140" t="str">
        <f t="shared" si="201"/>
        <v/>
      </c>
      <c r="U1177" s="140" t="str">
        <f t="shared" si="202"/>
        <v/>
      </c>
      <c r="V1177" s="99"/>
    </row>
    <row r="1178" spans="1:22">
      <c r="A1178" s="92"/>
      <c r="B1178" s="146"/>
      <c r="C1178" s="136"/>
      <c r="D1178" s="137"/>
      <c r="E1178" s="138"/>
      <c r="F1178" s="139"/>
      <c r="G1178" s="98"/>
      <c r="H1178" s="99"/>
      <c r="I1178" s="99"/>
      <c r="J1178" s="100"/>
      <c r="K1178" s="99"/>
      <c r="L1178" s="99"/>
      <c r="M1178" s="99"/>
      <c r="N1178" s="99"/>
      <c r="O1178" s="101"/>
      <c r="P1178" s="140" t="str">
        <f t="shared" si="197"/>
        <v/>
      </c>
      <c r="Q1178" s="140" t="str">
        <f t="shared" si="198"/>
        <v/>
      </c>
      <c r="R1178" s="140" t="str">
        <f t="shared" si="199"/>
        <v/>
      </c>
      <c r="S1178" s="140" t="str">
        <f t="shared" si="200"/>
        <v/>
      </c>
      <c r="T1178" s="140" t="str">
        <f t="shared" si="201"/>
        <v/>
      </c>
      <c r="U1178" s="140" t="str">
        <f t="shared" si="202"/>
        <v/>
      </c>
      <c r="V1178" s="99"/>
    </row>
    <row r="1179" spans="1:22">
      <c r="A1179" s="92"/>
      <c r="B1179" s="146"/>
      <c r="C1179" s="136"/>
      <c r="D1179" s="109">
        <f>0.3-0.08</f>
        <v>0.21999999999999997</v>
      </c>
      <c r="E1179" s="138"/>
      <c r="F1179" s="139"/>
      <c r="G1179" s="98"/>
      <c r="H1179" s="99"/>
      <c r="I1179" s="99"/>
      <c r="J1179" s="100"/>
      <c r="K1179" s="99"/>
      <c r="L1179" s="99"/>
      <c r="M1179" s="99"/>
      <c r="N1179" s="99"/>
      <c r="O1179" s="101"/>
      <c r="P1179" s="140" t="str">
        <f t="shared" si="197"/>
        <v/>
      </c>
      <c r="Q1179" s="140" t="str">
        <f t="shared" si="198"/>
        <v/>
      </c>
      <c r="R1179" s="140" t="str">
        <f t="shared" si="199"/>
        <v/>
      </c>
      <c r="S1179" s="140" t="str">
        <f t="shared" si="200"/>
        <v/>
      </c>
      <c r="T1179" s="140" t="str">
        <f t="shared" si="201"/>
        <v/>
      </c>
      <c r="U1179" s="140" t="str">
        <f t="shared" si="202"/>
        <v/>
      </c>
      <c r="V1179" s="99"/>
    </row>
    <row r="1180" spans="1:22">
      <c r="A1180" s="92"/>
      <c r="B1180" s="146"/>
      <c r="C1180" s="136"/>
      <c r="D1180" s="152"/>
      <c r="E1180" s="138"/>
      <c r="F1180" s="139"/>
      <c r="G1180" s="98"/>
      <c r="H1180" s="99"/>
      <c r="I1180" s="99"/>
      <c r="J1180" s="100"/>
      <c r="K1180" s="99"/>
      <c r="L1180" s="99"/>
      <c r="M1180" s="99"/>
      <c r="N1180" s="99"/>
      <c r="O1180" s="101"/>
      <c r="P1180" s="140" t="str">
        <f t="shared" si="197"/>
        <v/>
      </c>
      <c r="Q1180" s="140" t="str">
        <f t="shared" si="198"/>
        <v/>
      </c>
      <c r="R1180" s="140" t="str">
        <f t="shared" si="199"/>
        <v/>
      </c>
      <c r="S1180" s="140" t="str">
        <f t="shared" si="200"/>
        <v/>
      </c>
      <c r="T1180" s="140" t="str">
        <f t="shared" si="201"/>
        <v/>
      </c>
      <c r="U1180" s="140" t="str">
        <f t="shared" si="202"/>
        <v/>
      </c>
      <c r="V1180" s="99"/>
    </row>
    <row r="1181" spans="1:22">
      <c r="A1181" s="92">
        <v>7</v>
      </c>
      <c r="B1181" s="92" t="s">
        <v>393</v>
      </c>
      <c r="C1181" s="136"/>
      <c r="D1181" s="137"/>
      <c r="E1181" s="138"/>
      <c r="F1181" s="139"/>
      <c r="G1181" s="98"/>
      <c r="H1181" s="99"/>
      <c r="I1181" s="99"/>
      <c r="J1181" s="109"/>
      <c r="K1181" s="112"/>
      <c r="L1181" s="112"/>
      <c r="M1181" s="99"/>
      <c r="N1181" s="112"/>
      <c r="O1181" s="112"/>
      <c r="P1181" s="140" t="str">
        <f>IF($G1181=8,$O1181,"")</f>
        <v/>
      </c>
      <c r="Q1181" s="140" t="str">
        <f>IF($G1181=10,$O1181,"")</f>
        <v/>
      </c>
      <c r="R1181" s="140" t="str">
        <f>IF($G1181=12,$O1181,"")</f>
        <v/>
      </c>
      <c r="S1181" s="140" t="str">
        <f>IF($G1181=16,$O1181,"")</f>
        <v/>
      </c>
      <c r="T1181" s="140" t="str">
        <f>IF($G1181=20,$O1181,"")</f>
        <v/>
      </c>
      <c r="U1181" s="140" t="str">
        <f>IF($G1181=25,$O1181,"")</f>
        <v/>
      </c>
      <c r="V1181" s="99"/>
    </row>
    <row r="1182" spans="1:22">
      <c r="A1182" s="92"/>
      <c r="B1182" s="141" t="s">
        <v>378</v>
      </c>
      <c r="C1182" s="136"/>
      <c r="D1182" s="142">
        <v>1.68</v>
      </c>
      <c r="E1182" s="138"/>
      <c r="F1182" s="139"/>
      <c r="G1182" s="98">
        <v>16</v>
      </c>
      <c r="H1182" s="99">
        <v>2</v>
      </c>
      <c r="I1182" s="99">
        <v>4</v>
      </c>
      <c r="J1182" s="109">
        <f>D1182</f>
        <v>1.68</v>
      </c>
      <c r="K1182" s="110" t="str">
        <f>IF(N1182&lt;12,"0",0.049*G1182)</f>
        <v>0</v>
      </c>
      <c r="L1182" s="111">
        <v>0</v>
      </c>
      <c r="M1182" s="99">
        <f>2*G1182*L1182/1000</f>
        <v>0</v>
      </c>
      <c r="N1182" s="112">
        <f>J1182-M1182</f>
        <v>1.68</v>
      </c>
      <c r="O1182" s="112">
        <f>H1182*I1182*N1182</f>
        <v>13.44</v>
      </c>
      <c r="P1182" s="140" t="str">
        <f t="shared" si="197"/>
        <v/>
      </c>
      <c r="Q1182" s="140" t="str">
        <f t="shared" si="198"/>
        <v/>
      </c>
      <c r="R1182" s="140" t="str">
        <f t="shared" si="199"/>
        <v/>
      </c>
      <c r="S1182" s="140">
        <f t="shared" si="200"/>
        <v>13.44</v>
      </c>
      <c r="T1182" s="140" t="str">
        <f t="shared" si="201"/>
        <v/>
      </c>
      <c r="U1182" s="140" t="str">
        <f t="shared" si="202"/>
        <v/>
      </c>
      <c r="V1182" s="99"/>
    </row>
    <row r="1183" spans="1:22">
      <c r="A1183" s="92"/>
      <c r="B1183" s="141" t="s">
        <v>379</v>
      </c>
      <c r="C1183" s="136"/>
      <c r="D1183" s="137"/>
      <c r="E1183" s="138"/>
      <c r="F1183" s="139"/>
      <c r="G1183" s="98">
        <v>12</v>
      </c>
      <c r="H1183" s="99">
        <v>2</v>
      </c>
      <c r="I1183" s="99">
        <v>2</v>
      </c>
      <c r="J1183" s="109">
        <f>D1182</f>
        <v>1.68</v>
      </c>
      <c r="K1183" s="110" t="str">
        <f t="shared" ref="K1183:K1186" si="203">IF(N1183&lt;12,"0",0.049*G1183)</f>
        <v>0</v>
      </c>
      <c r="L1183" s="111">
        <v>0</v>
      </c>
      <c r="M1183" s="99">
        <f t="shared" ref="M1183:M1186" si="204">2*G1183*L1183/1000</f>
        <v>0</v>
      </c>
      <c r="N1183" s="112">
        <f t="shared" ref="N1183:N1186" si="205">J1183-M1183</f>
        <v>1.68</v>
      </c>
      <c r="O1183" s="112">
        <f>H1183*I1183*N1183</f>
        <v>6.72</v>
      </c>
      <c r="P1183" s="140" t="str">
        <f t="shared" si="197"/>
        <v/>
      </c>
      <c r="Q1183" s="140" t="str">
        <f t="shared" si="198"/>
        <v/>
      </c>
      <c r="R1183" s="140">
        <f t="shared" si="199"/>
        <v>6.72</v>
      </c>
      <c r="S1183" s="140" t="str">
        <f t="shared" si="200"/>
        <v/>
      </c>
      <c r="T1183" s="140" t="str">
        <f t="shared" si="201"/>
        <v/>
      </c>
      <c r="U1183" s="140" t="str">
        <f t="shared" si="202"/>
        <v/>
      </c>
      <c r="V1183" s="99"/>
    </row>
    <row r="1184" spans="1:22">
      <c r="A1184" s="92"/>
      <c r="B1184" s="141" t="s">
        <v>380</v>
      </c>
      <c r="C1184" s="143"/>
      <c r="D1184" s="142"/>
      <c r="E1184" s="144"/>
      <c r="F1184" s="139"/>
      <c r="G1184" s="98">
        <v>12</v>
      </c>
      <c r="H1184" s="99">
        <v>2</v>
      </c>
      <c r="I1184" s="99">
        <v>4</v>
      </c>
      <c r="J1184" s="109">
        <f>D1182</f>
        <v>1.68</v>
      </c>
      <c r="K1184" s="110" t="str">
        <f t="shared" si="203"/>
        <v>0</v>
      </c>
      <c r="L1184" s="111">
        <v>0</v>
      </c>
      <c r="M1184" s="99">
        <f t="shared" si="204"/>
        <v>0</v>
      </c>
      <c r="N1184" s="112">
        <f t="shared" si="205"/>
        <v>1.68</v>
      </c>
      <c r="O1184" s="112">
        <f>H1184*I1184*N1184</f>
        <v>13.44</v>
      </c>
      <c r="P1184" s="140" t="str">
        <f t="shared" si="197"/>
        <v/>
      </c>
      <c r="Q1184" s="140" t="str">
        <f t="shared" si="198"/>
        <v/>
      </c>
      <c r="R1184" s="140">
        <f t="shared" si="199"/>
        <v>13.44</v>
      </c>
      <c r="S1184" s="140" t="str">
        <f t="shared" si="200"/>
        <v/>
      </c>
      <c r="T1184" s="140" t="str">
        <f t="shared" si="201"/>
        <v/>
      </c>
      <c r="U1184" s="140" t="str">
        <f t="shared" si="202"/>
        <v/>
      </c>
      <c r="V1184" s="99"/>
    </row>
    <row r="1185" spans="1:22">
      <c r="A1185" s="92"/>
      <c r="B1185" s="141" t="s">
        <v>381</v>
      </c>
      <c r="C1185" s="136"/>
      <c r="D1185" s="137"/>
      <c r="E1185" s="138"/>
      <c r="F1185" s="139"/>
      <c r="G1185" s="98">
        <v>12</v>
      </c>
      <c r="H1185" s="99">
        <v>2</v>
      </c>
      <c r="I1185" s="99">
        <v>4</v>
      </c>
      <c r="J1185" s="109">
        <f>D1182</f>
        <v>1.68</v>
      </c>
      <c r="K1185" s="110" t="str">
        <f t="shared" si="203"/>
        <v>0</v>
      </c>
      <c r="L1185" s="111">
        <v>0</v>
      </c>
      <c r="M1185" s="99">
        <f t="shared" si="204"/>
        <v>0</v>
      </c>
      <c r="N1185" s="112">
        <f t="shared" si="205"/>
        <v>1.68</v>
      </c>
      <c r="O1185" s="112">
        <f>H1185*I1185*N1185</f>
        <v>13.44</v>
      </c>
      <c r="P1185" s="140" t="str">
        <f t="shared" si="197"/>
        <v/>
      </c>
      <c r="Q1185" s="140" t="str">
        <f t="shared" si="198"/>
        <v/>
      </c>
      <c r="R1185" s="140">
        <f t="shared" si="199"/>
        <v>13.44</v>
      </c>
      <c r="S1185" s="140" t="str">
        <f t="shared" si="200"/>
        <v/>
      </c>
      <c r="T1185" s="140" t="str">
        <f t="shared" si="201"/>
        <v/>
      </c>
      <c r="U1185" s="140" t="str">
        <f t="shared" si="202"/>
        <v/>
      </c>
      <c r="V1185" s="99"/>
    </row>
    <row r="1186" spans="1:22">
      <c r="A1186" s="92"/>
      <c r="B1186" s="141" t="s">
        <v>389</v>
      </c>
      <c r="C1186" s="136"/>
      <c r="D1186" s="137"/>
      <c r="E1186" s="138"/>
      <c r="F1186" s="139"/>
      <c r="G1186" s="98">
        <v>12</v>
      </c>
      <c r="H1186" s="99">
        <v>2</v>
      </c>
      <c r="I1186" s="99">
        <v>4</v>
      </c>
      <c r="J1186" s="109">
        <f>D1182</f>
        <v>1.68</v>
      </c>
      <c r="K1186" s="110" t="str">
        <f t="shared" si="203"/>
        <v>0</v>
      </c>
      <c r="L1186" s="111">
        <v>0</v>
      </c>
      <c r="M1186" s="99">
        <f t="shared" si="204"/>
        <v>0</v>
      </c>
      <c r="N1186" s="112">
        <f t="shared" si="205"/>
        <v>1.68</v>
      </c>
      <c r="O1186" s="112">
        <f>H1186*I1186*N1186</f>
        <v>13.44</v>
      </c>
      <c r="P1186" s="140" t="str">
        <f t="shared" si="197"/>
        <v/>
      </c>
      <c r="Q1186" s="140" t="str">
        <f t="shared" si="198"/>
        <v/>
      </c>
      <c r="R1186" s="140">
        <f t="shared" si="199"/>
        <v>13.44</v>
      </c>
      <c r="S1186" s="140" t="str">
        <f t="shared" si="200"/>
        <v/>
      </c>
      <c r="T1186" s="140" t="str">
        <f t="shared" si="201"/>
        <v/>
      </c>
      <c r="U1186" s="140" t="str">
        <f t="shared" si="202"/>
        <v/>
      </c>
      <c r="V1186" s="99"/>
    </row>
    <row r="1187" spans="1:22">
      <c r="A1187" s="92"/>
      <c r="B1187" s="141"/>
      <c r="C1187" s="136"/>
      <c r="D1187" s="137"/>
      <c r="E1187" s="138"/>
      <c r="F1187" s="139"/>
      <c r="G1187" s="98"/>
      <c r="H1187" s="99"/>
      <c r="I1187" s="99"/>
      <c r="J1187" s="100"/>
      <c r="K1187" s="99"/>
      <c r="L1187" s="99"/>
      <c r="M1187" s="99"/>
      <c r="N1187" s="99"/>
      <c r="O1187" s="101"/>
      <c r="P1187" s="140" t="str">
        <f t="shared" si="197"/>
        <v/>
      </c>
      <c r="Q1187" s="140" t="str">
        <f t="shared" si="198"/>
        <v/>
      </c>
      <c r="R1187" s="140" t="str">
        <f t="shared" si="199"/>
        <v/>
      </c>
      <c r="S1187" s="140" t="str">
        <f t="shared" si="200"/>
        <v/>
      </c>
      <c r="T1187" s="140" t="str">
        <f t="shared" si="201"/>
        <v/>
      </c>
      <c r="U1187" s="140" t="str">
        <f t="shared" si="202"/>
        <v/>
      </c>
      <c r="V1187" s="99"/>
    </row>
    <row r="1188" spans="1:22">
      <c r="A1188" s="92"/>
      <c r="B1188" s="429" t="s">
        <v>644</v>
      </c>
      <c r="C1188" s="145">
        <v>0.08</v>
      </c>
      <c r="D1188" s="137"/>
      <c r="E1188" s="138"/>
      <c r="F1188" s="139"/>
      <c r="G1188" s="98"/>
      <c r="H1188" s="99"/>
      <c r="I1188" s="99"/>
      <c r="J1188" s="100"/>
      <c r="K1188" s="99"/>
      <c r="L1188" s="99"/>
      <c r="M1188" s="99"/>
      <c r="N1188" s="99"/>
      <c r="O1188" s="101"/>
      <c r="P1188" s="140" t="str">
        <f t="shared" si="197"/>
        <v/>
      </c>
      <c r="Q1188" s="140" t="str">
        <f t="shared" si="198"/>
        <v/>
      </c>
      <c r="R1188" s="140" t="str">
        <f t="shared" si="199"/>
        <v/>
      </c>
      <c r="S1188" s="140" t="str">
        <f t="shared" si="200"/>
        <v/>
      </c>
      <c r="T1188" s="140" t="str">
        <f t="shared" si="201"/>
        <v/>
      </c>
      <c r="U1188" s="140" t="str">
        <f t="shared" si="202"/>
        <v/>
      </c>
      <c r="V1188" s="99"/>
    </row>
    <row r="1189" spans="1:22">
      <c r="A1189" s="92"/>
      <c r="B1189" s="146" t="s">
        <v>382</v>
      </c>
      <c r="C1189" s="147"/>
      <c r="D1189" s="137"/>
      <c r="E1189" s="148">
        <f>0.8-0.08</f>
        <v>0.72000000000000008</v>
      </c>
      <c r="F1189" s="139"/>
      <c r="G1189" s="98">
        <v>10</v>
      </c>
      <c r="H1189" s="99">
        <v>2</v>
      </c>
      <c r="I1189" s="111">
        <f>((2*0.8)/0.075)+2</f>
        <v>23.333333333333336</v>
      </c>
      <c r="J1189" s="149">
        <f>2*(D1191+E1189)+2*8*G1189/1000</f>
        <v>2.04</v>
      </c>
      <c r="K1189" s="99"/>
      <c r="L1189" s="99">
        <v>5</v>
      </c>
      <c r="M1189" s="112">
        <f>2*G1189*L1189/1000</f>
        <v>0.1</v>
      </c>
      <c r="N1189" s="112">
        <f>(J1189+K1189-M1189)</f>
        <v>1.94</v>
      </c>
      <c r="O1189" s="112">
        <f>(H1189*I1189*N1189)</f>
        <v>90.533333333333346</v>
      </c>
      <c r="P1189" s="140" t="str">
        <f t="shared" si="197"/>
        <v/>
      </c>
      <c r="Q1189" s="140">
        <f t="shared" si="198"/>
        <v>90.533333333333346</v>
      </c>
      <c r="R1189" s="140" t="str">
        <f t="shared" si="199"/>
        <v/>
      </c>
      <c r="S1189" s="140" t="str">
        <f t="shared" si="200"/>
        <v/>
      </c>
      <c r="T1189" s="140" t="str">
        <f t="shared" si="201"/>
        <v/>
      </c>
      <c r="U1189" s="140" t="str">
        <f t="shared" si="202"/>
        <v/>
      </c>
      <c r="V1189" s="99"/>
    </row>
    <row r="1190" spans="1:22">
      <c r="A1190" s="92"/>
      <c r="B1190" s="146"/>
      <c r="C1190" s="136"/>
      <c r="D1190" s="137"/>
      <c r="E1190" s="150"/>
      <c r="F1190" s="139"/>
      <c r="G1190" s="98"/>
      <c r="H1190" s="99"/>
      <c r="I1190" s="99"/>
      <c r="J1190" s="100"/>
      <c r="K1190" s="99"/>
      <c r="L1190" s="99"/>
      <c r="M1190" s="99"/>
      <c r="N1190" s="99"/>
      <c r="O1190" s="112"/>
      <c r="P1190" s="140" t="str">
        <f t="shared" si="197"/>
        <v/>
      </c>
      <c r="Q1190" s="140" t="str">
        <f t="shared" si="198"/>
        <v/>
      </c>
      <c r="R1190" s="140" t="str">
        <f t="shared" si="199"/>
        <v/>
      </c>
      <c r="S1190" s="140" t="str">
        <f t="shared" si="200"/>
        <v/>
      </c>
      <c r="T1190" s="140" t="str">
        <f t="shared" si="201"/>
        <v/>
      </c>
      <c r="U1190" s="140" t="str">
        <f t="shared" si="202"/>
        <v/>
      </c>
      <c r="V1190" s="99"/>
    </row>
    <row r="1191" spans="1:22">
      <c r="A1191" s="92"/>
      <c r="B1191" s="146"/>
      <c r="C1191" s="136"/>
      <c r="D1191" s="109">
        <f>0.3-0.08</f>
        <v>0.21999999999999997</v>
      </c>
      <c r="E1191" s="138"/>
      <c r="F1191" s="139"/>
      <c r="G1191" s="98"/>
      <c r="H1191" s="99"/>
      <c r="I1191" s="99"/>
      <c r="J1191" s="100"/>
      <c r="K1191" s="99"/>
      <c r="L1191" s="99"/>
      <c r="M1191" s="99"/>
      <c r="N1191" s="99"/>
      <c r="O1191" s="112"/>
      <c r="P1191" s="140" t="str">
        <f t="shared" si="197"/>
        <v/>
      </c>
      <c r="Q1191" s="140" t="str">
        <f t="shared" si="198"/>
        <v/>
      </c>
      <c r="R1191" s="140" t="str">
        <f t="shared" si="199"/>
        <v/>
      </c>
      <c r="S1191" s="140" t="str">
        <f t="shared" si="200"/>
        <v/>
      </c>
      <c r="T1191" s="140" t="str">
        <f t="shared" si="201"/>
        <v/>
      </c>
      <c r="U1191" s="140" t="str">
        <f t="shared" si="202"/>
        <v/>
      </c>
      <c r="V1191" s="99"/>
    </row>
    <row r="1192" spans="1:22">
      <c r="A1192" s="92"/>
      <c r="B1192" s="141"/>
      <c r="C1192" s="136"/>
      <c r="D1192" s="137"/>
      <c r="E1192" s="138"/>
      <c r="F1192" s="139"/>
      <c r="G1192" s="98"/>
      <c r="H1192" s="99"/>
      <c r="I1192" s="99"/>
      <c r="J1192" s="100"/>
      <c r="K1192" s="99"/>
      <c r="L1192" s="99"/>
      <c r="M1192" s="99"/>
      <c r="N1192" s="99"/>
      <c r="O1192" s="112"/>
      <c r="P1192" s="140" t="str">
        <f t="shared" si="197"/>
        <v/>
      </c>
      <c r="Q1192" s="140" t="str">
        <f t="shared" si="198"/>
        <v/>
      </c>
      <c r="R1192" s="140" t="str">
        <f t="shared" si="199"/>
        <v/>
      </c>
      <c r="S1192" s="140" t="str">
        <f t="shared" si="200"/>
        <v/>
      </c>
      <c r="T1192" s="140" t="str">
        <f t="shared" si="201"/>
        <v/>
      </c>
      <c r="U1192" s="140" t="str">
        <f t="shared" si="202"/>
        <v/>
      </c>
      <c r="V1192" s="99"/>
    </row>
    <row r="1193" spans="1:22">
      <c r="A1193" s="92"/>
      <c r="B1193" s="92"/>
      <c r="C1193" s="145">
        <v>0.08</v>
      </c>
      <c r="D1193" s="137"/>
      <c r="E1193" s="138"/>
      <c r="F1193" s="139"/>
      <c r="G1193" s="98"/>
      <c r="H1193" s="99"/>
      <c r="I1193" s="99"/>
      <c r="J1193" s="100"/>
      <c r="K1193" s="99"/>
      <c r="L1193" s="99"/>
      <c r="M1193" s="99"/>
      <c r="N1193" s="99"/>
      <c r="O1193" s="112"/>
      <c r="P1193" s="140" t="str">
        <f t="shared" si="197"/>
        <v/>
      </c>
      <c r="Q1193" s="140" t="str">
        <f t="shared" si="198"/>
        <v/>
      </c>
      <c r="R1193" s="140" t="str">
        <f t="shared" si="199"/>
        <v/>
      </c>
      <c r="S1193" s="140" t="str">
        <f t="shared" si="200"/>
        <v/>
      </c>
      <c r="T1193" s="140" t="str">
        <f t="shared" si="201"/>
        <v/>
      </c>
      <c r="U1193" s="140" t="str">
        <f t="shared" si="202"/>
        <v/>
      </c>
      <c r="V1193" s="99"/>
    </row>
    <row r="1194" spans="1:22">
      <c r="A1194" s="92"/>
      <c r="B1194" s="146" t="s">
        <v>383</v>
      </c>
      <c r="C1194" s="147"/>
      <c r="D1194" s="137"/>
      <c r="E1194" s="148">
        <f>((0.8-0.08-0.016)/7)+0.012+0.02</f>
        <v>0.13257142857142856</v>
      </c>
      <c r="F1194" s="139"/>
      <c r="G1194" s="98">
        <v>10</v>
      </c>
      <c r="H1194" s="99">
        <v>2</v>
      </c>
      <c r="I1194" s="111">
        <f>((2*0.8)/0.075)+2</f>
        <v>23.333333333333336</v>
      </c>
      <c r="J1194" s="149">
        <f>2*(D1196+E1194)+2*8*G1194/1000</f>
        <v>0.8651428571428571</v>
      </c>
      <c r="K1194" s="99"/>
      <c r="L1194" s="99">
        <v>5</v>
      </c>
      <c r="M1194" s="112">
        <f>2*G1194*L1194/1000</f>
        <v>0.1</v>
      </c>
      <c r="N1194" s="112">
        <f>(J1194+K1194-M1194)</f>
        <v>0.76514285714285712</v>
      </c>
      <c r="O1194" s="112">
        <f>(H1194*I1194*N1194)</f>
        <v>35.706666666666671</v>
      </c>
      <c r="P1194" s="140" t="str">
        <f t="shared" si="197"/>
        <v/>
      </c>
      <c r="Q1194" s="140">
        <f t="shared" si="198"/>
        <v>35.706666666666671</v>
      </c>
      <c r="R1194" s="140" t="str">
        <f t="shared" si="199"/>
        <v/>
      </c>
      <c r="S1194" s="140" t="str">
        <f t="shared" si="200"/>
        <v/>
      </c>
      <c r="T1194" s="140" t="str">
        <f t="shared" si="201"/>
        <v/>
      </c>
      <c r="U1194" s="140" t="str">
        <f t="shared" si="202"/>
        <v/>
      </c>
      <c r="V1194" s="99"/>
    </row>
    <row r="1195" spans="1:22">
      <c r="A1195" s="92"/>
      <c r="B1195" s="146"/>
      <c r="C1195" s="136"/>
      <c r="D1195" s="137"/>
      <c r="E1195" s="150"/>
      <c r="F1195" s="139"/>
      <c r="G1195" s="98"/>
      <c r="H1195" s="99"/>
      <c r="I1195" s="99"/>
      <c r="J1195" s="100"/>
      <c r="K1195" s="99"/>
      <c r="L1195" s="99"/>
      <c r="M1195" s="99"/>
      <c r="N1195" s="99"/>
      <c r="O1195" s="112"/>
      <c r="P1195" s="140" t="str">
        <f t="shared" si="197"/>
        <v/>
      </c>
      <c r="Q1195" s="140" t="str">
        <f t="shared" si="198"/>
        <v/>
      </c>
      <c r="R1195" s="140" t="str">
        <f t="shared" si="199"/>
        <v/>
      </c>
      <c r="S1195" s="140" t="str">
        <f t="shared" si="200"/>
        <v/>
      </c>
      <c r="T1195" s="140" t="str">
        <f t="shared" si="201"/>
        <v/>
      </c>
      <c r="U1195" s="140" t="str">
        <f t="shared" si="202"/>
        <v/>
      </c>
      <c r="V1195" s="99"/>
    </row>
    <row r="1196" spans="1:22">
      <c r="A1196" s="92"/>
      <c r="B1196" s="146"/>
      <c r="C1196" s="136"/>
      <c r="D1196" s="109">
        <f>0.3-0.08</f>
        <v>0.21999999999999997</v>
      </c>
      <c r="E1196" s="138"/>
      <c r="F1196" s="139"/>
      <c r="G1196" s="98"/>
      <c r="H1196" s="99"/>
      <c r="I1196" s="99"/>
      <c r="J1196" s="100"/>
      <c r="K1196" s="99"/>
      <c r="L1196" s="99"/>
      <c r="M1196" s="99"/>
      <c r="N1196" s="99"/>
      <c r="O1196" s="112"/>
      <c r="P1196" s="140" t="str">
        <f t="shared" si="197"/>
        <v/>
      </c>
      <c r="Q1196" s="140" t="str">
        <f t="shared" si="198"/>
        <v/>
      </c>
      <c r="R1196" s="140" t="str">
        <f t="shared" si="199"/>
        <v/>
      </c>
      <c r="S1196" s="140" t="str">
        <f t="shared" si="200"/>
        <v/>
      </c>
      <c r="T1196" s="140" t="str">
        <f t="shared" si="201"/>
        <v/>
      </c>
      <c r="U1196" s="140" t="str">
        <f t="shared" si="202"/>
        <v/>
      </c>
      <c r="V1196" s="99"/>
    </row>
    <row r="1197" spans="1:22">
      <c r="A1197" s="92"/>
      <c r="B1197" s="141"/>
      <c r="C1197" s="136"/>
      <c r="D1197" s="137"/>
      <c r="E1197" s="138"/>
      <c r="F1197" s="139"/>
      <c r="G1197" s="98"/>
      <c r="H1197" s="99"/>
      <c r="I1197" s="99"/>
      <c r="J1197" s="100"/>
      <c r="K1197" s="99"/>
      <c r="L1197" s="99"/>
      <c r="M1197" s="99"/>
      <c r="N1197" s="99"/>
      <c r="O1197" s="112"/>
      <c r="P1197" s="140" t="str">
        <f t="shared" si="197"/>
        <v/>
      </c>
      <c r="Q1197" s="140" t="str">
        <f t="shared" si="198"/>
        <v/>
      </c>
      <c r="R1197" s="140" t="str">
        <f t="shared" si="199"/>
        <v/>
      </c>
      <c r="S1197" s="140" t="str">
        <f t="shared" si="200"/>
        <v/>
      </c>
      <c r="T1197" s="140" t="str">
        <f t="shared" si="201"/>
        <v/>
      </c>
      <c r="U1197" s="140" t="str">
        <f t="shared" si="202"/>
        <v/>
      </c>
      <c r="V1197" s="99"/>
    </row>
    <row r="1198" spans="1:22">
      <c r="A1198" s="92"/>
      <c r="B1198" s="92"/>
      <c r="C1198" s="145">
        <v>0.08</v>
      </c>
      <c r="D1198" s="137"/>
      <c r="E1198" s="138"/>
      <c r="F1198" s="139"/>
      <c r="G1198" s="98"/>
      <c r="H1198" s="99"/>
      <c r="I1198" s="99"/>
      <c r="J1198" s="100"/>
      <c r="K1198" s="99"/>
      <c r="L1198" s="99"/>
      <c r="M1198" s="99"/>
      <c r="N1198" s="99"/>
      <c r="O1198" s="112"/>
      <c r="P1198" s="140" t="str">
        <f t="shared" si="197"/>
        <v/>
      </c>
      <c r="Q1198" s="140" t="str">
        <f t="shared" si="198"/>
        <v/>
      </c>
      <c r="R1198" s="140" t="str">
        <f t="shared" si="199"/>
        <v/>
      </c>
      <c r="S1198" s="140" t="str">
        <f t="shared" si="200"/>
        <v/>
      </c>
      <c r="T1198" s="140" t="str">
        <f t="shared" si="201"/>
        <v/>
      </c>
      <c r="U1198" s="140" t="str">
        <f t="shared" si="202"/>
        <v/>
      </c>
      <c r="V1198" s="99"/>
    </row>
    <row r="1199" spans="1:22">
      <c r="A1199" s="92"/>
      <c r="B1199" s="146" t="s">
        <v>384</v>
      </c>
      <c r="C1199" s="147"/>
      <c r="D1199" s="137"/>
      <c r="E1199" s="148">
        <f>((0.8-0.08-0.016)/7)+0.012+0.02</f>
        <v>0.13257142857142856</v>
      </c>
      <c r="F1199" s="139"/>
      <c r="G1199" s="98">
        <v>10</v>
      </c>
      <c r="H1199" s="99">
        <v>2</v>
      </c>
      <c r="I1199" s="111">
        <f>((2*0.8)/0.075)+2</f>
        <v>23.333333333333336</v>
      </c>
      <c r="J1199" s="149">
        <f>2*(D1201+E1199)+2*8*G1199/1000</f>
        <v>0.8651428571428571</v>
      </c>
      <c r="K1199" s="99"/>
      <c r="L1199" s="99">
        <v>5</v>
      </c>
      <c r="M1199" s="112">
        <f>2*G1199*L1199/1000</f>
        <v>0.1</v>
      </c>
      <c r="N1199" s="112">
        <f>(J1199+K1199-M1199)</f>
        <v>0.76514285714285712</v>
      </c>
      <c r="O1199" s="112">
        <f>(H1199*I1199*N1199)</f>
        <v>35.706666666666671</v>
      </c>
      <c r="P1199" s="140" t="str">
        <f t="shared" si="197"/>
        <v/>
      </c>
      <c r="Q1199" s="140">
        <f t="shared" si="198"/>
        <v>35.706666666666671</v>
      </c>
      <c r="R1199" s="140" t="str">
        <f t="shared" si="199"/>
        <v/>
      </c>
      <c r="S1199" s="140" t="str">
        <f t="shared" si="200"/>
        <v/>
      </c>
      <c r="T1199" s="140" t="str">
        <f t="shared" si="201"/>
        <v/>
      </c>
      <c r="U1199" s="140" t="str">
        <f t="shared" si="202"/>
        <v/>
      </c>
      <c r="V1199" s="99"/>
    </row>
    <row r="1200" spans="1:22">
      <c r="A1200" s="92"/>
      <c r="B1200" s="146"/>
      <c r="C1200" s="136"/>
      <c r="D1200" s="137"/>
      <c r="E1200" s="150"/>
      <c r="F1200" s="139"/>
      <c r="G1200" s="98"/>
      <c r="H1200" s="99"/>
      <c r="I1200" s="99"/>
      <c r="J1200" s="100"/>
      <c r="K1200" s="99"/>
      <c r="L1200" s="99"/>
      <c r="M1200" s="99"/>
      <c r="N1200" s="99"/>
      <c r="O1200" s="112"/>
      <c r="P1200" s="140" t="str">
        <f t="shared" si="197"/>
        <v/>
      </c>
      <c r="Q1200" s="140" t="str">
        <f t="shared" si="198"/>
        <v/>
      </c>
      <c r="R1200" s="140" t="str">
        <f t="shared" si="199"/>
        <v/>
      </c>
      <c r="S1200" s="140" t="str">
        <f t="shared" si="200"/>
        <v/>
      </c>
      <c r="T1200" s="140" t="str">
        <f t="shared" si="201"/>
        <v/>
      </c>
      <c r="U1200" s="140" t="str">
        <f t="shared" si="202"/>
        <v/>
      </c>
      <c r="V1200" s="99"/>
    </row>
    <row r="1201" spans="1:22">
      <c r="A1201" s="92"/>
      <c r="B1201" s="146"/>
      <c r="C1201" s="136"/>
      <c r="D1201" s="109">
        <f>0.3-0.08</f>
        <v>0.21999999999999997</v>
      </c>
      <c r="E1201" s="138"/>
      <c r="F1201" s="139"/>
      <c r="G1201" s="98"/>
      <c r="H1201" s="99"/>
      <c r="I1201" s="99"/>
      <c r="J1201" s="100"/>
      <c r="K1201" s="99"/>
      <c r="L1201" s="99"/>
      <c r="M1201" s="99"/>
      <c r="N1201" s="99"/>
      <c r="O1201" s="112"/>
      <c r="P1201" s="140" t="str">
        <f t="shared" si="197"/>
        <v/>
      </c>
      <c r="Q1201" s="140" t="str">
        <f t="shared" si="198"/>
        <v/>
      </c>
      <c r="R1201" s="140" t="str">
        <f t="shared" si="199"/>
        <v/>
      </c>
      <c r="S1201" s="140" t="str">
        <f t="shared" si="200"/>
        <v/>
      </c>
      <c r="T1201" s="140" t="str">
        <f t="shared" si="201"/>
        <v/>
      </c>
      <c r="U1201" s="140" t="str">
        <f t="shared" si="202"/>
        <v/>
      </c>
      <c r="V1201" s="99"/>
    </row>
    <row r="1202" spans="1:22">
      <c r="A1202" s="92"/>
      <c r="B1202" s="146"/>
      <c r="C1202" s="136"/>
      <c r="D1202" s="137"/>
      <c r="E1202" s="138"/>
      <c r="F1202" s="139"/>
      <c r="G1202" s="98"/>
      <c r="H1202" s="99"/>
      <c r="I1202" s="99"/>
      <c r="J1202" s="100"/>
      <c r="K1202" s="99"/>
      <c r="L1202" s="99"/>
      <c r="M1202" s="99"/>
      <c r="N1202" s="99"/>
      <c r="O1202" s="112"/>
      <c r="P1202" s="140" t="str">
        <f t="shared" si="197"/>
        <v/>
      </c>
      <c r="Q1202" s="140" t="str">
        <f t="shared" si="198"/>
        <v/>
      </c>
      <c r="R1202" s="140" t="str">
        <f t="shared" si="199"/>
        <v/>
      </c>
      <c r="S1202" s="140" t="str">
        <f t="shared" si="200"/>
        <v/>
      </c>
      <c r="T1202" s="140" t="str">
        <f t="shared" si="201"/>
        <v/>
      </c>
      <c r="U1202" s="140" t="str">
        <f t="shared" si="202"/>
        <v/>
      </c>
      <c r="V1202" s="99"/>
    </row>
    <row r="1203" spans="1:22">
      <c r="A1203" s="92"/>
      <c r="B1203" s="146" t="s">
        <v>385</v>
      </c>
      <c r="C1203" s="136"/>
      <c r="D1203" s="142"/>
      <c r="E1203" s="138"/>
      <c r="F1203" s="139"/>
      <c r="G1203" s="98">
        <v>10</v>
      </c>
      <c r="H1203" s="99">
        <v>2</v>
      </c>
      <c r="I1203" s="111">
        <f>((2*0.8)/0.075)+2</f>
        <v>23.333333333333336</v>
      </c>
      <c r="J1203" s="149">
        <f>C1204+D1206+E1204+2*8*G1203/1000</f>
        <v>0.73</v>
      </c>
      <c r="K1203" s="99"/>
      <c r="L1203" s="99">
        <v>4</v>
      </c>
      <c r="M1203" s="112">
        <f>2*G1203*L1203/1000</f>
        <v>0.08</v>
      </c>
      <c r="N1203" s="112">
        <f>(J1203+K1203-M1203)</f>
        <v>0.65</v>
      </c>
      <c r="O1203" s="112">
        <f>(H1203*I1203*N1203)</f>
        <v>30.333333333333336</v>
      </c>
      <c r="P1203" s="140" t="str">
        <f t="shared" si="197"/>
        <v/>
      </c>
      <c r="Q1203" s="140">
        <f t="shared" si="198"/>
        <v>30.333333333333336</v>
      </c>
      <c r="R1203" s="140" t="str">
        <f t="shared" si="199"/>
        <v/>
      </c>
      <c r="S1203" s="140" t="str">
        <f t="shared" si="200"/>
        <v/>
      </c>
      <c r="T1203" s="140" t="str">
        <f t="shared" si="201"/>
        <v/>
      </c>
      <c r="U1203" s="140" t="str">
        <f t="shared" si="202"/>
        <v/>
      </c>
      <c r="V1203" s="99"/>
    </row>
    <row r="1204" spans="1:22">
      <c r="A1204" s="92"/>
      <c r="B1204" s="146"/>
      <c r="C1204" s="151">
        <v>0.17499999999999999</v>
      </c>
      <c r="D1204" s="137"/>
      <c r="E1204" s="138">
        <v>0.17499999999999999</v>
      </c>
      <c r="F1204" s="139"/>
      <c r="G1204" s="98"/>
      <c r="H1204" s="99"/>
      <c r="I1204" s="99"/>
      <c r="J1204" s="100"/>
      <c r="K1204" s="99"/>
      <c r="L1204" s="99"/>
      <c r="M1204" s="99"/>
      <c r="N1204" s="99"/>
      <c r="O1204" s="112"/>
      <c r="P1204" s="140" t="str">
        <f>IF($G1204=8,$O1204,"")</f>
        <v/>
      </c>
      <c r="Q1204" s="140" t="str">
        <f>IF($G1204=10,$O1204,"")</f>
        <v/>
      </c>
      <c r="R1204" s="140" t="str">
        <f>IF($G1204=12,$O1204,"")</f>
        <v/>
      </c>
      <c r="S1204" s="140" t="str">
        <f>IF($G1204=16,$O1204,"")</f>
        <v/>
      </c>
      <c r="T1204" s="140" t="str">
        <f>IF($G1204=20,$O1204,"")</f>
        <v/>
      </c>
      <c r="U1204" s="140" t="str">
        <f>IF($G1204=25,$O1204,"")</f>
        <v/>
      </c>
      <c r="V1204" s="99"/>
    </row>
    <row r="1205" spans="1:22">
      <c r="A1205" s="92"/>
      <c r="B1205" s="146"/>
      <c r="C1205" s="136"/>
      <c r="D1205" s="137"/>
      <c r="E1205" s="138"/>
      <c r="F1205" s="139"/>
      <c r="G1205" s="98"/>
      <c r="H1205" s="99"/>
      <c r="I1205" s="99"/>
      <c r="J1205" s="100"/>
      <c r="K1205" s="99"/>
      <c r="L1205" s="99"/>
      <c r="M1205" s="99"/>
      <c r="N1205" s="99"/>
      <c r="O1205" s="112"/>
      <c r="P1205" s="140" t="str">
        <f t="shared" si="197"/>
        <v/>
      </c>
      <c r="Q1205" s="140" t="str">
        <f t="shared" si="198"/>
        <v/>
      </c>
      <c r="R1205" s="140" t="str">
        <f t="shared" si="199"/>
        <v/>
      </c>
      <c r="S1205" s="140" t="str">
        <f t="shared" si="200"/>
        <v/>
      </c>
      <c r="T1205" s="140" t="str">
        <f t="shared" si="201"/>
        <v/>
      </c>
      <c r="U1205" s="140" t="str">
        <f t="shared" si="202"/>
        <v/>
      </c>
      <c r="V1205" s="99"/>
    </row>
    <row r="1206" spans="1:22">
      <c r="A1206" s="92"/>
      <c r="B1206" s="146"/>
      <c r="C1206" s="136"/>
      <c r="D1206" s="109">
        <f>0.3-0.08</f>
        <v>0.21999999999999997</v>
      </c>
      <c r="E1206" s="138"/>
      <c r="F1206" s="139"/>
      <c r="G1206" s="98"/>
      <c r="H1206" s="99"/>
      <c r="I1206" s="99"/>
      <c r="J1206" s="100"/>
      <c r="K1206" s="99"/>
      <c r="L1206" s="99"/>
      <c r="M1206" s="99"/>
      <c r="N1206" s="99"/>
      <c r="O1206" s="112"/>
      <c r="P1206" s="140" t="str">
        <f t="shared" si="197"/>
        <v/>
      </c>
      <c r="Q1206" s="140" t="str">
        <f t="shared" si="198"/>
        <v/>
      </c>
      <c r="R1206" s="140" t="str">
        <f t="shared" si="199"/>
        <v/>
      </c>
      <c r="S1206" s="140" t="str">
        <f t="shared" si="200"/>
        <v/>
      </c>
      <c r="T1206" s="140" t="str">
        <f t="shared" si="201"/>
        <v/>
      </c>
      <c r="U1206" s="140" t="str">
        <f t="shared" si="202"/>
        <v/>
      </c>
      <c r="V1206" s="99"/>
    </row>
    <row r="1207" spans="1:22">
      <c r="A1207" s="92"/>
      <c r="B1207" s="146"/>
      <c r="C1207" s="136"/>
      <c r="D1207" s="137"/>
      <c r="E1207" s="138"/>
      <c r="F1207" s="139"/>
      <c r="G1207" s="98"/>
      <c r="H1207" s="99"/>
      <c r="I1207" s="99"/>
      <c r="J1207" s="100"/>
      <c r="K1207" s="99"/>
      <c r="L1207" s="99"/>
      <c r="M1207" s="99"/>
      <c r="N1207" s="99"/>
      <c r="O1207" s="112"/>
      <c r="P1207" s="140" t="str">
        <f t="shared" si="197"/>
        <v/>
      </c>
      <c r="Q1207" s="140" t="str">
        <f t="shared" si="198"/>
        <v/>
      </c>
      <c r="R1207" s="140" t="str">
        <f t="shared" si="199"/>
        <v/>
      </c>
      <c r="S1207" s="140" t="str">
        <f t="shared" si="200"/>
        <v/>
      </c>
      <c r="T1207" s="140" t="str">
        <f t="shared" si="201"/>
        <v/>
      </c>
      <c r="U1207" s="140" t="str">
        <f t="shared" si="202"/>
        <v/>
      </c>
      <c r="V1207" s="99"/>
    </row>
    <row r="1208" spans="1:22">
      <c r="A1208" s="92"/>
      <c r="B1208" s="146" t="s">
        <v>390</v>
      </c>
      <c r="C1208" s="136"/>
      <c r="D1208" s="142"/>
      <c r="E1208" s="138"/>
      <c r="F1208" s="139"/>
      <c r="G1208" s="98">
        <v>10</v>
      </c>
      <c r="H1208" s="99">
        <v>2</v>
      </c>
      <c r="I1208" s="111">
        <f>((2*0.8)/0.075)+2</f>
        <v>23.333333333333336</v>
      </c>
      <c r="J1208" s="149">
        <f>C1209+D1211+E1209+2*8*G1208/1000</f>
        <v>0.73</v>
      </c>
      <c r="K1208" s="99"/>
      <c r="L1208" s="99">
        <v>4</v>
      </c>
      <c r="M1208" s="112">
        <f>2*G1208*L1208/1000</f>
        <v>0.08</v>
      </c>
      <c r="N1208" s="112">
        <f>(J1208+K1208-M1208)</f>
        <v>0.65</v>
      </c>
      <c r="O1208" s="112">
        <f>(H1208*I1208*N1208)</f>
        <v>30.333333333333336</v>
      </c>
      <c r="P1208" s="140" t="str">
        <f t="shared" si="197"/>
        <v/>
      </c>
      <c r="Q1208" s="140">
        <f t="shared" si="198"/>
        <v>30.333333333333336</v>
      </c>
      <c r="R1208" s="140" t="str">
        <f t="shared" si="199"/>
        <v/>
      </c>
      <c r="S1208" s="140" t="str">
        <f t="shared" si="200"/>
        <v/>
      </c>
      <c r="T1208" s="140" t="str">
        <f t="shared" si="201"/>
        <v/>
      </c>
      <c r="U1208" s="140" t="str">
        <f t="shared" si="202"/>
        <v/>
      </c>
      <c r="V1208" s="99"/>
    </row>
    <row r="1209" spans="1:22">
      <c r="A1209" s="92"/>
      <c r="B1209" s="146"/>
      <c r="C1209" s="151">
        <v>0.17499999999999999</v>
      </c>
      <c r="D1209" s="137"/>
      <c r="E1209" s="138">
        <v>0.17499999999999999</v>
      </c>
      <c r="F1209" s="139"/>
      <c r="G1209" s="98"/>
      <c r="H1209" s="99"/>
      <c r="I1209" s="99"/>
      <c r="J1209" s="100"/>
      <c r="K1209" s="99"/>
      <c r="L1209" s="99"/>
      <c r="M1209" s="99"/>
      <c r="N1209" s="99"/>
      <c r="O1209" s="112"/>
      <c r="P1209" s="140" t="str">
        <f t="shared" si="197"/>
        <v/>
      </c>
      <c r="Q1209" s="140" t="str">
        <f t="shared" si="198"/>
        <v/>
      </c>
      <c r="R1209" s="140" t="str">
        <f t="shared" si="199"/>
        <v/>
      </c>
      <c r="S1209" s="140" t="str">
        <f t="shared" si="200"/>
        <v/>
      </c>
      <c r="T1209" s="140" t="str">
        <f t="shared" si="201"/>
        <v/>
      </c>
      <c r="U1209" s="140" t="str">
        <f t="shared" si="202"/>
        <v/>
      </c>
      <c r="V1209" s="99"/>
    </row>
    <row r="1210" spans="1:22">
      <c r="A1210" s="92"/>
      <c r="B1210" s="146"/>
      <c r="C1210" s="136"/>
      <c r="D1210" s="137"/>
      <c r="E1210" s="138"/>
      <c r="F1210" s="139"/>
      <c r="G1210" s="98"/>
      <c r="H1210" s="99"/>
      <c r="I1210" s="99"/>
      <c r="J1210" s="100"/>
      <c r="K1210" s="99"/>
      <c r="L1210" s="99"/>
      <c r="M1210" s="99"/>
      <c r="N1210" s="99"/>
      <c r="O1210" s="101"/>
      <c r="P1210" s="140" t="str">
        <f t="shared" si="197"/>
        <v/>
      </c>
      <c r="Q1210" s="140" t="str">
        <f t="shared" si="198"/>
        <v/>
      </c>
      <c r="R1210" s="140" t="str">
        <f t="shared" si="199"/>
        <v/>
      </c>
      <c r="S1210" s="140" t="str">
        <f t="shared" si="200"/>
        <v/>
      </c>
      <c r="T1210" s="140" t="str">
        <f t="shared" si="201"/>
        <v/>
      </c>
      <c r="U1210" s="140" t="str">
        <f t="shared" si="202"/>
        <v/>
      </c>
      <c r="V1210" s="99"/>
    </row>
    <row r="1211" spans="1:22">
      <c r="A1211" s="92"/>
      <c r="B1211" s="146"/>
      <c r="C1211" s="136"/>
      <c r="D1211" s="109">
        <f>0.3-0.08</f>
        <v>0.21999999999999997</v>
      </c>
      <c r="E1211" s="138"/>
      <c r="F1211" s="139"/>
      <c r="G1211" s="98"/>
      <c r="H1211" s="99"/>
      <c r="I1211" s="99"/>
      <c r="J1211" s="100"/>
      <c r="K1211" s="99"/>
      <c r="L1211" s="99"/>
      <c r="M1211" s="99"/>
      <c r="N1211" s="99"/>
      <c r="O1211" s="101"/>
      <c r="P1211" s="140" t="str">
        <f t="shared" si="197"/>
        <v/>
      </c>
      <c r="Q1211" s="140" t="str">
        <f t="shared" si="198"/>
        <v/>
      </c>
      <c r="R1211" s="140" t="str">
        <f t="shared" si="199"/>
        <v/>
      </c>
      <c r="S1211" s="140" t="str">
        <f t="shared" si="200"/>
        <v/>
      </c>
      <c r="T1211" s="140" t="str">
        <f t="shared" si="201"/>
        <v/>
      </c>
      <c r="U1211" s="140" t="str">
        <f t="shared" si="202"/>
        <v/>
      </c>
      <c r="V1211" s="99"/>
    </row>
    <row r="1212" spans="1:22">
      <c r="A1212" s="92"/>
      <c r="B1212" s="141"/>
      <c r="C1212" s="136"/>
      <c r="D1212" s="137"/>
      <c r="E1212" s="138"/>
      <c r="F1212" s="139"/>
      <c r="G1212" s="98"/>
      <c r="H1212" s="99"/>
      <c r="I1212" s="99"/>
      <c r="J1212" s="100"/>
      <c r="K1212" s="99"/>
      <c r="L1212" s="99"/>
      <c r="M1212" s="99"/>
      <c r="N1212" s="99"/>
      <c r="O1212" s="101"/>
      <c r="P1212" s="140" t="str">
        <f t="shared" si="197"/>
        <v/>
      </c>
      <c r="Q1212" s="140" t="str">
        <f t="shared" si="198"/>
        <v/>
      </c>
      <c r="R1212" s="140" t="str">
        <f t="shared" si="199"/>
        <v/>
      </c>
      <c r="S1212" s="140" t="str">
        <f t="shared" si="200"/>
        <v/>
      </c>
      <c r="T1212" s="140" t="str">
        <f t="shared" si="201"/>
        <v/>
      </c>
      <c r="U1212" s="140" t="str">
        <f t="shared" si="202"/>
        <v/>
      </c>
      <c r="V1212" s="99"/>
    </row>
    <row r="1213" spans="1:22">
      <c r="A1213" s="92"/>
      <c r="B1213" s="429" t="s">
        <v>645</v>
      </c>
      <c r="C1213" s="145">
        <v>0.08</v>
      </c>
      <c r="D1213" s="137"/>
      <c r="E1213" s="138"/>
      <c r="F1213" s="139"/>
      <c r="G1213" s="98"/>
      <c r="H1213" s="99"/>
      <c r="I1213" s="99"/>
      <c r="J1213" s="100"/>
      <c r="K1213" s="99"/>
      <c r="L1213" s="99"/>
      <c r="M1213" s="99"/>
      <c r="N1213" s="99"/>
      <c r="O1213" s="101"/>
      <c r="P1213" s="140" t="str">
        <f t="shared" si="197"/>
        <v/>
      </c>
      <c r="Q1213" s="140" t="str">
        <f t="shared" si="198"/>
        <v/>
      </c>
      <c r="R1213" s="140" t="str">
        <f t="shared" si="199"/>
        <v/>
      </c>
      <c r="S1213" s="140" t="str">
        <f t="shared" si="200"/>
        <v/>
      </c>
      <c r="T1213" s="140" t="str">
        <f t="shared" si="201"/>
        <v/>
      </c>
      <c r="U1213" s="140" t="str">
        <f t="shared" si="202"/>
        <v/>
      </c>
      <c r="V1213" s="99"/>
    </row>
    <row r="1214" spans="1:22">
      <c r="A1214" s="92"/>
      <c r="B1214" s="146" t="s">
        <v>382</v>
      </c>
      <c r="C1214" s="147"/>
      <c r="D1214" s="137"/>
      <c r="E1214" s="148">
        <f>0.8-0.08</f>
        <v>0.72000000000000008</v>
      </c>
      <c r="F1214" s="139"/>
      <c r="G1214" s="98">
        <v>8</v>
      </c>
      <c r="H1214" s="99">
        <v>2</v>
      </c>
      <c r="I1214" s="111">
        <f>((1.68-2*0.75)/0.15)+1</f>
        <v>2.1999999999999997</v>
      </c>
      <c r="J1214" s="149">
        <f>2*(D1216+E1214)+2*8*G1214/1000</f>
        <v>2.008</v>
      </c>
      <c r="K1214" s="99"/>
      <c r="L1214" s="99">
        <v>5</v>
      </c>
      <c r="M1214" s="112">
        <f>2*G1214*L1214/1000</f>
        <v>0.08</v>
      </c>
      <c r="N1214" s="112">
        <f>(J1214+K1214-M1214)</f>
        <v>1.9279999999999999</v>
      </c>
      <c r="O1214" s="112">
        <f>(H1214*I1214*N1214)</f>
        <v>8.4831999999999983</v>
      </c>
      <c r="P1214" s="140">
        <f t="shared" si="197"/>
        <v>8.4831999999999983</v>
      </c>
      <c r="Q1214" s="140" t="str">
        <f t="shared" si="198"/>
        <v/>
      </c>
      <c r="R1214" s="140" t="str">
        <f t="shared" si="199"/>
        <v/>
      </c>
      <c r="S1214" s="140" t="str">
        <f t="shared" si="200"/>
        <v/>
      </c>
      <c r="T1214" s="140" t="str">
        <f t="shared" si="201"/>
        <v/>
      </c>
      <c r="U1214" s="140" t="str">
        <f t="shared" si="202"/>
        <v/>
      </c>
      <c r="V1214" s="99"/>
    </row>
    <row r="1215" spans="1:22">
      <c r="A1215" s="92"/>
      <c r="B1215" s="146"/>
      <c r="C1215" s="136"/>
      <c r="D1215" s="137"/>
      <c r="E1215" s="150"/>
      <c r="F1215" s="139"/>
      <c r="G1215" s="98"/>
      <c r="H1215" s="99"/>
      <c r="I1215" s="99"/>
      <c r="J1215" s="100"/>
      <c r="K1215" s="99"/>
      <c r="L1215" s="99"/>
      <c r="M1215" s="99"/>
      <c r="N1215" s="99"/>
      <c r="O1215" s="112"/>
      <c r="P1215" s="140" t="str">
        <f t="shared" si="197"/>
        <v/>
      </c>
      <c r="Q1215" s="140" t="str">
        <f t="shared" si="198"/>
        <v/>
      </c>
      <c r="R1215" s="140" t="str">
        <f t="shared" si="199"/>
        <v/>
      </c>
      <c r="S1215" s="140" t="str">
        <f t="shared" si="200"/>
        <v/>
      </c>
      <c r="T1215" s="140" t="str">
        <f t="shared" si="201"/>
        <v/>
      </c>
      <c r="U1215" s="140" t="str">
        <f t="shared" si="202"/>
        <v/>
      </c>
      <c r="V1215" s="99"/>
    </row>
    <row r="1216" spans="1:22">
      <c r="A1216" s="92"/>
      <c r="B1216" s="146"/>
      <c r="C1216" s="136"/>
      <c r="D1216" s="109">
        <f>0.3-0.08</f>
        <v>0.21999999999999997</v>
      </c>
      <c r="E1216" s="138"/>
      <c r="F1216" s="139"/>
      <c r="G1216" s="98"/>
      <c r="H1216" s="99"/>
      <c r="I1216" s="99"/>
      <c r="J1216" s="100"/>
      <c r="K1216" s="99"/>
      <c r="L1216" s="99"/>
      <c r="M1216" s="99"/>
      <c r="N1216" s="99"/>
      <c r="O1216" s="112"/>
      <c r="P1216" s="140" t="str">
        <f t="shared" si="197"/>
        <v/>
      </c>
      <c r="Q1216" s="140" t="str">
        <f t="shared" si="198"/>
        <v/>
      </c>
      <c r="R1216" s="140" t="str">
        <f t="shared" si="199"/>
        <v/>
      </c>
      <c r="S1216" s="140" t="str">
        <f t="shared" si="200"/>
        <v/>
      </c>
      <c r="T1216" s="140" t="str">
        <f t="shared" si="201"/>
        <v/>
      </c>
      <c r="U1216" s="140" t="str">
        <f t="shared" si="202"/>
        <v/>
      </c>
      <c r="V1216" s="99"/>
    </row>
    <row r="1217" spans="1:22">
      <c r="A1217" s="92"/>
      <c r="B1217" s="141"/>
      <c r="C1217" s="136"/>
      <c r="D1217" s="137"/>
      <c r="E1217" s="138"/>
      <c r="F1217" s="139"/>
      <c r="G1217" s="98"/>
      <c r="H1217" s="99"/>
      <c r="I1217" s="99"/>
      <c r="J1217" s="100"/>
      <c r="K1217" s="99"/>
      <c r="L1217" s="99"/>
      <c r="M1217" s="99"/>
      <c r="N1217" s="99"/>
      <c r="O1217" s="112"/>
      <c r="P1217" s="140" t="str">
        <f t="shared" si="197"/>
        <v/>
      </c>
      <c r="Q1217" s="140" t="str">
        <f t="shared" si="198"/>
        <v/>
      </c>
      <c r="R1217" s="140" t="str">
        <f t="shared" si="199"/>
        <v/>
      </c>
      <c r="S1217" s="140" t="str">
        <f t="shared" si="200"/>
        <v/>
      </c>
      <c r="T1217" s="140" t="str">
        <f t="shared" si="201"/>
        <v/>
      </c>
      <c r="U1217" s="140" t="str">
        <f t="shared" si="202"/>
        <v/>
      </c>
      <c r="V1217" s="99"/>
    </row>
    <row r="1218" spans="1:22">
      <c r="A1218" s="92"/>
      <c r="B1218" s="92"/>
      <c r="C1218" s="145">
        <v>0.08</v>
      </c>
      <c r="D1218" s="137"/>
      <c r="E1218" s="138"/>
      <c r="F1218" s="139"/>
      <c r="G1218" s="98"/>
      <c r="H1218" s="99"/>
      <c r="I1218" s="99"/>
      <c r="J1218" s="100"/>
      <c r="K1218" s="99"/>
      <c r="L1218" s="99"/>
      <c r="M1218" s="99"/>
      <c r="N1218" s="99"/>
      <c r="O1218" s="112"/>
      <c r="P1218" s="140" t="str">
        <f t="shared" si="197"/>
        <v/>
      </c>
      <c r="Q1218" s="140" t="str">
        <f t="shared" si="198"/>
        <v/>
      </c>
      <c r="R1218" s="140" t="str">
        <f t="shared" si="199"/>
        <v/>
      </c>
      <c r="S1218" s="140" t="str">
        <f t="shared" si="200"/>
        <v/>
      </c>
      <c r="T1218" s="140" t="str">
        <f t="shared" si="201"/>
        <v/>
      </c>
      <c r="U1218" s="140" t="str">
        <f t="shared" si="202"/>
        <v/>
      </c>
      <c r="V1218" s="99"/>
    </row>
    <row r="1219" spans="1:22">
      <c r="A1219" s="92"/>
      <c r="B1219" s="146" t="s">
        <v>383</v>
      </c>
      <c r="C1219" s="147"/>
      <c r="D1219" s="137"/>
      <c r="E1219" s="148">
        <f>((0.8-0.08-0.016)/7)+0.012+0.02</f>
        <v>0.13257142857142856</v>
      </c>
      <c r="F1219" s="139"/>
      <c r="G1219" s="98">
        <v>8</v>
      </c>
      <c r="H1219" s="99">
        <v>2</v>
      </c>
      <c r="I1219" s="111">
        <f>((1.68-2*0.75)/0.15)+1</f>
        <v>2.1999999999999997</v>
      </c>
      <c r="J1219" s="149">
        <f>2*(D1221+E1219)+2*8*G1219/1000</f>
        <v>0.83314285714285707</v>
      </c>
      <c r="K1219" s="99"/>
      <c r="L1219" s="99">
        <v>5</v>
      </c>
      <c r="M1219" s="112">
        <f>2*G1219*L1219/1000</f>
        <v>0.08</v>
      </c>
      <c r="N1219" s="112">
        <f>(J1219+K1219-M1219)</f>
        <v>0.75314285714285711</v>
      </c>
      <c r="O1219" s="112">
        <f>(H1219*I1219*N1219)</f>
        <v>3.3138285714285707</v>
      </c>
      <c r="P1219" s="140">
        <f t="shared" si="197"/>
        <v>3.3138285714285707</v>
      </c>
      <c r="Q1219" s="140" t="str">
        <f t="shared" si="198"/>
        <v/>
      </c>
      <c r="R1219" s="140" t="str">
        <f t="shared" si="199"/>
        <v/>
      </c>
      <c r="S1219" s="140" t="str">
        <f t="shared" si="200"/>
        <v/>
      </c>
      <c r="T1219" s="140" t="str">
        <f t="shared" si="201"/>
        <v/>
      </c>
      <c r="U1219" s="140" t="str">
        <f t="shared" si="202"/>
        <v/>
      </c>
      <c r="V1219" s="99"/>
    </row>
    <row r="1220" spans="1:22">
      <c r="A1220" s="92"/>
      <c r="B1220" s="146"/>
      <c r="C1220" s="136"/>
      <c r="D1220" s="137"/>
      <c r="E1220" s="150"/>
      <c r="F1220" s="139"/>
      <c r="G1220" s="98"/>
      <c r="H1220" s="99"/>
      <c r="I1220" s="99"/>
      <c r="J1220" s="100"/>
      <c r="K1220" s="99"/>
      <c r="L1220" s="99"/>
      <c r="M1220" s="99"/>
      <c r="N1220" s="99"/>
      <c r="O1220" s="112"/>
      <c r="P1220" s="140" t="str">
        <f t="shared" si="197"/>
        <v/>
      </c>
      <c r="Q1220" s="140" t="str">
        <f t="shared" si="198"/>
        <v/>
      </c>
      <c r="R1220" s="140" t="str">
        <f t="shared" si="199"/>
        <v/>
      </c>
      <c r="S1220" s="140" t="str">
        <f t="shared" si="200"/>
        <v/>
      </c>
      <c r="T1220" s="140" t="str">
        <f t="shared" si="201"/>
        <v/>
      </c>
      <c r="U1220" s="140" t="str">
        <f t="shared" si="202"/>
        <v/>
      </c>
      <c r="V1220" s="99"/>
    </row>
    <row r="1221" spans="1:22">
      <c r="A1221" s="92"/>
      <c r="B1221" s="146"/>
      <c r="C1221" s="136"/>
      <c r="D1221" s="109">
        <f>0.3-0.08</f>
        <v>0.21999999999999997</v>
      </c>
      <c r="E1221" s="138"/>
      <c r="F1221" s="139"/>
      <c r="G1221" s="98"/>
      <c r="H1221" s="99"/>
      <c r="I1221" s="99"/>
      <c r="J1221" s="100"/>
      <c r="K1221" s="99"/>
      <c r="L1221" s="99"/>
      <c r="M1221" s="99"/>
      <c r="N1221" s="99"/>
      <c r="O1221" s="112"/>
      <c r="P1221" s="140" t="str">
        <f t="shared" si="197"/>
        <v/>
      </c>
      <c r="Q1221" s="140" t="str">
        <f t="shared" si="198"/>
        <v/>
      </c>
      <c r="R1221" s="140" t="str">
        <f t="shared" si="199"/>
        <v/>
      </c>
      <c r="S1221" s="140" t="str">
        <f t="shared" si="200"/>
        <v/>
      </c>
      <c r="T1221" s="140" t="str">
        <f t="shared" si="201"/>
        <v/>
      </c>
      <c r="U1221" s="140" t="str">
        <f t="shared" si="202"/>
        <v/>
      </c>
      <c r="V1221" s="99"/>
    </row>
    <row r="1222" spans="1:22">
      <c r="A1222" s="92"/>
      <c r="B1222" s="141"/>
      <c r="C1222" s="136"/>
      <c r="D1222" s="137"/>
      <c r="E1222" s="138"/>
      <c r="F1222" s="139"/>
      <c r="G1222" s="98"/>
      <c r="H1222" s="99"/>
      <c r="I1222" s="99"/>
      <c r="J1222" s="100"/>
      <c r="K1222" s="99"/>
      <c r="L1222" s="99"/>
      <c r="M1222" s="99"/>
      <c r="N1222" s="99"/>
      <c r="O1222" s="112"/>
      <c r="P1222" s="140" t="str">
        <f t="shared" si="197"/>
        <v/>
      </c>
      <c r="Q1222" s="140" t="str">
        <f t="shared" si="198"/>
        <v/>
      </c>
      <c r="R1222" s="140" t="str">
        <f t="shared" si="199"/>
        <v/>
      </c>
      <c r="S1222" s="140" t="str">
        <f t="shared" si="200"/>
        <v/>
      </c>
      <c r="T1222" s="140" t="str">
        <f t="shared" si="201"/>
        <v/>
      </c>
      <c r="U1222" s="140" t="str">
        <f t="shared" si="202"/>
        <v/>
      </c>
      <c r="V1222" s="99"/>
    </row>
    <row r="1223" spans="1:22">
      <c r="A1223" s="92"/>
      <c r="B1223" s="92"/>
      <c r="C1223" s="145">
        <v>0.08</v>
      </c>
      <c r="D1223" s="137"/>
      <c r="E1223" s="138"/>
      <c r="F1223" s="139"/>
      <c r="G1223" s="98"/>
      <c r="H1223" s="99"/>
      <c r="I1223" s="99"/>
      <c r="J1223" s="100"/>
      <c r="K1223" s="99"/>
      <c r="L1223" s="99"/>
      <c r="M1223" s="99"/>
      <c r="N1223" s="99"/>
      <c r="O1223" s="112"/>
      <c r="P1223" s="140" t="str">
        <f t="shared" si="197"/>
        <v/>
      </c>
      <c r="Q1223" s="140" t="str">
        <f t="shared" si="198"/>
        <v/>
      </c>
      <c r="R1223" s="140" t="str">
        <f t="shared" si="199"/>
        <v/>
      </c>
      <c r="S1223" s="140" t="str">
        <f t="shared" si="200"/>
        <v/>
      </c>
      <c r="T1223" s="140" t="str">
        <f t="shared" si="201"/>
        <v/>
      </c>
      <c r="U1223" s="140" t="str">
        <f t="shared" si="202"/>
        <v/>
      </c>
      <c r="V1223" s="99"/>
    </row>
    <row r="1224" spans="1:22">
      <c r="A1224" s="92"/>
      <c r="B1224" s="146" t="s">
        <v>384</v>
      </c>
      <c r="C1224" s="147"/>
      <c r="D1224" s="137"/>
      <c r="E1224" s="148">
        <f>((0.8-0.08-0.016)/7)+0.012+0.02</f>
        <v>0.13257142857142856</v>
      </c>
      <c r="F1224" s="139"/>
      <c r="G1224" s="98">
        <v>8</v>
      </c>
      <c r="H1224" s="99">
        <v>2</v>
      </c>
      <c r="I1224" s="111">
        <f>((1.68-2*0.75)/0.15)+1</f>
        <v>2.1999999999999997</v>
      </c>
      <c r="J1224" s="149">
        <f>2*(D1226+E1224)+2*8*G1224/1000</f>
        <v>0.83314285714285707</v>
      </c>
      <c r="K1224" s="99"/>
      <c r="L1224" s="99">
        <v>5</v>
      </c>
      <c r="M1224" s="112">
        <f>2*G1224*L1224/1000</f>
        <v>0.08</v>
      </c>
      <c r="N1224" s="112">
        <f>(J1224+K1224-M1224)</f>
        <v>0.75314285714285711</v>
      </c>
      <c r="O1224" s="112">
        <f>(H1224*I1224*N1224)</f>
        <v>3.3138285714285707</v>
      </c>
      <c r="P1224" s="140">
        <f t="shared" si="197"/>
        <v>3.3138285714285707</v>
      </c>
      <c r="Q1224" s="140" t="str">
        <f t="shared" si="198"/>
        <v/>
      </c>
      <c r="R1224" s="140" t="str">
        <f t="shared" si="199"/>
        <v/>
      </c>
      <c r="S1224" s="140" t="str">
        <f t="shared" si="200"/>
        <v/>
      </c>
      <c r="T1224" s="140" t="str">
        <f t="shared" si="201"/>
        <v/>
      </c>
      <c r="U1224" s="140" t="str">
        <f t="shared" si="202"/>
        <v/>
      </c>
      <c r="V1224" s="99"/>
    </row>
    <row r="1225" spans="1:22">
      <c r="A1225" s="92"/>
      <c r="B1225" s="146"/>
      <c r="C1225" s="136"/>
      <c r="D1225" s="137"/>
      <c r="E1225" s="150"/>
      <c r="F1225" s="139"/>
      <c r="G1225" s="98"/>
      <c r="H1225" s="99"/>
      <c r="I1225" s="99"/>
      <c r="J1225" s="100"/>
      <c r="K1225" s="99"/>
      <c r="L1225" s="99"/>
      <c r="M1225" s="99"/>
      <c r="N1225" s="99"/>
      <c r="O1225" s="112"/>
      <c r="P1225" s="140" t="str">
        <f t="shared" si="197"/>
        <v/>
      </c>
      <c r="Q1225" s="140" t="str">
        <f t="shared" si="198"/>
        <v/>
      </c>
      <c r="R1225" s="140" t="str">
        <f t="shared" si="199"/>
        <v/>
      </c>
      <c r="S1225" s="140" t="str">
        <f t="shared" si="200"/>
        <v/>
      </c>
      <c r="T1225" s="140" t="str">
        <f t="shared" si="201"/>
        <v/>
      </c>
      <c r="U1225" s="140" t="str">
        <f t="shared" si="202"/>
        <v/>
      </c>
      <c r="V1225" s="99"/>
    </row>
    <row r="1226" spans="1:22">
      <c r="A1226" s="92"/>
      <c r="B1226" s="146"/>
      <c r="C1226" s="136"/>
      <c r="D1226" s="109">
        <f>0.3-0.08</f>
        <v>0.21999999999999997</v>
      </c>
      <c r="E1226" s="138"/>
      <c r="F1226" s="139"/>
      <c r="G1226" s="98"/>
      <c r="H1226" s="99"/>
      <c r="I1226" s="99"/>
      <c r="J1226" s="100"/>
      <c r="K1226" s="99"/>
      <c r="L1226" s="99"/>
      <c r="M1226" s="99"/>
      <c r="N1226" s="99"/>
      <c r="O1226" s="112"/>
      <c r="P1226" s="140" t="str">
        <f t="shared" ref="P1226:P1236" si="206">IF($G1226=8,$O1226,"")</f>
        <v/>
      </c>
      <c r="Q1226" s="140" t="str">
        <f t="shared" ref="Q1226:Q1236" si="207">IF($G1226=10,$O1226,"")</f>
        <v/>
      </c>
      <c r="R1226" s="140" t="str">
        <f t="shared" ref="R1226:R1236" si="208">IF($G1226=12,$O1226,"")</f>
        <v/>
      </c>
      <c r="S1226" s="140" t="str">
        <f t="shared" ref="S1226:S1236" si="209">IF($G1226=16,$O1226,"")</f>
        <v/>
      </c>
      <c r="T1226" s="140" t="str">
        <f t="shared" ref="T1226:T1236" si="210">IF($G1226=20,$O1226,"")</f>
        <v/>
      </c>
      <c r="U1226" s="140" t="str">
        <f t="shared" ref="U1226:U1236" si="211">IF($G1226=25,$O1226,"")</f>
        <v/>
      </c>
      <c r="V1226" s="99"/>
    </row>
    <row r="1227" spans="1:22">
      <c r="A1227" s="92"/>
      <c r="B1227" s="146"/>
      <c r="C1227" s="136"/>
      <c r="D1227" s="137"/>
      <c r="E1227" s="138"/>
      <c r="F1227" s="139"/>
      <c r="G1227" s="98"/>
      <c r="H1227" s="99"/>
      <c r="I1227" s="99"/>
      <c r="J1227" s="100"/>
      <c r="K1227" s="99"/>
      <c r="L1227" s="99"/>
      <c r="M1227" s="99"/>
      <c r="N1227" s="99"/>
      <c r="O1227" s="112"/>
      <c r="P1227" s="140" t="str">
        <f t="shared" si="206"/>
        <v/>
      </c>
      <c r="Q1227" s="140" t="str">
        <f t="shared" si="207"/>
        <v/>
      </c>
      <c r="R1227" s="140" t="str">
        <f t="shared" si="208"/>
        <v/>
      </c>
      <c r="S1227" s="140" t="str">
        <f t="shared" si="209"/>
        <v/>
      </c>
      <c r="T1227" s="140" t="str">
        <f t="shared" si="210"/>
        <v/>
      </c>
      <c r="U1227" s="140" t="str">
        <f t="shared" si="211"/>
        <v/>
      </c>
      <c r="V1227" s="99"/>
    </row>
    <row r="1228" spans="1:22">
      <c r="A1228" s="92"/>
      <c r="B1228" s="146" t="s">
        <v>385</v>
      </c>
      <c r="C1228" s="136"/>
      <c r="D1228" s="142"/>
      <c r="E1228" s="138"/>
      <c r="F1228" s="139"/>
      <c r="G1228" s="98">
        <v>8</v>
      </c>
      <c r="H1228" s="99">
        <v>2</v>
      </c>
      <c r="I1228" s="111">
        <f>((1.68-2*0.75)/0.15)+1</f>
        <v>2.1999999999999997</v>
      </c>
      <c r="J1228" s="149">
        <f>C1229+D1231+E1229+2*8*G1228/1000</f>
        <v>0.69799999999999995</v>
      </c>
      <c r="K1228" s="99"/>
      <c r="L1228" s="99">
        <v>4</v>
      </c>
      <c r="M1228" s="112">
        <f>2*G1228*L1228/1000</f>
        <v>6.4000000000000001E-2</v>
      </c>
      <c r="N1228" s="112">
        <f>(J1228+K1228-M1228)</f>
        <v>0.6339999999999999</v>
      </c>
      <c r="O1228" s="112">
        <f>(H1228*I1228*N1228)</f>
        <v>2.7895999999999992</v>
      </c>
      <c r="P1228" s="140">
        <f t="shared" si="206"/>
        <v>2.7895999999999992</v>
      </c>
      <c r="Q1228" s="140" t="str">
        <f t="shared" si="207"/>
        <v/>
      </c>
      <c r="R1228" s="140" t="str">
        <f t="shared" si="208"/>
        <v/>
      </c>
      <c r="S1228" s="140" t="str">
        <f t="shared" si="209"/>
        <v/>
      </c>
      <c r="T1228" s="140" t="str">
        <f t="shared" si="210"/>
        <v/>
      </c>
      <c r="U1228" s="140" t="str">
        <f t="shared" si="211"/>
        <v/>
      </c>
      <c r="V1228" s="99"/>
    </row>
    <row r="1229" spans="1:22">
      <c r="A1229" s="92"/>
      <c r="B1229" s="146"/>
      <c r="C1229" s="151">
        <v>0.17499999999999999</v>
      </c>
      <c r="D1229" s="137"/>
      <c r="E1229" s="138">
        <v>0.17499999999999999</v>
      </c>
      <c r="F1229" s="139"/>
      <c r="G1229" s="98"/>
      <c r="H1229" s="99"/>
      <c r="I1229" s="99"/>
      <c r="J1229" s="100"/>
      <c r="K1229" s="99"/>
      <c r="L1229" s="99"/>
      <c r="M1229" s="99"/>
      <c r="N1229" s="99"/>
      <c r="O1229" s="112"/>
      <c r="P1229" s="140" t="str">
        <f>IF($G1229=8,$O1229,"")</f>
        <v/>
      </c>
      <c r="Q1229" s="140" t="str">
        <f>IF($G1229=10,$O1229,"")</f>
        <v/>
      </c>
      <c r="R1229" s="140" t="str">
        <f>IF($G1229=12,$O1229,"")</f>
        <v/>
      </c>
      <c r="S1229" s="140" t="str">
        <f>IF($G1229=16,$O1229,"")</f>
        <v/>
      </c>
      <c r="T1229" s="140" t="str">
        <f>IF($G1229=20,$O1229,"")</f>
        <v/>
      </c>
      <c r="U1229" s="140" t="str">
        <f>IF($G1229=25,$O1229,"")</f>
        <v/>
      </c>
      <c r="V1229" s="99"/>
    </row>
    <row r="1230" spans="1:22">
      <c r="A1230" s="92"/>
      <c r="B1230" s="146"/>
      <c r="C1230" s="136"/>
      <c r="D1230" s="137"/>
      <c r="E1230" s="138"/>
      <c r="F1230" s="139"/>
      <c r="G1230" s="98"/>
      <c r="H1230" s="99"/>
      <c r="I1230" s="99"/>
      <c r="J1230" s="100"/>
      <c r="K1230" s="99"/>
      <c r="L1230" s="99"/>
      <c r="M1230" s="99"/>
      <c r="N1230" s="99"/>
      <c r="O1230" s="112"/>
      <c r="P1230" s="140" t="str">
        <f t="shared" si="206"/>
        <v/>
      </c>
      <c r="Q1230" s="140" t="str">
        <f t="shared" si="207"/>
        <v/>
      </c>
      <c r="R1230" s="140" t="str">
        <f t="shared" si="208"/>
        <v/>
      </c>
      <c r="S1230" s="140" t="str">
        <f t="shared" si="209"/>
        <v/>
      </c>
      <c r="T1230" s="140" t="str">
        <f t="shared" si="210"/>
        <v/>
      </c>
      <c r="U1230" s="140" t="str">
        <f t="shared" si="211"/>
        <v/>
      </c>
      <c r="V1230" s="99"/>
    </row>
    <row r="1231" spans="1:22">
      <c r="A1231" s="92"/>
      <c r="B1231" s="146"/>
      <c r="C1231" s="136"/>
      <c r="D1231" s="109">
        <f>0.3-0.08</f>
        <v>0.21999999999999997</v>
      </c>
      <c r="E1231" s="138"/>
      <c r="F1231" s="139"/>
      <c r="G1231" s="98"/>
      <c r="H1231" s="99"/>
      <c r="I1231" s="99"/>
      <c r="J1231" s="100"/>
      <c r="K1231" s="99"/>
      <c r="L1231" s="99"/>
      <c r="M1231" s="99"/>
      <c r="N1231" s="99"/>
      <c r="O1231" s="112"/>
      <c r="P1231" s="140" t="str">
        <f t="shared" si="206"/>
        <v/>
      </c>
      <c r="Q1231" s="140" t="str">
        <f t="shared" si="207"/>
        <v/>
      </c>
      <c r="R1231" s="140" t="str">
        <f t="shared" si="208"/>
        <v/>
      </c>
      <c r="S1231" s="140" t="str">
        <f t="shared" si="209"/>
        <v/>
      </c>
      <c r="T1231" s="140" t="str">
        <f t="shared" si="210"/>
        <v/>
      </c>
      <c r="U1231" s="140" t="str">
        <f t="shared" si="211"/>
        <v/>
      </c>
      <c r="V1231" s="99"/>
    </row>
    <row r="1232" spans="1:22">
      <c r="A1232" s="92"/>
      <c r="B1232" s="146"/>
      <c r="C1232" s="136"/>
      <c r="D1232" s="137"/>
      <c r="E1232" s="138"/>
      <c r="F1232" s="139"/>
      <c r="G1232" s="98"/>
      <c r="H1232" s="99"/>
      <c r="I1232" s="99"/>
      <c r="J1232" s="100"/>
      <c r="K1232" s="99"/>
      <c r="L1232" s="99"/>
      <c r="M1232" s="99"/>
      <c r="N1232" s="99"/>
      <c r="O1232" s="112"/>
      <c r="P1232" s="140" t="str">
        <f t="shared" si="206"/>
        <v/>
      </c>
      <c r="Q1232" s="140" t="str">
        <f t="shared" si="207"/>
        <v/>
      </c>
      <c r="R1232" s="140" t="str">
        <f t="shared" si="208"/>
        <v/>
      </c>
      <c r="S1232" s="140" t="str">
        <f t="shared" si="209"/>
        <v/>
      </c>
      <c r="T1232" s="140" t="str">
        <f t="shared" si="210"/>
        <v/>
      </c>
      <c r="U1232" s="140" t="str">
        <f t="shared" si="211"/>
        <v/>
      </c>
      <c r="V1232" s="99"/>
    </row>
    <row r="1233" spans="1:22">
      <c r="A1233" s="92"/>
      <c r="B1233" s="146" t="s">
        <v>390</v>
      </c>
      <c r="C1233" s="136"/>
      <c r="D1233" s="142"/>
      <c r="E1233" s="138"/>
      <c r="F1233" s="139"/>
      <c r="G1233" s="98">
        <v>8</v>
      </c>
      <c r="H1233" s="99">
        <v>2</v>
      </c>
      <c r="I1233" s="111">
        <f>((1.68-2*0.75)/0.15)+1</f>
        <v>2.1999999999999997</v>
      </c>
      <c r="J1233" s="149">
        <f>C1234+D1236+E1234+2*8*G1233/1000</f>
        <v>0.69799999999999995</v>
      </c>
      <c r="K1233" s="99"/>
      <c r="L1233" s="99">
        <v>4</v>
      </c>
      <c r="M1233" s="112">
        <f>2*G1233*L1233/1000</f>
        <v>6.4000000000000001E-2</v>
      </c>
      <c r="N1233" s="112">
        <f>(J1233+K1233-M1233)</f>
        <v>0.6339999999999999</v>
      </c>
      <c r="O1233" s="112">
        <f>(H1233*I1233*N1233)</f>
        <v>2.7895999999999992</v>
      </c>
      <c r="P1233" s="140">
        <f t="shared" si="206"/>
        <v>2.7895999999999992</v>
      </c>
      <c r="Q1233" s="140" t="str">
        <f t="shared" si="207"/>
        <v/>
      </c>
      <c r="R1233" s="140" t="str">
        <f t="shared" si="208"/>
        <v/>
      </c>
      <c r="S1233" s="140" t="str">
        <f t="shared" si="209"/>
        <v/>
      </c>
      <c r="T1233" s="140" t="str">
        <f t="shared" si="210"/>
        <v/>
      </c>
      <c r="U1233" s="140" t="str">
        <f t="shared" si="211"/>
        <v/>
      </c>
      <c r="V1233" s="99"/>
    </row>
    <row r="1234" spans="1:22">
      <c r="A1234" s="92"/>
      <c r="B1234" s="146"/>
      <c r="C1234" s="151">
        <v>0.17499999999999999</v>
      </c>
      <c r="D1234" s="137"/>
      <c r="E1234" s="138">
        <v>0.17499999999999999</v>
      </c>
      <c r="F1234" s="139"/>
      <c r="G1234" s="98"/>
      <c r="H1234" s="99"/>
      <c r="I1234" s="99"/>
      <c r="J1234" s="100"/>
      <c r="K1234" s="99"/>
      <c r="L1234" s="99"/>
      <c r="M1234" s="99"/>
      <c r="N1234" s="99"/>
      <c r="O1234" s="112"/>
      <c r="P1234" s="140" t="str">
        <f t="shared" si="206"/>
        <v/>
      </c>
      <c r="Q1234" s="140" t="str">
        <f t="shared" si="207"/>
        <v/>
      </c>
      <c r="R1234" s="140" t="str">
        <f t="shared" si="208"/>
        <v/>
      </c>
      <c r="S1234" s="140" t="str">
        <f t="shared" si="209"/>
        <v/>
      </c>
      <c r="T1234" s="140" t="str">
        <f t="shared" si="210"/>
        <v/>
      </c>
      <c r="U1234" s="140" t="str">
        <f t="shared" si="211"/>
        <v/>
      </c>
      <c r="V1234" s="99"/>
    </row>
    <row r="1235" spans="1:22">
      <c r="A1235" s="92"/>
      <c r="B1235" s="146"/>
      <c r="C1235" s="136"/>
      <c r="D1235" s="137"/>
      <c r="E1235" s="138"/>
      <c r="F1235" s="139"/>
      <c r="G1235" s="98"/>
      <c r="H1235" s="99"/>
      <c r="I1235" s="99"/>
      <c r="J1235" s="100"/>
      <c r="K1235" s="99"/>
      <c r="L1235" s="99"/>
      <c r="M1235" s="99"/>
      <c r="N1235" s="99"/>
      <c r="O1235" s="101"/>
      <c r="P1235" s="140" t="str">
        <f t="shared" si="206"/>
        <v/>
      </c>
      <c r="Q1235" s="140" t="str">
        <f t="shared" si="207"/>
        <v/>
      </c>
      <c r="R1235" s="140" t="str">
        <f t="shared" si="208"/>
        <v/>
      </c>
      <c r="S1235" s="140" t="str">
        <f t="shared" si="209"/>
        <v/>
      </c>
      <c r="T1235" s="140" t="str">
        <f t="shared" si="210"/>
        <v/>
      </c>
      <c r="U1235" s="140" t="str">
        <f t="shared" si="211"/>
        <v/>
      </c>
      <c r="V1235" s="99"/>
    </row>
    <row r="1236" spans="1:22">
      <c r="A1236" s="92"/>
      <c r="B1236" s="146"/>
      <c r="C1236" s="136"/>
      <c r="D1236" s="109">
        <f>0.3-0.08</f>
        <v>0.21999999999999997</v>
      </c>
      <c r="E1236" s="138"/>
      <c r="F1236" s="139"/>
      <c r="G1236" s="98"/>
      <c r="H1236" s="99"/>
      <c r="I1236" s="99"/>
      <c r="J1236" s="100"/>
      <c r="K1236" s="99"/>
      <c r="L1236" s="99"/>
      <c r="M1236" s="99"/>
      <c r="N1236" s="99"/>
      <c r="O1236" s="101"/>
      <c r="P1236" s="140" t="str">
        <f t="shared" si="206"/>
        <v/>
      </c>
      <c r="Q1236" s="140" t="str">
        <f t="shared" si="207"/>
        <v/>
      </c>
      <c r="R1236" s="140" t="str">
        <f t="shared" si="208"/>
        <v/>
      </c>
      <c r="S1236" s="140" t="str">
        <f t="shared" si="209"/>
        <v/>
      </c>
      <c r="T1236" s="140" t="str">
        <f t="shared" si="210"/>
        <v/>
      </c>
      <c r="U1236" s="140" t="str">
        <f t="shared" si="211"/>
        <v/>
      </c>
      <c r="V1236" s="99"/>
    </row>
    <row r="1237" spans="1:22">
      <c r="A1237" s="92"/>
      <c r="B1237" s="146"/>
      <c r="C1237" s="136"/>
      <c r="D1237" s="152"/>
      <c r="E1237" s="138"/>
      <c r="F1237" s="139"/>
      <c r="G1237" s="98"/>
      <c r="H1237" s="99"/>
      <c r="I1237" s="99"/>
      <c r="J1237" s="100"/>
      <c r="K1237" s="99"/>
      <c r="L1237" s="99"/>
      <c r="M1237" s="99"/>
      <c r="N1237" s="99"/>
      <c r="O1237" s="101"/>
      <c r="P1237" s="140" t="str">
        <f t="shared" si="105"/>
        <v/>
      </c>
      <c r="Q1237" s="140" t="str">
        <f t="shared" si="106"/>
        <v/>
      </c>
      <c r="R1237" s="140" t="str">
        <f t="shared" si="107"/>
        <v/>
      </c>
      <c r="S1237" s="140" t="str">
        <f t="shared" si="108"/>
        <v/>
      </c>
      <c r="T1237" s="140" t="str">
        <f t="shared" si="109"/>
        <v/>
      </c>
      <c r="U1237" s="140" t="str">
        <f t="shared" si="110"/>
        <v/>
      </c>
      <c r="V1237" s="99"/>
    </row>
    <row r="1238" spans="1:22">
      <c r="A1238" s="92">
        <v>8</v>
      </c>
      <c r="B1238" s="92" t="s">
        <v>394</v>
      </c>
      <c r="C1238" s="136"/>
      <c r="D1238" s="137"/>
      <c r="E1238" s="138"/>
      <c r="F1238" s="139"/>
      <c r="G1238" s="98"/>
      <c r="H1238" s="99"/>
      <c r="I1238" s="99"/>
      <c r="J1238" s="109"/>
      <c r="K1238" s="112"/>
      <c r="L1238" s="112"/>
      <c r="M1238" s="99"/>
      <c r="N1238" s="112"/>
      <c r="O1238" s="112"/>
      <c r="P1238" s="140" t="str">
        <f>IF($G1238=8,$O1238,"")</f>
        <v/>
      </c>
      <c r="Q1238" s="140" t="str">
        <f>IF($G1238=10,$O1238,"")</f>
        <v/>
      </c>
      <c r="R1238" s="140" t="str">
        <f>IF($G1238=12,$O1238,"")</f>
        <v/>
      </c>
      <c r="S1238" s="140" t="str">
        <f>IF($G1238=16,$O1238,"")</f>
        <v/>
      </c>
      <c r="T1238" s="140" t="str">
        <f>IF($G1238=20,$O1238,"")</f>
        <v/>
      </c>
      <c r="U1238" s="140" t="str">
        <f>IF($G1238=25,$O1238,"")</f>
        <v/>
      </c>
      <c r="V1238" s="99"/>
    </row>
    <row r="1239" spans="1:22">
      <c r="A1239" s="92"/>
      <c r="B1239" s="141" t="s">
        <v>378</v>
      </c>
      <c r="C1239" s="136"/>
      <c r="D1239" s="142">
        <v>1.68</v>
      </c>
      <c r="E1239" s="138"/>
      <c r="F1239" s="139"/>
      <c r="G1239" s="98">
        <v>20</v>
      </c>
      <c r="H1239" s="99">
        <v>4</v>
      </c>
      <c r="I1239" s="99">
        <v>4</v>
      </c>
      <c r="J1239" s="109">
        <f>D1239</f>
        <v>1.68</v>
      </c>
      <c r="K1239" s="110" t="str">
        <f>IF(N1239&lt;12,"0",0.049*G1239)</f>
        <v>0</v>
      </c>
      <c r="L1239" s="111">
        <v>0</v>
      </c>
      <c r="M1239" s="99">
        <f>2*G1239*L1239/1000</f>
        <v>0</v>
      </c>
      <c r="N1239" s="112">
        <f>J1239+E1241-M1239</f>
        <v>1.68</v>
      </c>
      <c r="O1239" s="112">
        <f>H1239*I1239*N1239</f>
        <v>26.88</v>
      </c>
      <c r="P1239" s="140" t="str">
        <f t="shared" si="105"/>
        <v/>
      </c>
      <c r="Q1239" s="140" t="str">
        <f t="shared" si="106"/>
        <v/>
      </c>
      <c r="R1239" s="140" t="str">
        <f t="shared" si="107"/>
        <v/>
      </c>
      <c r="S1239" s="140" t="str">
        <f t="shared" si="108"/>
        <v/>
      </c>
      <c r="T1239" s="140">
        <f t="shared" si="109"/>
        <v>26.88</v>
      </c>
      <c r="U1239" s="140" t="str">
        <f t="shared" si="110"/>
        <v/>
      </c>
      <c r="V1239" s="99"/>
    </row>
    <row r="1240" spans="1:22">
      <c r="A1240" s="92"/>
      <c r="B1240" s="141" t="s">
        <v>379</v>
      </c>
      <c r="C1240" s="136"/>
      <c r="D1240" s="137"/>
      <c r="E1240" s="138"/>
      <c r="F1240" s="139"/>
      <c r="G1240" s="98">
        <v>20</v>
      </c>
      <c r="H1240" s="99">
        <v>4</v>
      </c>
      <c r="I1240" s="99">
        <v>2</v>
      </c>
      <c r="J1240" s="109">
        <f>D1239</f>
        <v>1.68</v>
      </c>
      <c r="K1240" s="110" t="str">
        <f t="shared" ref="K1240:K1242" si="212">IF(N1240&lt;12,"0",0.049*G1240)</f>
        <v>0</v>
      </c>
      <c r="L1240" s="111">
        <v>0</v>
      </c>
      <c r="M1240" s="99">
        <f t="shared" ref="M1240:M1242" si="213">2*G1240*L1240/1000</f>
        <v>0</v>
      </c>
      <c r="N1240" s="112">
        <f>J1240+E1241-M1240</f>
        <v>1.68</v>
      </c>
      <c r="O1240" s="112">
        <f>H1240*I1240*N1240</f>
        <v>13.44</v>
      </c>
      <c r="P1240" s="140" t="str">
        <f t="shared" si="105"/>
        <v/>
      </c>
      <c r="Q1240" s="140" t="str">
        <f t="shared" si="106"/>
        <v/>
      </c>
      <c r="R1240" s="140" t="str">
        <f t="shared" si="107"/>
        <v/>
      </c>
      <c r="S1240" s="140" t="str">
        <f t="shared" si="108"/>
        <v/>
      </c>
      <c r="T1240" s="140">
        <f t="shared" si="109"/>
        <v>13.44</v>
      </c>
      <c r="U1240" s="140" t="str">
        <f t="shared" si="110"/>
        <v/>
      </c>
      <c r="V1240" s="99"/>
    </row>
    <row r="1241" spans="1:22">
      <c r="A1241" s="92"/>
      <c r="B1241" s="141" t="s">
        <v>380</v>
      </c>
      <c r="C1241" s="143"/>
      <c r="D1241" s="142"/>
      <c r="E1241" s="144"/>
      <c r="F1241" s="139"/>
      <c r="G1241" s="98">
        <v>20</v>
      </c>
      <c r="H1241" s="99">
        <v>4</v>
      </c>
      <c r="I1241" s="99">
        <v>4</v>
      </c>
      <c r="J1241" s="109">
        <f>D1239</f>
        <v>1.68</v>
      </c>
      <c r="K1241" s="110" t="str">
        <f t="shared" si="212"/>
        <v>0</v>
      </c>
      <c r="L1241" s="111">
        <v>0</v>
      </c>
      <c r="M1241" s="99">
        <f t="shared" si="213"/>
        <v>0</v>
      </c>
      <c r="N1241" s="112">
        <f>J1241+E1241-M1241</f>
        <v>1.68</v>
      </c>
      <c r="O1241" s="112">
        <f>H1241*I1241*N1241</f>
        <v>26.88</v>
      </c>
      <c r="P1241" s="140" t="str">
        <f t="shared" si="105"/>
        <v/>
      </c>
      <c r="Q1241" s="140" t="str">
        <f t="shared" si="106"/>
        <v/>
      </c>
      <c r="R1241" s="140" t="str">
        <f t="shared" si="107"/>
        <v/>
      </c>
      <c r="S1241" s="140" t="str">
        <f t="shared" si="108"/>
        <v/>
      </c>
      <c r="T1241" s="140">
        <f t="shared" si="109"/>
        <v>26.88</v>
      </c>
      <c r="U1241" s="140" t="str">
        <f t="shared" si="110"/>
        <v/>
      </c>
      <c r="V1241" s="99"/>
    </row>
    <row r="1242" spans="1:22">
      <c r="A1242" s="92"/>
      <c r="B1242" s="141" t="s">
        <v>381</v>
      </c>
      <c r="C1242" s="136"/>
      <c r="D1242" s="137"/>
      <c r="E1242" s="138"/>
      <c r="F1242" s="139"/>
      <c r="G1242" s="98">
        <v>20</v>
      </c>
      <c r="H1242" s="99">
        <v>4</v>
      </c>
      <c r="I1242" s="99">
        <v>4</v>
      </c>
      <c r="J1242" s="109">
        <f>D1239</f>
        <v>1.68</v>
      </c>
      <c r="K1242" s="110" t="str">
        <f t="shared" si="212"/>
        <v>0</v>
      </c>
      <c r="L1242" s="111">
        <v>0</v>
      </c>
      <c r="M1242" s="99">
        <f t="shared" si="213"/>
        <v>0</v>
      </c>
      <c r="N1242" s="112">
        <f>J1242+E1241-M1242</f>
        <v>1.68</v>
      </c>
      <c r="O1242" s="112">
        <f>H1242*I1242*N1242</f>
        <v>26.88</v>
      </c>
      <c r="P1242" s="140" t="str">
        <f t="shared" si="105"/>
        <v/>
      </c>
      <c r="Q1242" s="140" t="str">
        <f t="shared" si="106"/>
        <v/>
      </c>
      <c r="R1242" s="140" t="str">
        <f t="shared" si="107"/>
        <v/>
      </c>
      <c r="S1242" s="140" t="str">
        <f t="shared" si="108"/>
        <v/>
      </c>
      <c r="T1242" s="140">
        <f t="shared" si="109"/>
        <v>26.88</v>
      </c>
      <c r="U1242" s="140" t="str">
        <f t="shared" si="110"/>
        <v/>
      </c>
      <c r="V1242" s="99"/>
    </row>
    <row r="1243" spans="1:22">
      <c r="A1243" s="92"/>
      <c r="B1243" s="141"/>
      <c r="C1243" s="136"/>
      <c r="D1243" s="137"/>
      <c r="E1243" s="138"/>
      <c r="F1243" s="139"/>
      <c r="G1243" s="98"/>
      <c r="H1243" s="99"/>
      <c r="I1243" s="99"/>
      <c r="J1243" s="100"/>
      <c r="K1243" s="99"/>
      <c r="L1243" s="99"/>
      <c r="M1243" s="99"/>
      <c r="N1243" s="99"/>
      <c r="O1243" s="101"/>
      <c r="P1243" s="140" t="str">
        <f t="shared" si="105"/>
        <v/>
      </c>
      <c r="Q1243" s="140" t="str">
        <f t="shared" si="106"/>
        <v/>
      </c>
      <c r="R1243" s="140" t="str">
        <f t="shared" si="107"/>
        <v/>
      </c>
      <c r="S1243" s="140" t="str">
        <f t="shared" si="108"/>
        <v/>
      </c>
      <c r="T1243" s="140" t="str">
        <f t="shared" si="109"/>
        <v/>
      </c>
      <c r="U1243" s="140" t="str">
        <f t="shared" si="110"/>
        <v/>
      </c>
      <c r="V1243" s="99"/>
    </row>
    <row r="1244" spans="1:22">
      <c r="A1244" s="92"/>
      <c r="B1244" s="429" t="s">
        <v>644</v>
      </c>
      <c r="C1244" s="145">
        <v>0.08</v>
      </c>
      <c r="D1244" s="137"/>
      <c r="E1244" s="138"/>
      <c r="F1244" s="139"/>
      <c r="G1244" s="98"/>
      <c r="H1244" s="99"/>
      <c r="I1244" s="99"/>
      <c r="J1244" s="100"/>
      <c r="K1244" s="99"/>
      <c r="L1244" s="99"/>
      <c r="M1244" s="99"/>
      <c r="N1244" s="99"/>
      <c r="O1244" s="101"/>
      <c r="P1244" s="140" t="str">
        <f t="shared" si="105"/>
        <v/>
      </c>
      <c r="Q1244" s="140" t="str">
        <f t="shared" si="106"/>
        <v/>
      </c>
      <c r="R1244" s="140" t="str">
        <f t="shared" si="107"/>
        <v/>
      </c>
      <c r="S1244" s="140" t="str">
        <f t="shared" si="108"/>
        <v/>
      </c>
      <c r="T1244" s="140" t="str">
        <f t="shared" si="109"/>
        <v/>
      </c>
      <c r="U1244" s="140" t="str">
        <f t="shared" si="110"/>
        <v/>
      </c>
      <c r="V1244" s="99"/>
    </row>
    <row r="1245" spans="1:22">
      <c r="A1245" s="92"/>
      <c r="B1245" s="146" t="s">
        <v>382</v>
      </c>
      <c r="C1245" s="147"/>
      <c r="D1245" s="137"/>
      <c r="E1245" s="148">
        <f>0.6-0.08</f>
        <v>0.52</v>
      </c>
      <c r="F1245" s="139"/>
      <c r="G1245" s="98">
        <v>10</v>
      </c>
      <c r="H1245" s="99">
        <v>4</v>
      </c>
      <c r="I1245" s="111">
        <f>((2*0.6)/0.075)+2</f>
        <v>18</v>
      </c>
      <c r="J1245" s="149">
        <f>2*(D1247+E1245)+2*8*G1245/1000</f>
        <v>1.64</v>
      </c>
      <c r="K1245" s="99"/>
      <c r="L1245" s="99">
        <v>5</v>
      </c>
      <c r="M1245" s="112">
        <f>2*G1245*L1245/1000</f>
        <v>0.1</v>
      </c>
      <c r="N1245" s="112">
        <f>(J1245+K1245-M1245)</f>
        <v>1.5399999999999998</v>
      </c>
      <c r="O1245" s="112">
        <f>(H1245*I1245*N1245)</f>
        <v>110.87999999999998</v>
      </c>
      <c r="P1245" s="140" t="str">
        <f t="shared" si="105"/>
        <v/>
      </c>
      <c r="Q1245" s="140">
        <f t="shared" si="106"/>
        <v>110.87999999999998</v>
      </c>
      <c r="R1245" s="140" t="str">
        <f t="shared" si="107"/>
        <v/>
      </c>
      <c r="S1245" s="140" t="str">
        <f t="shared" si="108"/>
        <v/>
      </c>
      <c r="T1245" s="140" t="str">
        <f t="shared" si="109"/>
        <v/>
      </c>
      <c r="U1245" s="140" t="str">
        <f t="shared" si="110"/>
        <v/>
      </c>
      <c r="V1245" s="99"/>
    </row>
    <row r="1246" spans="1:22">
      <c r="A1246" s="92"/>
      <c r="B1246" s="146"/>
      <c r="C1246" s="136"/>
      <c r="D1246" s="137"/>
      <c r="E1246" s="150"/>
      <c r="F1246" s="139"/>
      <c r="G1246" s="98"/>
      <c r="H1246" s="99"/>
      <c r="I1246" s="99"/>
      <c r="J1246" s="100"/>
      <c r="K1246" s="99"/>
      <c r="L1246" s="99"/>
      <c r="M1246" s="99"/>
      <c r="N1246" s="99"/>
      <c r="O1246" s="112"/>
      <c r="P1246" s="140" t="str">
        <f t="shared" si="105"/>
        <v/>
      </c>
      <c r="Q1246" s="140" t="str">
        <f t="shared" si="106"/>
        <v/>
      </c>
      <c r="R1246" s="140" t="str">
        <f t="shared" si="107"/>
        <v/>
      </c>
      <c r="S1246" s="140" t="str">
        <f t="shared" si="108"/>
        <v/>
      </c>
      <c r="T1246" s="140" t="str">
        <f t="shared" si="109"/>
        <v/>
      </c>
      <c r="U1246" s="140" t="str">
        <f t="shared" si="110"/>
        <v/>
      </c>
      <c r="V1246" s="99"/>
    </row>
    <row r="1247" spans="1:22">
      <c r="A1247" s="92"/>
      <c r="B1247" s="146"/>
      <c r="C1247" s="136"/>
      <c r="D1247" s="109">
        <f>0.3-0.08</f>
        <v>0.21999999999999997</v>
      </c>
      <c r="E1247" s="138"/>
      <c r="F1247" s="139"/>
      <c r="G1247" s="98"/>
      <c r="H1247" s="99"/>
      <c r="I1247" s="99"/>
      <c r="J1247" s="100"/>
      <c r="K1247" s="99"/>
      <c r="L1247" s="99"/>
      <c r="M1247" s="99"/>
      <c r="N1247" s="99"/>
      <c r="O1247" s="112"/>
      <c r="P1247" s="140" t="str">
        <f t="shared" si="105"/>
        <v/>
      </c>
      <c r="Q1247" s="140" t="str">
        <f t="shared" si="106"/>
        <v/>
      </c>
      <c r="R1247" s="140" t="str">
        <f t="shared" si="107"/>
        <v/>
      </c>
      <c r="S1247" s="140" t="str">
        <f t="shared" si="108"/>
        <v/>
      </c>
      <c r="T1247" s="140" t="str">
        <f t="shared" si="109"/>
        <v/>
      </c>
      <c r="U1247" s="140" t="str">
        <f t="shared" si="110"/>
        <v/>
      </c>
      <c r="V1247" s="99"/>
    </row>
    <row r="1248" spans="1:22">
      <c r="A1248" s="92"/>
      <c r="B1248" s="141"/>
      <c r="C1248" s="136"/>
      <c r="D1248" s="137"/>
      <c r="E1248" s="138"/>
      <c r="F1248" s="139"/>
      <c r="G1248" s="98"/>
      <c r="H1248" s="99"/>
      <c r="I1248" s="99"/>
      <c r="J1248" s="100"/>
      <c r="K1248" s="99"/>
      <c r="L1248" s="99"/>
      <c r="M1248" s="99"/>
      <c r="N1248" s="99"/>
      <c r="O1248" s="112"/>
      <c r="P1248" s="140" t="str">
        <f t="shared" si="105"/>
        <v/>
      </c>
      <c r="Q1248" s="140" t="str">
        <f t="shared" si="106"/>
        <v/>
      </c>
      <c r="R1248" s="140" t="str">
        <f t="shared" si="107"/>
        <v/>
      </c>
      <c r="S1248" s="140" t="str">
        <f t="shared" si="108"/>
        <v/>
      </c>
      <c r="T1248" s="140" t="str">
        <f t="shared" si="109"/>
        <v/>
      </c>
      <c r="U1248" s="140" t="str">
        <f t="shared" si="110"/>
        <v/>
      </c>
      <c r="V1248" s="99"/>
    </row>
    <row r="1249" spans="1:22">
      <c r="A1249" s="92"/>
      <c r="B1249" s="92"/>
      <c r="C1249" s="145">
        <v>0.08</v>
      </c>
      <c r="D1249" s="137"/>
      <c r="E1249" s="138"/>
      <c r="F1249" s="139"/>
      <c r="G1249" s="98"/>
      <c r="H1249" s="99"/>
      <c r="I1249" s="99"/>
      <c r="J1249" s="100"/>
      <c r="K1249" s="99"/>
      <c r="L1249" s="99"/>
      <c r="M1249" s="99"/>
      <c r="N1249" s="99"/>
      <c r="O1249" s="112"/>
      <c r="P1249" s="140" t="str">
        <f t="shared" si="105"/>
        <v/>
      </c>
      <c r="Q1249" s="140" t="str">
        <f t="shared" si="106"/>
        <v/>
      </c>
      <c r="R1249" s="140" t="str">
        <f t="shared" si="107"/>
        <v/>
      </c>
      <c r="S1249" s="140" t="str">
        <f t="shared" si="108"/>
        <v/>
      </c>
      <c r="T1249" s="140" t="str">
        <f t="shared" si="109"/>
        <v/>
      </c>
      <c r="U1249" s="140" t="str">
        <f t="shared" si="110"/>
        <v/>
      </c>
      <c r="V1249" s="99"/>
    </row>
    <row r="1250" spans="1:22">
      <c r="A1250" s="92"/>
      <c r="B1250" s="146" t="s">
        <v>383</v>
      </c>
      <c r="C1250" s="147"/>
      <c r="D1250" s="137"/>
      <c r="E1250" s="148">
        <f>((0.6-0.08-0.016)/5)+0.012+0.02</f>
        <v>0.1328</v>
      </c>
      <c r="F1250" s="139"/>
      <c r="G1250" s="98">
        <v>10</v>
      </c>
      <c r="H1250" s="99">
        <v>4</v>
      </c>
      <c r="I1250" s="111">
        <f>((2*0.6)/0.075)+2</f>
        <v>18</v>
      </c>
      <c r="J1250" s="149">
        <f>2*(D1252+E1250)+2*8*G1250/1000</f>
        <v>0.86560000000000004</v>
      </c>
      <c r="K1250" s="99"/>
      <c r="L1250" s="99">
        <v>5</v>
      </c>
      <c r="M1250" s="112">
        <f>2*G1250*L1250/1000</f>
        <v>0.1</v>
      </c>
      <c r="N1250" s="112">
        <f>(J1250+K1250-M1250)</f>
        <v>0.76560000000000006</v>
      </c>
      <c r="O1250" s="112">
        <f>(H1250*I1250*N1250)</f>
        <v>55.123200000000004</v>
      </c>
      <c r="P1250" s="140" t="str">
        <f t="shared" si="105"/>
        <v/>
      </c>
      <c r="Q1250" s="140">
        <f t="shared" si="106"/>
        <v>55.123200000000004</v>
      </c>
      <c r="R1250" s="140" t="str">
        <f t="shared" si="107"/>
        <v/>
      </c>
      <c r="S1250" s="140" t="str">
        <f t="shared" si="108"/>
        <v/>
      </c>
      <c r="T1250" s="140" t="str">
        <f t="shared" si="109"/>
        <v/>
      </c>
      <c r="U1250" s="140" t="str">
        <f t="shared" si="110"/>
        <v/>
      </c>
      <c r="V1250" s="99"/>
    </row>
    <row r="1251" spans="1:22">
      <c r="A1251" s="92"/>
      <c r="B1251" s="146"/>
      <c r="C1251" s="136"/>
      <c r="D1251" s="137"/>
      <c r="E1251" s="150"/>
      <c r="F1251" s="139"/>
      <c r="G1251" s="98"/>
      <c r="H1251" s="99"/>
      <c r="I1251" s="99"/>
      <c r="J1251" s="100"/>
      <c r="K1251" s="99"/>
      <c r="L1251" s="99"/>
      <c r="M1251" s="99"/>
      <c r="N1251" s="99"/>
      <c r="O1251" s="112"/>
      <c r="P1251" s="140" t="str">
        <f t="shared" si="105"/>
        <v/>
      </c>
      <c r="Q1251" s="140" t="str">
        <f t="shared" si="106"/>
        <v/>
      </c>
      <c r="R1251" s="140" t="str">
        <f t="shared" si="107"/>
        <v/>
      </c>
      <c r="S1251" s="140" t="str">
        <f t="shared" si="108"/>
        <v/>
      </c>
      <c r="T1251" s="140" t="str">
        <f t="shared" si="109"/>
        <v/>
      </c>
      <c r="U1251" s="140" t="str">
        <f t="shared" si="110"/>
        <v/>
      </c>
      <c r="V1251" s="99"/>
    </row>
    <row r="1252" spans="1:22">
      <c r="A1252" s="92"/>
      <c r="B1252" s="146"/>
      <c r="C1252" s="136"/>
      <c r="D1252" s="109">
        <f>0.3-0.08</f>
        <v>0.21999999999999997</v>
      </c>
      <c r="E1252" s="138"/>
      <c r="F1252" s="139"/>
      <c r="G1252" s="98"/>
      <c r="H1252" s="99"/>
      <c r="I1252" s="99"/>
      <c r="J1252" s="100"/>
      <c r="K1252" s="99"/>
      <c r="L1252" s="99"/>
      <c r="M1252" s="99"/>
      <c r="N1252" s="99"/>
      <c r="O1252" s="112"/>
      <c r="P1252" s="140" t="str">
        <f t="shared" si="105"/>
        <v/>
      </c>
      <c r="Q1252" s="140" t="str">
        <f t="shared" si="106"/>
        <v/>
      </c>
      <c r="R1252" s="140" t="str">
        <f t="shared" si="107"/>
        <v/>
      </c>
      <c r="S1252" s="140" t="str">
        <f t="shared" si="108"/>
        <v/>
      </c>
      <c r="T1252" s="140" t="str">
        <f t="shared" si="109"/>
        <v/>
      </c>
      <c r="U1252" s="140" t="str">
        <f t="shared" si="110"/>
        <v/>
      </c>
      <c r="V1252" s="99"/>
    </row>
    <row r="1253" spans="1:22">
      <c r="A1253" s="92"/>
      <c r="B1253" s="146"/>
      <c r="C1253" s="136"/>
      <c r="D1253" s="137"/>
      <c r="E1253" s="138"/>
      <c r="F1253" s="139"/>
      <c r="G1253" s="98"/>
      <c r="H1253" s="99"/>
      <c r="I1253" s="99"/>
      <c r="J1253" s="100"/>
      <c r="K1253" s="99"/>
      <c r="L1253" s="99"/>
      <c r="M1253" s="99"/>
      <c r="N1253" s="99"/>
      <c r="O1253" s="112"/>
      <c r="P1253" s="140" t="str">
        <f t="shared" si="105"/>
        <v/>
      </c>
      <c r="Q1253" s="140" t="str">
        <f t="shared" si="106"/>
        <v/>
      </c>
      <c r="R1253" s="140" t="str">
        <f t="shared" si="107"/>
        <v/>
      </c>
      <c r="S1253" s="140" t="str">
        <f t="shared" si="108"/>
        <v/>
      </c>
      <c r="T1253" s="140" t="str">
        <f t="shared" si="109"/>
        <v/>
      </c>
      <c r="U1253" s="140" t="str">
        <f t="shared" si="110"/>
        <v/>
      </c>
      <c r="V1253" s="99"/>
    </row>
    <row r="1254" spans="1:22">
      <c r="A1254" s="92"/>
      <c r="B1254" s="146" t="s">
        <v>384</v>
      </c>
      <c r="C1254" s="136"/>
      <c r="D1254" s="142"/>
      <c r="E1254" s="138"/>
      <c r="F1254" s="139"/>
      <c r="G1254" s="98">
        <v>10</v>
      </c>
      <c r="H1254" s="99">
        <v>4</v>
      </c>
      <c r="I1254" s="111">
        <f>((2*0.6)/0.075)+2</f>
        <v>18</v>
      </c>
      <c r="J1254" s="149">
        <f>C1255+D1257+E1255+2*8*G1254/1000</f>
        <v>0.73</v>
      </c>
      <c r="K1254" s="99"/>
      <c r="L1254" s="99">
        <v>4</v>
      </c>
      <c r="M1254" s="112">
        <f>2*G1254*L1254/1000</f>
        <v>0.08</v>
      </c>
      <c r="N1254" s="112">
        <f>(J1254+K1254-M1254)</f>
        <v>0.65</v>
      </c>
      <c r="O1254" s="112">
        <f>(H1254*I1254*N1254)</f>
        <v>46.800000000000004</v>
      </c>
      <c r="P1254" s="140" t="str">
        <f t="shared" si="105"/>
        <v/>
      </c>
      <c r="Q1254" s="140">
        <f t="shared" si="106"/>
        <v>46.800000000000004</v>
      </c>
      <c r="R1254" s="140" t="str">
        <f t="shared" si="107"/>
        <v/>
      </c>
      <c r="S1254" s="140" t="str">
        <f t="shared" si="108"/>
        <v/>
      </c>
      <c r="T1254" s="140" t="str">
        <f t="shared" si="109"/>
        <v/>
      </c>
      <c r="U1254" s="140" t="str">
        <f t="shared" si="110"/>
        <v/>
      </c>
      <c r="V1254" s="99"/>
    </row>
    <row r="1255" spans="1:22">
      <c r="A1255" s="92"/>
      <c r="B1255" s="146"/>
      <c r="C1255" s="151">
        <v>0.17499999999999999</v>
      </c>
      <c r="D1255" s="137"/>
      <c r="E1255" s="138">
        <v>0.17499999999999999</v>
      </c>
      <c r="F1255" s="139"/>
      <c r="G1255" s="98"/>
      <c r="H1255" s="99"/>
      <c r="I1255" s="99"/>
      <c r="J1255" s="100"/>
      <c r="K1255" s="99"/>
      <c r="L1255" s="99"/>
      <c r="M1255" s="99"/>
      <c r="N1255" s="99"/>
      <c r="O1255" s="112"/>
      <c r="P1255" s="140" t="str">
        <f>IF($G1255=8,$O1255,"")</f>
        <v/>
      </c>
      <c r="Q1255" s="140" t="str">
        <f>IF($G1255=10,$O1255,"")</f>
        <v/>
      </c>
      <c r="R1255" s="140" t="str">
        <f>IF($G1255=12,$O1255,"")</f>
        <v/>
      </c>
      <c r="S1255" s="140" t="str">
        <f>IF($G1255=16,$O1255,"")</f>
        <v/>
      </c>
      <c r="T1255" s="140" t="str">
        <f>IF($G1255=20,$O1255,"")</f>
        <v/>
      </c>
      <c r="U1255" s="140" t="str">
        <f>IF($G1255=25,$O1255,"")</f>
        <v/>
      </c>
      <c r="V1255" s="99"/>
    </row>
    <row r="1256" spans="1:22">
      <c r="A1256" s="92"/>
      <c r="B1256" s="146"/>
      <c r="C1256" s="136"/>
      <c r="D1256" s="137"/>
      <c r="E1256" s="138"/>
      <c r="F1256" s="139"/>
      <c r="G1256" s="98"/>
      <c r="H1256" s="99"/>
      <c r="I1256" s="99"/>
      <c r="J1256" s="100"/>
      <c r="K1256" s="99"/>
      <c r="L1256" s="99"/>
      <c r="M1256" s="99"/>
      <c r="N1256" s="99"/>
      <c r="O1256" s="112"/>
      <c r="P1256" s="140" t="str">
        <f t="shared" si="105"/>
        <v/>
      </c>
      <c r="Q1256" s="140" t="str">
        <f t="shared" si="106"/>
        <v/>
      </c>
      <c r="R1256" s="140" t="str">
        <f t="shared" si="107"/>
        <v/>
      </c>
      <c r="S1256" s="140" t="str">
        <f t="shared" si="108"/>
        <v/>
      </c>
      <c r="T1256" s="140" t="str">
        <f t="shared" si="109"/>
        <v/>
      </c>
      <c r="U1256" s="140" t="str">
        <f t="shared" si="110"/>
        <v/>
      </c>
      <c r="V1256" s="99"/>
    </row>
    <row r="1257" spans="1:22">
      <c r="A1257" s="92"/>
      <c r="B1257" s="146"/>
      <c r="C1257" s="136"/>
      <c r="D1257" s="109">
        <f>0.3-0.08</f>
        <v>0.21999999999999997</v>
      </c>
      <c r="E1257" s="138"/>
      <c r="F1257" s="139"/>
      <c r="G1257" s="98"/>
      <c r="H1257" s="99"/>
      <c r="I1257" s="99"/>
      <c r="J1257" s="100"/>
      <c r="K1257" s="99"/>
      <c r="L1257" s="99"/>
      <c r="M1257" s="99"/>
      <c r="N1257" s="99"/>
      <c r="O1257" s="112"/>
      <c r="P1257" s="140" t="str">
        <f t="shared" si="105"/>
        <v/>
      </c>
      <c r="Q1257" s="140" t="str">
        <f t="shared" si="106"/>
        <v/>
      </c>
      <c r="R1257" s="140" t="str">
        <f t="shared" si="107"/>
        <v/>
      </c>
      <c r="S1257" s="140" t="str">
        <f t="shared" si="108"/>
        <v/>
      </c>
      <c r="T1257" s="140" t="str">
        <f t="shared" si="109"/>
        <v/>
      </c>
      <c r="U1257" s="140" t="str">
        <f t="shared" si="110"/>
        <v/>
      </c>
      <c r="V1257" s="99"/>
    </row>
    <row r="1258" spans="1:22">
      <c r="A1258" s="92"/>
      <c r="B1258" s="146"/>
      <c r="C1258" s="136"/>
      <c r="D1258" s="137"/>
      <c r="E1258" s="138"/>
      <c r="F1258" s="139"/>
      <c r="G1258" s="98"/>
      <c r="H1258" s="99"/>
      <c r="I1258" s="99"/>
      <c r="J1258" s="100"/>
      <c r="K1258" s="99"/>
      <c r="L1258" s="99"/>
      <c r="M1258" s="99"/>
      <c r="N1258" s="99"/>
      <c r="O1258" s="112"/>
      <c r="P1258" s="140" t="str">
        <f t="shared" si="105"/>
        <v/>
      </c>
      <c r="Q1258" s="140" t="str">
        <f t="shared" si="106"/>
        <v/>
      </c>
      <c r="R1258" s="140" t="str">
        <f t="shared" si="107"/>
        <v/>
      </c>
      <c r="S1258" s="140" t="str">
        <f t="shared" si="108"/>
        <v/>
      </c>
      <c r="T1258" s="140" t="str">
        <f t="shared" si="109"/>
        <v/>
      </c>
      <c r="U1258" s="140" t="str">
        <f t="shared" si="110"/>
        <v/>
      </c>
      <c r="V1258" s="99"/>
    </row>
    <row r="1259" spans="1:22">
      <c r="A1259" s="92"/>
      <c r="B1259" s="146" t="s">
        <v>385</v>
      </c>
      <c r="C1259" s="136"/>
      <c r="D1259" s="142"/>
      <c r="E1259" s="138"/>
      <c r="F1259" s="139"/>
      <c r="G1259" s="98">
        <v>10</v>
      </c>
      <c r="H1259" s="99">
        <v>4</v>
      </c>
      <c r="I1259" s="111">
        <f>((2*0.6)/0.075)+2</f>
        <v>18</v>
      </c>
      <c r="J1259" s="149">
        <f>C1260+D1262+E1260+2*8*G1259/1000</f>
        <v>0.73</v>
      </c>
      <c r="K1259" s="99"/>
      <c r="L1259" s="99">
        <v>4</v>
      </c>
      <c r="M1259" s="112">
        <f>2*G1259*L1259/1000</f>
        <v>0.08</v>
      </c>
      <c r="N1259" s="112">
        <f>(J1259+K1259-M1259)</f>
        <v>0.65</v>
      </c>
      <c r="O1259" s="112">
        <f>(H1259*I1259*N1259)</f>
        <v>46.800000000000004</v>
      </c>
      <c r="P1259" s="140" t="str">
        <f t="shared" si="105"/>
        <v/>
      </c>
      <c r="Q1259" s="140">
        <f t="shared" si="106"/>
        <v>46.800000000000004</v>
      </c>
      <c r="R1259" s="140" t="str">
        <f t="shared" si="107"/>
        <v/>
      </c>
      <c r="S1259" s="140" t="str">
        <f t="shared" si="108"/>
        <v/>
      </c>
      <c r="T1259" s="140" t="str">
        <f t="shared" si="109"/>
        <v/>
      </c>
      <c r="U1259" s="140" t="str">
        <f t="shared" si="110"/>
        <v/>
      </c>
      <c r="V1259" s="99"/>
    </row>
    <row r="1260" spans="1:22">
      <c r="A1260" s="92"/>
      <c r="B1260" s="146"/>
      <c r="C1260" s="151">
        <v>0.17499999999999999</v>
      </c>
      <c r="D1260" s="137"/>
      <c r="E1260" s="138">
        <v>0.17499999999999999</v>
      </c>
      <c r="F1260" s="139"/>
      <c r="G1260" s="98"/>
      <c r="H1260" s="99"/>
      <c r="I1260" s="99"/>
      <c r="J1260" s="100"/>
      <c r="K1260" s="99"/>
      <c r="L1260" s="99"/>
      <c r="M1260" s="99"/>
      <c r="N1260" s="99"/>
      <c r="O1260" s="112"/>
      <c r="P1260" s="140" t="str">
        <f>IF($G1260=8,$O1260,"")</f>
        <v/>
      </c>
      <c r="Q1260" s="140" t="str">
        <f>IF($G1260=10,$O1260,"")</f>
        <v/>
      </c>
      <c r="R1260" s="140" t="str">
        <f>IF($G1260=12,$O1260,"")</f>
        <v/>
      </c>
      <c r="S1260" s="140" t="str">
        <f>IF($G1260=16,$O1260,"")</f>
        <v/>
      </c>
      <c r="T1260" s="140" t="str">
        <f>IF($G1260=20,$O1260,"")</f>
        <v/>
      </c>
      <c r="U1260" s="140" t="str">
        <f>IF($G1260=25,$O1260,"")</f>
        <v/>
      </c>
      <c r="V1260" s="99"/>
    </row>
    <row r="1261" spans="1:22">
      <c r="A1261" s="92"/>
      <c r="B1261" s="146"/>
      <c r="C1261" s="136"/>
      <c r="D1261" s="137"/>
      <c r="E1261" s="138"/>
      <c r="F1261" s="139"/>
      <c r="G1261" s="98"/>
      <c r="H1261" s="99"/>
      <c r="I1261" s="99"/>
      <c r="J1261" s="100"/>
      <c r="K1261" s="99"/>
      <c r="L1261" s="99"/>
      <c r="M1261" s="99"/>
      <c r="N1261" s="99"/>
      <c r="O1261" s="101"/>
      <c r="P1261" s="140" t="str">
        <f t="shared" si="105"/>
        <v/>
      </c>
      <c r="Q1261" s="140" t="str">
        <f t="shared" si="106"/>
        <v/>
      </c>
      <c r="R1261" s="140" t="str">
        <f t="shared" si="107"/>
        <v/>
      </c>
      <c r="S1261" s="140" t="str">
        <f t="shared" si="108"/>
        <v/>
      </c>
      <c r="T1261" s="140" t="str">
        <f t="shared" si="109"/>
        <v/>
      </c>
      <c r="U1261" s="140" t="str">
        <f t="shared" si="110"/>
        <v/>
      </c>
      <c r="V1261" s="99"/>
    </row>
    <row r="1262" spans="1:22">
      <c r="A1262" s="92"/>
      <c r="B1262" s="146"/>
      <c r="C1262" s="136"/>
      <c r="D1262" s="109">
        <f>0.3-0.08</f>
        <v>0.21999999999999997</v>
      </c>
      <c r="E1262" s="138"/>
      <c r="F1262" s="139"/>
      <c r="G1262" s="98"/>
      <c r="H1262" s="99"/>
      <c r="I1262" s="99"/>
      <c r="J1262" s="100"/>
      <c r="K1262" s="99"/>
      <c r="L1262" s="99"/>
      <c r="M1262" s="99"/>
      <c r="N1262" s="99"/>
      <c r="O1262" s="101"/>
      <c r="P1262" s="140" t="str">
        <f t="shared" si="105"/>
        <v/>
      </c>
      <c r="Q1262" s="140" t="str">
        <f t="shared" si="106"/>
        <v/>
      </c>
      <c r="R1262" s="140" t="str">
        <f t="shared" si="107"/>
        <v/>
      </c>
      <c r="S1262" s="140" t="str">
        <f t="shared" si="108"/>
        <v/>
      </c>
      <c r="T1262" s="140" t="str">
        <f t="shared" si="109"/>
        <v/>
      </c>
      <c r="U1262" s="140" t="str">
        <f t="shared" si="110"/>
        <v/>
      </c>
      <c r="V1262" s="99"/>
    </row>
    <row r="1263" spans="1:22">
      <c r="A1263" s="92"/>
      <c r="B1263" s="141"/>
      <c r="C1263" s="136"/>
      <c r="D1263" s="137"/>
      <c r="E1263" s="138"/>
      <c r="F1263" s="139"/>
      <c r="G1263" s="98"/>
      <c r="H1263" s="99"/>
      <c r="I1263" s="99"/>
      <c r="J1263" s="100"/>
      <c r="K1263" s="99"/>
      <c r="L1263" s="99"/>
      <c r="M1263" s="99"/>
      <c r="N1263" s="99"/>
      <c r="O1263" s="101"/>
      <c r="P1263" s="140" t="str">
        <f t="shared" ref="P1263:P1282" si="214">IF($G1263=8,$O1263,"")</f>
        <v/>
      </c>
      <c r="Q1263" s="140" t="str">
        <f t="shared" ref="Q1263:Q1282" si="215">IF($G1263=10,$O1263,"")</f>
        <v/>
      </c>
      <c r="R1263" s="140" t="str">
        <f t="shared" ref="R1263:R1282" si="216">IF($G1263=12,$O1263,"")</f>
        <v/>
      </c>
      <c r="S1263" s="140" t="str">
        <f t="shared" ref="S1263:S1282" si="217">IF($G1263=16,$O1263,"")</f>
        <v/>
      </c>
      <c r="T1263" s="140" t="str">
        <f t="shared" ref="T1263:T1282" si="218">IF($G1263=20,$O1263,"")</f>
        <v/>
      </c>
      <c r="U1263" s="140" t="str">
        <f t="shared" ref="U1263:U1282" si="219">IF($G1263=25,$O1263,"")</f>
        <v/>
      </c>
      <c r="V1263" s="99"/>
    </row>
    <row r="1264" spans="1:22">
      <c r="A1264" s="92"/>
      <c r="B1264" s="429" t="s">
        <v>645</v>
      </c>
      <c r="C1264" s="145">
        <v>0.08</v>
      </c>
      <c r="D1264" s="137"/>
      <c r="E1264" s="138"/>
      <c r="F1264" s="139"/>
      <c r="G1264" s="98"/>
      <c r="H1264" s="99"/>
      <c r="I1264" s="99"/>
      <c r="J1264" s="100"/>
      <c r="K1264" s="99"/>
      <c r="L1264" s="99"/>
      <c r="M1264" s="99"/>
      <c r="N1264" s="99"/>
      <c r="O1264" s="101"/>
      <c r="P1264" s="140" t="str">
        <f t="shared" si="214"/>
        <v/>
      </c>
      <c r="Q1264" s="140" t="str">
        <f t="shared" si="215"/>
        <v/>
      </c>
      <c r="R1264" s="140" t="str">
        <f t="shared" si="216"/>
        <v/>
      </c>
      <c r="S1264" s="140" t="str">
        <f t="shared" si="217"/>
        <v/>
      </c>
      <c r="T1264" s="140" t="str">
        <f t="shared" si="218"/>
        <v/>
      </c>
      <c r="U1264" s="140" t="str">
        <f t="shared" si="219"/>
        <v/>
      </c>
      <c r="V1264" s="99"/>
    </row>
    <row r="1265" spans="1:22">
      <c r="A1265" s="92"/>
      <c r="B1265" s="146" t="s">
        <v>382</v>
      </c>
      <c r="C1265" s="147"/>
      <c r="D1265" s="137"/>
      <c r="E1265" s="148">
        <f>0.6-0.08</f>
        <v>0.52</v>
      </c>
      <c r="F1265" s="139"/>
      <c r="G1265" s="98">
        <v>8</v>
      </c>
      <c r="H1265" s="99">
        <v>4</v>
      </c>
      <c r="I1265" s="111">
        <f>((1.68-2*0.75)/0.15)+1</f>
        <v>2.1999999999999997</v>
      </c>
      <c r="J1265" s="149">
        <f>2*(D1267+E1265)+2*8*G1265/1000</f>
        <v>1.6080000000000001</v>
      </c>
      <c r="K1265" s="99"/>
      <c r="L1265" s="99">
        <v>5</v>
      </c>
      <c r="M1265" s="112">
        <f>2*G1265*L1265/1000</f>
        <v>0.08</v>
      </c>
      <c r="N1265" s="112">
        <f>(J1265+K1265-M1265)</f>
        <v>1.528</v>
      </c>
      <c r="O1265" s="112">
        <f>(H1265*I1265*N1265)</f>
        <v>13.446399999999999</v>
      </c>
      <c r="P1265" s="140">
        <f t="shared" si="214"/>
        <v>13.446399999999999</v>
      </c>
      <c r="Q1265" s="140" t="str">
        <f t="shared" si="215"/>
        <v/>
      </c>
      <c r="R1265" s="140" t="str">
        <f t="shared" si="216"/>
        <v/>
      </c>
      <c r="S1265" s="140" t="str">
        <f t="shared" si="217"/>
        <v/>
      </c>
      <c r="T1265" s="140" t="str">
        <f t="shared" si="218"/>
        <v/>
      </c>
      <c r="U1265" s="140" t="str">
        <f t="shared" si="219"/>
        <v/>
      </c>
      <c r="V1265" s="99"/>
    </row>
    <row r="1266" spans="1:22">
      <c r="A1266" s="92"/>
      <c r="B1266" s="146"/>
      <c r="C1266" s="136"/>
      <c r="D1266" s="137"/>
      <c r="E1266" s="150"/>
      <c r="F1266" s="139"/>
      <c r="G1266" s="98"/>
      <c r="H1266" s="99"/>
      <c r="I1266" s="99"/>
      <c r="J1266" s="100"/>
      <c r="K1266" s="99"/>
      <c r="L1266" s="99"/>
      <c r="M1266" s="99"/>
      <c r="N1266" s="99"/>
      <c r="O1266" s="112"/>
      <c r="P1266" s="140" t="str">
        <f t="shared" si="214"/>
        <v/>
      </c>
      <c r="Q1266" s="140" t="str">
        <f t="shared" si="215"/>
        <v/>
      </c>
      <c r="R1266" s="140" t="str">
        <f t="shared" si="216"/>
        <v/>
      </c>
      <c r="S1266" s="140" t="str">
        <f t="shared" si="217"/>
        <v/>
      </c>
      <c r="T1266" s="140" t="str">
        <f t="shared" si="218"/>
        <v/>
      </c>
      <c r="U1266" s="140" t="str">
        <f t="shared" si="219"/>
        <v/>
      </c>
      <c r="V1266" s="99"/>
    </row>
    <row r="1267" spans="1:22">
      <c r="A1267" s="92"/>
      <c r="B1267" s="146"/>
      <c r="C1267" s="136"/>
      <c r="D1267" s="109">
        <f>0.3-0.08</f>
        <v>0.21999999999999997</v>
      </c>
      <c r="E1267" s="138"/>
      <c r="F1267" s="139"/>
      <c r="G1267" s="98"/>
      <c r="H1267" s="99"/>
      <c r="I1267" s="99"/>
      <c r="J1267" s="100"/>
      <c r="K1267" s="99"/>
      <c r="L1267" s="99"/>
      <c r="M1267" s="99"/>
      <c r="N1267" s="99"/>
      <c r="O1267" s="112"/>
      <c r="P1267" s="140" t="str">
        <f t="shared" si="214"/>
        <v/>
      </c>
      <c r="Q1267" s="140" t="str">
        <f t="shared" si="215"/>
        <v/>
      </c>
      <c r="R1267" s="140" t="str">
        <f t="shared" si="216"/>
        <v/>
      </c>
      <c r="S1267" s="140" t="str">
        <f t="shared" si="217"/>
        <v/>
      </c>
      <c r="T1267" s="140" t="str">
        <f t="shared" si="218"/>
        <v/>
      </c>
      <c r="U1267" s="140" t="str">
        <f t="shared" si="219"/>
        <v/>
      </c>
      <c r="V1267" s="99"/>
    </row>
    <row r="1268" spans="1:22">
      <c r="A1268" s="92"/>
      <c r="B1268" s="141"/>
      <c r="C1268" s="136"/>
      <c r="D1268" s="137"/>
      <c r="E1268" s="138"/>
      <c r="F1268" s="139"/>
      <c r="G1268" s="98"/>
      <c r="H1268" s="99"/>
      <c r="I1268" s="99"/>
      <c r="J1268" s="100"/>
      <c r="K1268" s="99"/>
      <c r="L1268" s="99"/>
      <c r="M1268" s="99"/>
      <c r="N1268" s="99"/>
      <c r="O1268" s="112"/>
      <c r="P1268" s="140" t="str">
        <f t="shared" si="214"/>
        <v/>
      </c>
      <c r="Q1268" s="140" t="str">
        <f t="shared" si="215"/>
        <v/>
      </c>
      <c r="R1268" s="140" t="str">
        <f t="shared" si="216"/>
        <v/>
      </c>
      <c r="S1268" s="140" t="str">
        <f t="shared" si="217"/>
        <v/>
      </c>
      <c r="T1268" s="140" t="str">
        <f t="shared" si="218"/>
        <v/>
      </c>
      <c r="U1268" s="140" t="str">
        <f t="shared" si="219"/>
        <v/>
      </c>
      <c r="V1268" s="99"/>
    </row>
    <row r="1269" spans="1:22">
      <c r="A1269" s="92"/>
      <c r="B1269" s="92"/>
      <c r="C1269" s="145">
        <v>0.08</v>
      </c>
      <c r="D1269" s="137"/>
      <c r="E1269" s="138"/>
      <c r="F1269" s="139"/>
      <c r="G1269" s="98"/>
      <c r="H1269" s="99"/>
      <c r="I1269" s="99"/>
      <c r="J1269" s="100"/>
      <c r="K1269" s="99"/>
      <c r="L1269" s="99"/>
      <c r="M1269" s="99"/>
      <c r="N1269" s="99"/>
      <c r="O1269" s="112"/>
      <c r="P1269" s="140" t="str">
        <f t="shared" si="214"/>
        <v/>
      </c>
      <c r="Q1269" s="140" t="str">
        <f t="shared" si="215"/>
        <v/>
      </c>
      <c r="R1269" s="140" t="str">
        <f t="shared" si="216"/>
        <v/>
      </c>
      <c r="S1269" s="140" t="str">
        <f t="shared" si="217"/>
        <v/>
      </c>
      <c r="T1269" s="140" t="str">
        <f t="shared" si="218"/>
        <v/>
      </c>
      <c r="U1269" s="140" t="str">
        <f t="shared" si="219"/>
        <v/>
      </c>
      <c r="V1269" s="99"/>
    </row>
    <row r="1270" spans="1:22">
      <c r="A1270" s="92"/>
      <c r="B1270" s="146" t="s">
        <v>383</v>
      </c>
      <c r="C1270" s="147"/>
      <c r="D1270" s="137"/>
      <c r="E1270" s="148">
        <f>((0.6-0.08-0.016)/5)+0.012+0.02</f>
        <v>0.1328</v>
      </c>
      <c r="F1270" s="139"/>
      <c r="G1270" s="98">
        <v>8</v>
      </c>
      <c r="H1270" s="99">
        <v>4</v>
      </c>
      <c r="I1270" s="111">
        <f>((1.68-2*0.75)/0.15)+1</f>
        <v>2.1999999999999997</v>
      </c>
      <c r="J1270" s="149">
        <f>2*(D1272+E1270)+2*8*G1270/1000</f>
        <v>0.83360000000000001</v>
      </c>
      <c r="K1270" s="99"/>
      <c r="L1270" s="99">
        <v>5</v>
      </c>
      <c r="M1270" s="112">
        <f>2*G1270*L1270/1000</f>
        <v>0.08</v>
      </c>
      <c r="N1270" s="112">
        <f>(J1270+K1270-M1270)</f>
        <v>0.75360000000000005</v>
      </c>
      <c r="O1270" s="112">
        <f>(H1270*I1270*N1270)</f>
        <v>6.6316799999999994</v>
      </c>
      <c r="P1270" s="140">
        <f t="shared" si="214"/>
        <v>6.6316799999999994</v>
      </c>
      <c r="Q1270" s="140" t="str">
        <f t="shared" si="215"/>
        <v/>
      </c>
      <c r="R1270" s="140" t="str">
        <f t="shared" si="216"/>
        <v/>
      </c>
      <c r="S1270" s="140" t="str">
        <f t="shared" si="217"/>
        <v/>
      </c>
      <c r="T1270" s="140" t="str">
        <f t="shared" si="218"/>
        <v/>
      </c>
      <c r="U1270" s="140" t="str">
        <f t="shared" si="219"/>
        <v/>
      </c>
      <c r="V1270" s="99"/>
    </row>
    <row r="1271" spans="1:22">
      <c r="A1271" s="92"/>
      <c r="B1271" s="146"/>
      <c r="C1271" s="136"/>
      <c r="D1271" s="137"/>
      <c r="E1271" s="150"/>
      <c r="F1271" s="139"/>
      <c r="G1271" s="98"/>
      <c r="H1271" s="99"/>
      <c r="I1271" s="99"/>
      <c r="J1271" s="100"/>
      <c r="K1271" s="99"/>
      <c r="L1271" s="99"/>
      <c r="M1271" s="99"/>
      <c r="N1271" s="99"/>
      <c r="O1271" s="112"/>
      <c r="P1271" s="140" t="str">
        <f t="shared" si="214"/>
        <v/>
      </c>
      <c r="Q1271" s="140" t="str">
        <f t="shared" si="215"/>
        <v/>
      </c>
      <c r="R1271" s="140" t="str">
        <f t="shared" si="216"/>
        <v/>
      </c>
      <c r="S1271" s="140" t="str">
        <f t="shared" si="217"/>
        <v/>
      </c>
      <c r="T1271" s="140" t="str">
        <f t="shared" si="218"/>
        <v/>
      </c>
      <c r="U1271" s="140" t="str">
        <f t="shared" si="219"/>
        <v/>
      </c>
      <c r="V1271" s="99"/>
    </row>
    <row r="1272" spans="1:22">
      <c r="A1272" s="92"/>
      <c r="B1272" s="146"/>
      <c r="C1272" s="136"/>
      <c r="D1272" s="109">
        <f>0.3-0.08</f>
        <v>0.21999999999999997</v>
      </c>
      <c r="E1272" s="138"/>
      <c r="F1272" s="139"/>
      <c r="G1272" s="98"/>
      <c r="H1272" s="99"/>
      <c r="I1272" s="99"/>
      <c r="J1272" s="100"/>
      <c r="K1272" s="99"/>
      <c r="L1272" s="99"/>
      <c r="M1272" s="99"/>
      <c r="N1272" s="99"/>
      <c r="O1272" s="112"/>
      <c r="P1272" s="140" t="str">
        <f t="shared" si="214"/>
        <v/>
      </c>
      <c r="Q1272" s="140" t="str">
        <f t="shared" si="215"/>
        <v/>
      </c>
      <c r="R1272" s="140" t="str">
        <f t="shared" si="216"/>
        <v/>
      </c>
      <c r="S1272" s="140" t="str">
        <f t="shared" si="217"/>
        <v/>
      </c>
      <c r="T1272" s="140" t="str">
        <f t="shared" si="218"/>
        <v/>
      </c>
      <c r="U1272" s="140" t="str">
        <f t="shared" si="219"/>
        <v/>
      </c>
      <c r="V1272" s="99"/>
    </row>
    <row r="1273" spans="1:22">
      <c r="A1273" s="92"/>
      <c r="B1273" s="146"/>
      <c r="C1273" s="136"/>
      <c r="D1273" s="137"/>
      <c r="E1273" s="138"/>
      <c r="F1273" s="139"/>
      <c r="G1273" s="98"/>
      <c r="H1273" s="99"/>
      <c r="I1273" s="99"/>
      <c r="J1273" s="100"/>
      <c r="K1273" s="99"/>
      <c r="L1273" s="99"/>
      <c r="M1273" s="99"/>
      <c r="N1273" s="99"/>
      <c r="O1273" s="112"/>
      <c r="P1273" s="140" t="str">
        <f t="shared" si="214"/>
        <v/>
      </c>
      <c r="Q1273" s="140" t="str">
        <f t="shared" si="215"/>
        <v/>
      </c>
      <c r="R1273" s="140" t="str">
        <f t="shared" si="216"/>
        <v/>
      </c>
      <c r="S1273" s="140" t="str">
        <f t="shared" si="217"/>
        <v/>
      </c>
      <c r="T1273" s="140" t="str">
        <f t="shared" si="218"/>
        <v/>
      </c>
      <c r="U1273" s="140" t="str">
        <f t="shared" si="219"/>
        <v/>
      </c>
      <c r="V1273" s="99"/>
    </row>
    <row r="1274" spans="1:22">
      <c r="A1274" s="92"/>
      <c r="B1274" s="146" t="s">
        <v>384</v>
      </c>
      <c r="C1274" s="136"/>
      <c r="D1274" s="142"/>
      <c r="E1274" s="138"/>
      <c r="F1274" s="139"/>
      <c r="G1274" s="98">
        <v>8</v>
      </c>
      <c r="H1274" s="99">
        <v>4</v>
      </c>
      <c r="I1274" s="111">
        <f>((1.68-2*0.75)/0.15)+1</f>
        <v>2.1999999999999997</v>
      </c>
      <c r="J1274" s="149">
        <f>C1275+D1277+E1275+2*8*G1274/1000</f>
        <v>0.69799999999999995</v>
      </c>
      <c r="K1274" s="99"/>
      <c r="L1274" s="99">
        <v>4</v>
      </c>
      <c r="M1274" s="112">
        <f>2*G1274*L1274/1000</f>
        <v>6.4000000000000001E-2</v>
      </c>
      <c r="N1274" s="112">
        <f>(J1274+K1274-M1274)</f>
        <v>0.6339999999999999</v>
      </c>
      <c r="O1274" s="112">
        <f>(H1274*I1274*N1274)</f>
        <v>5.5791999999999984</v>
      </c>
      <c r="P1274" s="140">
        <f t="shared" si="214"/>
        <v>5.5791999999999984</v>
      </c>
      <c r="Q1274" s="140" t="str">
        <f t="shared" si="215"/>
        <v/>
      </c>
      <c r="R1274" s="140" t="str">
        <f t="shared" si="216"/>
        <v/>
      </c>
      <c r="S1274" s="140" t="str">
        <f t="shared" si="217"/>
        <v/>
      </c>
      <c r="T1274" s="140" t="str">
        <f t="shared" si="218"/>
        <v/>
      </c>
      <c r="U1274" s="140" t="str">
        <f t="shared" si="219"/>
        <v/>
      </c>
      <c r="V1274" s="99"/>
    </row>
    <row r="1275" spans="1:22">
      <c r="A1275" s="92"/>
      <c r="B1275" s="146"/>
      <c r="C1275" s="151">
        <v>0.17499999999999999</v>
      </c>
      <c r="D1275" s="137"/>
      <c r="E1275" s="138">
        <v>0.17499999999999999</v>
      </c>
      <c r="F1275" s="139"/>
      <c r="G1275" s="98"/>
      <c r="H1275" s="99"/>
      <c r="I1275" s="99"/>
      <c r="J1275" s="100"/>
      <c r="K1275" s="99"/>
      <c r="L1275" s="99"/>
      <c r="M1275" s="99"/>
      <c r="N1275" s="99"/>
      <c r="O1275" s="112"/>
      <c r="P1275" s="140" t="str">
        <f>IF($G1275=8,$O1275,"")</f>
        <v/>
      </c>
      <c r="Q1275" s="140" t="str">
        <f>IF($G1275=10,$O1275,"")</f>
        <v/>
      </c>
      <c r="R1275" s="140" t="str">
        <f>IF($G1275=12,$O1275,"")</f>
        <v/>
      </c>
      <c r="S1275" s="140" t="str">
        <f>IF($G1275=16,$O1275,"")</f>
        <v/>
      </c>
      <c r="T1275" s="140" t="str">
        <f>IF($G1275=20,$O1275,"")</f>
        <v/>
      </c>
      <c r="U1275" s="140" t="str">
        <f>IF($G1275=25,$O1275,"")</f>
        <v/>
      </c>
      <c r="V1275" s="99"/>
    </row>
    <row r="1276" spans="1:22">
      <c r="A1276" s="92"/>
      <c r="B1276" s="146"/>
      <c r="C1276" s="136"/>
      <c r="D1276" s="137"/>
      <c r="E1276" s="138"/>
      <c r="F1276" s="139"/>
      <c r="G1276" s="98"/>
      <c r="H1276" s="99"/>
      <c r="I1276" s="99"/>
      <c r="J1276" s="100"/>
      <c r="K1276" s="99"/>
      <c r="L1276" s="99"/>
      <c r="M1276" s="99"/>
      <c r="N1276" s="99"/>
      <c r="O1276" s="112"/>
      <c r="P1276" s="140" t="str">
        <f t="shared" si="214"/>
        <v/>
      </c>
      <c r="Q1276" s="140" t="str">
        <f t="shared" si="215"/>
        <v/>
      </c>
      <c r="R1276" s="140" t="str">
        <f t="shared" si="216"/>
        <v/>
      </c>
      <c r="S1276" s="140" t="str">
        <f t="shared" si="217"/>
        <v/>
      </c>
      <c r="T1276" s="140" t="str">
        <f t="shared" si="218"/>
        <v/>
      </c>
      <c r="U1276" s="140" t="str">
        <f t="shared" si="219"/>
        <v/>
      </c>
      <c r="V1276" s="99"/>
    </row>
    <row r="1277" spans="1:22">
      <c r="A1277" s="92"/>
      <c r="B1277" s="146"/>
      <c r="C1277" s="136"/>
      <c r="D1277" s="109">
        <f>0.3-0.08</f>
        <v>0.21999999999999997</v>
      </c>
      <c r="E1277" s="138"/>
      <c r="F1277" s="139"/>
      <c r="G1277" s="98"/>
      <c r="H1277" s="99"/>
      <c r="I1277" s="99"/>
      <c r="J1277" s="100"/>
      <c r="K1277" s="99"/>
      <c r="L1277" s="99"/>
      <c r="M1277" s="99"/>
      <c r="N1277" s="99"/>
      <c r="O1277" s="112"/>
      <c r="P1277" s="140" t="str">
        <f t="shared" si="214"/>
        <v/>
      </c>
      <c r="Q1277" s="140" t="str">
        <f t="shared" si="215"/>
        <v/>
      </c>
      <c r="R1277" s="140" t="str">
        <f t="shared" si="216"/>
        <v/>
      </c>
      <c r="S1277" s="140" t="str">
        <f t="shared" si="217"/>
        <v/>
      </c>
      <c r="T1277" s="140" t="str">
        <f t="shared" si="218"/>
        <v/>
      </c>
      <c r="U1277" s="140" t="str">
        <f t="shared" si="219"/>
        <v/>
      </c>
      <c r="V1277" s="99"/>
    </row>
    <row r="1278" spans="1:22">
      <c r="A1278" s="92"/>
      <c r="B1278" s="146"/>
      <c r="C1278" s="136"/>
      <c r="D1278" s="137"/>
      <c r="E1278" s="138"/>
      <c r="F1278" s="139"/>
      <c r="G1278" s="98"/>
      <c r="H1278" s="99"/>
      <c r="I1278" s="99"/>
      <c r="J1278" s="100"/>
      <c r="K1278" s="99"/>
      <c r="L1278" s="99"/>
      <c r="M1278" s="99"/>
      <c r="N1278" s="99"/>
      <c r="O1278" s="112"/>
      <c r="P1278" s="140" t="str">
        <f t="shared" si="214"/>
        <v/>
      </c>
      <c r="Q1278" s="140" t="str">
        <f t="shared" si="215"/>
        <v/>
      </c>
      <c r="R1278" s="140" t="str">
        <f t="shared" si="216"/>
        <v/>
      </c>
      <c r="S1278" s="140" t="str">
        <f t="shared" si="217"/>
        <v/>
      </c>
      <c r="T1278" s="140" t="str">
        <f t="shared" si="218"/>
        <v/>
      </c>
      <c r="U1278" s="140" t="str">
        <f t="shared" si="219"/>
        <v/>
      </c>
      <c r="V1278" s="99"/>
    </row>
    <row r="1279" spans="1:22">
      <c r="A1279" s="92"/>
      <c r="B1279" s="146" t="s">
        <v>385</v>
      </c>
      <c r="C1279" s="136"/>
      <c r="D1279" s="142"/>
      <c r="E1279" s="138"/>
      <c r="F1279" s="139"/>
      <c r="G1279" s="98">
        <v>8</v>
      </c>
      <c r="H1279" s="99">
        <v>4</v>
      </c>
      <c r="I1279" s="111">
        <f>((1.68-2*0.75)/0.15)+1</f>
        <v>2.1999999999999997</v>
      </c>
      <c r="J1279" s="149">
        <f>C1280+D1282+E1280+2*8*G1279/1000</f>
        <v>0.69799999999999995</v>
      </c>
      <c r="K1279" s="99"/>
      <c r="L1279" s="99">
        <v>4</v>
      </c>
      <c r="M1279" s="112">
        <f>2*G1279*L1279/1000</f>
        <v>6.4000000000000001E-2</v>
      </c>
      <c r="N1279" s="112">
        <f>(J1279+K1279-M1279)</f>
        <v>0.6339999999999999</v>
      </c>
      <c r="O1279" s="112">
        <f>(H1279*I1279*N1279)</f>
        <v>5.5791999999999984</v>
      </c>
      <c r="P1279" s="140">
        <f t="shared" si="214"/>
        <v>5.5791999999999984</v>
      </c>
      <c r="Q1279" s="140" t="str">
        <f t="shared" si="215"/>
        <v/>
      </c>
      <c r="R1279" s="140" t="str">
        <f t="shared" si="216"/>
        <v/>
      </c>
      <c r="S1279" s="140" t="str">
        <f t="shared" si="217"/>
        <v/>
      </c>
      <c r="T1279" s="140" t="str">
        <f t="shared" si="218"/>
        <v/>
      </c>
      <c r="U1279" s="140" t="str">
        <f t="shared" si="219"/>
        <v/>
      </c>
      <c r="V1279" s="99"/>
    </row>
    <row r="1280" spans="1:22">
      <c r="A1280" s="92"/>
      <c r="B1280" s="146"/>
      <c r="C1280" s="151">
        <v>0.17499999999999999</v>
      </c>
      <c r="D1280" s="137"/>
      <c r="E1280" s="138">
        <v>0.17499999999999999</v>
      </c>
      <c r="F1280" s="139"/>
      <c r="G1280" s="98"/>
      <c r="H1280" s="99"/>
      <c r="I1280" s="99"/>
      <c r="J1280" s="100"/>
      <c r="K1280" s="99"/>
      <c r="L1280" s="99"/>
      <c r="M1280" s="99"/>
      <c r="N1280" s="99"/>
      <c r="O1280" s="112"/>
      <c r="P1280" s="140" t="str">
        <f>IF($G1280=8,$O1280,"")</f>
        <v/>
      </c>
      <c r="Q1280" s="140" t="str">
        <f>IF($G1280=10,$O1280,"")</f>
        <v/>
      </c>
      <c r="R1280" s="140" t="str">
        <f>IF($G1280=12,$O1280,"")</f>
        <v/>
      </c>
      <c r="S1280" s="140" t="str">
        <f>IF($G1280=16,$O1280,"")</f>
        <v/>
      </c>
      <c r="T1280" s="140" t="str">
        <f>IF($G1280=20,$O1280,"")</f>
        <v/>
      </c>
      <c r="U1280" s="140" t="str">
        <f>IF($G1280=25,$O1280,"")</f>
        <v/>
      </c>
      <c r="V1280" s="99"/>
    </row>
    <row r="1281" spans="1:22">
      <c r="A1281" s="92"/>
      <c r="B1281" s="146"/>
      <c r="C1281" s="136"/>
      <c r="D1281" s="137"/>
      <c r="E1281" s="138"/>
      <c r="F1281" s="139"/>
      <c r="G1281" s="98"/>
      <c r="H1281" s="99"/>
      <c r="I1281" s="99"/>
      <c r="J1281" s="100"/>
      <c r="K1281" s="99"/>
      <c r="L1281" s="99"/>
      <c r="M1281" s="99"/>
      <c r="N1281" s="99"/>
      <c r="O1281" s="101"/>
      <c r="P1281" s="140" t="str">
        <f t="shared" si="214"/>
        <v/>
      </c>
      <c r="Q1281" s="140" t="str">
        <f t="shared" si="215"/>
        <v/>
      </c>
      <c r="R1281" s="140" t="str">
        <f t="shared" si="216"/>
        <v/>
      </c>
      <c r="S1281" s="140" t="str">
        <f t="shared" si="217"/>
        <v/>
      </c>
      <c r="T1281" s="140" t="str">
        <f t="shared" si="218"/>
        <v/>
      </c>
      <c r="U1281" s="140" t="str">
        <f t="shared" si="219"/>
        <v/>
      </c>
      <c r="V1281" s="99"/>
    </row>
    <row r="1282" spans="1:22">
      <c r="A1282" s="92"/>
      <c r="B1282" s="146"/>
      <c r="C1282" s="136"/>
      <c r="D1282" s="109">
        <f>0.3-0.08</f>
        <v>0.21999999999999997</v>
      </c>
      <c r="E1282" s="138"/>
      <c r="F1282" s="139"/>
      <c r="G1282" s="98"/>
      <c r="H1282" s="99"/>
      <c r="I1282" s="99"/>
      <c r="J1282" s="100"/>
      <c r="K1282" s="99"/>
      <c r="L1282" s="99"/>
      <c r="M1282" s="99"/>
      <c r="N1282" s="99"/>
      <c r="O1282" s="101"/>
      <c r="P1282" s="140" t="str">
        <f t="shared" si="214"/>
        <v/>
      </c>
      <c r="Q1282" s="140" t="str">
        <f t="shared" si="215"/>
        <v/>
      </c>
      <c r="R1282" s="140" t="str">
        <f t="shared" si="216"/>
        <v/>
      </c>
      <c r="S1282" s="140" t="str">
        <f t="shared" si="217"/>
        <v/>
      </c>
      <c r="T1282" s="140" t="str">
        <f t="shared" si="218"/>
        <v/>
      </c>
      <c r="U1282" s="140" t="str">
        <f t="shared" si="219"/>
        <v/>
      </c>
      <c r="V1282" s="99"/>
    </row>
    <row r="1283" spans="1:22">
      <c r="A1283" s="92"/>
      <c r="B1283" s="146"/>
      <c r="C1283" s="136"/>
      <c r="D1283" s="152"/>
      <c r="E1283" s="138"/>
      <c r="F1283" s="139"/>
      <c r="G1283" s="98"/>
      <c r="H1283" s="99"/>
      <c r="I1283" s="99"/>
      <c r="J1283" s="100"/>
      <c r="K1283" s="99"/>
      <c r="L1283" s="99"/>
      <c r="M1283" s="99"/>
      <c r="N1283" s="99"/>
      <c r="O1283" s="101"/>
      <c r="P1283" s="140" t="str">
        <f t="shared" si="105"/>
        <v/>
      </c>
      <c r="Q1283" s="140" t="str">
        <f t="shared" si="106"/>
        <v/>
      </c>
      <c r="R1283" s="140" t="str">
        <f t="shared" si="107"/>
        <v/>
      </c>
      <c r="S1283" s="140" t="str">
        <f t="shared" si="108"/>
        <v/>
      </c>
      <c r="T1283" s="140" t="str">
        <f t="shared" si="109"/>
        <v/>
      </c>
      <c r="U1283" s="140" t="str">
        <f t="shared" si="110"/>
        <v/>
      </c>
      <c r="V1283" s="99"/>
    </row>
    <row r="1284" spans="1:22">
      <c r="A1284" s="92">
        <v>9</v>
      </c>
      <c r="B1284" s="92" t="s">
        <v>395</v>
      </c>
      <c r="C1284" s="136"/>
      <c r="D1284" s="137"/>
      <c r="E1284" s="138"/>
      <c r="F1284" s="139"/>
      <c r="G1284" s="98"/>
      <c r="H1284" s="99"/>
      <c r="I1284" s="99"/>
      <c r="J1284" s="109"/>
      <c r="K1284" s="112"/>
      <c r="L1284" s="112"/>
      <c r="M1284" s="99"/>
      <c r="N1284" s="112"/>
      <c r="O1284" s="112"/>
      <c r="P1284" s="140" t="str">
        <f>IF($G1284=8,$O1284,"")</f>
        <v/>
      </c>
      <c r="Q1284" s="140" t="str">
        <f>IF($G1284=10,$O1284,"")</f>
        <v/>
      </c>
      <c r="R1284" s="140" t="str">
        <f>IF($G1284=12,$O1284,"")</f>
        <v/>
      </c>
      <c r="S1284" s="140" t="str">
        <f>IF($G1284=16,$O1284,"")</f>
        <v/>
      </c>
      <c r="T1284" s="140" t="str">
        <f>IF($G1284=20,$O1284,"")</f>
        <v/>
      </c>
      <c r="U1284" s="140" t="str">
        <f>IF($G1284=25,$O1284,"")</f>
        <v/>
      </c>
      <c r="V1284" s="99"/>
    </row>
    <row r="1285" spans="1:22">
      <c r="A1285" s="92"/>
      <c r="B1285" s="141" t="s">
        <v>378</v>
      </c>
      <c r="C1285" s="136"/>
      <c r="D1285" s="142">
        <v>1.48</v>
      </c>
      <c r="E1285" s="138"/>
      <c r="F1285" s="139"/>
      <c r="G1285" s="98">
        <v>16</v>
      </c>
      <c r="H1285" s="99">
        <v>2</v>
      </c>
      <c r="I1285" s="99">
        <v>8</v>
      </c>
      <c r="J1285" s="109">
        <f>D1285</f>
        <v>1.48</v>
      </c>
      <c r="K1285" s="110" t="str">
        <f>IF(N1285&lt;12,"0",0.049*G1285)</f>
        <v>0</v>
      </c>
      <c r="L1285" s="111">
        <v>0</v>
      </c>
      <c r="M1285" s="99">
        <f>2*G1285*L1285/1000</f>
        <v>0</v>
      </c>
      <c r="N1285" s="112">
        <f>J1285+E1287-M1285</f>
        <v>1.48</v>
      </c>
      <c r="O1285" s="112">
        <f>H1285*I1285*N1285</f>
        <v>23.68</v>
      </c>
      <c r="P1285" s="140" t="str">
        <f t="shared" si="105"/>
        <v/>
      </c>
      <c r="Q1285" s="140" t="str">
        <f t="shared" si="106"/>
        <v/>
      </c>
      <c r="R1285" s="140" t="str">
        <f t="shared" si="107"/>
        <v/>
      </c>
      <c r="S1285" s="140">
        <f t="shared" si="108"/>
        <v>23.68</v>
      </c>
      <c r="T1285" s="140" t="str">
        <f t="shared" si="109"/>
        <v/>
      </c>
      <c r="U1285" s="140" t="str">
        <f t="shared" si="110"/>
        <v/>
      </c>
      <c r="V1285" s="99"/>
    </row>
    <row r="1286" spans="1:22">
      <c r="A1286" s="92"/>
      <c r="B1286" s="141" t="s">
        <v>379</v>
      </c>
      <c r="C1286" s="136"/>
      <c r="D1286" s="137"/>
      <c r="E1286" s="138"/>
      <c r="F1286" s="139"/>
      <c r="G1286" s="98">
        <v>12</v>
      </c>
      <c r="H1286" s="99">
        <v>2</v>
      </c>
      <c r="I1286" s="99">
        <v>16</v>
      </c>
      <c r="J1286" s="109">
        <f>D1285</f>
        <v>1.48</v>
      </c>
      <c r="K1286" s="110" t="str">
        <f t="shared" ref="K1286:K1287" si="220">IF(N1286&lt;12,"0",0.049*G1286)</f>
        <v>0</v>
      </c>
      <c r="L1286" s="111">
        <v>0</v>
      </c>
      <c r="M1286" s="99">
        <f t="shared" ref="M1286:M1287" si="221">2*G1286*L1286/1000</f>
        <v>0</v>
      </c>
      <c r="N1286" s="112">
        <f>J1286+E1287-M1286</f>
        <v>1.48</v>
      </c>
      <c r="O1286" s="112">
        <f>H1286*I1286*N1286</f>
        <v>47.36</v>
      </c>
      <c r="P1286" s="140" t="str">
        <f t="shared" si="105"/>
        <v/>
      </c>
      <c r="Q1286" s="140" t="str">
        <f t="shared" si="106"/>
        <v/>
      </c>
      <c r="R1286" s="140">
        <f t="shared" si="107"/>
        <v>47.36</v>
      </c>
      <c r="S1286" s="140" t="str">
        <f t="shared" si="108"/>
        <v/>
      </c>
      <c r="T1286" s="140" t="str">
        <f t="shared" si="109"/>
        <v/>
      </c>
      <c r="U1286" s="140" t="str">
        <f t="shared" si="110"/>
        <v/>
      </c>
      <c r="V1286" s="99"/>
    </row>
    <row r="1287" spans="1:22">
      <c r="A1287" s="92"/>
      <c r="B1287" s="141" t="s">
        <v>380</v>
      </c>
      <c r="C1287" s="143"/>
      <c r="D1287" s="142"/>
      <c r="E1287" s="144"/>
      <c r="F1287" s="139"/>
      <c r="G1287" s="98">
        <v>10</v>
      </c>
      <c r="H1287" s="99">
        <v>2</v>
      </c>
      <c r="I1287" s="99">
        <v>8</v>
      </c>
      <c r="J1287" s="109">
        <f>D1285</f>
        <v>1.48</v>
      </c>
      <c r="K1287" s="110" t="str">
        <f t="shared" si="220"/>
        <v>0</v>
      </c>
      <c r="L1287" s="111">
        <v>0</v>
      </c>
      <c r="M1287" s="99">
        <f t="shared" si="221"/>
        <v>0</v>
      </c>
      <c r="N1287" s="112">
        <f>J1287+E1287-M1287</f>
        <v>1.48</v>
      </c>
      <c r="O1287" s="112">
        <f>H1287*I1287*N1287</f>
        <v>23.68</v>
      </c>
      <c r="P1287" s="140" t="str">
        <f t="shared" si="105"/>
        <v/>
      </c>
      <c r="Q1287" s="140">
        <f t="shared" si="106"/>
        <v>23.68</v>
      </c>
      <c r="R1287" s="140" t="str">
        <f t="shared" si="107"/>
        <v/>
      </c>
      <c r="S1287" s="140" t="str">
        <f t="shared" si="108"/>
        <v/>
      </c>
      <c r="T1287" s="140" t="str">
        <f t="shared" si="109"/>
        <v/>
      </c>
      <c r="U1287" s="140" t="str">
        <f t="shared" si="110"/>
        <v/>
      </c>
      <c r="V1287" s="99"/>
    </row>
    <row r="1288" spans="1:22">
      <c r="A1288" s="92"/>
      <c r="B1288" s="141"/>
      <c r="C1288" s="136"/>
      <c r="D1288" s="137"/>
      <c r="E1288" s="138"/>
      <c r="F1288" s="139"/>
      <c r="G1288" s="98"/>
      <c r="H1288" s="99"/>
      <c r="I1288" s="99"/>
      <c r="J1288" s="109"/>
      <c r="K1288" s="110"/>
      <c r="L1288" s="111"/>
      <c r="M1288" s="99"/>
      <c r="N1288" s="112"/>
      <c r="O1288" s="112"/>
      <c r="P1288" s="140" t="str">
        <f t="shared" si="105"/>
        <v/>
      </c>
      <c r="Q1288" s="140" t="str">
        <f t="shared" si="106"/>
        <v/>
      </c>
      <c r="R1288" s="140" t="str">
        <f t="shared" si="107"/>
        <v/>
      </c>
      <c r="S1288" s="140" t="str">
        <f t="shared" si="108"/>
        <v/>
      </c>
      <c r="T1288" s="140" t="str">
        <f t="shared" si="109"/>
        <v/>
      </c>
      <c r="U1288" s="140" t="str">
        <f t="shared" si="110"/>
        <v/>
      </c>
      <c r="V1288" s="99"/>
    </row>
    <row r="1289" spans="1:22">
      <c r="A1289" s="92"/>
      <c r="B1289" s="141"/>
      <c r="C1289" s="136"/>
      <c r="D1289" s="137"/>
      <c r="E1289" s="138"/>
      <c r="F1289" s="139"/>
      <c r="G1289" s="98"/>
      <c r="H1289" s="99"/>
      <c r="I1289" s="99"/>
      <c r="J1289" s="100"/>
      <c r="K1289" s="99"/>
      <c r="L1289" s="99"/>
      <c r="M1289" s="99"/>
      <c r="N1289" s="99"/>
      <c r="O1289" s="101"/>
      <c r="P1289" s="140" t="str">
        <f t="shared" si="105"/>
        <v/>
      </c>
      <c r="Q1289" s="140" t="str">
        <f t="shared" si="106"/>
        <v/>
      </c>
      <c r="R1289" s="140" t="str">
        <f t="shared" si="107"/>
        <v/>
      </c>
      <c r="S1289" s="140" t="str">
        <f t="shared" si="108"/>
        <v/>
      </c>
      <c r="T1289" s="140" t="str">
        <f t="shared" si="109"/>
        <v/>
      </c>
      <c r="U1289" s="140" t="str">
        <f t="shared" si="110"/>
        <v/>
      </c>
      <c r="V1289" s="99"/>
    </row>
    <row r="1290" spans="1:22">
      <c r="A1290" s="92"/>
      <c r="B1290" s="92"/>
      <c r="C1290" s="145">
        <v>0.08</v>
      </c>
      <c r="D1290" s="137"/>
      <c r="E1290" s="138"/>
      <c r="F1290" s="139"/>
      <c r="G1290" s="98"/>
      <c r="H1290" s="99"/>
      <c r="I1290" s="99"/>
      <c r="J1290" s="100"/>
      <c r="K1290" s="99"/>
      <c r="L1290" s="99"/>
      <c r="M1290" s="99"/>
      <c r="N1290" s="99"/>
      <c r="O1290" s="101"/>
      <c r="P1290" s="140" t="str">
        <f t="shared" si="105"/>
        <v/>
      </c>
      <c r="Q1290" s="140" t="str">
        <f t="shared" si="106"/>
        <v/>
      </c>
      <c r="R1290" s="140" t="str">
        <f t="shared" si="107"/>
        <v/>
      </c>
      <c r="S1290" s="140" t="str">
        <f t="shared" si="108"/>
        <v/>
      </c>
      <c r="T1290" s="140" t="str">
        <f t="shared" si="109"/>
        <v/>
      </c>
      <c r="U1290" s="140" t="str">
        <f t="shared" si="110"/>
        <v/>
      </c>
      <c r="V1290" s="99"/>
    </row>
    <row r="1291" spans="1:22">
      <c r="A1291" s="92"/>
      <c r="B1291" s="146" t="s">
        <v>647</v>
      </c>
      <c r="C1291" s="147"/>
      <c r="D1291" s="137"/>
      <c r="E1291" s="148">
        <f>0.65-0.05</f>
        <v>0.6</v>
      </c>
      <c r="F1291" s="139"/>
      <c r="G1291" s="98">
        <v>8</v>
      </c>
      <c r="H1291" s="99">
        <v>2</v>
      </c>
      <c r="I1291" s="111">
        <f>(1.48/0.1)+1</f>
        <v>15.799999999999999</v>
      </c>
      <c r="J1291" s="149">
        <f>2*(D1293+E1291)+2*8*G1291/1000</f>
        <v>1.6880000000000002</v>
      </c>
      <c r="K1291" s="99"/>
      <c r="L1291" s="99">
        <v>5</v>
      </c>
      <c r="M1291" s="112">
        <f>2*G1291*L1291/1000</f>
        <v>0.08</v>
      </c>
      <c r="N1291" s="112">
        <f>(J1291+K1291-M1291)</f>
        <v>1.6080000000000001</v>
      </c>
      <c r="O1291" s="112">
        <f>(H1291*I1291*N1291)</f>
        <v>50.812800000000003</v>
      </c>
      <c r="P1291" s="140">
        <f t="shared" si="105"/>
        <v>50.812800000000003</v>
      </c>
      <c r="Q1291" s="140" t="str">
        <f t="shared" si="106"/>
        <v/>
      </c>
      <c r="R1291" s="140" t="str">
        <f t="shared" si="107"/>
        <v/>
      </c>
      <c r="S1291" s="140" t="str">
        <f t="shared" si="108"/>
        <v/>
      </c>
      <c r="T1291" s="140" t="str">
        <f t="shared" si="109"/>
        <v/>
      </c>
      <c r="U1291" s="140" t="str">
        <f t="shared" si="110"/>
        <v/>
      </c>
      <c r="V1291" s="99"/>
    </row>
    <row r="1292" spans="1:22">
      <c r="A1292" s="92"/>
      <c r="B1292" s="146"/>
      <c r="C1292" s="136"/>
      <c r="D1292" s="137"/>
      <c r="E1292" s="150"/>
      <c r="F1292" s="139"/>
      <c r="G1292" s="98"/>
      <c r="H1292" s="99"/>
      <c r="I1292" s="99"/>
      <c r="J1292" s="100"/>
      <c r="K1292" s="99"/>
      <c r="L1292" s="99"/>
      <c r="M1292" s="99"/>
      <c r="N1292" s="99"/>
      <c r="O1292" s="112"/>
      <c r="P1292" s="140" t="str">
        <f t="shared" si="105"/>
        <v/>
      </c>
      <c r="Q1292" s="140" t="str">
        <f t="shared" si="106"/>
        <v/>
      </c>
      <c r="R1292" s="140" t="str">
        <f t="shared" si="107"/>
        <v/>
      </c>
      <c r="S1292" s="140" t="str">
        <f t="shared" si="108"/>
        <v/>
      </c>
      <c r="T1292" s="140" t="str">
        <f t="shared" si="109"/>
        <v/>
      </c>
      <c r="U1292" s="140" t="str">
        <f t="shared" si="110"/>
        <v/>
      </c>
      <c r="V1292" s="99"/>
    </row>
    <row r="1293" spans="1:22">
      <c r="A1293" s="92"/>
      <c r="B1293" s="146"/>
      <c r="C1293" s="136"/>
      <c r="D1293" s="109">
        <f>0.23-0.05</f>
        <v>0.18</v>
      </c>
      <c r="E1293" s="138"/>
      <c r="F1293" s="139"/>
      <c r="G1293" s="98"/>
      <c r="H1293" s="99"/>
      <c r="I1293" s="99"/>
      <c r="J1293" s="100"/>
      <c r="K1293" s="99"/>
      <c r="L1293" s="99"/>
      <c r="M1293" s="99"/>
      <c r="N1293" s="99"/>
      <c r="O1293" s="112"/>
      <c r="P1293" s="140" t="str">
        <f t="shared" si="105"/>
        <v/>
      </c>
      <c r="Q1293" s="140" t="str">
        <f t="shared" si="106"/>
        <v/>
      </c>
      <c r="R1293" s="140" t="str">
        <f t="shared" si="107"/>
        <v/>
      </c>
      <c r="S1293" s="140" t="str">
        <f t="shared" si="108"/>
        <v/>
      </c>
      <c r="T1293" s="140" t="str">
        <f t="shared" si="109"/>
        <v/>
      </c>
      <c r="U1293" s="140" t="str">
        <f t="shared" si="110"/>
        <v/>
      </c>
      <c r="V1293" s="99"/>
    </row>
    <row r="1294" spans="1:22">
      <c r="A1294" s="92"/>
      <c r="B1294" s="141"/>
      <c r="C1294" s="136"/>
      <c r="D1294" s="137"/>
      <c r="E1294" s="138"/>
      <c r="F1294" s="139"/>
      <c r="G1294" s="98"/>
      <c r="H1294" s="99"/>
      <c r="I1294" s="99"/>
      <c r="J1294" s="100"/>
      <c r="K1294" s="99"/>
      <c r="L1294" s="99"/>
      <c r="M1294" s="99"/>
      <c r="N1294" s="99"/>
      <c r="O1294" s="101"/>
      <c r="P1294" s="140" t="str">
        <f>IF($G1294=8,$O1294,"")</f>
        <v/>
      </c>
      <c r="Q1294" s="140" t="str">
        <f>IF($G1294=10,$O1294,"")</f>
        <v/>
      </c>
      <c r="R1294" s="140" t="str">
        <f>IF($G1294=12,$O1294,"")</f>
        <v/>
      </c>
      <c r="S1294" s="140" t="str">
        <f>IF($G1294=16,$O1294,"")</f>
        <v/>
      </c>
      <c r="T1294" s="140" t="str">
        <f>IF($G1294=20,$O1294,"")</f>
        <v/>
      </c>
      <c r="U1294" s="140" t="str">
        <f>IF($G1294=25,$O1294,"")</f>
        <v/>
      </c>
      <c r="V1294" s="99"/>
    </row>
    <row r="1295" spans="1:22">
      <c r="A1295" s="92"/>
      <c r="B1295" s="92"/>
      <c r="C1295" s="145">
        <v>0.08</v>
      </c>
      <c r="D1295" s="137"/>
      <c r="E1295" s="138"/>
      <c r="F1295" s="139"/>
      <c r="G1295" s="98"/>
      <c r="H1295" s="99"/>
      <c r="I1295" s="99"/>
      <c r="J1295" s="100"/>
      <c r="K1295" s="99"/>
      <c r="L1295" s="99"/>
      <c r="M1295" s="99"/>
      <c r="N1295" s="99"/>
      <c r="O1295" s="101"/>
      <c r="P1295" s="140" t="str">
        <f>IF($G1295=8,$O1295,"")</f>
        <v/>
      </c>
      <c r="Q1295" s="140" t="str">
        <f>IF($G1295=10,$O1295,"")</f>
        <v/>
      </c>
      <c r="R1295" s="140" t="str">
        <f>IF($G1295=12,$O1295,"")</f>
        <v/>
      </c>
      <c r="S1295" s="140" t="str">
        <f>IF($G1295=16,$O1295,"")</f>
        <v/>
      </c>
      <c r="T1295" s="140" t="str">
        <f>IF($G1295=20,$O1295,"")</f>
        <v/>
      </c>
      <c r="U1295" s="140" t="str">
        <f>IF($G1295=25,$O1295,"")</f>
        <v/>
      </c>
      <c r="V1295" s="99"/>
    </row>
    <row r="1296" spans="1:22">
      <c r="A1296" s="92"/>
      <c r="B1296" s="146" t="s">
        <v>649</v>
      </c>
      <c r="C1296" s="147"/>
      <c r="D1296" s="137"/>
      <c r="E1296" s="148">
        <f>((0.65-0.05-0.016)/5)*2+0.012+0.02</f>
        <v>0.2656</v>
      </c>
      <c r="F1296" s="139"/>
      <c r="G1296" s="98">
        <v>8</v>
      </c>
      <c r="H1296" s="99">
        <v>2</v>
      </c>
      <c r="I1296" s="111">
        <f>(1.48/0.1)+1</f>
        <v>15.799999999999999</v>
      </c>
      <c r="J1296" s="149">
        <f>2*(D1298+E1296)+2*8*G1296/1000</f>
        <v>1.0192000000000001</v>
      </c>
      <c r="K1296" s="99"/>
      <c r="L1296" s="99">
        <v>5</v>
      </c>
      <c r="M1296" s="112">
        <f>2*G1296*L1296/1000</f>
        <v>0.08</v>
      </c>
      <c r="N1296" s="112">
        <f>(J1296+K1296-M1296)</f>
        <v>0.93920000000000015</v>
      </c>
      <c r="O1296" s="112">
        <f>(H1296*I1296*N1296)</f>
        <v>29.678720000000002</v>
      </c>
      <c r="P1296" s="140">
        <f>IF($G1296=8,$O1296,"")</f>
        <v>29.678720000000002</v>
      </c>
      <c r="Q1296" s="140" t="str">
        <f>IF($G1296=10,$O1296,"")</f>
        <v/>
      </c>
      <c r="R1296" s="140" t="str">
        <f>IF($G1296=12,$O1296,"")</f>
        <v/>
      </c>
      <c r="S1296" s="140" t="str">
        <f>IF($G1296=16,$O1296,"")</f>
        <v/>
      </c>
      <c r="T1296" s="140" t="str">
        <f>IF($G1296=20,$O1296,"")</f>
        <v/>
      </c>
      <c r="U1296" s="140" t="str">
        <f>IF($G1296=25,$O1296,"")</f>
        <v/>
      </c>
      <c r="V1296" s="99"/>
    </row>
    <row r="1297" spans="1:22">
      <c r="A1297" s="92"/>
      <c r="B1297" s="146"/>
      <c r="C1297" s="136"/>
      <c r="D1297" s="137"/>
      <c r="E1297" s="150"/>
      <c r="F1297" s="139"/>
      <c r="G1297" s="98"/>
      <c r="H1297" s="99"/>
      <c r="I1297" s="99"/>
      <c r="J1297" s="100"/>
      <c r="K1297" s="99"/>
      <c r="L1297" s="99"/>
      <c r="M1297" s="99"/>
      <c r="N1297" s="99"/>
      <c r="O1297" s="112"/>
      <c r="P1297" s="140" t="str">
        <f>IF($G1297=8,$O1297,"")</f>
        <v/>
      </c>
      <c r="Q1297" s="140" t="str">
        <f>IF($G1297=10,$O1297,"")</f>
        <v/>
      </c>
      <c r="R1297" s="140" t="str">
        <f>IF($G1297=12,$O1297,"")</f>
        <v/>
      </c>
      <c r="S1297" s="140" t="str">
        <f>IF($G1297=16,$O1297,"")</f>
        <v/>
      </c>
      <c r="T1297" s="140" t="str">
        <f>IF($G1297=20,$O1297,"")</f>
        <v/>
      </c>
      <c r="U1297" s="140" t="str">
        <f>IF($G1297=25,$O1297,"")</f>
        <v/>
      </c>
      <c r="V1297" s="99"/>
    </row>
    <row r="1298" spans="1:22">
      <c r="A1298" s="92"/>
      <c r="B1298" s="146"/>
      <c r="C1298" s="136"/>
      <c r="D1298" s="109">
        <f>0.23-0.05</f>
        <v>0.18</v>
      </c>
      <c r="E1298" s="138"/>
      <c r="F1298" s="139"/>
      <c r="G1298" s="98"/>
      <c r="H1298" s="99"/>
      <c r="I1298" s="99"/>
      <c r="J1298" s="100"/>
      <c r="K1298" s="99"/>
      <c r="L1298" s="99"/>
      <c r="M1298" s="99"/>
      <c r="N1298" s="99"/>
      <c r="O1298" s="112"/>
      <c r="P1298" s="140" t="str">
        <f>IF($G1298=8,$O1298,"")</f>
        <v/>
      </c>
      <c r="Q1298" s="140" t="str">
        <f>IF($G1298=10,$O1298,"")</f>
        <v/>
      </c>
      <c r="R1298" s="140" t="str">
        <f>IF($G1298=12,$O1298,"")</f>
        <v/>
      </c>
      <c r="S1298" s="140" t="str">
        <f>IF($G1298=16,$O1298,"")</f>
        <v/>
      </c>
      <c r="T1298" s="140" t="str">
        <f>IF($G1298=20,$O1298,"")</f>
        <v/>
      </c>
      <c r="U1298" s="140" t="str">
        <f>IF($G1298=25,$O1298,"")</f>
        <v/>
      </c>
      <c r="V1298" s="99"/>
    </row>
    <row r="1299" spans="1:22">
      <c r="A1299" s="92"/>
      <c r="B1299" s="141"/>
      <c r="C1299" s="136"/>
      <c r="D1299" s="137"/>
      <c r="E1299" s="138"/>
      <c r="F1299" s="139"/>
      <c r="G1299" s="98"/>
      <c r="H1299" s="99"/>
      <c r="I1299" s="99"/>
      <c r="J1299" s="100"/>
      <c r="K1299" s="99"/>
      <c r="L1299" s="99"/>
      <c r="M1299" s="99"/>
      <c r="N1299" s="99"/>
      <c r="O1299" s="101"/>
      <c r="P1299" s="140" t="str">
        <f t="shared" si="105"/>
        <v/>
      </c>
      <c r="Q1299" s="140" t="str">
        <f t="shared" si="106"/>
        <v/>
      </c>
      <c r="R1299" s="140" t="str">
        <f t="shared" si="107"/>
        <v/>
      </c>
      <c r="S1299" s="140" t="str">
        <f t="shared" si="108"/>
        <v/>
      </c>
      <c r="T1299" s="140" t="str">
        <f t="shared" si="109"/>
        <v/>
      </c>
      <c r="U1299" s="140" t="str">
        <f t="shared" si="110"/>
        <v/>
      </c>
      <c r="V1299" s="99"/>
    </row>
    <row r="1300" spans="1:22">
      <c r="A1300" s="92"/>
      <c r="B1300" s="141"/>
      <c r="C1300" s="136"/>
      <c r="D1300" s="137"/>
      <c r="E1300" s="144">
        <v>0.08</v>
      </c>
      <c r="F1300" s="139"/>
      <c r="G1300" s="98"/>
      <c r="H1300" s="99"/>
      <c r="I1300" s="99"/>
      <c r="J1300" s="100"/>
      <c r="K1300" s="99"/>
      <c r="L1300" s="99"/>
      <c r="M1300" s="99"/>
      <c r="N1300" s="99"/>
      <c r="O1300" s="101"/>
      <c r="P1300" s="140" t="str">
        <f t="shared" si="105"/>
        <v/>
      </c>
      <c r="Q1300" s="140" t="str">
        <f t="shared" si="106"/>
        <v/>
      </c>
      <c r="R1300" s="140" t="str">
        <f t="shared" si="107"/>
        <v/>
      </c>
      <c r="S1300" s="140" t="str">
        <f t="shared" si="108"/>
        <v/>
      </c>
      <c r="T1300" s="140" t="str">
        <f t="shared" si="109"/>
        <v/>
      </c>
      <c r="U1300" s="140" t="str">
        <f t="shared" si="110"/>
        <v/>
      </c>
      <c r="V1300" s="99"/>
    </row>
    <row r="1301" spans="1:22">
      <c r="A1301" s="92"/>
      <c r="B1301" s="146" t="s">
        <v>649</v>
      </c>
      <c r="C1301" s="136"/>
      <c r="D1301" s="142">
        <f>0.23-0.05</f>
        <v>0.18</v>
      </c>
      <c r="E1301" s="144"/>
      <c r="F1301" s="139"/>
      <c r="G1301" s="98">
        <v>8</v>
      </c>
      <c r="H1301" s="99">
        <v>2</v>
      </c>
      <c r="I1301" s="111">
        <f>(1.48/0.1)+1</f>
        <v>15.799999999999999</v>
      </c>
      <c r="J1301" s="149">
        <f>D1301+E1300+E1302</f>
        <v>0.34</v>
      </c>
      <c r="K1301" s="99"/>
      <c r="L1301" s="99">
        <v>2</v>
      </c>
      <c r="M1301" s="112">
        <f>2*G1301*L1301/1000</f>
        <v>3.2000000000000001E-2</v>
      </c>
      <c r="N1301" s="112">
        <f>(J1301+K1301-M1301)</f>
        <v>0.30800000000000005</v>
      </c>
      <c r="O1301" s="112">
        <f>(H1301*I1301*N1301)</f>
        <v>9.732800000000001</v>
      </c>
      <c r="P1301" s="140">
        <f t="shared" si="105"/>
        <v>9.732800000000001</v>
      </c>
      <c r="Q1301" s="140" t="str">
        <f t="shared" si="106"/>
        <v/>
      </c>
      <c r="R1301" s="140" t="str">
        <f t="shared" si="107"/>
        <v/>
      </c>
      <c r="S1301" s="140" t="str">
        <f t="shared" si="108"/>
        <v/>
      </c>
      <c r="T1301" s="140" t="str">
        <f t="shared" si="109"/>
        <v/>
      </c>
      <c r="U1301" s="140" t="str">
        <f t="shared" si="110"/>
        <v/>
      </c>
      <c r="V1301" s="99"/>
    </row>
    <row r="1302" spans="1:22">
      <c r="A1302" s="92"/>
      <c r="B1302" s="141"/>
      <c r="C1302" s="136"/>
      <c r="D1302" s="137"/>
      <c r="E1302" s="144">
        <v>0.08</v>
      </c>
      <c r="F1302" s="139"/>
      <c r="G1302" s="98"/>
      <c r="H1302" s="99"/>
      <c r="I1302" s="99"/>
      <c r="J1302" s="100"/>
      <c r="K1302" s="99"/>
      <c r="L1302" s="99"/>
      <c r="M1302" s="99"/>
      <c r="N1302" s="99"/>
      <c r="O1302" s="101"/>
      <c r="P1302" s="140" t="str">
        <f t="shared" si="105"/>
        <v/>
      </c>
      <c r="Q1302" s="140" t="str">
        <f t="shared" si="106"/>
        <v/>
      </c>
      <c r="R1302" s="140" t="str">
        <f t="shared" si="107"/>
        <v/>
      </c>
      <c r="S1302" s="140" t="str">
        <f t="shared" si="108"/>
        <v/>
      </c>
      <c r="T1302" s="140" t="str">
        <f t="shared" si="109"/>
        <v/>
      </c>
      <c r="U1302" s="140" t="str">
        <f t="shared" si="110"/>
        <v/>
      </c>
      <c r="V1302" s="99"/>
    </row>
    <row r="1303" spans="1:22">
      <c r="A1303" s="92"/>
      <c r="B1303" s="141"/>
      <c r="C1303" s="136"/>
      <c r="D1303" s="137"/>
      <c r="E1303" s="138"/>
      <c r="F1303" s="139"/>
      <c r="G1303" s="98"/>
      <c r="H1303" s="99"/>
      <c r="I1303" s="99"/>
      <c r="J1303" s="100"/>
      <c r="K1303" s="99"/>
      <c r="L1303" s="99"/>
      <c r="M1303" s="99"/>
      <c r="N1303" s="99"/>
      <c r="O1303" s="101"/>
      <c r="P1303" s="140" t="str">
        <f t="shared" si="105"/>
        <v/>
      </c>
      <c r="Q1303" s="140" t="str">
        <f t="shared" si="106"/>
        <v/>
      </c>
      <c r="R1303" s="140" t="str">
        <f t="shared" si="107"/>
        <v/>
      </c>
      <c r="S1303" s="140" t="str">
        <f t="shared" si="108"/>
        <v/>
      </c>
      <c r="T1303" s="140" t="str">
        <f t="shared" si="109"/>
        <v/>
      </c>
      <c r="U1303" s="140" t="str">
        <f t="shared" si="110"/>
        <v/>
      </c>
      <c r="V1303" s="99"/>
    </row>
    <row r="1304" spans="1:22">
      <c r="A1304" s="92"/>
      <c r="B1304" s="92"/>
      <c r="C1304" s="145">
        <v>0.08</v>
      </c>
      <c r="D1304" s="137"/>
      <c r="E1304" s="138"/>
      <c r="F1304" s="139"/>
      <c r="G1304" s="98"/>
      <c r="H1304" s="99"/>
      <c r="I1304" s="99"/>
      <c r="J1304" s="100"/>
      <c r="K1304" s="99"/>
      <c r="L1304" s="99"/>
      <c r="M1304" s="99"/>
      <c r="N1304" s="99"/>
      <c r="O1304" s="101"/>
      <c r="P1304" s="140" t="str">
        <f t="shared" si="105"/>
        <v/>
      </c>
      <c r="Q1304" s="140" t="str">
        <f t="shared" si="106"/>
        <v/>
      </c>
      <c r="R1304" s="140" t="str">
        <f t="shared" si="107"/>
        <v/>
      </c>
      <c r="S1304" s="140" t="str">
        <f t="shared" si="108"/>
        <v/>
      </c>
      <c r="T1304" s="140" t="str">
        <f t="shared" si="109"/>
        <v/>
      </c>
      <c r="U1304" s="140" t="str">
        <f t="shared" si="110"/>
        <v/>
      </c>
      <c r="V1304" s="99"/>
    </row>
    <row r="1305" spans="1:22">
      <c r="A1305" s="92"/>
      <c r="B1305" s="146" t="s">
        <v>647</v>
      </c>
      <c r="C1305" s="147"/>
      <c r="D1305" s="137"/>
      <c r="E1305" s="148">
        <f>0.4-0.025+0.008+0.008</f>
        <v>0.39100000000000001</v>
      </c>
      <c r="F1305" s="139"/>
      <c r="G1305" s="98">
        <v>8</v>
      </c>
      <c r="H1305" s="99">
        <v>2</v>
      </c>
      <c r="I1305" s="111">
        <f>2*((1.48/0.1)+1)</f>
        <v>31.599999999999998</v>
      </c>
      <c r="J1305" s="149">
        <f>2*(D1307+E1305)+2*8*G1305/1000</f>
        <v>1.27</v>
      </c>
      <c r="K1305" s="99"/>
      <c r="L1305" s="99">
        <v>5</v>
      </c>
      <c r="M1305" s="112">
        <f>2*G1305*L1305/1000</f>
        <v>0.08</v>
      </c>
      <c r="N1305" s="112">
        <f>(J1305+K1305-M1305)</f>
        <v>1.19</v>
      </c>
      <c r="O1305" s="112">
        <f>(H1305*I1305*N1305)</f>
        <v>75.207999999999998</v>
      </c>
      <c r="P1305" s="140">
        <f t="shared" si="105"/>
        <v>75.207999999999998</v>
      </c>
      <c r="Q1305" s="140" t="str">
        <f t="shared" si="106"/>
        <v/>
      </c>
      <c r="R1305" s="140" t="str">
        <f t="shared" si="107"/>
        <v/>
      </c>
      <c r="S1305" s="140" t="str">
        <f t="shared" si="108"/>
        <v/>
      </c>
      <c r="T1305" s="140" t="str">
        <f t="shared" si="109"/>
        <v/>
      </c>
      <c r="U1305" s="140" t="str">
        <f t="shared" si="110"/>
        <v/>
      </c>
      <c r="V1305" s="99"/>
    </row>
    <row r="1306" spans="1:22">
      <c r="A1306" s="92"/>
      <c r="B1306" s="146"/>
      <c r="C1306" s="136"/>
      <c r="D1306" s="137"/>
      <c r="E1306" s="150"/>
      <c r="F1306" s="139"/>
      <c r="G1306" s="98"/>
      <c r="H1306" s="99"/>
      <c r="I1306" s="99"/>
      <c r="J1306" s="100"/>
      <c r="K1306" s="99"/>
      <c r="L1306" s="99"/>
      <c r="M1306" s="99"/>
      <c r="N1306" s="99"/>
      <c r="O1306" s="112"/>
      <c r="P1306" s="140" t="str">
        <f t="shared" si="105"/>
        <v/>
      </c>
      <c r="Q1306" s="140" t="str">
        <f t="shared" si="106"/>
        <v/>
      </c>
      <c r="R1306" s="140" t="str">
        <f t="shared" si="107"/>
        <v/>
      </c>
      <c r="S1306" s="140" t="str">
        <f t="shared" si="108"/>
        <v/>
      </c>
      <c r="T1306" s="140" t="str">
        <f t="shared" si="109"/>
        <v/>
      </c>
      <c r="U1306" s="140" t="str">
        <f t="shared" si="110"/>
        <v/>
      </c>
      <c r="V1306" s="99"/>
    </row>
    <row r="1307" spans="1:22">
      <c r="A1307" s="92"/>
      <c r="B1307" s="146"/>
      <c r="C1307" s="136"/>
      <c r="D1307" s="109">
        <f>0.23-0.05</f>
        <v>0.18</v>
      </c>
      <c r="E1307" s="138"/>
      <c r="F1307" s="139"/>
      <c r="G1307" s="98"/>
      <c r="H1307" s="99"/>
      <c r="I1307" s="99"/>
      <c r="J1307" s="100"/>
      <c r="K1307" s="99"/>
      <c r="L1307" s="99"/>
      <c r="M1307" s="99"/>
      <c r="N1307" s="99"/>
      <c r="O1307" s="112"/>
      <c r="P1307" s="140" t="str">
        <f t="shared" si="105"/>
        <v/>
      </c>
      <c r="Q1307" s="140" t="str">
        <f t="shared" si="106"/>
        <v/>
      </c>
      <c r="R1307" s="140" t="str">
        <f t="shared" si="107"/>
        <v/>
      </c>
      <c r="S1307" s="140" t="str">
        <f t="shared" si="108"/>
        <v/>
      </c>
      <c r="T1307" s="140" t="str">
        <f t="shared" si="109"/>
        <v/>
      </c>
      <c r="U1307" s="140" t="str">
        <f t="shared" si="110"/>
        <v/>
      </c>
      <c r="V1307" s="99"/>
    </row>
    <row r="1308" spans="1:22">
      <c r="A1308" s="92"/>
      <c r="B1308" s="141"/>
      <c r="C1308" s="136"/>
      <c r="D1308" s="137"/>
      <c r="E1308" s="138"/>
      <c r="F1308" s="139"/>
      <c r="G1308" s="98"/>
      <c r="H1308" s="99"/>
      <c r="I1308" s="99"/>
      <c r="J1308" s="100"/>
      <c r="K1308" s="99"/>
      <c r="L1308" s="99"/>
      <c r="M1308" s="99"/>
      <c r="N1308" s="99"/>
      <c r="O1308" s="101"/>
      <c r="P1308" s="140" t="str">
        <f t="shared" si="105"/>
        <v/>
      </c>
      <c r="Q1308" s="140" t="str">
        <f t="shared" si="106"/>
        <v/>
      </c>
      <c r="R1308" s="140" t="str">
        <f t="shared" si="107"/>
        <v/>
      </c>
      <c r="S1308" s="140" t="str">
        <f t="shared" si="108"/>
        <v/>
      </c>
      <c r="T1308" s="140" t="str">
        <f t="shared" si="109"/>
        <v/>
      </c>
      <c r="U1308" s="140" t="str">
        <f t="shared" si="110"/>
        <v/>
      </c>
      <c r="V1308" s="99"/>
    </row>
    <row r="1309" spans="1:22">
      <c r="A1309" s="92"/>
      <c r="B1309" s="141"/>
      <c r="C1309" s="136"/>
      <c r="D1309" s="137"/>
      <c r="E1309" s="144">
        <v>0.08</v>
      </c>
      <c r="F1309" s="139"/>
      <c r="G1309" s="98"/>
      <c r="H1309" s="99"/>
      <c r="I1309" s="99"/>
      <c r="J1309" s="100"/>
      <c r="K1309" s="99"/>
      <c r="L1309" s="99"/>
      <c r="M1309" s="99"/>
      <c r="N1309" s="99"/>
      <c r="O1309" s="101"/>
      <c r="P1309" s="140" t="str">
        <f t="shared" ref="P1309:P1311" si="222">IF($G1309=8,$O1309,"")</f>
        <v/>
      </c>
      <c r="Q1309" s="140" t="str">
        <f t="shared" ref="Q1309:Q1311" si="223">IF($G1309=10,$O1309,"")</f>
        <v/>
      </c>
      <c r="R1309" s="140" t="str">
        <f t="shared" ref="R1309:R1311" si="224">IF($G1309=12,$O1309,"")</f>
        <v/>
      </c>
      <c r="S1309" s="140" t="str">
        <f t="shared" ref="S1309:S1311" si="225">IF($G1309=16,$O1309,"")</f>
        <v/>
      </c>
      <c r="T1309" s="140" t="str">
        <f t="shared" ref="T1309:T1311" si="226">IF($G1309=20,$O1309,"")</f>
        <v/>
      </c>
      <c r="U1309" s="140" t="str">
        <f t="shared" ref="U1309:U1311" si="227">IF($G1309=25,$O1309,"")</f>
        <v/>
      </c>
      <c r="V1309" s="99"/>
    </row>
    <row r="1310" spans="1:22">
      <c r="A1310" s="92"/>
      <c r="B1310" s="146" t="s">
        <v>649</v>
      </c>
      <c r="C1310" s="136"/>
      <c r="D1310" s="142">
        <f>0.23-0.05</f>
        <v>0.18</v>
      </c>
      <c r="E1310" s="144"/>
      <c r="F1310" s="139"/>
      <c r="G1310" s="98">
        <v>8</v>
      </c>
      <c r="H1310" s="99">
        <v>2</v>
      </c>
      <c r="I1310" s="111">
        <f>2*((1.48/0.1)+1)</f>
        <v>31.599999999999998</v>
      </c>
      <c r="J1310" s="149">
        <f>D1310+E1309+E1311</f>
        <v>0.34</v>
      </c>
      <c r="K1310" s="99"/>
      <c r="L1310" s="99">
        <v>2</v>
      </c>
      <c r="M1310" s="112">
        <f>2*G1310*L1310/1000</f>
        <v>3.2000000000000001E-2</v>
      </c>
      <c r="N1310" s="112">
        <f>(J1310+K1310-M1310)</f>
        <v>0.30800000000000005</v>
      </c>
      <c r="O1310" s="112">
        <f>(H1310*I1310*N1310)</f>
        <v>19.465600000000002</v>
      </c>
      <c r="P1310" s="140">
        <f t="shared" si="222"/>
        <v>19.465600000000002</v>
      </c>
      <c r="Q1310" s="140" t="str">
        <f t="shared" si="223"/>
        <v/>
      </c>
      <c r="R1310" s="140" t="str">
        <f t="shared" si="224"/>
        <v/>
      </c>
      <c r="S1310" s="140" t="str">
        <f t="shared" si="225"/>
        <v/>
      </c>
      <c r="T1310" s="140" t="str">
        <f t="shared" si="226"/>
        <v/>
      </c>
      <c r="U1310" s="140" t="str">
        <f t="shared" si="227"/>
        <v/>
      </c>
      <c r="V1310" s="99"/>
    </row>
    <row r="1311" spans="1:22">
      <c r="A1311" s="92"/>
      <c r="B1311" s="141"/>
      <c r="C1311" s="136"/>
      <c r="D1311" s="137"/>
      <c r="E1311" s="144">
        <v>0.08</v>
      </c>
      <c r="F1311" s="139"/>
      <c r="G1311" s="98"/>
      <c r="H1311" s="99"/>
      <c r="I1311" s="99"/>
      <c r="J1311" s="100"/>
      <c r="K1311" s="99"/>
      <c r="L1311" s="99"/>
      <c r="M1311" s="99"/>
      <c r="N1311" s="99"/>
      <c r="O1311" s="101"/>
      <c r="P1311" s="140" t="str">
        <f t="shared" si="222"/>
        <v/>
      </c>
      <c r="Q1311" s="140" t="str">
        <f t="shared" si="223"/>
        <v/>
      </c>
      <c r="R1311" s="140" t="str">
        <f t="shared" si="224"/>
        <v/>
      </c>
      <c r="S1311" s="140" t="str">
        <f t="shared" si="225"/>
        <v/>
      </c>
      <c r="T1311" s="140" t="str">
        <f t="shared" si="226"/>
        <v/>
      </c>
      <c r="U1311" s="140" t="str">
        <f t="shared" si="227"/>
        <v/>
      </c>
      <c r="V1311" s="99"/>
    </row>
    <row r="1312" spans="1:22">
      <c r="A1312" s="92"/>
      <c r="B1312" s="141"/>
      <c r="C1312" s="136"/>
      <c r="D1312" s="137"/>
      <c r="E1312" s="138"/>
      <c r="F1312" s="139"/>
      <c r="G1312" s="98"/>
      <c r="H1312" s="99"/>
      <c r="I1312" s="99"/>
      <c r="J1312" s="100"/>
      <c r="K1312" s="99"/>
      <c r="L1312" s="99"/>
      <c r="M1312" s="99"/>
      <c r="N1312" s="99"/>
      <c r="O1312" s="112"/>
      <c r="P1312" s="140" t="str">
        <f t="shared" si="105"/>
        <v/>
      </c>
      <c r="Q1312" s="140" t="str">
        <f t="shared" si="106"/>
        <v/>
      </c>
      <c r="R1312" s="140" t="str">
        <f t="shared" si="107"/>
        <v/>
      </c>
      <c r="S1312" s="140" t="str">
        <f t="shared" si="108"/>
        <v/>
      </c>
      <c r="T1312" s="140" t="str">
        <f t="shared" si="109"/>
        <v/>
      </c>
      <c r="U1312" s="140" t="str">
        <f t="shared" si="110"/>
        <v/>
      </c>
      <c r="V1312" s="99"/>
    </row>
    <row r="1313" spans="1:22">
      <c r="A1313" s="92"/>
      <c r="B1313" s="92"/>
      <c r="C1313" s="145">
        <v>0.08</v>
      </c>
      <c r="D1313" s="137"/>
      <c r="E1313" s="138"/>
      <c r="F1313" s="139"/>
      <c r="G1313" s="98"/>
      <c r="H1313" s="99"/>
      <c r="I1313" s="99"/>
      <c r="J1313" s="100"/>
      <c r="K1313" s="99"/>
      <c r="L1313" s="99"/>
      <c r="M1313" s="99"/>
      <c r="N1313" s="99"/>
      <c r="O1313" s="112"/>
      <c r="P1313" s="140" t="str">
        <f t="shared" si="105"/>
        <v/>
      </c>
      <c r="Q1313" s="140" t="str">
        <f t="shared" si="106"/>
        <v/>
      </c>
      <c r="R1313" s="140" t="str">
        <f t="shared" si="107"/>
        <v/>
      </c>
      <c r="S1313" s="140" t="str">
        <f t="shared" si="108"/>
        <v/>
      </c>
      <c r="T1313" s="140" t="str">
        <f t="shared" si="109"/>
        <v/>
      </c>
      <c r="U1313" s="140" t="str">
        <f t="shared" si="110"/>
        <v/>
      </c>
      <c r="V1313" s="99"/>
    </row>
    <row r="1314" spans="1:22">
      <c r="A1314" s="92"/>
      <c r="B1314" s="146" t="s">
        <v>648</v>
      </c>
      <c r="C1314" s="147"/>
      <c r="D1314" s="137"/>
      <c r="E1314" s="148">
        <f>1.65-0.4-0.4+2*0.008+2*0.008</f>
        <v>0.88200000000000001</v>
      </c>
      <c r="F1314" s="139"/>
      <c r="G1314" s="98">
        <v>8</v>
      </c>
      <c r="H1314" s="99">
        <v>2</v>
      </c>
      <c r="I1314" s="111">
        <f>(1.48/0.2)+1</f>
        <v>8.3999999999999986</v>
      </c>
      <c r="J1314" s="149">
        <f>2*(D1316+E1314)+2*8*G1314/1000</f>
        <v>2.2520000000000002</v>
      </c>
      <c r="K1314" s="99"/>
      <c r="L1314" s="99">
        <v>5</v>
      </c>
      <c r="M1314" s="112">
        <f>2*G1314*L1314/1000</f>
        <v>0.08</v>
      </c>
      <c r="N1314" s="112">
        <f>(J1314+K1314-M1314)</f>
        <v>2.1720000000000002</v>
      </c>
      <c r="O1314" s="112">
        <f>(H1314*I1314*N1314)</f>
        <v>36.489599999999996</v>
      </c>
      <c r="P1314" s="140">
        <f t="shared" si="105"/>
        <v>36.489599999999996</v>
      </c>
      <c r="Q1314" s="140" t="str">
        <f t="shared" si="106"/>
        <v/>
      </c>
      <c r="R1314" s="140" t="str">
        <f t="shared" si="107"/>
        <v/>
      </c>
      <c r="S1314" s="140" t="str">
        <f t="shared" si="108"/>
        <v/>
      </c>
      <c r="T1314" s="140" t="str">
        <f t="shared" si="109"/>
        <v/>
      </c>
      <c r="U1314" s="140" t="str">
        <f t="shared" si="110"/>
        <v/>
      </c>
      <c r="V1314" s="99"/>
    </row>
    <row r="1315" spans="1:22">
      <c r="A1315" s="92"/>
      <c r="B1315" s="146"/>
      <c r="C1315" s="136"/>
      <c r="D1315" s="137"/>
      <c r="E1315" s="150"/>
      <c r="F1315" s="139"/>
      <c r="G1315" s="98"/>
      <c r="H1315" s="99"/>
      <c r="I1315" s="99"/>
      <c r="J1315" s="100"/>
      <c r="K1315" s="99"/>
      <c r="L1315" s="99"/>
      <c r="M1315" s="99"/>
      <c r="N1315" s="99"/>
      <c r="O1315" s="112"/>
      <c r="P1315" s="140" t="str">
        <f t="shared" si="105"/>
        <v/>
      </c>
      <c r="Q1315" s="140" t="str">
        <f t="shared" si="106"/>
        <v/>
      </c>
      <c r="R1315" s="140" t="str">
        <f t="shared" si="107"/>
        <v/>
      </c>
      <c r="S1315" s="140" t="str">
        <f t="shared" si="108"/>
        <v/>
      </c>
      <c r="T1315" s="140" t="str">
        <f t="shared" si="109"/>
        <v/>
      </c>
      <c r="U1315" s="140" t="str">
        <f t="shared" si="110"/>
        <v/>
      </c>
      <c r="V1315" s="99"/>
    </row>
    <row r="1316" spans="1:22">
      <c r="A1316" s="92"/>
      <c r="B1316" s="146"/>
      <c r="C1316" s="136"/>
      <c r="D1316" s="109">
        <f>0.23-0.05</f>
        <v>0.18</v>
      </c>
      <c r="E1316" s="138"/>
      <c r="F1316" s="139"/>
      <c r="G1316" s="98"/>
      <c r="H1316" s="99"/>
      <c r="I1316" s="99"/>
      <c r="J1316" s="100"/>
      <c r="K1316" s="99"/>
      <c r="L1316" s="99"/>
      <c r="M1316" s="99"/>
      <c r="N1316" s="99"/>
      <c r="O1316" s="112"/>
      <c r="P1316" s="140" t="str">
        <f t="shared" si="105"/>
        <v/>
      </c>
      <c r="Q1316" s="140" t="str">
        <f t="shared" si="106"/>
        <v/>
      </c>
      <c r="R1316" s="140" t="str">
        <f t="shared" si="107"/>
        <v/>
      </c>
      <c r="S1316" s="140" t="str">
        <f t="shared" si="108"/>
        <v/>
      </c>
      <c r="T1316" s="140" t="str">
        <f t="shared" si="109"/>
        <v/>
      </c>
      <c r="U1316" s="140" t="str">
        <f t="shared" si="110"/>
        <v/>
      </c>
      <c r="V1316" s="99"/>
    </row>
    <row r="1317" spans="1:22">
      <c r="A1317" s="92"/>
      <c r="B1317" s="141"/>
      <c r="C1317" s="136"/>
      <c r="D1317" s="137"/>
      <c r="E1317" s="138"/>
      <c r="F1317" s="139"/>
      <c r="G1317" s="98"/>
      <c r="H1317" s="99"/>
      <c r="I1317" s="99"/>
      <c r="J1317" s="100"/>
      <c r="K1317" s="99"/>
      <c r="L1317" s="99"/>
      <c r="M1317" s="99"/>
      <c r="N1317" s="99"/>
      <c r="O1317" s="101"/>
      <c r="P1317" s="140" t="str">
        <f t="shared" si="105"/>
        <v/>
      </c>
      <c r="Q1317" s="140" t="str">
        <f t="shared" si="106"/>
        <v/>
      </c>
      <c r="R1317" s="140" t="str">
        <f t="shared" si="107"/>
        <v/>
      </c>
      <c r="S1317" s="140" t="str">
        <f t="shared" si="108"/>
        <v/>
      </c>
      <c r="T1317" s="140" t="str">
        <f t="shared" si="109"/>
        <v/>
      </c>
      <c r="U1317" s="140" t="str">
        <f t="shared" si="110"/>
        <v/>
      </c>
      <c r="V1317" s="99"/>
    </row>
    <row r="1318" spans="1:22">
      <c r="A1318" s="92"/>
      <c r="B1318" s="141"/>
      <c r="C1318" s="136"/>
      <c r="D1318" s="137"/>
      <c r="E1318" s="144">
        <v>0.08</v>
      </c>
      <c r="F1318" s="139"/>
      <c r="G1318" s="98"/>
      <c r="H1318" s="99"/>
      <c r="I1318" s="99"/>
      <c r="J1318" s="100"/>
      <c r="K1318" s="99"/>
      <c r="L1318" s="99"/>
      <c r="M1318" s="99"/>
      <c r="N1318" s="99"/>
      <c r="O1318" s="101"/>
      <c r="P1318" s="140" t="str">
        <f t="shared" si="105"/>
        <v/>
      </c>
      <c r="Q1318" s="140" t="str">
        <f t="shared" si="106"/>
        <v/>
      </c>
      <c r="R1318" s="140" t="str">
        <f t="shared" si="107"/>
        <v/>
      </c>
      <c r="S1318" s="140" t="str">
        <f t="shared" si="108"/>
        <v/>
      </c>
      <c r="T1318" s="140" t="str">
        <f t="shared" si="109"/>
        <v/>
      </c>
      <c r="U1318" s="140" t="str">
        <f t="shared" si="110"/>
        <v/>
      </c>
      <c r="V1318" s="99"/>
    </row>
    <row r="1319" spans="1:22">
      <c r="A1319" s="92"/>
      <c r="B1319" s="146" t="s">
        <v>650</v>
      </c>
      <c r="C1319" s="136"/>
      <c r="D1319" s="142">
        <f>0.23-0.05</f>
        <v>0.18</v>
      </c>
      <c r="E1319" s="144"/>
      <c r="F1319" s="139"/>
      <c r="G1319" s="98">
        <v>8</v>
      </c>
      <c r="H1319" s="99">
        <v>2</v>
      </c>
      <c r="I1319" s="111">
        <f>2*((1.48/0.4)+1)</f>
        <v>9.3999999999999986</v>
      </c>
      <c r="J1319" s="149">
        <f>D1319+E1318+E1320</f>
        <v>0.34</v>
      </c>
      <c r="K1319" s="99"/>
      <c r="L1319" s="99">
        <v>2</v>
      </c>
      <c r="M1319" s="112">
        <f>2*G1319*L1319/1000</f>
        <v>3.2000000000000001E-2</v>
      </c>
      <c r="N1319" s="112">
        <f>(J1319+K1319-M1319)</f>
        <v>0.30800000000000005</v>
      </c>
      <c r="O1319" s="112">
        <f>(H1319*I1319*N1319)</f>
        <v>5.7904</v>
      </c>
      <c r="P1319" s="140">
        <f t="shared" si="105"/>
        <v>5.7904</v>
      </c>
      <c r="Q1319" s="140" t="str">
        <f t="shared" si="106"/>
        <v/>
      </c>
      <c r="R1319" s="140" t="str">
        <f t="shared" si="107"/>
        <v/>
      </c>
      <c r="S1319" s="140" t="str">
        <f t="shared" si="108"/>
        <v/>
      </c>
      <c r="T1319" s="140" t="str">
        <f t="shared" si="109"/>
        <v/>
      </c>
      <c r="U1319" s="140" t="str">
        <f t="shared" si="110"/>
        <v/>
      </c>
      <c r="V1319" s="99"/>
    </row>
    <row r="1320" spans="1:22">
      <c r="A1320" s="92"/>
      <c r="B1320" s="141"/>
      <c r="C1320" s="136"/>
      <c r="D1320" s="137"/>
      <c r="E1320" s="144">
        <v>0.08</v>
      </c>
      <c r="F1320" s="139"/>
      <c r="G1320" s="98"/>
      <c r="H1320" s="99"/>
      <c r="I1320" s="99"/>
      <c r="J1320" s="100"/>
      <c r="K1320" s="99"/>
      <c r="L1320" s="99"/>
      <c r="M1320" s="99"/>
      <c r="N1320" s="99"/>
      <c r="O1320" s="101"/>
      <c r="P1320" s="140" t="str">
        <f t="shared" si="105"/>
        <v/>
      </c>
      <c r="Q1320" s="140" t="str">
        <f t="shared" si="106"/>
        <v/>
      </c>
      <c r="R1320" s="140" t="str">
        <f t="shared" si="107"/>
        <v/>
      </c>
      <c r="S1320" s="140" t="str">
        <f t="shared" si="108"/>
        <v/>
      </c>
      <c r="T1320" s="140" t="str">
        <f t="shared" si="109"/>
        <v/>
      </c>
      <c r="U1320" s="140" t="str">
        <f t="shared" si="110"/>
        <v/>
      </c>
      <c r="V1320" s="99"/>
    </row>
    <row r="1321" spans="1:22">
      <c r="A1321" s="92"/>
      <c r="B1321" s="146"/>
      <c r="C1321" s="136"/>
      <c r="D1321" s="152"/>
      <c r="E1321" s="138"/>
      <c r="F1321" s="139"/>
      <c r="G1321" s="98"/>
      <c r="H1321" s="99"/>
      <c r="I1321" s="99"/>
      <c r="J1321" s="100"/>
      <c r="K1321" s="99"/>
      <c r="L1321" s="99"/>
      <c r="M1321" s="99"/>
      <c r="N1321" s="99"/>
      <c r="O1321" s="101"/>
      <c r="P1321" s="140" t="str">
        <f t="shared" si="105"/>
        <v/>
      </c>
      <c r="Q1321" s="140" t="str">
        <f t="shared" si="106"/>
        <v/>
      </c>
      <c r="R1321" s="140" t="str">
        <f t="shared" si="107"/>
        <v/>
      </c>
      <c r="S1321" s="140" t="str">
        <f t="shared" si="108"/>
        <v/>
      </c>
      <c r="T1321" s="140" t="str">
        <f t="shared" si="109"/>
        <v/>
      </c>
      <c r="U1321" s="140" t="str">
        <f t="shared" si="110"/>
        <v/>
      </c>
      <c r="V1321" s="99"/>
    </row>
    <row r="1322" spans="1:22">
      <c r="A1322" s="92">
        <v>10</v>
      </c>
      <c r="B1322" s="92" t="s">
        <v>398</v>
      </c>
      <c r="C1322" s="136"/>
      <c r="D1322" s="137"/>
      <c r="E1322" s="138"/>
      <c r="F1322" s="139"/>
      <c r="G1322" s="98"/>
      <c r="H1322" s="99"/>
      <c r="I1322" s="99"/>
      <c r="J1322" s="109"/>
      <c r="K1322" s="112"/>
      <c r="L1322" s="112"/>
      <c r="M1322" s="99"/>
      <c r="N1322" s="112"/>
      <c r="O1322" s="112"/>
      <c r="P1322" s="140" t="str">
        <f>IF($G1322=8,$O1322,"")</f>
        <v/>
      </c>
      <c r="Q1322" s="140" t="str">
        <f>IF($G1322=10,$O1322,"")</f>
        <v/>
      </c>
      <c r="R1322" s="140" t="str">
        <f>IF($G1322=12,$O1322,"")</f>
        <v/>
      </c>
      <c r="S1322" s="140" t="str">
        <f>IF($G1322=16,$O1322,"")</f>
        <v/>
      </c>
      <c r="T1322" s="140" t="str">
        <f>IF($G1322=20,$O1322,"")</f>
        <v/>
      </c>
      <c r="U1322" s="140" t="str">
        <f>IF($G1322=25,$O1322,"")</f>
        <v/>
      </c>
      <c r="V1322" s="99"/>
    </row>
    <row r="1323" spans="1:22">
      <c r="A1323" s="92"/>
      <c r="B1323" s="141" t="s">
        <v>378</v>
      </c>
      <c r="C1323" s="136"/>
      <c r="D1323" s="142">
        <v>1.48</v>
      </c>
      <c r="E1323" s="138"/>
      <c r="F1323" s="139"/>
      <c r="G1323" s="98">
        <v>16</v>
      </c>
      <c r="H1323" s="99">
        <v>2</v>
      </c>
      <c r="I1323" s="99">
        <v>8</v>
      </c>
      <c r="J1323" s="109">
        <f>D1323</f>
        <v>1.48</v>
      </c>
      <c r="K1323" s="110" t="str">
        <f>IF(N1323&lt;12,"0",0.049*G1323)</f>
        <v>0</v>
      </c>
      <c r="L1323" s="111">
        <v>0</v>
      </c>
      <c r="M1323" s="99">
        <f>2*G1323*L1323/1000</f>
        <v>0</v>
      </c>
      <c r="N1323" s="112">
        <f>J1323+E1325-M1323</f>
        <v>1.48</v>
      </c>
      <c r="O1323" s="112">
        <f>H1323*I1323*N1323</f>
        <v>23.68</v>
      </c>
      <c r="P1323" s="140" t="str">
        <f t="shared" si="105"/>
        <v/>
      </c>
      <c r="Q1323" s="140" t="str">
        <f t="shared" si="106"/>
        <v/>
      </c>
      <c r="R1323" s="140" t="str">
        <f t="shared" si="107"/>
        <v/>
      </c>
      <c r="S1323" s="140">
        <f t="shared" si="108"/>
        <v>23.68</v>
      </c>
      <c r="T1323" s="140" t="str">
        <f t="shared" si="109"/>
        <v/>
      </c>
      <c r="U1323" s="140" t="str">
        <f t="shared" si="110"/>
        <v/>
      </c>
      <c r="V1323" s="99"/>
    </row>
    <row r="1324" spans="1:22">
      <c r="A1324" s="92"/>
      <c r="B1324" s="141" t="s">
        <v>379</v>
      </c>
      <c r="C1324" s="136"/>
      <c r="D1324" s="137"/>
      <c r="E1324" s="138"/>
      <c r="F1324" s="139"/>
      <c r="G1324" s="98">
        <v>12</v>
      </c>
      <c r="H1324" s="99">
        <v>2</v>
      </c>
      <c r="I1324" s="99">
        <v>16</v>
      </c>
      <c r="J1324" s="109">
        <f>D1323</f>
        <v>1.48</v>
      </c>
      <c r="K1324" s="110" t="str">
        <f t="shared" ref="K1324:K1325" si="228">IF(N1324&lt;12,"0",0.049*G1324)</f>
        <v>0</v>
      </c>
      <c r="L1324" s="111">
        <v>0</v>
      </c>
      <c r="M1324" s="99">
        <f t="shared" ref="M1324:M1325" si="229">2*G1324*L1324/1000</f>
        <v>0</v>
      </c>
      <c r="N1324" s="112">
        <f>J1324+E1325-M1324</f>
        <v>1.48</v>
      </c>
      <c r="O1324" s="112">
        <f>H1324*I1324*N1324</f>
        <v>47.36</v>
      </c>
      <c r="P1324" s="140" t="str">
        <f t="shared" si="105"/>
        <v/>
      </c>
      <c r="Q1324" s="140" t="str">
        <f t="shared" si="106"/>
        <v/>
      </c>
      <c r="R1324" s="140">
        <f t="shared" si="107"/>
        <v>47.36</v>
      </c>
      <c r="S1324" s="140" t="str">
        <f t="shared" si="108"/>
        <v/>
      </c>
      <c r="T1324" s="140" t="str">
        <f t="shared" si="109"/>
        <v/>
      </c>
      <c r="U1324" s="140" t="str">
        <f t="shared" si="110"/>
        <v/>
      </c>
      <c r="V1324" s="99"/>
    </row>
    <row r="1325" spans="1:22">
      <c r="A1325" s="92"/>
      <c r="B1325" s="141" t="s">
        <v>380</v>
      </c>
      <c r="C1325" s="143"/>
      <c r="D1325" s="142"/>
      <c r="E1325" s="144"/>
      <c r="F1325" s="139"/>
      <c r="G1325" s="98">
        <v>10</v>
      </c>
      <c r="H1325" s="99">
        <v>2</v>
      </c>
      <c r="I1325" s="99">
        <v>10</v>
      </c>
      <c r="J1325" s="109">
        <f>D1323</f>
        <v>1.48</v>
      </c>
      <c r="K1325" s="110" t="str">
        <f t="shared" si="228"/>
        <v>0</v>
      </c>
      <c r="L1325" s="111">
        <v>0</v>
      </c>
      <c r="M1325" s="99">
        <f t="shared" si="229"/>
        <v>0</v>
      </c>
      <c r="N1325" s="112">
        <f>J1325+E1325-M1325</f>
        <v>1.48</v>
      </c>
      <c r="O1325" s="112">
        <f>H1325*I1325*N1325</f>
        <v>29.6</v>
      </c>
      <c r="P1325" s="140" t="str">
        <f t="shared" si="105"/>
        <v/>
      </c>
      <c r="Q1325" s="140">
        <f t="shared" si="106"/>
        <v>29.6</v>
      </c>
      <c r="R1325" s="140" t="str">
        <f t="shared" si="107"/>
        <v/>
      </c>
      <c r="S1325" s="140" t="str">
        <f t="shared" si="108"/>
        <v/>
      </c>
      <c r="T1325" s="140" t="str">
        <f t="shared" si="109"/>
        <v/>
      </c>
      <c r="U1325" s="140" t="str">
        <f t="shared" si="110"/>
        <v/>
      </c>
      <c r="V1325" s="99"/>
    </row>
    <row r="1326" spans="1:22">
      <c r="A1326" s="92"/>
      <c r="B1326" s="141"/>
      <c r="C1326" s="136"/>
      <c r="D1326" s="137"/>
      <c r="E1326" s="138"/>
      <c r="F1326" s="139"/>
      <c r="G1326" s="98"/>
      <c r="H1326" s="99"/>
      <c r="I1326" s="99"/>
      <c r="J1326" s="109"/>
      <c r="K1326" s="110"/>
      <c r="L1326" s="111"/>
      <c r="M1326" s="99"/>
      <c r="N1326" s="112"/>
      <c r="O1326" s="112"/>
      <c r="P1326" s="140" t="str">
        <f t="shared" si="105"/>
        <v/>
      </c>
      <c r="Q1326" s="140" t="str">
        <f t="shared" si="106"/>
        <v/>
      </c>
      <c r="R1326" s="140" t="str">
        <f t="shared" si="107"/>
        <v/>
      </c>
      <c r="S1326" s="140" t="str">
        <f t="shared" si="108"/>
        <v/>
      </c>
      <c r="T1326" s="140" t="str">
        <f t="shared" si="109"/>
        <v/>
      </c>
      <c r="U1326" s="140" t="str">
        <f t="shared" si="110"/>
        <v/>
      </c>
      <c r="V1326" s="99"/>
    </row>
    <row r="1327" spans="1:22">
      <c r="A1327" s="92"/>
      <c r="B1327" s="141"/>
      <c r="C1327" s="136"/>
      <c r="D1327" s="137"/>
      <c r="E1327" s="138"/>
      <c r="F1327" s="139"/>
      <c r="G1327" s="98"/>
      <c r="H1327" s="99"/>
      <c r="I1327" s="99"/>
      <c r="J1327" s="100"/>
      <c r="K1327" s="99"/>
      <c r="L1327" s="99"/>
      <c r="M1327" s="99"/>
      <c r="N1327" s="99"/>
      <c r="O1327" s="101"/>
      <c r="P1327" s="140" t="str">
        <f t="shared" ref="P1327:P1358" si="230">IF($G1327=8,$O1327,"")</f>
        <v/>
      </c>
      <c r="Q1327" s="140" t="str">
        <f t="shared" ref="Q1327:Q1358" si="231">IF($G1327=10,$O1327,"")</f>
        <v/>
      </c>
      <c r="R1327" s="140" t="str">
        <f t="shared" ref="R1327:R1358" si="232">IF($G1327=12,$O1327,"")</f>
        <v/>
      </c>
      <c r="S1327" s="140" t="str">
        <f t="shared" ref="S1327:S1358" si="233">IF($G1327=16,$O1327,"")</f>
        <v/>
      </c>
      <c r="T1327" s="140" t="str">
        <f t="shared" ref="T1327:T1358" si="234">IF($G1327=20,$O1327,"")</f>
        <v/>
      </c>
      <c r="U1327" s="140" t="str">
        <f t="shared" ref="U1327:U1358" si="235">IF($G1327=25,$O1327,"")</f>
        <v/>
      </c>
      <c r="V1327" s="99"/>
    </row>
    <row r="1328" spans="1:22">
      <c r="A1328" s="92"/>
      <c r="B1328" s="92"/>
      <c r="C1328" s="145">
        <v>0.08</v>
      </c>
      <c r="D1328" s="137"/>
      <c r="E1328" s="138"/>
      <c r="F1328" s="139"/>
      <c r="G1328" s="98"/>
      <c r="H1328" s="99"/>
      <c r="I1328" s="99"/>
      <c r="J1328" s="100"/>
      <c r="K1328" s="99"/>
      <c r="L1328" s="99"/>
      <c r="M1328" s="99"/>
      <c r="N1328" s="99"/>
      <c r="O1328" s="101"/>
      <c r="P1328" s="140" t="str">
        <f t="shared" si="230"/>
        <v/>
      </c>
      <c r="Q1328" s="140" t="str">
        <f t="shared" si="231"/>
        <v/>
      </c>
      <c r="R1328" s="140" t="str">
        <f t="shared" si="232"/>
        <v/>
      </c>
      <c r="S1328" s="140" t="str">
        <f t="shared" si="233"/>
        <v/>
      </c>
      <c r="T1328" s="140" t="str">
        <f t="shared" si="234"/>
        <v/>
      </c>
      <c r="U1328" s="140" t="str">
        <f t="shared" si="235"/>
        <v/>
      </c>
      <c r="V1328" s="99"/>
    </row>
    <row r="1329" spans="1:22">
      <c r="A1329" s="92"/>
      <c r="B1329" s="146" t="s">
        <v>647</v>
      </c>
      <c r="C1329" s="147"/>
      <c r="D1329" s="137"/>
      <c r="E1329" s="148">
        <f>0.65-0.05</f>
        <v>0.6</v>
      </c>
      <c r="F1329" s="139"/>
      <c r="G1329" s="98">
        <v>8</v>
      </c>
      <c r="H1329" s="99">
        <v>2</v>
      </c>
      <c r="I1329" s="111">
        <f>(1.48/0.1)+1</f>
        <v>15.799999999999999</v>
      </c>
      <c r="J1329" s="149">
        <f>2*(D1331+E1329)+2*8*G1329/1000</f>
        <v>1.6880000000000002</v>
      </c>
      <c r="K1329" s="99"/>
      <c r="L1329" s="99">
        <v>5</v>
      </c>
      <c r="M1329" s="112">
        <f>2*G1329*L1329/1000</f>
        <v>0.08</v>
      </c>
      <c r="N1329" s="112">
        <f>(J1329+K1329-M1329)</f>
        <v>1.6080000000000001</v>
      </c>
      <c r="O1329" s="112">
        <f>(H1329*I1329*N1329)</f>
        <v>50.812800000000003</v>
      </c>
      <c r="P1329" s="140">
        <f t="shared" si="230"/>
        <v>50.812800000000003</v>
      </c>
      <c r="Q1329" s="140" t="str">
        <f t="shared" si="231"/>
        <v/>
      </c>
      <c r="R1329" s="140" t="str">
        <f t="shared" si="232"/>
        <v/>
      </c>
      <c r="S1329" s="140" t="str">
        <f t="shared" si="233"/>
        <v/>
      </c>
      <c r="T1329" s="140" t="str">
        <f t="shared" si="234"/>
        <v/>
      </c>
      <c r="U1329" s="140" t="str">
        <f t="shared" si="235"/>
        <v/>
      </c>
      <c r="V1329" s="99"/>
    </row>
    <row r="1330" spans="1:22">
      <c r="A1330" s="92"/>
      <c r="B1330" s="146"/>
      <c r="C1330" s="136"/>
      <c r="D1330" s="137"/>
      <c r="E1330" s="150"/>
      <c r="F1330" s="139"/>
      <c r="G1330" s="98"/>
      <c r="H1330" s="99"/>
      <c r="I1330" s="99"/>
      <c r="J1330" s="100"/>
      <c r="K1330" s="99"/>
      <c r="L1330" s="99"/>
      <c r="M1330" s="99"/>
      <c r="N1330" s="99"/>
      <c r="O1330" s="112"/>
      <c r="P1330" s="140" t="str">
        <f t="shared" si="230"/>
        <v/>
      </c>
      <c r="Q1330" s="140" t="str">
        <f t="shared" si="231"/>
        <v/>
      </c>
      <c r="R1330" s="140" t="str">
        <f t="shared" si="232"/>
        <v/>
      </c>
      <c r="S1330" s="140" t="str">
        <f t="shared" si="233"/>
        <v/>
      </c>
      <c r="T1330" s="140" t="str">
        <f t="shared" si="234"/>
        <v/>
      </c>
      <c r="U1330" s="140" t="str">
        <f t="shared" si="235"/>
        <v/>
      </c>
      <c r="V1330" s="99"/>
    </row>
    <row r="1331" spans="1:22">
      <c r="A1331" s="92"/>
      <c r="B1331" s="146"/>
      <c r="C1331" s="136"/>
      <c r="D1331" s="109">
        <f>0.23-0.05</f>
        <v>0.18</v>
      </c>
      <c r="E1331" s="138"/>
      <c r="F1331" s="139"/>
      <c r="G1331" s="98"/>
      <c r="H1331" s="99"/>
      <c r="I1331" s="99"/>
      <c r="J1331" s="100"/>
      <c r="K1331" s="99"/>
      <c r="L1331" s="99"/>
      <c r="M1331" s="99"/>
      <c r="N1331" s="99"/>
      <c r="O1331" s="112"/>
      <c r="P1331" s="140" t="str">
        <f t="shared" si="230"/>
        <v/>
      </c>
      <c r="Q1331" s="140" t="str">
        <f t="shared" si="231"/>
        <v/>
      </c>
      <c r="R1331" s="140" t="str">
        <f t="shared" si="232"/>
        <v/>
      </c>
      <c r="S1331" s="140" t="str">
        <f t="shared" si="233"/>
        <v/>
      </c>
      <c r="T1331" s="140" t="str">
        <f t="shared" si="234"/>
        <v/>
      </c>
      <c r="U1331" s="140" t="str">
        <f t="shared" si="235"/>
        <v/>
      </c>
      <c r="V1331" s="99"/>
    </row>
    <row r="1332" spans="1:22">
      <c r="A1332" s="92"/>
      <c r="B1332" s="141"/>
      <c r="C1332" s="136"/>
      <c r="D1332" s="137"/>
      <c r="E1332" s="138"/>
      <c r="F1332" s="139"/>
      <c r="G1332" s="98"/>
      <c r="H1332" s="99"/>
      <c r="I1332" s="99"/>
      <c r="J1332" s="100"/>
      <c r="K1332" s="99"/>
      <c r="L1332" s="99"/>
      <c r="M1332" s="99"/>
      <c r="N1332" s="99"/>
      <c r="O1332" s="101"/>
      <c r="P1332" s="140" t="str">
        <f>IF($G1332=8,$O1332,"")</f>
        <v/>
      </c>
      <c r="Q1332" s="140" t="str">
        <f>IF($G1332=10,$O1332,"")</f>
        <v/>
      </c>
      <c r="R1332" s="140" t="str">
        <f>IF($G1332=12,$O1332,"")</f>
        <v/>
      </c>
      <c r="S1332" s="140" t="str">
        <f>IF($G1332=16,$O1332,"")</f>
        <v/>
      </c>
      <c r="T1332" s="140" t="str">
        <f>IF($G1332=20,$O1332,"")</f>
        <v/>
      </c>
      <c r="U1332" s="140" t="str">
        <f>IF($G1332=25,$O1332,"")</f>
        <v/>
      </c>
      <c r="V1332" s="99"/>
    </row>
    <row r="1333" spans="1:22">
      <c r="A1333" s="92"/>
      <c r="B1333" s="92"/>
      <c r="C1333" s="145">
        <v>0.08</v>
      </c>
      <c r="D1333" s="137"/>
      <c r="E1333" s="138"/>
      <c r="F1333" s="139"/>
      <c r="G1333" s="98"/>
      <c r="H1333" s="99"/>
      <c r="I1333" s="99"/>
      <c r="J1333" s="100"/>
      <c r="K1333" s="99"/>
      <c r="L1333" s="99"/>
      <c r="M1333" s="99"/>
      <c r="N1333" s="99"/>
      <c r="O1333" s="101"/>
      <c r="P1333" s="140" t="str">
        <f>IF($G1333=8,$O1333,"")</f>
        <v/>
      </c>
      <c r="Q1333" s="140" t="str">
        <f>IF($G1333=10,$O1333,"")</f>
        <v/>
      </c>
      <c r="R1333" s="140" t="str">
        <f>IF($G1333=12,$O1333,"")</f>
        <v/>
      </c>
      <c r="S1333" s="140" t="str">
        <f>IF($G1333=16,$O1333,"")</f>
        <v/>
      </c>
      <c r="T1333" s="140" t="str">
        <f>IF($G1333=20,$O1333,"")</f>
        <v/>
      </c>
      <c r="U1333" s="140" t="str">
        <f>IF($G1333=25,$O1333,"")</f>
        <v/>
      </c>
      <c r="V1333" s="99"/>
    </row>
    <row r="1334" spans="1:22">
      <c r="A1334" s="92"/>
      <c r="B1334" s="146" t="s">
        <v>649</v>
      </c>
      <c r="C1334" s="147"/>
      <c r="D1334" s="137"/>
      <c r="E1334" s="148">
        <f>((0.65-0.05-0.016)/5)*2+0.012+0.02</f>
        <v>0.2656</v>
      </c>
      <c r="F1334" s="139"/>
      <c r="G1334" s="98">
        <v>8</v>
      </c>
      <c r="H1334" s="99">
        <v>2</v>
      </c>
      <c r="I1334" s="111">
        <f>(1.48/0.1)+1</f>
        <v>15.799999999999999</v>
      </c>
      <c r="J1334" s="149">
        <f>2*(D1336+E1334)+2*8*G1334/1000</f>
        <v>1.0192000000000001</v>
      </c>
      <c r="K1334" s="99"/>
      <c r="L1334" s="99">
        <v>5</v>
      </c>
      <c r="M1334" s="112">
        <f>2*G1334*L1334/1000</f>
        <v>0.08</v>
      </c>
      <c r="N1334" s="112">
        <f>(J1334+K1334-M1334)</f>
        <v>0.93920000000000015</v>
      </c>
      <c r="O1334" s="112">
        <f>(H1334*I1334*N1334)</f>
        <v>29.678720000000002</v>
      </c>
      <c r="P1334" s="140">
        <f>IF($G1334=8,$O1334,"")</f>
        <v>29.678720000000002</v>
      </c>
      <c r="Q1334" s="140" t="str">
        <f>IF($G1334=10,$O1334,"")</f>
        <v/>
      </c>
      <c r="R1334" s="140" t="str">
        <f>IF($G1334=12,$O1334,"")</f>
        <v/>
      </c>
      <c r="S1334" s="140" t="str">
        <f>IF($G1334=16,$O1334,"")</f>
        <v/>
      </c>
      <c r="T1334" s="140" t="str">
        <f>IF($G1334=20,$O1334,"")</f>
        <v/>
      </c>
      <c r="U1334" s="140" t="str">
        <f>IF($G1334=25,$O1334,"")</f>
        <v/>
      </c>
      <c r="V1334" s="99"/>
    </row>
    <row r="1335" spans="1:22">
      <c r="A1335" s="92"/>
      <c r="B1335" s="146"/>
      <c r="C1335" s="136"/>
      <c r="D1335" s="137"/>
      <c r="E1335" s="150"/>
      <c r="F1335" s="139"/>
      <c r="G1335" s="98"/>
      <c r="H1335" s="99"/>
      <c r="I1335" s="99"/>
      <c r="J1335" s="100"/>
      <c r="K1335" s="99"/>
      <c r="L1335" s="99"/>
      <c r="M1335" s="99"/>
      <c r="N1335" s="99"/>
      <c r="O1335" s="112"/>
      <c r="P1335" s="140" t="str">
        <f>IF($G1335=8,$O1335,"")</f>
        <v/>
      </c>
      <c r="Q1335" s="140" t="str">
        <f>IF($G1335=10,$O1335,"")</f>
        <v/>
      </c>
      <c r="R1335" s="140" t="str">
        <f>IF($G1335=12,$O1335,"")</f>
        <v/>
      </c>
      <c r="S1335" s="140" t="str">
        <f>IF($G1335=16,$O1335,"")</f>
        <v/>
      </c>
      <c r="T1335" s="140" t="str">
        <f>IF($G1335=20,$O1335,"")</f>
        <v/>
      </c>
      <c r="U1335" s="140" t="str">
        <f>IF($G1335=25,$O1335,"")</f>
        <v/>
      </c>
      <c r="V1335" s="99"/>
    </row>
    <row r="1336" spans="1:22">
      <c r="A1336" s="92"/>
      <c r="B1336" s="146"/>
      <c r="C1336" s="136"/>
      <c r="D1336" s="109">
        <f>0.23-0.05</f>
        <v>0.18</v>
      </c>
      <c r="E1336" s="138"/>
      <c r="F1336" s="139"/>
      <c r="G1336" s="98"/>
      <c r="H1336" s="99"/>
      <c r="I1336" s="99"/>
      <c r="J1336" s="100"/>
      <c r="K1336" s="99"/>
      <c r="L1336" s="99"/>
      <c r="M1336" s="99"/>
      <c r="N1336" s="99"/>
      <c r="O1336" s="112"/>
      <c r="P1336" s="140" t="str">
        <f>IF($G1336=8,$O1336,"")</f>
        <v/>
      </c>
      <c r="Q1336" s="140" t="str">
        <f>IF($G1336=10,$O1336,"")</f>
        <v/>
      </c>
      <c r="R1336" s="140" t="str">
        <f>IF($G1336=12,$O1336,"")</f>
        <v/>
      </c>
      <c r="S1336" s="140" t="str">
        <f>IF($G1336=16,$O1336,"")</f>
        <v/>
      </c>
      <c r="T1336" s="140" t="str">
        <f>IF($G1336=20,$O1336,"")</f>
        <v/>
      </c>
      <c r="U1336" s="140" t="str">
        <f>IF($G1336=25,$O1336,"")</f>
        <v/>
      </c>
      <c r="V1336" s="99"/>
    </row>
    <row r="1337" spans="1:22">
      <c r="A1337" s="92"/>
      <c r="B1337" s="141"/>
      <c r="C1337" s="136"/>
      <c r="D1337" s="137"/>
      <c r="E1337" s="138"/>
      <c r="F1337" s="139"/>
      <c r="G1337" s="98"/>
      <c r="H1337" s="99"/>
      <c r="I1337" s="99"/>
      <c r="J1337" s="100"/>
      <c r="K1337" s="99"/>
      <c r="L1337" s="99"/>
      <c r="M1337" s="99"/>
      <c r="N1337" s="99"/>
      <c r="O1337" s="101"/>
      <c r="P1337" s="140" t="str">
        <f t="shared" si="230"/>
        <v/>
      </c>
      <c r="Q1337" s="140" t="str">
        <f t="shared" si="231"/>
        <v/>
      </c>
      <c r="R1337" s="140" t="str">
        <f t="shared" si="232"/>
        <v/>
      </c>
      <c r="S1337" s="140" t="str">
        <f t="shared" si="233"/>
        <v/>
      </c>
      <c r="T1337" s="140" t="str">
        <f t="shared" si="234"/>
        <v/>
      </c>
      <c r="U1337" s="140" t="str">
        <f t="shared" si="235"/>
        <v/>
      </c>
      <c r="V1337" s="99"/>
    </row>
    <row r="1338" spans="1:22">
      <c r="A1338" s="92"/>
      <c r="B1338" s="141"/>
      <c r="C1338" s="136"/>
      <c r="D1338" s="137"/>
      <c r="E1338" s="144">
        <v>0.08</v>
      </c>
      <c r="F1338" s="139"/>
      <c r="G1338" s="98"/>
      <c r="H1338" s="99"/>
      <c r="I1338" s="99"/>
      <c r="J1338" s="100"/>
      <c r="K1338" s="99"/>
      <c r="L1338" s="99"/>
      <c r="M1338" s="99"/>
      <c r="N1338" s="99"/>
      <c r="O1338" s="101"/>
      <c r="P1338" s="140" t="str">
        <f t="shared" si="230"/>
        <v/>
      </c>
      <c r="Q1338" s="140" t="str">
        <f t="shared" si="231"/>
        <v/>
      </c>
      <c r="R1338" s="140" t="str">
        <f t="shared" si="232"/>
        <v/>
      </c>
      <c r="S1338" s="140" t="str">
        <f t="shared" si="233"/>
        <v/>
      </c>
      <c r="T1338" s="140" t="str">
        <f t="shared" si="234"/>
        <v/>
      </c>
      <c r="U1338" s="140" t="str">
        <f t="shared" si="235"/>
        <v/>
      </c>
      <c r="V1338" s="99"/>
    </row>
    <row r="1339" spans="1:22">
      <c r="A1339" s="92"/>
      <c r="B1339" s="146" t="s">
        <v>649</v>
      </c>
      <c r="C1339" s="136"/>
      <c r="D1339" s="142">
        <f>0.23-0.05</f>
        <v>0.18</v>
      </c>
      <c r="E1339" s="144"/>
      <c r="F1339" s="139"/>
      <c r="G1339" s="98">
        <v>8</v>
      </c>
      <c r="H1339" s="99">
        <v>2</v>
      </c>
      <c r="I1339" s="111">
        <f>(1.48/0.1)+1</f>
        <v>15.799999999999999</v>
      </c>
      <c r="J1339" s="149">
        <f>D1339+E1338+E1340</f>
        <v>0.34</v>
      </c>
      <c r="K1339" s="99"/>
      <c r="L1339" s="99">
        <v>2</v>
      </c>
      <c r="M1339" s="112">
        <f>2*G1339*L1339/1000</f>
        <v>3.2000000000000001E-2</v>
      </c>
      <c r="N1339" s="112">
        <f>(J1339+K1339-M1339)</f>
        <v>0.30800000000000005</v>
      </c>
      <c r="O1339" s="112">
        <f>(H1339*I1339*N1339)</f>
        <v>9.732800000000001</v>
      </c>
      <c r="P1339" s="140">
        <f t="shared" si="230"/>
        <v>9.732800000000001</v>
      </c>
      <c r="Q1339" s="140" t="str">
        <f t="shared" si="231"/>
        <v/>
      </c>
      <c r="R1339" s="140" t="str">
        <f t="shared" si="232"/>
        <v/>
      </c>
      <c r="S1339" s="140" t="str">
        <f t="shared" si="233"/>
        <v/>
      </c>
      <c r="T1339" s="140" t="str">
        <f t="shared" si="234"/>
        <v/>
      </c>
      <c r="U1339" s="140" t="str">
        <f t="shared" si="235"/>
        <v/>
      </c>
      <c r="V1339" s="99"/>
    </row>
    <row r="1340" spans="1:22">
      <c r="A1340" s="92"/>
      <c r="B1340" s="141"/>
      <c r="C1340" s="136"/>
      <c r="D1340" s="137"/>
      <c r="E1340" s="144">
        <v>0.08</v>
      </c>
      <c r="F1340" s="139"/>
      <c r="G1340" s="98"/>
      <c r="H1340" s="99"/>
      <c r="I1340" s="99"/>
      <c r="J1340" s="100"/>
      <c r="K1340" s="99"/>
      <c r="L1340" s="99"/>
      <c r="M1340" s="99"/>
      <c r="N1340" s="99"/>
      <c r="O1340" s="101"/>
      <c r="P1340" s="140" t="str">
        <f t="shared" si="230"/>
        <v/>
      </c>
      <c r="Q1340" s="140" t="str">
        <f t="shared" si="231"/>
        <v/>
      </c>
      <c r="R1340" s="140" t="str">
        <f t="shared" si="232"/>
        <v/>
      </c>
      <c r="S1340" s="140" t="str">
        <f t="shared" si="233"/>
        <v/>
      </c>
      <c r="T1340" s="140" t="str">
        <f t="shared" si="234"/>
        <v/>
      </c>
      <c r="U1340" s="140" t="str">
        <f t="shared" si="235"/>
        <v/>
      </c>
      <c r="V1340" s="99"/>
    </row>
    <row r="1341" spans="1:22">
      <c r="A1341" s="92"/>
      <c r="B1341" s="141"/>
      <c r="C1341" s="136"/>
      <c r="D1341" s="137"/>
      <c r="E1341" s="138"/>
      <c r="F1341" s="139"/>
      <c r="G1341" s="98"/>
      <c r="H1341" s="99"/>
      <c r="I1341" s="99"/>
      <c r="J1341" s="100"/>
      <c r="K1341" s="99"/>
      <c r="L1341" s="99"/>
      <c r="M1341" s="99"/>
      <c r="N1341" s="99"/>
      <c r="O1341" s="101"/>
      <c r="P1341" s="140" t="str">
        <f t="shared" si="230"/>
        <v/>
      </c>
      <c r="Q1341" s="140" t="str">
        <f t="shared" si="231"/>
        <v/>
      </c>
      <c r="R1341" s="140" t="str">
        <f t="shared" si="232"/>
        <v/>
      </c>
      <c r="S1341" s="140" t="str">
        <f t="shared" si="233"/>
        <v/>
      </c>
      <c r="T1341" s="140" t="str">
        <f t="shared" si="234"/>
        <v/>
      </c>
      <c r="U1341" s="140" t="str">
        <f t="shared" si="235"/>
        <v/>
      </c>
      <c r="V1341" s="99"/>
    </row>
    <row r="1342" spans="1:22">
      <c r="A1342" s="92"/>
      <c r="B1342" s="92"/>
      <c r="C1342" s="145">
        <v>0.08</v>
      </c>
      <c r="D1342" s="137"/>
      <c r="E1342" s="138"/>
      <c r="F1342" s="139"/>
      <c r="G1342" s="98"/>
      <c r="H1342" s="99"/>
      <c r="I1342" s="99"/>
      <c r="J1342" s="100"/>
      <c r="K1342" s="99"/>
      <c r="L1342" s="99"/>
      <c r="M1342" s="99"/>
      <c r="N1342" s="99"/>
      <c r="O1342" s="101"/>
      <c r="P1342" s="140" t="str">
        <f t="shared" si="230"/>
        <v/>
      </c>
      <c r="Q1342" s="140" t="str">
        <f t="shared" si="231"/>
        <v/>
      </c>
      <c r="R1342" s="140" t="str">
        <f t="shared" si="232"/>
        <v/>
      </c>
      <c r="S1342" s="140" t="str">
        <f t="shared" si="233"/>
        <v/>
      </c>
      <c r="T1342" s="140" t="str">
        <f t="shared" si="234"/>
        <v/>
      </c>
      <c r="U1342" s="140" t="str">
        <f t="shared" si="235"/>
        <v/>
      </c>
      <c r="V1342" s="99"/>
    </row>
    <row r="1343" spans="1:22">
      <c r="A1343" s="92"/>
      <c r="B1343" s="146" t="s">
        <v>647</v>
      </c>
      <c r="C1343" s="147"/>
      <c r="D1343" s="137"/>
      <c r="E1343" s="148">
        <f>0.4-0.025+0.008+0.008</f>
        <v>0.39100000000000001</v>
      </c>
      <c r="F1343" s="139"/>
      <c r="G1343" s="98">
        <v>8</v>
      </c>
      <c r="H1343" s="99">
        <v>2</v>
      </c>
      <c r="I1343" s="111">
        <f>2*((1.48/0.1)+1)</f>
        <v>31.599999999999998</v>
      </c>
      <c r="J1343" s="149">
        <f>2*(D1345+E1343)+2*8*G1343/1000</f>
        <v>1.27</v>
      </c>
      <c r="K1343" s="99"/>
      <c r="L1343" s="99">
        <v>5</v>
      </c>
      <c r="M1343" s="112">
        <f>2*G1343*L1343/1000</f>
        <v>0.08</v>
      </c>
      <c r="N1343" s="112">
        <f>(J1343+K1343-M1343)</f>
        <v>1.19</v>
      </c>
      <c r="O1343" s="112">
        <f>(H1343*I1343*N1343)</f>
        <v>75.207999999999998</v>
      </c>
      <c r="P1343" s="140">
        <f t="shared" si="230"/>
        <v>75.207999999999998</v>
      </c>
      <c r="Q1343" s="140" t="str">
        <f t="shared" si="231"/>
        <v/>
      </c>
      <c r="R1343" s="140" t="str">
        <f t="shared" si="232"/>
        <v/>
      </c>
      <c r="S1343" s="140" t="str">
        <f t="shared" si="233"/>
        <v/>
      </c>
      <c r="T1343" s="140" t="str">
        <f t="shared" si="234"/>
        <v/>
      </c>
      <c r="U1343" s="140" t="str">
        <f t="shared" si="235"/>
        <v/>
      </c>
      <c r="V1343" s="99"/>
    </row>
    <row r="1344" spans="1:22">
      <c r="A1344" s="92"/>
      <c r="B1344" s="146"/>
      <c r="C1344" s="136"/>
      <c r="D1344" s="137"/>
      <c r="E1344" s="150"/>
      <c r="F1344" s="139"/>
      <c r="G1344" s="98"/>
      <c r="H1344" s="99"/>
      <c r="I1344" s="99"/>
      <c r="J1344" s="100"/>
      <c r="K1344" s="99"/>
      <c r="L1344" s="99"/>
      <c r="M1344" s="99"/>
      <c r="N1344" s="99"/>
      <c r="O1344" s="112"/>
      <c r="P1344" s="140" t="str">
        <f t="shared" si="230"/>
        <v/>
      </c>
      <c r="Q1344" s="140" t="str">
        <f t="shared" si="231"/>
        <v/>
      </c>
      <c r="R1344" s="140" t="str">
        <f t="shared" si="232"/>
        <v/>
      </c>
      <c r="S1344" s="140" t="str">
        <f t="shared" si="233"/>
        <v/>
      </c>
      <c r="T1344" s="140" t="str">
        <f t="shared" si="234"/>
        <v/>
      </c>
      <c r="U1344" s="140" t="str">
        <f t="shared" si="235"/>
        <v/>
      </c>
      <c r="V1344" s="99"/>
    </row>
    <row r="1345" spans="1:22">
      <c r="A1345" s="92"/>
      <c r="B1345" s="146"/>
      <c r="C1345" s="136"/>
      <c r="D1345" s="109">
        <f>0.23-0.05</f>
        <v>0.18</v>
      </c>
      <c r="E1345" s="138"/>
      <c r="F1345" s="139"/>
      <c r="G1345" s="98"/>
      <c r="H1345" s="99"/>
      <c r="I1345" s="99"/>
      <c r="J1345" s="100"/>
      <c r="K1345" s="99"/>
      <c r="L1345" s="99"/>
      <c r="M1345" s="99"/>
      <c r="N1345" s="99"/>
      <c r="O1345" s="112"/>
      <c r="P1345" s="140" t="str">
        <f t="shared" si="230"/>
        <v/>
      </c>
      <c r="Q1345" s="140" t="str">
        <f t="shared" si="231"/>
        <v/>
      </c>
      <c r="R1345" s="140" t="str">
        <f t="shared" si="232"/>
        <v/>
      </c>
      <c r="S1345" s="140" t="str">
        <f t="shared" si="233"/>
        <v/>
      </c>
      <c r="T1345" s="140" t="str">
        <f t="shared" si="234"/>
        <v/>
      </c>
      <c r="U1345" s="140" t="str">
        <f t="shared" si="235"/>
        <v/>
      </c>
      <c r="V1345" s="99"/>
    </row>
    <row r="1346" spans="1:22">
      <c r="A1346" s="92"/>
      <c r="B1346" s="141"/>
      <c r="C1346" s="136"/>
      <c r="D1346" s="137"/>
      <c r="E1346" s="138"/>
      <c r="F1346" s="139"/>
      <c r="G1346" s="98"/>
      <c r="H1346" s="99"/>
      <c r="I1346" s="99"/>
      <c r="J1346" s="100"/>
      <c r="K1346" s="99"/>
      <c r="L1346" s="99"/>
      <c r="M1346" s="99"/>
      <c r="N1346" s="99"/>
      <c r="O1346" s="101"/>
      <c r="P1346" s="140" t="str">
        <f t="shared" si="230"/>
        <v/>
      </c>
      <c r="Q1346" s="140" t="str">
        <f t="shared" si="231"/>
        <v/>
      </c>
      <c r="R1346" s="140" t="str">
        <f t="shared" si="232"/>
        <v/>
      </c>
      <c r="S1346" s="140" t="str">
        <f t="shared" si="233"/>
        <v/>
      </c>
      <c r="T1346" s="140" t="str">
        <f t="shared" si="234"/>
        <v/>
      </c>
      <c r="U1346" s="140" t="str">
        <f t="shared" si="235"/>
        <v/>
      </c>
      <c r="V1346" s="99"/>
    </row>
    <row r="1347" spans="1:22">
      <c r="A1347" s="92"/>
      <c r="B1347" s="141"/>
      <c r="C1347" s="136"/>
      <c r="D1347" s="137"/>
      <c r="E1347" s="144">
        <v>0.08</v>
      </c>
      <c r="F1347" s="139"/>
      <c r="G1347" s="98"/>
      <c r="H1347" s="99"/>
      <c r="I1347" s="99"/>
      <c r="J1347" s="100"/>
      <c r="K1347" s="99"/>
      <c r="L1347" s="99"/>
      <c r="M1347" s="99"/>
      <c r="N1347" s="99"/>
      <c r="O1347" s="101"/>
      <c r="P1347" s="140" t="str">
        <f t="shared" si="230"/>
        <v/>
      </c>
      <c r="Q1347" s="140" t="str">
        <f t="shared" si="231"/>
        <v/>
      </c>
      <c r="R1347" s="140" t="str">
        <f t="shared" si="232"/>
        <v/>
      </c>
      <c r="S1347" s="140" t="str">
        <f t="shared" si="233"/>
        <v/>
      </c>
      <c r="T1347" s="140" t="str">
        <f t="shared" si="234"/>
        <v/>
      </c>
      <c r="U1347" s="140" t="str">
        <f t="shared" si="235"/>
        <v/>
      </c>
      <c r="V1347" s="99"/>
    </row>
    <row r="1348" spans="1:22">
      <c r="A1348" s="92"/>
      <c r="B1348" s="146" t="s">
        <v>649</v>
      </c>
      <c r="C1348" s="136"/>
      <c r="D1348" s="142">
        <f>0.23-0.05</f>
        <v>0.18</v>
      </c>
      <c r="E1348" s="144"/>
      <c r="F1348" s="139"/>
      <c r="G1348" s="98">
        <v>8</v>
      </c>
      <c r="H1348" s="99">
        <v>2</v>
      </c>
      <c r="I1348" s="111">
        <f>2*((1.48/0.1)+1)</f>
        <v>31.599999999999998</v>
      </c>
      <c r="J1348" s="149">
        <f>D1348+E1347+E1349</f>
        <v>0.34</v>
      </c>
      <c r="K1348" s="99"/>
      <c r="L1348" s="99">
        <v>2</v>
      </c>
      <c r="M1348" s="112">
        <f>2*G1348*L1348/1000</f>
        <v>3.2000000000000001E-2</v>
      </c>
      <c r="N1348" s="112">
        <f>(J1348+K1348-M1348)</f>
        <v>0.30800000000000005</v>
      </c>
      <c r="O1348" s="112">
        <f>(H1348*I1348*N1348)</f>
        <v>19.465600000000002</v>
      </c>
      <c r="P1348" s="140">
        <f t="shared" si="230"/>
        <v>19.465600000000002</v>
      </c>
      <c r="Q1348" s="140" t="str">
        <f t="shared" si="231"/>
        <v/>
      </c>
      <c r="R1348" s="140" t="str">
        <f t="shared" si="232"/>
        <v/>
      </c>
      <c r="S1348" s="140" t="str">
        <f t="shared" si="233"/>
        <v/>
      </c>
      <c r="T1348" s="140" t="str">
        <f t="shared" si="234"/>
        <v/>
      </c>
      <c r="U1348" s="140" t="str">
        <f t="shared" si="235"/>
        <v/>
      </c>
      <c r="V1348" s="99"/>
    </row>
    <row r="1349" spans="1:22">
      <c r="A1349" s="92"/>
      <c r="B1349" s="141"/>
      <c r="C1349" s="136"/>
      <c r="D1349" s="137"/>
      <c r="E1349" s="144">
        <v>0.08</v>
      </c>
      <c r="F1349" s="139"/>
      <c r="G1349" s="98"/>
      <c r="H1349" s="99"/>
      <c r="I1349" s="99"/>
      <c r="J1349" s="100"/>
      <c r="K1349" s="99"/>
      <c r="L1349" s="99"/>
      <c r="M1349" s="99"/>
      <c r="N1349" s="99"/>
      <c r="O1349" s="101"/>
      <c r="P1349" s="140" t="str">
        <f t="shared" si="230"/>
        <v/>
      </c>
      <c r="Q1349" s="140" t="str">
        <f t="shared" si="231"/>
        <v/>
      </c>
      <c r="R1349" s="140" t="str">
        <f t="shared" si="232"/>
        <v/>
      </c>
      <c r="S1349" s="140" t="str">
        <f t="shared" si="233"/>
        <v/>
      </c>
      <c r="T1349" s="140" t="str">
        <f t="shared" si="234"/>
        <v/>
      </c>
      <c r="U1349" s="140" t="str">
        <f t="shared" si="235"/>
        <v/>
      </c>
      <c r="V1349" s="99"/>
    </row>
    <row r="1350" spans="1:22">
      <c r="A1350" s="92"/>
      <c r="B1350" s="141"/>
      <c r="C1350" s="136"/>
      <c r="D1350" s="137"/>
      <c r="E1350" s="138"/>
      <c r="F1350" s="139"/>
      <c r="G1350" s="98"/>
      <c r="H1350" s="99"/>
      <c r="I1350" s="99"/>
      <c r="J1350" s="100"/>
      <c r="K1350" s="99"/>
      <c r="L1350" s="99"/>
      <c r="M1350" s="99"/>
      <c r="N1350" s="99"/>
      <c r="O1350" s="112"/>
      <c r="P1350" s="140" t="str">
        <f t="shared" si="230"/>
        <v/>
      </c>
      <c r="Q1350" s="140" t="str">
        <f t="shared" si="231"/>
        <v/>
      </c>
      <c r="R1350" s="140" t="str">
        <f t="shared" si="232"/>
        <v/>
      </c>
      <c r="S1350" s="140" t="str">
        <f t="shared" si="233"/>
        <v/>
      </c>
      <c r="T1350" s="140" t="str">
        <f t="shared" si="234"/>
        <v/>
      </c>
      <c r="U1350" s="140" t="str">
        <f t="shared" si="235"/>
        <v/>
      </c>
      <c r="V1350" s="99"/>
    </row>
    <row r="1351" spans="1:22">
      <c r="A1351" s="92"/>
      <c r="B1351" s="92"/>
      <c r="C1351" s="145">
        <v>0.08</v>
      </c>
      <c r="D1351" s="137"/>
      <c r="E1351" s="138"/>
      <c r="F1351" s="139"/>
      <c r="G1351" s="98"/>
      <c r="H1351" s="99"/>
      <c r="I1351" s="99"/>
      <c r="J1351" s="100"/>
      <c r="K1351" s="99"/>
      <c r="L1351" s="99"/>
      <c r="M1351" s="99"/>
      <c r="N1351" s="99"/>
      <c r="O1351" s="112"/>
      <c r="P1351" s="140" t="str">
        <f t="shared" si="230"/>
        <v/>
      </c>
      <c r="Q1351" s="140" t="str">
        <f t="shared" si="231"/>
        <v/>
      </c>
      <c r="R1351" s="140" t="str">
        <f t="shared" si="232"/>
        <v/>
      </c>
      <c r="S1351" s="140" t="str">
        <f t="shared" si="233"/>
        <v/>
      </c>
      <c r="T1351" s="140" t="str">
        <f t="shared" si="234"/>
        <v/>
      </c>
      <c r="U1351" s="140" t="str">
        <f t="shared" si="235"/>
        <v/>
      </c>
      <c r="V1351" s="99"/>
    </row>
    <row r="1352" spans="1:22">
      <c r="A1352" s="92"/>
      <c r="B1352" s="146" t="s">
        <v>648</v>
      </c>
      <c r="C1352" s="147"/>
      <c r="D1352" s="137"/>
      <c r="E1352" s="148">
        <f>1.85-0.4-0.4+2*0.008+2*0.008</f>
        <v>1.0820000000000003</v>
      </c>
      <c r="F1352" s="139"/>
      <c r="G1352" s="98">
        <v>8</v>
      </c>
      <c r="H1352" s="99">
        <v>2</v>
      </c>
      <c r="I1352" s="111">
        <f>(1.48/0.2)+1</f>
        <v>8.3999999999999986</v>
      </c>
      <c r="J1352" s="149">
        <f>2*(D1354+E1352)+2*8*G1352/1000</f>
        <v>2.6520000000000006</v>
      </c>
      <c r="K1352" s="99"/>
      <c r="L1352" s="99">
        <v>5</v>
      </c>
      <c r="M1352" s="112">
        <f>2*G1352*L1352/1000</f>
        <v>0.08</v>
      </c>
      <c r="N1352" s="112">
        <f>(J1352+K1352-M1352)</f>
        <v>2.5720000000000005</v>
      </c>
      <c r="O1352" s="112">
        <f>(H1352*I1352*N1352)</f>
        <v>43.209600000000002</v>
      </c>
      <c r="P1352" s="140">
        <f t="shared" si="230"/>
        <v>43.209600000000002</v>
      </c>
      <c r="Q1352" s="140" t="str">
        <f t="shared" si="231"/>
        <v/>
      </c>
      <c r="R1352" s="140" t="str">
        <f t="shared" si="232"/>
        <v/>
      </c>
      <c r="S1352" s="140" t="str">
        <f t="shared" si="233"/>
        <v/>
      </c>
      <c r="T1352" s="140" t="str">
        <f t="shared" si="234"/>
        <v/>
      </c>
      <c r="U1352" s="140" t="str">
        <f t="shared" si="235"/>
        <v/>
      </c>
      <c r="V1352" s="99"/>
    </row>
    <row r="1353" spans="1:22">
      <c r="A1353" s="92"/>
      <c r="B1353" s="146"/>
      <c r="C1353" s="136"/>
      <c r="D1353" s="137"/>
      <c r="E1353" s="150"/>
      <c r="F1353" s="139"/>
      <c r="G1353" s="98"/>
      <c r="H1353" s="99"/>
      <c r="I1353" s="99"/>
      <c r="J1353" s="100"/>
      <c r="K1353" s="99"/>
      <c r="L1353" s="99"/>
      <c r="M1353" s="99"/>
      <c r="N1353" s="99"/>
      <c r="O1353" s="112"/>
      <c r="P1353" s="140" t="str">
        <f t="shared" si="230"/>
        <v/>
      </c>
      <c r="Q1353" s="140" t="str">
        <f t="shared" si="231"/>
        <v/>
      </c>
      <c r="R1353" s="140" t="str">
        <f t="shared" si="232"/>
        <v/>
      </c>
      <c r="S1353" s="140" t="str">
        <f t="shared" si="233"/>
        <v/>
      </c>
      <c r="T1353" s="140" t="str">
        <f t="shared" si="234"/>
        <v/>
      </c>
      <c r="U1353" s="140" t="str">
        <f t="shared" si="235"/>
        <v/>
      </c>
      <c r="V1353" s="99"/>
    </row>
    <row r="1354" spans="1:22">
      <c r="A1354" s="92"/>
      <c r="B1354" s="146"/>
      <c r="C1354" s="136"/>
      <c r="D1354" s="109">
        <f>0.23-0.05</f>
        <v>0.18</v>
      </c>
      <c r="E1354" s="138"/>
      <c r="F1354" s="139"/>
      <c r="G1354" s="98"/>
      <c r="H1354" s="99"/>
      <c r="I1354" s="99"/>
      <c r="J1354" s="100"/>
      <c r="K1354" s="99"/>
      <c r="L1354" s="99"/>
      <c r="M1354" s="99"/>
      <c r="N1354" s="99"/>
      <c r="O1354" s="112"/>
      <c r="P1354" s="140" t="str">
        <f t="shared" si="230"/>
        <v/>
      </c>
      <c r="Q1354" s="140" t="str">
        <f t="shared" si="231"/>
        <v/>
      </c>
      <c r="R1354" s="140" t="str">
        <f t="shared" si="232"/>
        <v/>
      </c>
      <c r="S1354" s="140" t="str">
        <f t="shared" si="233"/>
        <v/>
      </c>
      <c r="T1354" s="140" t="str">
        <f t="shared" si="234"/>
        <v/>
      </c>
      <c r="U1354" s="140" t="str">
        <f t="shared" si="235"/>
        <v/>
      </c>
      <c r="V1354" s="99"/>
    </row>
    <row r="1355" spans="1:22">
      <c r="A1355" s="92"/>
      <c r="B1355" s="141"/>
      <c r="C1355" s="136"/>
      <c r="D1355" s="137"/>
      <c r="E1355" s="138"/>
      <c r="F1355" s="139"/>
      <c r="G1355" s="98"/>
      <c r="H1355" s="99"/>
      <c r="I1355" s="99"/>
      <c r="J1355" s="100"/>
      <c r="K1355" s="99"/>
      <c r="L1355" s="99"/>
      <c r="M1355" s="99"/>
      <c r="N1355" s="99"/>
      <c r="O1355" s="101"/>
      <c r="P1355" s="140" t="str">
        <f t="shared" si="230"/>
        <v/>
      </c>
      <c r="Q1355" s="140" t="str">
        <f t="shared" si="231"/>
        <v/>
      </c>
      <c r="R1355" s="140" t="str">
        <f t="shared" si="232"/>
        <v/>
      </c>
      <c r="S1355" s="140" t="str">
        <f t="shared" si="233"/>
        <v/>
      </c>
      <c r="T1355" s="140" t="str">
        <f t="shared" si="234"/>
        <v/>
      </c>
      <c r="U1355" s="140" t="str">
        <f t="shared" si="235"/>
        <v/>
      </c>
      <c r="V1355" s="99"/>
    </row>
    <row r="1356" spans="1:22">
      <c r="A1356" s="92"/>
      <c r="B1356" s="141"/>
      <c r="C1356" s="136"/>
      <c r="D1356" s="137"/>
      <c r="E1356" s="144">
        <v>0.08</v>
      </c>
      <c r="F1356" s="139"/>
      <c r="G1356" s="98"/>
      <c r="H1356" s="99"/>
      <c r="I1356" s="99"/>
      <c r="J1356" s="100"/>
      <c r="K1356" s="99"/>
      <c r="L1356" s="99"/>
      <c r="M1356" s="99"/>
      <c r="N1356" s="99"/>
      <c r="O1356" s="101"/>
      <c r="P1356" s="140" t="str">
        <f t="shared" si="230"/>
        <v/>
      </c>
      <c r="Q1356" s="140" t="str">
        <f t="shared" si="231"/>
        <v/>
      </c>
      <c r="R1356" s="140" t="str">
        <f t="shared" si="232"/>
        <v/>
      </c>
      <c r="S1356" s="140" t="str">
        <f t="shared" si="233"/>
        <v/>
      </c>
      <c r="T1356" s="140" t="str">
        <f t="shared" si="234"/>
        <v/>
      </c>
      <c r="U1356" s="140" t="str">
        <f t="shared" si="235"/>
        <v/>
      </c>
      <c r="V1356" s="99"/>
    </row>
    <row r="1357" spans="1:22">
      <c r="A1357" s="92"/>
      <c r="B1357" s="146" t="s">
        <v>650</v>
      </c>
      <c r="C1357" s="136"/>
      <c r="D1357" s="142">
        <f>0.23-0.05</f>
        <v>0.18</v>
      </c>
      <c r="E1357" s="144"/>
      <c r="F1357" s="139"/>
      <c r="G1357" s="98">
        <v>8</v>
      </c>
      <c r="H1357" s="99">
        <v>2</v>
      </c>
      <c r="I1357" s="111">
        <f>2*((1.48/0.4)+1)</f>
        <v>9.3999999999999986</v>
      </c>
      <c r="J1357" s="149">
        <f>D1357+E1356+E1358</f>
        <v>0.34</v>
      </c>
      <c r="K1357" s="99"/>
      <c r="L1357" s="99">
        <v>2</v>
      </c>
      <c r="M1357" s="112">
        <f>2*G1357*L1357/1000</f>
        <v>3.2000000000000001E-2</v>
      </c>
      <c r="N1357" s="112">
        <f>(J1357+K1357-M1357)</f>
        <v>0.30800000000000005</v>
      </c>
      <c r="O1357" s="112">
        <f>(H1357*I1357*N1357)</f>
        <v>5.7904</v>
      </c>
      <c r="P1357" s="140">
        <f t="shared" si="230"/>
        <v>5.7904</v>
      </c>
      <c r="Q1357" s="140" t="str">
        <f t="shared" si="231"/>
        <v/>
      </c>
      <c r="R1357" s="140" t="str">
        <f t="shared" si="232"/>
        <v/>
      </c>
      <c r="S1357" s="140" t="str">
        <f t="shared" si="233"/>
        <v/>
      </c>
      <c r="T1357" s="140" t="str">
        <f t="shared" si="234"/>
        <v/>
      </c>
      <c r="U1357" s="140" t="str">
        <f t="shared" si="235"/>
        <v/>
      </c>
      <c r="V1357" s="99"/>
    </row>
    <row r="1358" spans="1:22">
      <c r="A1358" s="92"/>
      <c r="B1358" s="141"/>
      <c r="C1358" s="136"/>
      <c r="D1358" s="137"/>
      <c r="E1358" s="144">
        <v>0.08</v>
      </c>
      <c r="F1358" s="139"/>
      <c r="G1358" s="98"/>
      <c r="H1358" s="99"/>
      <c r="I1358" s="99"/>
      <c r="J1358" s="100"/>
      <c r="K1358" s="99"/>
      <c r="L1358" s="99"/>
      <c r="M1358" s="99"/>
      <c r="N1358" s="99"/>
      <c r="O1358" s="101"/>
      <c r="P1358" s="140" t="str">
        <f t="shared" si="230"/>
        <v/>
      </c>
      <c r="Q1358" s="140" t="str">
        <f t="shared" si="231"/>
        <v/>
      </c>
      <c r="R1358" s="140" t="str">
        <f t="shared" si="232"/>
        <v/>
      </c>
      <c r="S1358" s="140" t="str">
        <f t="shared" si="233"/>
        <v/>
      </c>
      <c r="T1358" s="140" t="str">
        <f t="shared" si="234"/>
        <v/>
      </c>
      <c r="U1358" s="140" t="str">
        <f t="shared" si="235"/>
        <v/>
      </c>
      <c r="V1358" s="99"/>
    </row>
    <row r="1359" spans="1:22">
      <c r="A1359" s="92"/>
      <c r="B1359" s="146"/>
      <c r="C1359" s="136"/>
      <c r="D1359" s="152"/>
      <c r="E1359" s="144"/>
      <c r="F1359" s="139"/>
      <c r="G1359" s="98"/>
      <c r="H1359" s="99"/>
      <c r="I1359" s="99"/>
      <c r="J1359" s="100"/>
      <c r="K1359" s="99"/>
      <c r="L1359" s="99"/>
      <c r="M1359" s="99"/>
      <c r="N1359" s="99"/>
      <c r="O1359" s="101"/>
      <c r="P1359" s="140" t="str">
        <f t="shared" ref="P1359:P1390" si="236">IF($G1359=8,$O1359,"")</f>
        <v/>
      </c>
      <c r="Q1359" s="140" t="str">
        <f t="shared" ref="Q1359:Q1390" si="237">IF($G1359=10,$O1359,"")</f>
        <v/>
      </c>
      <c r="R1359" s="140" t="str">
        <f t="shared" ref="R1359:R1390" si="238">IF($G1359=12,$O1359,"")</f>
        <v/>
      </c>
      <c r="S1359" s="140" t="str">
        <f t="shared" ref="S1359:S1390" si="239">IF($G1359=16,$O1359,"")</f>
        <v/>
      </c>
      <c r="T1359" s="140" t="str">
        <f t="shared" ref="T1359:T1390" si="240">IF($G1359=20,$O1359,"")</f>
        <v/>
      </c>
      <c r="U1359" s="140" t="str">
        <f t="shared" ref="U1359:U1390" si="241">IF($G1359=25,$O1359,"")</f>
        <v/>
      </c>
      <c r="V1359" s="99"/>
    </row>
    <row r="1360" spans="1:22">
      <c r="A1360" s="92">
        <v>11</v>
      </c>
      <c r="B1360" s="92" t="s">
        <v>399</v>
      </c>
      <c r="C1360" s="136"/>
      <c r="D1360" s="137"/>
      <c r="E1360" s="138"/>
      <c r="F1360" s="139"/>
      <c r="G1360" s="98"/>
      <c r="H1360" s="99"/>
      <c r="I1360" s="99"/>
      <c r="J1360" s="109"/>
      <c r="K1360" s="112"/>
      <c r="L1360" s="112"/>
      <c r="M1360" s="99"/>
      <c r="N1360" s="112"/>
      <c r="O1360" s="112"/>
      <c r="P1360" s="140" t="str">
        <f>IF($G1360=8,$O1360,"")</f>
        <v/>
      </c>
      <c r="Q1360" s="140" t="str">
        <f>IF($G1360=10,$O1360,"")</f>
        <v/>
      </c>
      <c r="R1360" s="140" t="str">
        <f>IF($G1360=12,$O1360,"")</f>
        <v/>
      </c>
      <c r="S1360" s="140" t="str">
        <f>IF($G1360=16,$O1360,"")</f>
        <v/>
      </c>
      <c r="T1360" s="140" t="str">
        <f>IF($G1360=20,$O1360,"")</f>
        <v/>
      </c>
      <c r="U1360" s="140" t="str">
        <f>IF($G1360=25,$O1360,"")</f>
        <v/>
      </c>
      <c r="V1360" s="99"/>
    </row>
    <row r="1361" spans="1:22">
      <c r="A1361" s="92"/>
      <c r="B1361" s="141" t="s">
        <v>378</v>
      </c>
      <c r="C1361" s="136"/>
      <c r="D1361" s="142">
        <v>1.48</v>
      </c>
      <c r="E1361" s="138"/>
      <c r="F1361" s="139"/>
      <c r="G1361" s="98">
        <v>16</v>
      </c>
      <c r="H1361" s="99">
        <v>2</v>
      </c>
      <c r="I1361" s="99">
        <v>4</v>
      </c>
      <c r="J1361" s="109">
        <f>D1361</f>
        <v>1.48</v>
      </c>
      <c r="K1361" s="110" t="str">
        <f>IF(N1361&lt;12,"0",0.049*G1361)</f>
        <v>0</v>
      </c>
      <c r="L1361" s="111">
        <v>0</v>
      </c>
      <c r="M1361" s="99">
        <f>2*G1361*L1361/1000</f>
        <v>0</v>
      </c>
      <c r="N1361" s="112">
        <f>J1361-M1361</f>
        <v>1.48</v>
      </c>
      <c r="O1361" s="112">
        <f>H1361*I1361*N1361</f>
        <v>11.84</v>
      </c>
      <c r="P1361" s="140" t="str">
        <f t="shared" si="236"/>
        <v/>
      </c>
      <c r="Q1361" s="140" t="str">
        <f t="shared" si="237"/>
        <v/>
      </c>
      <c r="R1361" s="140" t="str">
        <f t="shared" si="238"/>
        <v/>
      </c>
      <c r="S1361" s="140">
        <f t="shared" si="239"/>
        <v>11.84</v>
      </c>
      <c r="T1361" s="140" t="str">
        <f t="shared" si="240"/>
        <v/>
      </c>
      <c r="U1361" s="140" t="str">
        <f t="shared" si="241"/>
        <v/>
      </c>
      <c r="V1361" s="99"/>
    </row>
    <row r="1362" spans="1:22">
      <c r="A1362" s="92"/>
      <c r="B1362" s="141" t="s">
        <v>379</v>
      </c>
      <c r="C1362" s="136"/>
      <c r="D1362" s="137"/>
      <c r="E1362" s="138"/>
      <c r="F1362" s="139"/>
      <c r="G1362" s="98">
        <v>12</v>
      </c>
      <c r="H1362" s="99">
        <v>2</v>
      </c>
      <c r="I1362" s="99">
        <v>4</v>
      </c>
      <c r="J1362" s="109">
        <f>D1361</f>
        <v>1.48</v>
      </c>
      <c r="K1362" s="110" t="str">
        <f t="shared" ref="K1362:K1365" si="242">IF(N1362&lt;12,"0",0.049*G1362)</f>
        <v>0</v>
      </c>
      <c r="L1362" s="111">
        <v>0</v>
      </c>
      <c r="M1362" s="99">
        <f t="shared" ref="M1362:M1365" si="243">2*G1362*L1362/1000</f>
        <v>0</v>
      </c>
      <c r="N1362" s="112">
        <f t="shared" ref="N1362:N1365" si="244">J1362-M1362</f>
        <v>1.48</v>
      </c>
      <c r="O1362" s="112">
        <f>H1362*I1362*N1362</f>
        <v>11.84</v>
      </c>
      <c r="P1362" s="140" t="str">
        <f t="shared" si="236"/>
        <v/>
      </c>
      <c r="Q1362" s="140" t="str">
        <f t="shared" si="237"/>
        <v/>
      </c>
      <c r="R1362" s="140">
        <f t="shared" si="238"/>
        <v>11.84</v>
      </c>
      <c r="S1362" s="140" t="str">
        <f t="shared" si="239"/>
        <v/>
      </c>
      <c r="T1362" s="140" t="str">
        <f t="shared" si="240"/>
        <v/>
      </c>
      <c r="U1362" s="140" t="str">
        <f t="shared" si="241"/>
        <v/>
      </c>
      <c r="V1362" s="99"/>
    </row>
    <row r="1363" spans="1:22">
      <c r="A1363" s="92"/>
      <c r="B1363" s="141" t="s">
        <v>380</v>
      </c>
      <c r="C1363" s="143"/>
      <c r="D1363" s="142"/>
      <c r="E1363" s="144"/>
      <c r="F1363" s="139"/>
      <c r="G1363" s="98">
        <v>12</v>
      </c>
      <c r="H1363" s="99">
        <v>2</v>
      </c>
      <c r="I1363" s="99">
        <v>4</v>
      </c>
      <c r="J1363" s="109">
        <f>D1361</f>
        <v>1.48</v>
      </c>
      <c r="K1363" s="110" t="str">
        <f t="shared" si="242"/>
        <v>0</v>
      </c>
      <c r="L1363" s="111">
        <v>0</v>
      </c>
      <c r="M1363" s="99">
        <f t="shared" si="243"/>
        <v>0</v>
      </c>
      <c r="N1363" s="112">
        <f t="shared" si="244"/>
        <v>1.48</v>
      </c>
      <c r="O1363" s="112">
        <f>H1363*I1363*N1363</f>
        <v>11.84</v>
      </c>
      <c r="P1363" s="140" t="str">
        <f t="shared" si="236"/>
        <v/>
      </c>
      <c r="Q1363" s="140" t="str">
        <f t="shared" si="237"/>
        <v/>
      </c>
      <c r="R1363" s="140">
        <f t="shared" si="238"/>
        <v>11.84</v>
      </c>
      <c r="S1363" s="140" t="str">
        <f t="shared" si="239"/>
        <v/>
      </c>
      <c r="T1363" s="140" t="str">
        <f t="shared" si="240"/>
        <v/>
      </c>
      <c r="U1363" s="140" t="str">
        <f t="shared" si="241"/>
        <v/>
      </c>
      <c r="V1363" s="99"/>
    </row>
    <row r="1364" spans="1:22">
      <c r="A1364" s="92"/>
      <c r="B1364" s="141" t="s">
        <v>381</v>
      </c>
      <c r="C1364" s="136"/>
      <c r="D1364" s="137"/>
      <c r="E1364" s="138"/>
      <c r="F1364" s="139"/>
      <c r="G1364" s="98">
        <v>12</v>
      </c>
      <c r="H1364" s="99">
        <v>2</v>
      </c>
      <c r="I1364" s="99">
        <v>4</v>
      </c>
      <c r="J1364" s="109">
        <f>D1361</f>
        <v>1.48</v>
      </c>
      <c r="K1364" s="110" t="str">
        <f t="shared" si="242"/>
        <v>0</v>
      </c>
      <c r="L1364" s="111">
        <v>0</v>
      </c>
      <c r="M1364" s="99">
        <f t="shared" si="243"/>
        <v>0</v>
      </c>
      <c r="N1364" s="112">
        <f t="shared" si="244"/>
        <v>1.48</v>
      </c>
      <c r="O1364" s="112">
        <f>H1364*I1364*N1364</f>
        <v>11.84</v>
      </c>
      <c r="P1364" s="140" t="str">
        <f t="shared" si="236"/>
        <v/>
      </c>
      <c r="Q1364" s="140" t="str">
        <f t="shared" si="237"/>
        <v/>
      </c>
      <c r="R1364" s="140">
        <f t="shared" si="238"/>
        <v>11.84</v>
      </c>
      <c r="S1364" s="140" t="str">
        <f t="shared" si="239"/>
        <v/>
      </c>
      <c r="T1364" s="140" t="str">
        <f t="shared" si="240"/>
        <v/>
      </c>
      <c r="U1364" s="140" t="str">
        <f t="shared" si="241"/>
        <v/>
      </c>
      <c r="V1364" s="99"/>
    </row>
    <row r="1365" spans="1:22">
      <c r="A1365" s="92"/>
      <c r="B1365" s="141" t="s">
        <v>389</v>
      </c>
      <c r="C1365" s="136"/>
      <c r="D1365" s="137"/>
      <c r="E1365" s="138"/>
      <c r="F1365" s="139"/>
      <c r="G1365" s="98">
        <v>12</v>
      </c>
      <c r="H1365" s="99">
        <v>2</v>
      </c>
      <c r="I1365" s="99">
        <v>4</v>
      </c>
      <c r="J1365" s="109">
        <f>D1361</f>
        <v>1.48</v>
      </c>
      <c r="K1365" s="110" t="str">
        <f t="shared" si="242"/>
        <v>0</v>
      </c>
      <c r="L1365" s="111">
        <v>0</v>
      </c>
      <c r="M1365" s="99">
        <f t="shared" si="243"/>
        <v>0</v>
      </c>
      <c r="N1365" s="112">
        <f t="shared" si="244"/>
        <v>1.48</v>
      </c>
      <c r="O1365" s="112">
        <f>H1365*I1365*N1365</f>
        <v>11.84</v>
      </c>
      <c r="P1365" s="140" t="str">
        <f t="shared" si="236"/>
        <v/>
      </c>
      <c r="Q1365" s="140" t="str">
        <f t="shared" si="237"/>
        <v/>
      </c>
      <c r="R1365" s="140">
        <f t="shared" si="238"/>
        <v>11.84</v>
      </c>
      <c r="S1365" s="140" t="str">
        <f t="shared" si="239"/>
        <v/>
      </c>
      <c r="T1365" s="140" t="str">
        <f t="shared" si="240"/>
        <v/>
      </c>
      <c r="U1365" s="140" t="str">
        <f t="shared" si="241"/>
        <v/>
      </c>
      <c r="V1365" s="99"/>
    </row>
    <row r="1366" spans="1:22">
      <c r="A1366" s="92"/>
      <c r="B1366" s="92"/>
      <c r="C1366" s="145">
        <v>0.08</v>
      </c>
      <c r="D1366" s="137"/>
      <c r="E1366" s="138"/>
      <c r="F1366" s="139"/>
      <c r="G1366" s="98"/>
      <c r="H1366" s="99"/>
      <c r="I1366" s="99"/>
      <c r="J1366" s="100"/>
      <c r="K1366" s="99"/>
      <c r="L1366" s="99"/>
      <c r="M1366" s="99"/>
      <c r="N1366" s="99"/>
      <c r="O1366" s="101"/>
      <c r="P1366" s="140" t="str">
        <f t="shared" si="236"/>
        <v/>
      </c>
      <c r="Q1366" s="140" t="str">
        <f t="shared" si="237"/>
        <v/>
      </c>
      <c r="R1366" s="140" t="str">
        <f t="shared" si="238"/>
        <v/>
      </c>
      <c r="S1366" s="140" t="str">
        <f t="shared" si="239"/>
        <v/>
      </c>
      <c r="T1366" s="140" t="str">
        <f t="shared" si="240"/>
        <v/>
      </c>
      <c r="U1366" s="140" t="str">
        <f t="shared" si="241"/>
        <v/>
      </c>
      <c r="V1366" s="99"/>
    </row>
    <row r="1367" spans="1:22">
      <c r="A1367" s="92"/>
      <c r="B1367" s="146" t="s">
        <v>382</v>
      </c>
      <c r="C1367" s="147"/>
      <c r="D1367" s="137"/>
      <c r="E1367" s="148">
        <f>1-0.05</f>
        <v>0.95</v>
      </c>
      <c r="F1367" s="139"/>
      <c r="G1367" s="98">
        <v>10</v>
      </c>
      <c r="H1367" s="99">
        <v>2</v>
      </c>
      <c r="I1367" s="111">
        <f>(1.48/0.1)+1</f>
        <v>15.799999999999999</v>
      </c>
      <c r="J1367" s="149">
        <f>2*(D1369+E1367)+2*8*G1367/1000</f>
        <v>2.42</v>
      </c>
      <c r="K1367" s="99"/>
      <c r="L1367" s="99">
        <v>5</v>
      </c>
      <c r="M1367" s="112">
        <f>2*G1367*L1367/1000</f>
        <v>0.1</v>
      </c>
      <c r="N1367" s="112">
        <f>(J1367+K1367-M1367)</f>
        <v>2.3199999999999998</v>
      </c>
      <c r="O1367" s="112">
        <f>(H1367*I1367*N1367)</f>
        <v>73.311999999999983</v>
      </c>
      <c r="P1367" s="140" t="str">
        <f t="shared" si="236"/>
        <v/>
      </c>
      <c r="Q1367" s="140">
        <f t="shared" si="237"/>
        <v>73.311999999999983</v>
      </c>
      <c r="R1367" s="140" t="str">
        <f t="shared" si="238"/>
        <v/>
      </c>
      <c r="S1367" s="140" t="str">
        <f t="shared" si="239"/>
        <v/>
      </c>
      <c r="T1367" s="140" t="str">
        <f t="shared" si="240"/>
        <v/>
      </c>
      <c r="U1367" s="140" t="str">
        <f t="shared" si="241"/>
        <v/>
      </c>
      <c r="V1367" s="99"/>
    </row>
    <row r="1368" spans="1:22">
      <c r="A1368" s="92"/>
      <c r="B1368" s="146"/>
      <c r="C1368" s="136"/>
      <c r="D1368" s="137"/>
      <c r="E1368" s="150"/>
      <c r="F1368" s="139"/>
      <c r="G1368" s="98"/>
      <c r="H1368" s="99"/>
      <c r="I1368" s="99"/>
      <c r="J1368" s="100"/>
      <c r="K1368" s="99"/>
      <c r="L1368" s="99"/>
      <c r="M1368" s="99"/>
      <c r="N1368" s="99"/>
      <c r="O1368" s="112"/>
      <c r="P1368" s="140" t="str">
        <f t="shared" si="236"/>
        <v/>
      </c>
      <c r="Q1368" s="140" t="str">
        <f t="shared" si="237"/>
        <v/>
      </c>
      <c r="R1368" s="140" t="str">
        <f t="shared" si="238"/>
        <v/>
      </c>
      <c r="S1368" s="140" t="str">
        <f t="shared" si="239"/>
        <v/>
      </c>
      <c r="T1368" s="140" t="str">
        <f t="shared" si="240"/>
        <v/>
      </c>
      <c r="U1368" s="140" t="str">
        <f t="shared" si="241"/>
        <v/>
      </c>
      <c r="V1368" s="99"/>
    </row>
    <row r="1369" spans="1:22">
      <c r="A1369" s="92"/>
      <c r="B1369" s="146"/>
      <c r="C1369" s="136"/>
      <c r="D1369" s="109">
        <f>0.23-0.05</f>
        <v>0.18</v>
      </c>
      <c r="E1369" s="138"/>
      <c r="F1369" s="139"/>
      <c r="G1369" s="98"/>
      <c r="H1369" s="99"/>
      <c r="I1369" s="99"/>
      <c r="J1369" s="100"/>
      <c r="K1369" s="99"/>
      <c r="L1369" s="99"/>
      <c r="M1369" s="99"/>
      <c r="N1369" s="99"/>
      <c r="O1369" s="112"/>
      <c r="P1369" s="140" t="str">
        <f t="shared" si="236"/>
        <v/>
      </c>
      <c r="Q1369" s="140" t="str">
        <f t="shared" si="237"/>
        <v/>
      </c>
      <c r="R1369" s="140" t="str">
        <f t="shared" si="238"/>
        <v/>
      </c>
      <c r="S1369" s="140" t="str">
        <f t="shared" si="239"/>
        <v/>
      </c>
      <c r="T1369" s="140" t="str">
        <f t="shared" si="240"/>
        <v/>
      </c>
      <c r="U1369" s="140" t="str">
        <f t="shared" si="241"/>
        <v/>
      </c>
      <c r="V1369" s="99"/>
    </row>
    <row r="1370" spans="1:22">
      <c r="A1370" s="92"/>
      <c r="B1370" s="141"/>
      <c r="C1370" s="136"/>
      <c r="D1370" s="137"/>
      <c r="E1370" s="138"/>
      <c r="F1370" s="139"/>
      <c r="G1370" s="98"/>
      <c r="H1370" s="99"/>
      <c r="I1370" s="99"/>
      <c r="J1370" s="100"/>
      <c r="K1370" s="99"/>
      <c r="L1370" s="99"/>
      <c r="M1370" s="99"/>
      <c r="N1370" s="99"/>
      <c r="O1370" s="112"/>
      <c r="P1370" s="140" t="str">
        <f t="shared" si="236"/>
        <v/>
      </c>
      <c r="Q1370" s="140" t="str">
        <f t="shared" si="237"/>
        <v/>
      </c>
      <c r="R1370" s="140" t="str">
        <f t="shared" si="238"/>
        <v/>
      </c>
      <c r="S1370" s="140" t="str">
        <f t="shared" si="239"/>
        <v/>
      </c>
      <c r="T1370" s="140" t="str">
        <f t="shared" si="240"/>
        <v/>
      </c>
      <c r="U1370" s="140" t="str">
        <f t="shared" si="241"/>
        <v/>
      </c>
      <c r="V1370" s="99"/>
    </row>
    <row r="1371" spans="1:22">
      <c r="A1371" s="92"/>
      <c r="B1371" s="92"/>
      <c r="C1371" s="145">
        <v>0.08</v>
      </c>
      <c r="D1371" s="137"/>
      <c r="E1371" s="138"/>
      <c r="F1371" s="139"/>
      <c r="G1371" s="98"/>
      <c r="H1371" s="99"/>
      <c r="I1371" s="99"/>
      <c r="J1371" s="100"/>
      <c r="K1371" s="99"/>
      <c r="L1371" s="99"/>
      <c r="M1371" s="99"/>
      <c r="N1371" s="99"/>
      <c r="O1371" s="112"/>
      <c r="P1371" s="140" t="str">
        <f t="shared" si="236"/>
        <v/>
      </c>
      <c r="Q1371" s="140" t="str">
        <f t="shared" si="237"/>
        <v/>
      </c>
      <c r="R1371" s="140" t="str">
        <f t="shared" si="238"/>
        <v/>
      </c>
      <c r="S1371" s="140" t="str">
        <f t="shared" si="239"/>
        <v/>
      </c>
      <c r="T1371" s="140" t="str">
        <f t="shared" si="240"/>
        <v/>
      </c>
      <c r="U1371" s="140" t="str">
        <f t="shared" si="241"/>
        <v/>
      </c>
      <c r="V1371" s="99"/>
    </row>
    <row r="1372" spans="1:22">
      <c r="A1372" s="92"/>
      <c r="B1372" s="146" t="s">
        <v>383</v>
      </c>
      <c r="C1372" s="147"/>
      <c r="D1372" s="137"/>
      <c r="E1372" s="148">
        <f>((1-0.05-0.016)/9)+0.012+0.02</f>
        <v>0.13577777777777778</v>
      </c>
      <c r="F1372" s="139"/>
      <c r="G1372" s="98">
        <v>10</v>
      </c>
      <c r="H1372" s="99">
        <v>2</v>
      </c>
      <c r="I1372" s="111">
        <f>(1.48/0.1)+1</f>
        <v>15.799999999999999</v>
      </c>
      <c r="J1372" s="149">
        <f>2*(D1374+E1372)+2*8*G1372/1000</f>
        <v>0.79155555555555557</v>
      </c>
      <c r="K1372" s="99"/>
      <c r="L1372" s="99">
        <v>5</v>
      </c>
      <c r="M1372" s="112">
        <f>2*G1372*L1372/1000</f>
        <v>0.1</v>
      </c>
      <c r="N1372" s="112">
        <f>(J1372+K1372-M1372)</f>
        <v>0.69155555555555559</v>
      </c>
      <c r="O1372" s="112">
        <f>(H1372*I1372*N1372)</f>
        <v>21.853155555555556</v>
      </c>
      <c r="P1372" s="140" t="str">
        <f t="shared" si="236"/>
        <v/>
      </c>
      <c r="Q1372" s="140">
        <f t="shared" si="237"/>
        <v>21.853155555555556</v>
      </c>
      <c r="R1372" s="140" t="str">
        <f t="shared" si="238"/>
        <v/>
      </c>
      <c r="S1372" s="140" t="str">
        <f t="shared" si="239"/>
        <v/>
      </c>
      <c r="T1372" s="140" t="str">
        <f t="shared" si="240"/>
        <v/>
      </c>
      <c r="U1372" s="140" t="str">
        <f t="shared" si="241"/>
        <v/>
      </c>
      <c r="V1372" s="99"/>
    </row>
    <row r="1373" spans="1:22">
      <c r="A1373" s="92"/>
      <c r="B1373" s="146"/>
      <c r="C1373" s="136"/>
      <c r="D1373" s="137"/>
      <c r="E1373" s="150"/>
      <c r="F1373" s="139"/>
      <c r="G1373" s="98"/>
      <c r="H1373" s="99"/>
      <c r="I1373" s="99"/>
      <c r="J1373" s="100"/>
      <c r="K1373" s="99"/>
      <c r="L1373" s="99"/>
      <c r="M1373" s="99"/>
      <c r="N1373" s="99"/>
      <c r="O1373" s="112"/>
      <c r="P1373" s="140" t="str">
        <f t="shared" si="236"/>
        <v/>
      </c>
      <c r="Q1373" s="140" t="str">
        <f t="shared" si="237"/>
        <v/>
      </c>
      <c r="R1373" s="140" t="str">
        <f t="shared" si="238"/>
        <v/>
      </c>
      <c r="S1373" s="140" t="str">
        <f t="shared" si="239"/>
        <v/>
      </c>
      <c r="T1373" s="140" t="str">
        <f t="shared" si="240"/>
        <v/>
      </c>
      <c r="U1373" s="140" t="str">
        <f t="shared" si="241"/>
        <v/>
      </c>
      <c r="V1373" s="99"/>
    </row>
    <row r="1374" spans="1:22">
      <c r="A1374" s="92"/>
      <c r="B1374" s="146"/>
      <c r="C1374" s="136"/>
      <c r="D1374" s="109">
        <f>0.23-0.05</f>
        <v>0.18</v>
      </c>
      <c r="E1374" s="138"/>
      <c r="F1374" s="139"/>
      <c r="G1374" s="98"/>
      <c r="H1374" s="99"/>
      <c r="I1374" s="99"/>
      <c r="J1374" s="100"/>
      <c r="K1374" s="99"/>
      <c r="L1374" s="99"/>
      <c r="M1374" s="99"/>
      <c r="N1374" s="99"/>
      <c r="O1374" s="112"/>
      <c r="P1374" s="140" t="str">
        <f t="shared" si="236"/>
        <v/>
      </c>
      <c r="Q1374" s="140" t="str">
        <f t="shared" si="237"/>
        <v/>
      </c>
      <c r="R1374" s="140" t="str">
        <f t="shared" si="238"/>
        <v/>
      </c>
      <c r="S1374" s="140" t="str">
        <f t="shared" si="239"/>
        <v/>
      </c>
      <c r="T1374" s="140" t="str">
        <f t="shared" si="240"/>
        <v/>
      </c>
      <c r="U1374" s="140" t="str">
        <f t="shared" si="241"/>
        <v/>
      </c>
      <c r="V1374" s="99"/>
    </row>
    <row r="1375" spans="1:22">
      <c r="A1375" s="92"/>
      <c r="B1375" s="146"/>
      <c r="C1375" s="136"/>
      <c r="D1375" s="152"/>
      <c r="E1375" s="138"/>
      <c r="F1375" s="139"/>
      <c r="G1375" s="98"/>
      <c r="H1375" s="99"/>
      <c r="I1375" s="99"/>
      <c r="J1375" s="100"/>
      <c r="K1375" s="99"/>
      <c r="L1375" s="99"/>
      <c r="M1375" s="99"/>
      <c r="N1375" s="99"/>
      <c r="O1375" s="101"/>
      <c r="P1375" s="140" t="str">
        <f t="shared" si="236"/>
        <v/>
      </c>
      <c r="Q1375" s="140" t="str">
        <f t="shared" si="237"/>
        <v/>
      </c>
      <c r="R1375" s="140" t="str">
        <f t="shared" si="238"/>
        <v/>
      </c>
      <c r="S1375" s="140" t="str">
        <f t="shared" si="239"/>
        <v/>
      </c>
      <c r="T1375" s="140" t="str">
        <f t="shared" si="240"/>
        <v/>
      </c>
      <c r="U1375" s="140" t="str">
        <f t="shared" si="241"/>
        <v/>
      </c>
      <c r="V1375" s="99"/>
    </row>
    <row r="1376" spans="1:22">
      <c r="A1376" s="92">
        <v>12</v>
      </c>
      <c r="B1376" s="92" t="s">
        <v>400</v>
      </c>
      <c r="C1376" s="136"/>
      <c r="D1376" s="137"/>
      <c r="E1376" s="138"/>
      <c r="F1376" s="139"/>
      <c r="G1376" s="98"/>
      <c r="H1376" s="99"/>
      <c r="I1376" s="99"/>
      <c r="J1376" s="109"/>
      <c r="K1376" s="112"/>
      <c r="L1376" s="112"/>
      <c r="M1376" s="99"/>
      <c r="N1376" s="112"/>
      <c r="O1376" s="112"/>
      <c r="P1376" s="140" t="str">
        <f>IF($G1376=8,$O1376,"")</f>
        <v/>
      </c>
      <c r="Q1376" s="140" t="str">
        <f>IF($G1376=10,$O1376,"")</f>
        <v/>
      </c>
      <c r="R1376" s="140" t="str">
        <f>IF($G1376=12,$O1376,"")</f>
        <v/>
      </c>
      <c r="S1376" s="140" t="str">
        <f>IF($G1376=16,$O1376,"")</f>
        <v/>
      </c>
      <c r="T1376" s="140" t="str">
        <f>IF($G1376=20,$O1376,"")</f>
        <v/>
      </c>
      <c r="U1376" s="140" t="str">
        <f>IF($G1376=25,$O1376,"")</f>
        <v/>
      </c>
      <c r="V1376" s="99"/>
    </row>
    <row r="1377" spans="1:22">
      <c r="A1377" s="92"/>
      <c r="B1377" s="141" t="s">
        <v>378</v>
      </c>
      <c r="C1377" s="136"/>
      <c r="D1377" s="142">
        <v>1.48</v>
      </c>
      <c r="E1377" s="138"/>
      <c r="F1377" s="139"/>
      <c r="G1377" s="98">
        <v>16</v>
      </c>
      <c r="H1377" s="99">
        <v>2</v>
      </c>
      <c r="I1377" s="99">
        <v>4</v>
      </c>
      <c r="J1377" s="109">
        <f>D1377</f>
        <v>1.48</v>
      </c>
      <c r="K1377" s="110" t="str">
        <f>IF(N1377&lt;12,"0",0.049*G1377)</f>
        <v>0</v>
      </c>
      <c r="L1377" s="111">
        <v>0</v>
      </c>
      <c r="M1377" s="99">
        <f>2*G1377*L1377/1000</f>
        <v>0</v>
      </c>
      <c r="N1377" s="112">
        <f>J1377-M1377</f>
        <v>1.48</v>
      </c>
      <c r="O1377" s="112">
        <f t="shared" ref="O1377:O1382" si="245">H1377*I1377*N1377</f>
        <v>11.84</v>
      </c>
      <c r="P1377" s="140" t="str">
        <f t="shared" si="236"/>
        <v/>
      </c>
      <c r="Q1377" s="140" t="str">
        <f t="shared" si="237"/>
        <v/>
      </c>
      <c r="R1377" s="140" t="str">
        <f t="shared" si="238"/>
        <v/>
      </c>
      <c r="S1377" s="140">
        <f t="shared" si="239"/>
        <v>11.84</v>
      </c>
      <c r="T1377" s="140" t="str">
        <f t="shared" si="240"/>
        <v/>
      </c>
      <c r="U1377" s="140" t="str">
        <f t="shared" si="241"/>
        <v/>
      </c>
      <c r="V1377" s="99"/>
    </row>
    <row r="1378" spans="1:22">
      <c r="A1378" s="92"/>
      <c r="B1378" s="141" t="s">
        <v>379</v>
      </c>
      <c r="C1378" s="136"/>
      <c r="D1378" s="137"/>
      <c r="E1378" s="138"/>
      <c r="F1378" s="139"/>
      <c r="G1378" s="98">
        <v>12</v>
      </c>
      <c r="H1378" s="99">
        <v>2</v>
      </c>
      <c r="I1378" s="99">
        <v>4</v>
      </c>
      <c r="J1378" s="109">
        <f>D1377</f>
        <v>1.48</v>
      </c>
      <c r="K1378" s="110" t="str">
        <f t="shared" ref="K1378:K1382" si="246">IF(N1378&lt;12,"0",0.049*G1378)</f>
        <v>0</v>
      </c>
      <c r="L1378" s="111">
        <v>0</v>
      </c>
      <c r="M1378" s="99">
        <f t="shared" ref="M1378:M1382" si="247">2*G1378*L1378/1000</f>
        <v>0</v>
      </c>
      <c r="N1378" s="112">
        <f t="shared" ref="N1378:N1382" si="248">J1378-M1378</f>
        <v>1.48</v>
      </c>
      <c r="O1378" s="112">
        <f t="shared" si="245"/>
        <v>11.84</v>
      </c>
      <c r="P1378" s="140" t="str">
        <f t="shared" si="236"/>
        <v/>
      </c>
      <c r="Q1378" s="140" t="str">
        <f t="shared" si="237"/>
        <v/>
      </c>
      <c r="R1378" s="140">
        <f t="shared" si="238"/>
        <v>11.84</v>
      </c>
      <c r="S1378" s="140" t="str">
        <f t="shared" si="239"/>
        <v/>
      </c>
      <c r="T1378" s="140" t="str">
        <f t="shared" si="240"/>
        <v/>
      </c>
      <c r="U1378" s="140" t="str">
        <f t="shared" si="241"/>
        <v/>
      </c>
      <c r="V1378" s="99"/>
    </row>
    <row r="1379" spans="1:22">
      <c r="A1379" s="92"/>
      <c r="B1379" s="141" t="s">
        <v>380</v>
      </c>
      <c r="C1379" s="143"/>
      <c r="D1379" s="142"/>
      <c r="E1379" s="144"/>
      <c r="F1379" s="139"/>
      <c r="G1379" s="98">
        <v>12</v>
      </c>
      <c r="H1379" s="99">
        <v>2</v>
      </c>
      <c r="I1379" s="99">
        <v>4</v>
      </c>
      <c r="J1379" s="109">
        <f>D1377</f>
        <v>1.48</v>
      </c>
      <c r="K1379" s="110" t="str">
        <f t="shared" si="246"/>
        <v>0</v>
      </c>
      <c r="L1379" s="111">
        <v>0</v>
      </c>
      <c r="M1379" s="99">
        <f t="shared" si="247"/>
        <v>0</v>
      </c>
      <c r="N1379" s="112">
        <f t="shared" si="248"/>
        <v>1.48</v>
      </c>
      <c r="O1379" s="112">
        <f t="shared" si="245"/>
        <v>11.84</v>
      </c>
      <c r="P1379" s="140" t="str">
        <f t="shared" si="236"/>
        <v/>
      </c>
      <c r="Q1379" s="140" t="str">
        <f t="shared" si="237"/>
        <v/>
      </c>
      <c r="R1379" s="140">
        <f t="shared" si="238"/>
        <v>11.84</v>
      </c>
      <c r="S1379" s="140" t="str">
        <f t="shared" si="239"/>
        <v/>
      </c>
      <c r="T1379" s="140" t="str">
        <f t="shared" si="240"/>
        <v/>
      </c>
      <c r="U1379" s="140" t="str">
        <f t="shared" si="241"/>
        <v/>
      </c>
      <c r="V1379" s="99"/>
    </row>
    <row r="1380" spans="1:22">
      <c r="A1380" s="92"/>
      <c r="B1380" s="141" t="s">
        <v>381</v>
      </c>
      <c r="C1380" s="136"/>
      <c r="D1380" s="137"/>
      <c r="E1380" s="138"/>
      <c r="F1380" s="139"/>
      <c r="G1380" s="98">
        <v>12</v>
      </c>
      <c r="H1380" s="99">
        <v>2</v>
      </c>
      <c r="I1380" s="99">
        <v>4</v>
      </c>
      <c r="J1380" s="109">
        <f>D1377</f>
        <v>1.48</v>
      </c>
      <c r="K1380" s="110" t="str">
        <f t="shared" si="246"/>
        <v>0</v>
      </c>
      <c r="L1380" s="111">
        <v>0</v>
      </c>
      <c r="M1380" s="99">
        <f t="shared" si="247"/>
        <v>0</v>
      </c>
      <c r="N1380" s="112">
        <f t="shared" si="248"/>
        <v>1.48</v>
      </c>
      <c r="O1380" s="112">
        <f t="shared" si="245"/>
        <v>11.84</v>
      </c>
      <c r="P1380" s="140" t="str">
        <f t="shared" si="236"/>
        <v/>
      </c>
      <c r="Q1380" s="140" t="str">
        <f t="shared" si="237"/>
        <v/>
      </c>
      <c r="R1380" s="140">
        <f t="shared" si="238"/>
        <v>11.84</v>
      </c>
      <c r="S1380" s="140" t="str">
        <f t="shared" si="239"/>
        <v/>
      </c>
      <c r="T1380" s="140" t="str">
        <f t="shared" si="240"/>
        <v/>
      </c>
      <c r="U1380" s="140" t="str">
        <f t="shared" si="241"/>
        <v/>
      </c>
      <c r="V1380" s="99"/>
    </row>
    <row r="1381" spans="1:22">
      <c r="A1381" s="92"/>
      <c r="B1381" s="141" t="s">
        <v>389</v>
      </c>
      <c r="C1381" s="136"/>
      <c r="D1381" s="137"/>
      <c r="E1381" s="138"/>
      <c r="F1381" s="139"/>
      <c r="G1381" s="98">
        <v>12</v>
      </c>
      <c r="H1381" s="99">
        <v>2</v>
      </c>
      <c r="I1381" s="99">
        <v>4</v>
      </c>
      <c r="J1381" s="109">
        <f>D1377</f>
        <v>1.48</v>
      </c>
      <c r="K1381" s="110" t="str">
        <f t="shared" si="246"/>
        <v>0</v>
      </c>
      <c r="L1381" s="111">
        <v>0</v>
      </c>
      <c r="M1381" s="99">
        <f t="shared" si="247"/>
        <v>0</v>
      </c>
      <c r="N1381" s="112">
        <f t="shared" si="248"/>
        <v>1.48</v>
      </c>
      <c r="O1381" s="112">
        <f t="shared" si="245"/>
        <v>11.84</v>
      </c>
      <c r="P1381" s="140" t="str">
        <f t="shared" si="236"/>
        <v/>
      </c>
      <c r="Q1381" s="140" t="str">
        <f t="shared" si="237"/>
        <v/>
      </c>
      <c r="R1381" s="140">
        <f t="shared" si="238"/>
        <v>11.84</v>
      </c>
      <c r="S1381" s="140" t="str">
        <f t="shared" si="239"/>
        <v/>
      </c>
      <c r="T1381" s="140" t="str">
        <f t="shared" si="240"/>
        <v/>
      </c>
      <c r="U1381" s="140" t="str">
        <f t="shared" si="241"/>
        <v/>
      </c>
      <c r="V1381" s="99"/>
    </row>
    <row r="1382" spans="1:22">
      <c r="A1382" s="92"/>
      <c r="B1382" s="141" t="s">
        <v>401</v>
      </c>
      <c r="C1382" s="136"/>
      <c r="D1382" s="137"/>
      <c r="E1382" s="138"/>
      <c r="F1382" s="139"/>
      <c r="G1382" s="98">
        <v>12</v>
      </c>
      <c r="H1382" s="99">
        <v>2</v>
      </c>
      <c r="I1382" s="99">
        <v>2</v>
      </c>
      <c r="J1382" s="109">
        <f>D1377</f>
        <v>1.48</v>
      </c>
      <c r="K1382" s="110" t="str">
        <f t="shared" si="246"/>
        <v>0</v>
      </c>
      <c r="L1382" s="111">
        <v>0</v>
      </c>
      <c r="M1382" s="99">
        <f t="shared" si="247"/>
        <v>0</v>
      </c>
      <c r="N1382" s="112">
        <f t="shared" si="248"/>
        <v>1.48</v>
      </c>
      <c r="O1382" s="112">
        <f t="shared" si="245"/>
        <v>5.92</v>
      </c>
      <c r="P1382" s="140" t="str">
        <f t="shared" si="236"/>
        <v/>
      </c>
      <c r="Q1382" s="140" t="str">
        <f t="shared" si="237"/>
        <v/>
      </c>
      <c r="R1382" s="140">
        <f t="shared" si="238"/>
        <v>5.92</v>
      </c>
      <c r="S1382" s="140" t="str">
        <f t="shared" si="239"/>
        <v/>
      </c>
      <c r="T1382" s="140" t="str">
        <f t="shared" si="240"/>
        <v/>
      </c>
      <c r="U1382" s="140" t="str">
        <f t="shared" si="241"/>
        <v/>
      </c>
      <c r="V1382" s="99"/>
    </row>
    <row r="1383" spans="1:22">
      <c r="A1383" s="92"/>
      <c r="B1383" s="141"/>
      <c r="C1383" s="136"/>
      <c r="D1383" s="137"/>
      <c r="E1383" s="138"/>
      <c r="F1383" s="139"/>
      <c r="G1383" s="98"/>
      <c r="H1383" s="99"/>
      <c r="I1383" s="99"/>
      <c r="J1383" s="109"/>
      <c r="K1383" s="110"/>
      <c r="L1383" s="111"/>
      <c r="M1383" s="99"/>
      <c r="N1383" s="112"/>
      <c r="O1383" s="112"/>
      <c r="P1383" s="140"/>
      <c r="Q1383" s="140"/>
      <c r="R1383" s="140"/>
      <c r="S1383" s="140"/>
      <c r="T1383" s="140"/>
      <c r="U1383" s="140"/>
      <c r="V1383" s="99"/>
    </row>
    <row r="1384" spans="1:22">
      <c r="A1384" s="92"/>
      <c r="B1384" s="92"/>
      <c r="C1384" s="145">
        <v>0.08</v>
      </c>
      <c r="D1384" s="137"/>
      <c r="E1384" s="138"/>
      <c r="F1384" s="139"/>
      <c r="G1384" s="98"/>
      <c r="H1384" s="99"/>
      <c r="I1384" s="99"/>
      <c r="J1384" s="100"/>
      <c r="K1384" s="99"/>
      <c r="L1384" s="99"/>
      <c r="M1384" s="99"/>
      <c r="N1384" s="99"/>
      <c r="O1384" s="101"/>
      <c r="P1384" s="140" t="str">
        <f t="shared" si="236"/>
        <v/>
      </c>
      <c r="Q1384" s="140" t="str">
        <f t="shared" si="237"/>
        <v/>
      </c>
      <c r="R1384" s="140" t="str">
        <f t="shared" si="238"/>
        <v/>
      </c>
      <c r="S1384" s="140" t="str">
        <f t="shared" si="239"/>
        <v/>
      </c>
      <c r="T1384" s="140" t="str">
        <f t="shared" si="240"/>
        <v/>
      </c>
      <c r="U1384" s="140" t="str">
        <f t="shared" si="241"/>
        <v/>
      </c>
      <c r="V1384" s="99"/>
    </row>
    <row r="1385" spans="1:22">
      <c r="A1385" s="92"/>
      <c r="B1385" s="146" t="s">
        <v>382</v>
      </c>
      <c r="C1385" s="147"/>
      <c r="D1385" s="137"/>
      <c r="E1385" s="148">
        <f>1.15-0.05</f>
        <v>1.0999999999999999</v>
      </c>
      <c r="F1385" s="139"/>
      <c r="G1385" s="98">
        <v>10</v>
      </c>
      <c r="H1385" s="99">
        <v>2</v>
      </c>
      <c r="I1385" s="111">
        <f>(1.48/0.1)+1</f>
        <v>15.799999999999999</v>
      </c>
      <c r="J1385" s="149">
        <f>2*(D1387+E1385)+2*8*G1385/1000</f>
        <v>2.7199999999999998</v>
      </c>
      <c r="K1385" s="99"/>
      <c r="L1385" s="99">
        <v>5</v>
      </c>
      <c r="M1385" s="112">
        <f>2*G1385*L1385/1000</f>
        <v>0.1</v>
      </c>
      <c r="N1385" s="112">
        <f>(J1385+K1385-M1385)</f>
        <v>2.6199999999999997</v>
      </c>
      <c r="O1385" s="112">
        <f>(H1385*I1385*N1385)</f>
        <v>82.791999999999987</v>
      </c>
      <c r="P1385" s="140" t="str">
        <f t="shared" si="236"/>
        <v/>
      </c>
      <c r="Q1385" s="140">
        <f t="shared" si="237"/>
        <v>82.791999999999987</v>
      </c>
      <c r="R1385" s="140" t="str">
        <f t="shared" si="238"/>
        <v/>
      </c>
      <c r="S1385" s="140" t="str">
        <f t="shared" si="239"/>
        <v/>
      </c>
      <c r="T1385" s="140" t="str">
        <f t="shared" si="240"/>
        <v/>
      </c>
      <c r="U1385" s="140" t="str">
        <f t="shared" si="241"/>
        <v/>
      </c>
      <c r="V1385" s="99"/>
    </row>
    <row r="1386" spans="1:22">
      <c r="A1386" s="92"/>
      <c r="B1386" s="146"/>
      <c r="C1386" s="136"/>
      <c r="D1386" s="137"/>
      <c r="E1386" s="150"/>
      <c r="F1386" s="139"/>
      <c r="G1386" s="98"/>
      <c r="H1386" s="99"/>
      <c r="I1386" s="99"/>
      <c r="J1386" s="100"/>
      <c r="K1386" s="99"/>
      <c r="L1386" s="99"/>
      <c r="M1386" s="99"/>
      <c r="N1386" s="99"/>
      <c r="O1386" s="112"/>
      <c r="P1386" s="140" t="str">
        <f t="shared" si="236"/>
        <v/>
      </c>
      <c r="Q1386" s="140" t="str">
        <f t="shared" si="237"/>
        <v/>
      </c>
      <c r="R1386" s="140" t="str">
        <f t="shared" si="238"/>
        <v/>
      </c>
      <c r="S1386" s="140" t="str">
        <f t="shared" si="239"/>
        <v/>
      </c>
      <c r="T1386" s="140" t="str">
        <f t="shared" si="240"/>
        <v/>
      </c>
      <c r="U1386" s="140" t="str">
        <f t="shared" si="241"/>
        <v/>
      </c>
      <c r="V1386" s="99"/>
    </row>
    <row r="1387" spans="1:22">
      <c r="A1387" s="92"/>
      <c r="B1387" s="146"/>
      <c r="C1387" s="136"/>
      <c r="D1387" s="109">
        <f>0.23-0.05</f>
        <v>0.18</v>
      </c>
      <c r="E1387" s="138"/>
      <c r="F1387" s="139"/>
      <c r="G1387" s="98"/>
      <c r="H1387" s="99"/>
      <c r="I1387" s="99"/>
      <c r="J1387" s="100"/>
      <c r="K1387" s="99"/>
      <c r="L1387" s="99"/>
      <c r="M1387" s="99"/>
      <c r="N1387" s="99"/>
      <c r="O1387" s="112"/>
      <c r="P1387" s="140" t="str">
        <f t="shared" si="236"/>
        <v/>
      </c>
      <c r="Q1387" s="140" t="str">
        <f t="shared" si="237"/>
        <v/>
      </c>
      <c r="R1387" s="140" t="str">
        <f t="shared" si="238"/>
        <v/>
      </c>
      <c r="S1387" s="140" t="str">
        <f t="shared" si="239"/>
        <v/>
      </c>
      <c r="T1387" s="140" t="str">
        <f t="shared" si="240"/>
        <v/>
      </c>
      <c r="U1387" s="140" t="str">
        <f t="shared" si="241"/>
        <v/>
      </c>
      <c r="V1387" s="99"/>
    </row>
    <row r="1388" spans="1:22">
      <c r="A1388" s="92"/>
      <c r="B1388" s="141"/>
      <c r="C1388" s="136"/>
      <c r="D1388" s="137"/>
      <c r="E1388" s="138"/>
      <c r="F1388" s="139"/>
      <c r="G1388" s="98"/>
      <c r="H1388" s="99"/>
      <c r="I1388" s="99"/>
      <c r="J1388" s="100"/>
      <c r="K1388" s="99"/>
      <c r="L1388" s="99"/>
      <c r="M1388" s="99"/>
      <c r="N1388" s="99"/>
      <c r="O1388" s="112"/>
      <c r="P1388" s="140" t="str">
        <f t="shared" si="236"/>
        <v/>
      </c>
      <c r="Q1388" s="140" t="str">
        <f t="shared" si="237"/>
        <v/>
      </c>
      <c r="R1388" s="140" t="str">
        <f t="shared" si="238"/>
        <v/>
      </c>
      <c r="S1388" s="140" t="str">
        <f t="shared" si="239"/>
        <v/>
      </c>
      <c r="T1388" s="140" t="str">
        <f t="shared" si="240"/>
        <v/>
      </c>
      <c r="U1388" s="140" t="str">
        <f t="shared" si="241"/>
        <v/>
      </c>
      <c r="V1388" s="99"/>
    </row>
    <row r="1389" spans="1:22">
      <c r="A1389" s="92"/>
      <c r="B1389" s="92"/>
      <c r="C1389" s="145">
        <v>0.08</v>
      </c>
      <c r="D1389" s="137"/>
      <c r="E1389" s="138"/>
      <c r="F1389" s="139"/>
      <c r="G1389" s="98"/>
      <c r="H1389" s="99"/>
      <c r="I1389" s="99"/>
      <c r="J1389" s="100"/>
      <c r="K1389" s="99"/>
      <c r="L1389" s="99"/>
      <c r="M1389" s="99"/>
      <c r="N1389" s="99"/>
      <c r="O1389" s="112"/>
      <c r="P1389" s="140" t="str">
        <f t="shared" si="236"/>
        <v/>
      </c>
      <c r="Q1389" s="140" t="str">
        <f t="shared" si="237"/>
        <v/>
      </c>
      <c r="R1389" s="140" t="str">
        <f t="shared" si="238"/>
        <v/>
      </c>
      <c r="S1389" s="140" t="str">
        <f t="shared" si="239"/>
        <v/>
      </c>
      <c r="T1389" s="140" t="str">
        <f t="shared" si="240"/>
        <v/>
      </c>
      <c r="U1389" s="140" t="str">
        <f t="shared" si="241"/>
        <v/>
      </c>
      <c r="V1389" s="99"/>
    </row>
    <row r="1390" spans="1:22">
      <c r="A1390" s="92"/>
      <c r="B1390" s="146" t="s">
        <v>383</v>
      </c>
      <c r="C1390" s="147"/>
      <c r="D1390" s="137"/>
      <c r="E1390" s="148">
        <f>((1.15-0.05-0.016)/10)+0.012+0.02</f>
        <v>0.14039999999999997</v>
      </c>
      <c r="F1390" s="139"/>
      <c r="G1390" s="98">
        <v>10</v>
      </c>
      <c r="H1390" s="99">
        <v>2</v>
      </c>
      <c r="I1390" s="111">
        <f>(1.48/0.1)+1</f>
        <v>15.799999999999999</v>
      </c>
      <c r="J1390" s="149">
        <f>2*(D1392+E1390)+2*8*G1390/1000</f>
        <v>0.80079999999999996</v>
      </c>
      <c r="K1390" s="99"/>
      <c r="L1390" s="99">
        <v>5</v>
      </c>
      <c r="M1390" s="112">
        <f>2*G1390*L1390/1000</f>
        <v>0.1</v>
      </c>
      <c r="N1390" s="112">
        <f>(J1390+K1390-M1390)</f>
        <v>0.70079999999999998</v>
      </c>
      <c r="O1390" s="112">
        <f>(H1390*I1390*N1390)</f>
        <v>22.145279999999996</v>
      </c>
      <c r="P1390" s="140" t="str">
        <f t="shared" si="236"/>
        <v/>
      </c>
      <c r="Q1390" s="140">
        <f t="shared" si="237"/>
        <v>22.145279999999996</v>
      </c>
      <c r="R1390" s="140" t="str">
        <f t="shared" si="238"/>
        <v/>
      </c>
      <c r="S1390" s="140" t="str">
        <f t="shared" si="239"/>
        <v/>
      </c>
      <c r="T1390" s="140" t="str">
        <f t="shared" si="240"/>
        <v/>
      </c>
      <c r="U1390" s="140" t="str">
        <f t="shared" si="241"/>
        <v/>
      </c>
      <c r="V1390" s="99"/>
    </row>
    <row r="1391" spans="1:22">
      <c r="A1391" s="92"/>
      <c r="B1391" s="146"/>
      <c r="C1391" s="136"/>
      <c r="D1391" s="137"/>
      <c r="E1391" s="150"/>
      <c r="F1391" s="139"/>
      <c r="G1391" s="98"/>
      <c r="H1391" s="99"/>
      <c r="I1391" s="99"/>
      <c r="J1391" s="100"/>
      <c r="K1391" s="99"/>
      <c r="L1391" s="99"/>
      <c r="M1391" s="99"/>
      <c r="N1391" s="99"/>
      <c r="O1391" s="112"/>
      <c r="P1391" s="140" t="str">
        <f t="shared" ref="P1391:P1432" si="249">IF($G1391=8,$O1391,"")</f>
        <v/>
      </c>
      <c r="Q1391" s="140" t="str">
        <f t="shared" ref="Q1391:Q1432" si="250">IF($G1391=10,$O1391,"")</f>
        <v/>
      </c>
      <c r="R1391" s="140" t="str">
        <f t="shared" ref="R1391:R1432" si="251">IF($G1391=12,$O1391,"")</f>
        <v/>
      </c>
      <c r="S1391" s="140" t="str">
        <f t="shared" ref="S1391:S1432" si="252">IF($G1391=16,$O1391,"")</f>
        <v/>
      </c>
      <c r="T1391" s="140" t="str">
        <f t="shared" ref="T1391:T1432" si="253">IF($G1391=20,$O1391,"")</f>
        <v/>
      </c>
      <c r="U1391" s="140" t="str">
        <f t="shared" ref="U1391:U1432" si="254">IF($G1391=25,$O1391,"")</f>
        <v/>
      </c>
      <c r="V1391" s="99"/>
    </row>
    <row r="1392" spans="1:22">
      <c r="A1392" s="92"/>
      <c r="B1392" s="146"/>
      <c r="C1392" s="136"/>
      <c r="D1392" s="109">
        <f>0.23-0.05</f>
        <v>0.18</v>
      </c>
      <c r="E1392" s="138"/>
      <c r="F1392" s="139"/>
      <c r="G1392" s="98"/>
      <c r="H1392" s="99"/>
      <c r="I1392" s="99"/>
      <c r="J1392" s="100"/>
      <c r="K1392" s="99"/>
      <c r="L1392" s="99"/>
      <c r="M1392" s="99"/>
      <c r="N1392" s="99"/>
      <c r="O1392" s="112"/>
      <c r="P1392" s="140" t="str">
        <f t="shared" si="249"/>
        <v/>
      </c>
      <c r="Q1392" s="140" t="str">
        <f t="shared" si="250"/>
        <v/>
      </c>
      <c r="R1392" s="140" t="str">
        <f t="shared" si="251"/>
        <v/>
      </c>
      <c r="S1392" s="140" t="str">
        <f t="shared" si="252"/>
        <v/>
      </c>
      <c r="T1392" s="140" t="str">
        <f t="shared" si="253"/>
        <v/>
      </c>
      <c r="U1392" s="140" t="str">
        <f t="shared" si="254"/>
        <v/>
      </c>
      <c r="V1392" s="99"/>
    </row>
    <row r="1393" spans="1:22">
      <c r="A1393" s="92"/>
      <c r="B1393" s="141"/>
      <c r="C1393" s="136"/>
      <c r="D1393" s="137"/>
      <c r="E1393" s="138"/>
      <c r="F1393" s="139"/>
      <c r="G1393" s="98"/>
      <c r="H1393" s="99"/>
      <c r="I1393" s="99"/>
      <c r="J1393" s="100"/>
      <c r="K1393" s="99"/>
      <c r="L1393" s="99"/>
      <c r="M1393" s="99"/>
      <c r="N1393" s="99"/>
      <c r="O1393" s="101"/>
      <c r="P1393" s="140" t="str">
        <f t="shared" si="249"/>
        <v/>
      </c>
      <c r="Q1393" s="140" t="str">
        <f t="shared" si="250"/>
        <v/>
      </c>
      <c r="R1393" s="140" t="str">
        <f t="shared" si="251"/>
        <v/>
      </c>
      <c r="S1393" s="140" t="str">
        <f t="shared" si="252"/>
        <v/>
      </c>
      <c r="T1393" s="140" t="str">
        <f t="shared" si="253"/>
        <v/>
      </c>
      <c r="U1393" s="140" t="str">
        <f t="shared" si="254"/>
        <v/>
      </c>
      <c r="V1393" s="99"/>
    </row>
    <row r="1394" spans="1:22">
      <c r="A1394" s="92"/>
      <c r="B1394" s="141"/>
      <c r="C1394" s="136"/>
      <c r="D1394" s="137"/>
      <c r="E1394" s="144">
        <v>0.08</v>
      </c>
      <c r="F1394" s="139"/>
      <c r="G1394" s="98"/>
      <c r="H1394" s="99"/>
      <c r="I1394" s="99"/>
      <c r="J1394" s="100"/>
      <c r="K1394" s="99"/>
      <c r="L1394" s="99"/>
      <c r="M1394" s="99"/>
      <c r="N1394" s="99"/>
      <c r="O1394" s="101"/>
      <c r="P1394" s="140" t="str">
        <f t="shared" si="249"/>
        <v/>
      </c>
      <c r="Q1394" s="140" t="str">
        <f t="shared" si="250"/>
        <v/>
      </c>
      <c r="R1394" s="140" t="str">
        <f t="shared" si="251"/>
        <v/>
      </c>
      <c r="S1394" s="140" t="str">
        <f t="shared" si="252"/>
        <v/>
      </c>
      <c r="T1394" s="140" t="str">
        <f t="shared" si="253"/>
        <v/>
      </c>
      <c r="U1394" s="140" t="str">
        <f t="shared" si="254"/>
        <v/>
      </c>
      <c r="V1394" s="99"/>
    </row>
    <row r="1395" spans="1:22">
      <c r="A1395" s="92"/>
      <c r="B1395" s="146" t="s">
        <v>384</v>
      </c>
      <c r="C1395" s="136"/>
      <c r="D1395" s="142">
        <f>0.23-0.05</f>
        <v>0.18</v>
      </c>
      <c r="E1395" s="144"/>
      <c r="F1395" s="139"/>
      <c r="G1395" s="98">
        <v>10</v>
      </c>
      <c r="H1395" s="99">
        <v>2</v>
      </c>
      <c r="I1395" s="111">
        <f>(1.48/0.1)+1</f>
        <v>15.799999999999999</v>
      </c>
      <c r="J1395" s="149">
        <f>D1395+E1394+E1396</f>
        <v>0.34</v>
      </c>
      <c r="K1395" s="99"/>
      <c r="L1395" s="99">
        <v>2</v>
      </c>
      <c r="M1395" s="112">
        <f>2*G1395*L1395/1000</f>
        <v>0.04</v>
      </c>
      <c r="N1395" s="112">
        <f>(J1395+K1395-M1395)</f>
        <v>0.30000000000000004</v>
      </c>
      <c r="O1395" s="112">
        <f>(H1395*I1395*N1395)</f>
        <v>9.48</v>
      </c>
      <c r="P1395" s="140" t="str">
        <f t="shared" si="249"/>
        <v/>
      </c>
      <c r="Q1395" s="140">
        <f t="shared" si="250"/>
        <v>9.48</v>
      </c>
      <c r="R1395" s="140" t="str">
        <f t="shared" si="251"/>
        <v/>
      </c>
      <c r="S1395" s="140" t="str">
        <f t="shared" si="252"/>
        <v/>
      </c>
      <c r="T1395" s="140" t="str">
        <f t="shared" si="253"/>
        <v/>
      </c>
      <c r="U1395" s="140" t="str">
        <f t="shared" si="254"/>
        <v/>
      </c>
      <c r="V1395" s="99"/>
    </row>
    <row r="1396" spans="1:22">
      <c r="A1396" s="92"/>
      <c r="B1396" s="141"/>
      <c r="C1396" s="136"/>
      <c r="D1396" s="137"/>
      <c r="E1396" s="144">
        <v>0.08</v>
      </c>
      <c r="F1396" s="139"/>
      <c r="G1396" s="98"/>
      <c r="H1396" s="99"/>
      <c r="I1396" s="99"/>
      <c r="J1396" s="100"/>
      <c r="K1396" s="99"/>
      <c r="L1396" s="99"/>
      <c r="M1396" s="99"/>
      <c r="N1396" s="99"/>
      <c r="O1396" s="101"/>
      <c r="P1396" s="140" t="str">
        <f t="shared" si="249"/>
        <v/>
      </c>
      <c r="Q1396" s="140" t="str">
        <f t="shared" si="250"/>
        <v/>
      </c>
      <c r="R1396" s="140" t="str">
        <f t="shared" si="251"/>
        <v/>
      </c>
      <c r="S1396" s="140" t="str">
        <f t="shared" si="252"/>
        <v/>
      </c>
      <c r="T1396" s="140" t="str">
        <f t="shared" si="253"/>
        <v/>
      </c>
      <c r="U1396" s="140" t="str">
        <f t="shared" si="254"/>
        <v/>
      </c>
      <c r="V1396" s="99"/>
    </row>
    <row r="1397" spans="1:22">
      <c r="A1397" s="92"/>
      <c r="B1397" s="146"/>
      <c r="C1397" s="136"/>
      <c r="D1397" s="152"/>
      <c r="E1397" s="138"/>
      <c r="F1397" s="139"/>
      <c r="G1397" s="98"/>
      <c r="H1397" s="99"/>
      <c r="I1397" s="99"/>
      <c r="J1397" s="100"/>
      <c r="K1397" s="99"/>
      <c r="L1397" s="99"/>
      <c r="M1397" s="99"/>
      <c r="N1397" s="99"/>
      <c r="O1397" s="101"/>
      <c r="P1397" s="140" t="str">
        <f t="shared" si="249"/>
        <v/>
      </c>
      <c r="Q1397" s="140" t="str">
        <f t="shared" si="250"/>
        <v/>
      </c>
      <c r="R1397" s="140" t="str">
        <f t="shared" si="251"/>
        <v/>
      </c>
      <c r="S1397" s="140" t="str">
        <f t="shared" si="252"/>
        <v/>
      </c>
      <c r="T1397" s="140" t="str">
        <f t="shared" si="253"/>
        <v/>
      </c>
      <c r="U1397" s="140" t="str">
        <f t="shared" si="254"/>
        <v/>
      </c>
      <c r="V1397" s="99"/>
    </row>
    <row r="1398" spans="1:22">
      <c r="A1398" s="92">
        <v>13</v>
      </c>
      <c r="B1398" s="92" t="s">
        <v>402</v>
      </c>
      <c r="C1398" s="136"/>
      <c r="D1398" s="137"/>
      <c r="E1398" s="138"/>
      <c r="F1398" s="139"/>
      <c r="G1398" s="98"/>
      <c r="H1398" s="99"/>
      <c r="I1398" s="99"/>
      <c r="J1398" s="109"/>
      <c r="K1398" s="112"/>
      <c r="L1398" s="112"/>
      <c r="M1398" s="99"/>
      <c r="N1398" s="112"/>
      <c r="O1398" s="112"/>
      <c r="P1398" s="140" t="str">
        <f>IF($G1398=8,$O1398,"")</f>
        <v/>
      </c>
      <c r="Q1398" s="140" t="str">
        <f>IF($G1398=10,$O1398,"")</f>
        <v/>
      </c>
      <c r="R1398" s="140" t="str">
        <f>IF($G1398=12,$O1398,"")</f>
        <v/>
      </c>
      <c r="S1398" s="140" t="str">
        <f>IF($G1398=16,$O1398,"")</f>
        <v/>
      </c>
      <c r="T1398" s="140" t="str">
        <f>IF($G1398=20,$O1398,"")</f>
        <v/>
      </c>
      <c r="U1398" s="140" t="str">
        <f>IF($G1398=25,$O1398,"")</f>
        <v/>
      </c>
      <c r="V1398" s="99"/>
    </row>
    <row r="1399" spans="1:22">
      <c r="A1399" s="92"/>
      <c r="B1399" s="141" t="s">
        <v>378</v>
      </c>
      <c r="C1399" s="136"/>
      <c r="D1399" s="142">
        <v>1.68</v>
      </c>
      <c r="E1399" s="138"/>
      <c r="F1399" s="139"/>
      <c r="G1399" s="98">
        <v>20</v>
      </c>
      <c r="H1399" s="99">
        <v>4</v>
      </c>
      <c r="I1399" s="99">
        <v>4</v>
      </c>
      <c r="J1399" s="109">
        <f>D1399</f>
        <v>1.68</v>
      </c>
      <c r="K1399" s="110" t="str">
        <f>IF(N1399&lt;12,"0",0.049*G1399)</f>
        <v>0</v>
      </c>
      <c r="L1399" s="111">
        <v>0</v>
      </c>
      <c r="M1399" s="99">
        <f>2*G1399*L1399/1000</f>
        <v>0</v>
      </c>
      <c r="N1399" s="112">
        <f>J1399-M1399</f>
        <v>1.68</v>
      </c>
      <c r="O1399" s="112">
        <f t="shared" ref="O1399:O1405" si="255">H1399*I1399*N1399</f>
        <v>26.88</v>
      </c>
      <c r="P1399" s="140" t="str">
        <f t="shared" si="249"/>
        <v/>
      </c>
      <c r="Q1399" s="140" t="str">
        <f t="shared" si="250"/>
        <v/>
      </c>
      <c r="R1399" s="140" t="str">
        <f t="shared" si="251"/>
        <v/>
      </c>
      <c r="S1399" s="140" t="str">
        <f t="shared" si="252"/>
        <v/>
      </c>
      <c r="T1399" s="140">
        <f t="shared" si="253"/>
        <v>26.88</v>
      </c>
      <c r="U1399" s="140" t="str">
        <f t="shared" si="254"/>
        <v/>
      </c>
      <c r="V1399" s="99"/>
    </row>
    <row r="1400" spans="1:22">
      <c r="A1400" s="92"/>
      <c r="B1400" s="141" t="s">
        <v>379</v>
      </c>
      <c r="C1400" s="136"/>
      <c r="D1400" s="137"/>
      <c r="E1400" s="138"/>
      <c r="F1400" s="139"/>
      <c r="G1400" s="98">
        <v>20</v>
      </c>
      <c r="H1400" s="99">
        <v>4</v>
      </c>
      <c r="I1400" s="99">
        <v>4</v>
      </c>
      <c r="J1400" s="109">
        <f>D1399</f>
        <v>1.68</v>
      </c>
      <c r="K1400" s="110" t="str">
        <f t="shared" ref="K1400:K1405" si="256">IF(N1400&lt;12,"0",0.049*G1400)</f>
        <v>0</v>
      </c>
      <c r="L1400" s="111">
        <v>0</v>
      </c>
      <c r="M1400" s="99">
        <f t="shared" ref="M1400:M1405" si="257">2*G1400*L1400/1000</f>
        <v>0</v>
      </c>
      <c r="N1400" s="112">
        <f t="shared" ref="N1400:N1405" si="258">J1400-M1400</f>
        <v>1.68</v>
      </c>
      <c r="O1400" s="112">
        <f t="shared" si="255"/>
        <v>26.88</v>
      </c>
      <c r="P1400" s="140" t="str">
        <f t="shared" si="249"/>
        <v/>
      </c>
      <c r="Q1400" s="140" t="str">
        <f t="shared" si="250"/>
        <v/>
      </c>
      <c r="R1400" s="140" t="str">
        <f t="shared" si="251"/>
        <v/>
      </c>
      <c r="S1400" s="140" t="str">
        <f t="shared" si="252"/>
        <v/>
      </c>
      <c r="T1400" s="140">
        <f t="shared" si="253"/>
        <v>26.88</v>
      </c>
      <c r="U1400" s="140" t="str">
        <f t="shared" si="254"/>
        <v/>
      </c>
      <c r="V1400" s="99"/>
    </row>
    <row r="1401" spans="1:22">
      <c r="A1401" s="92"/>
      <c r="B1401" s="141" t="s">
        <v>380</v>
      </c>
      <c r="C1401" s="143"/>
      <c r="D1401" s="142"/>
      <c r="E1401" s="144"/>
      <c r="F1401" s="139"/>
      <c r="G1401" s="98">
        <v>20</v>
      </c>
      <c r="H1401" s="99">
        <v>4</v>
      </c>
      <c r="I1401" s="99">
        <v>4</v>
      </c>
      <c r="J1401" s="109">
        <f>D1399</f>
        <v>1.68</v>
      </c>
      <c r="K1401" s="110" t="str">
        <f t="shared" si="256"/>
        <v>0</v>
      </c>
      <c r="L1401" s="111">
        <v>0</v>
      </c>
      <c r="M1401" s="99">
        <f t="shared" si="257"/>
        <v>0</v>
      </c>
      <c r="N1401" s="112">
        <f t="shared" si="258"/>
        <v>1.68</v>
      </c>
      <c r="O1401" s="112">
        <f t="shared" si="255"/>
        <v>26.88</v>
      </c>
      <c r="P1401" s="140" t="str">
        <f t="shared" si="249"/>
        <v/>
      </c>
      <c r="Q1401" s="140" t="str">
        <f t="shared" si="250"/>
        <v/>
      </c>
      <c r="R1401" s="140" t="str">
        <f t="shared" si="251"/>
        <v/>
      </c>
      <c r="S1401" s="140" t="str">
        <f t="shared" si="252"/>
        <v/>
      </c>
      <c r="T1401" s="140">
        <f t="shared" si="253"/>
        <v>26.88</v>
      </c>
      <c r="U1401" s="140" t="str">
        <f t="shared" si="254"/>
        <v/>
      </c>
      <c r="V1401" s="99"/>
    </row>
    <row r="1402" spans="1:22">
      <c r="A1402" s="92"/>
      <c r="B1402" s="141" t="s">
        <v>381</v>
      </c>
      <c r="C1402" s="136"/>
      <c r="D1402" s="137"/>
      <c r="E1402" s="138"/>
      <c r="F1402" s="139"/>
      <c r="G1402" s="98">
        <v>16</v>
      </c>
      <c r="H1402" s="99">
        <v>4</v>
      </c>
      <c r="I1402" s="99">
        <v>4</v>
      </c>
      <c r="J1402" s="109">
        <f>D1399</f>
        <v>1.68</v>
      </c>
      <c r="K1402" s="110" t="str">
        <f t="shared" si="256"/>
        <v>0</v>
      </c>
      <c r="L1402" s="111">
        <v>0</v>
      </c>
      <c r="M1402" s="99">
        <f t="shared" si="257"/>
        <v>0</v>
      </c>
      <c r="N1402" s="112">
        <f t="shared" si="258"/>
        <v>1.68</v>
      </c>
      <c r="O1402" s="112">
        <f t="shared" si="255"/>
        <v>26.88</v>
      </c>
      <c r="P1402" s="140" t="str">
        <f t="shared" si="249"/>
        <v/>
      </c>
      <c r="Q1402" s="140" t="str">
        <f t="shared" si="250"/>
        <v/>
      </c>
      <c r="R1402" s="140" t="str">
        <f t="shared" si="251"/>
        <v/>
      </c>
      <c r="S1402" s="140">
        <f t="shared" si="252"/>
        <v>26.88</v>
      </c>
      <c r="T1402" s="140" t="str">
        <f t="shared" si="253"/>
        <v/>
      </c>
      <c r="U1402" s="140" t="str">
        <f t="shared" si="254"/>
        <v/>
      </c>
      <c r="V1402" s="99"/>
    </row>
    <row r="1403" spans="1:22">
      <c r="A1403" s="92"/>
      <c r="B1403" s="141" t="s">
        <v>389</v>
      </c>
      <c r="C1403" s="136"/>
      <c r="D1403" s="137"/>
      <c r="E1403" s="138"/>
      <c r="F1403" s="139"/>
      <c r="G1403" s="98">
        <v>16</v>
      </c>
      <c r="H1403" s="99">
        <v>4</v>
      </c>
      <c r="I1403" s="99">
        <v>4</v>
      </c>
      <c r="J1403" s="109">
        <f>D1399</f>
        <v>1.68</v>
      </c>
      <c r="K1403" s="110" t="str">
        <f t="shared" si="256"/>
        <v>0</v>
      </c>
      <c r="L1403" s="111">
        <v>0</v>
      </c>
      <c r="M1403" s="99">
        <f t="shared" si="257"/>
        <v>0</v>
      </c>
      <c r="N1403" s="112">
        <f t="shared" si="258"/>
        <v>1.68</v>
      </c>
      <c r="O1403" s="112">
        <f t="shared" si="255"/>
        <v>26.88</v>
      </c>
      <c r="P1403" s="140" t="str">
        <f t="shared" si="249"/>
        <v/>
      </c>
      <c r="Q1403" s="140" t="str">
        <f t="shared" si="250"/>
        <v/>
      </c>
      <c r="R1403" s="140" t="str">
        <f t="shared" si="251"/>
        <v/>
      </c>
      <c r="S1403" s="140">
        <f t="shared" si="252"/>
        <v>26.88</v>
      </c>
      <c r="T1403" s="140" t="str">
        <f t="shared" si="253"/>
        <v/>
      </c>
      <c r="U1403" s="140" t="str">
        <f t="shared" si="254"/>
        <v/>
      </c>
      <c r="V1403" s="99"/>
    </row>
    <row r="1404" spans="1:22">
      <c r="A1404" s="92"/>
      <c r="B1404" s="141" t="s">
        <v>401</v>
      </c>
      <c r="C1404" s="136"/>
      <c r="D1404" s="137"/>
      <c r="E1404" s="138"/>
      <c r="F1404" s="139"/>
      <c r="G1404" s="98">
        <v>16</v>
      </c>
      <c r="H1404" s="99">
        <v>4</v>
      </c>
      <c r="I1404" s="99">
        <v>8</v>
      </c>
      <c r="J1404" s="109">
        <f>D1399</f>
        <v>1.68</v>
      </c>
      <c r="K1404" s="110" t="str">
        <f t="shared" si="256"/>
        <v>0</v>
      </c>
      <c r="L1404" s="111">
        <v>0</v>
      </c>
      <c r="M1404" s="99">
        <f t="shared" si="257"/>
        <v>0</v>
      </c>
      <c r="N1404" s="112">
        <f t="shared" si="258"/>
        <v>1.68</v>
      </c>
      <c r="O1404" s="112">
        <f t="shared" si="255"/>
        <v>53.76</v>
      </c>
      <c r="P1404" s="140" t="str">
        <f t="shared" si="249"/>
        <v/>
      </c>
      <c r="Q1404" s="140" t="str">
        <f t="shared" si="250"/>
        <v/>
      </c>
      <c r="R1404" s="140" t="str">
        <f t="shared" si="251"/>
        <v/>
      </c>
      <c r="S1404" s="140">
        <f t="shared" si="252"/>
        <v>53.76</v>
      </c>
      <c r="T1404" s="140" t="str">
        <f t="shared" si="253"/>
        <v/>
      </c>
      <c r="U1404" s="140" t="str">
        <f t="shared" si="254"/>
        <v/>
      </c>
      <c r="V1404" s="99"/>
    </row>
    <row r="1405" spans="1:22">
      <c r="A1405" s="92"/>
      <c r="B1405" s="141" t="s">
        <v>403</v>
      </c>
      <c r="C1405" s="136"/>
      <c r="D1405" s="137"/>
      <c r="E1405" s="138"/>
      <c r="F1405" s="139"/>
      <c r="G1405" s="98">
        <v>16</v>
      </c>
      <c r="H1405" s="99">
        <v>4</v>
      </c>
      <c r="I1405" s="99">
        <v>6</v>
      </c>
      <c r="J1405" s="109">
        <f>D1399</f>
        <v>1.68</v>
      </c>
      <c r="K1405" s="110" t="str">
        <f t="shared" si="256"/>
        <v>0</v>
      </c>
      <c r="L1405" s="111">
        <v>0</v>
      </c>
      <c r="M1405" s="99">
        <f t="shared" si="257"/>
        <v>0</v>
      </c>
      <c r="N1405" s="112">
        <f t="shared" si="258"/>
        <v>1.68</v>
      </c>
      <c r="O1405" s="112">
        <f t="shared" si="255"/>
        <v>40.32</v>
      </c>
      <c r="P1405" s="140" t="str">
        <f t="shared" si="249"/>
        <v/>
      </c>
      <c r="Q1405" s="140" t="str">
        <f t="shared" si="250"/>
        <v/>
      </c>
      <c r="R1405" s="140" t="str">
        <f t="shared" si="251"/>
        <v/>
      </c>
      <c r="S1405" s="140">
        <f t="shared" si="252"/>
        <v>40.32</v>
      </c>
      <c r="T1405" s="140" t="str">
        <f t="shared" si="253"/>
        <v/>
      </c>
      <c r="U1405" s="140" t="str">
        <f t="shared" si="254"/>
        <v/>
      </c>
      <c r="V1405" s="99"/>
    </row>
    <row r="1406" spans="1:22">
      <c r="A1406" s="92"/>
      <c r="B1406" s="141"/>
      <c r="C1406" s="136"/>
      <c r="D1406" s="137"/>
      <c r="E1406" s="138"/>
      <c r="F1406" s="139"/>
      <c r="G1406" s="98"/>
      <c r="H1406" s="99"/>
      <c r="I1406" s="99"/>
      <c r="J1406" s="109"/>
      <c r="K1406" s="110"/>
      <c r="L1406" s="111"/>
      <c r="M1406" s="99"/>
      <c r="N1406" s="112"/>
      <c r="O1406" s="112"/>
      <c r="P1406" s="140"/>
      <c r="Q1406" s="140"/>
      <c r="R1406" s="140"/>
      <c r="S1406" s="140"/>
      <c r="T1406" s="140"/>
      <c r="U1406" s="140"/>
      <c r="V1406" s="99"/>
    </row>
    <row r="1407" spans="1:22">
      <c r="A1407" s="92"/>
      <c r="B1407" s="92"/>
      <c r="C1407" s="145">
        <v>0.08</v>
      </c>
      <c r="D1407" s="137"/>
      <c r="E1407" s="138"/>
      <c r="F1407" s="139"/>
      <c r="G1407" s="98"/>
      <c r="H1407" s="99"/>
      <c r="I1407" s="99"/>
      <c r="J1407" s="100"/>
      <c r="K1407" s="99"/>
      <c r="L1407" s="99"/>
      <c r="M1407" s="99"/>
      <c r="N1407" s="99"/>
      <c r="O1407" s="101"/>
      <c r="P1407" s="140" t="str">
        <f t="shared" si="249"/>
        <v/>
      </c>
      <c r="Q1407" s="140" t="str">
        <f t="shared" si="250"/>
        <v/>
      </c>
      <c r="R1407" s="140" t="str">
        <f t="shared" si="251"/>
        <v/>
      </c>
      <c r="S1407" s="140" t="str">
        <f t="shared" si="252"/>
        <v/>
      </c>
      <c r="T1407" s="140" t="str">
        <f t="shared" si="253"/>
        <v/>
      </c>
      <c r="U1407" s="140" t="str">
        <f t="shared" si="254"/>
        <v/>
      </c>
      <c r="V1407" s="99"/>
    </row>
    <row r="1408" spans="1:22">
      <c r="A1408" s="92"/>
      <c r="B1408" s="146" t="s">
        <v>382</v>
      </c>
      <c r="C1408" s="147"/>
      <c r="D1408" s="137"/>
      <c r="E1408" s="148">
        <f>1.7-0.05</f>
        <v>1.65</v>
      </c>
      <c r="F1408" s="139"/>
      <c r="G1408" s="98">
        <v>10</v>
      </c>
      <c r="H1408" s="99">
        <v>4</v>
      </c>
      <c r="I1408" s="111">
        <f>(1.68/0.1)+1</f>
        <v>17.799999999999997</v>
      </c>
      <c r="J1408" s="149">
        <f>2*(D1410+E1408)+2*8*G1408/1000</f>
        <v>3.82</v>
      </c>
      <c r="K1408" s="99"/>
      <c r="L1408" s="99">
        <v>5</v>
      </c>
      <c r="M1408" s="112">
        <f>2*G1408*L1408/1000</f>
        <v>0.1</v>
      </c>
      <c r="N1408" s="112">
        <f>(J1408+K1408-M1408)</f>
        <v>3.7199999999999998</v>
      </c>
      <c r="O1408" s="112">
        <f>(H1408*I1408*N1408)</f>
        <v>264.86399999999992</v>
      </c>
      <c r="P1408" s="140" t="str">
        <f t="shared" si="249"/>
        <v/>
      </c>
      <c r="Q1408" s="140">
        <f t="shared" si="250"/>
        <v>264.86399999999992</v>
      </c>
      <c r="R1408" s="140" t="str">
        <f t="shared" si="251"/>
        <v/>
      </c>
      <c r="S1408" s="140" t="str">
        <f t="shared" si="252"/>
        <v/>
      </c>
      <c r="T1408" s="140" t="str">
        <f t="shared" si="253"/>
        <v/>
      </c>
      <c r="U1408" s="140" t="str">
        <f t="shared" si="254"/>
        <v/>
      </c>
      <c r="V1408" s="99"/>
    </row>
    <row r="1409" spans="1:22">
      <c r="A1409" s="92"/>
      <c r="B1409" s="146"/>
      <c r="C1409" s="136"/>
      <c r="D1409" s="137"/>
      <c r="E1409" s="150"/>
      <c r="F1409" s="139"/>
      <c r="G1409" s="98"/>
      <c r="H1409" s="99"/>
      <c r="I1409" s="99"/>
      <c r="J1409" s="100"/>
      <c r="K1409" s="99"/>
      <c r="L1409" s="99"/>
      <c r="M1409" s="99"/>
      <c r="N1409" s="99"/>
      <c r="O1409" s="112"/>
      <c r="P1409" s="140" t="str">
        <f t="shared" si="249"/>
        <v/>
      </c>
      <c r="Q1409" s="140" t="str">
        <f t="shared" si="250"/>
        <v/>
      </c>
      <c r="R1409" s="140" t="str">
        <f t="shared" si="251"/>
        <v/>
      </c>
      <c r="S1409" s="140" t="str">
        <f t="shared" si="252"/>
        <v/>
      </c>
      <c r="T1409" s="140" t="str">
        <f t="shared" si="253"/>
        <v/>
      </c>
      <c r="U1409" s="140" t="str">
        <f t="shared" si="254"/>
        <v/>
      </c>
      <c r="V1409" s="99"/>
    </row>
    <row r="1410" spans="1:22">
      <c r="A1410" s="92"/>
      <c r="B1410" s="146"/>
      <c r="C1410" s="136"/>
      <c r="D1410" s="109">
        <f>0.23-0.05</f>
        <v>0.18</v>
      </c>
      <c r="E1410" s="138"/>
      <c r="F1410" s="139"/>
      <c r="G1410" s="98"/>
      <c r="H1410" s="99"/>
      <c r="I1410" s="99"/>
      <c r="J1410" s="100"/>
      <c r="K1410" s="99"/>
      <c r="L1410" s="99"/>
      <c r="M1410" s="99"/>
      <c r="N1410" s="99"/>
      <c r="O1410" s="112"/>
      <c r="P1410" s="140" t="str">
        <f t="shared" si="249"/>
        <v/>
      </c>
      <c r="Q1410" s="140" t="str">
        <f t="shared" si="250"/>
        <v/>
      </c>
      <c r="R1410" s="140" t="str">
        <f t="shared" si="251"/>
        <v/>
      </c>
      <c r="S1410" s="140" t="str">
        <f t="shared" si="252"/>
        <v/>
      </c>
      <c r="T1410" s="140" t="str">
        <f t="shared" si="253"/>
        <v/>
      </c>
      <c r="U1410" s="140" t="str">
        <f t="shared" si="254"/>
        <v/>
      </c>
      <c r="V1410" s="99"/>
    </row>
    <row r="1411" spans="1:22">
      <c r="A1411" s="92"/>
      <c r="B1411" s="141"/>
      <c r="C1411" s="136"/>
      <c r="D1411" s="137"/>
      <c r="E1411" s="138"/>
      <c r="F1411" s="139"/>
      <c r="G1411" s="98"/>
      <c r="H1411" s="99"/>
      <c r="I1411" s="99"/>
      <c r="J1411" s="100"/>
      <c r="K1411" s="99"/>
      <c r="L1411" s="99"/>
      <c r="M1411" s="99"/>
      <c r="N1411" s="99"/>
      <c r="O1411" s="112"/>
      <c r="P1411" s="140" t="str">
        <f t="shared" si="249"/>
        <v/>
      </c>
      <c r="Q1411" s="140" t="str">
        <f t="shared" si="250"/>
        <v/>
      </c>
      <c r="R1411" s="140" t="str">
        <f t="shared" si="251"/>
        <v/>
      </c>
      <c r="S1411" s="140" t="str">
        <f t="shared" si="252"/>
        <v/>
      </c>
      <c r="T1411" s="140" t="str">
        <f t="shared" si="253"/>
        <v/>
      </c>
      <c r="U1411" s="140" t="str">
        <f t="shared" si="254"/>
        <v/>
      </c>
      <c r="V1411" s="99"/>
    </row>
    <row r="1412" spans="1:22">
      <c r="A1412" s="92"/>
      <c r="B1412" s="92"/>
      <c r="C1412" s="145">
        <v>0.08</v>
      </c>
      <c r="D1412" s="137"/>
      <c r="E1412" s="138"/>
      <c r="F1412" s="139"/>
      <c r="G1412" s="98"/>
      <c r="H1412" s="99"/>
      <c r="I1412" s="99"/>
      <c r="J1412" s="100"/>
      <c r="K1412" s="99"/>
      <c r="L1412" s="99"/>
      <c r="M1412" s="99"/>
      <c r="N1412" s="99"/>
      <c r="O1412" s="112"/>
      <c r="P1412" s="140" t="str">
        <f t="shared" si="249"/>
        <v/>
      </c>
      <c r="Q1412" s="140" t="str">
        <f t="shared" si="250"/>
        <v/>
      </c>
      <c r="R1412" s="140" t="str">
        <f t="shared" si="251"/>
        <v/>
      </c>
      <c r="S1412" s="140" t="str">
        <f t="shared" si="252"/>
        <v/>
      </c>
      <c r="T1412" s="140" t="str">
        <f t="shared" si="253"/>
        <v/>
      </c>
      <c r="U1412" s="140" t="str">
        <f t="shared" si="254"/>
        <v/>
      </c>
      <c r="V1412" s="99"/>
    </row>
    <row r="1413" spans="1:22">
      <c r="A1413" s="92"/>
      <c r="B1413" s="146" t="s">
        <v>383</v>
      </c>
      <c r="C1413" s="147"/>
      <c r="D1413" s="137"/>
      <c r="E1413" s="148">
        <f>((1.7-0.05-0.02)/16)+0.016+0.02</f>
        <v>0.137875</v>
      </c>
      <c r="F1413" s="139"/>
      <c r="G1413" s="98">
        <v>10</v>
      </c>
      <c r="H1413" s="99">
        <v>4</v>
      </c>
      <c r="I1413" s="111">
        <f>(1.68/0.1)+1</f>
        <v>17.799999999999997</v>
      </c>
      <c r="J1413" s="149">
        <f>2*(D1415+E1413)+2*8*G1413/1000</f>
        <v>0.79575000000000007</v>
      </c>
      <c r="K1413" s="99"/>
      <c r="L1413" s="99">
        <v>5</v>
      </c>
      <c r="M1413" s="112">
        <f>2*G1413*L1413/1000</f>
        <v>0.1</v>
      </c>
      <c r="N1413" s="112">
        <f>(J1413+K1413-M1413)</f>
        <v>0.69575000000000009</v>
      </c>
      <c r="O1413" s="112">
        <f>(H1413*I1413*N1413)</f>
        <v>49.537399999999998</v>
      </c>
      <c r="P1413" s="140" t="str">
        <f t="shared" si="249"/>
        <v/>
      </c>
      <c r="Q1413" s="140">
        <f t="shared" si="250"/>
        <v>49.537399999999998</v>
      </c>
      <c r="R1413" s="140" t="str">
        <f t="shared" si="251"/>
        <v/>
      </c>
      <c r="S1413" s="140" t="str">
        <f t="shared" si="252"/>
        <v/>
      </c>
      <c r="T1413" s="140" t="str">
        <f t="shared" si="253"/>
        <v/>
      </c>
      <c r="U1413" s="140" t="str">
        <f t="shared" si="254"/>
        <v/>
      </c>
      <c r="V1413" s="99"/>
    </row>
    <row r="1414" spans="1:22">
      <c r="A1414" s="92"/>
      <c r="B1414" s="146"/>
      <c r="C1414" s="136"/>
      <c r="D1414" s="137"/>
      <c r="E1414" s="150"/>
      <c r="F1414" s="139"/>
      <c r="G1414" s="98"/>
      <c r="H1414" s="99"/>
      <c r="I1414" s="99"/>
      <c r="J1414" s="100"/>
      <c r="K1414" s="99"/>
      <c r="L1414" s="99"/>
      <c r="M1414" s="99"/>
      <c r="N1414" s="99"/>
      <c r="O1414" s="112"/>
      <c r="P1414" s="140" t="str">
        <f t="shared" si="249"/>
        <v/>
      </c>
      <c r="Q1414" s="140" t="str">
        <f t="shared" si="250"/>
        <v/>
      </c>
      <c r="R1414" s="140" t="str">
        <f t="shared" si="251"/>
        <v/>
      </c>
      <c r="S1414" s="140" t="str">
        <f t="shared" si="252"/>
        <v/>
      </c>
      <c r="T1414" s="140" t="str">
        <f t="shared" si="253"/>
        <v/>
      </c>
      <c r="U1414" s="140" t="str">
        <f t="shared" si="254"/>
        <v/>
      </c>
      <c r="V1414" s="99"/>
    </row>
    <row r="1415" spans="1:22">
      <c r="A1415" s="92"/>
      <c r="B1415" s="146"/>
      <c r="C1415" s="136"/>
      <c r="D1415" s="109">
        <f>0.23-0.05</f>
        <v>0.18</v>
      </c>
      <c r="E1415" s="138"/>
      <c r="F1415" s="139"/>
      <c r="G1415" s="98"/>
      <c r="H1415" s="99"/>
      <c r="I1415" s="99"/>
      <c r="J1415" s="100"/>
      <c r="K1415" s="99"/>
      <c r="L1415" s="99"/>
      <c r="M1415" s="99"/>
      <c r="N1415" s="99"/>
      <c r="O1415" s="112"/>
      <c r="P1415" s="140" t="str">
        <f t="shared" si="249"/>
        <v/>
      </c>
      <c r="Q1415" s="140" t="str">
        <f t="shared" si="250"/>
        <v/>
      </c>
      <c r="R1415" s="140" t="str">
        <f t="shared" si="251"/>
        <v/>
      </c>
      <c r="S1415" s="140" t="str">
        <f t="shared" si="252"/>
        <v/>
      </c>
      <c r="T1415" s="140" t="str">
        <f t="shared" si="253"/>
        <v/>
      </c>
      <c r="U1415" s="140" t="str">
        <f t="shared" si="254"/>
        <v/>
      </c>
      <c r="V1415" s="99"/>
    </row>
    <row r="1416" spans="1:22">
      <c r="A1416" s="92"/>
      <c r="B1416" s="141"/>
      <c r="C1416" s="136"/>
      <c r="D1416" s="137"/>
      <c r="E1416" s="138"/>
      <c r="F1416" s="139"/>
      <c r="G1416" s="98"/>
      <c r="H1416" s="99"/>
      <c r="I1416" s="99"/>
      <c r="J1416" s="100"/>
      <c r="K1416" s="99"/>
      <c r="L1416" s="99"/>
      <c r="M1416" s="99"/>
      <c r="N1416" s="99"/>
      <c r="O1416" s="112"/>
      <c r="P1416" s="140" t="str">
        <f t="shared" si="249"/>
        <v/>
      </c>
      <c r="Q1416" s="140" t="str">
        <f t="shared" si="250"/>
        <v/>
      </c>
      <c r="R1416" s="140" t="str">
        <f t="shared" si="251"/>
        <v/>
      </c>
      <c r="S1416" s="140" t="str">
        <f t="shared" si="252"/>
        <v/>
      </c>
      <c r="T1416" s="140" t="str">
        <f t="shared" si="253"/>
        <v/>
      </c>
      <c r="U1416" s="140" t="str">
        <f t="shared" si="254"/>
        <v/>
      </c>
      <c r="V1416" s="99"/>
    </row>
    <row r="1417" spans="1:22">
      <c r="A1417" s="92"/>
      <c r="B1417" s="92"/>
      <c r="C1417" s="145">
        <v>0.08</v>
      </c>
      <c r="D1417" s="137"/>
      <c r="E1417" s="138"/>
      <c r="F1417" s="139"/>
      <c r="G1417" s="98"/>
      <c r="H1417" s="99"/>
      <c r="I1417" s="99"/>
      <c r="J1417" s="100"/>
      <c r="K1417" s="99"/>
      <c r="L1417" s="99"/>
      <c r="M1417" s="99"/>
      <c r="N1417" s="99"/>
      <c r="O1417" s="112"/>
      <c r="P1417" s="140" t="str">
        <f t="shared" si="249"/>
        <v/>
      </c>
      <c r="Q1417" s="140" t="str">
        <f t="shared" si="250"/>
        <v/>
      </c>
      <c r="R1417" s="140" t="str">
        <f t="shared" si="251"/>
        <v/>
      </c>
      <c r="S1417" s="140" t="str">
        <f t="shared" si="252"/>
        <v/>
      </c>
      <c r="T1417" s="140" t="str">
        <f t="shared" si="253"/>
        <v/>
      </c>
      <c r="U1417" s="140" t="str">
        <f t="shared" si="254"/>
        <v/>
      </c>
      <c r="V1417" s="99"/>
    </row>
    <row r="1418" spans="1:22">
      <c r="A1418" s="92"/>
      <c r="B1418" s="146" t="s">
        <v>384</v>
      </c>
      <c r="C1418" s="147"/>
      <c r="D1418" s="137"/>
      <c r="E1418" s="148">
        <f>((1.7-0.05-0.02)/16)*2+0.016+0.02</f>
        <v>0.23974999999999999</v>
      </c>
      <c r="F1418" s="139"/>
      <c r="G1418" s="98">
        <v>10</v>
      </c>
      <c r="H1418" s="99">
        <v>4</v>
      </c>
      <c r="I1418" s="111">
        <f>(1.68/0.1)+1</f>
        <v>17.799999999999997</v>
      </c>
      <c r="J1418" s="149">
        <f>2*(D1420+E1418)+2*8*G1418/1000</f>
        <v>0.99949999999999994</v>
      </c>
      <c r="K1418" s="99"/>
      <c r="L1418" s="99">
        <v>5</v>
      </c>
      <c r="M1418" s="112">
        <f>2*G1418*L1418/1000</f>
        <v>0.1</v>
      </c>
      <c r="N1418" s="112">
        <f>(J1418+K1418-M1418)</f>
        <v>0.89949999999999997</v>
      </c>
      <c r="O1418" s="112">
        <f>(H1418*I1418*N1418)</f>
        <v>64.044399999999982</v>
      </c>
      <c r="P1418" s="140" t="str">
        <f t="shared" si="249"/>
        <v/>
      </c>
      <c r="Q1418" s="140">
        <f t="shared" si="250"/>
        <v>64.044399999999982</v>
      </c>
      <c r="R1418" s="140" t="str">
        <f t="shared" si="251"/>
        <v/>
      </c>
      <c r="S1418" s="140" t="str">
        <f t="shared" si="252"/>
        <v/>
      </c>
      <c r="T1418" s="140" t="str">
        <f t="shared" si="253"/>
        <v/>
      </c>
      <c r="U1418" s="140" t="str">
        <f t="shared" si="254"/>
        <v/>
      </c>
      <c r="V1418" s="99"/>
    </row>
    <row r="1419" spans="1:22">
      <c r="A1419" s="92"/>
      <c r="B1419" s="146"/>
      <c r="C1419" s="136"/>
      <c r="D1419" s="137"/>
      <c r="E1419" s="150"/>
      <c r="F1419" s="139"/>
      <c r="G1419" s="98"/>
      <c r="H1419" s="99"/>
      <c r="I1419" s="99"/>
      <c r="J1419" s="100"/>
      <c r="K1419" s="99"/>
      <c r="L1419" s="99"/>
      <c r="M1419" s="99"/>
      <c r="N1419" s="99"/>
      <c r="O1419" s="112"/>
      <c r="P1419" s="140" t="str">
        <f t="shared" si="249"/>
        <v/>
      </c>
      <c r="Q1419" s="140" t="str">
        <f t="shared" si="250"/>
        <v/>
      </c>
      <c r="R1419" s="140" t="str">
        <f t="shared" si="251"/>
        <v/>
      </c>
      <c r="S1419" s="140" t="str">
        <f t="shared" si="252"/>
        <v/>
      </c>
      <c r="T1419" s="140" t="str">
        <f t="shared" si="253"/>
        <v/>
      </c>
      <c r="U1419" s="140" t="str">
        <f t="shared" si="254"/>
        <v/>
      </c>
      <c r="V1419" s="99"/>
    </row>
    <row r="1420" spans="1:22">
      <c r="A1420" s="92"/>
      <c r="B1420" s="146"/>
      <c r="C1420" s="136"/>
      <c r="D1420" s="109">
        <f>0.23-0.05</f>
        <v>0.18</v>
      </c>
      <c r="E1420" s="138"/>
      <c r="F1420" s="139"/>
      <c r="G1420" s="98"/>
      <c r="H1420" s="99"/>
      <c r="I1420" s="99"/>
      <c r="J1420" s="100"/>
      <c r="K1420" s="99"/>
      <c r="L1420" s="99"/>
      <c r="M1420" s="99"/>
      <c r="N1420" s="99"/>
      <c r="O1420" s="112"/>
      <c r="P1420" s="140" t="str">
        <f t="shared" si="249"/>
        <v/>
      </c>
      <c r="Q1420" s="140" t="str">
        <f t="shared" si="250"/>
        <v/>
      </c>
      <c r="R1420" s="140" t="str">
        <f t="shared" si="251"/>
        <v/>
      </c>
      <c r="S1420" s="140" t="str">
        <f t="shared" si="252"/>
        <v/>
      </c>
      <c r="T1420" s="140" t="str">
        <f t="shared" si="253"/>
        <v/>
      </c>
      <c r="U1420" s="140" t="str">
        <f t="shared" si="254"/>
        <v/>
      </c>
      <c r="V1420" s="99"/>
    </row>
    <row r="1421" spans="1:22">
      <c r="A1421" s="92"/>
      <c r="B1421" s="141"/>
      <c r="C1421" s="136"/>
      <c r="D1421" s="137"/>
      <c r="E1421" s="138"/>
      <c r="F1421" s="139"/>
      <c r="G1421" s="98"/>
      <c r="H1421" s="99"/>
      <c r="I1421" s="99"/>
      <c r="J1421" s="100"/>
      <c r="K1421" s="99"/>
      <c r="L1421" s="99"/>
      <c r="M1421" s="99"/>
      <c r="N1421" s="99"/>
      <c r="O1421" s="101"/>
      <c r="P1421" s="140" t="str">
        <f t="shared" si="249"/>
        <v/>
      </c>
      <c r="Q1421" s="140" t="str">
        <f t="shared" si="250"/>
        <v/>
      </c>
      <c r="R1421" s="140" t="str">
        <f t="shared" si="251"/>
        <v/>
      </c>
      <c r="S1421" s="140" t="str">
        <f t="shared" si="252"/>
        <v/>
      </c>
      <c r="T1421" s="140" t="str">
        <f t="shared" si="253"/>
        <v/>
      </c>
      <c r="U1421" s="140" t="str">
        <f t="shared" si="254"/>
        <v/>
      </c>
      <c r="V1421" s="99"/>
    </row>
    <row r="1422" spans="1:22">
      <c r="A1422" s="92"/>
      <c r="B1422" s="141"/>
      <c r="C1422" s="136"/>
      <c r="D1422" s="137"/>
      <c r="E1422" s="144">
        <v>0.08</v>
      </c>
      <c r="F1422" s="139"/>
      <c r="G1422" s="98"/>
      <c r="H1422" s="99"/>
      <c r="I1422" s="99"/>
      <c r="J1422" s="100"/>
      <c r="K1422" s="99"/>
      <c r="L1422" s="99"/>
      <c r="M1422" s="99"/>
      <c r="N1422" s="99"/>
      <c r="O1422" s="101"/>
      <c r="P1422" s="140" t="str">
        <f t="shared" si="249"/>
        <v/>
      </c>
      <c r="Q1422" s="140" t="str">
        <f t="shared" si="250"/>
        <v/>
      </c>
      <c r="R1422" s="140" t="str">
        <f t="shared" si="251"/>
        <v/>
      </c>
      <c r="S1422" s="140" t="str">
        <f t="shared" si="252"/>
        <v/>
      </c>
      <c r="T1422" s="140" t="str">
        <f t="shared" si="253"/>
        <v/>
      </c>
      <c r="U1422" s="140" t="str">
        <f t="shared" si="254"/>
        <v/>
      </c>
      <c r="V1422" s="99"/>
    </row>
    <row r="1423" spans="1:22">
      <c r="A1423" s="92"/>
      <c r="B1423" s="146" t="s">
        <v>385</v>
      </c>
      <c r="C1423" s="136"/>
      <c r="D1423" s="142">
        <f>0.23-0.05</f>
        <v>0.18</v>
      </c>
      <c r="E1423" s="144"/>
      <c r="F1423" s="139"/>
      <c r="G1423" s="98">
        <v>10</v>
      </c>
      <c r="H1423" s="99">
        <v>4</v>
      </c>
      <c r="I1423" s="111">
        <f>(1.68/0.1)+1</f>
        <v>17.799999999999997</v>
      </c>
      <c r="J1423" s="149">
        <f>D1423+E1422+E1424</f>
        <v>0.34</v>
      </c>
      <c r="K1423" s="99"/>
      <c r="L1423" s="99">
        <v>2</v>
      </c>
      <c r="M1423" s="112">
        <f>2*G1423*L1423/1000</f>
        <v>0.04</v>
      </c>
      <c r="N1423" s="112">
        <f>(J1423+K1423-M1423)</f>
        <v>0.30000000000000004</v>
      </c>
      <c r="O1423" s="112">
        <f>(H1423*I1423*N1423)</f>
        <v>21.36</v>
      </c>
      <c r="P1423" s="140" t="str">
        <f t="shared" si="249"/>
        <v/>
      </c>
      <c r="Q1423" s="140">
        <f t="shared" si="250"/>
        <v>21.36</v>
      </c>
      <c r="R1423" s="140" t="str">
        <f t="shared" si="251"/>
        <v/>
      </c>
      <c r="S1423" s="140" t="str">
        <f t="shared" si="252"/>
        <v/>
      </c>
      <c r="T1423" s="140" t="str">
        <f t="shared" si="253"/>
        <v/>
      </c>
      <c r="U1423" s="140" t="str">
        <f t="shared" si="254"/>
        <v/>
      </c>
      <c r="V1423" s="99"/>
    </row>
    <row r="1424" spans="1:22">
      <c r="A1424" s="92"/>
      <c r="B1424" s="141"/>
      <c r="C1424" s="136"/>
      <c r="D1424" s="137"/>
      <c r="E1424" s="144">
        <v>0.08</v>
      </c>
      <c r="F1424" s="139"/>
      <c r="G1424" s="98"/>
      <c r="H1424" s="99"/>
      <c r="I1424" s="99"/>
      <c r="J1424" s="100"/>
      <c r="K1424" s="99"/>
      <c r="L1424" s="99"/>
      <c r="M1424" s="99"/>
      <c r="N1424" s="99"/>
      <c r="O1424" s="101"/>
      <c r="P1424" s="140" t="str">
        <f t="shared" si="249"/>
        <v/>
      </c>
      <c r="Q1424" s="140" t="str">
        <f t="shared" si="250"/>
        <v/>
      </c>
      <c r="R1424" s="140" t="str">
        <f t="shared" si="251"/>
        <v/>
      </c>
      <c r="S1424" s="140" t="str">
        <f t="shared" si="252"/>
        <v/>
      </c>
      <c r="T1424" s="140" t="str">
        <f t="shared" si="253"/>
        <v/>
      </c>
      <c r="U1424" s="140" t="str">
        <f t="shared" si="254"/>
        <v/>
      </c>
      <c r="V1424" s="99"/>
    </row>
    <row r="1425" spans="1:22">
      <c r="A1425" s="92"/>
      <c r="B1425" s="146"/>
      <c r="C1425" s="136"/>
      <c r="D1425" s="152"/>
      <c r="E1425" s="138"/>
      <c r="F1425" s="139"/>
      <c r="G1425" s="98"/>
      <c r="H1425" s="99"/>
      <c r="I1425" s="99"/>
      <c r="J1425" s="100"/>
      <c r="K1425" s="99"/>
      <c r="L1425" s="99"/>
      <c r="M1425" s="99"/>
      <c r="N1425" s="99"/>
      <c r="O1425" s="101"/>
      <c r="P1425" s="140" t="str">
        <f t="shared" si="249"/>
        <v/>
      </c>
      <c r="Q1425" s="140" t="str">
        <f t="shared" si="250"/>
        <v/>
      </c>
      <c r="R1425" s="140" t="str">
        <f t="shared" si="251"/>
        <v/>
      </c>
      <c r="S1425" s="140" t="str">
        <f t="shared" si="252"/>
        <v/>
      </c>
      <c r="T1425" s="140" t="str">
        <f t="shared" si="253"/>
        <v/>
      </c>
      <c r="U1425" s="140" t="str">
        <f t="shared" si="254"/>
        <v/>
      </c>
      <c r="V1425" s="99"/>
    </row>
    <row r="1426" spans="1:22">
      <c r="A1426" s="92">
        <v>14</v>
      </c>
      <c r="B1426" s="92" t="s">
        <v>404</v>
      </c>
      <c r="C1426" s="136"/>
      <c r="D1426" s="137"/>
      <c r="E1426" s="138"/>
      <c r="F1426" s="139"/>
      <c r="G1426" s="98"/>
      <c r="H1426" s="99"/>
      <c r="I1426" s="99"/>
      <c r="J1426" s="109"/>
      <c r="K1426" s="112"/>
      <c r="L1426" s="112"/>
      <c r="M1426" s="99"/>
      <c r="N1426" s="112"/>
      <c r="O1426" s="112"/>
      <c r="P1426" s="140" t="str">
        <f>IF($G1426=8,$O1426,"")</f>
        <v/>
      </c>
      <c r="Q1426" s="140" t="str">
        <f>IF($G1426=10,$O1426,"")</f>
        <v/>
      </c>
      <c r="R1426" s="140" t="str">
        <f>IF($G1426=12,$O1426,"")</f>
        <v/>
      </c>
      <c r="S1426" s="140" t="str">
        <f>IF($G1426=16,$O1426,"")</f>
        <v/>
      </c>
      <c r="T1426" s="140" t="str">
        <f>IF($G1426=20,$O1426,"")</f>
        <v/>
      </c>
      <c r="U1426" s="140" t="str">
        <f>IF($G1426=25,$O1426,"")</f>
        <v/>
      </c>
      <c r="V1426" s="99"/>
    </row>
    <row r="1427" spans="1:22">
      <c r="A1427" s="92"/>
      <c r="B1427" s="141" t="s">
        <v>378</v>
      </c>
      <c r="C1427" s="136"/>
      <c r="D1427" s="142">
        <v>1.48</v>
      </c>
      <c r="E1427" s="138"/>
      <c r="F1427" s="139"/>
      <c r="G1427" s="98">
        <v>16</v>
      </c>
      <c r="H1427" s="99">
        <v>2</v>
      </c>
      <c r="I1427" s="99">
        <v>4</v>
      </c>
      <c r="J1427" s="109">
        <f>D1427</f>
        <v>1.48</v>
      </c>
      <c r="K1427" s="110" t="str">
        <f>IF(N1427&lt;12,"0",0.049*G1427)</f>
        <v>0</v>
      </c>
      <c r="L1427" s="111">
        <v>0</v>
      </c>
      <c r="M1427" s="99">
        <f>2*G1427*L1427/1000</f>
        <v>0</v>
      </c>
      <c r="N1427" s="112">
        <f>J1427-M1427</f>
        <v>1.48</v>
      </c>
      <c r="O1427" s="112">
        <f t="shared" ref="O1427:O1432" si="259">H1427*I1427*N1427</f>
        <v>11.84</v>
      </c>
      <c r="P1427" s="140" t="str">
        <f t="shared" si="249"/>
        <v/>
      </c>
      <c r="Q1427" s="140" t="str">
        <f t="shared" si="250"/>
        <v/>
      </c>
      <c r="R1427" s="140" t="str">
        <f t="shared" si="251"/>
        <v/>
      </c>
      <c r="S1427" s="140">
        <f t="shared" si="252"/>
        <v>11.84</v>
      </c>
      <c r="T1427" s="140" t="str">
        <f t="shared" si="253"/>
        <v/>
      </c>
      <c r="U1427" s="140" t="str">
        <f t="shared" si="254"/>
        <v/>
      </c>
      <c r="V1427" s="99"/>
    </row>
    <row r="1428" spans="1:22">
      <c r="A1428" s="92"/>
      <c r="B1428" s="141" t="s">
        <v>379</v>
      </c>
      <c r="C1428" s="136"/>
      <c r="D1428" s="137"/>
      <c r="E1428" s="138"/>
      <c r="F1428" s="139"/>
      <c r="G1428" s="98">
        <v>16</v>
      </c>
      <c r="H1428" s="99">
        <v>2</v>
      </c>
      <c r="I1428" s="99">
        <v>4</v>
      </c>
      <c r="J1428" s="109">
        <f>D1427</f>
        <v>1.48</v>
      </c>
      <c r="K1428" s="110" t="str">
        <f t="shared" ref="K1428:K1432" si="260">IF(N1428&lt;12,"0",0.049*G1428)</f>
        <v>0</v>
      </c>
      <c r="L1428" s="111">
        <v>0</v>
      </c>
      <c r="M1428" s="99">
        <f t="shared" ref="M1428:M1432" si="261">2*G1428*L1428/1000</f>
        <v>0</v>
      </c>
      <c r="N1428" s="112">
        <f t="shared" ref="N1428:N1432" si="262">J1428-M1428</f>
        <v>1.48</v>
      </c>
      <c r="O1428" s="112">
        <f t="shared" si="259"/>
        <v>11.84</v>
      </c>
      <c r="P1428" s="140" t="str">
        <f t="shared" si="249"/>
        <v/>
      </c>
      <c r="Q1428" s="140" t="str">
        <f t="shared" si="250"/>
        <v/>
      </c>
      <c r="R1428" s="140" t="str">
        <f t="shared" si="251"/>
        <v/>
      </c>
      <c r="S1428" s="140">
        <f t="shared" si="252"/>
        <v>11.84</v>
      </c>
      <c r="T1428" s="140" t="str">
        <f t="shared" si="253"/>
        <v/>
      </c>
      <c r="U1428" s="140" t="str">
        <f t="shared" si="254"/>
        <v/>
      </c>
      <c r="V1428" s="99"/>
    </row>
    <row r="1429" spans="1:22">
      <c r="A1429" s="92"/>
      <c r="B1429" s="141" t="s">
        <v>380</v>
      </c>
      <c r="C1429" s="143"/>
      <c r="D1429" s="142"/>
      <c r="E1429" s="144"/>
      <c r="F1429" s="139"/>
      <c r="G1429" s="98">
        <v>16</v>
      </c>
      <c r="H1429" s="99">
        <v>2</v>
      </c>
      <c r="I1429" s="99">
        <v>4</v>
      </c>
      <c r="J1429" s="109">
        <f>D1427</f>
        <v>1.48</v>
      </c>
      <c r="K1429" s="110" t="str">
        <f t="shared" si="260"/>
        <v>0</v>
      </c>
      <c r="L1429" s="111">
        <v>0</v>
      </c>
      <c r="M1429" s="99">
        <f t="shared" si="261"/>
        <v>0</v>
      </c>
      <c r="N1429" s="112">
        <f t="shared" si="262"/>
        <v>1.48</v>
      </c>
      <c r="O1429" s="112">
        <f t="shared" si="259"/>
        <v>11.84</v>
      </c>
      <c r="P1429" s="140" t="str">
        <f t="shared" si="249"/>
        <v/>
      </c>
      <c r="Q1429" s="140" t="str">
        <f t="shared" si="250"/>
        <v/>
      </c>
      <c r="R1429" s="140" t="str">
        <f t="shared" si="251"/>
        <v/>
      </c>
      <c r="S1429" s="140">
        <f t="shared" si="252"/>
        <v>11.84</v>
      </c>
      <c r="T1429" s="140" t="str">
        <f t="shared" si="253"/>
        <v/>
      </c>
      <c r="U1429" s="140" t="str">
        <f t="shared" si="254"/>
        <v/>
      </c>
      <c r="V1429" s="99"/>
    </row>
    <row r="1430" spans="1:22">
      <c r="A1430" s="92"/>
      <c r="B1430" s="141" t="s">
        <v>381</v>
      </c>
      <c r="C1430" s="136"/>
      <c r="D1430" s="137"/>
      <c r="E1430" s="138"/>
      <c r="F1430" s="139"/>
      <c r="G1430" s="98">
        <v>12</v>
      </c>
      <c r="H1430" s="99">
        <v>2</v>
      </c>
      <c r="I1430" s="99">
        <v>4</v>
      </c>
      <c r="J1430" s="109">
        <f>D1427</f>
        <v>1.48</v>
      </c>
      <c r="K1430" s="110" t="str">
        <f t="shared" si="260"/>
        <v>0</v>
      </c>
      <c r="L1430" s="111">
        <v>0</v>
      </c>
      <c r="M1430" s="99">
        <f t="shared" si="261"/>
        <v>0</v>
      </c>
      <c r="N1430" s="112">
        <f t="shared" si="262"/>
        <v>1.48</v>
      </c>
      <c r="O1430" s="112">
        <f t="shared" si="259"/>
        <v>11.84</v>
      </c>
      <c r="P1430" s="140" t="str">
        <f t="shared" si="249"/>
        <v/>
      </c>
      <c r="Q1430" s="140" t="str">
        <f t="shared" si="250"/>
        <v/>
      </c>
      <c r="R1430" s="140">
        <f t="shared" si="251"/>
        <v>11.84</v>
      </c>
      <c r="S1430" s="140" t="str">
        <f t="shared" si="252"/>
        <v/>
      </c>
      <c r="T1430" s="140" t="str">
        <f t="shared" si="253"/>
        <v/>
      </c>
      <c r="U1430" s="140" t="str">
        <f t="shared" si="254"/>
        <v/>
      </c>
      <c r="V1430" s="99"/>
    </row>
    <row r="1431" spans="1:22">
      <c r="A1431" s="92"/>
      <c r="B1431" s="141" t="s">
        <v>389</v>
      </c>
      <c r="C1431" s="136"/>
      <c r="D1431" s="137"/>
      <c r="E1431" s="138"/>
      <c r="F1431" s="139"/>
      <c r="G1431" s="98">
        <v>12</v>
      </c>
      <c r="H1431" s="99">
        <v>2</v>
      </c>
      <c r="I1431" s="99">
        <v>4</v>
      </c>
      <c r="J1431" s="109">
        <f>D1427</f>
        <v>1.48</v>
      </c>
      <c r="K1431" s="110" t="str">
        <f t="shared" si="260"/>
        <v>0</v>
      </c>
      <c r="L1431" s="111">
        <v>0</v>
      </c>
      <c r="M1431" s="99">
        <f t="shared" si="261"/>
        <v>0</v>
      </c>
      <c r="N1431" s="112">
        <f t="shared" si="262"/>
        <v>1.48</v>
      </c>
      <c r="O1431" s="112">
        <f t="shared" si="259"/>
        <v>11.84</v>
      </c>
      <c r="P1431" s="140" t="str">
        <f t="shared" si="249"/>
        <v/>
      </c>
      <c r="Q1431" s="140" t="str">
        <f t="shared" si="250"/>
        <v/>
      </c>
      <c r="R1431" s="140">
        <f t="shared" si="251"/>
        <v>11.84</v>
      </c>
      <c r="S1431" s="140" t="str">
        <f t="shared" si="252"/>
        <v/>
      </c>
      <c r="T1431" s="140" t="str">
        <f t="shared" si="253"/>
        <v/>
      </c>
      <c r="U1431" s="140" t="str">
        <f t="shared" si="254"/>
        <v/>
      </c>
      <c r="V1431" s="99"/>
    </row>
    <row r="1432" spans="1:22">
      <c r="A1432" s="92"/>
      <c r="B1432" s="141" t="s">
        <v>401</v>
      </c>
      <c r="C1432" s="136"/>
      <c r="D1432" s="137"/>
      <c r="E1432" s="138"/>
      <c r="F1432" s="139"/>
      <c r="G1432" s="98">
        <v>12</v>
      </c>
      <c r="H1432" s="99">
        <v>2</v>
      </c>
      <c r="I1432" s="99">
        <v>4</v>
      </c>
      <c r="J1432" s="109">
        <f>D1427</f>
        <v>1.48</v>
      </c>
      <c r="K1432" s="110" t="str">
        <f t="shared" si="260"/>
        <v>0</v>
      </c>
      <c r="L1432" s="111">
        <v>0</v>
      </c>
      <c r="M1432" s="99">
        <f t="shared" si="261"/>
        <v>0</v>
      </c>
      <c r="N1432" s="112">
        <f t="shared" si="262"/>
        <v>1.48</v>
      </c>
      <c r="O1432" s="112">
        <f t="shared" si="259"/>
        <v>11.84</v>
      </c>
      <c r="P1432" s="140" t="str">
        <f t="shared" si="249"/>
        <v/>
      </c>
      <c r="Q1432" s="140" t="str">
        <f t="shared" si="250"/>
        <v/>
      </c>
      <c r="R1432" s="140">
        <f t="shared" si="251"/>
        <v>11.84</v>
      </c>
      <c r="S1432" s="140" t="str">
        <f t="shared" si="252"/>
        <v/>
      </c>
      <c r="T1432" s="140" t="str">
        <f t="shared" si="253"/>
        <v/>
      </c>
      <c r="U1432" s="140" t="str">
        <f t="shared" si="254"/>
        <v/>
      </c>
      <c r="V1432" s="99"/>
    </row>
    <row r="1433" spans="1:22">
      <c r="A1433" s="92"/>
      <c r="B1433" s="141"/>
      <c r="C1433" s="136"/>
      <c r="D1433" s="137"/>
      <c r="E1433" s="138"/>
      <c r="F1433" s="139"/>
      <c r="G1433" s="98"/>
      <c r="H1433" s="99"/>
      <c r="I1433" s="99"/>
      <c r="J1433" s="109"/>
      <c r="K1433" s="110"/>
      <c r="L1433" s="111"/>
      <c r="M1433" s="99"/>
      <c r="N1433" s="112"/>
      <c r="O1433" s="112"/>
      <c r="P1433" s="140"/>
      <c r="Q1433" s="140"/>
      <c r="R1433" s="140"/>
      <c r="S1433" s="140"/>
      <c r="T1433" s="140"/>
      <c r="U1433" s="140"/>
      <c r="V1433" s="99"/>
    </row>
    <row r="1434" spans="1:22">
      <c r="A1434" s="92"/>
      <c r="B1434" s="92"/>
      <c r="C1434" s="145">
        <v>0.08</v>
      </c>
      <c r="D1434" s="137"/>
      <c r="E1434" s="138"/>
      <c r="F1434" s="139"/>
      <c r="G1434" s="98"/>
      <c r="H1434" s="99"/>
      <c r="I1434" s="99"/>
      <c r="J1434" s="100"/>
      <c r="K1434" s="99"/>
      <c r="L1434" s="99"/>
      <c r="M1434" s="99"/>
      <c r="N1434" s="99"/>
      <c r="O1434" s="101"/>
      <c r="P1434" s="140" t="str">
        <f t="shared" ref="P1434:P1519" si="263">IF($G1434=8,$O1434,"")</f>
        <v/>
      </c>
      <c r="Q1434" s="140" t="str">
        <f t="shared" ref="Q1434:Q1519" si="264">IF($G1434=10,$O1434,"")</f>
        <v/>
      </c>
      <c r="R1434" s="140" t="str">
        <f t="shared" ref="R1434:R1519" si="265">IF($G1434=12,$O1434,"")</f>
        <v/>
      </c>
      <c r="S1434" s="140" t="str">
        <f t="shared" ref="S1434:S1519" si="266">IF($G1434=16,$O1434,"")</f>
        <v/>
      </c>
      <c r="T1434" s="140" t="str">
        <f t="shared" ref="T1434:T1519" si="267">IF($G1434=20,$O1434,"")</f>
        <v/>
      </c>
      <c r="U1434" s="140" t="str">
        <f t="shared" ref="U1434:U1519" si="268">IF($G1434=25,$O1434,"")</f>
        <v/>
      </c>
      <c r="V1434" s="99"/>
    </row>
    <row r="1435" spans="1:22">
      <c r="A1435" s="92"/>
      <c r="B1435" s="146" t="s">
        <v>382</v>
      </c>
      <c r="C1435" s="147"/>
      <c r="D1435" s="137"/>
      <c r="E1435" s="148">
        <f>1.185-0.05</f>
        <v>1.135</v>
      </c>
      <c r="F1435" s="139"/>
      <c r="G1435" s="98">
        <v>10</v>
      </c>
      <c r="H1435" s="99">
        <v>2</v>
      </c>
      <c r="I1435" s="111">
        <f>(1.48/0.1)+1</f>
        <v>15.799999999999999</v>
      </c>
      <c r="J1435" s="149">
        <f>2*(D1437+E1435)+2*8*G1435/1000</f>
        <v>2.79</v>
      </c>
      <c r="K1435" s="99"/>
      <c r="L1435" s="99">
        <v>5</v>
      </c>
      <c r="M1435" s="112">
        <f>2*G1435*L1435/1000</f>
        <v>0.1</v>
      </c>
      <c r="N1435" s="112">
        <f>(J1435+K1435-M1435)</f>
        <v>2.69</v>
      </c>
      <c r="O1435" s="112">
        <f>(H1435*I1435*N1435)</f>
        <v>85.003999999999991</v>
      </c>
      <c r="P1435" s="140" t="str">
        <f t="shared" si="263"/>
        <v/>
      </c>
      <c r="Q1435" s="140">
        <f t="shared" si="264"/>
        <v>85.003999999999991</v>
      </c>
      <c r="R1435" s="140" t="str">
        <f t="shared" si="265"/>
        <v/>
      </c>
      <c r="S1435" s="140" t="str">
        <f t="shared" si="266"/>
        <v/>
      </c>
      <c r="T1435" s="140" t="str">
        <f t="shared" si="267"/>
        <v/>
      </c>
      <c r="U1435" s="140" t="str">
        <f t="shared" si="268"/>
        <v/>
      </c>
      <c r="V1435" s="99"/>
    </row>
    <row r="1436" spans="1:22">
      <c r="A1436" s="92"/>
      <c r="B1436" s="146"/>
      <c r="C1436" s="136"/>
      <c r="D1436" s="137"/>
      <c r="E1436" s="150"/>
      <c r="F1436" s="139"/>
      <c r="G1436" s="98"/>
      <c r="H1436" s="99"/>
      <c r="I1436" s="99"/>
      <c r="J1436" s="100"/>
      <c r="K1436" s="99"/>
      <c r="L1436" s="99"/>
      <c r="M1436" s="99"/>
      <c r="N1436" s="99"/>
      <c r="O1436" s="112"/>
      <c r="P1436" s="140" t="str">
        <f t="shared" si="263"/>
        <v/>
      </c>
      <c r="Q1436" s="140" t="str">
        <f t="shared" si="264"/>
        <v/>
      </c>
      <c r="R1436" s="140" t="str">
        <f t="shared" si="265"/>
        <v/>
      </c>
      <c r="S1436" s="140" t="str">
        <f t="shared" si="266"/>
        <v/>
      </c>
      <c r="T1436" s="140" t="str">
        <f t="shared" si="267"/>
        <v/>
      </c>
      <c r="U1436" s="140" t="str">
        <f t="shared" si="268"/>
        <v/>
      </c>
      <c r="V1436" s="99"/>
    </row>
    <row r="1437" spans="1:22">
      <c r="A1437" s="92"/>
      <c r="B1437" s="146"/>
      <c r="C1437" s="136"/>
      <c r="D1437" s="109">
        <f>0.23-0.05</f>
        <v>0.18</v>
      </c>
      <c r="E1437" s="138"/>
      <c r="F1437" s="139"/>
      <c r="G1437" s="98"/>
      <c r="H1437" s="99"/>
      <c r="I1437" s="99"/>
      <c r="J1437" s="100"/>
      <c r="K1437" s="99"/>
      <c r="L1437" s="99"/>
      <c r="M1437" s="99"/>
      <c r="N1437" s="99"/>
      <c r="O1437" s="112"/>
      <c r="P1437" s="140" t="str">
        <f t="shared" si="263"/>
        <v/>
      </c>
      <c r="Q1437" s="140" t="str">
        <f t="shared" si="264"/>
        <v/>
      </c>
      <c r="R1437" s="140" t="str">
        <f t="shared" si="265"/>
        <v/>
      </c>
      <c r="S1437" s="140" t="str">
        <f t="shared" si="266"/>
        <v/>
      </c>
      <c r="T1437" s="140" t="str">
        <f t="shared" si="267"/>
        <v/>
      </c>
      <c r="U1437" s="140" t="str">
        <f t="shared" si="268"/>
        <v/>
      </c>
      <c r="V1437" s="99"/>
    </row>
    <row r="1438" spans="1:22">
      <c r="A1438" s="92"/>
      <c r="B1438" s="141"/>
      <c r="C1438" s="136"/>
      <c r="D1438" s="137"/>
      <c r="E1438" s="138"/>
      <c r="F1438" s="139"/>
      <c r="G1438" s="98"/>
      <c r="H1438" s="99"/>
      <c r="I1438" s="99"/>
      <c r="J1438" s="100"/>
      <c r="K1438" s="99"/>
      <c r="L1438" s="99"/>
      <c r="M1438" s="99"/>
      <c r="N1438" s="99"/>
      <c r="O1438" s="112"/>
      <c r="P1438" s="140" t="str">
        <f t="shared" si="263"/>
        <v/>
      </c>
      <c r="Q1438" s="140" t="str">
        <f t="shared" si="264"/>
        <v/>
      </c>
      <c r="R1438" s="140" t="str">
        <f t="shared" si="265"/>
        <v/>
      </c>
      <c r="S1438" s="140" t="str">
        <f t="shared" si="266"/>
        <v/>
      </c>
      <c r="T1438" s="140" t="str">
        <f t="shared" si="267"/>
        <v/>
      </c>
      <c r="U1438" s="140" t="str">
        <f t="shared" si="268"/>
        <v/>
      </c>
      <c r="V1438" s="99"/>
    </row>
    <row r="1439" spans="1:22">
      <c r="A1439" s="92"/>
      <c r="B1439" s="92"/>
      <c r="C1439" s="145">
        <v>0.08</v>
      </c>
      <c r="D1439" s="137"/>
      <c r="E1439" s="138"/>
      <c r="F1439" s="139"/>
      <c r="G1439" s="98"/>
      <c r="H1439" s="99"/>
      <c r="I1439" s="99"/>
      <c r="J1439" s="100"/>
      <c r="K1439" s="99"/>
      <c r="L1439" s="99"/>
      <c r="M1439" s="99"/>
      <c r="N1439" s="99"/>
      <c r="O1439" s="112"/>
      <c r="P1439" s="140" t="str">
        <f t="shared" si="263"/>
        <v/>
      </c>
      <c r="Q1439" s="140" t="str">
        <f t="shared" si="264"/>
        <v/>
      </c>
      <c r="R1439" s="140" t="str">
        <f t="shared" si="265"/>
        <v/>
      </c>
      <c r="S1439" s="140" t="str">
        <f t="shared" si="266"/>
        <v/>
      </c>
      <c r="T1439" s="140" t="str">
        <f t="shared" si="267"/>
        <v/>
      </c>
      <c r="U1439" s="140" t="str">
        <f t="shared" si="268"/>
        <v/>
      </c>
      <c r="V1439" s="99"/>
    </row>
    <row r="1440" spans="1:22">
      <c r="A1440" s="92"/>
      <c r="B1440" s="146" t="s">
        <v>383</v>
      </c>
      <c r="C1440" s="147"/>
      <c r="D1440" s="137"/>
      <c r="E1440" s="148">
        <f>((1.185-0.05-0.016)/11)+0.016+0.02</f>
        <v>0.13772727272727273</v>
      </c>
      <c r="F1440" s="139"/>
      <c r="G1440" s="98">
        <v>10</v>
      </c>
      <c r="H1440" s="99">
        <v>2</v>
      </c>
      <c r="I1440" s="111">
        <f>(1.48/0.1)+1</f>
        <v>15.799999999999999</v>
      </c>
      <c r="J1440" s="149">
        <f>2*(D1442+E1440)+2*8*G1440/1000</f>
        <v>0.79545454545454553</v>
      </c>
      <c r="K1440" s="99"/>
      <c r="L1440" s="99">
        <v>5</v>
      </c>
      <c r="M1440" s="112">
        <f>2*G1440*L1440/1000</f>
        <v>0.1</v>
      </c>
      <c r="N1440" s="112">
        <f>(J1440+K1440-M1440)</f>
        <v>0.69545454545454555</v>
      </c>
      <c r="O1440" s="112">
        <f>(H1440*I1440*N1440)</f>
        <v>21.976363636363637</v>
      </c>
      <c r="P1440" s="140" t="str">
        <f t="shared" si="263"/>
        <v/>
      </c>
      <c r="Q1440" s="140">
        <f t="shared" si="264"/>
        <v>21.976363636363637</v>
      </c>
      <c r="R1440" s="140" t="str">
        <f t="shared" si="265"/>
        <v/>
      </c>
      <c r="S1440" s="140" t="str">
        <f t="shared" si="266"/>
        <v/>
      </c>
      <c r="T1440" s="140" t="str">
        <f t="shared" si="267"/>
        <v/>
      </c>
      <c r="U1440" s="140" t="str">
        <f t="shared" si="268"/>
        <v/>
      </c>
      <c r="V1440" s="99"/>
    </row>
    <row r="1441" spans="1:22">
      <c r="A1441" s="92"/>
      <c r="B1441" s="146"/>
      <c r="C1441" s="136"/>
      <c r="D1441" s="137"/>
      <c r="E1441" s="150"/>
      <c r="F1441" s="139"/>
      <c r="G1441" s="98"/>
      <c r="H1441" s="99"/>
      <c r="I1441" s="99"/>
      <c r="J1441" s="100"/>
      <c r="K1441" s="99"/>
      <c r="L1441" s="99"/>
      <c r="M1441" s="99"/>
      <c r="N1441" s="99"/>
      <c r="O1441" s="112"/>
      <c r="P1441" s="140" t="str">
        <f t="shared" si="263"/>
        <v/>
      </c>
      <c r="Q1441" s="140" t="str">
        <f t="shared" si="264"/>
        <v/>
      </c>
      <c r="R1441" s="140" t="str">
        <f t="shared" si="265"/>
        <v/>
      </c>
      <c r="S1441" s="140" t="str">
        <f t="shared" si="266"/>
        <v/>
      </c>
      <c r="T1441" s="140" t="str">
        <f t="shared" si="267"/>
        <v/>
      </c>
      <c r="U1441" s="140" t="str">
        <f t="shared" si="268"/>
        <v/>
      </c>
      <c r="V1441" s="99"/>
    </row>
    <row r="1442" spans="1:22">
      <c r="A1442" s="92"/>
      <c r="B1442" s="146"/>
      <c r="C1442" s="136"/>
      <c r="D1442" s="109">
        <f>0.23-0.05</f>
        <v>0.18</v>
      </c>
      <c r="E1442" s="138"/>
      <c r="F1442" s="139"/>
      <c r="G1442" s="98"/>
      <c r="H1442" s="99"/>
      <c r="I1442" s="99"/>
      <c r="J1442" s="100"/>
      <c r="K1442" s="99"/>
      <c r="L1442" s="99"/>
      <c r="M1442" s="99"/>
      <c r="N1442" s="99"/>
      <c r="O1442" s="112"/>
      <c r="P1442" s="140" t="str">
        <f t="shared" si="263"/>
        <v/>
      </c>
      <c r="Q1442" s="140" t="str">
        <f t="shared" si="264"/>
        <v/>
      </c>
      <c r="R1442" s="140" t="str">
        <f t="shared" si="265"/>
        <v/>
      </c>
      <c r="S1442" s="140" t="str">
        <f t="shared" si="266"/>
        <v/>
      </c>
      <c r="T1442" s="140" t="str">
        <f t="shared" si="267"/>
        <v/>
      </c>
      <c r="U1442" s="140" t="str">
        <f t="shared" si="268"/>
        <v/>
      </c>
      <c r="V1442" s="99"/>
    </row>
    <row r="1443" spans="1:22">
      <c r="A1443" s="92"/>
      <c r="B1443" s="146"/>
      <c r="C1443" s="136"/>
      <c r="D1443" s="152"/>
      <c r="E1443" s="138"/>
      <c r="F1443" s="139"/>
      <c r="G1443" s="98"/>
      <c r="H1443" s="99"/>
      <c r="I1443" s="99"/>
      <c r="J1443" s="100"/>
      <c r="K1443" s="99"/>
      <c r="L1443" s="99"/>
      <c r="M1443" s="99"/>
      <c r="N1443" s="99"/>
      <c r="O1443" s="101"/>
      <c r="P1443" s="140" t="str">
        <f t="shared" si="263"/>
        <v/>
      </c>
      <c r="Q1443" s="140" t="str">
        <f t="shared" si="264"/>
        <v/>
      </c>
      <c r="R1443" s="140" t="str">
        <f t="shared" si="265"/>
        <v/>
      </c>
      <c r="S1443" s="140" t="str">
        <f t="shared" si="266"/>
        <v/>
      </c>
      <c r="T1443" s="140" t="str">
        <f t="shared" si="267"/>
        <v/>
      </c>
      <c r="U1443" s="140" t="str">
        <f t="shared" si="268"/>
        <v/>
      </c>
      <c r="V1443" s="99"/>
    </row>
    <row r="1444" spans="1:22">
      <c r="A1444" s="92">
        <v>14</v>
      </c>
      <c r="B1444" s="92" t="s">
        <v>404</v>
      </c>
      <c r="C1444" s="136"/>
      <c r="D1444" s="137"/>
      <c r="E1444" s="138"/>
      <c r="F1444" s="139"/>
      <c r="G1444" s="98"/>
      <c r="H1444" s="99"/>
      <c r="I1444" s="99"/>
      <c r="J1444" s="109"/>
      <c r="K1444" s="112"/>
      <c r="L1444" s="112"/>
      <c r="M1444" s="99"/>
      <c r="N1444" s="112"/>
      <c r="O1444" s="112"/>
      <c r="P1444" s="140" t="str">
        <f>IF($G1444=8,$O1444,"")</f>
        <v/>
      </c>
      <c r="Q1444" s="140" t="str">
        <f>IF($G1444=10,$O1444,"")</f>
        <v/>
      </c>
      <c r="R1444" s="140" t="str">
        <f>IF($G1444=12,$O1444,"")</f>
        <v/>
      </c>
      <c r="S1444" s="140" t="str">
        <f>IF($G1444=16,$O1444,"")</f>
        <v/>
      </c>
      <c r="T1444" s="140" t="str">
        <f>IF($G1444=20,$O1444,"")</f>
        <v/>
      </c>
      <c r="U1444" s="140" t="str">
        <f>IF($G1444=25,$O1444,"")</f>
        <v/>
      </c>
      <c r="V1444" s="99"/>
    </row>
    <row r="1445" spans="1:22">
      <c r="A1445" s="92"/>
      <c r="B1445" s="141" t="s">
        <v>378</v>
      </c>
      <c r="C1445" s="136"/>
      <c r="D1445" s="142">
        <v>1.68</v>
      </c>
      <c r="E1445" s="138"/>
      <c r="F1445" s="139"/>
      <c r="G1445" s="98">
        <v>16</v>
      </c>
      <c r="H1445" s="99">
        <v>2</v>
      </c>
      <c r="I1445" s="99">
        <v>4</v>
      </c>
      <c r="J1445" s="109">
        <f>D1445</f>
        <v>1.68</v>
      </c>
      <c r="K1445" s="110" t="str">
        <f>IF(N1445&lt;12,"0",0.049*G1445)</f>
        <v>0</v>
      </c>
      <c r="L1445" s="111">
        <v>0</v>
      </c>
      <c r="M1445" s="99">
        <f>2*G1445*L1445/1000</f>
        <v>0</v>
      </c>
      <c r="N1445" s="112">
        <f>J1445-M1445</f>
        <v>1.68</v>
      </c>
      <c r="O1445" s="112">
        <f t="shared" ref="O1445:O1450" si="269">H1445*I1445*N1445</f>
        <v>13.44</v>
      </c>
      <c r="P1445" s="140" t="str">
        <f t="shared" si="263"/>
        <v/>
      </c>
      <c r="Q1445" s="140" t="str">
        <f t="shared" si="264"/>
        <v/>
      </c>
      <c r="R1445" s="140" t="str">
        <f t="shared" si="265"/>
        <v/>
      </c>
      <c r="S1445" s="140">
        <f t="shared" si="266"/>
        <v>13.44</v>
      </c>
      <c r="T1445" s="140" t="str">
        <f t="shared" si="267"/>
        <v/>
      </c>
      <c r="U1445" s="140" t="str">
        <f t="shared" si="268"/>
        <v/>
      </c>
      <c r="V1445" s="99"/>
    </row>
    <row r="1446" spans="1:22">
      <c r="A1446" s="92"/>
      <c r="B1446" s="141" t="s">
        <v>379</v>
      </c>
      <c r="C1446" s="136"/>
      <c r="D1446" s="137"/>
      <c r="E1446" s="138"/>
      <c r="F1446" s="139"/>
      <c r="G1446" s="98">
        <v>16</v>
      </c>
      <c r="H1446" s="99">
        <v>2</v>
      </c>
      <c r="I1446" s="99">
        <v>4</v>
      </c>
      <c r="J1446" s="109">
        <f>D1445</f>
        <v>1.68</v>
      </c>
      <c r="K1446" s="110" t="str">
        <f t="shared" ref="K1446:K1450" si="270">IF(N1446&lt;12,"0",0.049*G1446)</f>
        <v>0</v>
      </c>
      <c r="L1446" s="111">
        <v>0</v>
      </c>
      <c r="M1446" s="99">
        <f t="shared" ref="M1446:M1450" si="271">2*G1446*L1446/1000</f>
        <v>0</v>
      </c>
      <c r="N1446" s="112">
        <f t="shared" ref="N1446:N1450" si="272">J1446-M1446</f>
        <v>1.68</v>
      </c>
      <c r="O1446" s="112">
        <f t="shared" si="269"/>
        <v>13.44</v>
      </c>
      <c r="P1446" s="140" t="str">
        <f t="shared" si="263"/>
        <v/>
      </c>
      <c r="Q1446" s="140" t="str">
        <f t="shared" si="264"/>
        <v/>
      </c>
      <c r="R1446" s="140" t="str">
        <f t="shared" si="265"/>
        <v/>
      </c>
      <c r="S1446" s="140">
        <f t="shared" si="266"/>
        <v>13.44</v>
      </c>
      <c r="T1446" s="140" t="str">
        <f t="shared" si="267"/>
        <v/>
      </c>
      <c r="U1446" s="140" t="str">
        <f t="shared" si="268"/>
        <v/>
      </c>
      <c r="V1446" s="99"/>
    </row>
    <row r="1447" spans="1:22">
      <c r="A1447" s="92"/>
      <c r="B1447" s="141" t="s">
        <v>380</v>
      </c>
      <c r="C1447" s="143"/>
      <c r="D1447" s="142"/>
      <c r="E1447" s="144"/>
      <c r="F1447" s="139"/>
      <c r="G1447" s="98">
        <v>16</v>
      </c>
      <c r="H1447" s="99">
        <v>2</v>
      </c>
      <c r="I1447" s="99">
        <v>4</v>
      </c>
      <c r="J1447" s="109">
        <f>D1445</f>
        <v>1.68</v>
      </c>
      <c r="K1447" s="110" t="str">
        <f t="shared" si="270"/>
        <v>0</v>
      </c>
      <c r="L1447" s="111">
        <v>0</v>
      </c>
      <c r="M1447" s="99">
        <f t="shared" si="271"/>
        <v>0</v>
      </c>
      <c r="N1447" s="112">
        <f t="shared" si="272"/>
        <v>1.68</v>
      </c>
      <c r="O1447" s="112">
        <f t="shared" si="269"/>
        <v>13.44</v>
      </c>
      <c r="P1447" s="140" t="str">
        <f t="shared" si="263"/>
        <v/>
      </c>
      <c r="Q1447" s="140" t="str">
        <f t="shared" si="264"/>
        <v/>
      </c>
      <c r="R1447" s="140" t="str">
        <f t="shared" si="265"/>
        <v/>
      </c>
      <c r="S1447" s="140">
        <f t="shared" si="266"/>
        <v>13.44</v>
      </c>
      <c r="T1447" s="140" t="str">
        <f t="shared" si="267"/>
        <v/>
      </c>
      <c r="U1447" s="140" t="str">
        <f t="shared" si="268"/>
        <v/>
      </c>
      <c r="V1447" s="99"/>
    </row>
    <row r="1448" spans="1:22">
      <c r="A1448" s="92"/>
      <c r="B1448" s="141" t="s">
        <v>381</v>
      </c>
      <c r="C1448" s="136"/>
      <c r="D1448" s="137"/>
      <c r="E1448" s="138"/>
      <c r="F1448" s="139"/>
      <c r="G1448" s="98">
        <v>12</v>
      </c>
      <c r="H1448" s="99">
        <v>2</v>
      </c>
      <c r="I1448" s="99">
        <v>4</v>
      </c>
      <c r="J1448" s="109">
        <f>D1445</f>
        <v>1.68</v>
      </c>
      <c r="K1448" s="110" t="str">
        <f t="shared" si="270"/>
        <v>0</v>
      </c>
      <c r="L1448" s="111">
        <v>0</v>
      </c>
      <c r="M1448" s="99">
        <f t="shared" si="271"/>
        <v>0</v>
      </c>
      <c r="N1448" s="112">
        <f t="shared" si="272"/>
        <v>1.68</v>
      </c>
      <c r="O1448" s="112">
        <f t="shared" si="269"/>
        <v>13.44</v>
      </c>
      <c r="P1448" s="140" t="str">
        <f t="shared" si="263"/>
        <v/>
      </c>
      <c r="Q1448" s="140" t="str">
        <f t="shared" si="264"/>
        <v/>
      </c>
      <c r="R1448" s="140">
        <f t="shared" si="265"/>
        <v>13.44</v>
      </c>
      <c r="S1448" s="140" t="str">
        <f t="shared" si="266"/>
        <v/>
      </c>
      <c r="T1448" s="140" t="str">
        <f t="shared" si="267"/>
        <v/>
      </c>
      <c r="U1448" s="140" t="str">
        <f t="shared" si="268"/>
        <v/>
      </c>
      <c r="V1448" s="99"/>
    </row>
    <row r="1449" spans="1:22">
      <c r="A1449" s="92"/>
      <c r="B1449" s="141" t="s">
        <v>389</v>
      </c>
      <c r="C1449" s="136"/>
      <c r="D1449" s="137"/>
      <c r="E1449" s="138"/>
      <c r="F1449" s="139"/>
      <c r="G1449" s="98">
        <v>12</v>
      </c>
      <c r="H1449" s="99">
        <v>2</v>
      </c>
      <c r="I1449" s="99">
        <v>4</v>
      </c>
      <c r="J1449" s="109">
        <f>D1445</f>
        <v>1.68</v>
      </c>
      <c r="K1449" s="110" t="str">
        <f t="shared" si="270"/>
        <v>0</v>
      </c>
      <c r="L1449" s="111">
        <v>0</v>
      </c>
      <c r="M1449" s="99">
        <f t="shared" si="271"/>
        <v>0</v>
      </c>
      <c r="N1449" s="112">
        <f t="shared" si="272"/>
        <v>1.68</v>
      </c>
      <c r="O1449" s="112">
        <f t="shared" si="269"/>
        <v>13.44</v>
      </c>
      <c r="P1449" s="140" t="str">
        <f t="shared" si="263"/>
        <v/>
      </c>
      <c r="Q1449" s="140" t="str">
        <f t="shared" si="264"/>
        <v/>
      </c>
      <c r="R1449" s="140">
        <f t="shared" si="265"/>
        <v>13.44</v>
      </c>
      <c r="S1449" s="140" t="str">
        <f t="shared" si="266"/>
        <v/>
      </c>
      <c r="T1449" s="140" t="str">
        <f t="shared" si="267"/>
        <v/>
      </c>
      <c r="U1449" s="140" t="str">
        <f t="shared" si="268"/>
        <v/>
      </c>
      <c r="V1449" s="99"/>
    </row>
    <row r="1450" spans="1:22">
      <c r="A1450" s="92"/>
      <c r="B1450" s="141" t="s">
        <v>401</v>
      </c>
      <c r="C1450" s="136"/>
      <c r="D1450" s="137"/>
      <c r="E1450" s="138"/>
      <c r="F1450" s="139"/>
      <c r="G1450" s="98">
        <v>12</v>
      </c>
      <c r="H1450" s="99">
        <v>2</v>
      </c>
      <c r="I1450" s="99">
        <v>4</v>
      </c>
      <c r="J1450" s="109">
        <f>D1445</f>
        <v>1.68</v>
      </c>
      <c r="K1450" s="110" t="str">
        <f t="shared" si="270"/>
        <v>0</v>
      </c>
      <c r="L1450" s="111">
        <v>0</v>
      </c>
      <c r="M1450" s="99">
        <f t="shared" si="271"/>
        <v>0</v>
      </c>
      <c r="N1450" s="112">
        <f t="shared" si="272"/>
        <v>1.68</v>
      </c>
      <c r="O1450" s="112">
        <f t="shared" si="269"/>
        <v>13.44</v>
      </c>
      <c r="P1450" s="140" t="str">
        <f t="shared" si="263"/>
        <v/>
      </c>
      <c r="Q1450" s="140" t="str">
        <f t="shared" si="264"/>
        <v/>
      </c>
      <c r="R1450" s="140">
        <f t="shared" si="265"/>
        <v>13.44</v>
      </c>
      <c r="S1450" s="140" t="str">
        <f t="shared" si="266"/>
        <v/>
      </c>
      <c r="T1450" s="140" t="str">
        <f t="shared" si="267"/>
        <v/>
      </c>
      <c r="U1450" s="140" t="str">
        <f t="shared" si="268"/>
        <v/>
      </c>
      <c r="V1450" s="99"/>
    </row>
    <row r="1451" spans="1:22">
      <c r="A1451" s="92"/>
      <c r="B1451" s="141"/>
      <c r="C1451" s="136"/>
      <c r="D1451" s="137"/>
      <c r="E1451" s="138"/>
      <c r="F1451" s="139"/>
      <c r="G1451" s="98"/>
      <c r="H1451" s="99"/>
      <c r="I1451" s="99"/>
      <c r="J1451" s="109"/>
      <c r="K1451" s="110"/>
      <c r="L1451" s="111"/>
      <c r="M1451" s="99"/>
      <c r="N1451" s="112"/>
      <c r="O1451" s="112"/>
      <c r="P1451" s="140"/>
      <c r="Q1451" s="140"/>
      <c r="R1451" s="140"/>
      <c r="S1451" s="140"/>
      <c r="T1451" s="140"/>
      <c r="U1451" s="140"/>
      <c r="V1451" s="99"/>
    </row>
    <row r="1452" spans="1:22">
      <c r="A1452" s="92"/>
      <c r="B1452" s="92"/>
      <c r="C1452" s="145">
        <v>0.08</v>
      </c>
      <c r="D1452" s="137"/>
      <c r="E1452" s="138"/>
      <c r="F1452" s="139"/>
      <c r="G1452" s="98"/>
      <c r="H1452" s="99"/>
      <c r="I1452" s="99"/>
      <c r="J1452" s="100"/>
      <c r="K1452" s="99"/>
      <c r="L1452" s="99"/>
      <c r="M1452" s="99"/>
      <c r="N1452" s="99"/>
      <c r="O1452" s="101"/>
      <c r="P1452" s="140" t="str">
        <f t="shared" si="263"/>
        <v/>
      </c>
      <c r="Q1452" s="140" t="str">
        <f t="shared" si="264"/>
        <v/>
      </c>
      <c r="R1452" s="140" t="str">
        <f t="shared" si="265"/>
        <v/>
      </c>
      <c r="S1452" s="140" t="str">
        <f t="shared" si="266"/>
        <v/>
      </c>
      <c r="T1452" s="140" t="str">
        <f t="shared" si="267"/>
        <v/>
      </c>
      <c r="U1452" s="140" t="str">
        <f t="shared" si="268"/>
        <v/>
      </c>
      <c r="V1452" s="99"/>
    </row>
    <row r="1453" spans="1:22">
      <c r="A1453" s="92"/>
      <c r="B1453" s="146" t="s">
        <v>382</v>
      </c>
      <c r="C1453" s="147"/>
      <c r="D1453" s="137"/>
      <c r="E1453" s="148">
        <f>1.185-0.05</f>
        <v>1.135</v>
      </c>
      <c r="F1453" s="139"/>
      <c r="G1453" s="98">
        <v>10</v>
      </c>
      <c r="H1453" s="99">
        <v>2</v>
      </c>
      <c r="I1453" s="111">
        <f>(1.68/0.1)+1</f>
        <v>17.799999999999997</v>
      </c>
      <c r="J1453" s="149">
        <f>2*(D1455+E1453)+2*8*G1453/1000</f>
        <v>2.79</v>
      </c>
      <c r="K1453" s="99"/>
      <c r="L1453" s="99">
        <v>5</v>
      </c>
      <c r="M1453" s="112">
        <f>2*G1453*L1453/1000</f>
        <v>0.1</v>
      </c>
      <c r="N1453" s="112">
        <f>(J1453+K1453-M1453)</f>
        <v>2.69</v>
      </c>
      <c r="O1453" s="112">
        <f>(H1453*I1453*N1453)</f>
        <v>95.763999999999982</v>
      </c>
      <c r="P1453" s="140" t="str">
        <f t="shared" si="263"/>
        <v/>
      </c>
      <c r="Q1453" s="140">
        <f t="shared" si="264"/>
        <v>95.763999999999982</v>
      </c>
      <c r="R1453" s="140" t="str">
        <f t="shared" si="265"/>
        <v/>
      </c>
      <c r="S1453" s="140" t="str">
        <f t="shared" si="266"/>
        <v/>
      </c>
      <c r="T1453" s="140" t="str">
        <f t="shared" si="267"/>
        <v/>
      </c>
      <c r="U1453" s="140" t="str">
        <f t="shared" si="268"/>
        <v/>
      </c>
      <c r="V1453" s="99"/>
    </row>
    <row r="1454" spans="1:22">
      <c r="A1454" s="92"/>
      <c r="B1454" s="146"/>
      <c r="C1454" s="136"/>
      <c r="D1454" s="137"/>
      <c r="E1454" s="150"/>
      <c r="F1454" s="139"/>
      <c r="G1454" s="98"/>
      <c r="H1454" s="99"/>
      <c r="I1454" s="99"/>
      <c r="J1454" s="100"/>
      <c r="K1454" s="99"/>
      <c r="L1454" s="99"/>
      <c r="M1454" s="99"/>
      <c r="N1454" s="99"/>
      <c r="O1454" s="112"/>
      <c r="P1454" s="140" t="str">
        <f t="shared" si="263"/>
        <v/>
      </c>
      <c r="Q1454" s="140" t="str">
        <f t="shared" si="264"/>
        <v/>
      </c>
      <c r="R1454" s="140" t="str">
        <f t="shared" si="265"/>
        <v/>
      </c>
      <c r="S1454" s="140" t="str">
        <f t="shared" si="266"/>
        <v/>
      </c>
      <c r="T1454" s="140" t="str">
        <f t="shared" si="267"/>
        <v/>
      </c>
      <c r="U1454" s="140" t="str">
        <f t="shared" si="268"/>
        <v/>
      </c>
      <c r="V1454" s="99"/>
    </row>
    <row r="1455" spans="1:22">
      <c r="A1455" s="92"/>
      <c r="B1455" s="146"/>
      <c r="C1455" s="136"/>
      <c r="D1455" s="109">
        <f>0.23-0.05</f>
        <v>0.18</v>
      </c>
      <c r="E1455" s="138"/>
      <c r="F1455" s="139"/>
      <c r="G1455" s="98"/>
      <c r="H1455" s="99"/>
      <c r="I1455" s="99"/>
      <c r="J1455" s="100"/>
      <c r="K1455" s="99"/>
      <c r="L1455" s="99"/>
      <c r="M1455" s="99"/>
      <c r="N1455" s="99"/>
      <c r="O1455" s="112"/>
      <c r="P1455" s="140" t="str">
        <f t="shared" si="263"/>
        <v/>
      </c>
      <c r="Q1455" s="140" t="str">
        <f t="shared" si="264"/>
        <v/>
      </c>
      <c r="R1455" s="140" t="str">
        <f t="shared" si="265"/>
        <v/>
      </c>
      <c r="S1455" s="140" t="str">
        <f t="shared" si="266"/>
        <v/>
      </c>
      <c r="T1455" s="140" t="str">
        <f t="shared" si="267"/>
        <v/>
      </c>
      <c r="U1455" s="140" t="str">
        <f t="shared" si="268"/>
        <v/>
      </c>
      <c r="V1455" s="99"/>
    </row>
    <row r="1456" spans="1:22">
      <c r="A1456" s="92"/>
      <c r="B1456" s="141"/>
      <c r="C1456" s="136"/>
      <c r="D1456" s="137"/>
      <c r="E1456" s="138"/>
      <c r="F1456" s="139"/>
      <c r="G1456" s="98"/>
      <c r="H1456" s="99"/>
      <c r="I1456" s="99"/>
      <c r="J1456" s="100"/>
      <c r="K1456" s="99"/>
      <c r="L1456" s="99"/>
      <c r="M1456" s="99"/>
      <c r="N1456" s="99"/>
      <c r="O1456" s="112"/>
      <c r="P1456" s="140" t="str">
        <f t="shared" si="263"/>
        <v/>
      </c>
      <c r="Q1456" s="140" t="str">
        <f t="shared" si="264"/>
        <v/>
      </c>
      <c r="R1456" s="140" t="str">
        <f t="shared" si="265"/>
        <v/>
      </c>
      <c r="S1456" s="140" t="str">
        <f t="shared" si="266"/>
        <v/>
      </c>
      <c r="T1456" s="140" t="str">
        <f t="shared" si="267"/>
        <v/>
      </c>
      <c r="U1456" s="140" t="str">
        <f t="shared" si="268"/>
        <v/>
      </c>
      <c r="V1456" s="99"/>
    </row>
    <row r="1457" spans="1:22">
      <c r="A1457" s="92"/>
      <c r="B1457" s="92"/>
      <c r="C1457" s="145">
        <v>0.08</v>
      </c>
      <c r="D1457" s="137"/>
      <c r="E1457" s="138"/>
      <c r="F1457" s="139"/>
      <c r="G1457" s="98"/>
      <c r="H1457" s="99"/>
      <c r="I1457" s="99"/>
      <c r="J1457" s="100"/>
      <c r="K1457" s="99"/>
      <c r="L1457" s="99"/>
      <c r="M1457" s="99"/>
      <c r="N1457" s="99"/>
      <c r="O1457" s="112"/>
      <c r="P1457" s="140" t="str">
        <f t="shared" si="263"/>
        <v/>
      </c>
      <c r="Q1457" s="140" t="str">
        <f t="shared" si="264"/>
        <v/>
      </c>
      <c r="R1457" s="140" t="str">
        <f t="shared" si="265"/>
        <v/>
      </c>
      <c r="S1457" s="140" t="str">
        <f t="shared" si="266"/>
        <v/>
      </c>
      <c r="T1457" s="140" t="str">
        <f t="shared" si="267"/>
        <v/>
      </c>
      <c r="U1457" s="140" t="str">
        <f t="shared" si="268"/>
        <v/>
      </c>
      <c r="V1457" s="99"/>
    </row>
    <row r="1458" spans="1:22">
      <c r="A1458" s="92"/>
      <c r="B1458" s="146" t="s">
        <v>383</v>
      </c>
      <c r="C1458" s="147"/>
      <c r="D1458" s="137"/>
      <c r="E1458" s="148">
        <f>((1.185-0.05-0.016)/11)+0.016+0.02</f>
        <v>0.13772727272727273</v>
      </c>
      <c r="F1458" s="139"/>
      <c r="G1458" s="98">
        <v>10</v>
      </c>
      <c r="H1458" s="99">
        <v>2</v>
      </c>
      <c r="I1458" s="111">
        <f>(1.68/0.1)+1</f>
        <v>17.799999999999997</v>
      </c>
      <c r="J1458" s="149">
        <f>2*(D1460+E1458)+2*8*G1458/1000</f>
        <v>0.79545454545454553</v>
      </c>
      <c r="K1458" s="99"/>
      <c r="L1458" s="99">
        <v>5</v>
      </c>
      <c r="M1458" s="112">
        <f>2*G1458*L1458/1000</f>
        <v>0.1</v>
      </c>
      <c r="N1458" s="112">
        <f>(J1458+K1458-M1458)</f>
        <v>0.69545454545454555</v>
      </c>
      <c r="O1458" s="112">
        <f>(H1458*I1458*N1458)</f>
        <v>24.758181818181818</v>
      </c>
      <c r="P1458" s="140" t="str">
        <f t="shared" si="263"/>
        <v/>
      </c>
      <c r="Q1458" s="140">
        <f t="shared" si="264"/>
        <v>24.758181818181818</v>
      </c>
      <c r="R1458" s="140" t="str">
        <f t="shared" si="265"/>
        <v/>
      </c>
      <c r="S1458" s="140" t="str">
        <f t="shared" si="266"/>
        <v/>
      </c>
      <c r="T1458" s="140" t="str">
        <f t="shared" si="267"/>
        <v/>
      </c>
      <c r="U1458" s="140" t="str">
        <f t="shared" si="268"/>
        <v/>
      </c>
      <c r="V1458" s="99"/>
    </row>
    <row r="1459" spans="1:22">
      <c r="A1459" s="92"/>
      <c r="B1459" s="146"/>
      <c r="C1459" s="136"/>
      <c r="D1459" s="137"/>
      <c r="E1459" s="150"/>
      <c r="F1459" s="139"/>
      <c r="G1459" s="98"/>
      <c r="H1459" s="99"/>
      <c r="I1459" s="99"/>
      <c r="J1459" s="100"/>
      <c r="K1459" s="99"/>
      <c r="L1459" s="99"/>
      <c r="M1459" s="99"/>
      <c r="N1459" s="99"/>
      <c r="O1459" s="112"/>
      <c r="P1459" s="140" t="str">
        <f t="shared" si="263"/>
        <v/>
      </c>
      <c r="Q1459" s="140" t="str">
        <f t="shared" si="264"/>
        <v/>
      </c>
      <c r="R1459" s="140" t="str">
        <f t="shared" si="265"/>
        <v/>
      </c>
      <c r="S1459" s="140" t="str">
        <f t="shared" si="266"/>
        <v/>
      </c>
      <c r="T1459" s="140" t="str">
        <f t="shared" si="267"/>
        <v/>
      </c>
      <c r="U1459" s="140" t="str">
        <f t="shared" si="268"/>
        <v/>
      </c>
      <c r="V1459" s="99"/>
    </row>
    <row r="1460" spans="1:22">
      <c r="A1460" s="92"/>
      <c r="B1460" s="146"/>
      <c r="C1460" s="136"/>
      <c r="D1460" s="109">
        <f>0.23-0.05</f>
        <v>0.18</v>
      </c>
      <c r="E1460" s="138"/>
      <c r="F1460" s="139"/>
      <c r="G1460" s="98"/>
      <c r="H1460" s="99"/>
      <c r="I1460" s="99"/>
      <c r="J1460" s="100"/>
      <c r="K1460" s="99"/>
      <c r="L1460" s="99"/>
      <c r="M1460" s="99"/>
      <c r="N1460" s="99"/>
      <c r="O1460" s="112"/>
      <c r="P1460" s="140" t="str">
        <f t="shared" si="263"/>
        <v/>
      </c>
      <c r="Q1460" s="140" t="str">
        <f t="shared" si="264"/>
        <v/>
      </c>
      <c r="R1460" s="140" t="str">
        <f t="shared" si="265"/>
        <v/>
      </c>
      <c r="S1460" s="140" t="str">
        <f t="shared" si="266"/>
        <v/>
      </c>
      <c r="T1460" s="140" t="str">
        <f t="shared" si="267"/>
        <v/>
      </c>
      <c r="U1460" s="140" t="str">
        <f t="shared" si="268"/>
        <v/>
      </c>
      <c r="V1460" s="99"/>
    </row>
    <row r="1461" spans="1:22">
      <c r="A1461" s="92"/>
      <c r="B1461" s="146"/>
      <c r="C1461" s="136"/>
      <c r="D1461" s="152"/>
      <c r="E1461" s="138"/>
      <c r="F1461" s="139"/>
      <c r="G1461" s="98"/>
      <c r="H1461" s="99"/>
      <c r="I1461" s="99"/>
      <c r="J1461" s="100"/>
      <c r="K1461" s="99"/>
      <c r="L1461" s="99"/>
      <c r="M1461" s="99"/>
      <c r="N1461" s="99"/>
      <c r="O1461" s="101"/>
      <c r="P1461" s="140" t="str">
        <f t="shared" si="263"/>
        <v/>
      </c>
      <c r="Q1461" s="140" t="str">
        <f t="shared" si="264"/>
        <v/>
      </c>
      <c r="R1461" s="140" t="str">
        <f t="shared" si="265"/>
        <v/>
      </c>
      <c r="S1461" s="140" t="str">
        <f t="shared" si="266"/>
        <v/>
      </c>
      <c r="T1461" s="140" t="str">
        <f t="shared" si="267"/>
        <v/>
      </c>
      <c r="U1461" s="140" t="str">
        <f t="shared" si="268"/>
        <v/>
      </c>
      <c r="V1461" s="99"/>
    </row>
    <row r="1462" spans="1:22">
      <c r="A1462" s="92">
        <v>15</v>
      </c>
      <c r="B1462" s="92" t="s">
        <v>405</v>
      </c>
      <c r="C1462" s="136"/>
      <c r="D1462" s="137"/>
      <c r="E1462" s="138"/>
      <c r="F1462" s="139"/>
      <c r="G1462" s="98"/>
      <c r="H1462" s="99"/>
      <c r="I1462" s="99"/>
      <c r="J1462" s="109"/>
      <c r="K1462" s="112"/>
      <c r="L1462" s="112"/>
      <c r="M1462" s="99"/>
      <c r="N1462" s="112"/>
      <c r="O1462" s="112"/>
      <c r="P1462" s="140" t="str">
        <f>IF($G1462=8,$O1462,"")</f>
        <v/>
      </c>
      <c r="Q1462" s="140" t="str">
        <f>IF($G1462=10,$O1462,"")</f>
        <v/>
      </c>
      <c r="R1462" s="140" t="str">
        <f>IF($G1462=12,$O1462,"")</f>
        <v/>
      </c>
      <c r="S1462" s="140" t="str">
        <f>IF($G1462=16,$O1462,"")</f>
        <v/>
      </c>
      <c r="T1462" s="140" t="str">
        <f>IF($G1462=20,$O1462,"")</f>
        <v/>
      </c>
      <c r="U1462" s="140" t="str">
        <f>IF($G1462=25,$O1462,"")</f>
        <v/>
      </c>
      <c r="V1462" s="99"/>
    </row>
    <row r="1463" spans="1:22">
      <c r="A1463" s="92"/>
      <c r="B1463" s="141" t="s">
        <v>378</v>
      </c>
      <c r="C1463" s="136"/>
      <c r="D1463" s="142">
        <v>1.48</v>
      </c>
      <c r="E1463" s="138"/>
      <c r="F1463" s="139"/>
      <c r="G1463" s="98">
        <v>16</v>
      </c>
      <c r="H1463" s="99">
        <v>2</v>
      </c>
      <c r="I1463" s="99">
        <v>4</v>
      </c>
      <c r="J1463" s="109">
        <f>D1463</f>
        <v>1.48</v>
      </c>
      <c r="K1463" s="110" t="str">
        <f>IF(N1463&lt;12,"0",0.049*G1463)</f>
        <v>0</v>
      </c>
      <c r="L1463" s="111">
        <v>0</v>
      </c>
      <c r="M1463" s="99">
        <f>2*G1463*L1463/1000</f>
        <v>0</v>
      </c>
      <c r="N1463" s="112">
        <f>J1463-M1463</f>
        <v>1.48</v>
      </c>
      <c r="O1463" s="112">
        <f t="shared" ref="O1463:O1470" si="273">H1463*I1463*N1463</f>
        <v>11.84</v>
      </c>
      <c r="P1463" s="140" t="str">
        <f t="shared" si="263"/>
        <v/>
      </c>
      <c r="Q1463" s="140" t="str">
        <f t="shared" si="264"/>
        <v/>
      </c>
      <c r="R1463" s="140" t="str">
        <f t="shared" si="265"/>
        <v/>
      </c>
      <c r="S1463" s="140">
        <f t="shared" si="266"/>
        <v>11.84</v>
      </c>
      <c r="T1463" s="140" t="str">
        <f t="shared" si="267"/>
        <v/>
      </c>
      <c r="U1463" s="140" t="str">
        <f t="shared" si="268"/>
        <v/>
      </c>
      <c r="V1463" s="99"/>
    </row>
    <row r="1464" spans="1:22">
      <c r="A1464" s="92"/>
      <c r="B1464" s="141" t="s">
        <v>379</v>
      </c>
      <c r="C1464" s="136"/>
      <c r="D1464" s="137"/>
      <c r="E1464" s="138"/>
      <c r="F1464" s="139"/>
      <c r="G1464" s="98">
        <v>16</v>
      </c>
      <c r="H1464" s="99">
        <v>2</v>
      </c>
      <c r="I1464" s="99">
        <v>4</v>
      </c>
      <c r="J1464" s="109">
        <f>D1463</f>
        <v>1.48</v>
      </c>
      <c r="K1464" s="110" t="str">
        <f t="shared" ref="K1464:K1470" si="274">IF(N1464&lt;12,"0",0.049*G1464)</f>
        <v>0</v>
      </c>
      <c r="L1464" s="111">
        <v>0</v>
      </c>
      <c r="M1464" s="99">
        <f t="shared" ref="M1464:M1470" si="275">2*G1464*L1464/1000</f>
        <v>0</v>
      </c>
      <c r="N1464" s="112">
        <f t="shared" ref="N1464:N1470" si="276">J1464-M1464</f>
        <v>1.48</v>
      </c>
      <c r="O1464" s="112">
        <f t="shared" si="273"/>
        <v>11.84</v>
      </c>
      <c r="P1464" s="140" t="str">
        <f t="shared" si="263"/>
        <v/>
      </c>
      <c r="Q1464" s="140" t="str">
        <f t="shared" si="264"/>
        <v/>
      </c>
      <c r="R1464" s="140" t="str">
        <f t="shared" si="265"/>
        <v/>
      </c>
      <c r="S1464" s="140">
        <f t="shared" si="266"/>
        <v>11.84</v>
      </c>
      <c r="T1464" s="140" t="str">
        <f t="shared" si="267"/>
        <v/>
      </c>
      <c r="U1464" s="140" t="str">
        <f t="shared" si="268"/>
        <v/>
      </c>
      <c r="V1464" s="99"/>
    </row>
    <row r="1465" spans="1:22">
      <c r="A1465" s="92"/>
      <c r="B1465" s="141" t="s">
        <v>380</v>
      </c>
      <c r="C1465" s="143"/>
      <c r="D1465" s="142"/>
      <c r="E1465" s="144"/>
      <c r="F1465" s="139"/>
      <c r="G1465" s="98">
        <v>16</v>
      </c>
      <c r="H1465" s="99">
        <v>2</v>
      </c>
      <c r="I1465" s="99">
        <v>4</v>
      </c>
      <c r="J1465" s="109">
        <f>D1463</f>
        <v>1.48</v>
      </c>
      <c r="K1465" s="110" t="str">
        <f t="shared" si="274"/>
        <v>0</v>
      </c>
      <c r="L1465" s="111">
        <v>0</v>
      </c>
      <c r="M1465" s="99">
        <f t="shared" si="275"/>
        <v>0</v>
      </c>
      <c r="N1465" s="112">
        <f t="shared" si="276"/>
        <v>1.48</v>
      </c>
      <c r="O1465" s="112">
        <f t="shared" si="273"/>
        <v>11.84</v>
      </c>
      <c r="P1465" s="140" t="str">
        <f t="shared" si="263"/>
        <v/>
      </c>
      <c r="Q1465" s="140" t="str">
        <f t="shared" si="264"/>
        <v/>
      </c>
      <c r="R1465" s="140" t="str">
        <f t="shared" si="265"/>
        <v/>
      </c>
      <c r="S1465" s="140">
        <f t="shared" si="266"/>
        <v>11.84</v>
      </c>
      <c r="T1465" s="140" t="str">
        <f t="shared" si="267"/>
        <v/>
      </c>
      <c r="U1465" s="140" t="str">
        <f t="shared" si="268"/>
        <v/>
      </c>
      <c r="V1465" s="99"/>
    </row>
    <row r="1466" spans="1:22">
      <c r="A1466" s="92"/>
      <c r="B1466" s="141" t="s">
        <v>381</v>
      </c>
      <c r="C1466" s="136"/>
      <c r="D1466" s="137"/>
      <c r="E1466" s="138"/>
      <c r="F1466" s="139"/>
      <c r="G1466" s="98">
        <v>16</v>
      </c>
      <c r="H1466" s="99">
        <v>2</v>
      </c>
      <c r="I1466" s="99">
        <v>4</v>
      </c>
      <c r="J1466" s="109">
        <f>D1463</f>
        <v>1.48</v>
      </c>
      <c r="K1466" s="110" t="str">
        <f t="shared" si="274"/>
        <v>0</v>
      </c>
      <c r="L1466" s="111">
        <v>0</v>
      </c>
      <c r="M1466" s="99">
        <f t="shared" si="275"/>
        <v>0</v>
      </c>
      <c r="N1466" s="112">
        <f t="shared" si="276"/>
        <v>1.48</v>
      </c>
      <c r="O1466" s="112">
        <f t="shared" si="273"/>
        <v>11.84</v>
      </c>
      <c r="P1466" s="140" t="str">
        <f t="shared" si="263"/>
        <v/>
      </c>
      <c r="Q1466" s="140" t="str">
        <f t="shared" si="264"/>
        <v/>
      </c>
      <c r="R1466" s="140" t="str">
        <f t="shared" si="265"/>
        <v/>
      </c>
      <c r="S1466" s="140">
        <f t="shared" si="266"/>
        <v>11.84</v>
      </c>
      <c r="T1466" s="140" t="str">
        <f t="shared" si="267"/>
        <v/>
      </c>
      <c r="U1466" s="140" t="str">
        <f t="shared" si="268"/>
        <v/>
      </c>
      <c r="V1466" s="99"/>
    </row>
    <row r="1467" spans="1:22">
      <c r="A1467" s="92"/>
      <c r="B1467" s="141" t="s">
        <v>389</v>
      </c>
      <c r="C1467" s="136"/>
      <c r="D1467" s="137"/>
      <c r="E1467" s="138"/>
      <c r="F1467" s="139"/>
      <c r="G1467" s="98">
        <v>16</v>
      </c>
      <c r="H1467" s="99">
        <v>2</v>
      </c>
      <c r="I1467" s="99">
        <v>4</v>
      </c>
      <c r="J1467" s="109">
        <f>D1463</f>
        <v>1.48</v>
      </c>
      <c r="K1467" s="110" t="str">
        <f t="shared" si="274"/>
        <v>0</v>
      </c>
      <c r="L1467" s="111">
        <v>0</v>
      </c>
      <c r="M1467" s="99">
        <f t="shared" si="275"/>
        <v>0</v>
      </c>
      <c r="N1467" s="112">
        <f t="shared" si="276"/>
        <v>1.48</v>
      </c>
      <c r="O1467" s="112">
        <f t="shared" si="273"/>
        <v>11.84</v>
      </c>
      <c r="P1467" s="140" t="str">
        <f t="shared" si="263"/>
        <v/>
      </c>
      <c r="Q1467" s="140" t="str">
        <f t="shared" si="264"/>
        <v/>
      </c>
      <c r="R1467" s="140" t="str">
        <f t="shared" si="265"/>
        <v/>
      </c>
      <c r="S1467" s="140">
        <f t="shared" si="266"/>
        <v>11.84</v>
      </c>
      <c r="T1467" s="140" t="str">
        <f t="shared" si="267"/>
        <v/>
      </c>
      <c r="U1467" s="140" t="str">
        <f t="shared" si="268"/>
        <v/>
      </c>
      <c r="V1467" s="99"/>
    </row>
    <row r="1468" spans="1:22">
      <c r="A1468" s="92"/>
      <c r="B1468" s="141" t="s">
        <v>401</v>
      </c>
      <c r="C1468" s="136"/>
      <c r="D1468" s="137"/>
      <c r="E1468" s="138"/>
      <c r="F1468" s="139"/>
      <c r="G1468" s="98">
        <v>16</v>
      </c>
      <c r="H1468" s="99">
        <v>2</v>
      </c>
      <c r="I1468" s="99">
        <v>4</v>
      </c>
      <c r="J1468" s="109">
        <f>D1463</f>
        <v>1.48</v>
      </c>
      <c r="K1468" s="110" t="str">
        <f t="shared" si="274"/>
        <v>0</v>
      </c>
      <c r="L1468" s="111">
        <v>0</v>
      </c>
      <c r="M1468" s="99">
        <f t="shared" si="275"/>
        <v>0</v>
      </c>
      <c r="N1468" s="112">
        <f t="shared" si="276"/>
        <v>1.48</v>
      </c>
      <c r="O1468" s="112">
        <f t="shared" si="273"/>
        <v>11.84</v>
      </c>
      <c r="P1468" s="140" t="str">
        <f t="shared" si="263"/>
        <v/>
      </c>
      <c r="Q1468" s="140" t="str">
        <f t="shared" si="264"/>
        <v/>
      </c>
      <c r="R1468" s="140" t="str">
        <f t="shared" si="265"/>
        <v/>
      </c>
      <c r="S1468" s="140">
        <f t="shared" si="266"/>
        <v>11.84</v>
      </c>
      <c r="T1468" s="140" t="str">
        <f t="shared" si="267"/>
        <v/>
      </c>
      <c r="U1468" s="140" t="str">
        <f t="shared" si="268"/>
        <v/>
      </c>
      <c r="V1468" s="99"/>
    </row>
    <row r="1469" spans="1:22">
      <c r="A1469" s="92"/>
      <c r="B1469" s="141" t="s">
        <v>403</v>
      </c>
      <c r="C1469" s="136"/>
      <c r="D1469" s="137"/>
      <c r="E1469" s="138"/>
      <c r="F1469" s="139"/>
      <c r="G1469" s="98">
        <v>16</v>
      </c>
      <c r="H1469" s="99">
        <v>2</v>
      </c>
      <c r="I1469" s="99">
        <v>4</v>
      </c>
      <c r="J1469" s="109">
        <f>D1463</f>
        <v>1.48</v>
      </c>
      <c r="K1469" s="110" t="str">
        <f t="shared" si="274"/>
        <v>0</v>
      </c>
      <c r="L1469" s="111">
        <v>0</v>
      </c>
      <c r="M1469" s="99">
        <f t="shared" si="275"/>
        <v>0</v>
      </c>
      <c r="N1469" s="112">
        <f t="shared" si="276"/>
        <v>1.48</v>
      </c>
      <c r="O1469" s="112">
        <f t="shared" si="273"/>
        <v>11.84</v>
      </c>
      <c r="P1469" s="140" t="str">
        <f t="shared" si="263"/>
        <v/>
      </c>
      <c r="Q1469" s="140" t="str">
        <f t="shared" si="264"/>
        <v/>
      </c>
      <c r="R1469" s="140" t="str">
        <f t="shared" si="265"/>
        <v/>
      </c>
      <c r="S1469" s="140">
        <f t="shared" si="266"/>
        <v>11.84</v>
      </c>
      <c r="T1469" s="140" t="str">
        <f t="shared" si="267"/>
        <v/>
      </c>
      <c r="U1469" s="140" t="str">
        <f t="shared" si="268"/>
        <v/>
      </c>
      <c r="V1469" s="99"/>
    </row>
    <row r="1470" spans="1:22">
      <c r="A1470" s="92"/>
      <c r="B1470" s="141" t="s">
        <v>406</v>
      </c>
      <c r="C1470" s="136"/>
      <c r="D1470" s="137"/>
      <c r="E1470" s="138"/>
      <c r="F1470" s="139"/>
      <c r="G1470" s="98">
        <v>16</v>
      </c>
      <c r="H1470" s="99">
        <v>2</v>
      </c>
      <c r="I1470" s="99">
        <v>8</v>
      </c>
      <c r="J1470" s="109">
        <f>D1463</f>
        <v>1.48</v>
      </c>
      <c r="K1470" s="110" t="str">
        <f t="shared" si="274"/>
        <v>0</v>
      </c>
      <c r="L1470" s="111">
        <v>0</v>
      </c>
      <c r="M1470" s="99">
        <f t="shared" si="275"/>
        <v>0</v>
      </c>
      <c r="N1470" s="112">
        <f t="shared" si="276"/>
        <v>1.48</v>
      </c>
      <c r="O1470" s="112">
        <f t="shared" si="273"/>
        <v>23.68</v>
      </c>
      <c r="P1470" s="140" t="str">
        <f t="shared" si="263"/>
        <v/>
      </c>
      <c r="Q1470" s="140" t="str">
        <f t="shared" si="264"/>
        <v/>
      </c>
      <c r="R1470" s="140" t="str">
        <f t="shared" si="265"/>
        <v/>
      </c>
      <c r="S1470" s="140">
        <f t="shared" si="266"/>
        <v>23.68</v>
      </c>
      <c r="T1470" s="140" t="str">
        <f t="shared" si="267"/>
        <v/>
      </c>
      <c r="U1470" s="140" t="str">
        <f t="shared" si="268"/>
        <v/>
      </c>
      <c r="V1470" s="99"/>
    </row>
    <row r="1471" spans="1:22">
      <c r="A1471" s="92"/>
      <c r="B1471" s="141"/>
      <c r="C1471" s="136"/>
      <c r="D1471" s="137"/>
      <c r="E1471" s="138"/>
      <c r="F1471" s="139"/>
      <c r="G1471" s="98"/>
      <c r="H1471" s="99"/>
      <c r="I1471" s="99"/>
      <c r="J1471" s="109"/>
      <c r="K1471" s="110"/>
      <c r="L1471" s="111"/>
      <c r="M1471" s="99"/>
      <c r="N1471" s="112"/>
      <c r="O1471" s="112"/>
      <c r="P1471" s="140"/>
      <c r="Q1471" s="140"/>
      <c r="R1471" s="140"/>
      <c r="S1471" s="140"/>
      <c r="T1471" s="140"/>
      <c r="U1471" s="140"/>
      <c r="V1471" s="99"/>
    </row>
    <row r="1472" spans="1:22">
      <c r="A1472" s="92"/>
      <c r="B1472" s="92"/>
      <c r="C1472" s="145">
        <v>0.08</v>
      </c>
      <c r="D1472" s="137"/>
      <c r="E1472" s="138"/>
      <c r="F1472" s="139"/>
      <c r="G1472" s="98"/>
      <c r="H1472" s="99"/>
      <c r="I1472" s="99"/>
      <c r="J1472" s="100"/>
      <c r="K1472" s="99"/>
      <c r="L1472" s="99"/>
      <c r="M1472" s="99"/>
      <c r="N1472" s="99"/>
      <c r="O1472" s="101"/>
      <c r="P1472" s="140" t="str">
        <f t="shared" si="263"/>
        <v/>
      </c>
      <c r="Q1472" s="140" t="str">
        <f t="shared" si="264"/>
        <v/>
      </c>
      <c r="R1472" s="140" t="str">
        <f t="shared" si="265"/>
        <v/>
      </c>
      <c r="S1472" s="140" t="str">
        <f t="shared" si="266"/>
        <v/>
      </c>
      <c r="T1472" s="140" t="str">
        <f t="shared" si="267"/>
        <v/>
      </c>
      <c r="U1472" s="140" t="str">
        <f t="shared" si="268"/>
        <v/>
      </c>
      <c r="V1472" s="99"/>
    </row>
    <row r="1473" spans="1:22">
      <c r="A1473" s="92"/>
      <c r="B1473" s="146" t="s">
        <v>382</v>
      </c>
      <c r="C1473" s="147"/>
      <c r="D1473" s="137"/>
      <c r="E1473" s="148">
        <f>1.855-0.05</f>
        <v>1.8049999999999999</v>
      </c>
      <c r="F1473" s="139"/>
      <c r="G1473" s="98">
        <v>10</v>
      </c>
      <c r="H1473" s="99">
        <v>2</v>
      </c>
      <c r="I1473" s="111">
        <f>(1.48/0.1)+1</f>
        <v>15.799999999999999</v>
      </c>
      <c r="J1473" s="149">
        <f>2*(D1475+E1473)+2*8*G1473/1000</f>
        <v>4.13</v>
      </c>
      <c r="K1473" s="99"/>
      <c r="L1473" s="99">
        <v>5</v>
      </c>
      <c r="M1473" s="112">
        <f>2*G1473*L1473/1000</f>
        <v>0.1</v>
      </c>
      <c r="N1473" s="112">
        <f>(J1473+K1473-M1473)</f>
        <v>4.03</v>
      </c>
      <c r="O1473" s="112">
        <f>(H1473*I1473*N1473)</f>
        <v>127.348</v>
      </c>
      <c r="P1473" s="140" t="str">
        <f t="shared" si="263"/>
        <v/>
      </c>
      <c r="Q1473" s="140">
        <f t="shared" si="264"/>
        <v>127.348</v>
      </c>
      <c r="R1473" s="140" t="str">
        <f t="shared" si="265"/>
        <v/>
      </c>
      <c r="S1473" s="140" t="str">
        <f t="shared" si="266"/>
        <v/>
      </c>
      <c r="T1473" s="140" t="str">
        <f t="shared" si="267"/>
        <v/>
      </c>
      <c r="U1473" s="140" t="str">
        <f t="shared" si="268"/>
        <v/>
      </c>
      <c r="V1473" s="99"/>
    </row>
    <row r="1474" spans="1:22">
      <c r="A1474" s="92"/>
      <c r="B1474" s="146"/>
      <c r="C1474" s="136"/>
      <c r="D1474" s="137"/>
      <c r="E1474" s="150"/>
      <c r="F1474" s="139"/>
      <c r="G1474" s="98"/>
      <c r="H1474" s="99"/>
      <c r="I1474" s="99"/>
      <c r="J1474" s="100"/>
      <c r="K1474" s="99"/>
      <c r="L1474" s="99"/>
      <c r="M1474" s="99"/>
      <c r="N1474" s="99"/>
      <c r="O1474" s="112"/>
      <c r="P1474" s="140" t="str">
        <f t="shared" si="263"/>
        <v/>
      </c>
      <c r="Q1474" s="140" t="str">
        <f t="shared" si="264"/>
        <v/>
      </c>
      <c r="R1474" s="140" t="str">
        <f t="shared" si="265"/>
        <v/>
      </c>
      <c r="S1474" s="140" t="str">
        <f t="shared" si="266"/>
        <v/>
      </c>
      <c r="T1474" s="140" t="str">
        <f t="shared" si="267"/>
        <v/>
      </c>
      <c r="U1474" s="140" t="str">
        <f t="shared" si="268"/>
        <v/>
      </c>
      <c r="V1474" s="99"/>
    </row>
    <row r="1475" spans="1:22">
      <c r="A1475" s="92"/>
      <c r="B1475" s="146"/>
      <c r="C1475" s="136"/>
      <c r="D1475" s="109">
        <f>0.23-0.05</f>
        <v>0.18</v>
      </c>
      <c r="E1475" s="138"/>
      <c r="F1475" s="139"/>
      <c r="G1475" s="98"/>
      <c r="H1475" s="99"/>
      <c r="I1475" s="99"/>
      <c r="J1475" s="100"/>
      <c r="K1475" s="99"/>
      <c r="L1475" s="99"/>
      <c r="M1475" s="99"/>
      <c r="N1475" s="99"/>
      <c r="O1475" s="112"/>
      <c r="P1475" s="140" t="str">
        <f t="shared" si="263"/>
        <v/>
      </c>
      <c r="Q1475" s="140" t="str">
        <f t="shared" si="264"/>
        <v/>
      </c>
      <c r="R1475" s="140" t="str">
        <f t="shared" si="265"/>
        <v/>
      </c>
      <c r="S1475" s="140" t="str">
        <f t="shared" si="266"/>
        <v/>
      </c>
      <c r="T1475" s="140" t="str">
        <f t="shared" si="267"/>
        <v/>
      </c>
      <c r="U1475" s="140" t="str">
        <f t="shared" si="268"/>
        <v/>
      </c>
      <c r="V1475" s="99"/>
    </row>
    <row r="1476" spans="1:22">
      <c r="A1476" s="92"/>
      <c r="B1476" s="141"/>
      <c r="C1476" s="136"/>
      <c r="D1476" s="137"/>
      <c r="E1476" s="138"/>
      <c r="F1476" s="139"/>
      <c r="G1476" s="98"/>
      <c r="H1476" s="99"/>
      <c r="I1476" s="99"/>
      <c r="J1476" s="100"/>
      <c r="K1476" s="99"/>
      <c r="L1476" s="99"/>
      <c r="M1476" s="99"/>
      <c r="N1476" s="99"/>
      <c r="O1476" s="112"/>
      <c r="P1476" s="140" t="str">
        <f t="shared" si="263"/>
        <v/>
      </c>
      <c r="Q1476" s="140" t="str">
        <f t="shared" si="264"/>
        <v/>
      </c>
      <c r="R1476" s="140" t="str">
        <f t="shared" si="265"/>
        <v/>
      </c>
      <c r="S1476" s="140" t="str">
        <f t="shared" si="266"/>
        <v/>
      </c>
      <c r="T1476" s="140" t="str">
        <f t="shared" si="267"/>
        <v/>
      </c>
      <c r="U1476" s="140" t="str">
        <f t="shared" si="268"/>
        <v/>
      </c>
      <c r="V1476" s="99"/>
    </row>
    <row r="1477" spans="1:22">
      <c r="A1477" s="92"/>
      <c r="B1477" s="92"/>
      <c r="C1477" s="145">
        <v>0.08</v>
      </c>
      <c r="D1477" s="137"/>
      <c r="E1477" s="138"/>
      <c r="F1477" s="139"/>
      <c r="G1477" s="98"/>
      <c r="H1477" s="99"/>
      <c r="I1477" s="99"/>
      <c r="J1477" s="100"/>
      <c r="K1477" s="99"/>
      <c r="L1477" s="99"/>
      <c r="M1477" s="99"/>
      <c r="N1477" s="99"/>
      <c r="O1477" s="112"/>
      <c r="P1477" s="140" t="str">
        <f t="shared" si="263"/>
        <v/>
      </c>
      <c r="Q1477" s="140" t="str">
        <f t="shared" si="264"/>
        <v/>
      </c>
      <c r="R1477" s="140" t="str">
        <f t="shared" si="265"/>
        <v/>
      </c>
      <c r="S1477" s="140" t="str">
        <f t="shared" si="266"/>
        <v/>
      </c>
      <c r="T1477" s="140" t="str">
        <f t="shared" si="267"/>
        <v/>
      </c>
      <c r="U1477" s="140" t="str">
        <f t="shared" si="268"/>
        <v/>
      </c>
      <c r="V1477" s="99"/>
    </row>
    <row r="1478" spans="1:22">
      <c r="A1478" s="92"/>
      <c r="B1478" s="146" t="s">
        <v>383</v>
      </c>
      <c r="C1478" s="147"/>
      <c r="D1478" s="137"/>
      <c r="E1478" s="148">
        <f>((1.855-0.05-0.016)/17)+0.016+0.02</f>
        <v>0.14123529411764704</v>
      </c>
      <c r="F1478" s="139"/>
      <c r="G1478" s="98">
        <v>10</v>
      </c>
      <c r="H1478" s="99">
        <v>2</v>
      </c>
      <c r="I1478" s="111">
        <f>(1.48/0.1)+1</f>
        <v>15.799999999999999</v>
      </c>
      <c r="J1478" s="149">
        <f>2*(D1480+E1478)+2*8*G1478/1000</f>
        <v>0.80247058823529416</v>
      </c>
      <c r="K1478" s="99"/>
      <c r="L1478" s="99">
        <v>5</v>
      </c>
      <c r="M1478" s="112">
        <f>2*G1478*L1478/1000</f>
        <v>0.1</v>
      </c>
      <c r="N1478" s="112">
        <f>(J1478+K1478-M1478)</f>
        <v>0.70247058823529418</v>
      </c>
      <c r="O1478" s="112">
        <f>(H1478*I1478*N1478)</f>
        <v>22.198070588235293</v>
      </c>
      <c r="P1478" s="140" t="str">
        <f t="shared" si="263"/>
        <v/>
      </c>
      <c r="Q1478" s="140">
        <f t="shared" si="264"/>
        <v>22.198070588235293</v>
      </c>
      <c r="R1478" s="140" t="str">
        <f t="shared" si="265"/>
        <v/>
      </c>
      <c r="S1478" s="140" t="str">
        <f t="shared" si="266"/>
        <v/>
      </c>
      <c r="T1478" s="140" t="str">
        <f t="shared" si="267"/>
        <v/>
      </c>
      <c r="U1478" s="140" t="str">
        <f t="shared" si="268"/>
        <v/>
      </c>
      <c r="V1478" s="99"/>
    </row>
    <row r="1479" spans="1:22">
      <c r="A1479" s="92"/>
      <c r="B1479" s="146"/>
      <c r="C1479" s="136"/>
      <c r="D1479" s="137"/>
      <c r="E1479" s="150"/>
      <c r="F1479" s="139"/>
      <c r="G1479" s="98"/>
      <c r="H1479" s="99"/>
      <c r="I1479" s="99"/>
      <c r="J1479" s="100"/>
      <c r="K1479" s="99"/>
      <c r="L1479" s="99"/>
      <c r="M1479" s="99"/>
      <c r="N1479" s="99"/>
      <c r="O1479" s="112"/>
      <c r="P1479" s="140" t="str">
        <f t="shared" si="263"/>
        <v/>
      </c>
      <c r="Q1479" s="140" t="str">
        <f t="shared" si="264"/>
        <v/>
      </c>
      <c r="R1479" s="140" t="str">
        <f t="shared" si="265"/>
        <v/>
      </c>
      <c r="S1479" s="140" t="str">
        <f t="shared" si="266"/>
        <v/>
      </c>
      <c r="T1479" s="140" t="str">
        <f t="shared" si="267"/>
        <v/>
      </c>
      <c r="U1479" s="140" t="str">
        <f t="shared" si="268"/>
        <v/>
      </c>
      <c r="V1479" s="99"/>
    </row>
    <row r="1480" spans="1:22">
      <c r="A1480" s="92"/>
      <c r="B1480" s="146"/>
      <c r="C1480" s="136"/>
      <c r="D1480" s="109">
        <f>0.23-0.05</f>
        <v>0.18</v>
      </c>
      <c r="E1480" s="138"/>
      <c r="F1480" s="139"/>
      <c r="G1480" s="98"/>
      <c r="H1480" s="99"/>
      <c r="I1480" s="99"/>
      <c r="J1480" s="100"/>
      <c r="K1480" s="99"/>
      <c r="L1480" s="99"/>
      <c r="M1480" s="99"/>
      <c r="N1480" s="99"/>
      <c r="O1480" s="112"/>
      <c r="P1480" s="140" t="str">
        <f t="shared" si="263"/>
        <v/>
      </c>
      <c r="Q1480" s="140" t="str">
        <f t="shared" si="264"/>
        <v/>
      </c>
      <c r="R1480" s="140" t="str">
        <f t="shared" si="265"/>
        <v/>
      </c>
      <c r="S1480" s="140" t="str">
        <f t="shared" si="266"/>
        <v/>
      </c>
      <c r="T1480" s="140" t="str">
        <f t="shared" si="267"/>
        <v/>
      </c>
      <c r="U1480" s="140" t="str">
        <f t="shared" si="268"/>
        <v/>
      </c>
      <c r="V1480" s="99"/>
    </row>
    <row r="1481" spans="1:22">
      <c r="A1481" s="92"/>
      <c r="B1481" s="146"/>
      <c r="C1481" s="136"/>
      <c r="D1481" s="152"/>
      <c r="E1481" s="138"/>
      <c r="F1481" s="139"/>
      <c r="G1481" s="98"/>
      <c r="H1481" s="99"/>
      <c r="I1481" s="99"/>
      <c r="J1481" s="100"/>
      <c r="K1481" s="99"/>
      <c r="L1481" s="99"/>
      <c r="M1481" s="99"/>
      <c r="N1481" s="99"/>
      <c r="O1481" s="101"/>
      <c r="P1481" s="140" t="str">
        <f t="shared" si="263"/>
        <v/>
      </c>
      <c r="Q1481" s="140" t="str">
        <f t="shared" si="264"/>
        <v/>
      </c>
      <c r="R1481" s="140" t="str">
        <f t="shared" si="265"/>
        <v/>
      </c>
      <c r="S1481" s="140" t="str">
        <f t="shared" si="266"/>
        <v/>
      </c>
      <c r="T1481" s="140" t="str">
        <f t="shared" si="267"/>
        <v/>
      </c>
      <c r="U1481" s="140" t="str">
        <f t="shared" si="268"/>
        <v/>
      </c>
      <c r="V1481" s="99"/>
    </row>
    <row r="1482" spans="1:22">
      <c r="A1482" s="92">
        <v>16</v>
      </c>
      <c r="B1482" s="92" t="s">
        <v>407</v>
      </c>
      <c r="C1482" s="136"/>
      <c r="D1482" s="137"/>
      <c r="E1482" s="138"/>
      <c r="F1482" s="139"/>
      <c r="G1482" s="98"/>
      <c r="H1482" s="99"/>
      <c r="I1482" s="99"/>
      <c r="J1482" s="109"/>
      <c r="K1482" s="112"/>
      <c r="L1482" s="112"/>
      <c r="M1482" s="99"/>
      <c r="N1482" s="112"/>
      <c r="O1482" s="112"/>
      <c r="P1482" s="140" t="str">
        <f>IF($G1482=8,$O1482,"")</f>
        <v/>
      </c>
      <c r="Q1482" s="140" t="str">
        <f>IF($G1482=10,$O1482,"")</f>
        <v/>
      </c>
      <c r="R1482" s="140" t="str">
        <f>IF($G1482=12,$O1482,"")</f>
        <v/>
      </c>
      <c r="S1482" s="140" t="str">
        <f>IF($G1482=16,$O1482,"")</f>
        <v/>
      </c>
      <c r="T1482" s="140" t="str">
        <f>IF($G1482=20,$O1482,"")</f>
        <v/>
      </c>
      <c r="U1482" s="140" t="str">
        <f>IF($G1482=25,$O1482,"")</f>
        <v/>
      </c>
      <c r="V1482" s="99"/>
    </row>
    <row r="1483" spans="1:22">
      <c r="A1483" s="92"/>
      <c r="B1483" s="141" t="s">
        <v>378</v>
      </c>
      <c r="C1483" s="136"/>
      <c r="D1483" s="142">
        <v>1.48</v>
      </c>
      <c r="E1483" s="138"/>
      <c r="F1483" s="139"/>
      <c r="G1483" s="98">
        <v>16</v>
      </c>
      <c r="H1483" s="99">
        <v>6</v>
      </c>
      <c r="I1483" s="99">
        <v>8</v>
      </c>
      <c r="J1483" s="109">
        <f>D1483</f>
        <v>1.48</v>
      </c>
      <c r="K1483" s="110" t="str">
        <f>IF(N1483&lt;12,"0",0.049*G1483)</f>
        <v>0</v>
      </c>
      <c r="L1483" s="111">
        <v>0</v>
      </c>
      <c r="M1483" s="99">
        <f>2*G1483*L1483/1000</f>
        <v>0</v>
      </c>
      <c r="N1483" s="112">
        <f>J1483+E1485-M1483</f>
        <v>1.48</v>
      </c>
      <c r="O1483" s="112">
        <f>H1483*I1483*N1483</f>
        <v>71.039999999999992</v>
      </c>
      <c r="P1483" s="140" t="str">
        <f t="shared" si="263"/>
        <v/>
      </c>
      <c r="Q1483" s="140" t="str">
        <f t="shared" si="264"/>
        <v/>
      </c>
      <c r="R1483" s="140" t="str">
        <f t="shared" si="265"/>
        <v/>
      </c>
      <c r="S1483" s="140">
        <f t="shared" si="266"/>
        <v>71.039999999999992</v>
      </c>
      <c r="T1483" s="140" t="str">
        <f t="shared" si="267"/>
        <v/>
      </c>
      <c r="U1483" s="140" t="str">
        <f t="shared" si="268"/>
        <v/>
      </c>
      <c r="V1483" s="99"/>
    </row>
    <row r="1484" spans="1:22">
      <c r="A1484" s="92"/>
      <c r="B1484" s="141" t="s">
        <v>379</v>
      </c>
      <c r="C1484" s="136"/>
      <c r="D1484" s="137"/>
      <c r="E1484" s="138"/>
      <c r="F1484" s="139"/>
      <c r="G1484" s="98">
        <v>16</v>
      </c>
      <c r="H1484" s="99">
        <v>6</v>
      </c>
      <c r="I1484" s="99">
        <v>16</v>
      </c>
      <c r="J1484" s="109">
        <f>D1483</f>
        <v>1.48</v>
      </c>
      <c r="K1484" s="110" t="str">
        <f t="shared" ref="K1484:K1485" si="277">IF(N1484&lt;12,"0",0.049*G1484)</f>
        <v>0</v>
      </c>
      <c r="L1484" s="111">
        <v>0</v>
      </c>
      <c r="M1484" s="99">
        <f t="shared" ref="M1484:M1485" si="278">2*G1484*L1484/1000</f>
        <v>0</v>
      </c>
      <c r="N1484" s="112">
        <f>J1484+E1485-M1484</f>
        <v>1.48</v>
      </c>
      <c r="O1484" s="112">
        <f>H1484*I1484*N1484</f>
        <v>142.07999999999998</v>
      </c>
      <c r="P1484" s="140" t="str">
        <f t="shared" si="263"/>
        <v/>
      </c>
      <c r="Q1484" s="140" t="str">
        <f t="shared" si="264"/>
        <v/>
      </c>
      <c r="R1484" s="140" t="str">
        <f t="shared" si="265"/>
        <v/>
      </c>
      <c r="S1484" s="140">
        <f t="shared" si="266"/>
        <v>142.07999999999998</v>
      </c>
      <c r="T1484" s="140" t="str">
        <f t="shared" si="267"/>
        <v/>
      </c>
      <c r="U1484" s="140" t="str">
        <f t="shared" si="268"/>
        <v/>
      </c>
      <c r="V1484" s="99"/>
    </row>
    <row r="1485" spans="1:22">
      <c r="A1485" s="92"/>
      <c r="B1485" s="141" t="s">
        <v>380</v>
      </c>
      <c r="C1485" s="143"/>
      <c r="D1485" s="142"/>
      <c r="E1485" s="144"/>
      <c r="F1485" s="139"/>
      <c r="G1485" s="98">
        <v>12</v>
      </c>
      <c r="H1485" s="99">
        <v>6</v>
      </c>
      <c r="I1485" s="99">
        <v>10</v>
      </c>
      <c r="J1485" s="109">
        <f>D1483</f>
        <v>1.48</v>
      </c>
      <c r="K1485" s="110" t="str">
        <f t="shared" si="277"/>
        <v>0</v>
      </c>
      <c r="L1485" s="111">
        <v>0</v>
      </c>
      <c r="M1485" s="99">
        <f t="shared" si="278"/>
        <v>0</v>
      </c>
      <c r="N1485" s="112">
        <f>J1485+E1485-M1485</f>
        <v>1.48</v>
      </c>
      <c r="O1485" s="112">
        <f>H1485*I1485*N1485</f>
        <v>88.8</v>
      </c>
      <c r="P1485" s="140" t="str">
        <f t="shared" si="263"/>
        <v/>
      </c>
      <c r="Q1485" s="140" t="str">
        <f t="shared" si="264"/>
        <v/>
      </c>
      <c r="R1485" s="140">
        <f t="shared" si="265"/>
        <v>88.8</v>
      </c>
      <c r="S1485" s="140" t="str">
        <f t="shared" si="266"/>
        <v/>
      </c>
      <c r="T1485" s="140" t="str">
        <f t="shared" si="267"/>
        <v/>
      </c>
      <c r="U1485" s="140" t="str">
        <f t="shared" si="268"/>
        <v/>
      </c>
      <c r="V1485" s="99"/>
    </row>
    <row r="1486" spans="1:22">
      <c r="A1486" s="92"/>
      <c r="B1486" s="141"/>
      <c r="C1486" s="136"/>
      <c r="D1486" s="137"/>
      <c r="E1486" s="138"/>
      <c r="F1486" s="139"/>
      <c r="G1486" s="98"/>
      <c r="H1486" s="99"/>
      <c r="I1486" s="99"/>
      <c r="J1486" s="109"/>
      <c r="K1486" s="110"/>
      <c r="L1486" s="111"/>
      <c r="M1486" s="99"/>
      <c r="N1486" s="112"/>
      <c r="O1486" s="112"/>
      <c r="P1486" s="140" t="str">
        <f t="shared" si="263"/>
        <v/>
      </c>
      <c r="Q1486" s="140" t="str">
        <f t="shared" si="264"/>
        <v/>
      </c>
      <c r="R1486" s="140" t="str">
        <f t="shared" si="265"/>
        <v/>
      </c>
      <c r="S1486" s="140" t="str">
        <f t="shared" si="266"/>
        <v/>
      </c>
      <c r="T1486" s="140" t="str">
        <f t="shared" si="267"/>
        <v/>
      </c>
      <c r="U1486" s="140" t="str">
        <f t="shared" si="268"/>
        <v/>
      </c>
      <c r="V1486" s="99"/>
    </row>
    <row r="1487" spans="1:22">
      <c r="A1487" s="92"/>
      <c r="B1487" s="141"/>
      <c r="C1487" s="136"/>
      <c r="D1487" s="137"/>
      <c r="E1487" s="138"/>
      <c r="F1487" s="139"/>
      <c r="G1487" s="98"/>
      <c r="H1487" s="99"/>
      <c r="I1487" s="99"/>
      <c r="J1487" s="100"/>
      <c r="K1487" s="99"/>
      <c r="L1487" s="99"/>
      <c r="M1487" s="99"/>
      <c r="N1487" s="99"/>
      <c r="O1487" s="101"/>
      <c r="P1487" s="140" t="str">
        <f t="shared" si="263"/>
        <v/>
      </c>
      <c r="Q1487" s="140" t="str">
        <f t="shared" si="264"/>
        <v/>
      </c>
      <c r="R1487" s="140" t="str">
        <f t="shared" si="265"/>
        <v/>
      </c>
      <c r="S1487" s="140" t="str">
        <f t="shared" si="266"/>
        <v/>
      </c>
      <c r="T1487" s="140" t="str">
        <f t="shared" si="267"/>
        <v/>
      </c>
      <c r="U1487" s="140" t="str">
        <f t="shared" si="268"/>
        <v/>
      </c>
      <c r="V1487" s="99"/>
    </row>
    <row r="1488" spans="1:22">
      <c r="A1488" s="92"/>
      <c r="B1488" s="92"/>
      <c r="C1488" s="145">
        <v>0.08</v>
      </c>
      <c r="D1488" s="137"/>
      <c r="E1488" s="138"/>
      <c r="F1488" s="139"/>
      <c r="G1488" s="98"/>
      <c r="H1488" s="99"/>
      <c r="I1488" s="99"/>
      <c r="J1488" s="100"/>
      <c r="K1488" s="99"/>
      <c r="L1488" s="99"/>
      <c r="M1488" s="99"/>
      <c r="N1488" s="99"/>
      <c r="O1488" s="101"/>
      <c r="P1488" s="140" t="str">
        <f t="shared" si="263"/>
        <v/>
      </c>
      <c r="Q1488" s="140" t="str">
        <f t="shared" si="264"/>
        <v/>
      </c>
      <c r="R1488" s="140" t="str">
        <f t="shared" si="265"/>
        <v/>
      </c>
      <c r="S1488" s="140" t="str">
        <f t="shared" si="266"/>
        <v/>
      </c>
      <c r="T1488" s="140" t="str">
        <f t="shared" si="267"/>
        <v/>
      </c>
      <c r="U1488" s="140" t="str">
        <f t="shared" si="268"/>
        <v/>
      </c>
      <c r="V1488" s="99"/>
    </row>
    <row r="1489" spans="1:22">
      <c r="A1489" s="92"/>
      <c r="B1489" s="146" t="s">
        <v>647</v>
      </c>
      <c r="C1489" s="147"/>
      <c r="D1489" s="137"/>
      <c r="E1489" s="148">
        <f>0.65-0.05</f>
        <v>0.6</v>
      </c>
      <c r="F1489" s="139"/>
      <c r="G1489" s="98">
        <v>8</v>
      </c>
      <c r="H1489" s="99">
        <v>6</v>
      </c>
      <c r="I1489" s="111">
        <f>(1.48/0.1)+1</f>
        <v>15.799999999999999</v>
      </c>
      <c r="J1489" s="149">
        <f>2*(D1491+E1489)+2*8*G1489/1000</f>
        <v>1.6880000000000002</v>
      </c>
      <c r="K1489" s="99"/>
      <c r="L1489" s="99">
        <v>5</v>
      </c>
      <c r="M1489" s="112">
        <f>2*G1489*L1489/1000</f>
        <v>0.08</v>
      </c>
      <c r="N1489" s="112">
        <f>(J1489+K1489-M1489)</f>
        <v>1.6080000000000001</v>
      </c>
      <c r="O1489" s="112">
        <f>(H1489*I1489*N1489)</f>
        <v>152.4384</v>
      </c>
      <c r="P1489" s="140">
        <f t="shared" si="263"/>
        <v>152.4384</v>
      </c>
      <c r="Q1489" s="140" t="str">
        <f t="shared" si="264"/>
        <v/>
      </c>
      <c r="R1489" s="140" t="str">
        <f t="shared" si="265"/>
        <v/>
      </c>
      <c r="S1489" s="140" t="str">
        <f t="shared" si="266"/>
        <v/>
      </c>
      <c r="T1489" s="140" t="str">
        <f t="shared" si="267"/>
        <v/>
      </c>
      <c r="U1489" s="140" t="str">
        <f t="shared" si="268"/>
        <v/>
      </c>
      <c r="V1489" s="99"/>
    </row>
    <row r="1490" spans="1:22">
      <c r="A1490" s="92"/>
      <c r="B1490" s="146"/>
      <c r="C1490" s="136"/>
      <c r="D1490" s="137"/>
      <c r="E1490" s="150"/>
      <c r="F1490" s="139"/>
      <c r="G1490" s="98"/>
      <c r="H1490" s="99"/>
      <c r="I1490" s="99"/>
      <c r="J1490" s="100"/>
      <c r="K1490" s="99"/>
      <c r="L1490" s="99"/>
      <c r="M1490" s="99"/>
      <c r="N1490" s="99"/>
      <c r="O1490" s="112"/>
      <c r="P1490" s="140" t="str">
        <f t="shared" si="263"/>
        <v/>
      </c>
      <c r="Q1490" s="140" t="str">
        <f t="shared" si="264"/>
        <v/>
      </c>
      <c r="R1490" s="140" t="str">
        <f t="shared" si="265"/>
        <v/>
      </c>
      <c r="S1490" s="140" t="str">
        <f t="shared" si="266"/>
        <v/>
      </c>
      <c r="T1490" s="140" t="str">
        <f t="shared" si="267"/>
        <v/>
      </c>
      <c r="U1490" s="140" t="str">
        <f t="shared" si="268"/>
        <v/>
      </c>
      <c r="V1490" s="99"/>
    </row>
    <row r="1491" spans="1:22">
      <c r="A1491" s="92"/>
      <c r="B1491" s="146"/>
      <c r="C1491" s="136"/>
      <c r="D1491" s="109">
        <f>0.23-0.05</f>
        <v>0.18</v>
      </c>
      <c r="E1491" s="138"/>
      <c r="F1491" s="139"/>
      <c r="G1491" s="98"/>
      <c r="H1491" s="99"/>
      <c r="I1491" s="99"/>
      <c r="J1491" s="100"/>
      <c r="K1491" s="99"/>
      <c r="L1491" s="99"/>
      <c r="M1491" s="99"/>
      <c r="N1491" s="99"/>
      <c r="O1491" s="112"/>
      <c r="P1491" s="140" t="str">
        <f t="shared" si="263"/>
        <v/>
      </c>
      <c r="Q1491" s="140" t="str">
        <f t="shared" si="264"/>
        <v/>
      </c>
      <c r="R1491" s="140" t="str">
        <f t="shared" si="265"/>
        <v/>
      </c>
      <c r="S1491" s="140" t="str">
        <f t="shared" si="266"/>
        <v/>
      </c>
      <c r="T1491" s="140" t="str">
        <f t="shared" si="267"/>
        <v/>
      </c>
      <c r="U1491" s="140" t="str">
        <f t="shared" si="268"/>
        <v/>
      </c>
      <c r="V1491" s="99"/>
    </row>
    <row r="1492" spans="1:22">
      <c r="A1492" s="92"/>
      <c r="B1492" s="141"/>
      <c r="C1492" s="136"/>
      <c r="D1492" s="137"/>
      <c r="E1492" s="138"/>
      <c r="F1492" s="139"/>
      <c r="G1492" s="98"/>
      <c r="H1492" s="99"/>
      <c r="I1492" s="99"/>
      <c r="J1492" s="100"/>
      <c r="K1492" s="99"/>
      <c r="L1492" s="99"/>
      <c r="M1492" s="99"/>
      <c r="N1492" s="99"/>
      <c r="O1492" s="101"/>
      <c r="P1492" s="140" t="str">
        <f>IF($G1492=8,$O1492,"")</f>
        <v/>
      </c>
      <c r="Q1492" s="140" t="str">
        <f>IF($G1492=10,$O1492,"")</f>
        <v/>
      </c>
      <c r="R1492" s="140" t="str">
        <f>IF($G1492=12,$O1492,"")</f>
        <v/>
      </c>
      <c r="S1492" s="140" t="str">
        <f>IF($G1492=16,$O1492,"")</f>
        <v/>
      </c>
      <c r="T1492" s="140" t="str">
        <f>IF($G1492=20,$O1492,"")</f>
        <v/>
      </c>
      <c r="U1492" s="140" t="str">
        <f>IF($G1492=25,$O1492,"")</f>
        <v/>
      </c>
      <c r="V1492" s="99"/>
    </row>
    <row r="1493" spans="1:22">
      <c r="A1493" s="92"/>
      <c r="B1493" s="92"/>
      <c r="C1493" s="145">
        <v>0.08</v>
      </c>
      <c r="D1493" s="137"/>
      <c r="E1493" s="138"/>
      <c r="F1493" s="139"/>
      <c r="G1493" s="98"/>
      <c r="H1493" s="99"/>
      <c r="I1493" s="99"/>
      <c r="J1493" s="100"/>
      <c r="K1493" s="99"/>
      <c r="L1493" s="99"/>
      <c r="M1493" s="99"/>
      <c r="N1493" s="99"/>
      <c r="O1493" s="101"/>
      <c r="P1493" s="140" t="str">
        <f>IF($G1493=8,$O1493,"")</f>
        <v/>
      </c>
      <c r="Q1493" s="140" t="str">
        <f>IF($G1493=10,$O1493,"")</f>
        <v/>
      </c>
      <c r="R1493" s="140" t="str">
        <f>IF($G1493=12,$O1493,"")</f>
        <v/>
      </c>
      <c r="S1493" s="140" t="str">
        <f>IF($G1493=16,$O1493,"")</f>
        <v/>
      </c>
      <c r="T1493" s="140" t="str">
        <f>IF($G1493=20,$O1493,"")</f>
        <v/>
      </c>
      <c r="U1493" s="140" t="str">
        <f>IF($G1493=25,$O1493,"")</f>
        <v/>
      </c>
      <c r="V1493" s="99"/>
    </row>
    <row r="1494" spans="1:22">
      <c r="A1494" s="92"/>
      <c r="B1494" s="146" t="s">
        <v>649</v>
      </c>
      <c r="C1494" s="147"/>
      <c r="D1494" s="137"/>
      <c r="E1494" s="148">
        <f>((0.65-0.05-0.016)/5)*2+0.012+0.02</f>
        <v>0.2656</v>
      </c>
      <c r="F1494" s="139"/>
      <c r="G1494" s="98">
        <v>8</v>
      </c>
      <c r="H1494" s="99">
        <v>6</v>
      </c>
      <c r="I1494" s="111">
        <f>(1.48/0.1)+1</f>
        <v>15.799999999999999</v>
      </c>
      <c r="J1494" s="149">
        <f>2*(D1496+E1494)+2*8*G1494/1000</f>
        <v>1.0192000000000001</v>
      </c>
      <c r="K1494" s="99"/>
      <c r="L1494" s="99">
        <v>5</v>
      </c>
      <c r="M1494" s="112">
        <f>2*G1494*L1494/1000</f>
        <v>0.08</v>
      </c>
      <c r="N1494" s="112">
        <f>(J1494+K1494-M1494)</f>
        <v>0.93920000000000015</v>
      </c>
      <c r="O1494" s="112">
        <f>(H1494*I1494*N1494)</f>
        <v>89.03616000000001</v>
      </c>
      <c r="P1494" s="140">
        <f>IF($G1494=8,$O1494,"")</f>
        <v>89.03616000000001</v>
      </c>
      <c r="Q1494" s="140" t="str">
        <f>IF($G1494=10,$O1494,"")</f>
        <v/>
      </c>
      <c r="R1494" s="140" t="str">
        <f>IF($G1494=12,$O1494,"")</f>
        <v/>
      </c>
      <c r="S1494" s="140" t="str">
        <f>IF($G1494=16,$O1494,"")</f>
        <v/>
      </c>
      <c r="T1494" s="140" t="str">
        <f>IF($G1494=20,$O1494,"")</f>
        <v/>
      </c>
      <c r="U1494" s="140" t="str">
        <f>IF($G1494=25,$O1494,"")</f>
        <v/>
      </c>
      <c r="V1494" s="99"/>
    </row>
    <row r="1495" spans="1:22">
      <c r="A1495" s="92"/>
      <c r="B1495" s="146"/>
      <c r="C1495" s="136"/>
      <c r="D1495" s="137"/>
      <c r="E1495" s="150"/>
      <c r="F1495" s="139"/>
      <c r="G1495" s="98"/>
      <c r="H1495" s="99"/>
      <c r="I1495" s="99"/>
      <c r="J1495" s="100"/>
      <c r="K1495" s="99"/>
      <c r="L1495" s="99"/>
      <c r="M1495" s="99"/>
      <c r="N1495" s="99"/>
      <c r="O1495" s="112"/>
      <c r="P1495" s="140" t="str">
        <f>IF($G1495=8,$O1495,"")</f>
        <v/>
      </c>
      <c r="Q1495" s="140" t="str">
        <f>IF($G1495=10,$O1495,"")</f>
        <v/>
      </c>
      <c r="R1495" s="140" t="str">
        <f>IF($G1495=12,$O1495,"")</f>
        <v/>
      </c>
      <c r="S1495" s="140" t="str">
        <f>IF($G1495=16,$O1495,"")</f>
        <v/>
      </c>
      <c r="T1495" s="140" t="str">
        <f>IF($G1495=20,$O1495,"")</f>
        <v/>
      </c>
      <c r="U1495" s="140" t="str">
        <f>IF($G1495=25,$O1495,"")</f>
        <v/>
      </c>
      <c r="V1495" s="99"/>
    </row>
    <row r="1496" spans="1:22">
      <c r="A1496" s="92"/>
      <c r="B1496" s="146"/>
      <c r="C1496" s="136"/>
      <c r="D1496" s="109">
        <f>0.23-0.05</f>
        <v>0.18</v>
      </c>
      <c r="E1496" s="138"/>
      <c r="F1496" s="139"/>
      <c r="G1496" s="98"/>
      <c r="H1496" s="99"/>
      <c r="I1496" s="99"/>
      <c r="J1496" s="100"/>
      <c r="K1496" s="99"/>
      <c r="L1496" s="99"/>
      <c r="M1496" s="99"/>
      <c r="N1496" s="99"/>
      <c r="O1496" s="112"/>
      <c r="P1496" s="140" t="str">
        <f>IF($G1496=8,$O1496,"")</f>
        <v/>
      </c>
      <c r="Q1496" s="140" t="str">
        <f>IF($G1496=10,$O1496,"")</f>
        <v/>
      </c>
      <c r="R1496" s="140" t="str">
        <f>IF($G1496=12,$O1496,"")</f>
        <v/>
      </c>
      <c r="S1496" s="140" t="str">
        <f>IF($G1496=16,$O1496,"")</f>
        <v/>
      </c>
      <c r="T1496" s="140" t="str">
        <f>IF($G1496=20,$O1496,"")</f>
        <v/>
      </c>
      <c r="U1496" s="140" t="str">
        <f>IF($G1496=25,$O1496,"")</f>
        <v/>
      </c>
      <c r="V1496" s="99"/>
    </row>
    <row r="1497" spans="1:22">
      <c r="A1497" s="92"/>
      <c r="B1497" s="141"/>
      <c r="C1497" s="136"/>
      <c r="D1497" s="137"/>
      <c r="E1497" s="138"/>
      <c r="F1497" s="139"/>
      <c r="G1497" s="98"/>
      <c r="H1497" s="99"/>
      <c r="I1497" s="99"/>
      <c r="J1497" s="100"/>
      <c r="K1497" s="99"/>
      <c r="L1497" s="99"/>
      <c r="M1497" s="99"/>
      <c r="N1497" s="99"/>
      <c r="O1497" s="101"/>
      <c r="P1497" s="140" t="str">
        <f t="shared" si="263"/>
        <v/>
      </c>
      <c r="Q1497" s="140" t="str">
        <f t="shared" si="264"/>
        <v/>
      </c>
      <c r="R1497" s="140" t="str">
        <f t="shared" si="265"/>
        <v/>
      </c>
      <c r="S1497" s="140" t="str">
        <f t="shared" si="266"/>
        <v/>
      </c>
      <c r="T1497" s="140" t="str">
        <f t="shared" si="267"/>
        <v/>
      </c>
      <c r="U1497" s="140" t="str">
        <f t="shared" si="268"/>
        <v/>
      </c>
      <c r="V1497" s="99"/>
    </row>
    <row r="1498" spans="1:22">
      <c r="A1498" s="92"/>
      <c r="B1498" s="141"/>
      <c r="C1498" s="136"/>
      <c r="D1498" s="137"/>
      <c r="E1498" s="144">
        <v>0.08</v>
      </c>
      <c r="F1498" s="139"/>
      <c r="G1498" s="98"/>
      <c r="H1498" s="99"/>
      <c r="I1498" s="99"/>
      <c r="J1498" s="100"/>
      <c r="K1498" s="99"/>
      <c r="L1498" s="99"/>
      <c r="M1498" s="99"/>
      <c r="N1498" s="99"/>
      <c r="O1498" s="101"/>
      <c r="P1498" s="140" t="str">
        <f t="shared" si="263"/>
        <v/>
      </c>
      <c r="Q1498" s="140" t="str">
        <f t="shared" si="264"/>
        <v/>
      </c>
      <c r="R1498" s="140" t="str">
        <f t="shared" si="265"/>
        <v/>
      </c>
      <c r="S1498" s="140" t="str">
        <f t="shared" si="266"/>
        <v/>
      </c>
      <c r="T1498" s="140" t="str">
        <f t="shared" si="267"/>
        <v/>
      </c>
      <c r="U1498" s="140" t="str">
        <f t="shared" si="268"/>
        <v/>
      </c>
      <c r="V1498" s="99"/>
    </row>
    <row r="1499" spans="1:22">
      <c r="A1499" s="92"/>
      <c r="B1499" s="146" t="s">
        <v>649</v>
      </c>
      <c r="C1499" s="136"/>
      <c r="D1499" s="142">
        <f>0.23-0.05</f>
        <v>0.18</v>
      </c>
      <c r="E1499" s="144"/>
      <c r="F1499" s="139"/>
      <c r="G1499" s="98">
        <v>8</v>
      </c>
      <c r="H1499" s="99">
        <v>6</v>
      </c>
      <c r="I1499" s="111">
        <f>(1.48/0.1)+1</f>
        <v>15.799999999999999</v>
      </c>
      <c r="J1499" s="149">
        <f>D1499+E1498+E1500</f>
        <v>0.34</v>
      </c>
      <c r="K1499" s="99"/>
      <c r="L1499" s="99">
        <v>2</v>
      </c>
      <c r="M1499" s="112">
        <f>2*G1499*L1499/1000</f>
        <v>3.2000000000000001E-2</v>
      </c>
      <c r="N1499" s="112">
        <f>(J1499+K1499-M1499)</f>
        <v>0.30800000000000005</v>
      </c>
      <c r="O1499" s="112">
        <f>(H1499*I1499*N1499)</f>
        <v>29.198400000000003</v>
      </c>
      <c r="P1499" s="140">
        <f t="shared" si="263"/>
        <v>29.198400000000003</v>
      </c>
      <c r="Q1499" s="140" t="str">
        <f t="shared" si="264"/>
        <v/>
      </c>
      <c r="R1499" s="140" t="str">
        <f t="shared" si="265"/>
        <v/>
      </c>
      <c r="S1499" s="140" t="str">
        <f t="shared" si="266"/>
        <v/>
      </c>
      <c r="T1499" s="140" t="str">
        <f t="shared" si="267"/>
        <v/>
      </c>
      <c r="U1499" s="140" t="str">
        <f t="shared" si="268"/>
        <v/>
      </c>
      <c r="V1499" s="99"/>
    </row>
    <row r="1500" spans="1:22">
      <c r="A1500" s="92"/>
      <c r="B1500" s="141"/>
      <c r="C1500" s="136"/>
      <c r="D1500" s="137"/>
      <c r="E1500" s="144">
        <v>0.08</v>
      </c>
      <c r="F1500" s="139"/>
      <c r="G1500" s="98"/>
      <c r="H1500" s="99"/>
      <c r="I1500" s="99"/>
      <c r="J1500" s="100"/>
      <c r="K1500" s="99"/>
      <c r="L1500" s="99"/>
      <c r="M1500" s="99"/>
      <c r="N1500" s="99"/>
      <c r="O1500" s="101"/>
      <c r="P1500" s="140" t="str">
        <f t="shared" si="263"/>
        <v/>
      </c>
      <c r="Q1500" s="140" t="str">
        <f t="shared" si="264"/>
        <v/>
      </c>
      <c r="R1500" s="140" t="str">
        <f t="shared" si="265"/>
        <v/>
      </c>
      <c r="S1500" s="140" t="str">
        <f t="shared" si="266"/>
        <v/>
      </c>
      <c r="T1500" s="140" t="str">
        <f t="shared" si="267"/>
        <v/>
      </c>
      <c r="U1500" s="140" t="str">
        <f t="shared" si="268"/>
        <v/>
      </c>
      <c r="V1500" s="99"/>
    </row>
    <row r="1501" spans="1:22">
      <c r="A1501" s="92"/>
      <c r="B1501" s="141"/>
      <c r="C1501" s="136"/>
      <c r="D1501" s="137"/>
      <c r="E1501" s="138"/>
      <c r="F1501" s="139"/>
      <c r="G1501" s="98"/>
      <c r="H1501" s="99"/>
      <c r="I1501" s="99"/>
      <c r="J1501" s="100"/>
      <c r="K1501" s="99"/>
      <c r="L1501" s="99"/>
      <c r="M1501" s="99"/>
      <c r="N1501" s="99"/>
      <c r="O1501" s="101"/>
      <c r="P1501" s="140" t="str">
        <f t="shared" si="263"/>
        <v/>
      </c>
      <c r="Q1501" s="140" t="str">
        <f t="shared" si="264"/>
        <v/>
      </c>
      <c r="R1501" s="140" t="str">
        <f t="shared" si="265"/>
        <v/>
      </c>
      <c r="S1501" s="140" t="str">
        <f t="shared" si="266"/>
        <v/>
      </c>
      <c r="T1501" s="140" t="str">
        <f t="shared" si="267"/>
        <v/>
      </c>
      <c r="U1501" s="140" t="str">
        <f t="shared" si="268"/>
        <v/>
      </c>
      <c r="V1501" s="99"/>
    </row>
    <row r="1502" spans="1:22">
      <c r="A1502" s="92"/>
      <c r="B1502" s="92"/>
      <c r="C1502" s="145">
        <v>0.08</v>
      </c>
      <c r="D1502" s="137"/>
      <c r="E1502" s="138"/>
      <c r="F1502" s="139"/>
      <c r="G1502" s="98"/>
      <c r="H1502" s="99"/>
      <c r="I1502" s="99"/>
      <c r="J1502" s="100"/>
      <c r="K1502" s="99"/>
      <c r="L1502" s="99"/>
      <c r="M1502" s="99"/>
      <c r="N1502" s="99"/>
      <c r="O1502" s="101"/>
      <c r="P1502" s="140" t="str">
        <f t="shared" si="263"/>
        <v/>
      </c>
      <c r="Q1502" s="140" t="str">
        <f t="shared" si="264"/>
        <v/>
      </c>
      <c r="R1502" s="140" t="str">
        <f t="shared" si="265"/>
        <v/>
      </c>
      <c r="S1502" s="140" t="str">
        <f t="shared" si="266"/>
        <v/>
      </c>
      <c r="T1502" s="140" t="str">
        <f t="shared" si="267"/>
        <v/>
      </c>
      <c r="U1502" s="140" t="str">
        <f t="shared" si="268"/>
        <v/>
      </c>
      <c r="V1502" s="99"/>
    </row>
    <row r="1503" spans="1:22">
      <c r="A1503" s="92"/>
      <c r="B1503" s="146" t="s">
        <v>647</v>
      </c>
      <c r="C1503" s="147"/>
      <c r="D1503" s="137"/>
      <c r="E1503" s="148">
        <f>0.4-0.025+0.008+0.008</f>
        <v>0.39100000000000001</v>
      </c>
      <c r="F1503" s="139"/>
      <c r="G1503" s="98">
        <v>8</v>
      </c>
      <c r="H1503" s="99">
        <v>6</v>
      </c>
      <c r="I1503" s="111">
        <f>2*((1.48/0.1)+1)</f>
        <v>31.599999999999998</v>
      </c>
      <c r="J1503" s="149">
        <f>2*(D1505+E1503)+2*8*G1503/1000</f>
        <v>1.27</v>
      </c>
      <c r="K1503" s="99"/>
      <c r="L1503" s="99">
        <v>5</v>
      </c>
      <c r="M1503" s="112">
        <f>2*G1503*L1503/1000</f>
        <v>0.08</v>
      </c>
      <c r="N1503" s="112">
        <f>(J1503+K1503-M1503)</f>
        <v>1.19</v>
      </c>
      <c r="O1503" s="112">
        <f>(H1503*I1503*N1503)</f>
        <v>225.624</v>
      </c>
      <c r="P1503" s="140">
        <f t="shared" si="263"/>
        <v>225.624</v>
      </c>
      <c r="Q1503" s="140" t="str">
        <f t="shared" si="264"/>
        <v/>
      </c>
      <c r="R1503" s="140" t="str">
        <f t="shared" si="265"/>
        <v/>
      </c>
      <c r="S1503" s="140" t="str">
        <f t="shared" si="266"/>
        <v/>
      </c>
      <c r="T1503" s="140" t="str">
        <f t="shared" si="267"/>
        <v/>
      </c>
      <c r="U1503" s="140" t="str">
        <f t="shared" si="268"/>
        <v/>
      </c>
      <c r="V1503" s="99"/>
    </row>
    <row r="1504" spans="1:22">
      <c r="A1504" s="92"/>
      <c r="B1504" s="146"/>
      <c r="C1504" s="136"/>
      <c r="D1504" s="137"/>
      <c r="E1504" s="150"/>
      <c r="F1504" s="139"/>
      <c r="G1504" s="98"/>
      <c r="H1504" s="99"/>
      <c r="I1504" s="99"/>
      <c r="J1504" s="100"/>
      <c r="K1504" s="99"/>
      <c r="L1504" s="99"/>
      <c r="M1504" s="99"/>
      <c r="N1504" s="99"/>
      <c r="O1504" s="112"/>
      <c r="P1504" s="140" t="str">
        <f t="shared" si="263"/>
        <v/>
      </c>
      <c r="Q1504" s="140" t="str">
        <f t="shared" si="264"/>
        <v/>
      </c>
      <c r="R1504" s="140" t="str">
        <f t="shared" si="265"/>
        <v/>
      </c>
      <c r="S1504" s="140" t="str">
        <f t="shared" si="266"/>
        <v/>
      </c>
      <c r="T1504" s="140" t="str">
        <f t="shared" si="267"/>
        <v/>
      </c>
      <c r="U1504" s="140" t="str">
        <f t="shared" si="268"/>
        <v/>
      </c>
      <c r="V1504" s="99"/>
    </row>
    <row r="1505" spans="1:22">
      <c r="A1505" s="92"/>
      <c r="B1505" s="146"/>
      <c r="C1505" s="136"/>
      <c r="D1505" s="109">
        <f>0.23-0.05</f>
        <v>0.18</v>
      </c>
      <c r="E1505" s="138"/>
      <c r="F1505" s="139"/>
      <c r="G1505" s="98"/>
      <c r="H1505" s="99"/>
      <c r="I1505" s="99"/>
      <c r="J1505" s="100"/>
      <c r="K1505" s="99"/>
      <c r="L1505" s="99"/>
      <c r="M1505" s="99"/>
      <c r="N1505" s="99"/>
      <c r="O1505" s="112"/>
      <c r="P1505" s="140" t="str">
        <f t="shared" si="263"/>
        <v/>
      </c>
      <c r="Q1505" s="140" t="str">
        <f t="shared" si="264"/>
        <v/>
      </c>
      <c r="R1505" s="140" t="str">
        <f t="shared" si="265"/>
        <v/>
      </c>
      <c r="S1505" s="140" t="str">
        <f t="shared" si="266"/>
        <v/>
      </c>
      <c r="T1505" s="140" t="str">
        <f t="shared" si="267"/>
        <v/>
      </c>
      <c r="U1505" s="140" t="str">
        <f t="shared" si="268"/>
        <v/>
      </c>
      <c r="V1505" s="99"/>
    </row>
    <row r="1506" spans="1:22">
      <c r="A1506" s="92"/>
      <c r="B1506" s="141"/>
      <c r="C1506" s="136"/>
      <c r="D1506" s="137"/>
      <c r="E1506" s="138"/>
      <c r="F1506" s="139"/>
      <c r="G1506" s="98"/>
      <c r="H1506" s="99"/>
      <c r="I1506" s="99"/>
      <c r="J1506" s="100"/>
      <c r="K1506" s="99"/>
      <c r="L1506" s="99"/>
      <c r="M1506" s="99"/>
      <c r="N1506" s="99"/>
      <c r="O1506" s="101"/>
      <c r="P1506" s="140" t="str">
        <f t="shared" si="263"/>
        <v/>
      </c>
      <c r="Q1506" s="140" t="str">
        <f t="shared" si="264"/>
        <v/>
      </c>
      <c r="R1506" s="140" t="str">
        <f t="shared" si="265"/>
        <v/>
      </c>
      <c r="S1506" s="140" t="str">
        <f t="shared" si="266"/>
        <v/>
      </c>
      <c r="T1506" s="140" t="str">
        <f t="shared" si="267"/>
        <v/>
      </c>
      <c r="U1506" s="140" t="str">
        <f t="shared" si="268"/>
        <v/>
      </c>
      <c r="V1506" s="99"/>
    </row>
    <row r="1507" spans="1:22">
      <c r="A1507" s="92"/>
      <c r="B1507" s="141"/>
      <c r="C1507" s="136"/>
      <c r="D1507" s="137"/>
      <c r="E1507" s="144">
        <v>0.08</v>
      </c>
      <c r="F1507" s="139"/>
      <c r="G1507" s="98"/>
      <c r="H1507" s="99"/>
      <c r="I1507" s="99"/>
      <c r="J1507" s="100"/>
      <c r="K1507" s="99"/>
      <c r="L1507" s="99"/>
      <c r="M1507" s="99"/>
      <c r="N1507" s="99"/>
      <c r="O1507" s="101"/>
      <c r="P1507" s="140" t="str">
        <f t="shared" si="263"/>
        <v/>
      </c>
      <c r="Q1507" s="140" t="str">
        <f t="shared" si="264"/>
        <v/>
      </c>
      <c r="R1507" s="140" t="str">
        <f t="shared" si="265"/>
        <v/>
      </c>
      <c r="S1507" s="140" t="str">
        <f t="shared" si="266"/>
        <v/>
      </c>
      <c r="T1507" s="140" t="str">
        <f t="shared" si="267"/>
        <v/>
      </c>
      <c r="U1507" s="140" t="str">
        <f t="shared" si="268"/>
        <v/>
      </c>
      <c r="V1507" s="99"/>
    </row>
    <row r="1508" spans="1:22">
      <c r="A1508" s="92"/>
      <c r="B1508" s="146" t="s">
        <v>649</v>
      </c>
      <c r="C1508" s="136"/>
      <c r="D1508" s="142">
        <f>0.23-0.05</f>
        <v>0.18</v>
      </c>
      <c r="E1508" s="144"/>
      <c r="F1508" s="139"/>
      <c r="G1508" s="98">
        <v>8</v>
      </c>
      <c r="H1508" s="99">
        <v>6</v>
      </c>
      <c r="I1508" s="111">
        <f>2*((1.48/0.1)+1)</f>
        <v>31.599999999999998</v>
      </c>
      <c r="J1508" s="149">
        <f>D1508+E1507+E1509</f>
        <v>0.34</v>
      </c>
      <c r="K1508" s="99"/>
      <c r="L1508" s="99">
        <v>2</v>
      </c>
      <c r="M1508" s="112">
        <f>2*G1508*L1508/1000</f>
        <v>3.2000000000000001E-2</v>
      </c>
      <c r="N1508" s="112">
        <f>(J1508+K1508-M1508)</f>
        <v>0.30800000000000005</v>
      </c>
      <c r="O1508" s="112">
        <f>(H1508*I1508*N1508)</f>
        <v>58.396800000000006</v>
      </c>
      <c r="P1508" s="140">
        <f t="shared" si="263"/>
        <v>58.396800000000006</v>
      </c>
      <c r="Q1508" s="140" t="str">
        <f t="shared" si="264"/>
        <v/>
      </c>
      <c r="R1508" s="140" t="str">
        <f t="shared" si="265"/>
        <v/>
      </c>
      <c r="S1508" s="140" t="str">
        <f t="shared" si="266"/>
        <v/>
      </c>
      <c r="T1508" s="140" t="str">
        <f t="shared" si="267"/>
        <v/>
      </c>
      <c r="U1508" s="140" t="str">
        <f t="shared" si="268"/>
        <v/>
      </c>
      <c r="V1508" s="99"/>
    </row>
    <row r="1509" spans="1:22">
      <c r="A1509" s="92"/>
      <c r="B1509" s="141"/>
      <c r="C1509" s="136"/>
      <c r="D1509" s="137"/>
      <c r="E1509" s="144">
        <v>0.08</v>
      </c>
      <c r="F1509" s="139"/>
      <c r="G1509" s="98"/>
      <c r="H1509" s="99"/>
      <c r="I1509" s="99"/>
      <c r="J1509" s="100"/>
      <c r="K1509" s="99"/>
      <c r="L1509" s="99"/>
      <c r="M1509" s="99"/>
      <c r="N1509" s="99"/>
      <c r="O1509" s="101"/>
      <c r="P1509" s="140" t="str">
        <f t="shared" si="263"/>
        <v/>
      </c>
      <c r="Q1509" s="140" t="str">
        <f t="shared" si="264"/>
        <v/>
      </c>
      <c r="R1509" s="140" t="str">
        <f t="shared" si="265"/>
        <v/>
      </c>
      <c r="S1509" s="140" t="str">
        <f t="shared" si="266"/>
        <v/>
      </c>
      <c r="T1509" s="140" t="str">
        <f t="shared" si="267"/>
        <v/>
      </c>
      <c r="U1509" s="140" t="str">
        <f t="shared" si="268"/>
        <v/>
      </c>
      <c r="V1509" s="99"/>
    </row>
    <row r="1510" spans="1:22">
      <c r="A1510" s="92"/>
      <c r="B1510" s="141"/>
      <c r="C1510" s="136"/>
      <c r="D1510" s="137"/>
      <c r="E1510" s="138"/>
      <c r="F1510" s="139"/>
      <c r="G1510" s="98"/>
      <c r="H1510" s="99"/>
      <c r="I1510" s="99"/>
      <c r="J1510" s="100"/>
      <c r="K1510" s="99"/>
      <c r="L1510" s="99"/>
      <c r="M1510" s="99"/>
      <c r="N1510" s="99"/>
      <c r="O1510" s="112"/>
      <c r="P1510" s="140" t="str">
        <f t="shared" si="263"/>
        <v/>
      </c>
      <c r="Q1510" s="140" t="str">
        <f t="shared" si="264"/>
        <v/>
      </c>
      <c r="R1510" s="140" t="str">
        <f t="shared" si="265"/>
        <v/>
      </c>
      <c r="S1510" s="140" t="str">
        <f t="shared" si="266"/>
        <v/>
      </c>
      <c r="T1510" s="140" t="str">
        <f t="shared" si="267"/>
        <v/>
      </c>
      <c r="U1510" s="140" t="str">
        <f t="shared" si="268"/>
        <v/>
      </c>
      <c r="V1510" s="99"/>
    </row>
    <row r="1511" spans="1:22">
      <c r="A1511" s="92"/>
      <c r="B1511" s="92"/>
      <c r="C1511" s="145">
        <v>0.08</v>
      </c>
      <c r="D1511" s="137"/>
      <c r="E1511" s="138"/>
      <c r="F1511" s="139"/>
      <c r="G1511" s="98"/>
      <c r="H1511" s="99"/>
      <c r="I1511" s="99"/>
      <c r="J1511" s="100"/>
      <c r="K1511" s="99"/>
      <c r="L1511" s="99"/>
      <c r="M1511" s="99"/>
      <c r="N1511" s="99"/>
      <c r="O1511" s="112"/>
      <c r="P1511" s="140" t="str">
        <f t="shared" si="263"/>
        <v/>
      </c>
      <c r="Q1511" s="140" t="str">
        <f t="shared" si="264"/>
        <v/>
      </c>
      <c r="R1511" s="140" t="str">
        <f t="shared" si="265"/>
        <v/>
      </c>
      <c r="S1511" s="140" t="str">
        <f t="shared" si="266"/>
        <v/>
      </c>
      <c r="T1511" s="140" t="str">
        <f t="shared" si="267"/>
        <v/>
      </c>
      <c r="U1511" s="140" t="str">
        <f t="shared" si="268"/>
        <v/>
      </c>
      <c r="V1511" s="99"/>
    </row>
    <row r="1512" spans="1:22">
      <c r="A1512" s="92"/>
      <c r="B1512" s="146" t="s">
        <v>648</v>
      </c>
      <c r="C1512" s="147"/>
      <c r="D1512" s="137"/>
      <c r="E1512" s="148">
        <f>1.85-0.4-0.4+2*0.008+2*0.008</f>
        <v>1.0820000000000003</v>
      </c>
      <c r="F1512" s="139"/>
      <c r="G1512" s="98">
        <v>8</v>
      </c>
      <c r="H1512" s="99">
        <v>6</v>
      </c>
      <c r="I1512" s="111">
        <f>(1.48/0.2)+1</f>
        <v>8.3999999999999986</v>
      </c>
      <c r="J1512" s="149">
        <f>2*(D1514+E1512)+2*8*G1512/1000</f>
        <v>2.6520000000000006</v>
      </c>
      <c r="K1512" s="99"/>
      <c r="L1512" s="99">
        <v>5</v>
      </c>
      <c r="M1512" s="112">
        <f>2*G1512*L1512/1000</f>
        <v>0.08</v>
      </c>
      <c r="N1512" s="112">
        <f>(J1512+K1512-M1512)</f>
        <v>2.5720000000000005</v>
      </c>
      <c r="O1512" s="112">
        <f>(H1512*I1512*N1512)</f>
        <v>129.62880000000001</v>
      </c>
      <c r="P1512" s="140">
        <f t="shared" si="263"/>
        <v>129.62880000000001</v>
      </c>
      <c r="Q1512" s="140" t="str">
        <f t="shared" si="264"/>
        <v/>
      </c>
      <c r="R1512" s="140" t="str">
        <f t="shared" si="265"/>
        <v/>
      </c>
      <c r="S1512" s="140" t="str">
        <f t="shared" si="266"/>
        <v/>
      </c>
      <c r="T1512" s="140" t="str">
        <f t="shared" si="267"/>
        <v/>
      </c>
      <c r="U1512" s="140" t="str">
        <f t="shared" si="268"/>
        <v/>
      </c>
      <c r="V1512" s="99"/>
    </row>
    <row r="1513" spans="1:22">
      <c r="A1513" s="92"/>
      <c r="B1513" s="146"/>
      <c r="C1513" s="136"/>
      <c r="D1513" s="137"/>
      <c r="E1513" s="150"/>
      <c r="F1513" s="139"/>
      <c r="G1513" s="98"/>
      <c r="H1513" s="99"/>
      <c r="I1513" s="99"/>
      <c r="J1513" s="100"/>
      <c r="K1513" s="99"/>
      <c r="L1513" s="99"/>
      <c r="M1513" s="99"/>
      <c r="N1513" s="99"/>
      <c r="O1513" s="112"/>
      <c r="P1513" s="140" t="str">
        <f t="shared" si="263"/>
        <v/>
      </c>
      <c r="Q1513" s="140" t="str">
        <f t="shared" si="264"/>
        <v/>
      </c>
      <c r="R1513" s="140" t="str">
        <f t="shared" si="265"/>
        <v/>
      </c>
      <c r="S1513" s="140" t="str">
        <f t="shared" si="266"/>
        <v/>
      </c>
      <c r="T1513" s="140" t="str">
        <f t="shared" si="267"/>
        <v/>
      </c>
      <c r="U1513" s="140" t="str">
        <f t="shared" si="268"/>
        <v/>
      </c>
      <c r="V1513" s="99"/>
    </row>
    <row r="1514" spans="1:22">
      <c r="A1514" s="92"/>
      <c r="B1514" s="146"/>
      <c r="C1514" s="136"/>
      <c r="D1514" s="109">
        <f>0.23-0.05</f>
        <v>0.18</v>
      </c>
      <c r="E1514" s="138"/>
      <c r="F1514" s="139"/>
      <c r="G1514" s="98"/>
      <c r="H1514" s="99"/>
      <c r="I1514" s="99"/>
      <c r="J1514" s="100"/>
      <c r="K1514" s="99"/>
      <c r="L1514" s="99"/>
      <c r="M1514" s="99"/>
      <c r="N1514" s="99"/>
      <c r="O1514" s="112"/>
      <c r="P1514" s="140" t="str">
        <f t="shared" si="263"/>
        <v/>
      </c>
      <c r="Q1514" s="140" t="str">
        <f t="shared" si="264"/>
        <v/>
      </c>
      <c r="R1514" s="140" t="str">
        <f t="shared" si="265"/>
        <v/>
      </c>
      <c r="S1514" s="140" t="str">
        <f t="shared" si="266"/>
        <v/>
      </c>
      <c r="T1514" s="140" t="str">
        <f t="shared" si="267"/>
        <v/>
      </c>
      <c r="U1514" s="140" t="str">
        <f t="shared" si="268"/>
        <v/>
      </c>
      <c r="V1514" s="99"/>
    </row>
    <row r="1515" spans="1:22">
      <c r="A1515" s="92"/>
      <c r="B1515" s="141"/>
      <c r="C1515" s="136"/>
      <c r="D1515" s="137"/>
      <c r="E1515" s="138"/>
      <c r="F1515" s="139"/>
      <c r="G1515" s="98"/>
      <c r="H1515" s="99"/>
      <c r="I1515" s="99"/>
      <c r="J1515" s="100"/>
      <c r="K1515" s="99"/>
      <c r="L1515" s="99"/>
      <c r="M1515" s="99"/>
      <c r="N1515" s="99"/>
      <c r="O1515" s="101"/>
      <c r="P1515" s="140" t="str">
        <f t="shared" si="263"/>
        <v/>
      </c>
      <c r="Q1515" s="140" t="str">
        <f t="shared" si="264"/>
        <v/>
      </c>
      <c r="R1515" s="140" t="str">
        <f t="shared" si="265"/>
        <v/>
      </c>
      <c r="S1515" s="140" t="str">
        <f t="shared" si="266"/>
        <v/>
      </c>
      <c r="T1515" s="140" t="str">
        <f t="shared" si="267"/>
        <v/>
      </c>
      <c r="U1515" s="140" t="str">
        <f t="shared" si="268"/>
        <v/>
      </c>
      <c r="V1515" s="99"/>
    </row>
    <row r="1516" spans="1:22">
      <c r="A1516" s="92"/>
      <c r="B1516" s="141"/>
      <c r="C1516" s="136"/>
      <c r="D1516" s="137"/>
      <c r="E1516" s="144">
        <v>0.08</v>
      </c>
      <c r="F1516" s="139"/>
      <c r="G1516" s="98"/>
      <c r="H1516" s="99"/>
      <c r="I1516" s="99"/>
      <c r="J1516" s="100"/>
      <c r="K1516" s="99"/>
      <c r="L1516" s="99"/>
      <c r="M1516" s="99"/>
      <c r="N1516" s="99"/>
      <c r="O1516" s="101"/>
      <c r="P1516" s="140" t="str">
        <f t="shared" si="263"/>
        <v/>
      </c>
      <c r="Q1516" s="140" t="str">
        <f t="shared" si="264"/>
        <v/>
      </c>
      <c r="R1516" s="140" t="str">
        <f t="shared" si="265"/>
        <v/>
      </c>
      <c r="S1516" s="140" t="str">
        <f t="shared" si="266"/>
        <v/>
      </c>
      <c r="T1516" s="140" t="str">
        <f t="shared" si="267"/>
        <v/>
      </c>
      <c r="U1516" s="140" t="str">
        <f t="shared" si="268"/>
        <v/>
      </c>
      <c r="V1516" s="99"/>
    </row>
    <row r="1517" spans="1:22">
      <c r="A1517" s="92"/>
      <c r="B1517" s="146" t="s">
        <v>650</v>
      </c>
      <c r="C1517" s="136"/>
      <c r="D1517" s="142">
        <f>0.23-0.05</f>
        <v>0.18</v>
      </c>
      <c r="E1517" s="144"/>
      <c r="F1517" s="139"/>
      <c r="G1517" s="98">
        <v>8</v>
      </c>
      <c r="H1517" s="99">
        <v>6</v>
      </c>
      <c r="I1517" s="111">
        <f>2*((1.48/0.4)+1)</f>
        <v>9.3999999999999986</v>
      </c>
      <c r="J1517" s="149">
        <f>D1517+E1516+E1518</f>
        <v>0.34</v>
      </c>
      <c r="K1517" s="99"/>
      <c r="L1517" s="99">
        <v>2</v>
      </c>
      <c r="M1517" s="112">
        <f>2*G1517*L1517/1000</f>
        <v>3.2000000000000001E-2</v>
      </c>
      <c r="N1517" s="112">
        <f>(J1517+K1517-M1517)</f>
        <v>0.30800000000000005</v>
      </c>
      <c r="O1517" s="112">
        <f>(H1517*I1517*N1517)</f>
        <v>17.371200000000002</v>
      </c>
      <c r="P1517" s="140">
        <f t="shared" si="263"/>
        <v>17.371200000000002</v>
      </c>
      <c r="Q1517" s="140" t="str">
        <f t="shared" si="264"/>
        <v/>
      </c>
      <c r="R1517" s="140" t="str">
        <f t="shared" si="265"/>
        <v/>
      </c>
      <c r="S1517" s="140" t="str">
        <f t="shared" si="266"/>
        <v/>
      </c>
      <c r="T1517" s="140" t="str">
        <f t="shared" si="267"/>
        <v/>
      </c>
      <c r="U1517" s="140" t="str">
        <f t="shared" si="268"/>
        <v/>
      </c>
      <c r="V1517" s="99"/>
    </row>
    <row r="1518" spans="1:22">
      <c r="A1518" s="92"/>
      <c r="B1518" s="141"/>
      <c r="C1518" s="136"/>
      <c r="D1518" s="137"/>
      <c r="E1518" s="144">
        <v>0.08</v>
      </c>
      <c r="F1518" s="139"/>
      <c r="G1518" s="98"/>
      <c r="H1518" s="99"/>
      <c r="I1518" s="99"/>
      <c r="J1518" s="100"/>
      <c r="K1518" s="99"/>
      <c r="L1518" s="99"/>
      <c r="M1518" s="99"/>
      <c r="N1518" s="99"/>
      <c r="O1518" s="101"/>
      <c r="P1518" s="140" t="str">
        <f t="shared" si="263"/>
        <v/>
      </c>
      <c r="Q1518" s="140" t="str">
        <f t="shared" si="264"/>
        <v/>
      </c>
      <c r="R1518" s="140" t="str">
        <f t="shared" si="265"/>
        <v/>
      </c>
      <c r="S1518" s="140" t="str">
        <f t="shared" si="266"/>
        <v/>
      </c>
      <c r="T1518" s="140" t="str">
        <f t="shared" si="267"/>
        <v/>
      </c>
      <c r="U1518" s="140" t="str">
        <f t="shared" si="268"/>
        <v/>
      </c>
      <c r="V1518" s="99"/>
    </row>
    <row r="1519" spans="1:22">
      <c r="A1519" s="92"/>
      <c r="B1519" s="141"/>
      <c r="C1519" s="136"/>
      <c r="D1519" s="137"/>
      <c r="E1519" s="138"/>
      <c r="F1519" s="139"/>
      <c r="G1519" s="98"/>
      <c r="H1519" s="99"/>
      <c r="I1519" s="99"/>
      <c r="J1519" s="100"/>
      <c r="K1519" s="99"/>
      <c r="L1519" s="99"/>
      <c r="M1519" s="99"/>
      <c r="N1519" s="99"/>
      <c r="O1519" s="101"/>
      <c r="P1519" s="140" t="str">
        <f t="shared" si="263"/>
        <v/>
      </c>
      <c r="Q1519" s="140" t="str">
        <f t="shared" si="264"/>
        <v/>
      </c>
      <c r="R1519" s="140" t="str">
        <f t="shared" si="265"/>
        <v/>
      </c>
      <c r="S1519" s="140" t="str">
        <f t="shared" si="266"/>
        <v/>
      </c>
      <c r="T1519" s="140" t="str">
        <f t="shared" si="267"/>
        <v/>
      </c>
      <c r="U1519" s="140" t="str">
        <f t="shared" si="268"/>
        <v/>
      </c>
      <c r="V1519" s="99"/>
    </row>
    <row r="1520" spans="1:22">
      <c r="A1520" s="92"/>
      <c r="B1520" s="146"/>
      <c r="C1520" s="136"/>
      <c r="D1520" s="152"/>
      <c r="E1520" s="138"/>
      <c r="F1520" s="139"/>
      <c r="G1520" s="98"/>
      <c r="H1520" s="99"/>
      <c r="I1520" s="99"/>
      <c r="J1520" s="100"/>
      <c r="K1520" s="99"/>
      <c r="L1520" s="99"/>
      <c r="M1520" s="99"/>
      <c r="N1520" s="99"/>
      <c r="O1520" s="101"/>
      <c r="P1520" s="140" t="str">
        <f t="shared" ref="P1520:P1680" si="279">IF($G1520=8,$O1520,"")</f>
        <v/>
      </c>
      <c r="Q1520" s="140" t="str">
        <f t="shared" ref="Q1520:Q1680" si="280">IF($G1520=10,$O1520,"")</f>
        <v/>
      </c>
      <c r="R1520" s="140" t="str">
        <f t="shared" ref="R1520:R1680" si="281">IF($G1520=12,$O1520,"")</f>
        <v/>
      </c>
      <c r="S1520" s="140" t="str">
        <f t="shared" ref="S1520:S1680" si="282">IF($G1520=16,$O1520,"")</f>
        <v/>
      </c>
      <c r="T1520" s="140" t="str">
        <f t="shared" ref="T1520:T1680" si="283">IF($G1520=20,$O1520,"")</f>
        <v/>
      </c>
      <c r="U1520" s="140" t="str">
        <f t="shared" ref="U1520:U1680" si="284">IF($G1520=25,$O1520,"")</f>
        <v/>
      </c>
      <c r="V1520" s="99"/>
    </row>
    <row r="1521" spans="1:22">
      <c r="A1521" s="92">
        <v>17</v>
      </c>
      <c r="B1521" s="92" t="s">
        <v>408</v>
      </c>
      <c r="C1521" s="136"/>
      <c r="D1521" s="137"/>
      <c r="E1521" s="138"/>
      <c r="F1521" s="139"/>
      <c r="G1521" s="98"/>
      <c r="H1521" s="99"/>
      <c r="I1521" s="99"/>
      <c r="J1521" s="109"/>
      <c r="K1521" s="112"/>
      <c r="L1521" s="112"/>
      <c r="M1521" s="99"/>
      <c r="N1521" s="112"/>
      <c r="O1521" s="112"/>
      <c r="P1521" s="140" t="str">
        <f>IF($G1521=8,$O1521,"")</f>
        <v/>
      </c>
      <c r="Q1521" s="140" t="str">
        <f>IF($G1521=10,$O1521,"")</f>
        <v/>
      </c>
      <c r="R1521" s="140" t="str">
        <f>IF($G1521=12,$O1521,"")</f>
        <v/>
      </c>
      <c r="S1521" s="140" t="str">
        <f>IF($G1521=16,$O1521,"")</f>
        <v/>
      </c>
      <c r="T1521" s="140" t="str">
        <f>IF($G1521=20,$O1521,"")</f>
        <v/>
      </c>
      <c r="U1521" s="140" t="str">
        <f>IF($G1521=25,$O1521,"")</f>
        <v/>
      </c>
      <c r="V1521" s="99"/>
    </row>
    <row r="1522" spans="1:22">
      <c r="A1522" s="92"/>
      <c r="B1522" s="141" t="s">
        <v>378</v>
      </c>
      <c r="C1522" s="136"/>
      <c r="D1522" s="142">
        <v>1.68</v>
      </c>
      <c r="E1522" s="138"/>
      <c r="F1522" s="139"/>
      <c r="G1522" s="98">
        <v>16</v>
      </c>
      <c r="H1522" s="99">
        <v>2</v>
      </c>
      <c r="I1522" s="99">
        <v>8</v>
      </c>
      <c r="J1522" s="109">
        <f>D1522</f>
        <v>1.68</v>
      </c>
      <c r="K1522" s="110" t="str">
        <f>IF(N1522&lt;12,"0",0.049*G1522)</f>
        <v>0</v>
      </c>
      <c r="L1522" s="111">
        <v>0</v>
      </c>
      <c r="M1522" s="99">
        <f>2*G1522*L1522/1000</f>
        <v>0</v>
      </c>
      <c r="N1522" s="112">
        <f>J1522+E1524-M1522</f>
        <v>1.68</v>
      </c>
      <c r="O1522" s="112">
        <f t="shared" ref="O1522:O1526" si="285">H1522*I1522*N1522</f>
        <v>26.88</v>
      </c>
      <c r="P1522" s="140" t="str">
        <f t="shared" si="279"/>
        <v/>
      </c>
      <c r="Q1522" s="140" t="str">
        <f t="shared" si="280"/>
        <v/>
      </c>
      <c r="R1522" s="140" t="str">
        <f t="shared" si="281"/>
        <v/>
      </c>
      <c r="S1522" s="140">
        <f t="shared" si="282"/>
        <v>26.88</v>
      </c>
      <c r="T1522" s="140" t="str">
        <f t="shared" si="283"/>
        <v/>
      </c>
      <c r="U1522" s="140" t="str">
        <f t="shared" si="284"/>
        <v/>
      </c>
      <c r="V1522" s="99"/>
    </row>
    <row r="1523" spans="1:22">
      <c r="A1523" s="92"/>
      <c r="B1523" s="141" t="s">
        <v>379</v>
      </c>
      <c r="C1523" s="136"/>
      <c r="D1523" s="137"/>
      <c r="E1523" s="138"/>
      <c r="F1523" s="139"/>
      <c r="G1523" s="98">
        <v>16</v>
      </c>
      <c r="H1523" s="99">
        <v>2</v>
      </c>
      <c r="I1523" s="99">
        <v>8</v>
      </c>
      <c r="J1523" s="109">
        <f>D1522</f>
        <v>1.68</v>
      </c>
      <c r="K1523" s="110" t="str">
        <f t="shared" ref="K1523:K1526" si="286">IF(N1523&lt;12,"0",0.049*G1523)</f>
        <v>0</v>
      </c>
      <c r="L1523" s="111">
        <v>0</v>
      </c>
      <c r="M1523" s="99">
        <f t="shared" ref="M1523:M1526" si="287">2*G1523*L1523/1000</f>
        <v>0</v>
      </c>
      <c r="N1523" s="112">
        <f>J1523+E1524-M1523</f>
        <v>1.68</v>
      </c>
      <c r="O1523" s="112">
        <f t="shared" si="285"/>
        <v>26.88</v>
      </c>
      <c r="P1523" s="140" t="str">
        <f t="shared" si="279"/>
        <v/>
      </c>
      <c r="Q1523" s="140" t="str">
        <f t="shared" si="280"/>
        <v/>
      </c>
      <c r="R1523" s="140" t="str">
        <f t="shared" si="281"/>
        <v/>
      </c>
      <c r="S1523" s="140">
        <f t="shared" si="282"/>
        <v>26.88</v>
      </c>
      <c r="T1523" s="140" t="str">
        <f t="shared" si="283"/>
        <v/>
      </c>
      <c r="U1523" s="140" t="str">
        <f t="shared" si="284"/>
        <v/>
      </c>
      <c r="V1523" s="99"/>
    </row>
    <row r="1524" spans="1:22">
      <c r="A1524" s="92"/>
      <c r="B1524" s="141" t="s">
        <v>380</v>
      </c>
      <c r="C1524" s="143"/>
      <c r="D1524" s="142"/>
      <c r="E1524" s="144"/>
      <c r="F1524" s="139"/>
      <c r="G1524" s="98">
        <v>12</v>
      </c>
      <c r="H1524" s="99">
        <v>2</v>
      </c>
      <c r="I1524" s="99">
        <v>8</v>
      </c>
      <c r="J1524" s="109">
        <f>D1522</f>
        <v>1.68</v>
      </c>
      <c r="K1524" s="110" t="str">
        <f t="shared" si="286"/>
        <v>0</v>
      </c>
      <c r="L1524" s="111">
        <v>0</v>
      </c>
      <c r="M1524" s="99">
        <f t="shared" si="287"/>
        <v>0</v>
      </c>
      <c r="N1524" s="112">
        <f>J1524+E1524-M1524</f>
        <v>1.68</v>
      </c>
      <c r="O1524" s="112">
        <f t="shared" si="285"/>
        <v>26.88</v>
      </c>
      <c r="P1524" s="140" t="str">
        <f t="shared" si="279"/>
        <v/>
      </c>
      <c r="Q1524" s="140" t="str">
        <f t="shared" si="280"/>
        <v/>
      </c>
      <c r="R1524" s="140">
        <f t="shared" si="281"/>
        <v>26.88</v>
      </c>
      <c r="S1524" s="140" t="str">
        <f t="shared" si="282"/>
        <v/>
      </c>
      <c r="T1524" s="140" t="str">
        <f t="shared" si="283"/>
        <v/>
      </c>
      <c r="U1524" s="140" t="str">
        <f t="shared" si="284"/>
        <v/>
      </c>
      <c r="V1524" s="99"/>
    </row>
    <row r="1525" spans="1:22">
      <c r="A1525" s="92"/>
      <c r="B1525" s="141" t="s">
        <v>381</v>
      </c>
      <c r="C1525" s="136"/>
      <c r="D1525" s="137"/>
      <c r="E1525" s="138"/>
      <c r="F1525" s="139"/>
      <c r="G1525" s="98">
        <v>12</v>
      </c>
      <c r="H1525" s="99">
        <v>2</v>
      </c>
      <c r="I1525" s="99">
        <v>4</v>
      </c>
      <c r="J1525" s="109">
        <f>D1522</f>
        <v>1.68</v>
      </c>
      <c r="K1525" s="110" t="str">
        <f t="shared" si="286"/>
        <v>0</v>
      </c>
      <c r="L1525" s="111">
        <v>0</v>
      </c>
      <c r="M1525" s="99">
        <f t="shared" si="287"/>
        <v>0</v>
      </c>
      <c r="N1525" s="112">
        <f>J1525+E1524-M1525</f>
        <v>1.68</v>
      </c>
      <c r="O1525" s="112">
        <f t="shared" si="285"/>
        <v>13.44</v>
      </c>
      <c r="P1525" s="140" t="str">
        <f t="shared" si="279"/>
        <v/>
      </c>
      <c r="Q1525" s="140" t="str">
        <f t="shared" si="280"/>
        <v/>
      </c>
      <c r="R1525" s="140">
        <f t="shared" si="281"/>
        <v>13.44</v>
      </c>
      <c r="S1525" s="140" t="str">
        <f t="shared" si="282"/>
        <v/>
      </c>
      <c r="T1525" s="140" t="str">
        <f t="shared" si="283"/>
        <v/>
      </c>
      <c r="U1525" s="140" t="str">
        <f t="shared" si="284"/>
        <v/>
      </c>
      <c r="V1525" s="99"/>
    </row>
    <row r="1526" spans="1:22">
      <c r="A1526" s="92"/>
      <c r="B1526" s="141" t="s">
        <v>389</v>
      </c>
      <c r="C1526" s="136"/>
      <c r="D1526" s="137"/>
      <c r="E1526" s="138"/>
      <c r="F1526" s="139"/>
      <c r="G1526" s="98">
        <v>12</v>
      </c>
      <c r="H1526" s="99">
        <v>2</v>
      </c>
      <c r="I1526" s="99">
        <v>20</v>
      </c>
      <c r="J1526" s="109">
        <f>D1522</f>
        <v>1.68</v>
      </c>
      <c r="K1526" s="110" t="str">
        <f t="shared" si="286"/>
        <v>0</v>
      </c>
      <c r="L1526" s="111">
        <v>0</v>
      </c>
      <c r="M1526" s="99">
        <f t="shared" si="287"/>
        <v>0</v>
      </c>
      <c r="N1526" s="112">
        <f>J1526+E1524-M1526</f>
        <v>1.68</v>
      </c>
      <c r="O1526" s="112">
        <f t="shared" si="285"/>
        <v>67.2</v>
      </c>
      <c r="P1526" s="140" t="str">
        <f t="shared" si="279"/>
        <v/>
      </c>
      <c r="Q1526" s="140" t="str">
        <f t="shared" si="280"/>
        <v/>
      </c>
      <c r="R1526" s="140">
        <f t="shared" si="281"/>
        <v>67.2</v>
      </c>
      <c r="S1526" s="140" t="str">
        <f t="shared" si="282"/>
        <v/>
      </c>
      <c r="T1526" s="140" t="str">
        <f t="shared" si="283"/>
        <v/>
      </c>
      <c r="U1526" s="140" t="str">
        <f t="shared" si="284"/>
        <v/>
      </c>
      <c r="V1526" s="99"/>
    </row>
    <row r="1527" spans="1:22">
      <c r="A1527" s="92"/>
      <c r="B1527" s="141"/>
      <c r="C1527" s="136"/>
      <c r="D1527" s="137"/>
      <c r="E1527" s="138"/>
      <c r="F1527" s="139"/>
      <c r="G1527" s="98"/>
      <c r="H1527" s="99"/>
      <c r="I1527" s="99"/>
      <c r="J1527" s="109"/>
      <c r="K1527" s="110"/>
      <c r="L1527" s="111"/>
      <c r="M1527" s="99"/>
      <c r="N1527" s="112"/>
      <c r="O1527" s="112"/>
      <c r="P1527" s="140"/>
      <c r="Q1527" s="140"/>
      <c r="R1527" s="140"/>
      <c r="S1527" s="140"/>
      <c r="T1527" s="140"/>
      <c r="U1527" s="140"/>
      <c r="V1527" s="99"/>
    </row>
    <row r="1528" spans="1:22">
      <c r="A1528" s="92"/>
      <c r="B1528" s="92"/>
      <c r="C1528" s="145">
        <v>0.08</v>
      </c>
      <c r="D1528" s="137"/>
      <c r="E1528" s="138"/>
      <c r="F1528" s="139"/>
      <c r="G1528" s="98"/>
      <c r="H1528" s="99"/>
      <c r="I1528" s="99"/>
      <c r="J1528" s="100"/>
      <c r="K1528" s="99"/>
      <c r="L1528" s="99"/>
      <c r="M1528" s="99"/>
      <c r="N1528" s="99"/>
      <c r="O1528" s="101"/>
      <c r="P1528" s="140" t="str">
        <f t="shared" si="279"/>
        <v/>
      </c>
      <c r="Q1528" s="140" t="str">
        <f t="shared" si="280"/>
        <v/>
      </c>
      <c r="R1528" s="140" t="str">
        <f t="shared" si="281"/>
        <v/>
      </c>
      <c r="S1528" s="140" t="str">
        <f t="shared" si="282"/>
        <v/>
      </c>
      <c r="T1528" s="140" t="str">
        <f t="shared" si="283"/>
        <v/>
      </c>
      <c r="U1528" s="140" t="str">
        <f t="shared" si="284"/>
        <v/>
      </c>
      <c r="V1528" s="99"/>
    </row>
    <row r="1529" spans="1:22">
      <c r="A1529" s="92"/>
      <c r="B1529" s="146" t="s">
        <v>647</v>
      </c>
      <c r="C1529" s="147"/>
      <c r="D1529" s="137"/>
      <c r="E1529" s="148">
        <f>0.7-0.025+0.008+0.008</f>
        <v>0.69099999999999995</v>
      </c>
      <c r="F1529" s="139"/>
      <c r="G1529" s="98">
        <v>8</v>
      </c>
      <c r="H1529" s="99">
        <v>2</v>
      </c>
      <c r="I1529" s="111">
        <f>2*((1.68/0.1)+1)</f>
        <v>35.599999999999994</v>
      </c>
      <c r="J1529" s="149">
        <f>2*(D1531+E1529)+2*8*G1529/1000</f>
        <v>1.87</v>
      </c>
      <c r="K1529" s="99"/>
      <c r="L1529" s="99">
        <v>5</v>
      </c>
      <c r="M1529" s="112">
        <f>2*G1529*L1529/1000</f>
        <v>0.08</v>
      </c>
      <c r="N1529" s="112">
        <f>(J1529+K1529-M1529)</f>
        <v>1.79</v>
      </c>
      <c r="O1529" s="112">
        <f>(H1529*I1529*N1529)</f>
        <v>127.44799999999998</v>
      </c>
      <c r="P1529" s="140">
        <f t="shared" si="279"/>
        <v>127.44799999999998</v>
      </c>
      <c r="Q1529" s="140" t="str">
        <f t="shared" si="280"/>
        <v/>
      </c>
      <c r="R1529" s="140" t="str">
        <f t="shared" si="281"/>
        <v/>
      </c>
      <c r="S1529" s="140" t="str">
        <f t="shared" si="282"/>
        <v/>
      </c>
      <c r="T1529" s="140" t="str">
        <f t="shared" si="283"/>
        <v/>
      </c>
      <c r="U1529" s="140" t="str">
        <f t="shared" si="284"/>
        <v/>
      </c>
      <c r="V1529" s="99"/>
    </row>
    <row r="1530" spans="1:22">
      <c r="A1530" s="92"/>
      <c r="B1530" s="146"/>
      <c r="C1530" s="136"/>
      <c r="D1530" s="137"/>
      <c r="E1530" s="150"/>
      <c r="F1530" s="139"/>
      <c r="G1530" s="98"/>
      <c r="H1530" s="99"/>
      <c r="I1530" s="99"/>
      <c r="J1530" s="100"/>
      <c r="K1530" s="99"/>
      <c r="L1530" s="99"/>
      <c r="M1530" s="99"/>
      <c r="N1530" s="99"/>
      <c r="O1530" s="112"/>
      <c r="P1530" s="140" t="str">
        <f t="shared" si="279"/>
        <v/>
      </c>
      <c r="Q1530" s="140" t="str">
        <f t="shared" si="280"/>
        <v/>
      </c>
      <c r="R1530" s="140" t="str">
        <f t="shared" si="281"/>
        <v/>
      </c>
      <c r="S1530" s="140" t="str">
        <f t="shared" si="282"/>
        <v/>
      </c>
      <c r="T1530" s="140" t="str">
        <f t="shared" si="283"/>
        <v/>
      </c>
      <c r="U1530" s="140" t="str">
        <f t="shared" si="284"/>
        <v/>
      </c>
      <c r="V1530" s="99"/>
    </row>
    <row r="1531" spans="1:22">
      <c r="A1531" s="92"/>
      <c r="B1531" s="146"/>
      <c r="C1531" s="136"/>
      <c r="D1531" s="109">
        <f>0.23-0.05</f>
        <v>0.18</v>
      </c>
      <c r="E1531" s="138"/>
      <c r="F1531" s="139"/>
      <c r="G1531" s="98"/>
      <c r="H1531" s="99"/>
      <c r="I1531" s="99"/>
      <c r="J1531" s="100"/>
      <c r="K1531" s="99"/>
      <c r="L1531" s="99"/>
      <c r="M1531" s="99"/>
      <c r="N1531" s="99"/>
      <c r="O1531" s="112"/>
      <c r="P1531" s="140" t="str">
        <f t="shared" si="279"/>
        <v/>
      </c>
      <c r="Q1531" s="140" t="str">
        <f t="shared" si="280"/>
        <v/>
      </c>
      <c r="R1531" s="140" t="str">
        <f t="shared" si="281"/>
        <v/>
      </c>
      <c r="S1531" s="140" t="str">
        <f t="shared" si="282"/>
        <v/>
      </c>
      <c r="T1531" s="140" t="str">
        <f t="shared" si="283"/>
        <v/>
      </c>
      <c r="U1531" s="140" t="str">
        <f t="shared" si="284"/>
        <v/>
      </c>
      <c r="V1531" s="99"/>
    </row>
    <row r="1532" spans="1:22">
      <c r="A1532" s="92"/>
      <c r="B1532" s="141"/>
      <c r="C1532" s="136"/>
      <c r="D1532" s="137"/>
      <c r="E1532" s="138"/>
      <c r="F1532" s="139"/>
      <c r="G1532" s="98"/>
      <c r="H1532" s="99"/>
      <c r="I1532" s="99"/>
      <c r="J1532" s="109"/>
      <c r="K1532" s="110"/>
      <c r="L1532" s="111"/>
      <c r="M1532" s="99"/>
      <c r="N1532" s="112"/>
      <c r="O1532" s="112"/>
      <c r="P1532" s="140"/>
      <c r="Q1532" s="140"/>
      <c r="R1532" s="140"/>
      <c r="S1532" s="140"/>
      <c r="T1532" s="140"/>
      <c r="U1532" s="140"/>
      <c r="V1532" s="99"/>
    </row>
    <row r="1533" spans="1:22">
      <c r="A1533" s="92"/>
      <c r="B1533" s="92"/>
      <c r="C1533" s="145">
        <v>0.08</v>
      </c>
      <c r="D1533" s="137"/>
      <c r="E1533" s="138"/>
      <c r="F1533" s="139"/>
      <c r="G1533" s="98"/>
      <c r="H1533" s="99"/>
      <c r="I1533" s="99"/>
      <c r="J1533" s="100"/>
      <c r="K1533" s="99"/>
      <c r="L1533" s="99"/>
      <c r="M1533" s="99"/>
      <c r="N1533" s="99"/>
      <c r="O1533" s="101"/>
      <c r="P1533" s="140" t="str">
        <f t="shared" si="279"/>
        <v/>
      </c>
      <c r="Q1533" s="140" t="str">
        <f t="shared" si="280"/>
        <v/>
      </c>
      <c r="R1533" s="140" t="str">
        <f t="shared" si="281"/>
        <v/>
      </c>
      <c r="S1533" s="140" t="str">
        <f t="shared" si="282"/>
        <v/>
      </c>
      <c r="T1533" s="140" t="str">
        <f t="shared" si="283"/>
        <v/>
      </c>
      <c r="U1533" s="140" t="str">
        <f t="shared" si="284"/>
        <v/>
      </c>
      <c r="V1533" s="99"/>
    </row>
    <row r="1534" spans="1:22">
      <c r="A1534" s="92"/>
      <c r="B1534" s="146" t="s">
        <v>648</v>
      </c>
      <c r="C1534" s="147"/>
      <c r="D1534" s="137"/>
      <c r="E1534" s="456">
        <f>3.445-0.7-0.7-0.025+2*0.008+2*0.008</f>
        <v>2.052</v>
      </c>
      <c r="F1534" s="139"/>
      <c r="G1534" s="98">
        <v>8</v>
      </c>
      <c r="H1534" s="99">
        <v>2</v>
      </c>
      <c r="I1534" s="111">
        <f>((1.68/0.2)+1)</f>
        <v>9.3999999999999986</v>
      </c>
      <c r="J1534" s="149">
        <f>2*(D1536+E1534)+2*8*G1534/1000</f>
        <v>4.5920000000000005</v>
      </c>
      <c r="K1534" s="99"/>
      <c r="L1534" s="99">
        <v>5</v>
      </c>
      <c r="M1534" s="112">
        <f>2*G1534*L1534/1000</f>
        <v>0.08</v>
      </c>
      <c r="N1534" s="112">
        <f>(J1534+K1534-M1534)</f>
        <v>4.5120000000000005</v>
      </c>
      <c r="O1534" s="112">
        <f>(H1534*I1534*N1534)</f>
        <v>84.825599999999994</v>
      </c>
      <c r="P1534" s="140">
        <f t="shared" si="279"/>
        <v>84.825599999999994</v>
      </c>
      <c r="Q1534" s="140" t="str">
        <f t="shared" si="280"/>
        <v/>
      </c>
      <c r="R1534" s="140" t="str">
        <f t="shared" si="281"/>
        <v/>
      </c>
      <c r="S1534" s="140" t="str">
        <f t="shared" si="282"/>
        <v/>
      </c>
      <c r="T1534" s="140" t="str">
        <f t="shared" si="283"/>
        <v/>
      </c>
      <c r="U1534" s="140" t="str">
        <f t="shared" si="284"/>
        <v/>
      </c>
      <c r="V1534" s="99"/>
    </row>
    <row r="1535" spans="1:22">
      <c r="A1535" s="92"/>
      <c r="B1535" s="146"/>
      <c r="C1535" s="136"/>
      <c r="D1535" s="137"/>
      <c r="E1535" s="150"/>
      <c r="F1535" s="139"/>
      <c r="G1535" s="98"/>
      <c r="H1535" s="99"/>
      <c r="I1535" s="99"/>
      <c r="J1535" s="100"/>
      <c r="K1535" s="99"/>
      <c r="L1535" s="99"/>
      <c r="M1535" s="99"/>
      <c r="N1535" s="99"/>
      <c r="O1535" s="112"/>
      <c r="P1535" s="140" t="str">
        <f t="shared" si="279"/>
        <v/>
      </c>
      <c r="Q1535" s="140" t="str">
        <f t="shared" si="280"/>
        <v/>
      </c>
      <c r="R1535" s="140" t="str">
        <f t="shared" si="281"/>
        <v/>
      </c>
      <c r="S1535" s="140" t="str">
        <f t="shared" si="282"/>
        <v/>
      </c>
      <c r="T1535" s="140" t="str">
        <f t="shared" si="283"/>
        <v/>
      </c>
      <c r="U1535" s="140" t="str">
        <f t="shared" si="284"/>
        <v/>
      </c>
      <c r="V1535" s="99"/>
    </row>
    <row r="1536" spans="1:22">
      <c r="A1536" s="92"/>
      <c r="B1536" s="146"/>
      <c r="C1536" s="136"/>
      <c r="D1536" s="109">
        <f>0.23-0.05</f>
        <v>0.18</v>
      </c>
      <c r="E1536" s="138"/>
      <c r="F1536" s="139"/>
      <c r="G1536" s="98"/>
      <c r="H1536" s="99"/>
      <c r="I1536" s="99"/>
      <c r="J1536" s="100"/>
      <c r="K1536" s="99"/>
      <c r="L1536" s="99"/>
      <c r="M1536" s="99"/>
      <c r="N1536" s="99"/>
      <c r="O1536" s="112"/>
      <c r="P1536" s="140" t="str">
        <f t="shared" si="279"/>
        <v/>
      </c>
      <c r="Q1536" s="140" t="str">
        <f t="shared" si="280"/>
        <v/>
      </c>
      <c r="R1536" s="140" t="str">
        <f t="shared" si="281"/>
        <v/>
      </c>
      <c r="S1536" s="140" t="str">
        <f t="shared" si="282"/>
        <v/>
      </c>
      <c r="T1536" s="140" t="str">
        <f t="shared" si="283"/>
        <v/>
      </c>
      <c r="U1536" s="140" t="str">
        <f t="shared" si="284"/>
        <v/>
      </c>
      <c r="V1536" s="99"/>
    </row>
    <row r="1537" spans="1:22">
      <c r="A1537" s="92"/>
      <c r="B1537" s="141"/>
      <c r="C1537" s="136"/>
      <c r="D1537" s="137"/>
      <c r="E1537" s="138"/>
      <c r="F1537" s="139"/>
      <c r="G1537" s="98"/>
      <c r="H1537" s="99"/>
      <c r="I1537" s="99"/>
      <c r="J1537" s="109"/>
      <c r="K1537" s="110"/>
      <c r="L1537" s="111"/>
      <c r="M1537" s="99"/>
      <c r="N1537" s="112"/>
      <c r="O1537" s="112"/>
      <c r="P1537" s="140"/>
      <c r="Q1537" s="140"/>
      <c r="R1537" s="140"/>
      <c r="S1537" s="140"/>
      <c r="T1537" s="140"/>
      <c r="U1537" s="140"/>
      <c r="V1537" s="99"/>
    </row>
    <row r="1538" spans="1:22">
      <c r="A1538" s="92"/>
      <c r="B1538" s="92"/>
      <c r="C1538" s="145">
        <v>0.08</v>
      </c>
      <c r="D1538" s="137"/>
      <c r="E1538" s="138"/>
      <c r="F1538" s="139"/>
      <c r="G1538" s="98"/>
      <c r="H1538" s="99"/>
      <c r="I1538" s="99"/>
      <c r="J1538" s="100"/>
      <c r="K1538" s="99"/>
      <c r="L1538" s="99"/>
      <c r="M1538" s="99"/>
      <c r="N1538" s="99"/>
      <c r="O1538" s="101"/>
      <c r="P1538" s="140" t="str">
        <f t="shared" si="279"/>
        <v/>
      </c>
      <c r="Q1538" s="140" t="str">
        <f t="shared" si="280"/>
        <v/>
      </c>
      <c r="R1538" s="140" t="str">
        <f t="shared" si="281"/>
        <v/>
      </c>
      <c r="S1538" s="140" t="str">
        <f t="shared" si="282"/>
        <v/>
      </c>
      <c r="T1538" s="140" t="str">
        <f t="shared" si="283"/>
        <v/>
      </c>
      <c r="U1538" s="140" t="str">
        <f t="shared" si="284"/>
        <v/>
      </c>
      <c r="V1538" s="99"/>
    </row>
    <row r="1539" spans="1:22">
      <c r="A1539" s="92"/>
      <c r="B1539" s="146" t="s">
        <v>649</v>
      </c>
      <c r="C1539" s="147"/>
      <c r="D1539" s="137"/>
      <c r="E1539" s="148">
        <f>(0.7-0.025+0.008+0.008)/6</f>
        <v>0.11516666666666665</v>
      </c>
      <c r="F1539" s="139"/>
      <c r="G1539" s="98">
        <v>8</v>
      </c>
      <c r="H1539" s="99">
        <v>2</v>
      </c>
      <c r="I1539" s="111">
        <f>2*2*((1.68/0.1)+1)</f>
        <v>71.199999999999989</v>
      </c>
      <c r="J1539" s="149">
        <f>2*(D1541+E1539)+2*8*G1539/1000</f>
        <v>0.71833333333333327</v>
      </c>
      <c r="K1539" s="99"/>
      <c r="L1539" s="99">
        <v>5</v>
      </c>
      <c r="M1539" s="112">
        <f>2*G1539*L1539/1000</f>
        <v>0.08</v>
      </c>
      <c r="N1539" s="112">
        <f>(J1539+K1539-M1539)</f>
        <v>0.63833333333333331</v>
      </c>
      <c r="O1539" s="112">
        <f>(H1539*I1539*N1539)</f>
        <v>90.898666666666642</v>
      </c>
      <c r="P1539" s="140">
        <f t="shared" si="279"/>
        <v>90.898666666666642</v>
      </c>
      <c r="Q1539" s="140" t="str">
        <f t="shared" si="280"/>
        <v/>
      </c>
      <c r="R1539" s="140" t="str">
        <f t="shared" si="281"/>
        <v/>
      </c>
      <c r="S1539" s="140" t="str">
        <f t="shared" si="282"/>
        <v/>
      </c>
      <c r="T1539" s="140" t="str">
        <f t="shared" si="283"/>
        <v/>
      </c>
      <c r="U1539" s="140" t="str">
        <f t="shared" si="284"/>
        <v/>
      </c>
      <c r="V1539" s="99"/>
    </row>
    <row r="1540" spans="1:22">
      <c r="A1540" s="92"/>
      <c r="B1540" s="146"/>
      <c r="C1540" s="136"/>
      <c r="D1540" s="137"/>
      <c r="E1540" s="150"/>
      <c r="F1540" s="139"/>
      <c r="G1540" s="98"/>
      <c r="H1540" s="99"/>
      <c r="I1540" s="99"/>
      <c r="J1540" s="100"/>
      <c r="K1540" s="99"/>
      <c r="L1540" s="99"/>
      <c r="M1540" s="99"/>
      <c r="N1540" s="99"/>
      <c r="O1540" s="112"/>
      <c r="P1540" s="140" t="str">
        <f t="shared" si="279"/>
        <v/>
      </c>
      <c r="Q1540" s="140" t="str">
        <f t="shared" si="280"/>
        <v/>
      </c>
      <c r="R1540" s="140" t="str">
        <f t="shared" si="281"/>
        <v/>
      </c>
      <c r="S1540" s="140" t="str">
        <f t="shared" si="282"/>
        <v/>
      </c>
      <c r="T1540" s="140" t="str">
        <f t="shared" si="283"/>
        <v/>
      </c>
      <c r="U1540" s="140" t="str">
        <f t="shared" si="284"/>
        <v/>
      </c>
      <c r="V1540" s="99"/>
    </row>
    <row r="1541" spans="1:22">
      <c r="A1541" s="92"/>
      <c r="B1541" s="146"/>
      <c r="C1541" s="136"/>
      <c r="D1541" s="109">
        <f>0.23-0.05</f>
        <v>0.18</v>
      </c>
      <c r="E1541" s="138"/>
      <c r="F1541" s="139"/>
      <c r="G1541" s="98"/>
      <c r="H1541" s="99"/>
      <c r="I1541" s="99"/>
      <c r="J1541" s="100"/>
      <c r="K1541" s="99"/>
      <c r="L1541" s="99"/>
      <c r="M1541" s="99"/>
      <c r="N1541" s="99"/>
      <c r="O1541" s="112"/>
      <c r="P1541" s="140" t="str">
        <f t="shared" si="279"/>
        <v/>
      </c>
      <c r="Q1541" s="140" t="str">
        <f t="shared" si="280"/>
        <v/>
      </c>
      <c r="R1541" s="140" t="str">
        <f t="shared" si="281"/>
        <v/>
      </c>
      <c r="S1541" s="140" t="str">
        <f t="shared" si="282"/>
        <v/>
      </c>
      <c r="T1541" s="140" t="str">
        <f t="shared" si="283"/>
        <v/>
      </c>
      <c r="U1541" s="140" t="str">
        <f t="shared" si="284"/>
        <v/>
      </c>
      <c r="V1541" s="99"/>
    </row>
    <row r="1542" spans="1:22">
      <c r="A1542" s="92"/>
      <c r="B1542" s="141"/>
      <c r="C1542" s="136"/>
      <c r="D1542" s="137"/>
      <c r="E1542" s="138"/>
      <c r="F1542" s="139"/>
      <c r="G1542" s="98"/>
      <c r="H1542" s="99"/>
      <c r="I1542" s="99"/>
      <c r="J1542" s="100"/>
      <c r="K1542" s="99"/>
      <c r="L1542" s="99"/>
      <c r="M1542" s="99"/>
      <c r="N1542" s="99"/>
      <c r="O1542" s="101"/>
      <c r="P1542" s="140" t="str">
        <f t="shared" si="279"/>
        <v/>
      </c>
      <c r="Q1542" s="140" t="str">
        <f t="shared" si="280"/>
        <v/>
      </c>
      <c r="R1542" s="140" t="str">
        <f t="shared" si="281"/>
        <v/>
      </c>
      <c r="S1542" s="140" t="str">
        <f t="shared" si="282"/>
        <v/>
      </c>
      <c r="T1542" s="140" t="str">
        <f t="shared" si="283"/>
        <v/>
      </c>
      <c r="U1542" s="140" t="str">
        <f t="shared" si="284"/>
        <v/>
      </c>
      <c r="V1542" s="99"/>
    </row>
    <row r="1543" spans="1:22">
      <c r="A1543" s="92"/>
      <c r="B1543" s="141"/>
      <c r="C1543" s="136"/>
      <c r="D1543" s="137"/>
      <c r="E1543" s="144">
        <v>0.08</v>
      </c>
      <c r="F1543" s="139"/>
      <c r="G1543" s="98"/>
      <c r="H1543" s="99"/>
      <c r="I1543" s="99"/>
      <c r="J1543" s="100"/>
      <c r="K1543" s="99"/>
      <c r="L1543" s="99"/>
      <c r="M1543" s="99"/>
      <c r="N1543" s="99"/>
      <c r="O1543" s="101"/>
      <c r="P1543" s="140" t="str">
        <f t="shared" si="279"/>
        <v/>
      </c>
      <c r="Q1543" s="140" t="str">
        <f t="shared" si="280"/>
        <v/>
      </c>
      <c r="R1543" s="140" t="str">
        <f t="shared" si="281"/>
        <v/>
      </c>
      <c r="S1543" s="140" t="str">
        <f t="shared" si="282"/>
        <v/>
      </c>
      <c r="T1543" s="140" t="str">
        <f t="shared" si="283"/>
        <v/>
      </c>
      <c r="U1543" s="140" t="str">
        <f t="shared" si="284"/>
        <v/>
      </c>
      <c r="V1543" s="99"/>
    </row>
    <row r="1544" spans="1:22">
      <c r="A1544" s="92"/>
      <c r="B1544" s="146" t="s">
        <v>649</v>
      </c>
      <c r="C1544" s="136"/>
      <c r="D1544" s="142">
        <f>0.23-0.05</f>
        <v>0.18</v>
      </c>
      <c r="E1544" s="144"/>
      <c r="F1544" s="139"/>
      <c r="G1544" s="98">
        <v>8</v>
      </c>
      <c r="H1544" s="99">
        <v>2</v>
      </c>
      <c r="I1544" s="111">
        <f>2*((1.68/0.1)+1)</f>
        <v>35.599999999999994</v>
      </c>
      <c r="J1544" s="149">
        <f>D1544+E1543+E1545</f>
        <v>0.34</v>
      </c>
      <c r="K1544" s="99"/>
      <c r="L1544" s="99">
        <v>2</v>
      </c>
      <c r="M1544" s="112">
        <f>2*G1544*L1544/1000</f>
        <v>3.2000000000000001E-2</v>
      </c>
      <c r="N1544" s="112">
        <f>(J1544+K1544-M1544)</f>
        <v>0.30800000000000005</v>
      </c>
      <c r="O1544" s="112">
        <f>(H1544*I1544*N1544)</f>
        <v>21.929600000000001</v>
      </c>
      <c r="P1544" s="140">
        <f t="shared" si="279"/>
        <v>21.929600000000001</v>
      </c>
      <c r="Q1544" s="140" t="str">
        <f t="shared" si="280"/>
        <v/>
      </c>
      <c r="R1544" s="140" t="str">
        <f t="shared" si="281"/>
        <v/>
      </c>
      <c r="S1544" s="140" t="str">
        <f t="shared" si="282"/>
        <v/>
      </c>
      <c r="T1544" s="140" t="str">
        <f t="shared" si="283"/>
        <v/>
      </c>
      <c r="U1544" s="140" t="str">
        <f t="shared" si="284"/>
        <v/>
      </c>
      <c r="V1544" s="99"/>
    </row>
    <row r="1545" spans="1:22">
      <c r="A1545" s="92"/>
      <c r="B1545" s="141"/>
      <c r="C1545" s="136"/>
      <c r="D1545" s="137"/>
      <c r="E1545" s="144">
        <v>0.08</v>
      </c>
      <c r="F1545" s="139"/>
      <c r="G1545" s="98"/>
      <c r="H1545" s="99"/>
      <c r="I1545" s="99"/>
      <c r="J1545" s="100"/>
      <c r="K1545" s="99"/>
      <c r="L1545" s="99"/>
      <c r="M1545" s="99"/>
      <c r="N1545" s="99"/>
      <c r="O1545" s="101"/>
      <c r="P1545" s="140" t="str">
        <f t="shared" si="279"/>
        <v/>
      </c>
      <c r="Q1545" s="140" t="str">
        <f t="shared" si="280"/>
        <v/>
      </c>
      <c r="R1545" s="140" t="str">
        <f t="shared" si="281"/>
        <v/>
      </c>
      <c r="S1545" s="140" t="str">
        <f t="shared" si="282"/>
        <v/>
      </c>
      <c r="T1545" s="140" t="str">
        <f t="shared" si="283"/>
        <v/>
      </c>
      <c r="U1545" s="140" t="str">
        <f t="shared" si="284"/>
        <v/>
      </c>
      <c r="V1545" s="99"/>
    </row>
    <row r="1546" spans="1:22">
      <c r="A1546" s="92"/>
      <c r="B1546" s="141"/>
      <c r="C1546" s="136"/>
      <c r="D1546" s="137"/>
      <c r="E1546" s="138"/>
      <c r="F1546" s="139"/>
      <c r="G1546" s="98"/>
      <c r="H1546" s="99"/>
      <c r="I1546" s="99"/>
      <c r="J1546" s="100"/>
      <c r="K1546" s="99"/>
      <c r="L1546" s="99"/>
      <c r="M1546" s="99"/>
      <c r="N1546" s="99"/>
      <c r="O1546" s="101"/>
      <c r="P1546" s="140" t="str">
        <f t="shared" si="279"/>
        <v/>
      </c>
      <c r="Q1546" s="140" t="str">
        <f t="shared" si="280"/>
        <v/>
      </c>
      <c r="R1546" s="140" t="str">
        <f t="shared" si="281"/>
        <v/>
      </c>
      <c r="S1546" s="140" t="str">
        <f t="shared" si="282"/>
        <v/>
      </c>
      <c r="T1546" s="140" t="str">
        <f t="shared" si="283"/>
        <v/>
      </c>
      <c r="U1546" s="140" t="str">
        <f t="shared" si="284"/>
        <v/>
      </c>
      <c r="V1546" s="99"/>
    </row>
    <row r="1547" spans="1:22">
      <c r="A1547" s="92"/>
      <c r="B1547" s="141"/>
      <c r="C1547" s="136"/>
      <c r="D1547" s="137"/>
      <c r="E1547" s="144">
        <v>0.08</v>
      </c>
      <c r="F1547" s="139"/>
      <c r="G1547" s="98"/>
      <c r="H1547" s="99"/>
      <c r="I1547" s="99"/>
      <c r="J1547" s="100"/>
      <c r="K1547" s="99"/>
      <c r="L1547" s="99"/>
      <c r="M1547" s="99"/>
      <c r="N1547" s="99"/>
      <c r="O1547" s="101"/>
      <c r="P1547" s="140" t="str">
        <f t="shared" si="279"/>
        <v/>
      </c>
      <c r="Q1547" s="140" t="str">
        <f t="shared" si="280"/>
        <v/>
      </c>
      <c r="R1547" s="140" t="str">
        <f t="shared" si="281"/>
        <v/>
      </c>
      <c r="S1547" s="140" t="str">
        <f t="shared" si="282"/>
        <v/>
      </c>
      <c r="T1547" s="140" t="str">
        <f t="shared" si="283"/>
        <v/>
      </c>
      <c r="U1547" s="140" t="str">
        <f t="shared" si="284"/>
        <v/>
      </c>
      <c r="V1547" s="99"/>
    </row>
    <row r="1548" spans="1:22">
      <c r="A1548" s="92"/>
      <c r="B1548" s="146" t="s">
        <v>650</v>
      </c>
      <c r="C1548" s="136"/>
      <c r="D1548" s="142">
        <f>0.23-0.05</f>
        <v>0.18</v>
      </c>
      <c r="E1548" s="144"/>
      <c r="F1548" s="139"/>
      <c r="G1548" s="98">
        <v>8</v>
      </c>
      <c r="H1548" s="99">
        <v>2</v>
      </c>
      <c r="I1548" s="111">
        <f>5*((1.68/0.4)+1)</f>
        <v>25.999999999999996</v>
      </c>
      <c r="J1548" s="149">
        <f>D1548+E1547+E1549</f>
        <v>0.34</v>
      </c>
      <c r="K1548" s="99"/>
      <c r="L1548" s="99">
        <v>2</v>
      </c>
      <c r="M1548" s="112">
        <f>2*G1548*L1548/1000</f>
        <v>3.2000000000000001E-2</v>
      </c>
      <c r="N1548" s="112">
        <f>(J1548+K1548-M1548)</f>
        <v>0.30800000000000005</v>
      </c>
      <c r="O1548" s="112">
        <f>(H1548*I1548*N1548)</f>
        <v>16.016000000000002</v>
      </c>
      <c r="P1548" s="140">
        <f t="shared" si="279"/>
        <v>16.016000000000002</v>
      </c>
      <c r="Q1548" s="140" t="str">
        <f t="shared" si="280"/>
        <v/>
      </c>
      <c r="R1548" s="140" t="str">
        <f t="shared" si="281"/>
        <v/>
      </c>
      <c r="S1548" s="140" t="str">
        <f t="shared" si="282"/>
        <v/>
      </c>
      <c r="T1548" s="140" t="str">
        <f t="shared" si="283"/>
        <v/>
      </c>
      <c r="U1548" s="140" t="str">
        <f t="shared" si="284"/>
        <v/>
      </c>
      <c r="V1548" s="99"/>
    </row>
    <row r="1549" spans="1:22">
      <c r="A1549" s="92"/>
      <c r="B1549" s="141"/>
      <c r="C1549" s="136"/>
      <c r="D1549" s="137"/>
      <c r="E1549" s="144">
        <v>0.08</v>
      </c>
      <c r="F1549" s="139"/>
      <c r="G1549" s="98"/>
      <c r="H1549" s="99"/>
      <c r="I1549" s="99"/>
      <c r="J1549" s="100"/>
      <c r="K1549" s="99"/>
      <c r="L1549" s="99"/>
      <c r="M1549" s="99"/>
      <c r="N1549" s="99"/>
      <c r="O1549" s="101"/>
      <c r="P1549" s="140" t="str">
        <f t="shared" si="279"/>
        <v/>
      </c>
      <c r="Q1549" s="140" t="str">
        <f t="shared" si="280"/>
        <v/>
      </c>
      <c r="R1549" s="140" t="str">
        <f t="shared" si="281"/>
        <v/>
      </c>
      <c r="S1549" s="140" t="str">
        <f t="shared" si="282"/>
        <v/>
      </c>
      <c r="T1549" s="140" t="str">
        <f t="shared" si="283"/>
        <v/>
      </c>
      <c r="U1549" s="140" t="str">
        <f t="shared" si="284"/>
        <v/>
      </c>
      <c r="V1549" s="99"/>
    </row>
    <row r="1550" spans="1:22">
      <c r="A1550" s="92"/>
      <c r="B1550" s="146"/>
      <c r="C1550" s="136"/>
      <c r="D1550" s="152"/>
      <c r="E1550" s="138"/>
      <c r="F1550" s="139"/>
      <c r="G1550" s="98"/>
      <c r="H1550" s="99"/>
      <c r="I1550" s="99"/>
      <c r="J1550" s="100"/>
      <c r="K1550" s="99"/>
      <c r="L1550" s="99"/>
      <c r="M1550" s="99"/>
      <c r="N1550" s="99"/>
      <c r="O1550" s="101"/>
      <c r="P1550" s="140" t="str">
        <f t="shared" si="279"/>
        <v/>
      </c>
      <c r="Q1550" s="140" t="str">
        <f t="shared" si="280"/>
        <v/>
      </c>
      <c r="R1550" s="140" t="str">
        <f t="shared" si="281"/>
        <v/>
      </c>
      <c r="S1550" s="140" t="str">
        <f t="shared" si="282"/>
        <v/>
      </c>
      <c r="T1550" s="140" t="str">
        <f t="shared" si="283"/>
        <v/>
      </c>
      <c r="U1550" s="140" t="str">
        <f t="shared" si="284"/>
        <v/>
      </c>
      <c r="V1550" s="99"/>
    </row>
    <row r="1551" spans="1:22">
      <c r="A1551" s="92">
        <v>18</v>
      </c>
      <c r="B1551" s="92" t="s">
        <v>409</v>
      </c>
      <c r="C1551" s="136"/>
      <c r="D1551" s="137"/>
      <c r="E1551" s="138"/>
      <c r="F1551" s="139"/>
      <c r="G1551" s="98"/>
      <c r="H1551" s="99"/>
      <c r="I1551" s="99"/>
      <c r="J1551" s="109"/>
      <c r="K1551" s="112"/>
      <c r="L1551" s="112"/>
      <c r="M1551" s="99"/>
      <c r="N1551" s="112"/>
      <c r="O1551" s="112"/>
      <c r="P1551" s="140" t="str">
        <f>IF($G1551=8,$O1551,"")</f>
        <v/>
      </c>
      <c r="Q1551" s="140" t="str">
        <f>IF($G1551=10,$O1551,"")</f>
        <v/>
      </c>
      <c r="R1551" s="140" t="str">
        <f>IF($G1551=12,$O1551,"")</f>
        <v/>
      </c>
      <c r="S1551" s="140" t="str">
        <f>IF($G1551=16,$O1551,"")</f>
        <v/>
      </c>
      <c r="T1551" s="140" t="str">
        <f>IF($G1551=20,$O1551,"")</f>
        <v/>
      </c>
      <c r="U1551" s="140" t="str">
        <f>IF($G1551=25,$O1551,"")</f>
        <v/>
      </c>
      <c r="V1551" s="99"/>
    </row>
    <row r="1552" spans="1:22">
      <c r="A1552" s="92"/>
      <c r="B1552" s="141" t="s">
        <v>378</v>
      </c>
      <c r="C1552" s="136"/>
      <c r="D1552" s="142">
        <v>1.68</v>
      </c>
      <c r="E1552" s="138"/>
      <c r="F1552" s="139"/>
      <c r="G1552" s="98">
        <v>16</v>
      </c>
      <c r="H1552" s="99">
        <v>2</v>
      </c>
      <c r="I1552" s="99">
        <v>8</v>
      </c>
      <c r="J1552" s="109">
        <f>D1552</f>
        <v>1.68</v>
      </c>
      <c r="K1552" s="110" t="str">
        <f>IF(N1552&lt;12,"0",0.049*G1552)</f>
        <v>0</v>
      </c>
      <c r="L1552" s="111">
        <v>0</v>
      </c>
      <c r="M1552" s="99">
        <f>2*G1552*L1552/1000</f>
        <v>0</v>
      </c>
      <c r="N1552" s="112">
        <f>J1552+E1554-M1552</f>
        <v>1.68</v>
      </c>
      <c r="O1552" s="112">
        <f t="shared" ref="O1552:O1557" si="288">H1552*I1552*N1552</f>
        <v>26.88</v>
      </c>
      <c r="P1552" s="140" t="str">
        <f t="shared" si="279"/>
        <v/>
      </c>
      <c r="Q1552" s="140" t="str">
        <f t="shared" si="280"/>
        <v/>
      </c>
      <c r="R1552" s="140" t="str">
        <f t="shared" si="281"/>
        <v/>
      </c>
      <c r="S1552" s="140">
        <f t="shared" si="282"/>
        <v>26.88</v>
      </c>
      <c r="T1552" s="140" t="str">
        <f t="shared" si="283"/>
        <v/>
      </c>
      <c r="U1552" s="140" t="str">
        <f t="shared" si="284"/>
        <v/>
      </c>
      <c r="V1552" s="99"/>
    </row>
    <row r="1553" spans="1:22">
      <c r="A1553" s="92"/>
      <c r="B1553" s="141" t="s">
        <v>379</v>
      </c>
      <c r="C1553" s="136"/>
      <c r="D1553" s="137"/>
      <c r="E1553" s="138"/>
      <c r="F1553" s="139"/>
      <c r="G1553" s="98">
        <v>16</v>
      </c>
      <c r="H1553" s="99">
        <v>2</v>
      </c>
      <c r="I1553" s="99">
        <v>8</v>
      </c>
      <c r="J1553" s="109">
        <f>D1552</f>
        <v>1.68</v>
      </c>
      <c r="K1553" s="110" t="str">
        <f t="shared" ref="K1553:K1557" si="289">IF(N1553&lt;12,"0",0.049*G1553)</f>
        <v>0</v>
      </c>
      <c r="L1553" s="111">
        <v>0</v>
      </c>
      <c r="M1553" s="99">
        <f t="shared" ref="M1553:M1557" si="290">2*G1553*L1553/1000</f>
        <v>0</v>
      </c>
      <c r="N1553" s="112">
        <f>J1553+E1554-M1553</f>
        <v>1.68</v>
      </c>
      <c r="O1553" s="112">
        <f t="shared" si="288"/>
        <v>26.88</v>
      </c>
      <c r="P1553" s="140" t="str">
        <f t="shared" si="279"/>
        <v/>
      </c>
      <c r="Q1553" s="140" t="str">
        <f t="shared" si="280"/>
        <v/>
      </c>
      <c r="R1553" s="140" t="str">
        <f t="shared" si="281"/>
        <v/>
      </c>
      <c r="S1553" s="140">
        <f t="shared" si="282"/>
        <v>26.88</v>
      </c>
      <c r="T1553" s="140" t="str">
        <f t="shared" si="283"/>
        <v/>
      </c>
      <c r="U1553" s="140" t="str">
        <f t="shared" si="284"/>
        <v/>
      </c>
      <c r="V1553" s="99"/>
    </row>
    <row r="1554" spans="1:22">
      <c r="A1554" s="92"/>
      <c r="B1554" s="141" t="s">
        <v>380</v>
      </c>
      <c r="C1554" s="143"/>
      <c r="D1554" s="142"/>
      <c r="E1554" s="144"/>
      <c r="F1554" s="139"/>
      <c r="G1554" s="98">
        <v>12</v>
      </c>
      <c r="H1554" s="99">
        <v>2</v>
      </c>
      <c r="I1554" s="99">
        <v>8</v>
      </c>
      <c r="J1554" s="109">
        <f>D1552</f>
        <v>1.68</v>
      </c>
      <c r="K1554" s="110" t="str">
        <f t="shared" si="289"/>
        <v>0</v>
      </c>
      <c r="L1554" s="111">
        <v>0</v>
      </c>
      <c r="M1554" s="99">
        <f t="shared" si="290"/>
        <v>0</v>
      </c>
      <c r="N1554" s="112">
        <f>J1554+E1554-M1554</f>
        <v>1.68</v>
      </c>
      <c r="O1554" s="112">
        <f t="shared" si="288"/>
        <v>26.88</v>
      </c>
      <c r="P1554" s="140" t="str">
        <f t="shared" si="279"/>
        <v/>
      </c>
      <c r="Q1554" s="140" t="str">
        <f t="shared" si="280"/>
        <v/>
      </c>
      <c r="R1554" s="140">
        <f t="shared" si="281"/>
        <v>26.88</v>
      </c>
      <c r="S1554" s="140" t="str">
        <f t="shared" si="282"/>
        <v/>
      </c>
      <c r="T1554" s="140" t="str">
        <f t="shared" si="283"/>
        <v/>
      </c>
      <c r="U1554" s="140" t="str">
        <f t="shared" si="284"/>
        <v/>
      </c>
      <c r="V1554" s="99"/>
    </row>
    <row r="1555" spans="1:22">
      <c r="A1555" s="92"/>
      <c r="B1555" s="141" t="s">
        <v>381</v>
      </c>
      <c r="C1555" s="136"/>
      <c r="D1555" s="137"/>
      <c r="E1555" s="138"/>
      <c r="F1555" s="139"/>
      <c r="G1555" s="98">
        <v>12</v>
      </c>
      <c r="H1555" s="99">
        <v>2</v>
      </c>
      <c r="I1555" s="99">
        <v>8</v>
      </c>
      <c r="J1555" s="109">
        <f>D1552</f>
        <v>1.68</v>
      </c>
      <c r="K1555" s="110" t="str">
        <f t="shared" si="289"/>
        <v>0</v>
      </c>
      <c r="L1555" s="111">
        <v>0</v>
      </c>
      <c r="M1555" s="99">
        <f t="shared" si="290"/>
        <v>0</v>
      </c>
      <c r="N1555" s="112">
        <f>J1555+E1554-M1555</f>
        <v>1.68</v>
      </c>
      <c r="O1555" s="112">
        <f t="shared" si="288"/>
        <v>26.88</v>
      </c>
      <c r="P1555" s="140" t="str">
        <f t="shared" si="279"/>
        <v/>
      </c>
      <c r="Q1555" s="140" t="str">
        <f t="shared" si="280"/>
        <v/>
      </c>
      <c r="R1555" s="140">
        <f t="shared" si="281"/>
        <v>26.88</v>
      </c>
      <c r="S1555" s="140" t="str">
        <f t="shared" si="282"/>
        <v/>
      </c>
      <c r="T1555" s="140" t="str">
        <f t="shared" si="283"/>
        <v/>
      </c>
      <c r="U1555" s="140" t="str">
        <f t="shared" si="284"/>
        <v/>
      </c>
      <c r="V1555" s="99"/>
    </row>
    <row r="1556" spans="1:22">
      <c r="A1556" s="92"/>
      <c r="B1556" s="141" t="s">
        <v>389</v>
      </c>
      <c r="C1556" s="136"/>
      <c r="D1556" s="137"/>
      <c r="E1556" s="138"/>
      <c r="F1556" s="139"/>
      <c r="G1556" s="98">
        <v>12</v>
      </c>
      <c r="H1556" s="99">
        <v>2</v>
      </c>
      <c r="I1556" s="99">
        <v>8</v>
      </c>
      <c r="J1556" s="109">
        <f>D1552</f>
        <v>1.68</v>
      </c>
      <c r="K1556" s="110" t="str">
        <f t="shared" si="289"/>
        <v>0</v>
      </c>
      <c r="L1556" s="111">
        <v>0</v>
      </c>
      <c r="M1556" s="99">
        <f t="shared" si="290"/>
        <v>0</v>
      </c>
      <c r="N1556" s="112">
        <f>J1556+E1554-M1556</f>
        <v>1.68</v>
      </c>
      <c r="O1556" s="112">
        <f t="shared" si="288"/>
        <v>26.88</v>
      </c>
      <c r="P1556" s="140" t="str">
        <f t="shared" si="279"/>
        <v/>
      </c>
      <c r="Q1556" s="140" t="str">
        <f t="shared" si="280"/>
        <v/>
      </c>
      <c r="R1556" s="140">
        <f t="shared" si="281"/>
        <v>26.88</v>
      </c>
      <c r="S1556" s="140" t="str">
        <f t="shared" si="282"/>
        <v/>
      </c>
      <c r="T1556" s="140" t="str">
        <f t="shared" si="283"/>
        <v/>
      </c>
      <c r="U1556" s="140" t="str">
        <f t="shared" si="284"/>
        <v/>
      </c>
      <c r="V1556" s="99"/>
    </row>
    <row r="1557" spans="1:22">
      <c r="A1557" s="92"/>
      <c r="B1557" s="141" t="s">
        <v>401</v>
      </c>
      <c r="C1557" s="136"/>
      <c r="D1557" s="137"/>
      <c r="E1557" s="138"/>
      <c r="F1557" s="139"/>
      <c r="G1557" s="98">
        <v>10</v>
      </c>
      <c r="H1557" s="99">
        <v>2</v>
      </c>
      <c r="I1557" s="99">
        <v>20</v>
      </c>
      <c r="J1557" s="109">
        <f>D1552</f>
        <v>1.68</v>
      </c>
      <c r="K1557" s="110" t="str">
        <f t="shared" si="289"/>
        <v>0</v>
      </c>
      <c r="L1557" s="111">
        <v>0</v>
      </c>
      <c r="M1557" s="99">
        <f t="shared" si="290"/>
        <v>0</v>
      </c>
      <c r="N1557" s="112">
        <f>J1557+E1554-M1557</f>
        <v>1.68</v>
      </c>
      <c r="O1557" s="112">
        <f t="shared" si="288"/>
        <v>67.2</v>
      </c>
      <c r="P1557" s="140" t="str">
        <f t="shared" si="279"/>
        <v/>
      </c>
      <c r="Q1557" s="140">
        <f t="shared" si="280"/>
        <v>67.2</v>
      </c>
      <c r="R1557" s="140" t="str">
        <f t="shared" si="281"/>
        <v/>
      </c>
      <c r="S1557" s="140" t="str">
        <f t="shared" si="282"/>
        <v/>
      </c>
      <c r="T1557" s="140" t="str">
        <f t="shared" si="283"/>
        <v/>
      </c>
      <c r="U1557" s="140" t="str">
        <f t="shared" si="284"/>
        <v/>
      </c>
      <c r="V1557" s="99"/>
    </row>
    <row r="1558" spans="1:22">
      <c r="A1558" s="92"/>
      <c r="B1558" s="141"/>
      <c r="C1558" s="136"/>
      <c r="D1558" s="137"/>
      <c r="E1558" s="138"/>
      <c r="F1558" s="139"/>
      <c r="G1558" s="98"/>
      <c r="H1558" s="99"/>
      <c r="I1558" s="99"/>
      <c r="J1558" s="109"/>
      <c r="K1558" s="110"/>
      <c r="L1558" s="111"/>
      <c r="M1558" s="99"/>
      <c r="N1558" s="112"/>
      <c r="O1558" s="112"/>
      <c r="P1558" s="140"/>
      <c r="Q1558" s="140"/>
      <c r="R1558" s="140"/>
      <c r="S1558" s="140"/>
      <c r="T1558" s="140"/>
      <c r="U1558" s="140"/>
      <c r="V1558" s="99"/>
    </row>
    <row r="1559" spans="1:22">
      <c r="A1559" s="92"/>
      <c r="B1559" s="92"/>
      <c r="C1559" s="145">
        <v>0.08</v>
      </c>
      <c r="D1559" s="137"/>
      <c r="E1559" s="138"/>
      <c r="F1559" s="139"/>
      <c r="G1559" s="98"/>
      <c r="H1559" s="99"/>
      <c r="I1559" s="99"/>
      <c r="J1559" s="100"/>
      <c r="K1559" s="99"/>
      <c r="L1559" s="99"/>
      <c r="M1559" s="99"/>
      <c r="N1559" s="99"/>
      <c r="O1559" s="101"/>
      <c r="P1559" s="140" t="str">
        <f t="shared" si="279"/>
        <v/>
      </c>
      <c r="Q1559" s="140" t="str">
        <f t="shared" si="280"/>
        <v/>
      </c>
      <c r="R1559" s="140" t="str">
        <f t="shared" si="281"/>
        <v/>
      </c>
      <c r="S1559" s="140" t="str">
        <f t="shared" si="282"/>
        <v/>
      </c>
      <c r="T1559" s="140" t="str">
        <f t="shared" si="283"/>
        <v/>
      </c>
      <c r="U1559" s="140" t="str">
        <f t="shared" si="284"/>
        <v/>
      </c>
      <c r="V1559" s="99"/>
    </row>
    <row r="1560" spans="1:22">
      <c r="A1560" s="92"/>
      <c r="B1560" s="146" t="s">
        <v>647</v>
      </c>
      <c r="C1560" s="147"/>
      <c r="D1560" s="137"/>
      <c r="E1560" s="148">
        <f>1-0.025+0.008+0.008</f>
        <v>0.99099999999999999</v>
      </c>
      <c r="F1560" s="139"/>
      <c r="G1560" s="98">
        <v>8</v>
      </c>
      <c r="H1560" s="99">
        <v>2</v>
      </c>
      <c r="I1560" s="111">
        <f>2*((1.68/0.1)+1)</f>
        <v>35.599999999999994</v>
      </c>
      <c r="J1560" s="149">
        <f>2*(D1562+E1560)+2*8*G1560/1000</f>
        <v>2.4700000000000002</v>
      </c>
      <c r="K1560" s="99"/>
      <c r="L1560" s="99">
        <v>5</v>
      </c>
      <c r="M1560" s="112">
        <f>2*G1560*L1560/1000</f>
        <v>0.08</v>
      </c>
      <c r="N1560" s="112">
        <f>(J1560+K1560-M1560)</f>
        <v>2.39</v>
      </c>
      <c r="O1560" s="112">
        <f>(H1560*I1560*N1560)</f>
        <v>170.16799999999998</v>
      </c>
      <c r="P1560" s="140">
        <f t="shared" si="279"/>
        <v>170.16799999999998</v>
      </c>
      <c r="Q1560" s="140" t="str">
        <f t="shared" si="280"/>
        <v/>
      </c>
      <c r="R1560" s="140" t="str">
        <f t="shared" si="281"/>
        <v/>
      </c>
      <c r="S1560" s="140" t="str">
        <f t="shared" si="282"/>
        <v/>
      </c>
      <c r="T1560" s="140" t="str">
        <f t="shared" si="283"/>
        <v/>
      </c>
      <c r="U1560" s="140" t="str">
        <f t="shared" si="284"/>
        <v/>
      </c>
      <c r="V1560" s="99"/>
    </row>
    <row r="1561" spans="1:22">
      <c r="A1561" s="92"/>
      <c r="B1561" s="146"/>
      <c r="C1561" s="136"/>
      <c r="D1561" s="137"/>
      <c r="E1561" s="150"/>
      <c r="F1561" s="139"/>
      <c r="G1561" s="98"/>
      <c r="H1561" s="99"/>
      <c r="I1561" s="99"/>
      <c r="J1561" s="100"/>
      <c r="K1561" s="99"/>
      <c r="L1561" s="99"/>
      <c r="M1561" s="99"/>
      <c r="N1561" s="99"/>
      <c r="O1561" s="112"/>
      <c r="P1561" s="140" t="str">
        <f t="shared" si="279"/>
        <v/>
      </c>
      <c r="Q1561" s="140" t="str">
        <f t="shared" si="280"/>
        <v/>
      </c>
      <c r="R1561" s="140" t="str">
        <f t="shared" si="281"/>
        <v/>
      </c>
      <c r="S1561" s="140" t="str">
        <f t="shared" si="282"/>
        <v/>
      </c>
      <c r="T1561" s="140" t="str">
        <f t="shared" si="283"/>
        <v/>
      </c>
      <c r="U1561" s="140" t="str">
        <f t="shared" si="284"/>
        <v/>
      </c>
      <c r="V1561" s="99"/>
    </row>
    <row r="1562" spans="1:22">
      <c r="A1562" s="92"/>
      <c r="B1562" s="146"/>
      <c r="C1562" s="136"/>
      <c r="D1562" s="109">
        <f>0.23-0.05</f>
        <v>0.18</v>
      </c>
      <c r="E1562" s="138"/>
      <c r="F1562" s="139"/>
      <c r="G1562" s="98"/>
      <c r="H1562" s="99"/>
      <c r="I1562" s="99"/>
      <c r="J1562" s="100"/>
      <c r="K1562" s="99"/>
      <c r="L1562" s="99"/>
      <c r="M1562" s="99"/>
      <c r="N1562" s="99"/>
      <c r="O1562" s="112"/>
      <c r="P1562" s="140" t="str">
        <f t="shared" si="279"/>
        <v/>
      </c>
      <c r="Q1562" s="140" t="str">
        <f t="shared" si="280"/>
        <v/>
      </c>
      <c r="R1562" s="140" t="str">
        <f t="shared" si="281"/>
        <v/>
      </c>
      <c r="S1562" s="140" t="str">
        <f t="shared" si="282"/>
        <v/>
      </c>
      <c r="T1562" s="140" t="str">
        <f t="shared" si="283"/>
        <v/>
      </c>
      <c r="U1562" s="140" t="str">
        <f t="shared" si="284"/>
        <v/>
      </c>
      <c r="V1562" s="99"/>
    </row>
    <row r="1563" spans="1:22">
      <c r="A1563" s="92"/>
      <c r="B1563" s="141"/>
      <c r="C1563" s="136"/>
      <c r="D1563" s="137"/>
      <c r="E1563" s="138"/>
      <c r="F1563" s="139"/>
      <c r="G1563" s="98"/>
      <c r="H1563" s="99"/>
      <c r="I1563" s="99"/>
      <c r="J1563" s="109"/>
      <c r="K1563" s="110"/>
      <c r="L1563" s="111"/>
      <c r="M1563" s="99"/>
      <c r="N1563" s="112"/>
      <c r="O1563" s="112"/>
      <c r="P1563" s="140"/>
      <c r="Q1563" s="140"/>
      <c r="R1563" s="140"/>
      <c r="S1563" s="140"/>
      <c r="T1563" s="140"/>
      <c r="U1563" s="140"/>
      <c r="V1563" s="99"/>
    </row>
    <row r="1564" spans="1:22">
      <c r="A1564" s="92"/>
      <c r="B1564" s="92"/>
      <c r="C1564" s="145">
        <v>0.08</v>
      </c>
      <c r="D1564" s="137"/>
      <c r="E1564" s="138"/>
      <c r="F1564" s="139"/>
      <c r="G1564" s="98"/>
      <c r="H1564" s="99"/>
      <c r="I1564" s="99"/>
      <c r="J1564" s="100"/>
      <c r="K1564" s="99"/>
      <c r="L1564" s="99"/>
      <c r="M1564" s="99"/>
      <c r="N1564" s="99"/>
      <c r="O1564" s="101"/>
      <c r="P1564" s="140" t="str">
        <f t="shared" si="279"/>
        <v/>
      </c>
      <c r="Q1564" s="140" t="str">
        <f t="shared" si="280"/>
        <v/>
      </c>
      <c r="R1564" s="140" t="str">
        <f t="shared" si="281"/>
        <v/>
      </c>
      <c r="S1564" s="140" t="str">
        <f t="shared" si="282"/>
        <v/>
      </c>
      <c r="T1564" s="140" t="str">
        <f t="shared" si="283"/>
        <v/>
      </c>
      <c r="U1564" s="140" t="str">
        <f t="shared" si="284"/>
        <v/>
      </c>
      <c r="V1564" s="99"/>
    </row>
    <row r="1565" spans="1:22">
      <c r="A1565" s="92"/>
      <c r="B1565" s="146" t="s">
        <v>648</v>
      </c>
      <c r="C1565" s="147"/>
      <c r="D1565" s="137"/>
      <c r="E1565" s="456">
        <f>4.065-1-1-0.025+2*0.008+2*0.008</f>
        <v>2.0720000000000005</v>
      </c>
      <c r="F1565" s="139"/>
      <c r="G1565" s="98">
        <v>8</v>
      </c>
      <c r="H1565" s="99">
        <v>2</v>
      </c>
      <c r="I1565" s="111">
        <f>((1.68/0.2)+1)</f>
        <v>9.3999999999999986</v>
      </c>
      <c r="J1565" s="149">
        <f>2*(D1567+E1565)+2*8*G1565/1000</f>
        <v>4.6320000000000014</v>
      </c>
      <c r="K1565" s="99"/>
      <c r="L1565" s="99">
        <v>5</v>
      </c>
      <c r="M1565" s="112">
        <f>2*G1565*L1565/1000</f>
        <v>0.08</v>
      </c>
      <c r="N1565" s="112">
        <f>(J1565+K1565-M1565)</f>
        <v>4.5520000000000014</v>
      </c>
      <c r="O1565" s="112">
        <f>(H1565*I1565*N1565)</f>
        <v>85.577600000000018</v>
      </c>
      <c r="P1565" s="140">
        <f t="shared" si="279"/>
        <v>85.577600000000018</v>
      </c>
      <c r="Q1565" s="140" t="str">
        <f t="shared" si="280"/>
        <v/>
      </c>
      <c r="R1565" s="140" t="str">
        <f t="shared" si="281"/>
        <v/>
      </c>
      <c r="S1565" s="140" t="str">
        <f t="shared" si="282"/>
        <v/>
      </c>
      <c r="T1565" s="140" t="str">
        <f t="shared" si="283"/>
        <v/>
      </c>
      <c r="U1565" s="140" t="str">
        <f t="shared" si="284"/>
        <v/>
      </c>
      <c r="V1565" s="99"/>
    </row>
    <row r="1566" spans="1:22">
      <c r="A1566" s="92"/>
      <c r="B1566" s="146"/>
      <c r="C1566" s="136"/>
      <c r="D1566" s="137"/>
      <c r="E1566" s="150"/>
      <c r="F1566" s="139"/>
      <c r="G1566" s="98"/>
      <c r="H1566" s="99"/>
      <c r="I1566" s="99"/>
      <c r="J1566" s="100"/>
      <c r="K1566" s="99"/>
      <c r="L1566" s="99"/>
      <c r="M1566" s="99"/>
      <c r="N1566" s="99"/>
      <c r="O1566" s="112"/>
      <c r="P1566" s="140" t="str">
        <f t="shared" si="279"/>
        <v/>
      </c>
      <c r="Q1566" s="140" t="str">
        <f t="shared" si="280"/>
        <v/>
      </c>
      <c r="R1566" s="140" t="str">
        <f t="shared" si="281"/>
        <v/>
      </c>
      <c r="S1566" s="140" t="str">
        <f t="shared" si="282"/>
        <v/>
      </c>
      <c r="T1566" s="140" t="str">
        <f t="shared" si="283"/>
        <v/>
      </c>
      <c r="U1566" s="140" t="str">
        <f t="shared" si="284"/>
        <v/>
      </c>
      <c r="V1566" s="99"/>
    </row>
    <row r="1567" spans="1:22">
      <c r="A1567" s="92"/>
      <c r="B1567" s="146"/>
      <c r="C1567" s="136"/>
      <c r="D1567" s="109">
        <f>0.23-0.05</f>
        <v>0.18</v>
      </c>
      <c r="E1567" s="138"/>
      <c r="F1567" s="139"/>
      <c r="G1567" s="98"/>
      <c r="H1567" s="99"/>
      <c r="I1567" s="99"/>
      <c r="J1567" s="100"/>
      <c r="K1567" s="99"/>
      <c r="L1567" s="99"/>
      <c r="M1567" s="99"/>
      <c r="N1567" s="99"/>
      <c r="O1567" s="112"/>
      <c r="P1567" s="140" t="str">
        <f t="shared" si="279"/>
        <v/>
      </c>
      <c r="Q1567" s="140" t="str">
        <f t="shared" si="280"/>
        <v/>
      </c>
      <c r="R1567" s="140" t="str">
        <f t="shared" si="281"/>
        <v/>
      </c>
      <c r="S1567" s="140" t="str">
        <f t="shared" si="282"/>
        <v/>
      </c>
      <c r="T1567" s="140" t="str">
        <f t="shared" si="283"/>
        <v/>
      </c>
      <c r="U1567" s="140" t="str">
        <f t="shared" si="284"/>
        <v/>
      </c>
      <c r="V1567" s="99"/>
    </row>
    <row r="1568" spans="1:22">
      <c r="A1568" s="92"/>
      <c r="B1568" s="141"/>
      <c r="C1568" s="136"/>
      <c r="D1568" s="137"/>
      <c r="E1568" s="138"/>
      <c r="F1568" s="139"/>
      <c r="G1568" s="98"/>
      <c r="H1568" s="99"/>
      <c r="I1568" s="99"/>
      <c r="J1568" s="109"/>
      <c r="K1568" s="110"/>
      <c r="L1568" s="111"/>
      <c r="M1568" s="99"/>
      <c r="N1568" s="112"/>
      <c r="O1568" s="112"/>
      <c r="P1568" s="140"/>
      <c r="Q1568" s="140"/>
      <c r="R1568" s="140"/>
      <c r="S1568" s="140"/>
      <c r="T1568" s="140"/>
      <c r="U1568" s="140"/>
      <c r="V1568" s="99"/>
    </row>
    <row r="1569" spans="1:22">
      <c r="A1569" s="92"/>
      <c r="B1569" s="92"/>
      <c r="C1569" s="145">
        <v>0.08</v>
      </c>
      <c r="D1569" s="137"/>
      <c r="E1569" s="138"/>
      <c r="F1569" s="139"/>
      <c r="G1569" s="98"/>
      <c r="H1569" s="99"/>
      <c r="I1569" s="99"/>
      <c r="J1569" s="100"/>
      <c r="K1569" s="99"/>
      <c r="L1569" s="99"/>
      <c r="M1569" s="99"/>
      <c r="N1569" s="99"/>
      <c r="O1569" s="101"/>
      <c r="P1569" s="140" t="str">
        <f t="shared" si="279"/>
        <v/>
      </c>
      <c r="Q1569" s="140" t="str">
        <f t="shared" si="280"/>
        <v/>
      </c>
      <c r="R1569" s="140" t="str">
        <f t="shared" si="281"/>
        <v/>
      </c>
      <c r="S1569" s="140" t="str">
        <f t="shared" si="282"/>
        <v/>
      </c>
      <c r="T1569" s="140" t="str">
        <f t="shared" si="283"/>
        <v/>
      </c>
      <c r="U1569" s="140" t="str">
        <f t="shared" si="284"/>
        <v/>
      </c>
      <c r="V1569" s="99"/>
    </row>
    <row r="1570" spans="1:22">
      <c r="A1570" s="92"/>
      <c r="B1570" s="146" t="s">
        <v>649</v>
      </c>
      <c r="C1570" s="147"/>
      <c r="D1570" s="137"/>
      <c r="E1570" s="148">
        <f>(1-0.025+0.008+0.008)/9</f>
        <v>0.1101111111111111</v>
      </c>
      <c r="F1570" s="139"/>
      <c r="G1570" s="98">
        <v>8</v>
      </c>
      <c r="H1570" s="99">
        <v>2</v>
      </c>
      <c r="I1570" s="111">
        <f>2*4*((1.68/0.1)+1)</f>
        <v>142.39999999999998</v>
      </c>
      <c r="J1570" s="149">
        <f>2*(D1572+E1570)+2*8*G1570/1000</f>
        <v>0.7082222222222222</v>
      </c>
      <c r="K1570" s="99"/>
      <c r="L1570" s="99">
        <v>5</v>
      </c>
      <c r="M1570" s="112">
        <f>2*G1570*L1570/1000</f>
        <v>0.08</v>
      </c>
      <c r="N1570" s="112">
        <f>(J1570+K1570-M1570)</f>
        <v>0.62822222222222224</v>
      </c>
      <c r="O1570" s="112">
        <f>(H1570*I1570*N1570)</f>
        <v>178.91768888888888</v>
      </c>
      <c r="P1570" s="140">
        <f t="shared" si="279"/>
        <v>178.91768888888888</v>
      </c>
      <c r="Q1570" s="140" t="str">
        <f t="shared" si="280"/>
        <v/>
      </c>
      <c r="R1570" s="140" t="str">
        <f t="shared" si="281"/>
        <v/>
      </c>
      <c r="S1570" s="140" t="str">
        <f t="shared" si="282"/>
        <v/>
      </c>
      <c r="T1570" s="140" t="str">
        <f t="shared" si="283"/>
        <v/>
      </c>
      <c r="U1570" s="140" t="str">
        <f t="shared" si="284"/>
        <v/>
      </c>
      <c r="V1570" s="99"/>
    </row>
    <row r="1571" spans="1:22">
      <c r="A1571" s="92"/>
      <c r="B1571" s="146"/>
      <c r="C1571" s="136"/>
      <c r="D1571" s="137"/>
      <c r="E1571" s="150"/>
      <c r="F1571" s="139"/>
      <c r="G1571" s="98"/>
      <c r="H1571" s="99"/>
      <c r="I1571" s="99"/>
      <c r="J1571" s="100"/>
      <c r="K1571" s="99"/>
      <c r="L1571" s="99"/>
      <c r="M1571" s="99"/>
      <c r="N1571" s="99"/>
      <c r="O1571" s="112"/>
      <c r="P1571" s="140" t="str">
        <f t="shared" si="279"/>
        <v/>
      </c>
      <c r="Q1571" s="140" t="str">
        <f t="shared" si="280"/>
        <v/>
      </c>
      <c r="R1571" s="140" t="str">
        <f t="shared" si="281"/>
        <v/>
      </c>
      <c r="S1571" s="140" t="str">
        <f t="shared" si="282"/>
        <v/>
      </c>
      <c r="T1571" s="140" t="str">
        <f t="shared" si="283"/>
        <v/>
      </c>
      <c r="U1571" s="140" t="str">
        <f t="shared" si="284"/>
        <v/>
      </c>
      <c r="V1571" s="99"/>
    </row>
    <row r="1572" spans="1:22">
      <c r="A1572" s="92"/>
      <c r="B1572" s="146"/>
      <c r="C1572" s="136"/>
      <c r="D1572" s="109">
        <f>0.23-0.05</f>
        <v>0.18</v>
      </c>
      <c r="E1572" s="138"/>
      <c r="F1572" s="139"/>
      <c r="G1572" s="98"/>
      <c r="H1572" s="99"/>
      <c r="I1572" s="99"/>
      <c r="J1572" s="100"/>
      <c r="K1572" s="99"/>
      <c r="L1572" s="99"/>
      <c r="M1572" s="99"/>
      <c r="N1572" s="99"/>
      <c r="O1572" s="112"/>
      <c r="P1572" s="140" t="str">
        <f t="shared" si="279"/>
        <v/>
      </c>
      <c r="Q1572" s="140" t="str">
        <f t="shared" si="280"/>
        <v/>
      </c>
      <c r="R1572" s="140" t="str">
        <f t="shared" si="281"/>
        <v/>
      </c>
      <c r="S1572" s="140" t="str">
        <f t="shared" si="282"/>
        <v/>
      </c>
      <c r="T1572" s="140" t="str">
        <f t="shared" si="283"/>
        <v/>
      </c>
      <c r="U1572" s="140" t="str">
        <f t="shared" si="284"/>
        <v/>
      </c>
      <c r="V1572" s="99"/>
    </row>
    <row r="1573" spans="1:22">
      <c r="A1573" s="92"/>
      <c r="B1573" s="141"/>
      <c r="C1573" s="136"/>
      <c r="D1573" s="137"/>
      <c r="E1573" s="138"/>
      <c r="F1573" s="139"/>
      <c r="G1573" s="98"/>
      <c r="H1573" s="99"/>
      <c r="I1573" s="99"/>
      <c r="J1573" s="100"/>
      <c r="K1573" s="99"/>
      <c r="L1573" s="99"/>
      <c r="M1573" s="99"/>
      <c r="N1573" s="99"/>
      <c r="O1573" s="101"/>
      <c r="P1573" s="140" t="str">
        <f t="shared" si="279"/>
        <v/>
      </c>
      <c r="Q1573" s="140" t="str">
        <f t="shared" si="280"/>
        <v/>
      </c>
      <c r="R1573" s="140" t="str">
        <f t="shared" si="281"/>
        <v/>
      </c>
      <c r="S1573" s="140" t="str">
        <f t="shared" si="282"/>
        <v/>
      </c>
      <c r="T1573" s="140" t="str">
        <f t="shared" si="283"/>
        <v/>
      </c>
      <c r="U1573" s="140" t="str">
        <f t="shared" si="284"/>
        <v/>
      </c>
      <c r="V1573" s="99"/>
    </row>
    <row r="1574" spans="1:22">
      <c r="A1574" s="92"/>
      <c r="B1574" s="141"/>
      <c r="C1574" s="136"/>
      <c r="D1574" s="137"/>
      <c r="E1574" s="144">
        <v>0.08</v>
      </c>
      <c r="F1574" s="139"/>
      <c r="G1574" s="98"/>
      <c r="H1574" s="99"/>
      <c r="I1574" s="99"/>
      <c r="J1574" s="100"/>
      <c r="K1574" s="99"/>
      <c r="L1574" s="99"/>
      <c r="M1574" s="99"/>
      <c r="N1574" s="99"/>
      <c r="O1574" s="101"/>
      <c r="P1574" s="140" t="str">
        <f t="shared" si="279"/>
        <v/>
      </c>
      <c r="Q1574" s="140" t="str">
        <f t="shared" si="280"/>
        <v/>
      </c>
      <c r="R1574" s="140" t="str">
        <f t="shared" si="281"/>
        <v/>
      </c>
      <c r="S1574" s="140" t="str">
        <f t="shared" si="282"/>
        <v/>
      </c>
      <c r="T1574" s="140" t="str">
        <f t="shared" si="283"/>
        <v/>
      </c>
      <c r="U1574" s="140" t="str">
        <f t="shared" si="284"/>
        <v/>
      </c>
      <c r="V1574" s="99"/>
    </row>
    <row r="1575" spans="1:22">
      <c r="A1575" s="92"/>
      <c r="B1575" s="146" t="s">
        <v>650</v>
      </c>
      <c r="C1575" s="136"/>
      <c r="D1575" s="142">
        <f>0.23-0.05</f>
        <v>0.18</v>
      </c>
      <c r="E1575" s="144"/>
      <c r="F1575" s="139"/>
      <c r="G1575" s="98">
        <v>8</v>
      </c>
      <c r="H1575" s="99">
        <v>2</v>
      </c>
      <c r="I1575" s="111">
        <f>5*((1.68/0.4)+1)</f>
        <v>25.999999999999996</v>
      </c>
      <c r="J1575" s="149">
        <f>D1575+E1574+E1576</f>
        <v>0.34</v>
      </c>
      <c r="K1575" s="99"/>
      <c r="L1575" s="99">
        <v>2</v>
      </c>
      <c r="M1575" s="112">
        <f>2*G1575*L1575/1000</f>
        <v>3.2000000000000001E-2</v>
      </c>
      <c r="N1575" s="112">
        <f>(J1575+K1575-M1575)</f>
        <v>0.30800000000000005</v>
      </c>
      <c r="O1575" s="112">
        <f>(H1575*I1575*N1575)</f>
        <v>16.016000000000002</v>
      </c>
      <c r="P1575" s="140">
        <f t="shared" si="279"/>
        <v>16.016000000000002</v>
      </c>
      <c r="Q1575" s="140" t="str">
        <f t="shared" si="280"/>
        <v/>
      </c>
      <c r="R1575" s="140" t="str">
        <f t="shared" si="281"/>
        <v/>
      </c>
      <c r="S1575" s="140" t="str">
        <f t="shared" si="282"/>
        <v/>
      </c>
      <c r="T1575" s="140" t="str">
        <f t="shared" si="283"/>
        <v/>
      </c>
      <c r="U1575" s="140" t="str">
        <f t="shared" si="284"/>
        <v/>
      </c>
      <c r="V1575" s="99"/>
    </row>
    <row r="1576" spans="1:22">
      <c r="A1576" s="92"/>
      <c r="B1576" s="141"/>
      <c r="C1576" s="136"/>
      <c r="D1576" s="137"/>
      <c r="E1576" s="144">
        <v>0.08</v>
      </c>
      <c r="F1576" s="139"/>
      <c r="G1576" s="98"/>
      <c r="H1576" s="99"/>
      <c r="I1576" s="99"/>
      <c r="J1576" s="100"/>
      <c r="K1576" s="99"/>
      <c r="L1576" s="99"/>
      <c r="M1576" s="99"/>
      <c r="N1576" s="99"/>
      <c r="O1576" s="101"/>
      <c r="P1576" s="140" t="str">
        <f t="shared" si="279"/>
        <v/>
      </c>
      <c r="Q1576" s="140" t="str">
        <f t="shared" si="280"/>
        <v/>
      </c>
      <c r="R1576" s="140" t="str">
        <f t="shared" si="281"/>
        <v/>
      </c>
      <c r="S1576" s="140" t="str">
        <f t="shared" si="282"/>
        <v/>
      </c>
      <c r="T1576" s="140" t="str">
        <f t="shared" si="283"/>
        <v/>
      </c>
      <c r="U1576" s="140" t="str">
        <f t="shared" si="284"/>
        <v/>
      </c>
      <c r="V1576" s="99"/>
    </row>
    <row r="1577" spans="1:22">
      <c r="A1577" s="92"/>
      <c r="B1577" s="141"/>
      <c r="C1577" s="136"/>
      <c r="D1577" s="137"/>
      <c r="E1577" s="138"/>
      <c r="F1577" s="139"/>
      <c r="G1577" s="98"/>
      <c r="H1577" s="99"/>
      <c r="I1577" s="99"/>
      <c r="J1577" s="109"/>
      <c r="K1577" s="110"/>
      <c r="L1577" s="111"/>
      <c r="M1577" s="99"/>
      <c r="N1577" s="112"/>
      <c r="O1577" s="112"/>
      <c r="P1577" s="140"/>
      <c r="Q1577" s="140"/>
      <c r="R1577" s="140"/>
      <c r="S1577" s="140"/>
      <c r="T1577" s="140"/>
      <c r="U1577" s="140"/>
      <c r="V1577" s="99"/>
    </row>
    <row r="1578" spans="1:22">
      <c r="A1578" s="92"/>
      <c r="B1578" s="146"/>
      <c r="C1578" s="136"/>
      <c r="D1578" s="152"/>
      <c r="E1578" s="138"/>
      <c r="F1578" s="139"/>
      <c r="G1578" s="98"/>
      <c r="H1578" s="99"/>
      <c r="I1578" s="99"/>
      <c r="J1578" s="100"/>
      <c r="K1578" s="99"/>
      <c r="L1578" s="99"/>
      <c r="M1578" s="99"/>
      <c r="N1578" s="99"/>
      <c r="O1578" s="101"/>
      <c r="P1578" s="140" t="str">
        <f t="shared" si="279"/>
        <v/>
      </c>
      <c r="Q1578" s="140" t="str">
        <f t="shared" si="280"/>
        <v/>
      </c>
      <c r="R1578" s="140" t="str">
        <f t="shared" si="281"/>
        <v/>
      </c>
      <c r="S1578" s="140" t="str">
        <f t="shared" si="282"/>
        <v/>
      </c>
      <c r="T1578" s="140" t="str">
        <f t="shared" si="283"/>
        <v/>
      </c>
      <c r="U1578" s="140" t="str">
        <f t="shared" si="284"/>
        <v/>
      </c>
      <c r="V1578" s="99"/>
    </row>
    <row r="1579" spans="1:22">
      <c r="A1579" s="92">
        <v>19</v>
      </c>
      <c r="B1579" s="92" t="s">
        <v>575</v>
      </c>
      <c r="C1579" s="136"/>
      <c r="D1579" s="137"/>
      <c r="E1579" s="138"/>
      <c r="F1579" s="139"/>
      <c r="G1579" s="98"/>
      <c r="H1579" s="99"/>
      <c r="I1579" s="99"/>
      <c r="J1579" s="109"/>
      <c r="K1579" s="112"/>
      <c r="L1579" s="112"/>
      <c r="M1579" s="99"/>
      <c r="N1579" s="112"/>
      <c r="O1579" s="112"/>
      <c r="P1579" s="140" t="str">
        <f>IF($G1579=8,$O1579,"")</f>
        <v/>
      </c>
      <c r="Q1579" s="140" t="str">
        <f>IF($G1579=10,$O1579,"")</f>
        <v/>
      </c>
      <c r="R1579" s="140" t="str">
        <f>IF($G1579=12,$O1579,"")</f>
        <v/>
      </c>
      <c r="S1579" s="140" t="str">
        <f>IF($G1579=16,$O1579,"")</f>
        <v/>
      </c>
      <c r="T1579" s="140" t="str">
        <f>IF($G1579=20,$O1579,"")</f>
        <v/>
      </c>
      <c r="U1579" s="140" t="str">
        <f>IF($G1579=25,$O1579,"")</f>
        <v/>
      </c>
      <c r="V1579" s="99"/>
    </row>
    <row r="1580" spans="1:22">
      <c r="A1580" s="92"/>
      <c r="B1580" s="141" t="s">
        <v>378</v>
      </c>
      <c r="C1580" s="136"/>
      <c r="D1580" s="142">
        <v>1.68</v>
      </c>
      <c r="E1580" s="138"/>
      <c r="F1580" s="139"/>
      <c r="G1580" s="98">
        <v>16</v>
      </c>
      <c r="H1580" s="99">
        <v>2</v>
      </c>
      <c r="I1580" s="99">
        <v>8</v>
      </c>
      <c r="J1580" s="109">
        <f>D1580</f>
        <v>1.68</v>
      </c>
      <c r="K1580" s="110" t="str">
        <f>IF(N1580&lt;12,"0",0.049*G1580)</f>
        <v>0</v>
      </c>
      <c r="L1580" s="111">
        <v>0</v>
      </c>
      <c r="M1580" s="99">
        <f>2*G1580*L1580/1000</f>
        <v>0</v>
      </c>
      <c r="N1580" s="112">
        <f>J1580+E1582-M1580</f>
        <v>1.68</v>
      </c>
      <c r="O1580" s="112">
        <f>H1580*I1580*N1580</f>
        <v>26.88</v>
      </c>
      <c r="P1580" s="140" t="str">
        <f t="shared" si="279"/>
        <v/>
      </c>
      <c r="Q1580" s="140" t="str">
        <f t="shared" si="280"/>
        <v/>
      </c>
      <c r="R1580" s="140" t="str">
        <f t="shared" si="281"/>
        <v/>
      </c>
      <c r="S1580" s="140">
        <f t="shared" si="282"/>
        <v>26.88</v>
      </c>
      <c r="T1580" s="140" t="str">
        <f t="shared" si="283"/>
        <v/>
      </c>
      <c r="U1580" s="140" t="str">
        <f t="shared" si="284"/>
        <v/>
      </c>
      <c r="V1580" s="99"/>
    </row>
    <row r="1581" spans="1:22">
      <c r="A1581" s="92"/>
      <c r="B1581" s="141" t="s">
        <v>379</v>
      </c>
      <c r="C1581" s="136"/>
      <c r="D1581" s="137"/>
      <c r="E1581" s="138"/>
      <c r="F1581" s="139"/>
      <c r="G1581" s="98">
        <v>12</v>
      </c>
      <c r="H1581" s="99">
        <v>2</v>
      </c>
      <c r="I1581" s="99">
        <v>16</v>
      </c>
      <c r="J1581" s="109">
        <f>D1580</f>
        <v>1.68</v>
      </c>
      <c r="K1581" s="110" t="str">
        <f t="shared" ref="K1581:K1582" si="291">IF(N1581&lt;12,"0",0.049*G1581)</f>
        <v>0</v>
      </c>
      <c r="L1581" s="111">
        <v>0</v>
      </c>
      <c r="M1581" s="99">
        <f t="shared" ref="M1581:M1582" si="292">2*G1581*L1581/1000</f>
        <v>0</v>
      </c>
      <c r="N1581" s="112">
        <f>J1581+E1582-M1581</f>
        <v>1.68</v>
      </c>
      <c r="O1581" s="112">
        <f>H1581*I1581*N1581</f>
        <v>53.76</v>
      </c>
      <c r="P1581" s="140" t="str">
        <f t="shared" si="279"/>
        <v/>
      </c>
      <c r="Q1581" s="140" t="str">
        <f t="shared" si="280"/>
        <v/>
      </c>
      <c r="R1581" s="140">
        <f t="shared" si="281"/>
        <v>53.76</v>
      </c>
      <c r="S1581" s="140" t="str">
        <f t="shared" si="282"/>
        <v/>
      </c>
      <c r="T1581" s="140" t="str">
        <f t="shared" si="283"/>
        <v/>
      </c>
      <c r="U1581" s="140" t="str">
        <f t="shared" si="284"/>
        <v/>
      </c>
      <c r="V1581" s="99"/>
    </row>
    <row r="1582" spans="1:22">
      <c r="A1582" s="92"/>
      <c r="B1582" s="141" t="s">
        <v>380</v>
      </c>
      <c r="C1582" s="143"/>
      <c r="D1582" s="142"/>
      <c r="E1582" s="144"/>
      <c r="F1582" s="139"/>
      <c r="G1582" s="98">
        <v>10</v>
      </c>
      <c r="H1582" s="99">
        <v>2</v>
      </c>
      <c r="I1582" s="99">
        <v>8</v>
      </c>
      <c r="J1582" s="109">
        <f>D1580</f>
        <v>1.68</v>
      </c>
      <c r="K1582" s="110" t="str">
        <f t="shared" si="291"/>
        <v>0</v>
      </c>
      <c r="L1582" s="111">
        <v>0</v>
      </c>
      <c r="M1582" s="99">
        <f t="shared" si="292"/>
        <v>0</v>
      </c>
      <c r="N1582" s="112">
        <f>J1582+E1582-M1582</f>
        <v>1.68</v>
      </c>
      <c r="O1582" s="112">
        <f>H1582*I1582*N1582</f>
        <v>26.88</v>
      </c>
      <c r="P1582" s="140" t="str">
        <f t="shared" si="279"/>
        <v/>
      </c>
      <c r="Q1582" s="140">
        <f t="shared" si="280"/>
        <v>26.88</v>
      </c>
      <c r="R1582" s="140" t="str">
        <f t="shared" si="281"/>
        <v/>
      </c>
      <c r="S1582" s="140" t="str">
        <f t="shared" si="282"/>
        <v/>
      </c>
      <c r="T1582" s="140" t="str">
        <f t="shared" si="283"/>
        <v/>
      </c>
      <c r="U1582" s="140" t="str">
        <f t="shared" si="284"/>
        <v/>
      </c>
      <c r="V1582" s="99"/>
    </row>
    <row r="1583" spans="1:22">
      <c r="A1583" s="92"/>
      <c r="B1583" s="141"/>
      <c r="C1583" s="136"/>
      <c r="D1583" s="137"/>
      <c r="E1583" s="138"/>
      <c r="F1583" s="139"/>
      <c r="G1583" s="98"/>
      <c r="H1583" s="99"/>
      <c r="I1583" s="99"/>
      <c r="J1583" s="109"/>
      <c r="K1583" s="110"/>
      <c r="L1583" s="111"/>
      <c r="M1583" s="99"/>
      <c r="N1583" s="112"/>
      <c r="O1583" s="112"/>
      <c r="P1583" s="140" t="str">
        <f t="shared" si="279"/>
        <v/>
      </c>
      <c r="Q1583" s="140" t="str">
        <f t="shared" si="280"/>
        <v/>
      </c>
      <c r="R1583" s="140" t="str">
        <f t="shared" si="281"/>
        <v/>
      </c>
      <c r="S1583" s="140" t="str">
        <f t="shared" si="282"/>
        <v/>
      </c>
      <c r="T1583" s="140" t="str">
        <f t="shared" si="283"/>
        <v/>
      </c>
      <c r="U1583" s="140" t="str">
        <f t="shared" si="284"/>
        <v/>
      </c>
      <c r="V1583" s="99"/>
    </row>
    <row r="1584" spans="1:22">
      <c r="A1584" s="92"/>
      <c r="B1584" s="141"/>
      <c r="C1584" s="136"/>
      <c r="D1584" s="137"/>
      <c r="E1584" s="138"/>
      <c r="F1584" s="139"/>
      <c r="G1584" s="98"/>
      <c r="H1584" s="99"/>
      <c r="I1584" s="99"/>
      <c r="J1584" s="100"/>
      <c r="K1584" s="99"/>
      <c r="L1584" s="99"/>
      <c r="M1584" s="99"/>
      <c r="N1584" s="99"/>
      <c r="O1584" s="101"/>
      <c r="P1584" s="140" t="str">
        <f t="shared" si="279"/>
        <v/>
      </c>
      <c r="Q1584" s="140" t="str">
        <f t="shared" si="280"/>
        <v/>
      </c>
      <c r="R1584" s="140" t="str">
        <f t="shared" si="281"/>
        <v/>
      </c>
      <c r="S1584" s="140" t="str">
        <f t="shared" si="282"/>
        <v/>
      </c>
      <c r="T1584" s="140" t="str">
        <f t="shared" si="283"/>
        <v/>
      </c>
      <c r="U1584" s="140" t="str">
        <f t="shared" si="284"/>
        <v/>
      </c>
      <c r="V1584" s="99"/>
    </row>
    <row r="1585" spans="1:22">
      <c r="A1585" s="92"/>
      <c r="B1585" s="92"/>
      <c r="C1585" s="145">
        <v>0.08</v>
      </c>
      <c r="D1585" s="137"/>
      <c r="E1585" s="138"/>
      <c r="F1585" s="139"/>
      <c r="G1585" s="98"/>
      <c r="H1585" s="99"/>
      <c r="I1585" s="99"/>
      <c r="J1585" s="100"/>
      <c r="K1585" s="99"/>
      <c r="L1585" s="99"/>
      <c r="M1585" s="99"/>
      <c r="N1585" s="99"/>
      <c r="O1585" s="101"/>
      <c r="P1585" s="140" t="str">
        <f t="shared" si="279"/>
        <v/>
      </c>
      <c r="Q1585" s="140" t="str">
        <f t="shared" si="280"/>
        <v/>
      </c>
      <c r="R1585" s="140" t="str">
        <f t="shared" si="281"/>
        <v/>
      </c>
      <c r="S1585" s="140" t="str">
        <f t="shared" si="282"/>
        <v/>
      </c>
      <c r="T1585" s="140" t="str">
        <f t="shared" si="283"/>
        <v/>
      </c>
      <c r="U1585" s="140" t="str">
        <f t="shared" si="284"/>
        <v/>
      </c>
      <c r="V1585" s="99"/>
    </row>
    <row r="1586" spans="1:22">
      <c r="A1586" s="92"/>
      <c r="B1586" s="146" t="s">
        <v>647</v>
      </c>
      <c r="C1586" s="147"/>
      <c r="D1586" s="137"/>
      <c r="E1586" s="148">
        <f>0.65-0.05</f>
        <v>0.6</v>
      </c>
      <c r="F1586" s="139"/>
      <c r="G1586" s="98">
        <v>8</v>
      </c>
      <c r="H1586" s="99">
        <v>2</v>
      </c>
      <c r="I1586" s="111">
        <f>(1.68/0.1)+1</f>
        <v>17.799999999999997</v>
      </c>
      <c r="J1586" s="149">
        <f>2*(D1588+E1586)+2*8*G1586/1000</f>
        <v>1.6880000000000002</v>
      </c>
      <c r="K1586" s="99"/>
      <c r="L1586" s="99">
        <v>5</v>
      </c>
      <c r="M1586" s="112">
        <f>2*G1586*L1586/1000</f>
        <v>0.08</v>
      </c>
      <c r="N1586" s="112">
        <f>(J1586+K1586-M1586)</f>
        <v>1.6080000000000001</v>
      </c>
      <c r="O1586" s="112">
        <f>(H1586*I1586*N1586)</f>
        <v>57.244799999999991</v>
      </c>
      <c r="P1586" s="140">
        <f t="shared" si="279"/>
        <v>57.244799999999991</v>
      </c>
      <c r="Q1586" s="140" t="str">
        <f t="shared" si="280"/>
        <v/>
      </c>
      <c r="R1586" s="140" t="str">
        <f t="shared" si="281"/>
        <v/>
      </c>
      <c r="S1586" s="140" t="str">
        <f t="shared" si="282"/>
        <v/>
      </c>
      <c r="T1586" s="140" t="str">
        <f t="shared" si="283"/>
        <v/>
      </c>
      <c r="U1586" s="140" t="str">
        <f t="shared" si="284"/>
        <v/>
      </c>
      <c r="V1586" s="99"/>
    </row>
    <row r="1587" spans="1:22">
      <c r="A1587" s="92"/>
      <c r="B1587" s="146"/>
      <c r="C1587" s="136"/>
      <c r="D1587" s="137"/>
      <c r="E1587" s="150"/>
      <c r="F1587" s="139"/>
      <c r="G1587" s="98"/>
      <c r="H1587" s="99"/>
      <c r="I1587" s="99"/>
      <c r="J1587" s="100"/>
      <c r="K1587" s="99"/>
      <c r="L1587" s="99"/>
      <c r="M1587" s="99"/>
      <c r="N1587" s="99"/>
      <c r="O1587" s="112"/>
      <c r="P1587" s="140" t="str">
        <f t="shared" si="279"/>
        <v/>
      </c>
      <c r="Q1587" s="140" t="str">
        <f t="shared" si="280"/>
        <v/>
      </c>
      <c r="R1587" s="140" t="str">
        <f t="shared" si="281"/>
        <v/>
      </c>
      <c r="S1587" s="140" t="str">
        <f t="shared" si="282"/>
        <v/>
      </c>
      <c r="T1587" s="140" t="str">
        <f t="shared" si="283"/>
        <v/>
      </c>
      <c r="U1587" s="140" t="str">
        <f t="shared" si="284"/>
        <v/>
      </c>
      <c r="V1587" s="99"/>
    </row>
    <row r="1588" spans="1:22">
      <c r="A1588" s="92"/>
      <c r="B1588" s="146"/>
      <c r="C1588" s="136"/>
      <c r="D1588" s="109">
        <f>0.23-0.05</f>
        <v>0.18</v>
      </c>
      <c r="E1588" s="138"/>
      <c r="F1588" s="139"/>
      <c r="G1588" s="98"/>
      <c r="H1588" s="99"/>
      <c r="I1588" s="99"/>
      <c r="J1588" s="100"/>
      <c r="K1588" s="99"/>
      <c r="L1588" s="99"/>
      <c r="M1588" s="99"/>
      <c r="N1588" s="99"/>
      <c r="O1588" s="112"/>
      <c r="P1588" s="140" t="str">
        <f t="shared" si="279"/>
        <v/>
      </c>
      <c r="Q1588" s="140" t="str">
        <f t="shared" si="280"/>
        <v/>
      </c>
      <c r="R1588" s="140" t="str">
        <f t="shared" si="281"/>
        <v/>
      </c>
      <c r="S1588" s="140" t="str">
        <f t="shared" si="282"/>
        <v/>
      </c>
      <c r="T1588" s="140" t="str">
        <f t="shared" si="283"/>
        <v/>
      </c>
      <c r="U1588" s="140" t="str">
        <f t="shared" si="284"/>
        <v/>
      </c>
      <c r="V1588" s="99"/>
    </row>
    <row r="1589" spans="1:22">
      <c r="A1589" s="92"/>
      <c r="B1589" s="141"/>
      <c r="C1589" s="136"/>
      <c r="D1589" s="137"/>
      <c r="E1589" s="138"/>
      <c r="F1589" s="139"/>
      <c r="G1589" s="98"/>
      <c r="H1589" s="99"/>
      <c r="I1589" s="99"/>
      <c r="J1589" s="100"/>
      <c r="K1589" s="99"/>
      <c r="L1589" s="99"/>
      <c r="M1589" s="99"/>
      <c r="N1589" s="99"/>
      <c r="O1589" s="101"/>
      <c r="P1589" s="140" t="str">
        <f>IF($G1589=8,$O1589,"")</f>
        <v/>
      </c>
      <c r="Q1589" s="140" t="str">
        <f>IF($G1589=10,$O1589,"")</f>
        <v/>
      </c>
      <c r="R1589" s="140" t="str">
        <f>IF($G1589=12,$O1589,"")</f>
        <v/>
      </c>
      <c r="S1589" s="140" t="str">
        <f>IF($G1589=16,$O1589,"")</f>
        <v/>
      </c>
      <c r="T1589" s="140" t="str">
        <f>IF($G1589=20,$O1589,"")</f>
        <v/>
      </c>
      <c r="U1589" s="140" t="str">
        <f>IF($G1589=25,$O1589,"")</f>
        <v/>
      </c>
      <c r="V1589" s="99"/>
    </row>
    <row r="1590" spans="1:22">
      <c r="A1590" s="92"/>
      <c r="B1590" s="92"/>
      <c r="C1590" s="145">
        <v>0.08</v>
      </c>
      <c r="D1590" s="137"/>
      <c r="E1590" s="138"/>
      <c r="F1590" s="139"/>
      <c r="G1590" s="98"/>
      <c r="H1590" s="99"/>
      <c r="I1590" s="99"/>
      <c r="J1590" s="100"/>
      <c r="K1590" s="99"/>
      <c r="L1590" s="99"/>
      <c r="M1590" s="99"/>
      <c r="N1590" s="99"/>
      <c r="O1590" s="101"/>
      <c r="P1590" s="140" t="str">
        <f>IF($G1590=8,$O1590,"")</f>
        <v/>
      </c>
      <c r="Q1590" s="140" t="str">
        <f>IF($G1590=10,$O1590,"")</f>
        <v/>
      </c>
      <c r="R1590" s="140" t="str">
        <f>IF($G1590=12,$O1590,"")</f>
        <v/>
      </c>
      <c r="S1590" s="140" t="str">
        <f>IF($G1590=16,$O1590,"")</f>
        <v/>
      </c>
      <c r="T1590" s="140" t="str">
        <f>IF($G1590=20,$O1590,"")</f>
        <v/>
      </c>
      <c r="U1590" s="140" t="str">
        <f>IF($G1590=25,$O1590,"")</f>
        <v/>
      </c>
      <c r="V1590" s="99"/>
    </row>
    <row r="1591" spans="1:22">
      <c r="A1591" s="92"/>
      <c r="B1591" s="146" t="s">
        <v>649</v>
      </c>
      <c r="C1591" s="147"/>
      <c r="D1591" s="137"/>
      <c r="E1591" s="148">
        <f>((0.65-0.05-0.016)/5)*2+0.012+0.02</f>
        <v>0.2656</v>
      </c>
      <c r="F1591" s="139"/>
      <c r="G1591" s="98">
        <v>8</v>
      </c>
      <c r="H1591" s="99">
        <v>2</v>
      </c>
      <c r="I1591" s="111">
        <f>(1.68/0.1)+1</f>
        <v>17.799999999999997</v>
      </c>
      <c r="J1591" s="149">
        <f>2*(D1593+E1591)+2*8*G1591/1000</f>
        <v>1.0192000000000001</v>
      </c>
      <c r="K1591" s="99"/>
      <c r="L1591" s="99">
        <v>5</v>
      </c>
      <c r="M1591" s="112">
        <f>2*G1591*L1591/1000</f>
        <v>0.08</v>
      </c>
      <c r="N1591" s="112">
        <f>(J1591+K1591-M1591)</f>
        <v>0.93920000000000015</v>
      </c>
      <c r="O1591" s="112">
        <f>(H1591*I1591*N1591)</f>
        <v>33.435519999999997</v>
      </c>
      <c r="P1591" s="140">
        <f>IF($G1591=8,$O1591,"")</f>
        <v>33.435519999999997</v>
      </c>
      <c r="Q1591" s="140" t="str">
        <f>IF($G1591=10,$O1591,"")</f>
        <v/>
      </c>
      <c r="R1591" s="140" t="str">
        <f>IF($G1591=12,$O1591,"")</f>
        <v/>
      </c>
      <c r="S1591" s="140" t="str">
        <f>IF($G1591=16,$O1591,"")</f>
        <v/>
      </c>
      <c r="T1591" s="140" t="str">
        <f>IF($G1591=20,$O1591,"")</f>
        <v/>
      </c>
      <c r="U1591" s="140" t="str">
        <f>IF($G1591=25,$O1591,"")</f>
        <v/>
      </c>
      <c r="V1591" s="99"/>
    </row>
    <row r="1592" spans="1:22">
      <c r="A1592" s="92"/>
      <c r="B1592" s="146"/>
      <c r="C1592" s="136"/>
      <c r="D1592" s="137"/>
      <c r="E1592" s="150"/>
      <c r="F1592" s="139"/>
      <c r="G1592" s="98"/>
      <c r="H1592" s="99"/>
      <c r="I1592" s="99"/>
      <c r="J1592" s="100"/>
      <c r="K1592" s="99"/>
      <c r="L1592" s="99"/>
      <c r="M1592" s="99"/>
      <c r="N1592" s="99"/>
      <c r="O1592" s="112"/>
      <c r="P1592" s="140" t="str">
        <f>IF($G1592=8,$O1592,"")</f>
        <v/>
      </c>
      <c r="Q1592" s="140" t="str">
        <f>IF($G1592=10,$O1592,"")</f>
        <v/>
      </c>
      <c r="R1592" s="140" t="str">
        <f>IF($G1592=12,$O1592,"")</f>
        <v/>
      </c>
      <c r="S1592" s="140" t="str">
        <f>IF($G1592=16,$O1592,"")</f>
        <v/>
      </c>
      <c r="T1592" s="140" t="str">
        <f>IF($G1592=20,$O1592,"")</f>
        <v/>
      </c>
      <c r="U1592" s="140" t="str">
        <f>IF($G1592=25,$O1592,"")</f>
        <v/>
      </c>
      <c r="V1592" s="99"/>
    </row>
    <row r="1593" spans="1:22">
      <c r="A1593" s="92"/>
      <c r="B1593" s="146"/>
      <c r="C1593" s="136"/>
      <c r="D1593" s="109">
        <f>0.23-0.05</f>
        <v>0.18</v>
      </c>
      <c r="E1593" s="138"/>
      <c r="F1593" s="139"/>
      <c r="G1593" s="98"/>
      <c r="H1593" s="99"/>
      <c r="I1593" s="99"/>
      <c r="J1593" s="100"/>
      <c r="K1593" s="99"/>
      <c r="L1593" s="99"/>
      <c r="M1593" s="99"/>
      <c r="N1593" s="99"/>
      <c r="O1593" s="112"/>
      <c r="P1593" s="140" t="str">
        <f>IF($G1593=8,$O1593,"")</f>
        <v/>
      </c>
      <c r="Q1593" s="140" t="str">
        <f>IF($G1593=10,$O1593,"")</f>
        <v/>
      </c>
      <c r="R1593" s="140" t="str">
        <f>IF($G1593=12,$O1593,"")</f>
        <v/>
      </c>
      <c r="S1593" s="140" t="str">
        <f>IF($G1593=16,$O1593,"")</f>
        <v/>
      </c>
      <c r="T1593" s="140" t="str">
        <f>IF($G1593=20,$O1593,"")</f>
        <v/>
      </c>
      <c r="U1593" s="140" t="str">
        <f>IF($G1593=25,$O1593,"")</f>
        <v/>
      </c>
      <c r="V1593" s="99"/>
    </row>
    <row r="1594" spans="1:22">
      <c r="A1594" s="92"/>
      <c r="B1594" s="141"/>
      <c r="C1594" s="136"/>
      <c r="D1594" s="137"/>
      <c r="E1594" s="138"/>
      <c r="F1594" s="139"/>
      <c r="G1594" s="98"/>
      <c r="H1594" s="99"/>
      <c r="I1594" s="99"/>
      <c r="J1594" s="100"/>
      <c r="K1594" s="99"/>
      <c r="L1594" s="99"/>
      <c r="M1594" s="99"/>
      <c r="N1594" s="99"/>
      <c r="O1594" s="101"/>
      <c r="P1594" s="140" t="str">
        <f t="shared" si="279"/>
        <v/>
      </c>
      <c r="Q1594" s="140" t="str">
        <f t="shared" si="280"/>
        <v/>
      </c>
      <c r="R1594" s="140" t="str">
        <f t="shared" si="281"/>
        <v/>
      </c>
      <c r="S1594" s="140" t="str">
        <f t="shared" si="282"/>
        <v/>
      </c>
      <c r="T1594" s="140" t="str">
        <f t="shared" si="283"/>
        <v/>
      </c>
      <c r="U1594" s="140" t="str">
        <f t="shared" si="284"/>
        <v/>
      </c>
      <c r="V1594" s="99"/>
    </row>
    <row r="1595" spans="1:22">
      <c r="A1595" s="92"/>
      <c r="B1595" s="141"/>
      <c r="C1595" s="136"/>
      <c r="D1595" s="137"/>
      <c r="E1595" s="144">
        <v>0.08</v>
      </c>
      <c r="F1595" s="139"/>
      <c r="G1595" s="98"/>
      <c r="H1595" s="99"/>
      <c r="I1595" s="99"/>
      <c r="J1595" s="100"/>
      <c r="K1595" s="99"/>
      <c r="L1595" s="99"/>
      <c r="M1595" s="99"/>
      <c r="N1595" s="99"/>
      <c r="O1595" s="101"/>
      <c r="P1595" s="140" t="str">
        <f t="shared" si="279"/>
        <v/>
      </c>
      <c r="Q1595" s="140" t="str">
        <f t="shared" si="280"/>
        <v/>
      </c>
      <c r="R1595" s="140" t="str">
        <f t="shared" si="281"/>
        <v/>
      </c>
      <c r="S1595" s="140" t="str">
        <f t="shared" si="282"/>
        <v/>
      </c>
      <c r="T1595" s="140" t="str">
        <f t="shared" si="283"/>
        <v/>
      </c>
      <c r="U1595" s="140" t="str">
        <f t="shared" si="284"/>
        <v/>
      </c>
      <c r="V1595" s="99"/>
    </row>
    <row r="1596" spans="1:22">
      <c r="A1596" s="92"/>
      <c r="B1596" s="146" t="s">
        <v>649</v>
      </c>
      <c r="C1596" s="136"/>
      <c r="D1596" s="142">
        <f>0.23-0.05</f>
        <v>0.18</v>
      </c>
      <c r="E1596" s="144"/>
      <c r="F1596" s="139"/>
      <c r="G1596" s="98">
        <v>8</v>
      </c>
      <c r="H1596" s="99">
        <v>2</v>
      </c>
      <c r="I1596" s="111">
        <f>(1.68/0.1)+1</f>
        <v>17.799999999999997</v>
      </c>
      <c r="J1596" s="149">
        <f>D1596+E1595+E1597</f>
        <v>0.34</v>
      </c>
      <c r="K1596" s="99"/>
      <c r="L1596" s="99">
        <v>2</v>
      </c>
      <c r="M1596" s="112">
        <f>2*G1596*L1596/1000</f>
        <v>3.2000000000000001E-2</v>
      </c>
      <c r="N1596" s="112">
        <f>(J1596+K1596-M1596)</f>
        <v>0.30800000000000005</v>
      </c>
      <c r="O1596" s="112">
        <f>(H1596*I1596*N1596)</f>
        <v>10.9648</v>
      </c>
      <c r="P1596" s="140">
        <f t="shared" si="279"/>
        <v>10.9648</v>
      </c>
      <c r="Q1596" s="140" t="str">
        <f t="shared" si="280"/>
        <v/>
      </c>
      <c r="R1596" s="140" t="str">
        <f t="shared" si="281"/>
        <v/>
      </c>
      <c r="S1596" s="140" t="str">
        <f t="shared" si="282"/>
        <v/>
      </c>
      <c r="T1596" s="140" t="str">
        <f t="shared" si="283"/>
        <v/>
      </c>
      <c r="U1596" s="140" t="str">
        <f t="shared" si="284"/>
        <v/>
      </c>
      <c r="V1596" s="99"/>
    </row>
    <row r="1597" spans="1:22">
      <c r="A1597" s="92"/>
      <c r="B1597" s="141"/>
      <c r="C1597" s="136"/>
      <c r="D1597" s="137"/>
      <c r="E1597" s="144">
        <v>0.08</v>
      </c>
      <c r="F1597" s="139"/>
      <c r="G1597" s="98"/>
      <c r="H1597" s="99"/>
      <c r="I1597" s="99"/>
      <c r="J1597" s="100"/>
      <c r="K1597" s="99"/>
      <c r="L1597" s="99"/>
      <c r="M1597" s="99"/>
      <c r="N1597" s="99"/>
      <c r="O1597" s="101"/>
      <c r="P1597" s="140" t="str">
        <f t="shared" si="279"/>
        <v/>
      </c>
      <c r="Q1597" s="140" t="str">
        <f t="shared" si="280"/>
        <v/>
      </c>
      <c r="R1597" s="140" t="str">
        <f t="shared" si="281"/>
        <v/>
      </c>
      <c r="S1597" s="140" t="str">
        <f t="shared" si="282"/>
        <v/>
      </c>
      <c r="T1597" s="140" t="str">
        <f t="shared" si="283"/>
        <v/>
      </c>
      <c r="U1597" s="140" t="str">
        <f t="shared" si="284"/>
        <v/>
      </c>
      <c r="V1597" s="99"/>
    </row>
    <row r="1598" spans="1:22">
      <c r="A1598" s="92"/>
      <c r="B1598" s="141"/>
      <c r="C1598" s="136"/>
      <c r="D1598" s="137"/>
      <c r="E1598" s="138"/>
      <c r="F1598" s="139"/>
      <c r="G1598" s="98"/>
      <c r="H1598" s="99"/>
      <c r="I1598" s="99"/>
      <c r="J1598" s="100"/>
      <c r="K1598" s="99"/>
      <c r="L1598" s="99"/>
      <c r="M1598" s="99"/>
      <c r="N1598" s="99"/>
      <c r="O1598" s="101"/>
      <c r="P1598" s="140" t="str">
        <f t="shared" si="279"/>
        <v/>
      </c>
      <c r="Q1598" s="140" t="str">
        <f t="shared" si="280"/>
        <v/>
      </c>
      <c r="R1598" s="140" t="str">
        <f t="shared" si="281"/>
        <v/>
      </c>
      <c r="S1598" s="140" t="str">
        <f t="shared" si="282"/>
        <v/>
      </c>
      <c r="T1598" s="140" t="str">
        <f t="shared" si="283"/>
        <v/>
      </c>
      <c r="U1598" s="140" t="str">
        <f t="shared" si="284"/>
        <v/>
      </c>
      <c r="V1598" s="99"/>
    </row>
    <row r="1599" spans="1:22">
      <c r="A1599" s="92"/>
      <c r="B1599" s="92"/>
      <c r="C1599" s="145">
        <v>0.08</v>
      </c>
      <c r="D1599" s="137"/>
      <c r="E1599" s="138"/>
      <c r="F1599" s="139"/>
      <c r="G1599" s="98"/>
      <c r="H1599" s="99"/>
      <c r="I1599" s="99"/>
      <c r="J1599" s="100"/>
      <c r="K1599" s="99"/>
      <c r="L1599" s="99"/>
      <c r="M1599" s="99"/>
      <c r="N1599" s="99"/>
      <c r="O1599" s="101"/>
      <c r="P1599" s="140" t="str">
        <f t="shared" si="279"/>
        <v/>
      </c>
      <c r="Q1599" s="140" t="str">
        <f t="shared" si="280"/>
        <v/>
      </c>
      <c r="R1599" s="140" t="str">
        <f t="shared" si="281"/>
        <v/>
      </c>
      <c r="S1599" s="140" t="str">
        <f t="shared" si="282"/>
        <v/>
      </c>
      <c r="T1599" s="140" t="str">
        <f t="shared" si="283"/>
        <v/>
      </c>
      <c r="U1599" s="140" t="str">
        <f t="shared" si="284"/>
        <v/>
      </c>
      <c r="V1599" s="99"/>
    </row>
    <row r="1600" spans="1:22">
      <c r="A1600" s="92"/>
      <c r="B1600" s="146" t="s">
        <v>647</v>
      </c>
      <c r="C1600" s="147"/>
      <c r="D1600" s="137"/>
      <c r="E1600" s="148">
        <f>0.4-0.025+0.008+0.008</f>
        <v>0.39100000000000001</v>
      </c>
      <c r="F1600" s="139"/>
      <c r="G1600" s="98">
        <v>8</v>
      </c>
      <c r="H1600" s="99">
        <v>2</v>
      </c>
      <c r="I1600" s="111">
        <f>2*((1.68/0.1)+1)</f>
        <v>35.599999999999994</v>
      </c>
      <c r="J1600" s="149">
        <f>2*(D1602+E1600)+2*8*G1600/1000</f>
        <v>1.27</v>
      </c>
      <c r="K1600" s="99"/>
      <c r="L1600" s="99">
        <v>5</v>
      </c>
      <c r="M1600" s="112">
        <f>2*G1600*L1600/1000</f>
        <v>0.08</v>
      </c>
      <c r="N1600" s="112">
        <f>(J1600+K1600-M1600)</f>
        <v>1.19</v>
      </c>
      <c r="O1600" s="112">
        <f>(H1600*I1600*N1600)</f>
        <v>84.72799999999998</v>
      </c>
      <c r="P1600" s="140">
        <f t="shared" si="279"/>
        <v>84.72799999999998</v>
      </c>
      <c r="Q1600" s="140" t="str">
        <f t="shared" si="280"/>
        <v/>
      </c>
      <c r="R1600" s="140" t="str">
        <f t="shared" si="281"/>
        <v/>
      </c>
      <c r="S1600" s="140" t="str">
        <f t="shared" si="282"/>
        <v/>
      </c>
      <c r="T1600" s="140" t="str">
        <f t="shared" si="283"/>
        <v/>
      </c>
      <c r="U1600" s="140" t="str">
        <f t="shared" si="284"/>
        <v/>
      </c>
      <c r="V1600" s="99"/>
    </row>
    <row r="1601" spans="1:22">
      <c r="A1601" s="92"/>
      <c r="B1601" s="146"/>
      <c r="C1601" s="136"/>
      <c r="D1601" s="137"/>
      <c r="E1601" s="150"/>
      <c r="F1601" s="139"/>
      <c r="G1601" s="98"/>
      <c r="H1601" s="99"/>
      <c r="I1601" s="99"/>
      <c r="J1601" s="100"/>
      <c r="K1601" s="99"/>
      <c r="L1601" s="99"/>
      <c r="M1601" s="99"/>
      <c r="N1601" s="99"/>
      <c r="O1601" s="112"/>
      <c r="P1601" s="140" t="str">
        <f t="shared" si="279"/>
        <v/>
      </c>
      <c r="Q1601" s="140" t="str">
        <f t="shared" si="280"/>
        <v/>
      </c>
      <c r="R1601" s="140" t="str">
        <f t="shared" si="281"/>
        <v/>
      </c>
      <c r="S1601" s="140" t="str">
        <f t="shared" si="282"/>
        <v/>
      </c>
      <c r="T1601" s="140" t="str">
        <f t="shared" si="283"/>
        <v/>
      </c>
      <c r="U1601" s="140" t="str">
        <f t="shared" si="284"/>
        <v/>
      </c>
      <c r="V1601" s="99"/>
    </row>
    <row r="1602" spans="1:22">
      <c r="A1602" s="92"/>
      <c r="B1602" s="146"/>
      <c r="C1602" s="136"/>
      <c r="D1602" s="109">
        <f>0.23-0.05</f>
        <v>0.18</v>
      </c>
      <c r="E1602" s="138"/>
      <c r="F1602" s="139"/>
      <c r="G1602" s="98"/>
      <c r="H1602" s="99"/>
      <c r="I1602" s="99"/>
      <c r="J1602" s="100"/>
      <c r="K1602" s="99"/>
      <c r="L1602" s="99"/>
      <c r="M1602" s="99"/>
      <c r="N1602" s="99"/>
      <c r="O1602" s="112"/>
      <c r="P1602" s="140" t="str">
        <f t="shared" si="279"/>
        <v/>
      </c>
      <c r="Q1602" s="140" t="str">
        <f t="shared" si="280"/>
        <v/>
      </c>
      <c r="R1602" s="140" t="str">
        <f t="shared" si="281"/>
        <v/>
      </c>
      <c r="S1602" s="140" t="str">
        <f t="shared" si="282"/>
        <v/>
      </c>
      <c r="T1602" s="140" t="str">
        <f t="shared" si="283"/>
        <v/>
      </c>
      <c r="U1602" s="140" t="str">
        <f t="shared" si="284"/>
        <v/>
      </c>
      <c r="V1602" s="99"/>
    </row>
    <row r="1603" spans="1:22">
      <c r="A1603" s="92"/>
      <c r="B1603" s="141"/>
      <c r="C1603" s="136"/>
      <c r="D1603" s="137"/>
      <c r="E1603" s="138"/>
      <c r="F1603" s="139"/>
      <c r="G1603" s="98"/>
      <c r="H1603" s="99"/>
      <c r="I1603" s="99"/>
      <c r="J1603" s="100"/>
      <c r="K1603" s="99"/>
      <c r="L1603" s="99"/>
      <c r="M1603" s="99"/>
      <c r="N1603" s="99"/>
      <c r="O1603" s="101"/>
      <c r="P1603" s="140" t="str">
        <f t="shared" si="279"/>
        <v/>
      </c>
      <c r="Q1603" s="140" t="str">
        <f t="shared" si="280"/>
        <v/>
      </c>
      <c r="R1603" s="140" t="str">
        <f t="shared" si="281"/>
        <v/>
      </c>
      <c r="S1603" s="140" t="str">
        <f t="shared" si="282"/>
        <v/>
      </c>
      <c r="T1603" s="140" t="str">
        <f t="shared" si="283"/>
        <v/>
      </c>
      <c r="U1603" s="140" t="str">
        <f t="shared" si="284"/>
        <v/>
      </c>
      <c r="V1603" s="99"/>
    </row>
    <row r="1604" spans="1:22">
      <c r="A1604" s="92"/>
      <c r="B1604" s="141"/>
      <c r="C1604" s="136"/>
      <c r="D1604" s="137"/>
      <c r="E1604" s="144">
        <v>0.08</v>
      </c>
      <c r="F1604" s="139"/>
      <c r="G1604" s="98"/>
      <c r="H1604" s="99"/>
      <c r="I1604" s="99"/>
      <c r="J1604" s="100"/>
      <c r="K1604" s="99"/>
      <c r="L1604" s="99"/>
      <c r="M1604" s="99"/>
      <c r="N1604" s="99"/>
      <c r="O1604" s="101"/>
      <c r="P1604" s="140" t="str">
        <f t="shared" si="279"/>
        <v/>
      </c>
      <c r="Q1604" s="140" t="str">
        <f t="shared" si="280"/>
        <v/>
      </c>
      <c r="R1604" s="140" t="str">
        <f t="shared" si="281"/>
        <v/>
      </c>
      <c r="S1604" s="140" t="str">
        <f t="shared" si="282"/>
        <v/>
      </c>
      <c r="T1604" s="140" t="str">
        <f t="shared" si="283"/>
        <v/>
      </c>
      <c r="U1604" s="140" t="str">
        <f t="shared" si="284"/>
        <v/>
      </c>
      <c r="V1604" s="99"/>
    </row>
    <row r="1605" spans="1:22">
      <c r="A1605" s="92"/>
      <c r="B1605" s="146" t="s">
        <v>649</v>
      </c>
      <c r="C1605" s="136"/>
      <c r="D1605" s="142">
        <f>0.23-0.05</f>
        <v>0.18</v>
      </c>
      <c r="E1605" s="144"/>
      <c r="F1605" s="139"/>
      <c r="G1605" s="98">
        <v>8</v>
      </c>
      <c r="H1605" s="99">
        <v>2</v>
      </c>
      <c r="I1605" s="111">
        <f>2*((1.68/0.1)+1)</f>
        <v>35.599999999999994</v>
      </c>
      <c r="J1605" s="149">
        <f>D1605+E1604+E1606</f>
        <v>0.34</v>
      </c>
      <c r="K1605" s="99"/>
      <c r="L1605" s="99">
        <v>2</v>
      </c>
      <c r="M1605" s="112">
        <f>2*G1605*L1605/1000</f>
        <v>3.2000000000000001E-2</v>
      </c>
      <c r="N1605" s="112">
        <f>(J1605+K1605-M1605)</f>
        <v>0.30800000000000005</v>
      </c>
      <c r="O1605" s="112">
        <f>(H1605*I1605*N1605)</f>
        <v>21.929600000000001</v>
      </c>
      <c r="P1605" s="140">
        <f t="shared" si="279"/>
        <v>21.929600000000001</v>
      </c>
      <c r="Q1605" s="140" t="str">
        <f t="shared" si="280"/>
        <v/>
      </c>
      <c r="R1605" s="140" t="str">
        <f t="shared" si="281"/>
        <v/>
      </c>
      <c r="S1605" s="140" t="str">
        <f t="shared" si="282"/>
        <v/>
      </c>
      <c r="T1605" s="140" t="str">
        <f t="shared" si="283"/>
        <v/>
      </c>
      <c r="U1605" s="140" t="str">
        <f t="shared" si="284"/>
        <v/>
      </c>
      <c r="V1605" s="99"/>
    </row>
    <row r="1606" spans="1:22">
      <c r="A1606" s="92"/>
      <c r="B1606" s="141"/>
      <c r="C1606" s="136"/>
      <c r="D1606" s="137"/>
      <c r="E1606" s="144">
        <v>0.08</v>
      </c>
      <c r="F1606" s="139"/>
      <c r="G1606" s="98"/>
      <c r="H1606" s="99"/>
      <c r="I1606" s="99"/>
      <c r="J1606" s="100"/>
      <c r="K1606" s="99"/>
      <c r="L1606" s="99"/>
      <c r="M1606" s="99"/>
      <c r="N1606" s="99"/>
      <c r="O1606" s="101"/>
      <c r="P1606" s="140" t="str">
        <f t="shared" si="279"/>
        <v/>
      </c>
      <c r="Q1606" s="140" t="str">
        <f t="shared" si="280"/>
        <v/>
      </c>
      <c r="R1606" s="140" t="str">
        <f t="shared" si="281"/>
        <v/>
      </c>
      <c r="S1606" s="140" t="str">
        <f t="shared" si="282"/>
        <v/>
      </c>
      <c r="T1606" s="140" t="str">
        <f t="shared" si="283"/>
        <v/>
      </c>
      <c r="U1606" s="140" t="str">
        <f t="shared" si="284"/>
        <v/>
      </c>
      <c r="V1606" s="99"/>
    </row>
    <row r="1607" spans="1:22">
      <c r="A1607" s="92"/>
      <c r="B1607" s="141"/>
      <c r="C1607" s="136"/>
      <c r="D1607" s="137"/>
      <c r="E1607" s="138"/>
      <c r="F1607" s="139"/>
      <c r="G1607" s="98"/>
      <c r="H1607" s="99"/>
      <c r="I1607" s="99"/>
      <c r="J1607" s="100"/>
      <c r="K1607" s="99"/>
      <c r="L1607" s="99"/>
      <c r="M1607" s="99"/>
      <c r="N1607" s="99"/>
      <c r="O1607" s="112"/>
      <c r="P1607" s="140" t="str">
        <f t="shared" si="279"/>
        <v/>
      </c>
      <c r="Q1607" s="140" t="str">
        <f t="shared" si="280"/>
        <v/>
      </c>
      <c r="R1607" s="140" t="str">
        <f t="shared" si="281"/>
        <v/>
      </c>
      <c r="S1607" s="140" t="str">
        <f t="shared" si="282"/>
        <v/>
      </c>
      <c r="T1607" s="140" t="str">
        <f t="shared" si="283"/>
        <v/>
      </c>
      <c r="U1607" s="140" t="str">
        <f t="shared" si="284"/>
        <v/>
      </c>
      <c r="V1607" s="99"/>
    </row>
    <row r="1608" spans="1:22">
      <c r="A1608" s="92"/>
      <c r="B1608" s="92"/>
      <c r="C1608" s="145">
        <v>0.08</v>
      </c>
      <c r="D1608" s="137"/>
      <c r="E1608" s="138"/>
      <c r="F1608" s="139"/>
      <c r="G1608" s="98"/>
      <c r="H1608" s="99"/>
      <c r="I1608" s="99"/>
      <c r="J1608" s="100"/>
      <c r="K1608" s="99"/>
      <c r="L1608" s="99"/>
      <c r="M1608" s="99"/>
      <c r="N1608" s="99"/>
      <c r="O1608" s="112"/>
      <c r="P1608" s="140" t="str">
        <f t="shared" si="279"/>
        <v/>
      </c>
      <c r="Q1608" s="140" t="str">
        <f t="shared" si="280"/>
        <v/>
      </c>
      <c r="R1608" s="140" t="str">
        <f t="shared" si="281"/>
        <v/>
      </c>
      <c r="S1608" s="140" t="str">
        <f t="shared" si="282"/>
        <v/>
      </c>
      <c r="T1608" s="140" t="str">
        <f t="shared" si="283"/>
        <v/>
      </c>
      <c r="U1608" s="140" t="str">
        <f t="shared" si="284"/>
        <v/>
      </c>
      <c r="V1608" s="99"/>
    </row>
    <row r="1609" spans="1:22">
      <c r="A1609" s="92"/>
      <c r="B1609" s="146" t="s">
        <v>648</v>
      </c>
      <c r="C1609" s="147"/>
      <c r="D1609" s="137"/>
      <c r="E1609" s="148">
        <f>1.535-0.4-0.4+2*0.008+2*0.008</f>
        <v>0.76699999999999979</v>
      </c>
      <c r="F1609" s="139"/>
      <c r="G1609" s="98">
        <v>8</v>
      </c>
      <c r="H1609" s="99">
        <v>2</v>
      </c>
      <c r="I1609" s="111">
        <f>(1.68/0.2)+1</f>
        <v>9.3999999999999986</v>
      </c>
      <c r="J1609" s="149">
        <f>2*(D1611+E1609)+2*8*G1609/1000</f>
        <v>2.0219999999999998</v>
      </c>
      <c r="K1609" s="99"/>
      <c r="L1609" s="99">
        <v>5</v>
      </c>
      <c r="M1609" s="112">
        <f>2*G1609*L1609/1000</f>
        <v>0.08</v>
      </c>
      <c r="N1609" s="112">
        <f>(J1609+K1609-M1609)</f>
        <v>1.9419999999999997</v>
      </c>
      <c r="O1609" s="112">
        <f>(H1609*I1609*N1609)</f>
        <v>36.509599999999992</v>
      </c>
      <c r="P1609" s="140">
        <f t="shared" si="279"/>
        <v>36.509599999999992</v>
      </c>
      <c r="Q1609" s="140" t="str">
        <f t="shared" si="280"/>
        <v/>
      </c>
      <c r="R1609" s="140" t="str">
        <f t="shared" si="281"/>
        <v/>
      </c>
      <c r="S1609" s="140" t="str">
        <f t="shared" si="282"/>
        <v/>
      </c>
      <c r="T1609" s="140" t="str">
        <f t="shared" si="283"/>
        <v/>
      </c>
      <c r="U1609" s="140" t="str">
        <f t="shared" si="284"/>
        <v/>
      </c>
      <c r="V1609" s="99"/>
    </row>
    <row r="1610" spans="1:22">
      <c r="A1610" s="92"/>
      <c r="B1610" s="146"/>
      <c r="C1610" s="136"/>
      <c r="D1610" s="137"/>
      <c r="E1610" s="150"/>
      <c r="F1610" s="139"/>
      <c r="G1610" s="98"/>
      <c r="H1610" s="99"/>
      <c r="I1610" s="99"/>
      <c r="J1610" s="100"/>
      <c r="K1610" s="99"/>
      <c r="L1610" s="99"/>
      <c r="M1610" s="99"/>
      <c r="N1610" s="99"/>
      <c r="O1610" s="112"/>
      <c r="P1610" s="140" t="str">
        <f t="shared" si="279"/>
        <v/>
      </c>
      <c r="Q1610" s="140" t="str">
        <f t="shared" si="280"/>
        <v/>
      </c>
      <c r="R1610" s="140" t="str">
        <f t="shared" si="281"/>
        <v/>
      </c>
      <c r="S1610" s="140" t="str">
        <f t="shared" si="282"/>
        <v/>
      </c>
      <c r="T1610" s="140" t="str">
        <f t="shared" si="283"/>
        <v/>
      </c>
      <c r="U1610" s="140" t="str">
        <f t="shared" si="284"/>
        <v/>
      </c>
      <c r="V1610" s="99"/>
    </row>
    <row r="1611" spans="1:22">
      <c r="A1611" s="92"/>
      <c r="B1611" s="146"/>
      <c r="C1611" s="136"/>
      <c r="D1611" s="109">
        <f>0.23-0.05</f>
        <v>0.18</v>
      </c>
      <c r="E1611" s="138"/>
      <c r="F1611" s="139"/>
      <c r="G1611" s="98"/>
      <c r="H1611" s="99"/>
      <c r="I1611" s="99"/>
      <c r="J1611" s="100"/>
      <c r="K1611" s="99"/>
      <c r="L1611" s="99"/>
      <c r="M1611" s="99"/>
      <c r="N1611" s="99"/>
      <c r="O1611" s="112"/>
      <c r="P1611" s="140" t="str">
        <f t="shared" si="279"/>
        <v/>
      </c>
      <c r="Q1611" s="140" t="str">
        <f t="shared" si="280"/>
        <v/>
      </c>
      <c r="R1611" s="140" t="str">
        <f t="shared" si="281"/>
        <v/>
      </c>
      <c r="S1611" s="140" t="str">
        <f t="shared" si="282"/>
        <v/>
      </c>
      <c r="T1611" s="140" t="str">
        <f t="shared" si="283"/>
        <v/>
      </c>
      <c r="U1611" s="140" t="str">
        <f t="shared" si="284"/>
        <v/>
      </c>
      <c r="V1611" s="99"/>
    </row>
    <row r="1612" spans="1:22">
      <c r="A1612" s="92"/>
      <c r="B1612" s="141"/>
      <c r="C1612" s="136"/>
      <c r="D1612" s="137"/>
      <c r="E1612" s="138"/>
      <c r="F1612" s="139"/>
      <c r="G1612" s="98"/>
      <c r="H1612" s="99"/>
      <c r="I1612" s="99"/>
      <c r="J1612" s="100"/>
      <c r="K1612" s="99"/>
      <c r="L1612" s="99"/>
      <c r="M1612" s="99"/>
      <c r="N1612" s="99"/>
      <c r="O1612" s="101"/>
      <c r="P1612" s="140" t="str">
        <f t="shared" si="279"/>
        <v/>
      </c>
      <c r="Q1612" s="140" t="str">
        <f t="shared" si="280"/>
        <v/>
      </c>
      <c r="R1612" s="140" t="str">
        <f t="shared" si="281"/>
        <v/>
      </c>
      <c r="S1612" s="140" t="str">
        <f t="shared" si="282"/>
        <v/>
      </c>
      <c r="T1612" s="140" t="str">
        <f t="shared" si="283"/>
        <v/>
      </c>
      <c r="U1612" s="140" t="str">
        <f t="shared" si="284"/>
        <v/>
      </c>
      <c r="V1612" s="99"/>
    </row>
    <row r="1613" spans="1:22">
      <c r="A1613" s="92"/>
      <c r="B1613" s="141"/>
      <c r="C1613" s="136"/>
      <c r="D1613" s="137"/>
      <c r="E1613" s="144">
        <v>0.08</v>
      </c>
      <c r="F1613" s="139"/>
      <c r="G1613" s="98"/>
      <c r="H1613" s="99"/>
      <c r="I1613" s="99"/>
      <c r="J1613" s="100"/>
      <c r="K1613" s="99"/>
      <c r="L1613" s="99"/>
      <c r="M1613" s="99"/>
      <c r="N1613" s="99"/>
      <c r="O1613" s="101"/>
      <c r="P1613" s="140" t="str">
        <f t="shared" si="279"/>
        <v/>
      </c>
      <c r="Q1613" s="140" t="str">
        <f t="shared" si="280"/>
        <v/>
      </c>
      <c r="R1613" s="140" t="str">
        <f t="shared" si="281"/>
        <v/>
      </c>
      <c r="S1613" s="140" t="str">
        <f t="shared" si="282"/>
        <v/>
      </c>
      <c r="T1613" s="140" t="str">
        <f t="shared" si="283"/>
        <v/>
      </c>
      <c r="U1613" s="140" t="str">
        <f t="shared" si="284"/>
        <v/>
      </c>
      <c r="V1613" s="99"/>
    </row>
    <row r="1614" spans="1:22">
      <c r="A1614" s="92"/>
      <c r="B1614" s="146" t="s">
        <v>650</v>
      </c>
      <c r="C1614" s="136"/>
      <c r="D1614" s="142">
        <f>0.23-0.05</f>
        <v>0.18</v>
      </c>
      <c r="E1614" s="144"/>
      <c r="F1614" s="139"/>
      <c r="G1614" s="98">
        <v>8</v>
      </c>
      <c r="H1614" s="99">
        <v>2</v>
      </c>
      <c r="I1614" s="111">
        <f>2*((1.68/0.4)+1)</f>
        <v>10.399999999999999</v>
      </c>
      <c r="J1614" s="149">
        <f>D1614+E1613+E1615</f>
        <v>0.34</v>
      </c>
      <c r="K1614" s="99"/>
      <c r="L1614" s="99">
        <v>2</v>
      </c>
      <c r="M1614" s="112">
        <f>2*G1614*L1614/1000</f>
        <v>3.2000000000000001E-2</v>
      </c>
      <c r="N1614" s="112">
        <f>(J1614+K1614-M1614)</f>
        <v>0.30800000000000005</v>
      </c>
      <c r="O1614" s="112">
        <f>(H1614*I1614*N1614)</f>
        <v>6.4064000000000005</v>
      </c>
      <c r="P1614" s="140">
        <f t="shared" si="279"/>
        <v>6.4064000000000005</v>
      </c>
      <c r="Q1614" s="140" t="str">
        <f t="shared" si="280"/>
        <v/>
      </c>
      <c r="R1614" s="140" t="str">
        <f t="shared" si="281"/>
        <v/>
      </c>
      <c r="S1614" s="140" t="str">
        <f t="shared" si="282"/>
        <v/>
      </c>
      <c r="T1614" s="140" t="str">
        <f t="shared" si="283"/>
        <v/>
      </c>
      <c r="U1614" s="140" t="str">
        <f t="shared" si="284"/>
        <v/>
      </c>
      <c r="V1614" s="99"/>
    </row>
    <row r="1615" spans="1:22">
      <c r="A1615" s="92"/>
      <c r="B1615" s="141"/>
      <c r="C1615" s="136"/>
      <c r="D1615" s="137"/>
      <c r="E1615" s="144">
        <v>0.08</v>
      </c>
      <c r="F1615" s="139"/>
      <c r="G1615" s="98"/>
      <c r="H1615" s="99"/>
      <c r="I1615" s="99"/>
      <c r="J1615" s="100"/>
      <c r="K1615" s="99"/>
      <c r="L1615" s="99"/>
      <c r="M1615" s="99"/>
      <c r="N1615" s="99"/>
      <c r="O1615" s="101"/>
      <c r="P1615" s="140" t="str">
        <f t="shared" si="279"/>
        <v/>
      </c>
      <c r="Q1615" s="140" t="str">
        <f t="shared" si="280"/>
        <v/>
      </c>
      <c r="R1615" s="140" t="str">
        <f t="shared" si="281"/>
        <v/>
      </c>
      <c r="S1615" s="140" t="str">
        <f t="shared" si="282"/>
        <v/>
      </c>
      <c r="T1615" s="140" t="str">
        <f t="shared" si="283"/>
        <v/>
      </c>
      <c r="U1615" s="140" t="str">
        <f t="shared" si="284"/>
        <v/>
      </c>
      <c r="V1615" s="99"/>
    </row>
    <row r="1616" spans="1:22">
      <c r="A1616" s="92"/>
      <c r="B1616" s="146"/>
      <c r="C1616" s="136"/>
      <c r="D1616" s="152"/>
      <c r="E1616" s="138"/>
      <c r="F1616" s="139"/>
      <c r="G1616" s="98"/>
      <c r="H1616" s="99"/>
      <c r="I1616" s="99"/>
      <c r="J1616" s="100"/>
      <c r="K1616" s="99"/>
      <c r="L1616" s="99"/>
      <c r="M1616" s="99"/>
      <c r="N1616" s="99"/>
      <c r="O1616" s="101"/>
      <c r="P1616" s="140" t="str">
        <f t="shared" si="279"/>
        <v/>
      </c>
      <c r="Q1616" s="140" t="str">
        <f t="shared" si="280"/>
        <v/>
      </c>
      <c r="R1616" s="140" t="str">
        <f t="shared" si="281"/>
        <v/>
      </c>
      <c r="S1616" s="140" t="str">
        <f t="shared" si="282"/>
        <v/>
      </c>
      <c r="T1616" s="140" t="str">
        <f t="shared" si="283"/>
        <v/>
      </c>
      <c r="U1616" s="140" t="str">
        <f t="shared" si="284"/>
        <v/>
      </c>
      <c r="V1616" s="99"/>
    </row>
    <row r="1617" spans="1:22">
      <c r="A1617" s="92">
        <v>20</v>
      </c>
      <c r="B1617" s="92" t="s">
        <v>410</v>
      </c>
      <c r="C1617" s="136"/>
      <c r="D1617" s="137"/>
      <c r="E1617" s="138"/>
      <c r="F1617" s="139"/>
      <c r="G1617" s="98"/>
      <c r="H1617" s="99"/>
      <c r="I1617" s="99"/>
      <c r="J1617" s="109"/>
      <c r="K1617" s="112"/>
      <c r="L1617" s="112"/>
      <c r="M1617" s="99"/>
      <c r="N1617" s="112"/>
      <c r="O1617" s="112"/>
      <c r="P1617" s="140" t="str">
        <f>IF($G1617=8,$O1617,"")</f>
        <v/>
      </c>
      <c r="Q1617" s="140" t="str">
        <f>IF($G1617=10,$O1617,"")</f>
        <v/>
      </c>
      <c r="R1617" s="140" t="str">
        <f>IF($G1617=12,$O1617,"")</f>
        <v/>
      </c>
      <c r="S1617" s="140" t="str">
        <f>IF($G1617=16,$O1617,"")</f>
        <v/>
      </c>
      <c r="T1617" s="140" t="str">
        <f>IF($G1617=20,$O1617,"")</f>
        <v/>
      </c>
      <c r="U1617" s="140" t="str">
        <f>IF($G1617=25,$O1617,"")</f>
        <v/>
      </c>
      <c r="V1617" s="99"/>
    </row>
    <row r="1618" spans="1:22">
      <c r="A1618" s="92"/>
      <c r="B1618" s="141" t="s">
        <v>378</v>
      </c>
      <c r="C1618" s="136"/>
      <c r="D1618" s="142">
        <f>0.85-0.075-2*0.016</f>
        <v>0.74299999999999999</v>
      </c>
      <c r="E1618" s="138"/>
      <c r="F1618" s="139"/>
      <c r="G1618" s="98">
        <v>16</v>
      </c>
      <c r="H1618" s="99">
        <v>2</v>
      </c>
      <c r="I1618" s="99">
        <v>8</v>
      </c>
      <c r="J1618" s="109">
        <f>D1618</f>
        <v>0.74299999999999999</v>
      </c>
      <c r="K1618" s="110" t="str">
        <f>IF(N1618&lt;12,"0",0.049*G1618)</f>
        <v>0</v>
      </c>
      <c r="L1618" s="111">
        <v>0</v>
      </c>
      <c r="M1618" s="99">
        <f>2*G1618*L1618/1000</f>
        <v>0</v>
      </c>
      <c r="N1618" s="112">
        <f>J1618+E1620-M1618</f>
        <v>0.74299999999999999</v>
      </c>
      <c r="O1618" s="112">
        <f t="shared" ref="O1618:O1621" si="293">H1618*I1618*N1618</f>
        <v>11.888</v>
      </c>
      <c r="P1618" s="140" t="str">
        <f t="shared" si="279"/>
        <v/>
      </c>
      <c r="Q1618" s="140" t="str">
        <f t="shared" si="280"/>
        <v/>
      </c>
      <c r="R1618" s="140" t="str">
        <f t="shared" si="281"/>
        <v/>
      </c>
      <c r="S1618" s="140">
        <f t="shared" si="282"/>
        <v>11.888</v>
      </c>
      <c r="T1618" s="140" t="str">
        <f t="shared" si="283"/>
        <v/>
      </c>
      <c r="U1618" s="140" t="str">
        <f t="shared" si="284"/>
        <v/>
      </c>
      <c r="V1618" s="99"/>
    </row>
    <row r="1619" spans="1:22">
      <c r="A1619" s="92"/>
      <c r="B1619" s="141" t="s">
        <v>379</v>
      </c>
      <c r="C1619" s="136"/>
      <c r="D1619" s="137"/>
      <c r="E1619" s="138"/>
      <c r="F1619" s="139"/>
      <c r="G1619" s="98">
        <v>12</v>
      </c>
      <c r="H1619" s="99">
        <v>2</v>
      </c>
      <c r="I1619" s="99">
        <v>8</v>
      </c>
      <c r="J1619" s="109">
        <f>D1618</f>
        <v>0.74299999999999999</v>
      </c>
      <c r="K1619" s="110" t="str">
        <f t="shared" ref="K1619:K1621" si="294">IF(N1619&lt;12,"0",0.049*G1619)</f>
        <v>0</v>
      </c>
      <c r="L1619" s="111">
        <v>0</v>
      </c>
      <c r="M1619" s="99">
        <f t="shared" ref="M1619:M1621" si="295">2*G1619*L1619/1000</f>
        <v>0</v>
      </c>
      <c r="N1619" s="112">
        <f>J1619+E1620-M1619</f>
        <v>0.74299999999999999</v>
      </c>
      <c r="O1619" s="112">
        <f t="shared" si="293"/>
        <v>11.888</v>
      </c>
      <c r="P1619" s="140" t="str">
        <f t="shared" si="279"/>
        <v/>
      </c>
      <c r="Q1619" s="140" t="str">
        <f t="shared" si="280"/>
        <v/>
      </c>
      <c r="R1619" s="140">
        <f t="shared" si="281"/>
        <v>11.888</v>
      </c>
      <c r="S1619" s="140" t="str">
        <f t="shared" si="282"/>
        <v/>
      </c>
      <c r="T1619" s="140" t="str">
        <f t="shared" si="283"/>
        <v/>
      </c>
      <c r="U1619" s="140" t="str">
        <f t="shared" si="284"/>
        <v/>
      </c>
      <c r="V1619" s="99"/>
    </row>
    <row r="1620" spans="1:22">
      <c r="A1620" s="92"/>
      <c r="B1620" s="141" t="s">
        <v>380</v>
      </c>
      <c r="C1620" s="143"/>
      <c r="D1620" s="142"/>
      <c r="E1620" s="144"/>
      <c r="F1620" s="139"/>
      <c r="G1620" s="98">
        <v>12</v>
      </c>
      <c r="H1620" s="99">
        <v>2</v>
      </c>
      <c r="I1620" s="99">
        <v>8</v>
      </c>
      <c r="J1620" s="109">
        <f>D1618</f>
        <v>0.74299999999999999</v>
      </c>
      <c r="K1620" s="110" t="str">
        <f t="shared" si="294"/>
        <v>0</v>
      </c>
      <c r="L1620" s="111">
        <v>0</v>
      </c>
      <c r="M1620" s="99">
        <f t="shared" si="295"/>
        <v>0</v>
      </c>
      <c r="N1620" s="112">
        <f>J1620+E1620-M1620</f>
        <v>0.74299999999999999</v>
      </c>
      <c r="O1620" s="112">
        <f t="shared" si="293"/>
        <v>11.888</v>
      </c>
      <c r="P1620" s="140" t="str">
        <f t="shared" si="279"/>
        <v/>
      </c>
      <c r="Q1620" s="140" t="str">
        <f t="shared" si="280"/>
        <v/>
      </c>
      <c r="R1620" s="140">
        <f t="shared" si="281"/>
        <v>11.888</v>
      </c>
      <c r="S1620" s="140" t="str">
        <f t="shared" si="282"/>
        <v/>
      </c>
      <c r="T1620" s="140" t="str">
        <f t="shared" si="283"/>
        <v/>
      </c>
      <c r="U1620" s="140" t="str">
        <f t="shared" si="284"/>
        <v/>
      </c>
      <c r="V1620" s="99"/>
    </row>
    <row r="1621" spans="1:22">
      <c r="A1621" s="92"/>
      <c r="B1621" s="141" t="s">
        <v>381</v>
      </c>
      <c r="C1621" s="136"/>
      <c r="D1621" s="137"/>
      <c r="E1621" s="138"/>
      <c r="F1621" s="139"/>
      <c r="G1621" s="98">
        <v>10</v>
      </c>
      <c r="H1621" s="99">
        <v>2</v>
      </c>
      <c r="I1621" s="99">
        <v>22</v>
      </c>
      <c r="J1621" s="109">
        <f>D1618</f>
        <v>0.74299999999999999</v>
      </c>
      <c r="K1621" s="110" t="str">
        <f t="shared" si="294"/>
        <v>0</v>
      </c>
      <c r="L1621" s="111">
        <v>0</v>
      </c>
      <c r="M1621" s="99">
        <f t="shared" si="295"/>
        <v>0</v>
      </c>
      <c r="N1621" s="112">
        <f>J1621+E1620-M1621</f>
        <v>0.74299999999999999</v>
      </c>
      <c r="O1621" s="112">
        <f t="shared" si="293"/>
        <v>32.692</v>
      </c>
      <c r="P1621" s="140" t="str">
        <f t="shared" si="279"/>
        <v/>
      </c>
      <c r="Q1621" s="140">
        <f t="shared" si="280"/>
        <v>32.692</v>
      </c>
      <c r="R1621" s="140" t="str">
        <f t="shared" si="281"/>
        <v/>
      </c>
      <c r="S1621" s="140" t="str">
        <f t="shared" si="282"/>
        <v/>
      </c>
      <c r="T1621" s="140" t="str">
        <f t="shared" si="283"/>
        <v/>
      </c>
      <c r="U1621" s="140" t="str">
        <f t="shared" si="284"/>
        <v/>
      </c>
      <c r="V1621" s="99"/>
    </row>
    <row r="1622" spans="1:22">
      <c r="A1622" s="92"/>
      <c r="B1622" s="141"/>
      <c r="C1622" s="136"/>
      <c r="D1622" s="137"/>
      <c r="E1622" s="138"/>
      <c r="F1622" s="139"/>
      <c r="G1622" s="98"/>
      <c r="H1622" s="99"/>
      <c r="I1622" s="99"/>
      <c r="J1622" s="109"/>
      <c r="K1622" s="110"/>
      <c r="L1622" s="111"/>
      <c r="M1622" s="99"/>
      <c r="N1622" s="112"/>
      <c r="O1622" s="112"/>
      <c r="P1622" s="140"/>
      <c r="Q1622" s="140"/>
      <c r="R1622" s="140"/>
      <c r="S1622" s="140"/>
      <c r="T1622" s="140"/>
      <c r="U1622" s="140"/>
      <c r="V1622" s="99"/>
    </row>
    <row r="1623" spans="1:22">
      <c r="A1623" s="92"/>
      <c r="B1623" s="92"/>
      <c r="C1623" s="145">
        <v>0.08</v>
      </c>
      <c r="D1623" s="137"/>
      <c r="E1623" s="138"/>
      <c r="F1623" s="139"/>
      <c r="G1623" s="98"/>
      <c r="H1623" s="99"/>
      <c r="I1623" s="99"/>
      <c r="J1623" s="100"/>
      <c r="K1623" s="99"/>
      <c r="L1623" s="99"/>
      <c r="M1623" s="99"/>
      <c r="N1623" s="99"/>
      <c r="O1623" s="101"/>
      <c r="P1623" s="140" t="str">
        <f t="shared" si="279"/>
        <v/>
      </c>
      <c r="Q1623" s="140" t="str">
        <f t="shared" si="280"/>
        <v/>
      </c>
      <c r="R1623" s="140" t="str">
        <f t="shared" si="281"/>
        <v/>
      </c>
      <c r="S1623" s="140" t="str">
        <f t="shared" si="282"/>
        <v/>
      </c>
      <c r="T1623" s="140" t="str">
        <f t="shared" si="283"/>
        <v/>
      </c>
      <c r="U1623" s="140" t="str">
        <f t="shared" si="284"/>
        <v/>
      </c>
      <c r="V1623" s="99"/>
    </row>
    <row r="1624" spans="1:22">
      <c r="A1624" s="92"/>
      <c r="B1624" s="146" t="s">
        <v>647</v>
      </c>
      <c r="C1624" s="147"/>
      <c r="D1624" s="137"/>
      <c r="E1624" s="148">
        <f>0.6-0.025+0.008+0.008</f>
        <v>0.59099999999999997</v>
      </c>
      <c r="F1624" s="139"/>
      <c r="G1624" s="98">
        <v>8</v>
      </c>
      <c r="H1624" s="99">
        <v>2</v>
      </c>
      <c r="I1624" s="111">
        <f>2*((1.68/0.1)+1)</f>
        <v>35.599999999999994</v>
      </c>
      <c r="J1624" s="149">
        <f>2*(D1626+E1624)+2*8*G1624/1000</f>
        <v>1.67</v>
      </c>
      <c r="K1624" s="99"/>
      <c r="L1624" s="99">
        <v>5</v>
      </c>
      <c r="M1624" s="112">
        <f>2*G1624*L1624/1000</f>
        <v>0.08</v>
      </c>
      <c r="N1624" s="112">
        <f>(J1624+K1624-M1624)</f>
        <v>1.5899999999999999</v>
      </c>
      <c r="O1624" s="112">
        <f>(H1624*I1624*N1624)</f>
        <v>113.20799999999997</v>
      </c>
      <c r="P1624" s="140">
        <f t="shared" si="279"/>
        <v>113.20799999999997</v>
      </c>
      <c r="Q1624" s="140" t="str">
        <f t="shared" si="280"/>
        <v/>
      </c>
      <c r="R1624" s="140" t="str">
        <f t="shared" si="281"/>
        <v/>
      </c>
      <c r="S1624" s="140" t="str">
        <f t="shared" si="282"/>
        <v/>
      </c>
      <c r="T1624" s="140" t="str">
        <f t="shared" si="283"/>
        <v/>
      </c>
      <c r="U1624" s="140" t="str">
        <f t="shared" si="284"/>
        <v/>
      </c>
      <c r="V1624" s="99"/>
    </row>
    <row r="1625" spans="1:22">
      <c r="A1625" s="92"/>
      <c r="B1625" s="146"/>
      <c r="C1625" s="136"/>
      <c r="D1625" s="137"/>
      <c r="E1625" s="150"/>
      <c r="F1625" s="139"/>
      <c r="G1625" s="98"/>
      <c r="H1625" s="99"/>
      <c r="I1625" s="99"/>
      <c r="J1625" s="100"/>
      <c r="K1625" s="99"/>
      <c r="L1625" s="99"/>
      <c r="M1625" s="99"/>
      <c r="N1625" s="99"/>
      <c r="O1625" s="112"/>
      <c r="P1625" s="140" t="str">
        <f t="shared" si="279"/>
        <v/>
      </c>
      <c r="Q1625" s="140" t="str">
        <f t="shared" si="280"/>
        <v/>
      </c>
      <c r="R1625" s="140" t="str">
        <f t="shared" si="281"/>
        <v/>
      </c>
      <c r="S1625" s="140" t="str">
        <f t="shared" si="282"/>
        <v/>
      </c>
      <c r="T1625" s="140" t="str">
        <f t="shared" si="283"/>
        <v/>
      </c>
      <c r="U1625" s="140" t="str">
        <f t="shared" si="284"/>
        <v/>
      </c>
      <c r="V1625" s="99"/>
    </row>
    <row r="1626" spans="1:22">
      <c r="A1626" s="92"/>
      <c r="B1626" s="146"/>
      <c r="C1626" s="136"/>
      <c r="D1626" s="109">
        <f>0.23-0.05</f>
        <v>0.18</v>
      </c>
      <c r="E1626" s="138"/>
      <c r="F1626" s="139"/>
      <c r="G1626" s="98"/>
      <c r="H1626" s="99"/>
      <c r="I1626" s="99"/>
      <c r="J1626" s="100"/>
      <c r="K1626" s="99"/>
      <c r="L1626" s="99"/>
      <c r="M1626" s="99"/>
      <c r="N1626" s="99"/>
      <c r="O1626" s="112"/>
      <c r="P1626" s="140" t="str">
        <f t="shared" si="279"/>
        <v/>
      </c>
      <c r="Q1626" s="140" t="str">
        <f t="shared" si="280"/>
        <v/>
      </c>
      <c r="R1626" s="140" t="str">
        <f t="shared" si="281"/>
        <v/>
      </c>
      <c r="S1626" s="140" t="str">
        <f t="shared" si="282"/>
        <v/>
      </c>
      <c r="T1626" s="140" t="str">
        <f t="shared" si="283"/>
        <v/>
      </c>
      <c r="U1626" s="140" t="str">
        <f t="shared" si="284"/>
        <v/>
      </c>
      <c r="V1626" s="99"/>
    </row>
    <row r="1627" spans="1:22">
      <c r="A1627" s="92"/>
      <c r="B1627" s="141"/>
      <c r="C1627" s="136"/>
      <c r="D1627" s="137"/>
      <c r="E1627" s="138"/>
      <c r="F1627" s="139"/>
      <c r="G1627" s="98"/>
      <c r="H1627" s="99"/>
      <c r="I1627" s="99"/>
      <c r="J1627" s="109"/>
      <c r="K1627" s="110"/>
      <c r="L1627" s="111"/>
      <c r="M1627" s="99"/>
      <c r="N1627" s="112"/>
      <c r="O1627" s="112"/>
      <c r="P1627" s="140"/>
      <c r="Q1627" s="140"/>
      <c r="R1627" s="140"/>
      <c r="S1627" s="140"/>
      <c r="T1627" s="140"/>
      <c r="U1627" s="140"/>
      <c r="V1627" s="99"/>
    </row>
    <row r="1628" spans="1:22">
      <c r="A1628" s="92"/>
      <c r="B1628" s="92"/>
      <c r="C1628" s="145">
        <v>0.08</v>
      </c>
      <c r="D1628" s="137"/>
      <c r="E1628" s="138"/>
      <c r="F1628" s="139"/>
      <c r="G1628" s="98"/>
      <c r="H1628" s="99"/>
      <c r="I1628" s="99"/>
      <c r="J1628" s="100"/>
      <c r="K1628" s="99"/>
      <c r="L1628" s="99"/>
      <c r="M1628" s="99"/>
      <c r="N1628" s="99"/>
      <c r="O1628" s="101"/>
      <c r="P1628" s="140" t="str">
        <f t="shared" si="279"/>
        <v/>
      </c>
      <c r="Q1628" s="140" t="str">
        <f t="shared" si="280"/>
        <v/>
      </c>
      <c r="R1628" s="140" t="str">
        <f t="shared" si="281"/>
        <v/>
      </c>
      <c r="S1628" s="140" t="str">
        <f t="shared" si="282"/>
        <v/>
      </c>
      <c r="T1628" s="140" t="str">
        <f t="shared" si="283"/>
        <v/>
      </c>
      <c r="U1628" s="140" t="str">
        <f t="shared" si="284"/>
        <v/>
      </c>
      <c r="V1628" s="99"/>
    </row>
    <row r="1629" spans="1:22">
      <c r="A1629" s="92"/>
      <c r="B1629" s="146" t="s">
        <v>648</v>
      </c>
      <c r="C1629" s="147"/>
      <c r="D1629" s="137"/>
      <c r="E1629" s="456">
        <f>3.445-0.6-0.6-0.025+2*0.008+2*0.008</f>
        <v>2.2519999999999998</v>
      </c>
      <c r="F1629" s="139"/>
      <c r="G1629" s="98">
        <v>8</v>
      </c>
      <c r="H1629" s="99">
        <v>2</v>
      </c>
      <c r="I1629" s="111">
        <f>((1.68/0.2)+1)</f>
        <v>9.3999999999999986</v>
      </c>
      <c r="J1629" s="149">
        <f>2*(D1631+E1629)+2*8*G1629/1000</f>
        <v>4.992</v>
      </c>
      <c r="K1629" s="99"/>
      <c r="L1629" s="99">
        <v>5</v>
      </c>
      <c r="M1629" s="112">
        <f>2*G1629*L1629/1000</f>
        <v>0.08</v>
      </c>
      <c r="N1629" s="112">
        <f>(J1629+K1629-M1629)</f>
        <v>4.9119999999999999</v>
      </c>
      <c r="O1629" s="112">
        <f>(H1629*I1629*N1629)</f>
        <v>92.34559999999999</v>
      </c>
      <c r="P1629" s="140">
        <f t="shared" si="279"/>
        <v>92.34559999999999</v>
      </c>
      <c r="Q1629" s="140" t="str">
        <f t="shared" si="280"/>
        <v/>
      </c>
      <c r="R1629" s="140" t="str">
        <f t="shared" si="281"/>
        <v/>
      </c>
      <c r="S1629" s="140" t="str">
        <f t="shared" si="282"/>
        <v/>
      </c>
      <c r="T1629" s="140" t="str">
        <f t="shared" si="283"/>
        <v/>
      </c>
      <c r="U1629" s="140" t="str">
        <f t="shared" si="284"/>
        <v/>
      </c>
      <c r="V1629" s="99"/>
    </row>
    <row r="1630" spans="1:22">
      <c r="A1630" s="92"/>
      <c r="B1630" s="146"/>
      <c r="C1630" s="136"/>
      <c r="D1630" s="137"/>
      <c r="E1630" s="150"/>
      <c r="F1630" s="139"/>
      <c r="G1630" s="98"/>
      <c r="H1630" s="99"/>
      <c r="I1630" s="99"/>
      <c r="J1630" s="100"/>
      <c r="K1630" s="99"/>
      <c r="L1630" s="99"/>
      <c r="M1630" s="99"/>
      <c r="N1630" s="99"/>
      <c r="O1630" s="112"/>
      <c r="P1630" s="140" t="str">
        <f t="shared" si="279"/>
        <v/>
      </c>
      <c r="Q1630" s="140" t="str">
        <f t="shared" si="280"/>
        <v/>
      </c>
      <c r="R1630" s="140" t="str">
        <f t="shared" si="281"/>
        <v/>
      </c>
      <c r="S1630" s="140" t="str">
        <f t="shared" si="282"/>
        <v/>
      </c>
      <c r="T1630" s="140" t="str">
        <f t="shared" si="283"/>
        <v/>
      </c>
      <c r="U1630" s="140" t="str">
        <f t="shared" si="284"/>
        <v/>
      </c>
      <c r="V1630" s="99"/>
    </row>
    <row r="1631" spans="1:22">
      <c r="A1631" s="92"/>
      <c r="B1631" s="146"/>
      <c r="C1631" s="136"/>
      <c r="D1631" s="109">
        <f>0.23-0.05</f>
        <v>0.18</v>
      </c>
      <c r="E1631" s="138"/>
      <c r="F1631" s="139"/>
      <c r="G1631" s="98"/>
      <c r="H1631" s="99"/>
      <c r="I1631" s="99"/>
      <c r="J1631" s="100"/>
      <c r="K1631" s="99"/>
      <c r="L1631" s="99"/>
      <c r="M1631" s="99"/>
      <c r="N1631" s="99"/>
      <c r="O1631" s="112"/>
      <c r="P1631" s="140" t="str">
        <f t="shared" si="279"/>
        <v/>
      </c>
      <c r="Q1631" s="140" t="str">
        <f t="shared" si="280"/>
        <v/>
      </c>
      <c r="R1631" s="140" t="str">
        <f t="shared" si="281"/>
        <v/>
      </c>
      <c r="S1631" s="140" t="str">
        <f t="shared" si="282"/>
        <v/>
      </c>
      <c r="T1631" s="140" t="str">
        <f t="shared" si="283"/>
        <v/>
      </c>
      <c r="U1631" s="140" t="str">
        <f t="shared" si="284"/>
        <v/>
      </c>
      <c r="V1631" s="99"/>
    </row>
    <row r="1632" spans="1:22">
      <c r="A1632" s="92"/>
      <c r="B1632" s="141"/>
      <c r="C1632" s="136"/>
      <c r="D1632" s="137"/>
      <c r="E1632" s="138"/>
      <c r="F1632" s="139"/>
      <c r="G1632" s="98"/>
      <c r="H1632" s="99"/>
      <c r="I1632" s="99"/>
      <c r="J1632" s="109"/>
      <c r="K1632" s="110"/>
      <c r="L1632" s="111"/>
      <c r="M1632" s="99"/>
      <c r="N1632" s="112"/>
      <c r="O1632" s="112"/>
      <c r="P1632" s="140"/>
      <c r="Q1632" s="140"/>
      <c r="R1632" s="140"/>
      <c r="S1632" s="140"/>
      <c r="T1632" s="140"/>
      <c r="U1632" s="140"/>
      <c r="V1632" s="99"/>
    </row>
    <row r="1633" spans="1:22">
      <c r="A1633" s="92"/>
      <c r="B1633" s="92"/>
      <c r="C1633" s="145">
        <v>0.08</v>
      </c>
      <c r="D1633" s="137"/>
      <c r="E1633" s="138"/>
      <c r="F1633" s="139"/>
      <c r="G1633" s="98"/>
      <c r="H1633" s="99"/>
      <c r="I1633" s="99"/>
      <c r="J1633" s="100"/>
      <c r="K1633" s="99"/>
      <c r="L1633" s="99"/>
      <c r="M1633" s="99"/>
      <c r="N1633" s="99"/>
      <c r="O1633" s="101"/>
      <c r="P1633" s="140" t="str">
        <f t="shared" si="279"/>
        <v/>
      </c>
      <c r="Q1633" s="140" t="str">
        <f t="shared" si="280"/>
        <v/>
      </c>
      <c r="R1633" s="140" t="str">
        <f t="shared" si="281"/>
        <v/>
      </c>
      <c r="S1633" s="140" t="str">
        <f t="shared" si="282"/>
        <v/>
      </c>
      <c r="T1633" s="140" t="str">
        <f t="shared" si="283"/>
        <v/>
      </c>
      <c r="U1633" s="140" t="str">
        <f t="shared" si="284"/>
        <v/>
      </c>
      <c r="V1633" s="99"/>
    </row>
    <row r="1634" spans="1:22">
      <c r="A1634" s="92"/>
      <c r="B1634" s="146" t="s">
        <v>649</v>
      </c>
      <c r="C1634" s="147"/>
      <c r="D1634" s="137"/>
      <c r="E1634" s="148">
        <f>(0.6-0.025+0.008+0.008)/5</f>
        <v>0.1182</v>
      </c>
      <c r="F1634" s="139"/>
      <c r="G1634" s="98">
        <v>8</v>
      </c>
      <c r="H1634" s="99">
        <v>2</v>
      </c>
      <c r="I1634" s="111">
        <f>2*2*((1.68/0.1)+1)</f>
        <v>71.199999999999989</v>
      </c>
      <c r="J1634" s="149">
        <f>2*(D1636+E1634)+2*8*G1634/1000</f>
        <v>0.72440000000000004</v>
      </c>
      <c r="K1634" s="99"/>
      <c r="L1634" s="99">
        <v>5</v>
      </c>
      <c r="M1634" s="112">
        <f>2*G1634*L1634/1000</f>
        <v>0.08</v>
      </c>
      <c r="N1634" s="112">
        <f>(J1634+K1634-M1634)</f>
        <v>0.64440000000000008</v>
      </c>
      <c r="O1634" s="112">
        <f>(H1634*I1634*N1634)</f>
        <v>91.762559999999993</v>
      </c>
      <c r="P1634" s="140">
        <f t="shared" si="279"/>
        <v>91.762559999999993</v>
      </c>
      <c r="Q1634" s="140" t="str">
        <f t="shared" si="280"/>
        <v/>
      </c>
      <c r="R1634" s="140" t="str">
        <f t="shared" si="281"/>
        <v/>
      </c>
      <c r="S1634" s="140" t="str">
        <f t="shared" si="282"/>
        <v/>
      </c>
      <c r="T1634" s="140" t="str">
        <f t="shared" si="283"/>
        <v/>
      </c>
      <c r="U1634" s="140" t="str">
        <f t="shared" si="284"/>
        <v/>
      </c>
      <c r="V1634" s="99"/>
    </row>
    <row r="1635" spans="1:22">
      <c r="A1635" s="92"/>
      <c r="B1635" s="146"/>
      <c r="C1635" s="136"/>
      <c r="D1635" s="137"/>
      <c r="E1635" s="150"/>
      <c r="F1635" s="139"/>
      <c r="G1635" s="98"/>
      <c r="H1635" s="99"/>
      <c r="I1635" s="99"/>
      <c r="J1635" s="100"/>
      <c r="K1635" s="99"/>
      <c r="L1635" s="99"/>
      <c r="M1635" s="99"/>
      <c r="N1635" s="99"/>
      <c r="O1635" s="112"/>
      <c r="P1635" s="140" t="str">
        <f t="shared" si="279"/>
        <v/>
      </c>
      <c r="Q1635" s="140" t="str">
        <f t="shared" si="280"/>
        <v/>
      </c>
      <c r="R1635" s="140" t="str">
        <f t="shared" si="281"/>
        <v/>
      </c>
      <c r="S1635" s="140" t="str">
        <f t="shared" si="282"/>
        <v/>
      </c>
      <c r="T1635" s="140" t="str">
        <f t="shared" si="283"/>
        <v/>
      </c>
      <c r="U1635" s="140" t="str">
        <f t="shared" si="284"/>
        <v/>
      </c>
      <c r="V1635" s="99"/>
    </row>
    <row r="1636" spans="1:22">
      <c r="A1636" s="92"/>
      <c r="B1636" s="146"/>
      <c r="C1636" s="136"/>
      <c r="D1636" s="109">
        <f>0.23-0.05</f>
        <v>0.18</v>
      </c>
      <c r="E1636" s="138"/>
      <c r="F1636" s="139"/>
      <c r="G1636" s="98"/>
      <c r="H1636" s="99"/>
      <c r="I1636" s="99"/>
      <c r="J1636" s="100"/>
      <c r="K1636" s="99"/>
      <c r="L1636" s="99"/>
      <c r="M1636" s="99"/>
      <c r="N1636" s="99"/>
      <c r="O1636" s="112"/>
      <c r="P1636" s="140" t="str">
        <f t="shared" si="279"/>
        <v/>
      </c>
      <c r="Q1636" s="140" t="str">
        <f t="shared" si="280"/>
        <v/>
      </c>
      <c r="R1636" s="140" t="str">
        <f t="shared" si="281"/>
        <v/>
      </c>
      <c r="S1636" s="140" t="str">
        <f t="shared" si="282"/>
        <v/>
      </c>
      <c r="T1636" s="140" t="str">
        <f t="shared" si="283"/>
        <v/>
      </c>
      <c r="U1636" s="140" t="str">
        <f t="shared" si="284"/>
        <v/>
      </c>
      <c r="V1636" s="99"/>
    </row>
    <row r="1637" spans="1:22">
      <c r="A1637" s="92"/>
      <c r="B1637" s="141"/>
      <c r="C1637" s="136"/>
      <c r="D1637" s="137"/>
      <c r="E1637" s="138"/>
      <c r="F1637" s="139"/>
      <c r="G1637" s="98"/>
      <c r="H1637" s="99"/>
      <c r="I1637" s="99"/>
      <c r="J1637" s="100"/>
      <c r="K1637" s="99"/>
      <c r="L1637" s="99"/>
      <c r="M1637" s="99"/>
      <c r="N1637" s="99"/>
      <c r="O1637" s="101"/>
      <c r="P1637" s="140" t="str">
        <f t="shared" si="279"/>
        <v/>
      </c>
      <c r="Q1637" s="140" t="str">
        <f t="shared" si="280"/>
        <v/>
      </c>
      <c r="R1637" s="140" t="str">
        <f t="shared" si="281"/>
        <v/>
      </c>
      <c r="S1637" s="140" t="str">
        <f t="shared" si="282"/>
        <v/>
      </c>
      <c r="T1637" s="140" t="str">
        <f t="shared" si="283"/>
        <v/>
      </c>
      <c r="U1637" s="140" t="str">
        <f t="shared" si="284"/>
        <v/>
      </c>
      <c r="V1637" s="99"/>
    </row>
    <row r="1638" spans="1:22">
      <c r="A1638" s="92"/>
      <c r="B1638" s="141"/>
      <c r="C1638" s="136"/>
      <c r="D1638" s="137"/>
      <c r="E1638" s="144">
        <v>0.08</v>
      </c>
      <c r="F1638" s="139"/>
      <c r="G1638" s="98"/>
      <c r="H1638" s="99"/>
      <c r="I1638" s="99"/>
      <c r="J1638" s="100"/>
      <c r="K1638" s="99"/>
      <c r="L1638" s="99"/>
      <c r="M1638" s="99"/>
      <c r="N1638" s="99"/>
      <c r="O1638" s="101"/>
      <c r="P1638" s="140" t="str">
        <f t="shared" si="279"/>
        <v/>
      </c>
      <c r="Q1638" s="140" t="str">
        <f t="shared" si="280"/>
        <v/>
      </c>
      <c r="R1638" s="140" t="str">
        <f t="shared" si="281"/>
        <v/>
      </c>
      <c r="S1638" s="140" t="str">
        <f t="shared" si="282"/>
        <v/>
      </c>
      <c r="T1638" s="140" t="str">
        <f t="shared" si="283"/>
        <v/>
      </c>
      <c r="U1638" s="140" t="str">
        <f t="shared" si="284"/>
        <v/>
      </c>
      <c r="V1638" s="99"/>
    </row>
    <row r="1639" spans="1:22">
      <c r="A1639" s="92"/>
      <c r="B1639" s="146" t="s">
        <v>650</v>
      </c>
      <c r="C1639" s="136"/>
      <c r="D1639" s="142">
        <f>0.23-0.05</f>
        <v>0.18</v>
      </c>
      <c r="E1639" s="144"/>
      <c r="F1639" s="139"/>
      <c r="G1639" s="98">
        <v>8</v>
      </c>
      <c r="H1639" s="99">
        <v>2</v>
      </c>
      <c r="I1639" s="111">
        <f>5*((1.68/0.4)+1)</f>
        <v>25.999999999999996</v>
      </c>
      <c r="J1639" s="149">
        <f>D1639+E1638+E1640</f>
        <v>0.34</v>
      </c>
      <c r="K1639" s="99"/>
      <c r="L1639" s="99">
        <v>2</v>
      </c>
      <c r="M1639" s="112">
        <f>2*G1639*L1639/1000</f>
        <v>3.2000000000000001E-2</v>
      </c>
      <c r="N1639" s="112">
        <f>(J1639+K1639-M1639)</f>
        <v>0.30800000000000005</v>
      </c>
      <c r="O1639" s="112">
        <f>(H1639*I1639*N1639)</f>
        <v>16.016000000000002</v>
      </c>
      <c r="P1639" s="140">
        <f t="shared" si="279"/>
        <v>16.016000000000002</v>
      </c>
      <c r="Q1639" s="140" t="str">
        <f t="shared" si="280"/>
        <v/>
      </c>
      <c r="R1639" s="140" t="str">
        <f t="shared" si="281"/>
        <v/>
      </c>
      <c r="S1639" s="140" t="str">
        <f t="shared" si="282"/>
        <v/>
      </c>
      <c r="T1639" s="140" t="str">
        <f t="shared" si="283"/>
        <v/>
      </c>
      <c r="U1639" s="140" t="str">
        <f t="shared" si="284"/>
        <v/>
      </c>
      <c r="V1639" s="99"/>
    </row>
    <row r="1640" spans="1:22">
      <c r="A1640" s="92"/>
      <c r="B1640" s="141"/>
      <c r="C1640" s="136"/>
      <c r="D1640" s="137"/>
      <c r="E1640" s="144">
        <v>0.08</v>
      </c>
      <c r="F1640" s="139"/>
      <c r="G1640" s="98"/>
      <c r="H1640" s="99"/>
      <c r="I1640" s="99"/>
      <c r="J1640" s="100"/>
      <c r="K1640" s="99"/>
      <c r="L1640" s="99"/>
      <c r="M1640" s="99"/>
      <c r="N1640" s="99"/>
      <c r="O1640" s="101"/>
      <c r="P1640" s="140" t="str">
        <f t="shared" si="279"/>
        <v/>
      </c>
      <c r="Q1640" s="140" t="str">
        <f t="shared" si="280"/>
        <v/>
      </c>
      <c r="R1640" s="140" t="str">
        <f t="shared" si="281"/>
        <v/>
      </c>
      <c r="S1640" s="140" t="str">
        <f t="shared" si="282"/>
        <v/>
      </c>
      <c r="T1640" s="140" t="str">
        <f t="shared" si="283"/>
        <v/>
      </c>
      <c r="U1640" s="140" t="str">
        <f t="shared" si="284"/>
        <v/>
      </c>
      <c r="V1640" s="99"/>
    </row>
    <row r="1641" spans="1:22">
      <c r="A1641" s="92"/>
      <c r="B1641" s="141"/>
      <c r="C1641" s="136"/>
      <c r="D1641" s="137"/>
      <c r="E1641" s="144"/>
      <c r="F1641" s="139"/>
      <c r="G1641" s="98"/>
      <c r="H1641" s="99"/>
      <c r="I1641" s="99"/>
      <c r="J1641" s="100"/>
      <c r="K1641" s="99"/>
      <c r="L1641" s="99"/>
      <c r="M1641" s="99"/>
      <c r="N1641" s="99"/>
      <c r="O1641" s="101"/>
      <c r="P1641" s="140"/>
      <c r="Q1641" s="140"/>
      <c r="R1641" s="140"/>
      <c r="S1641" s="140"/>
      <c r="T1641" s="140"/>
      <c r="U1641" s="140"/>
      <c r="V1641" s="99"/>
    </row>
    <row r="1642" spans="1:22">
      <c r="A1642" s="92"/>
      <c r="B1642" s="146"/>
      <c r="C1642" s="136"/>
      <c r="D1642" s="152"/>
      <c r="E1642" s="138"/>
      <c r="F1642" s="139"/>
      <c r="G1642" s="98"/>
      <c r="H1642" s="99"/>
      <c r="I1642" s="99"/>
      <c r="J1642" s="100"/>
      <c r="K1642" s="99"/>
      <c r="L1642" s="99"/>
      <c r="M1642" s="99"/>
      <c r="N1642" s="99"/>
      <c r="O1642" s="101"/>
      <c r="P1642" s="140" t="str">
        <f t="shared" si="279"/>
        <v/>
      </c>
      <c r="Q1642" s="140" t="str">
        <f t="shared" si="280"/>
        <v/>
      </c>
      <c r="R1642" s="140" t="str">
        <f t="shared" si="281"/>
        <v/>
      </c>
      <c r="S1642" s="140" t="str">
        <f t="shared" si="282"/>
        <v/>
      </c>
      <c r="T1642" s="140" t="str">
        <f t="shared" si="283"/>
        <v/>
      </c>
      <c r="U1642" s="140" t="str">
        <f t="shared" si="284"/>
        <v/>
      </c>
      <c r="V1642" s="99"/>
    </row>
    <row r="1643" spans="1:22">
      <c r="A1643" s="92">
        <v>21</v>
      </c>
      <c r="B1643" s="92" t="s">
        <v>455</v>
      </c>
      <c r="C1643" s="136"/>
      <c r="D1643" s="259"/>
      <c r="E1643" s="138"/>
      <c r="F1643" s="139"/>
      <c r="G1643" s="98"/>
      <c r="H1643" s="99"/>
      <c r="I1643" s="99"/>
      <c r="J1643" s="109"/>
      <c r="K1643" s="112"/>
      <c r="L1643" s="112"/>
      <c r="M1643" s="99"/>
      <c r="N1643" s="112"/>
      <c r="O1643" s="112"/>
      <c r="P1643" s="140" t="str">
        <f>IF($G1643=8,$O1643,"")</f>
        <v/>
      </c>
      <c r="Q1643" s="140" t="str">
        <f>IF($G1643=10,$O1643,"")</f>
        <v/>
      </c>
      <c r="R1643" s="140" t="str">
        <f>IF($G1643=12,$O1643,"")</f>
        <v/>
      </c>
      <c r="S1643" s="140" t="str">
        <f>IF($G1643=16,$O1643,"")</f>
        <v/>
      </c>
      <c r="T1643" s="140" t="str">
        <f>IF($G1643=20,$O1643,"")</f>
        <v/>
      </c>
      <c r="U1643" s="140" t="str">
        <f>IF($G1643=25,$O1643,"")</f>
        <v/>
      </c>
      <c r="V1643" s="99"/>
    </row>
    <row r="1644" spans="1:22">
      <c r="A1644" s="92"/>
      <c r="B1644" s="141" t="s">
        <v>456</v>
      </c>
      <c r="C1644" s="136"/>
      <c r="D1644" s="142">
        <v>1.68</v>
      </c>
      <c r="E1644" s="138"/>
      <c r="F1644" s="139"/>
      <c r="G1644" s="98">
        <v>10</v>
      </c>
      <c r="H1644" s="99">
        <v>8</v>
      </c>
      <c r="I1644" s="111">
        <f>2*(1.9/0.15)+1</f>
        <v>26.333333333333332</v>
      </c>
      <c r="J1644" s="109">
        <f>D1644</f>
        <v>1.68</v>
      </c>
      <c r="K1644" s="110" t="str">
        <f>IF(N1644&lt;12,"0",0.049*G1644)</f>
        <v>0</v>
      </c>
      <c r="L1644" s="111">
        <v>1</v>
      </c>
      <c r="M1644" s="99">
        <f>2*G1644*L1644/1000</f>
        <v>0.02</v>
      </c>
      <c r="N1644" s="112">
        <f>J1644+D1643-M1644</f>
        <v>1.66</v>
      </c>
      <c r="O1644" s="112">
        <f t="shared" ref="O1644" si="296">H1644*I1644*N1644</f>
        <v>349.70666666666665</v>
      </c>
      <c r="P1644" s="140" t="str">
        <f t="shared" si="279"/>
        <v/>
      </c>
      <c r="Q1644" s="140">
        <f t="shared" si="280"/>
        <v>349.70666666666665</v>
      </c>
      <c r="R1644" s="140" t="str">
        <f t="shared" si="281"/>
        <v/>
      </c>
      <c r="S1644" s="140" t="str">
        <f t="shared" si="282"/>
        <v/>
      </c>
      <c r="T1644" s="140" t="str">
        <f t="shared" si="283"/>
        <v/>
      </c>
      <c r="U1644" s="140" t="str">
        <f t="shared" si="284"/>
        <v/>
      </c>
      <c r="V1644" s="99"/>
    </row>
    <row r="1645" spans="1:22">
      <c r="A1645" s="92"/>
      <c r="B1645" s="141"/>
      <c r="C1645" s="136"/>
      <c r="D1645" s="137"/>
      <c r="E1645" s="138"/>
      <c r="F1645" s="139"/>
      <c r="G1645" s="98"/>
      <c r="H1645" s="99"/>
      <c r="I1645" s="99"/>
      <c r="J1645" s="109"/>
      <c r="K1645" s="110"/>
      <c r="L1645" s="111"/>
      <c r="M1645" s="99"/>
      <c r="N1645" s="112"/>
      <c r="O1645" s="112"/>
      <c r="P1645" s="140" t="str">
        <f t="shared" si="279"/>
        <v/>
      </c>
      <c r="Q1645" s="140" t="str">
        <f t="shared" si="280"/>
        <v/>
      </c>
      <c r="R1645" s="140" t="str">
        <f t="shared" si="281"/>
        <v/>
      </c>
      <c r="S1645" s="140" t="str">
        <f t="shared" si="282"/>
        <v/>
      </c>
      <c r="T1645" s="140" t="str">
        <f t="shared" si="283"/>
        <v/>
      </c>
      <c r="U1645" s="140" t="str">
        <f t="shared" si="284"/>
        <v/>
      </c>
      <c r="V1645" s="99"/>
    </row>
    <row r="1646" spans="1:22">
      <c r="A1646" s="92"/>
      <c r="B1646" s="141"/>
      <c r="C1646" s="143"/>
      <c r="D1646" s="142"/>
      <c r="E1646" s="144"/>
      <c r="F1646" s="139"/>
      <c r="G1646" s="98"/>
      <c r="H1646" s="99"/>
      <c r="I1646" s="99"/>
      <c r="J1646" s="109"/>
      <c r="K1646" s="110"/>
      <c r="L1646" s="111"/>
      <c r="M1646" s="99"/>
      <c r="N1646" s="112"/>
      <c r="O1646" s="112"/>
      <c r="P1646" s="140" t="str">
        <f t="shared" si="279"/>
        <v/>
      </c>
      <c r="Q1646" s="140" t="str">
        <f t="shared" si="280"/>
        <v/>
      </c>
      <c r="R1646" s="140" t="str">
        <f t="shared" si="281"/>
        <v/>
      </c>
      <c r="S1646" s="140" t="str">
        <f t="shared" si="282"/>
        <v/>
      </c>
      <c r="T1646" s="140" t="str">
        <f t="shared" si="283"/>
        <v/>
      </c>
      <c r="U1646" s="140" t="str">
        <f t="shared" si="284"/>
        <v/>
      </c>
      <c r="V1646" s="99"/>
    </row>
    <row r="1647" spans="1:22">
      <c r="A1647" s="92"/>
      <c r="B1647" s="141"/>
      <c r="C1647" s="143"/>
      <c r="D1647" s="142"/>
      <c r="E1647" s="144"/>
      <c r="F1647" s="139"/>
      <c r="G1647" s="98"/>
      <c r="H1647" s="99"/>
      <c r="I1647" s="99"/>
      <c r="J1647" s="109"/>
      <c r="K1647" s="110"/>
      <c r="L1647" s="111"/>
      <c r="M1647" s="99"/>
      <c r="N1647" s="112"/>
      <c r="O1647" s="112"/>
      <c r="P1647" s="140" t="str">
        <f t="shared" si="279"/>
        <v/>
      </c>
      <c r="Q1647" s="140" t="str">
        <f t="shared" si="280"/>
        <v/>
      </c>
      <c r="R1647" s="140"/>
      <c r="S1647" s="140"/>
      <c r="T1647" s="140"/>
      <c r="U1647" s="140"/>
      <c r="V1647" s="99"/>
    </row>
    <row r="1648" spans="1:22">
      <c r="A1648" s="92"/>
      <c r="B1648" s="141"/>
      <c r="C1648" s="143"/>
      <c r="D1648" s="142"/>
      <c r="E1648" s="144"/>
      <c r="F1648" s="139"/>
      <c r="G1648" s="98"/>
      <c r="H1648" s="99"/>
      <c r="I1648" s="99"/>
      <c r="J1648" s="109"/>
      <c r="K1648" s="110"/>
      <c r="L1648" s="111"/>
      <c r="M1648" s="99"/>
      <c r="N1648" s="112"/>
      <c r="O1648" s="112"/>
      <c r="P1648" s="140" t="str">
        <f t="shared" si="279"/>
        <v/>
      </c>
      <c r="Q1648" s="140" t="str">
        <f t="shared" si="280"/>
        <v/>
      </c>
      <c r="R1648" s="140"/>
      <c r="S1648" s="140"/>
      <c r="T1648" s="140"/>
      <c r="U1648" s="140"/>
      <c r="V1648" s="99"/>
    </row>
    <row r="1649" spans="1:22">
      <c r="A1649" s="92"/>
      <c r="B1649" s="141" t="s">
        <v>256</v>
      </c>
      <c r="C1649" s="143"/>
      <c r="D1649" s="457">
        <v>1.9</v>
      </c>
      <c r="E1649" s="144"/>
      <c r="F1649" s="139">
        <v>0.2</v>
      </c>
      <c r="G1649" s="98">
        <v>8</v>
      </c>
      <c r="H1649" s="99">
        <v>8</v>
      </c>
      <c r="I1649" s="111">
        <f>2*(1.68/0.2)+1</f>
        <v>17.799999999999997</v>
      </c>
      <c r="J1649" s="109">
        <f>D1649</f>
        <v>1.9</v>
      </c>
      <c r="K1649" s="110" t="str">
        <f>IF(N1649&lt;12,"0",0.049*G1649)</f>
        <v>0</v>
      </c>
      <c r="L1649" s="111">
        <v>1</v>
      </c>
      <c r="M1649" s="99">
        <f>2*G1649*L1649/1000</f>
        <v>1.6E-2</v>
      </c>
      <c r="N1649" s="112">
        <f>J1649+D1648-M1649</f>
        <v>1.8839999999999999</v>
      </c>
      <c r="O1649" s="112">
        <f t="shared" ref="O1649" si="297">H1649*I1649*N1649</f>
        <v>268.28159999999997</v>
      </c>
      <c r="P1649" s="140">
        <f t="shared" si="279"/>
        <v>268.28159999999997</v>
      </c>
      <c r="Q1649" s="140" t="str">
        <f t="shared" si="280"/>
        <v/>
      </c>
      <c r="R1649" s="140"/>
      <c r="S1649" s="140"/>
      <c r="T1649" s="140"/>
      <c r="U1649" s="140"/>
      <c r="V1649" s="99"/>
    </row>
    <row r="1650" spans="1:22">
      <c r="A1650" s="92"/>
      <c r="B1650" s="141"/>
      <c r="C1650" s="143"/>
      <c r="D1650" s="142"/>
      <c r="E1650" s="144"/>
      <c r="F1650" s="139"/>
      <c r="G1650" s="98"/>
      <c r="H1650" s="99"/>
      <c r="I1650" s="99"/>
      <c r="J1650" s="109"/>
      <c r="K1650" s="110"/>
      <c r="L1650" s="111"/>
      <c r="M1650" s="99"/>
      <c r="N1650" s="112"/>
      <c r="O1650" s="112"/>
      <c r="P1650" s="140" t="str">
        <f t="shared" si="279"/>
        <v/>
      </c>
      <c r="Q1650" s="140" t="str">
        <f t="shared" si="280"/>
        <v/>
      </c>
      <c r="R1650" s="140"/>
      <c r="S1650" s="140"/>
      <c r="T1650" s="140"/>
      <c r="U1650" s="140"/>
      <c r="V1650" s="99"/>
    </row>
    <row r="1651" spans="1:22">
      <c r="A1651" s="92"/>
      <c r="B1651" s="141" t="s">
        <v>665</v>
      </c>
      <c r="C1651" s="143"/>
      <c r="D1651" s="457">
        <v>0.23</v>
      </c>
      <c r="E1651" s="144"/>
      <c r="F1651" s="139"/>
      <c r="G1651" s="98">
        <v>8</v>
      </c>
      <c r="H1651" s="99">
        <v>8</v>
      </c>
      <c r="I1651" s="111">
        <f>4*10</f>
        <v>40</v>
      </c>
      <c r="J1651" s="109">
        <f>D1651</f>
        <v>0.23</v>
      </c>
      <c r="K1651" s="110" t="str">
        <f>IF(N1651&lt;12,"0",0.049*G1651)</f>
        <v>0</v>
      </c>
      <c r="L1651" s="111">
        <v>1</v>
      </c>
      <c r="M1651" s="99">
        <f>2*G1651*L1651/1000</f>
        <v>1.6E-2</v>
      </c>
      <c r="N1651" s="112">
        <f>J1651+D1650-M1651</f>
        <v>0.21400000000000002</v>
      </c>
      <c r="O1651" s="112">
        <f t="shared" ref="O1651" si="298">H1651*I1651*N1651</f>
        <v>68.48</v>
      </c>
      <c r="P1651" s="140">
        <f t="shared" si="279"/>
        <v>68.48</v>
      </c>
      <c r="Q1651" s="140" t="str">
        <f t="shared" si="280"/>
        <v/>
      </c>
      <c r="R1651" s="140"/>
      <c r="S1651" s="140"/>
      <c r="T1651" s="140"/>
      <c r="U1651" s="140"/>
      <c r="V1651" s="99"/>
    </row>
    <row r="1652" spans="1:22">
      <c r="A1652" s="92"/>
      <c r="B1652" s="141"/>
      <c r="C1652" s="143"/>
      <c r="D1652" s="142"/>
      <c r="E1652" s="144"/>
      <c r="F1652" s="139"/>
      <c r="G1652" s="98"/>
      <c r="H1652" s="99"/>
      <c r="I1652" s="99"/>
      <c r="J1652" s="109"/>
      <c r="K1652" s="110"/>
      <c r="L1652" s="111"/>
      <c r="M1652" s="99"/>
      <c r="N1652" s="112"/>
      <c r="O1652" s="112"/>
      <c r="P1652" s="140" t="str">
        <f t="shared" si="279"/>
        <v/>
      </c>
      <c r="Q1652" s="140" t="str">
        <f t="shared" si="280"/>
        <v/>
      </c>
      <c r="R1652" s="140"/>
      <c r="S1652" s="140"/>
      <c r="T1652" s="140"/>
      <c r="U1652" s="140"/>
      <c r="V1652" s="99"/>
    </row>
    <row r="1653" spans="1:22">
      <c r="A1653" s="92"/>
      <c r="B1653" s="146"/>
      <c r="C1653" s="136"/>
      <c r="D1653" s="152"/>
      <c r="E1653" s="138"/>
      <c r="F1653" s="139"/>
      <c r="G1653" s="98"/>
      <c r="H1653" s="99"/>
      <c r="I1653" s="99"/>
      <c r="J1653" s="100"/>
      <c r="K1653" s="99"/>
      <c r="L1653" s="99"/>
      <c r="M1653" s="99"/>
      <c r="N1653" s="99"/>
      <c r="O1653" s="101"/>
      <c r="P1653" s="140" t="str">
        <f t="shared" si="279"/>
        <v/>
      </c>
      <c r="Q1653" s="140" t="str">
        <f t="shared" si="280"/>
        <v/>
      </c>
      <c r="R1653" s="140" t="str">
        <f t="shared" si="281"/>
        <v/>
      </c>
      <c r="S1653" s="140" t="str">
        <f t="shared" si="282"/>
        <v/>
      </c>
      <c r="T1653" s="140" t="str">
        <f t="shared" si="283"/>
        <v/>
      </c>
      <c r="U1653" s="140" t="str">
        <f t="shared" si="284"/>
        <v/>
      </c>
      <c r="V1653" s="99"/>
    </row>
    <row r="1654" spans="1:22">
      <c r="A1654" s="92">
        <v>22</v>
      </c>
      <c r="B1654" s="92" t="s">
        <v>576</v>
      </c>
      <c r="C1654" s="136"/>
      <c r="D1654" s="137"/>
      <c r="E1654" s="138"/>
      <c r="F1654" s="139"/>
      <c r="G1654" s="98"/>
      <c r="H1654" s="99"/>
      <c r="I1654" s="99"/>
      <c r="J1654" s="109"/>
      <c r="K1654" s="112"/>
      <c r="L1654" s="112"/>
      <c r="M1654" s="99"/>
      <c r="N1654" s="112"/>
      <c r="O1654" s="112"/>
      <c r="P1654" s="140" t="str">
        <f>IF($G1654=8,$O1654,"")</f>
        <v/>
      </c>
      <c r="Q1654" s="140" t="str">
        <f>IF($G1654=10,$O1654,"")</f>
        <v/>
      </c>
      <c r="R1654" s="140" t="str">
        <f>IF($G1654=12,$O1654,"")</f>
        <v/>
      </c>
      <c r="S1654" s="140" t="str">
        <f>IF($G1654=16,$O1654,"")</f>
        <v/>
      </c>
      <c r="T1654" s="140" t="str">
        <f>IF($G1654=20,$O1654,"")</f>
        <v/>
      </c>
      <c r="U1654" s="140" t="str">
        <f>IF($G1654=25,$O1654,"")</f>
        <v/>
      </c>
      <c r="V1654" s="99"/>
    </row>
    <row r="1655" spans="1:22">
      <c r="A1655" s="92"/>
      <c r="B1655" s="141" t="s">
        <v>378</v>
      </c>
      <c r="C1655" s="136"/>
      <c r="D1655" s="142">
        <v>1.48</v>
      </c>
      <c r="E1655" s="138"/>
      <c r="F1655" s="139"/>
      <c r="G1655" s="98">
        <v>16</v>
      </c>
      <c r="H1655" s="99">
        <v>1</v>
      </c>
      <c r="I1655" s="99">
        <v>8</v>
      </c>
      <c r="J1655" s="109">
        <f>D1655</f>
        <v>1.48</v>
      </c>
      <c r="K1655" s="110" t="str">
        <f>IF(N1655&lt;12,"0",0.049*G1655)</f>
        <v>0</v>
      </c>
      <c r="L1655" s="111">
        <v>0</v>
      </c>
      <c r="M1655" s="99">
        <f>2*G1655*L1655/1000</f>
        <v>0</v>
      </c>
      <c r="N1655" s="112">
        <f>J1655+E1657-M1655</f>
        <v>1.48</v>
      </c>
      <c r="O1655" s="112">
        <f t="shared" ref="O1655:O1661" si="299">H1655*I1655*N1655</f>
        <v>11.84</v>
      </c>
      <c r="P1655" s="140" t="str">
        <f t="shared" si="279"/>
        <v/>
      </c>
      <c r="Q1655" s="140" t="str">
        <f t="shared" si="280"/>
        <v/>
      </c>
      <c r="R1655" s="140" t="str">
        <f t="shared" si="281"/>
        <v/>
      </c>
      <c r="S1655" s="140">
        <f t="shared" si="282"/>
        <v>11.84</v>
      </c>
      <c r="T1655" s="140" t="str">
        <f t="shared" si="283"/>
        <v/>
      </c>
      <c r="U1655" s="140" t="str">
        <f t="shared" si="284"/>
        <v/>
      </c>
      <c r="V1655" s="99"/>
    </row>
    <row r="1656" spans="1:22">
      <c r="A1656" s="92"/>
      <c r="B1656" s="141" t="s">
        <v>379</v>
      </c>
      <c r="C1656" s="136"/>
      <c r="D1656" s="137"/>
      <c r="E1656" s="138"/>
      <c r="F1656" s="139"/>
      <c r="G1656" s="98">
        <v>16</v>
      </c>
      <c r="H1656" s="99">
        <v>1</v>
      </c>
      <c r="I1656" s="99">
        <v>8</v>
      </c>
      <c r="J1656" s="109">
        <f>D1655</f>
        <v>1.48</v>
      </c>
      <c r="K1656" s="110" t="str">
        <f t="shared" ref="K1656:K1661" si="300">IF(N1656&lt;12,"0",0.049*G1656)</f>
        <v>0</v>
      </c>
      <c r="L1656" s="111">
        <v>0</v>
      </c>
      <c r="M1656" s="99">
        <f t="shared" ref="M1656:M1661" si="301">2*G1656*L1656/1000</f>
        <v>0</v>
      </c>
      <c r="N1656" s="112">
        <f>J1656+E1657-M1656</f>
        <v>1.48</v>
      </c>
      <c r="O1656" s="112">
        <f t="shared" si="299"/>
        <v>11.84</v>
      </c>
      <c r="P1656" s="140" t="str">
        <f t="shared" si="279"/>
        <v/>
      </c>
      <c r="Q1656" s="140" t="str">
        <f t="shared" si="280"/>
        <v/>
      </c>
      <c r="R1656" s="140" t="str">
        <f t="shared" si="281"/>
        <v/>
      </c>
      <c r="S1656" s="140">
        <f t="shared" si="282"/>
        <v>11.84</v>
      </c>
      <c r="T1656" s="140" t="str">
        <f t="shared" si="283"/>
        <v/>
      </c>
      <c r="U1656" s="140" t="str">
        <f t="shared" si="284"/>
        <v/>
      </c>
      <c r="V1656" s="99"/>
    </row>
    <row r="1657" spans="1:22">
      <c r="A1657" s="92"/>
      <c r="B1657" s="141" t="s">
        <v>380</v>
      </c>
      <c r="C1657" s="143"/>
      <c r="D1657" s="142"/>
      <c r="E1657" s="144"/>
      <c r="F1657" s="139"/>
      <c r="G1657" s="98">
        <v>16</v>
      </c>
      <c r="H1657" s="99">
        <v>1</v>
      </c>
      <c r="I1657" s="99">
        <v>8</v>
      </c>
      <c r="J1657" s="109">
        <f>D1655</f>
        <v>1.48</v>
      </c>
      <c r="K1657" s="110" t="str">
        <f t="shared" si="300"/>
        <v>0</v>
      </c>
      <c r="L1657" s="111">
        <v>0</v>
      </c>
      <c r="M1657" s="99">
        <f t="shared" si="301"/>
        <v>0</v>
      </c>
      <c r="N1657" s="112">
        <f>J1657+E1657-M1657</f>
        <v>1.48</v>
      </c>
      <c r="O1657" s="112">
        <f t="shared" si="299"/>
        <v>11.84</v>
      </c>
      <c r="P1657" s="140" t="str">
        <f t="shared" si="279"/>
        <v/>
      </c>
      <c r="Q1657" s="140" t="str">
        <f t="shared" si="280"/>
        <v/>
      </c>
      <c r="R1657" s="140" t="str">
        <f t="shared" si="281"/>
        <v/>
      </c>
      <c r="S1657" s="140">
        <f t="shared" si="282"/>
        <v>11.84</v>
      </c>
      <c r="T1657" s="140" t="str">
        <f t="shared" si="283"/>
        <v/>
      </c>
      <c r="U1657" s="140" t="str">
        <f t="shared" si="284"/>
        <v/>
      </c>
      <c r="V1657" s="99"/>
    </row>
    <row r="1658" spans="1:22">
      <c r="A1658" s="92"/>
      <c r="B1658" s="141" t="s">
        <v>381</v>
      </c>
      <c r="C1658" s="136"/>
      <c r="D1658" s="137"/>
      <c r="E1658" s="138"/>
      <c r="F1658" s="139"/>
      <c r="G1658" s="98">
        <v>16</v>
      </c>
      <c r="H1658" s="99">
        <v>1</v>
      </c>
      <c r="I1658" s="99">
        <v>8</v>
      </c>
      <c r="J1658" s="109">
        <f>D1655</f>
        <v>1.48</v>
      </c>
      <c r="K1658" s="110" t="str">
        <f t="shared" si="300"/>
        <v>0</v>
      </c>
      <c r="L1658" s="111">
        <v>0</v>
      </c>
      <c r="M1658" s="99">
        <f t="shared" si="301"/>
        <v>0</v>
      </c>
      <c r="N1658" s="112">
        <f>J1658+E1657-M1658</f>
        <v>1.48</v>
      </c>
      <c r="O1658" s="112">
        <f t="shared" si="299"/>
        <v>11.84</v>
      </c>
      <c r="P1658" s="140" t="str">
        <f t="shared" si="279"/>
        <v/>
      </c>
      <c r="Q1658" s="140" t="str">
        <f t="shared" si="280"/>
        <v/>
      </c>
      <c r="R1658" s="140" t="str">
        <f t="shared" si="281"/>
        <v/>
      </c>
      <c r="S1658" s="140">
        <f t="shared" si="282"/>
        <v>11.84</v>
      </c>
      <c r="T1658" s="140" t="str">
        <f t="shared" si="283"/>
        <v/>
      </c>
      <c r="U1658" s="140" t="str">
        <f t="shared" si="284"/>
        <v/>
      </c>
      <c r="V1658" s="99"/>
    </row>
    <row r="1659" spans="1:22">
      <c r="A1659" s="92"/>
      <c r="B1659" s="141" t="s">
        <v>389</v>
      </c>
      <c r="C1659" s="136"/>
      <c r="D1659" s="137"/>
      <c r="E1659" s="138"/>
      <c r="F1659" s="139"/>
      <c r="G1659" s="98">
        <v>16</v>
      </c>
      <c r="H1659" s="99">
        <v>1</v>
      </c>
      <c r="I1659" s="99">
        <v>8</v>
      </c>
      <c r="J1659" s="109">
        <f>D1655</f>
        <v>1.48</v>
      </c>
      <c r="K1659" s="110" t="str">
        <f t="shared" si="300"/>
        <v>0</v>
      </c>
      <c r="L1659" s="111">
        <v>0</v>
      </c>
      <c r="M1659" s="99">
        <f t="shared" si="301"/>
        <v>0</v>
      </c>
      <c r="N1659" s="112">
        <f>J1659+E1657-M1659</f>
        <v>1.48</v>
      </c>
      <c r="O1659" s="112">
        <f t="shared" si="299"/>
        <v>11.84</v>
      </c>
      <c r="P1659" s="140" t="str">
        <f t="shared" si="279"/>
        <v/>
      </c>
      <c r="Q1659" s="140" t="str">
        <f t="shared" si="280"/>
        <v/>
      </c>
      <c r="R1659" s="140" t="str">
        <f t="shared" si="281"/>
        <v/>
      </c>
      <c r="S1659" s="140">
        <f t="shared" si="282"/>
        <v>11.84</v>
      </c>
      <c r="T1659" s="140" t="str">
        <f t="shared" si="283"/>
        <v/>
      </c>
      <c r="U1659" s="140" t="str">
        <f t="shared" si="284"/>
        <v/>
      </c>
      <c r="V1659" s="99"/>
    </row>
    <row r="1660" spans="1:22">
      <c r="A1660" s="92"/>
      <c r="B1660" s="141" t="s">
        <v>401</v>
      </c>
      <c r="C1660" s="136"/>
      <c r="D1660" s="137"/>
      <c r="E1660" s="138"/>
      <c r="F1660" s="139"/>
      <c r="G1660" s="98">
        <v>16</v>
      </c>
      <c r="H1660" s="99">
        <v>1</v>
      </c>
      <c r="I1660" s="99">
        <v>8</v>
      </c>
      <c r="J1660" s="109">
        <f>D1655</f>
        <v>1.48</v>
      </c>
      <c r="K1660" s="110" t="str">
        <f t="shared" si="300"/>
        <v>0</v>
      </c>
      <c r="L1660" s="111">
        <v>0</v>
      </c>
      <c r="M1660" s="99">
        <f t="shared" si="301"/>
        <v>0</v>
      </c>
      <c r="N1660" s="112">
        <f>J1660+E1657-M1660</f>
        <v>1.48</v>
      </c>
      <c r="O1660" s="112">
        <f t="shared" si="299"/>
        <v>11.84</v>
      </c>
      <c r="P1660" s="140" t="str">
        <f t="shared" si="279"/>
        <v/>
      </c>
      <c r="Q1660" s="140" t="str">
        <f t="shared" si="280"/>
        <v/>
      </c>
      <c r="R1660" s="140" t="str">
        <f t="shared" si="281"/>
        <v/>
      </c>
      <c r="S1660" s="140">
        <f t="shared" si="282"/>
        <v>11.84</v>
      </c>
      <c r="T1660" s="140" t="str">
        <f t="shared" si="283"/>
        <v/>
      </c>
      <c r="U1660" s="140" t="str">
        <f t="shared" si="284"/>
        <v/>
      </c>
      <c r="V1660" s="99"/>
    </row>
    <row r="1661" spans="1:22">
      <c r="A1661" s="92"/>
      <c r="B1661" s="141" t="s">
        <v>403</v>
      </c>
      <c r="C1661" s="136"/>
      <c r="D1661" s="137"/>
      <c r="E1661" s="138"/>
      <c r="F1661" s="139"/>
      <c r="G1661" s="98">
        <v>12</v>
      </c>
      <c r="H1661" s="99">
        <v>1</v>
      </c>
      <c r="I1661" s="99">
        <v>12</v>
      </c>
      <c r="J1661" s="109">
        <f>D1655</f>
        <v>1.48</v>
      </c>
      <c r="K1661" s="110" t="str">
        <f t="shared" si="300"/>
        <v>0</v>
      </c>
      <c r="L1661" s="111">
        <v>0</v>
      </c>
      <c r="M1661" s="99">
        <f t="shared" si="301"/>
        <v>0</v>
      </c>
      <c r="N1661" s="112">
        <f>J1661+E1657-M1661</f>
        <v>1.48</v>
      </c>
      <c r="O1661" s="112">
        <f t="shared" si="299"/>
        <v>17.759999999999998</v>
      </c>
      <c r="P1661" s="140" t="str">
        <f t="shared" si="279"/>
        <v/>
      </c>
      <c r="Q1661" s="140" t="str">
        <f t="shared" si="280"/>
        <v/>
      </c>
      <c r="R1661" s="140">
        <f t="shared" si="281"/>
        <v>17.759999999999998</v>
      </c>
      <c r="S1661" s="140" t="str">
        <f t="shared" si="282"/>
        <v/>
      </c>
      <c r="T1661" s="140" t="str">
        <f t="shared" si="283"/>
        <v/>
      </c>
      <c r="U1661" s="140" t="str">
        <f t="shared" si="284"/>
        <v/>
      </c>
      <c r="V1661" s="99"/>
    </row>
    <row r="1662" spans="1:22">
      <c r="A1662" s="92"/>
      <c r="B1662" s="141"/>
      <c r="C1662" s="136"/>
      <c r="D1662" s="137"/>
      <c r="E1662" s="138"/>
      <c r="F1662" s="139"/>
      <c r="G1662" s="98"/>
      <c r="H1662" s="99"/>
      <c r="I1662" s="99"/>
      <c r="J1662" s="109"/>
      <c r="K1662" s="110"/>
      <c r="L1662" s="111"/>
      <c r="M1662" s="99"/>
      <c r="N1662" s="112"/>
      <c r="O1662" s="112"/>
      <c r="P1662" s="140"/>
      <c r="Q1662" s="140"/>
      <c r="R1662" s="140"/>
      <c r="S1662" s="140"/>
      <c r="T1662" s="140"/>
      <c r="U1662" s="140"/>
      <c r="V1662" s="99"/>
    </row>
    <row r="1663" spans="1:22">
      <c r="A1663" s="92"/>
      <c r="B1663" s="92"/>
      <c r="C1663" s="145">
        <v>0.08</v>
      </c>
      <c r="D1663" s="137"/>
      <c r="E1663" s="138"/>
      <c r="F1663" s="139"/>
      <c r="G1663" s="98"/>
      <c r="H1663" s="99"/>
      <c r="I1663" s="99"/>
      <c r="J1663" s="100"/>
      <c r="K1663" s="99"/>
      <c r="L1663" s="99"/>
      <c r="M1663" s="99"/>
      <c r="N1663" s="99"/>
      <c r="O1663" s="101"/>
      <c r="P1663" s="140" t="str">
        <f t="shared" si="279"/>
        <v/>
      </c>
      <c r="Q1663" s="140" t="str">
        <f t="shared" si="280"/>
        <v/>
      </c>
      <c r="R1663" s="140" t="str">
        <f t="shared" si="281"/>
        <v/>
      </c>
      <c r="S1663" s="140" t="str">
        <f t="shared" si="282"/>
        <v/>
      </c>
      <c r="T1663" s="140" t="str">
        <f t="shared" si="283"/>
        <v/>
      </c>
      <c r="U1663" s="140" t="str">
        <f t="shared" si="284"/>
        <v/>
      </c>
      <c r="V1663" s="99"/>
    </row>
    <row r="1664" spans="1:22">
      <c r="A1664" s="92"/>
      <c r="B1664" s="146" t="s">
        <v>647</v>
      </c>
      <c r="C1664" s="147"/>
      <c r="D1664" s="137"/>
      <c r="E1664" s="148">
        <f>1.2-0.025+0.008+0.008</f>
        <v>1.1910000000000001</v>
      </c>
      <c r="F1664" s="139"/>
      <c r="G1664" s="98">
        <v>8</v>
      </c>
      <c r="H1664" s="99">
        <v>1</v>
      </c>
      <c r="I1664" s="111">
        <f>2*((1.48/0.1)+1)</f>
        <v>31.599999999999998</v>
      </c>
      <c r="J1664" s="149">
        <f>2*(D1666+E1664)+2*8*G1664/1000</f>
        <v>2.87</v>
      </c>
      <c r="K1664" s="99"/>
      <c r="L1664" s="99">
        <v>5</v>
      </c>
      <c r="M1664" s="112">
        <f>2*G1664*L1664/1000</f>
        <v>0.08</v>
      </c>
      <c r="N1664" s="112">
        <f>(J1664+K1664-M1664)</f>
        <v>2.79</v>
      </c>
      <c r="O1664" s="112">
        <f>(H1664*I1664*N1664)</f>
        <v>88.164000000000001</v>
      </c>
      <c r="P1664" s="140">
        <f t="shared" si="279"/>
        <v>88.164000000000001</v>
      </c>
      <c r="Q1664" s="140" t="str">
        <f t="shared" si="280"/>
        <v/>
      </c>
      <c r="R1664" s="140" t="str">
        <f t="shared" si="281"/>
        <v/>
      </c>
      <c r="S1664" s="140" t="str">
        <f t="shared" si="282"/>
        <v/>
      </c>
      <c r="T1664" s="140" t="str">
        <f t="shared" si="283"/>
        <v/>
      </c>
      <c r="U1664" s="140" t="str">
        <f t="shared" si="284"/>
        <v/>
      </c>
      <c r="V1664" s="99"/>
    </row>
    <row r="1665" spans="1:22">
      <c r="A1665" s="92"/>
      <c r="B1665" s="146"/>
      <c r="C1665" s="136"/>
      <c r="D1665" s="137"/>
      <c r="E1665" s="150"/>
      <c r="F1665" s="139"/>
      <c r="G1665" s="98"/>
      <c r="H1665" s="99"/>
      <c r="I1665" s="99"/>
      <c r="J1665" s="100"/>
      <c r="K1665" s="99"/>
      <c r="L1665" s="99"/>
      <c r="M1665" s="99"/>
      <c r="N1665" s="99"/>
      <c r="O1665" s="112"/>
      <c r="P1665" s="140" t="str">
        <f t="shared" si="279"/>
        <v/>
      </c>
      <c r="Q1665" s="140" t="str">
        <f t="shared" si="280"/>
        <v/>
      </c>
      <c r="R1665" s="140" t="str">
        <f t="shared" si="281"/>
        <v/>
      </c>
      <c r="S1665" s="140" t="str">
        <f t="shared" si="282"/>
        <v/>
      </c>
      <c r="T1665" s="140" t="str">
        <f t="shared" si="283"/>
        <v/>
      </c>
      <c r="U1665" s="140" t="str">
        <f t="shared" si="284"/>
        <v/>
      </c>
      <c r="V1665" s="99"/>
    </row>
    <row r="1666" spans="1:22">
      <c r="A1666" s="92"/>
      <c r="B1666" s="146"/>
      <c r="C1666" s="136"/>
      <c r="D1666" s="109">
        <f>0.23-0.05</f>
        <v>0.18</v>
      </c>
      <c r="E1666" s="138"/>
      <c r="F1666" s="139"/>
      <c r="G1666" s="98"/>
      <c r="H1666" s="99"/>
      <c r="I1666" s="99"/>
      <c r="J1666" s="100"/>
      <c r="K1666" s="99"/>
      <c r="L1666" s="99"/>
      <c r="M1666" s="99"/>
      <c r="N1666" s="99"/>
      <c r="O1666" s="112"/>
      <c r="P1666" s="140" t="str">
        <f t="shared" si="279"/>
        <v/>
      </c>
      <c r="Q1666" s="140" t="str">
        <f t="shared" si="280"/>
        <v/>
      </c>
      <c r="R1666" s="140" t="str">
        <f t="shared" si="281"/>
        <v/>
      </c>
      <c r="S1666" s="140" t="str">
        <f t="shared" si="282"/>
        <v/>
      </c>
      <c r="T1666" s="140" t="str">
        <f t="shared" si="283"/>
        <v/>
      </c>
      <c r="U1666" s="140" t="str">
        <f t="shared" si="284"/>
        <v/>
      </c>
      <c r="V1666" s="99"/>
    </row>
    <row r="1667" spans="1:22">
      <c r="A1667" s="92"/>
      <c r="B1667" s="141"/>
      <c r="C1667" s="136"/>
      <c r="D1667" s="137"/>
      <c r="E1667" s="138"/>
      <c r="F1667" s="139"/>
      <c r="G1667" s="98"/>
      <c r="H1667" s="99"/>
      <c r="I1667" s="99"/>
      <c r="J1667" s="109"/>
      <c r="K1667" s="110"/>
      <c r="L1667" s="111"/>
      <c r="M1667" s="99"/>
      <c r="N1667" s="112"/>
      <c r="O1667" s="112"/>
      <c r="P1667" s="140"/>
      <c r="Q1667" s="140"/>
      <c r="R1667" s="140"/>
      <c r="S1667" s="140"/>
      <c r="T1667" s="140"/>
      <c r="U1667" s="140"/>
      <c r="V1667" s="99"/>
    </row>
    <row r="1668" spans="1:22">
      <c r="A1668" s="92"/>
      <c r="B1668" s="92"/>
      <c r="C1668" s="145">
        <v>0.08</v>
      </c>
      <c r="D1668" s="137"/>
      <c r="E1668" s="138"/>
      <c r="F1668" s="139"/>
      <c r="G1668" s="98"/>
      <c r="H1668" s="99"/>
      <c r="I1668" s="99"/>
      <c r="J1668" s="100"/>
      <c r="K1668" s="99"/>
      <c r="L1668" s="99"/>
      <c r="M1668" s="99"/>
      <c r="N1668" s="99"/>
      <c r="O1668" s="101"/>
      <c r="P1668" s="140" t="str">
        <f t="shared" si="279"/>
        <v/>
      </c>
      <c r="Q1668" s="140" t="str">
        <f t="shared" si="280"/>
        <v/>
      </c>
      <c r="R1668" s="140" t="str">
        <f t="shared" si="281"/>
        <v/>
      </c>
      <c r="S1668" s="140" t="str">
        <f t="shared" si="282"/>
        <v/>
      </c>
      <c r="T1668" s="140" t="str">
        <f t="shared" si="283"/>
        <v/>
      </c>
      <c r="U1668" s="140" t="str">
        <f t="shared" si="284"/>
        <v/>
      </c>
      <c r="V1668" s="99"/>
    </row>
    <row r="1669" spans="1:22">
      <c r="A1669" s="92"/>
      <c r="B1669" s="146" t="s">
        <v>648</v>
      </c>
      <c r="C1669" s="147"/>
      <c r="D1669" s="137"/>
      <c r="E1669" s="456">
        <f>3.6-1.2-1.2-0.025+2*0.008+2*0.008</f>
        <v>1.2070000000000005</v>
      </c>
      <c r="F1669" s="139"/>
      <c r="G1669" s="98">
        <v>8</v>
      </c>
      <c r="H1669" s="99">
        <v>1</v>
      </c>
      <c r="I1669" s="111">
        <f>((1.48/0.2)+1)</f>
        <v>8.3999999999999986</v>
      </c>
      <c r="J1669" s="149">
        <f>2*(D1671+E1669)+2*8*G1669/1000</f>
        <v>2.902000000000001</v>
      </c>
      <c r="K1669" s="99"/>
      <c r="L1669" s="99">
        <v>5</v>
      </c>
      <c r="M1669" s="112">
        <f>2*G1669*L1669/1000</f>
        <v>0.08</v>
      </c>
      <c r="N1669" s="112">
        <f>(J1669+K1669-M1669)</f>
        <v>2.822000000000001</v>
      </c>
      <c r="O1669" s="112">
        <f>(H1669*I1669*N1669)</f>
        <v>23.704800000000002</v>
      </c>
      <c r="P1669" s="140">
        <f t="shared" si="279"/>
        <v>23.704800000000002</v>
      </c>
      <c r="Q1669" s="140" t="str">
        <f t="shared" si="280"/>
        <v/>
      </c>
      <c r="R1669" s="140" t="str">
        <f t="shared" si="281"/>
        <v/>
      </c>
      <c r="S1669" s="140" t="str">
        <f t="shared" si="282"/>
        <v/>
      </c>
      <c r="T1669" s="140" t="str">
        <f t="shared" si="283"/>
        <v/>
      </c>
      <c r="U1669" s="140" t="str">
        <f t="shared" si="284"/>
        <v/>
      </c>
      <c r="V1669" s="99"/>
    </row>
    <row r="1670" spans="1:22">
      <c r="A1670" s="92"/>
      <c r="B1670" s="146"/>
      <c r="C1670" s="136"/>
      <c r="D1670" s="137"/>
      <c r="E1670" s="150"/>
      <c r="F1670" s="139"/>
      <c r="G1670" s="98"/>
      <c r="H1670" s="99"/>
      <c r="I1670" s="99"/>
      <c r="J1670" s="100"/>
      <c r="K1670" s="99"/>
      <c r="L1670" s="99"/>
      <c r="M1670" s="99"/>
      <c r="N1670" s="99"/>
      <c r="O1670" s="112"/>
      <c r="P1670" s="140" t="str">
        <f t="shared" si="279"/>
        <v/>
      </c>
      <c r="Q1670" s="140" t="str">
        <f t="shared" si="280"/>
        <v/>
      </c>
      <c r="R1670" s="140" t="str">
        <f t="shared" si="281"/>
        <v/>
      </c>
      <c r="S1670" s="140" t="str">
        <f t="shared" si="282"/>
        <v/>
      </c>
      <c r="T1670" s="140" t="str">
        <f t="shared" si="283"/>
        <v/>
      </c>
      <c r="U1670" s="140" t="str">
        <f t="shared" si="284"/>
        <v/>
      </c>
      <c r="V1670" s="99"/>
    </row>
    <row r="1671" spans="1:22">
      <c r="A1671" s="92"/>
      <c r="B1671" s="146"/>
      <c r="C1671" s="136"/>
      <c r="D1671" s="109">
        <f>0.23-0.05</f>
        <v>0.18</v>
      </c>
      <c r="E1671" s="138"/>
      <c r="F1671" s="139"/>
      <c r="G1671" s="98"/>
      <c r="H1671" s="99"/>
      <c r="I1671" s="99"/>
      <c r="J1671" s="100"/>
      <c r="K1671" s="99"/>
      <c r="L1671" s="99"/>
      <c r="M1671" s="99"/>
      <c r="N1671" s="99"/>
      <c r="O1671" s="112"/>
      <c r="P1671" s="140" t="str">
        <f t="shared" si="279"/>
        <v/>
      </c>
      <c r="Q1671" s="140" t="str">
        <f t="shared" si="280"/>
        <v/>
      </c>
      <c r="R1671" s="140" t="str">
        <f t="shared" si="281"/>
        <v/>
      </c>
      <c r="S1671" s="140" t="str">
        <f t="shared" si="282"/>
        <v/>
      </c>
      <c r="T1671" s="140" t="str">
        <f t="shared" si="283"/>
        <v/>
      </c>
      <c r="U1671" s="140" t="str">
        <f t="shared" si="284"/>
        <v/>
      </c>
      <c r="V1671" s="99"/>
    </row>
    <row r="1672" spans="1:22">
      <c r="A1672" s="92"/>
      <c r="B1672" s="141"/>
      <c r="C1672" s="136"/>
      <c r="D1672" s="137"/>
      <c r="E1672" s="138"/>
      <c r="F1672" s="139"/>
      <c r="G1672" s="98"/>
      <c r="H1672" s="99"/>
      <c r="I1672" s="99"/>
      <c r="J1672" s="109"/>
      <c r="K1672" s="110"/>
      <c r="L1672" s="111"/>
      <c r="M1672" s="99"/>
      <c r="N1672" s="112"/>
      <c r="O1672" s="112"/>
      <c r="P1672" s="140"/>
      <c r="Q1672" s="140"/>
      <c r="R1672" s="140"/>
      <c r="S1672" s="140"/>
      <c r="T1672" s="140"/>
      <c r="U1672" s="140"/>
      <c r="V1672" s="99"/>
    </row>
    <row r="1673" spans="1:22">
      <c r="A1673" s="92"/>
      <c r="B1673" s="92"/>
      <c r="C1673" s="145">
        <v>0.08</v>
      </c>
      <c r="D1673" s="137"/>
      <c r="E1673" s="138"/>
      <c r="F1673" s="139"/>
      <c r="G1673" s="98"/>
      <c r="H1673" s="99"/>
      <c r="I1673" s="99"/>
      <c r="J1673" s="100"/>
      <c r="K1673" s="99"/>
      <c r="L1673" s="99"/>
      <c r="M1673" s="99"/>
      <c r="N1673" s="99"/>
      <c r="O1673" s="101"/>
      <c r="P1673" s="140" t="str">
        <f t="shared" si="279"/>
        <v/>
      </c>
      <c r="Q1673" s="140" t="str">
        <f t="shared" si="280"/>
        <v/>
      </c>
      <c r="R1673" s="140" t="str">
        <f t="shared" si="281"/>
        <v/>
      </c>
      <c r="S1673" s="140" t="str">
        <f t="shared" si="282"/>
        <v/>
      </c>
      <c r="T1673" s="140" t="str">
        <f t="shared" si="283"/>
        <v/>
      </c>
      <c r="U1673" s="140" t="str">
        <f t="shared" si="284"/>
        <v/>
      </c>
      <c r="V1673" s="99"/>
    </row>
    <row r="1674" spans="1:22">
      <c r="A1674" s="92"/>
      <c r="B1674" s="146" t="s">
        <v>649</v>
      </c>
      <c r="C1674" s="147"/>
      <c r="D1674" s="137"/>
      <c r="E1674" s="148">
        <f>(1.2-0.025+0.008+0.008)/5</f>
        <v>0.23820000000000002</v>
      </c>
      <c r="F1674" s="139"/>
      <c r="G1674" s="98">
        <v>8</v>
      </c>
      <c r="H1674" s="99">
        <v>1</v>
      </c>
      <c r="I1674" s="111">
        <f>2*5*((1.48/0.1)+1)</f>
        <v>158</v>
      </c>
      <c r="J1674" s="149">
        <f>2*(D1676+E1674)+2*8*G1674/1000</f>
        <v>0.96440000000000003</v>
      </c>
      <c r="K1674" s="99"/>
      <c r="L1674" s="99">
        <v>5</v>
      </c>
      <c r="M1674" s="112">
        <f>2*G1674*L1674/1000</f>
        <v>0.08</v>
      </c>
      <c r="N1674" s="112">
        <f>(J1674+K1674-M1674)</f>
        <v>0.88440000000000007</v>
      </c>
      <c r="O1674" s="112">
        <f>(H1674*I1674*N1674)</f>
        <v>139.73520000000002</v>
      </c>
      <c r="P1674" s="140">
        <f t="shared" si="279"/>
        <v>139.73520000000002</v>
      </c>
      <c r="Q1674" s="140" t="str">
        <f t="shared" si="280"/>
        <v/>
      </c>
      <c r="R1674" s="140" t="str">
        <f t="shared" si="281"/>
        <v/>
      </c>
      <c r="S1674" s="140" t="str">
        <f t="shared" si="282"/>
        <v/>
      </c>
      <c r="T1674" s="140" t="str">
        <f t="shared" si="283"/>
        <v/>
      </c>
      <c r="U1674" s="140" t="str">
        <f t="shared" si="284"/>
        <v/>
      </c>
      <c r="V1674" s="99"/>
    </row>
    <row r="1675" spans="1:22">
      <c r="A1675" s="92"/>
      <c r="B1675" s="146"/>
      <c r="C1675" s="136"/>
      <c r="D1675" s="137"/>
      <c r="E1675" s="150"/>
      <c r="F1675" s="139"/>
      <c r="G1675" s="98"/>
      <c r="H1675" s="99"/>
      <c r="I1675" s="99"/>
      <c r="J1675" s="100"/>
      <c r="K1675" s="99"/>
      <c r="L1675" s="99"/>
      <c r="M1675" s="99"/>
      <c r="N1675" s="99"/>
      <c r="O1675" s="112"/>
      <c r="P1675" s="140" t="str">
        <f t="shared" si="279"/>
        <v/>
      </c>
      <c r="Q1675" s="140" t="str">
        <f t="shared" si="280"/>
        <v/>
      </c>
      <c r="R1675" s="140" t="str">
        <f t="shared" si="281"/>
        <v/>
      </c>
      <c r="S1675" s="140" t="str">
        <f t="shared" si="282"/>
        <v/>
      </c>
      <c r="T1675" s="140" t="str">
        <f t="shared" si="283"/>
        <v/>
      </c>
      <c r="U1675" s="140" t="str">
        <f t="shared" si="284"/>
        <v/>
      </c>
      <c r="V1675" s="99"/>
    </row>
    <row r="1676" spans="1:22">
      <c r="A1676" s="92"/>
      <c r="B1676" s="146"/>
      <c r="C1676" s="136"/>
      <c r="D1676" s="109">
        <f>0.23-0.05</f>
        <v>0.18</v>
      </c>
      <c r="E1676" s="138"/>
      <c r="F1676" s="139"/>
      <c r="G1676" s="98"/>
      <c r="H1676" s="99"/>
      <c r="I1676" s="99"/>
      <c r="J1676" s="100"/>
      <c r="K1676" s="99"/>
      <c r="L1676" s="99"/>
      <c r="M1676" s="99"/>
      <c r="N1676" s="99"/>
      <c r="O1676" s="112"/>
      <c r="P1676" s="140" t="str">
        <f t="shared" si="279"/>
        <v/>
      </c>
      <c r="Q1676" s="140" t="str">
        <f t="shared" si="280"/>
        <v/>
      </c>
      <c r="R1676" s="140" t="str">
        <f t="shared" si="281"/>
        <v/>
      </c>
      <c r="S1676" s="140" t="str">
        <f t="shared" si="282"/>
        <v/>
      </c>
      <c r="T1676" s="140" t="str">
        <f t="shared" si="283"/>
        <v/>
      </c>
      <c r="U1676" s="140" t="str">
        <f t="shared" si="284"/>
        <v/>
      </c>
      <c r="V1676" s="99"/>
    </row>
    <row r="1677" spans="1:22">
      <c r="A1677" s="92"/>
      <c r="B1677" s="141"/>
      <c r="C1677" s="136"/>
      <c r="D1677" s="137"/>
      <c r="E1677" s="138"/>
      <c r="F1677" s="139"/>
      <c r="G1677" s="98"/>
      <c r="H1677" s="99"/>
      <c r="I1677" s="99"/>
      <c r="J1677" s="100"/>
      <c r="K1677" s="99"/>
      <c r="L1677" s="99"/>
      <c r="M1677" s="99"/>
      <c r="N1677" s="99"/>
      <c r="O1677" s="101"/>
      <c r="P1677" s="140" t="str">
        <f t="shared" si="279"/>
        <v/>
      </c>
      <c r="Q1677" s="140" t="str">
        <f t="shared" si="280"/>
        <v/>
      </c>
      <c r="R1677" s="140" t="str">
        <f t="shared" si="281"/>
        <v/>
      </c>
      <c r="S1677" s="140" t="str">
        <f t="shared" si="282"/>
        <v/>
      </c>
      <c r="T1677" s="140" t="str">
        <f t="shared" si="283"/>
        <v/>
      </c>
      <c r="U1677" s="140" t="str">
        <f t="shared" si="284"/>
        <v/>
      </c>
      <c r="V1677" s="99"/>
    </row>
    <row r="1678" spans="1:22">
      <c r="A1678" s="92"/>
      <c r="B1678" s="141"/>
      <c r="C1678" s="136"/>
      <c r="D1678" s="137"/>
      <c r="E1678" s="144">
        <v>0.08</v>
      </c>
      <c r="F1678" s="139"/>
      <c r="G1678" s="98"/>
      <c r="H1678" s="99"/>
      <c r="I1678" s="99"/>
      <c r="J1678" s="100"/>
      <c r="K1678" s="99"/>
      <c r="L1678" s="99"/>
      <c r="M1678" s="99"/>
      <c r="N1678" s="99"/>
      <c r="O1678" s="101"/>
      <c r="P1678" s="140" t="str">
        <f t="shared" si="279"/>
        <v/>
      </c>
      <c r="Q1678" s="140" t="str">
        <f t="shared" si="280"/>
        <v/>
      </c>
      <c r="R1678" s="140" t="str">
        <f t="shared" si="281"/>
        <v/>
      </c>
      <c r="S1678" s="140" t="str">
        <f t="shared" si="282"/>
        <v/>
      </c>
      <c r="T1678" s="140" t="str">
        <f t="shared" si="283"/>
        <v/>
      </c>
      <c r="U1678" s="140" t="str">
        <f t="shared" si="284"/>
        <v/>
      </c>
      <c r="V1678" s="99"/>
    </row>
    <row r="1679" spans="1:22">
      <c r="A1679" s="92"/>
      <c r="B1679" s="146" t="s">
        <v>650</v>
      </c>
      <c r="C1679" s="136"/>
      <c r="D1679" s="142">
        <f>0.23-0.05</f>
        <v>0.18</v>
      </c>
      <c r="E1679" s="144"/>
      <c r="F1679" s="139"/>
      <c r="G1679" s="98">
        <v>8</v>
      </c>
      <c r="H1679" s="99">
        <v>1</v>
      </c>
      <c r="I1679" s="111">
        <f>3*((1.68/0.4)+1)</f>
        <v>15.599999999999998</v>
      </c>
      <c r="J1679" s="149">
        <f>D1679+E1678+E1680</f>
        <v>0.34</v>
      </c>
      <c r="K1679" s="99"/>
      <c r="L1679" s="99">
        <v>2</v>
      </c>
      <c r="M1679" s="112">
        <f>2*G1679*L1679/1000</f>
        <v>3.2000000000000001E-2</v>
      </c>
      <c r="N1679" s="112">
        <f>(J1679+K1679-M1679)</f>
        <v>0.30800000000000005</v>
      </c>
      <c r="O1679" s="112">
        <f>(H1679*I1679*N1679)</f>
        <v>4.8048000000000002</v>
      </c>
      <c r="P1679" s="140">
        <f t="shared" si="279"/>
        <v>4.8048000000000002</v>
      </c>
      <c r="Q1679" s="140" t="str">
        <f t="shared" si="280"/>
        <v/>
      </c>
      <c r="R1679" s="140" t="str">
        <f t="shared" si="281"/>
        <v/>
      </c>
      <c r="S1679" s="140" t="str">
        <f t="shared" si="282"/>
        <v/>
      </c>
      <c r="T1679" s="140" t="str">
        <f t="shared" si="283"/>
        <v/>
      </c>
      <c r="U1679" s="140" t="str">
        <f t="shared" si="284"/>
        <v/>
      </c>
      <c r="V1679" s="99"/>
    </row>
    <row r="1680" spans="1:22">
      <c r="A1680" s="92"/>
      <c r="B1680" s="141"/>
      <c r="C1680" s="136"/>
      <c r="D1680" s="137"/>
      <c r="E1680" s="144">
        <v>0.08</v>
      </c>
      <c r="F1680" s="139"/>
      <c r="G1680" s="98"/>
      <c r="H1680" s="99"/>
      <c r="I1680" s="99"/>
      <c r="J1680" s="100"/>
      <c r="K1680" s="99"/>
      <c r="L1680" s="99"/>
      <c r="M1680" s="99"/>
      <c r="N1680" s="99"/>
      <c r="O1680" s="101"/>
      <c r="P1680" s="140" t="str">
        <f t="shared" si="279"/>
        <v/>
      </c>
      <c r="Q1680" s="140" t="str">
        <f t="shared" si="280"/>
        <v/>
      </c>
      <c r="R1680" s="140" t="str">
        <f t="shared" si="281"/>
        <v/>
      </c>
      <c r="S1680" s="140" t="str">
        <f t="shared" si="282"/>
        <v/>
      </c>
      <c r="T1680" s="140" t="str">
        <f t="shared" si="283"/>
        <v/>
      </c>
      <c r="U1680" s="140" t="str">
        <f t="shared" si="284"/>
        <v/>
      </c>
      <c r="V1680" s="99"/>
    </row>
    <row r="1681" spans="1:22">
      <c r="A1681" s="92"/>
      <c r="B1681" s="141"/>
      <c r="C1681" s="136"/>
      <c r="D1681" s="137"/>
      <c r="E1681" s="138"/>
      <c r="F1681" s="139"/>
      <c r="G1681" s="98"/>
      <c r="H1681" s="99"/>
      <c r="I1681" s="99"/>
      <c r="J1681" s="109"/>
      <c r="K1681" s="110"/>
      <c r="L1681" s="111"/>
      <c r="M1681" s="99"/>
      <c r="N1681" s="112"/>
      <c r="O1681" s="112"/>
      <c r="P1681" s="140"/>
      <c r="Q1681" s="140"/>
      <c r="R1681" s="140"/>
      <c r="S1681" s="140"/>
      <c r="T1681" s="140"/>
      <c r="U1681" s="140"/>
      <c r="V1681" s="99"/>
    </row>
    <row r="1682" spans="1:22">
      <c r="A1682" s="92"/>
      <c r="B1682" s="146"/>
      <c r="C1682" s="136"/>
      <c r="D1682" s="152"/>
      <c r="E1682" s="138"/>
      <c r="F1682" s="139"/>
      <c r="G1682" s="98"/>
      <c r="H1682" s="99"/>
      <c r="I1682" s="99"/>
      <c r="J1682" s="100"/>
      <c r="K1682" s="99"/>
      <c r="L1682" s="99"/>
      <c r="M1682" s="99"/>
      <c r="N1682" s="99"/>
      <c r="O1682" s="101"/>
      <c r="P1682" s="140" t="str">
        <f t="shared" ref="P1682:P1684" si="302">IF($G1682=8,$O1682,"")</f>
        <v/>
      </c>
      <c r="Q1682" s="140" t="str">
        <f t="shared" ref="Q1682:Q1684" si="303">IF($G1682=10,$O1682,"")</f>
        <v/>
      </c>
      <c r="R1682" s="140" t="str">
        <f t="shared" ref="R1682:R1684" si="304">IF($G1682=12,$O1682,"")</f>
        <v/>
      </c>
      <c r="S1682" s="140" t="str">
        <f t="shared" ref="S1682:S1684" si="305">IF($G1682=16,$O1682,"")</f>
        <v/>
      </c>
      <c r="T1682" s="140" t="str">
        <f t="shared" ref="T1682:T1684" si="306">IF($G1682=20,$O1682,"")</f>
        <v/>
      </c>
      <c r="U1682" s="140" t="str">
        <f t="shared" ref="U1682:U1684" si="307">IF($G1682=25,$O1682,"")</f>
        <v/>
      </c>
      <c r="V1682" s="99"/>
    </row>
    <row r="1683" spans="1:22">
      <c r="A1683" s="92"/>
      <c r="B1683" s="146"/>
      <c r="C1683" s="136"/>
      <c r="D1683" s="152"/>
      <c r="E1683" s="138"/>
      <c r="F1683" s="139"/>
      <c r="G1683" s="98"/>
      <c r="H1683" s="99"/>
      <c r="I1683" s="99"/>
      <c r="J1683" s="100"/>
      <c r="K1683" s="99"/>
      <c r="L1683" s="99"/>
      <c r="M1683" s="99"/>
      <c r="N1683" s="99"/>
      <c r="O1683" s="101"/>
      <c r="P1683" s="140" t="str">
        <f t="shared" si="302"/>
        <v/>
      </c>
      <c r="Q1683" s="140" t="str">
        <f t="shared" si="303"/>
        <v/>
      </c>
      <c r="R1683" s="140" t="str">
        <f t="shared" si="304"/>
        <v/>
      </c>
      <c r="S1683" s="140" t="str">
        <f t="shared" si="305"/>
        <v/>
      </c>
      <c r="T1683" s="140" t="str">
        <f t="shared" si="306"/>
        <v/>
      </c>
      <c r="U1683" s="140" t="str">
        <f t="shared" si="307"/>
        <v/>
      </c>
      <c r="V1683" s="99"/>
    </row>
    <row r="1684" spans="1:22">
      <c r="A1684" s="92"/>
      <c r="B1684" s="153"/>
      <c r="C1684" s="154"/>
      <c r="D1684" s="155"/>
      <c r="E1684" s="156"/>
      <c r="F1684" s="139"/>
      <c r="G1684" s="98"/>
      <c r="H1684" s="99"/>
      <c r="I1684" s="99"/>
      <c r="J1684" s="100"/>
      <c r="K1684" s="99"/>
      <c r="L1684" s="99"/>
      <c r="M1684" s="99"/>
      <c r="N1684" s="99"/>
      <c r="O1684" s="101"/>
      <c r="P1684" s="140" t="str">
        <f t="shared" si="302"/>
        <v/>
      </c>
      <c r="Q1684" s="140" t="str">
        <f t="shared" si="303"/>
        <v/>
      </c>
      <c r="R1684" s="140" t="str">
        <f t="shared" si="304"/>
        <v/>
      </c>
      <c r="S1684" s="140" t="str">
        <f t="shared" si="305"/>
        <v/>
      </c>
      <c r="T1684" s="140" t="str">
        <f t="shared" si="306"/>
        <v/>
      </c>
      <c r="U1684" s="140" t="str">
        <f t="shared" si="307"/>
        <v/>
      </c>
      <c r="V1684" s="98" t="s">
        <v>57</v>
      </c>
    </row>
    <row r="1685" spans="1:22">
      <c r="A1685" s="424"/>
      <c r="B1685" s="157" t="s">
        <v>370</v>
      </c>
      <c r="C1685" s="817"/>
      <c r="D1685" s="817"/>
      <c r="E1685" s="818"/>
      <c r="F1685" s="127"/>
      <c r="G1685" s="127"/>
      <c r="H1685" s="423"/>
      <c r="I1685" s="423"/>
      <c r="J1685" s="425"/>
      <c r="K1685" s="423"/>
      <c r="L1685" s="423"/>
      <c r="M1685" s="423"/>
      <c r="N1685" s="423"/>
      <c r="O1685" s="423"/>
      <c r="P1685" s="130">
        <f t="shared" ref="P1685:U1685" si="308">SUM(P620:P1684)</f>
        <v>4128.693983492064</v>
      </c>
      <c r="Q1685" s="130">
        <f t="shared" si="308"/>
        <v>10258.886007153895</v>
      </c>
      <c r="R1685" s="130">
        <f t="shared" si="308"/>
        <v>1279.1360000000009</v>
      </c>
      <c r="S1685" s="130">
        <f t="shared" si="308"/>
        <v>1896.6879999999996</v>
      </c>
      <c r="T1685" s="130">
        <f t="shared" si="308"/>
        <v>907.5200000000001</v>
      </c>
      <c r="U1685" s="130">
        <f t="shared" si="308"/>
        <v>67.2</v>
      </c>
      <c r="V1685" s="158"/>
    </row>
    <row r="1686" spans="1:22">
      <c r="A1686" s="424"/>
      <c r="B1686" s="157" t="s">
        <v>371</v>
      </c>
      <c r="C1686" s="819"/>
      <c r="D1686" s="819"/>
      <c r="E1686" s="819"/>
      <c r="F1686" s="127"/>
      <c r="G1686" s="127"/>
      <c r="H1686" s="423"/>
      <c r="I1686" s="423"/>
      <c r="J1686" s="425"/>
      <c r="K1686" s="423"/>
      <c r="L1686" s="423"/>
      <c r="M1686" s="423"/>
      <c r="N1686" s="423"/>
      <c r="O1686" s="423"/>
      <c r="P1686" s="423">
        <v>0.39500000000000002</v>
      </c>
      <c r="Q1686" s="423">
        <v>0.61699999999999999</v>
      </c>
      <c r="R1686" s="423">
        <v>0.88800000000000001</v>
      </c>
      <c r="S1686" s="423">
        <v>1.58</v>
      </c>
      <c r="T1686" s="423">
        <v>2.4689999999999999</v>
      </c>
      <c r="U1686" s="423">
        <v>3.8580000000000001</v>
      </c>
      <c r="V1686" s="158"/>
    </row>
    <row r="1687" spans="1:22">
      <c r="A1687" s="424"/>
      <c r="B1687" s="157" t="s">
        <v>372</v>
      </c>
      <c r="C1687" s="819"/>
      <c r="D1687" s="819"/>
      <c r="E1687" s="819"/>
      <c r="F1687" s="127"/>
      <c r="G1687" s="127"/>
      <c r="H1687" s="423"/>
      <c r="I1687" s="423"/>
      <c r="J1687" s="425"/>
      <c r="K1687" s="423"/>
      <c r="L1687" s="423"/>
      <c r="M1687" s="423"/>
      <c r="N1687" s="423"/>
      <c r="O1687" s="423"/>
      <c r="P1687" s="132">
        <f>P1685*P1686</f>
        <v>1630.8341234793654</v>
      </c>
      <c r="Q1687" s="132">
        <f t="shared" ref="Q1687:T1687" si="309">Q1685*Q1686</f>
        <v>6329.7326664139528</v>
      </c>
      <c r="R1687" s="132">
        <f t="shared" si="309"/>
        <v>1135.8727680000009</v>
      </c>
      <c r="S1687" s="132">
        <f t="shared" si="309"/>
        <v>2996.7670399999997</v>
      </c>
      <c r="T1687" s="132">
        <f t="shared" si="309"/>
        <v>2240.6668800000002</v>
      </c>
      <c r="U1687" s="132">
        <f>U1685*U1686</f>
        <v>259.25760000000002</v>
      </c>
      <c r="V1687" s="158">
        <f>SUM(P1687:U1687)</f>
        <v>14593.131077893318</v>
      </c>
    </row>
  </sheetData>
  <mergeCells count="23">
    <mergeCell ref="C1685:E1685"/>
    <mergeCell ref="C1686:E1686"/>
    <mergeCell ref="C1687:E1687"/>
    <mergeCell ref="A619:V619"/>
    <mergeCell ref="C613:E613"/>
    <mergeCell ref="C614:E614"/>
    <mergeCell ref="C615:E615"/>
    <mergeCell ref="V3:V4"/>
    <mergeCell ref="A1:V1"/>
    <mergeCell ref="A3:A4"/>
    <mergeCell ref="B3:B4"/>
    <mergeCell ref="C3:E4"/>
    <mergeCell ref="F3:F4"/>
    <mergeCell ref="G3:G4"/>
    <mergeCell ref="H3:H4"/>
    <mergeCell ref="I3:I4"/>
    <mergeCell ref="J3:J4"/>
    <mergeCell ref="K3:K4"/>
    <mergeCell ref="L3:L4"/>
    <mergeCell ref="M3:M4"/>
    <mergeCell ref="N3:N4"/>
    <mergeCell ref="O3:O4"/>
    <mergeCell ref="P3:U3"/>
  </mergeCells>
  <pageMargins left="0.33" right="0.24" top="0.18" bottom="0.74803149606299213" header="0.12" footer="0.31496062992125984"/>
  <pageSetup paperSize="9" scale="44"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11"/>
  <sheetViews>
    <sheetView zoomScale="85" zoomScaleNormal="85" workbookViewId="0">
      <pane ySplit="3" topLeftCell="A373" activePane="bottomLeft" state="frozen"/>
      <selection pane="bottomLeft" activeCell="E40" sqref="E40"/>
    </sheetView>
  </sheetViews>
  <sheetFormatPr defaultColWidth="9.140625" defaultRowHeight="15"/>
  <cols>
    <col min="1" max="1" width="9.140625" style="221"/>
    <col min="2" max="2" width="36.28515625" style="221" customWidth="1"/>
    <col min="3" max="3" width="6.85546875" style="528" customWidth="1"/>
    <col min="4" max="4" width="6.85546875" style="529" customWidth="1"/>
    <col min="5" max="5" width="7.7109375" style="528" customWidth="1"/>
    <col min="6" max="6" width="9.140625" style="528"/>
    <col min="7" max="7" width="8.7109375" style="528" customWidth="1"/>
    <col min="8" max="12" width="8.7109375" style="221" customWidth="1"/>
    <col min="13" max="13" width="9.5703125" style="221" bestFit="1" customWidth="1"/>
    <col min="14" max="16384" width="9.140625" style="221"/>
  </cols>
  <sheetData>
    <row r="1" spans="1:18" ht="21">
      <c r="A1" s="493" t="s">
        <v>756</v>
      </c>
      <c r="B1" s="494"/>
      <c r="C1" s="494"/>
      <c r="D1" s="494"/>
      <c r="E1" s="494"/>
      <c r="F1" s="494"/>
      <c r="G1" s="494"/>
      <c r="H1" s="494"/>
      <c r="I1" s="494"/>
      <c r="J1" s="494"/>
      <c r="K1" s="494"/>
      <c r="L1" s="494"/>
      <c r="M1" s="494"/>
      <c r="N1" s="494"/>
      <c r="O1" s="494"/>
      <c r="P1" s="494"/>
      <c r="Q1" s="494"/>
      <c r="R1" s="494"/>
    </row>
    <row r="2" spans="1:18">
      <c r="A2" s="823" t="s">
        <v>757</v>
      </c>
      <c r="B2" s="823" t="s">
        <v>758</v>
      </c>
      <c r="C2" s="821" t="s">
        <v>759</v>
      </c>
      <c r="D2" s="821" t="s">
        <v>760</v>
      </c>
      <c r="E2" s="821" t="s">
        <v>761</v>
      </c>
      <c r="F2" s="821" t="s">
        <v>761</v>
      </c>
      <c r="G2" s="821" t="s">
        <v>762</v>
      </c>
      <c r="H2" s="825" t="s">
        <v>763</v>
      </c>
      <c r="I2" s="825"/>
      <c r="J2" s="825"/>
      <c r="K2" s="823" t="s">
        <v>764</v>
      </c>
      <c r="L2" s="823" t="s">
        <v>765</v>
      </c>
      <c r="M2" s="826" t="s">
        <v>766</v>
      </c>
      <c r="N2" s="826"/>
      <c r="O2" s="826"/>
      <c r="P2" s="826"/>
      <c r="Q2" s="826"/>
      <c r="R2" s="826"/>
    </row>
    <row r="3" spans="1:18">
      <c r="A3" s="824"/>
      <c r="B3" s="824"/>
      <c r="C3" s="822"/>
      <c r="D3" s="822"/>
      <c r="E3" s="822"/>
      <c r="F3" s="822"/>
      <c r="G3" s="822"/>
      <c r="H3" s="495" t="s">
        <v>767</v>
      </c>
      <c r="I3" s="495" t="s">
        <v>768</v>
      </c>
      <c r="J3" s="495" t="s">
        <v>769</v>
      </c>
      <c r="K3" s="824"/>
      <c r="L3" s="824"/>
      <c r="M3" s="496" t="s">
        <v>231</v>
      </c>
      <c r="N3" s="496" t="s">
        <v>232</v>
      </c>
      <c r="O3" s="496" t="s">
        <v>233</v>
      </c>
      <c r="P3" s="496" t="s">
        <v>234</v>
      </c>
      <c r="Q3" s="496" t="s">
        <v>770</v>
      </c>
      <c r="R3" s="497" t="s">
        <v>236</v>
      </c>
    </row>
    <row r="4" spans="1:18">
      <c r="A4" s="498"/>
      <c r="B4" s="499" t="s">
        <v>771</v>
      </c>
      <c r="C4" s="500"/>
      <c r="D4" s="501"/>
      <c r="E4" s="500"/>
      <c r="F4" s="502"/>
      <c r="G4" s="502"/>
      <c r="H4" s="503"/>
      <c r="I4" s="503"/>
      <c r="J4" s="503"/>
      <c r="K4" s="503"/>
      <c r="L4" s="503"/>
      <c r="M4" s="503"/>
      <c r="N4" s="503"/>
      <c r="O4" s="503"/>
      <c r="P4" s="503"/>
      <c r="Q4" s="503"/>
      <c r="R4" s="504"/>
    </row>
    <row r="5" spans="1:18">
      <c r="A5" s="505" t="s">
        <v>772</v>
      </c>
      <c r="B5" s="506" t="s">
        <v>674</v>
      </c>
      <c r="C5" s="507"/>
      <c r="D5" s="508"/>
      <c r="E5" s="507"/>
      <c r="F5" s="502"/>
      <c r="G5" s="502"/>
      <c r="H5" s="503"/>
      <c r="I5" s="503"/>
      <c r="J5" s="509"/>
      <c r="K5" s="481"/>
      <c r="L5" s="510">
        <f>SUM(H5:J5)+K5</f>
        <v>0</v>
      </c>
      <c r="M5" s="510">
        <f t="shared" ref="M5:M247" si="0">+ROUND(IF(C5=8,PRODUCT(E5,F5,G5,L5),0),2)</f>
        <v>0</v>
      </c>
      <c r="N5" s="510">
        <f t="shared" ref="N5:N247" si="1">+ROUND(IF(C5=10,PRODUCT(E5,F5,G5,L5),0),2)</f>
        <v>0</v>
      </c>
      <c r="O5" s="510">
        <f t="shared" ref="O5:O247" si="2">+ROUND(IF(C5=12,PRODUCT(E5,F5,G5,L5),0),2)</f>
        <v>0</v>
      </c>
      <c r="P5" s="510">
        <f t="shared" ref="P5:P247" si="3">+ROUND(IF(C5=16,PRODUCT(E5,F5,G5,L5),0),2)</f>
        <v>0</v>
      </c>
      <c r="Q5" s="510">
        <f t="shared" ref="Q5:Q247" si="4">+ROUND(IF(C5=20,PRODUCT(E5,F5,G5,L5),0),2)</f>
        <v>0</v>
      </c>
      <c r="R5" s="510">
        <f t="shared" ref="R5:R247" si="5">+ROUND(IF(C5=25,PRODUCT(E5,F5,G5,L5),0),2)</f>
        <v>0</v>
      </c>
    </row>
    <row r="6" spans="1:18">
      <c r="A6" s="505"/>
      <c r="B6" s="511" t="s">
        <v>740</v>
      </c>
      <c r="C6" s="507">
        <v>16</v>
      </c>
      <c r="D6" s="508"/>
      <c r="E6" s="507">
        <v>2</v>
      </c>
      <c r="F6" s="502">
        <v>1</v>
      </c>
      <c r="G6" s="502">
        <v>2</v>
      </c>
      <c r="H6" s="503">
        <v>0.3</v>
      </c>
      <c r="I6" s="503">
        <f>7.375-0.06</f>
        <v>7.3150000000000004</v>
      </c>
      <c r="J6" s="509">
        <v>0.3</v>
      </c>
      <c r="K6" s="509"/>
      <c r="L6" s="510">
        <f>SUM(H6:J6)+K6</f>
        <v>7.915</v>
      </c>
      <c r="M6" s="510">
        <f t="shared" si="0"/>
        <v>0</v>
      </c>
      <c r="N6" s="510">
        <f t="shared" si="1"/>
        <v>0</v>
      </c>
      <c r="O6" s="510">
        <f t="shared" si="2"/>
        <v>0</v>
      </c>
      <c r="P6" s="510">
        <f t="shared" si="3"/>
        <v>31.66</v>
      </c>
      <c r="Q6" s="510">
        <f t="shared" si="4"/>
        <v>0</v>
      </c>
      <c r="R6" s="510">
        <f t="shared" si="5"/>
        <v>0</v>
      </c>
    </row>
    <row r="7" spans="1:18">
      <c r="A7" s="505"/>
      <c r="B7" s="511" t="s">
        <v>773</v>
      </c>
      <c r="C7" s="507">
        <v>16</v>
      </c>
      <c r="D7" s="508"/>
      <c r="E7" s="507">
        <v>2</v>
      </c>
      <c r="F7" s="502">
        <v>1</v>
      </c>
      <c r="G7" s="502">
        <v>2</v>
      </c>
      <c r="H7" s="503">
        <v>0.3</v>
      </c>
      <c r="I7" s="503">
        <f>7.375-0.06</f>
        <v>7.3150000000000004</v>
      </c>
      <c r="J7" s="565">
        <v>0.3</v>
      </c>
      <c r="K7" s="509"/>
      <c r="L7" s="510">
        <f t="shared" ref="L7:L8" si="6">SUM(H7:J7)+K7</f>
        <v>7.915</v>
      </c>
      <c r="M7" s="510">
        <f t="shared" si="0"/>
        <v>0</v>
      </c>
      <c r="N7" s="510">
        <f t="shared" si="1"/>
        <v>0</v>
      </c>
      <c r="O7" s="510">
        <f t="shared" si="2"/>
        <v>0</v>
      </c>
      <c r="P7" s="510">
        <f t="shared" si="3"/>
        <v>31.66</v>
      </c>
      <c r="Q7" s="510">
        <f t="shared" si="4"/>
        <v>0</v>
      </c>
      <c r="R7" s="510">
        <f t="shared" si="5"/>
        <v>0</v>
      </c>
    </row>
    <row r="8" spans="1:18">
      <c r="A8" s="505"/>
      <c r="B8" s="511" t="s">
        <v>774</v>
      </c>
      <c r="C8" s="507">
        <v>0</v>
      </c>
      <c r="D8" s="508"/>
      <c r="E8" s="507">
        <v>2</v>
      </c>
      <c r="F8" s="502">
        <v>1</v>
      </c>
      <c r="G8" s="502">
        <v>2</v>
      </c>
      <c r="H8" s="503">
        <v>0.3</v>
      </c>
      <c r="I8" s="503">
        <f>0.65-0.03+0.9</f>
        <v>1.52</v>
      </c>
      <c r="J8" s="509"/>
      <c r="K8" s="509"/>
      <c r="L8" s="510">
        <f t="shared" si="6"/>
        <v>1.82</v>
      </c>
      <c r="M8" s="510">
        <f t="shared" si="0"/>
        <v>0</v>
      </c>
      <c r="N8" s="510">
        <f t="shared" si="1"/>
        <v>0</v>
      </c>
      <c r="O8" s="510">
        <f t="shared" si="2"/>
        <v>0</v>
      </c>
      <c r="P8" s="510">
        <f t="shared" si="3"/>
        <v>0</v>
      </c>
      <c r="Q8" s="510">
        <f t="shared" si="4"/>
        <v>0</v>
      </c>
      <c r="R8" s="510">
        <f t="shared" si="5"/>
        <v>0</v>
      </c>
    </row>
    <row r="9" spans="1:18">
      <c r="A9" s="505"/>
      <c r="B9" s="511" t="s">
        <v>775</v>
      </c>
      <c r="C9" s="507">
        <v>8</v>
      </c>
      <c r="D9" s="508">
        <v>100</v>
      </c>
      <c r="E9" s="507">
        <v>2</v>
      </c>
      <c r="F9" s="502">
        <v>1</v>
      </c>
      <c r="G9" s="502">
        <f>+ROUND(1.8/0.1,0)</f>
        <v>18</v>
      </c>
      <c r="H9" s="503"/>
      <c r="I9" s="516">
        <f>2*(0.14+0.39)+16*C9/1000</f>
        <v>1.1880000000000002</v>
      </c>
      <c r="J9" s="509"/>
      <c r="K9" s="481"/>
      <c r="L9" s="510">
        <f>SUM(H9:J9)+K9</f>
        <v>1.1880000000000002</v>
      </c>
      <c r="M9" s="510">
        <f t="shared" si="0"/>
        <v>42.77</v>
      </c>
      <c r="N9" s="510">
        <f t="shared" si="1"/>
        <v>0</v>
      </c>
      <c r="O9" s="510">
        <f t="shared" si="2"/>
        <v>0</v>
      </c>
      <c r="P9" s="510">
        <f t="shared" si="3"/>
        <v>0</v>
      </c>
      <c r="Q9" s="510">
        <f t="shared" si="4"/>
        <v>0</v>
      </c>
      <c r="R9" s="510">
        <f t="shared" si="5"/>
        <v>0</v>
      </c>
    </row>
    <row r="10" spans="1:18">
      <c r="A10" s="505"/>
      <c r="B10" s="511"/>
      <c r="C10" s="507">
        <v>8</v>
      </c>
      <c r="D10" s="508">
        <v>150</v>
      </c>
      <c r="E10" s="507">
        <v>2</v>
      </c>
      <c r="F10" s="502">
        <v>1</v>
      </c>
      <c r="G10" s="502">
        <f>+ROUND(1.225/0.15+1,0)</f>
        <v>9</v>
      </c>
      <c r="H10" s="503"/>
      <c r="I10" s="516">
        <f t="shared" ref="I10:I12" si="7">2*(0.14+0.39)+16*C10/1000</f>
        <v>1.1880000000000002</v>
      </c>
      <c r="J10" s="509"/>
      <c r="K10" s="509"/>
      <c r="L10" s="510">
        <f>SUM(H10:J10)+K10</f>
        <v>1.1880000000000002</v>
      </c>
      <c r="M10" s="510">
        <f t="shared" si="0"/>
        <v>21.38</v>
      </c>
      <c r="N10" s="510">
        <f t="shared" si="1"/>
        <v>0</v>
      </c>
      <c r="O10" s="510">
        <f t="shared" si="2"/>
        <v>0</v>
      </c>
      <c r="P10" s="510">
        <f t="shared" si="3"/>
        <v>0</v>
      </c>
      <c r="Q10" s="510">
        <f t="shared" si="4"/>
        <v>0</v>
      </c>
      <c r="R10" s="510">
        <f t="shared" si="5"/>
        <v>0</v>
      </c>
    </row>
    <row r="11" spans="1:18">
      <c r="A11" s="505"/>
      <c r="B11" s="511" t="s">
        <v>775</v>
      </c>
      <c r="C11" s="507">
        <v>8</v>
      </c>
      <c r="D11" s="508">
        <v>100</v>
      </c>
      <c r="E11" s="507">
        <v>2</v>
      </c>
      <c r="F11" s="502">
        <v>1</v>
      </c>
      <c r="G11" s="502">
        <f>+ROUND(1.8/0.1,0)</f>
        <v>18</v>
      </c>
      <c r="H11" s="503"/>
      <c r="I11" s="516">
        <f t="shared" si="7"/>
        <v>1.1880000000000002</v>
      </c>
      <c r="J11" s="509"/>
      <c r="K11" s="509"/>
      <c r="L11" s="510">
        <f t="shared" ref="L11:L52" si="8">SUM(H11:J11)+K11</f>
        <v>1.1880000000000002</v>
      </c>
      <c r="M11" s="510">
        <f t="shared" si="0"/>
        <v>42.77</v>
      </c>
      <c r="N11" s="510">
        <f t="shared" si="1"/>
        <v>0</v>
      </c>
      <c r="O11" s="510">
        <f t="shared" si="2"/>
        <v>0</v>
      </c>
      <c r="P11" s="510">
        <f t="shared" si="3"/>
        <v>0</v>
      </c>
      <c r="Q11" s="510">
        <f t="shared" si="4"/>
        <v>0</v>
      </c>
      <c r="R11" s="510">
        <f t="shared" si="5"/>
        <v>0</v>
      </c>
    </row>
    <row r="12" spans="1:18">
      <c r="A12" s="505"/>
      <c r="B12" s="511"/>
      <c r="C12" s="507">
        <v>8</v>
      </c>
      <c r="D12" s="508">
        <v>150</v>
      </c>
      <c r="E12" s="507">
        <v>2</v>
      </c>
      <c r="F12" s="502">
        <v>1</v>
      </c>
      <c r="G12" s="502">
        <f>+ROUND(1/0.15+1,0)</f>
        <v>8</v>
      </c>
      <c r="H12" s="503"/>
      <c r="I12" s="516">
        <f t="shared" si="7"/>
        <v>1.1880000000000002</v>
      </c>
      <c r="J12" s="509"/>
      <c r="K12" s="481"/>
      <c r="L12" s="510">
        <f t="shared" si="8"/>
        <v>1.1880000000000002</v>
      </c>
      <c r="M12" s="510">
        <f t="shared" si="0"/>
        <v>19.010000000000002</v>
      </c>
      <c r="N12" s="510">
        <f t="shared" si="1"/>
        <v>0</v>
      </c>
      <c r="O12" s="510">
        <f t="shared" si="2"/>
        <v>0</v>
      </c>
      <c r="P12" s="510">
        <f t="shared" si="3"/>
        <v>0</v>
      </c>
      <c r="Q12" s="510">
        <f t="shared" si="4"/>
        <v>0</v>
      </c>
      <c r="R12" s="510">
        <f t="shared" si="5"/>
        <v>0</v>
      </c>
    </row>
    <row r="13" spans="1:18">
      <c r="A13" s="505" t="s">
        <v>772</v>
      </c>
      <c r="B13" s="506" t="s">
        <v>675</v>
      </c>
      <c r="C13" s="507"/>
      <c r="D13" s="508"/>
      <c r="E13" s="507"/>
      <c r="F13" s="502"/>
      <c r="G13" s="502"/>
      <c r="H13" s="503"/>
      <c r="I13" s="503"/>
      <c r="J13" s="509"/>
      <c r="K13" s="509"/>
      <c r="L13" s="510">
        <f t="shared" si="8"/>
        <v>0</v>
      </c>
      <c r="M13" s="510">
        <f t="shared" si="0"/>
        <v>0</v>
      </c>
      <c r="N13" s="510">
        <f t="shared" si="1"/>
        <v>0</v>
      </c>
      <c r="O13" s="510">
        <f t="shared" si="2"/>
        <v>0</v>
      </c>
      <c r="P13" s="510">
        <f t="shared" si="3"/>
        <v>0</v>
      </c>
      <c r="Q13" s="510">
        <f t="shared" si="4"/>
        <v>0</v>
      </c>
      <c r="R13" s="510">
        <f t="shared" si="5"/>
        <v>0</v>
      </c>
    </row>
    <row r="14" spans="1:18">
      <c r="A14" s="505"/>
      <c r="B14" s="511" t="s">
        <v>740</v>
      </c>
      <c r="C14" s="507">
        <v>16</v>
      </c>
      <c r="D14" s="508"/>
      <c r="E14" s="507">
        <v>2</v>
      </c>
      <c r="F14" s="502">
        <v>1</v>
      </c>
      <c r="G14" s="502">
        <v>2</v>
      </c>
      <c r="H14" s="503">
        <v>0.3</v>
      </c>
      <c r="I14" s="503">
        <f>4.15-0.06</f>
        <v>4.0900000000000007</v>
      </c>
      <c r="J14" s="509">
        <v>0.3</v>
      </c>
      <c r="K14" s="509"/>
      <c r="L14" s="510">
        <f>SUM(H14:J14)+K14</f>
        <v>4.6900000000000004</v>
      </c>
      <c r="M14" s="510">
        <f t="shared" si="0"/>
        <v>0</v>
      </c>
      <c r="N14" s="510">
        <f t="shared" si="1"/>
        <v>0</v>
      </c>
      <c r="O14" s="510">
        <f t="shared" si="2"/>
        <v>0</v>
      </c>
      <c r="P14" s="510">
        <f t="shared" si="3"/>
        <v>18.760000000000002</v>
      </c>
      <c r="Q14" s="510">
        <f t="shared" si="4"/>
        <v>0</v>
      </c>
      <c r="R14" s="510">
        <f t="shared" si="5"/>
        <v>0</v>
      </c>
    </row>
    <row r="15" spans="1:18">
      <c r="A15" s="505"/>
      <c r="B15" s="511" t="s">
        <v>773</v>
      </c>
      <c r="C15" s="507">
        <v>16</v>
      </c>
      <c r="D15" s="508"/>
      <c r="E15" s="507">
        <v>2</v>
      </c>
      <c r="F15" s="502">
        <v>1</v>
      </c>
      <c r="G15" s="502">
        <v>2</v>
      </c>
      <c r="H15" s="503">
        <v>0.3</v>
      </c>
      <c r="I15" s="503">
        <f>4.15-0.06</f>
        <v>4.0900000000000007</v>
      </c>
      <c r="J15" s="509">
        <v>0.3</v>
      </c>
      <c r="K15" s="509"/>
      <c r="L15" s="510">
        <f t="shared" ref="L15:L16" si="9">SUM(H15:J15)+K15</f>
        <v>4.6900000000000004</v>
      </c>
      <c r="M15" s="510">
        <f t="shared" si="0"/>
        <v>0</v>
      </c>
      <c r="N15" s="510">
        <f t="shared" si="1"/>
        <v>0</v>
      </c>
      <c r="O15" s="510">
        <f t="shared" si="2"/>
        <v>0</v>
      </c>
      <c r="P15" s="510">
        <f t="shared" si="3"/>
        <v>18.760000000000002</v>
      </c>
      <c r="Q15" s="510">
        <f t="shared" si="4"/>
        <v>0</v>
      </c>
      <c r="R15" s="510">
        <f t="shared" si="5"/>
        <v>0</v>
      </c>
    </row>
    <row r="16" spans="1:18">
      <c r="A16" s="505"/>
      <c r="B16" s="511" t="s">
        <v>774</v>
      </c>
      <c r="C16" s="507">
        <v>0</v>
      </c>
      <c r="D16" s="508"/>
      <c r="E16" s="507">
        <v>2</v>
      </c>
      <c r="F16" s="502">
        <v>1</v>
      </c>
      <c r="G16" s="502">
        <v>2</v>
      </c>
      <c r="H16" s="503">
        <v>0.3</v>
      </c>
      <c r="I16" s="503">
        <f>0.65-0.03+0.9</f>
        <v>1.52</v>
      </c>
      <c r="J16" s="509"/>
      <c r="K16" s="509"/>
      <c r="L16" s="510">
        <f t="shared" si="9"/>
        <v>1.82</v>
      </c>
      <c r="M16" s="510">
        <f t="shared" si="0"/>
        <v>0</v>
      </c>
      <c r="N16" s="510">
        <f t="shared" si="1"/>
        <v>0</v>
      </c>
      <c r="O16" s="510">
        <f t="shared" si="2"/>
        <v>0</v>
      </c>
      <c r="P16" s="510">
        <f t="shared" si="3"/>
        <v>0</v>
      </c>
      <c r="Q16" s="510">
        <f t="shared" si="4"/>
        <v>0</v>
      </c>
      <c r="R16" s="510">
        <f t="shared" si="5"/>
        <v>0</v>
      </c>
    </row>
    <row r="17" spans="1:18">
      <c r="A17" s="505">
        <v>3.3</v>
      </c>
      <c r="B17" s="511" t="s">
        <v>775</v>
      </c>
      <c r="C17" s="507">
        <v>8</v>
      </c>
      <c r="D17" s="508">
        <v>100</v>
      </c>
      <c r="E17" s="507">
        <v>2</v>
      </c>
      <c r="F17" s="502">
        <v>1</v>
      </c>
      <c r="G17" s="502">
        <f>+ROUND(1.8/0.1,0)</f>
        <v>18</v>
      </c>
      <c r="H17" s="503"/>
      <c r="I17" s="516">
        <f t="shared" ref="I17:I18" si="10">2*(0.14+0.39)+16*C17/1000</f>
        <v>1.1880000000000002</v>
      </c>
      <c r="J17" s="509"/>
      <c r="K17" s="481"/>
      <c r="L17" s="510">
        <f>SUM(H17:J17)+K17</f>
        <v>1.1880000000000002</v>
      </c>
      <c r="M17" s="510">
        <f t="shared" si="0"/>
        <v>42.77</v>
      </c>
      <c r="N17" s="510">
        <f t="shared" si="1"/>
        <v>0</v>
      </c>
      <c r="O17" s="510">
        <f t="shared" si="2"/>
        <v>0</v>
      </c>
      <c r="P17" s="510">
        <f t="shared" si="3"/>
        <v>0</v>
      </c>
      <c r="Q17" s="510">
        <f t="shared" si="4"/>
        <v>0</v>
      </c>
      <c r="R17" s="510">
        <f t="shared" si="5"/>
        <v>0</v>
      </c>
    </row>
    <row r="18" spans="1:18">
      <c r="A18" s="505"/>
      <c r="B18" s="511"/>
      <c r="C18" s="507">
        <v>8</v>
      </c>
      <c r="D18" s="508">
        <v>150</v>
      </c>
      <c r="E18" s="507">
        <v>2</v>
      </c>
      <c r="F18" s="502">
        <v>1</v>
      </c>
      <c r="G18" s="502">
        <f>+ROUND((+A17-1.8)/0.15+1,0)</f>
        <v>11</v>
      </c>
      <c r="H18" s="503"/>
      <c r="I18" s="516">
        <f t="shared" si="10"/>
        <v>1.1880000000000002</v>
      </c>
      <c r="J18" s="509"/>
      <c r="K18" s="509"/>
      <c r="L18" s="510">
        <f>SUM(H18:J18)+K18</f>
        <v>1.1880000000000002</v>
      </c>
      <c r="M18" s="510">
        <f t="shared" si="0"/>
        <v>26.14</v>
      </c>
      <c r="N18" s="510">
        <f t="shared" si="1"/>
        <v>0</v>
      </c>
      <c r="O18" s="510">
        <f t="shared" si="2"/>
        <v>0</v>
      </c>
      <c r="P18" s="510">
        <f t="shared" si="3"/>
        <v>0</v>
      </c>
      <c r="Q18" s="510">
        <f t="shared" si="4"/>
        <v>0</v>
      </c>
      <c r="R18" s="510">
        <f t="shared" si="5"/>
        <v>0</v>
      </c>
    </row>
    <row r="19" spans="1:18" s="519" customFormat="1">
      <c r="A19" s="512" t="s">
        <v>776</v>
      </c>
      <c r="B19" s="506" t="s">
        <v>676</v>
      </c>
      <c r="C19" s="513"/>
      <c r="D19" s="514"/>
      <c r="E19" s="513"/>
      <c r="F19" s="515"/>
      <c r="G19" s="515"/>
      <c r="H19" s="516"/>
      <c r="I19" s="516"/>
      <c r="J19" s="566"/>
      <c r="K19" s="517"/>
      <c r="L19" s="518">
        <f t="shared" ref="L19" si="11">SUM(H19:J19)+K19</f>
        <v>0</v>
      </c>
      <c r="M19" s="518">
        <f t="shared" si="0"/>
        <v>0</v>
      </c>
      <c r="N19" s="518">
        <f t="shared" si="1"/>
        <v>0</v>
      </c>
      <c r="O19" s="518">
        <f t="shared" si="2"/>
        <v>0</v>
      </c>
      <c r="P19" s="518">
        <f t="shared" si="3"/>
        <v>0</v>
      </c>
      <c r="Q19" s="518">
        <f t="shared" si="4"/>
        <v>0</v>
      </c>
      <c r="R19" s="518">
        <f t="shared" si="5"/>
        <v>0</v>
      </c>
    </row>
    <row r="20" spans="1:18" s="519" customFormat="1">
      <c r="A20" s="512"/>
      <c r="B20" s="511" t="s">
        <v>740</v>
      </c>
      <c r="C20" s="513">
        <v>10</v>
      </c>
      <c r="D20" s="514"/>
      <c r="E20" s="513">
        <v>4</v>
      </c>
      <c r="F20" s="515">
        <v>1</v>
      </c>
      <c r="G20" s="515">
        <v>2</v>
      </c>
      <c r="H20" s="503">
        <v>0.3</v>
      </c>
      <c r="I20" s="516">
        <f>1.925-0.06</f>
        <v>1.865</v>
      </c>
      <c r="J20" s="567">
        <v>0.3</v>
      </c>
      <c r="K20" s="517"/>
      <c r="L20" s="518">
        <f>SUM(H20:J20)+K20</f>
        <v>2.4649999999999999</v>
      </c>
      <c r="M20" s="518">
        <f t="shared" si="0"/>
        <v>0</v>
      </c>
      <c r="N20" s="518">
        <f t="shared" si="1"/>
        <v>19.72</v>
      </c>
      <c r="O20" s="518">
        <f t="shared" si="2"/>
        <v>0</v>
      </c>
      <c r="P20" s="518">
        <f t="shared" si="3"/>
        <v>0</v>
      </c>
      <c r="Q20" s="518">
        <f t="shared" si="4"/>
        <v>0</v>
      </c>
      <c r="R20" s="518">
        <f t="shared" si="5"/>
        <v>0</v>
      </c>
    </row>
    <row r="21" spans="1:18" s="519" customFormat="1">
      <c r="A21" s="512"/>
      <c r="B21" s="511" t="s">
        <v>773</v>
      </c>
      <c r="C21" s="513">
        <v>10</v>
      </c>
      <c r="D21" s="514"/>
      <c r="E21" s="513">
        <v>4</v>
      </c>
      <c r="F21" s="515">
        <v>1</v>
      </c>
      <c r="G21" s="515">
        <v>2</v>
      </c>
      <c r="H21" s="503">
        <v>0.3</v>
      </c>
      <c r="I21" s="516">
        <f>1.925-0.06</f>
        <v>1.865</v>
      </c>
      <c r="J21" s="567">
        <v>0.3</v>
      </c>
      <c r="K21" s="517"/>
      <c r="L21" s="518">
        <f t="shared" ref="L21" si="12">SUM(H21:J21)+K21</f>
        <v>2.4649999999999999</v>
      </c>
      <c r="M21" s="518">
        <f t="shared" si="0"/>
        <v>0</v>
      </c>
      <c r="N21" s="518">
        <f t="shared" si="1"/>
        <v>19.72</v>
      </c>
      <c r="O21" s="518">
        <f t="shared" si="2"/>
        <v>0</v>
      </c>
      <c r="P21" s="518">
        <f t="shared" si="3"/>
        <v>0</v>
      </c>
      <c r="Q21" s="518">
        <f t="shared" si="4"/>
        <v>0</v>
      </c>
      <c r="R21" s="518">
        <f t="shared" si="5"/>
        <v>0</v>
      </c>
    </row>
    <row r="22" spans="1:18" s="519" customFormat="1">
      <c r="A22" s="512"/>
      <c r="B22" s="511" t="s">
        <v>775</v>
      </c>
      <c r="C22" s="513">
        <v>8</v>
      </c>
      <c r="D22" s="514">
        <v>150</v>
      </c>
      <c r="E22" s="513">
        <v>4</v>
      </c>
      <c r="F22" s="515">
        <v>1</v>
      </c>
      <c r="G22" s="515">
        <f>+ROUND(1.395/0.15+1,0)</f>
        <v>10</v>
      </c>
      <c r="H22" s="516"/>
      <c r="I22" s="516">
        <f>2*(0.05+0.39)+16*C22/1000</f>
        <v>1.008</v>
      </c>
      <c r="J22" s="566"/>
      <c r="K22" s="413"/>
      <c r="L22" s="518">
        <f>SUM(H22:J22)+K22</f>
        <v>1.008</v>
      </c>
      <c r="M22" s="518">
        <f t="shared" si="0"/>
        <v>40.32</v>
      </c>
      <c r="N22" s="518">
        <f t="shared" si="1"/>
        <v>0</v>
      </c>
      <c r="O22" s="518">
        <f t="shared" si="2"/>
        <v>0</v>
      </c>
      <c r="P22" s="518">
        <f t="shared" si="3"/>
        <v>0</v>
      </c>
      <c r="Q22" s="518">
        <f t="shared" si="4"/>
        <v>0</v>
      </c>
      <c r="R22" s="518">
        <f t="shared" si="5"/>
        <v>0</v>
      </c>
    </row>
    <row r="23" spans="1:18" s="519" customFormat="1">
      <c r="A23" s="512" t="s">
        <v>776</v>
      </c>
      <c r="B23" s="506" t="s">
        <v>676</v>
      </c>
      <c r="C23" s="513"/>
      <c r="D23" s="514"/>
      <c r="E23" s="513"/>
      <c r="F23" s="515"/>
      <c r="G23" s="515"/>
      <c r="H23" s="516"/>
      <c r="I23" s="516"/>
      <c r="J23" s="566"/>
      <c r="K23" s="517"/>
      <c r="L23" s="518">
        <f t="shared" ref="L23" si="13">SUM(H23:J23)+K23</f>
        <v>0</v>
      </c>
      <c r="M23" s="518">
        <f t="shared" si="0"/>
        <v>0</v>
      </c>
      <c r="N23" s="518">
        <f t="shared" si="1"/>
        <v>0</v>
      </c>
      <c r="O23" s="518">
        <f t="shared" si="2"/>
        <v>0</v>
      </c>
      <c r="P23" s="518">
        <f t="shared" si="3"/>
        <v>0</v>
      </c>
      <c r="Q23" s="518">
        <f t="shared" si="4"/>
        <v>0</v>
      </c>
      <c r="R23" s="518">
        <f t="shared" si="5"/>
        <v>0</v>
      </c>
    </row>
    <row r="24" spans="1:18" s="519" customFormat="1">
      <c r="A24" s="512"/>
      <c r="B24" s="511" t="s">
        <v>740</v>
      </c>
      <c r="C24" s="513">
        <v>10</v>
      </c>
      <c r="D24" s="514"/>
      <c r="E24" s="513">
        <v>2</v>
      </c>
      <c r="F24" s="515">
        <v>1</v>
      </c>
      <c r="G24" s="515">
        <v>2</v>
      </c>
      <c r="H24" s="503">
        <v>0.3</v>
      </c>
      <c r="I24" s="516">
        <f>1.53-0.06</f>
        <v>1.47</v>
      </c>
      <c r="J24" s="567">
        <v>0.3</v>
      </c>
      <c r="K24" s="517"/>
      <c r="L24" s="518">
        <f>SUM(H24:J24)+K24</f>
        <v>2.0699999999999998</v>
      </c>
      <c r="M24" s="518">
        <f t="shared" si="0"/>
        <v>0</v>
      </c>
      <c r="N24" s="518">
        <f t="shared" si="1"/>
        <v>8.2799999999999994</v>
      </c>
      <c r="O24" s="518">
        <f t="shared" si="2"/>
        <v>0</v>
      </c>
      <c r="P24" s="518">
        <f t="shared" si="3"/>
        <v>0</v>
      </c>
      <c r="Q24" s="518">
        <f t="shared" si="4"/>
        <v>0</v>
      </c>
      <c r="R24" s="518">
        <f t="shared" si="5"/>
        <v>0</v>
      </c>
    </row>
    <row r="25" spans="1:18" s="519" customFormat="1">
      <c r="A25" s="512"/>
      <c r="B25" s="511" t="s">
        <v>773</v>
      </c>
      <c r="C25" s="513">
        <v>10</v>
      </c>
      <c r="D25" s="514"/>
      <c r="E25" s="513">
        <v>2</v>
      </c>
      <c r="F25" s="515">
        <v>1</v>
      </c>
      <c r="G25" s="515">
        <v>2</v>
      </c>
      <c r="H25" s="503">
        <v>0.3</v>
      </c>
      <c r="I25" s="516">
        <f>1.53-0.06</f>
        <v>1.47</v>
      </c>
      <c r="J25" s="567">
        <v>0.3</v>
      </c>
      <c r="K25" s="517"/>
      <c r="L25" s="518">
        <f t="shared" ref="L25" si="14">SUM(H25:J25)+K25</f>
        <v>2.0699999999999998</v>
      </c>
      <c r="M25" s="518">
        <f t="shared" si="0"/>
        <v>0</v>
      </c>
      <c r="N25" s="518">
        <f t="shared" si="1"/>
        <v>8.2799999999999994</v>
      </c>
      <c r="O25" s="518">
        <f t="shared" si="2"/>
        <v>0</v>
      </c>
      <c r="P25" s="518">
        <f t="shared" si="3"/>
        <v>0</v>
      </c>
      <c r="Q25" s="518">
        <f t="shared" si="4"/>
        <v>0</v>
      </c>
      <c r="R25" s="518">
        <f t="shared" si="5"/>
        <v>0</v>
      </c>
    </row>
    <row r="26" spans="1:18" s="519" customFormat="1">
      <c r="A26" s="512"/>
      <c r="B26" s="511" t="s">
        <v>775</v>
      </c>
      <c r="C26" s="513">
        <v>8</v>
      </c>
      <c r="D26" s="514">
        <v>150</v>
      </c>
      <c r="E26" s="513">
        <v>2</v>
      </c>
      <c r="F26" s="515">
        <v>1</v>
      </c>
      <c r="G26" s="515">
        <f>+ROUND(1.2/0.15+1,0)</f>
        <v>9</v>
      </c>
      <c r="H26" s="516"/>
      <c r="I26" s="516">
        <f>2*(0.05+0.39)+16*C26/1000</f>
        <v>1.008</v>
      </c>
      <c r="J26" s="566"/>
      <c r="K26" s="413"/>
      <c r="L26" s="518">
        <f>SUM(H26:J26)+K26</f>
        <v>1.008</v>
      </c>
      <c r="M26" s="518">
        <f t="shared" si="0"/>
        <v>18.14</v>
      </c>
      <c r="N26" s="518">
        <f t="shared" si="1"/>
        <v>0</v>
      </c>
      <c r="O26" s="518">
        <f t="shared" si="2"/>
        <v>0</v>
      </c>
      <c r="P26" s="518">
        <f t="shared" si="3"/>
        <v>0</v>
      </c>
      <c r="Q26" s="518">
        <f t="shared" si="4"/>
        <v>0</v>
      </c>
      <c r="R26" s="518">
        <f t="shared" si="5"/>
        <v>0</v>
      </c>
    </row>
    <row r="27" spans="1:18" s="519" customFormat="1">
      <c r="A27" s="512" t="s">
        <v>776</v>
      </c>
      <c r="B27" s="506" t="s">
        <v>676</v>
      </c>
      <c r="C27" s="513"/>
      <c r="D27" s="514"/>
      <c r="E27" s="513"/>
      <c r="F27" s="515"/>
      <c r="G27" s="515"/>
      <c r="H27" s="516"/>
      <c r="I27" s="516"/>
      <c r="J27" s="566"/>
      <c r="K27" s="517"/>
      <c r="L27" s="518">
        <f t="shared" ref="L27" si="15">SUM(H27:J27)+K27</f>
        <v>0</v>
      </c>
      <c r="M27" s="518">
        <f t="shared" si="0"/>
        <v>0</v>
      </c>
      <c r="N27" s="518">
        <f t="shared" si="1"/>
        <v>0</v>
      </c>
      <c r="O27" s="518">
        <f t="shared" si="2"/>
        <v>0</v>
      </c>
      <c r="P27" s="518">
        <f t="shared" si="3"/>
        <v>0</v>
      </c>
      <c r="Q27" s="518">
        <f t="shared" si="4"/>
        <v>0</v>
      </c>
      <c r="R27" s="518">
        <f t="shared" si="5"/>
        <v>0</v>
      </c>
    </row>
    <row r="28" spans="1:18" s="519" customFormat="1">
      <c r="A28" s="512"/>
      <c r="B28" s="511" t="s">
        <v>740</v>
      </c>
      <c r="C28" s="513">
        <v>10</v>
      </c>
      <c r="D28" s="514"/>
      <c r="E28" s="513">
        <v>6</v>
      </c>
      <c r="F28" s="515">
        <v>1</v>
      </c>
      <c r="G28" s="515">
        <v>2</v>
      </c>
      <c r="H28" s="503">
        <v>0.3</v>
      </c>
      <c r="I28" s="516">
        <f>1.7-0.06</f>
        <v>1.64</v>
      </c>
      <c r="J28" s="567">
        <v>0.3</v>
      </c>
      <c r="K28" s="517"/>
      <c r="L28" s="518">
        <f>SUM(H28:J28)+K28</f>
        <v>2.2399999999999998</v>
      </c>
      <c r="M28" s="518">
        <f t="shared" si="0"/>
        <v>0</v>
      </c>
      <c r="N28" s="518">
        <f t="shared" si="1"/>
        <v>26.88</v>
      </c>
      <c r="O28" s="518">
        <f t="shared" si="2"/>
        <v>0</v>
      </c>
      <c r="P28" s="518">
        <f t="shared" si="3"/>
        <v>0</v>
      </c>
      <c r="Q28" s="518">
        <f t="shared" si="4"/>
        <v>0</v>
      </c>
      <c r="R28" s="518">
        <f t="shared" si="5"/>
        <v>0</v>
      </c>
    </row>
    <row r="29" spans="1:18" s="519" customFormat="1">
      <c r="A29" s="512"/>
      <c r="B29" s="511" t="s">
        <v>773</v>
      </c>
      <c r="C29" s="513">
        <v>10</v>
      </c>
      <c r="D29" s="514"/>
      <c r="E29" s="513">
        <v>6</v>
      </c>
      <c r="F29" s="515">
        <v>1</v>
      </c>
      <c r="G29" s="515">
        <v>2</v>
      </c>
      <c r="H29" s="503">
        <v>0.3</v>
      </c>
      <c r="I29" s="516">
        <f>1.7-0.06</f>
        <v>1.64</v>
      </c>
      <c r="J29" s="567">
        <v>0.3</v>
      </c>
      <c r="K29" s="517"/>
      <c r="L29" s="518">
        <f t="shared" ref="L29" si="16">SUM(H29:J29)+K29</f>
        <v>2.2399999999999998</v>
      </c>
      <c r="M29" s="518">
        <f t="shared" si="0"/>
        <v>0</v>
      </c>
      <c r="N29" s="518">
        <f t="shared" si="1"/>
        <v>26.88</v>
      </c>
      <c r="O29" s="518">
        <f t="shared" si="2"/>
        <v>0</v>
      </c>
      <c r="P29" s="518">
        <f t="shared" si="3"/>
        <v>0</v>
      </c>
      <c r="Q29" s="518">
        <f t="shared" si="4"/>
        <v>0</v>
      </c>
      <c r="R29" s="518">
        <f t="shared" si="5"/>
        <v>0</v>
      </c>
    </row>
    <row r="30" spans="1:18" s="519" customFormat="1">
      <c r="A30" s="512"/>
      <c r="B30" s="511" t="s">
        <v>775</v>
      </c>
      <c r="C30" s="513">
        <v>8</v>
      </c>
      <c r="D30" s="514">
        <v>150</v>
      </c>
      <c r="E30" s="513">
        <v>6</v>
      </c>
      <c r="F30" s="515">
        <v>1</v>
      </c>
      <c r="G30" s="515">
        <f>+ROUND(1.4/0.15+1,0)</f>
        <v>10</v>
      </c>
      <c r="H30" s="516"/>
      <c r="I30" s="516">
        <f>2*(0.05+0.39)+16*C30/1000</f>
        <v>1.008</v>
      </c>
      <c r="J30" s="566"/>
      <c r="K30" s="413"/>
      <c r="L30" s="518">
        <f>SUM(H30:J30)+K30</f>
        <v>1.008</v>
      </c>
      <c r="M30" s="518">
        <f t="shared" si="0"/>
        <v>60.48</v>
      </c>
      <c r="N30" s="518">
        <f t="shared" si="1"/>
        <v>0</v>
      </c>
      <c r="O30" s="518">
        <f t="shared" si="2"/>
        <v>0</v>
      </c>
      <c r="P30" s="518">
        <f t="shared" si="3"/>
        <v>0</v>
      </c>
      <c r="Q30" s="518">
        <f t="shared" si="4"/>
        <v>0</v>
      </c>
      <c r="R30" s="518">
        <f t="shared" si="5"/>
        <v>0</v>
      </c>
    </row>
    <row r="31" spans="1:18" s="519" customFormat="1">
      <c r="A31" s="512" t="s">
        <v>776</v>
      </c>
      <c r="B31" s="506" t="s">
        <v>676</v>
      </c>
      <c r="C31" s="513"/>
      <c r="D31" s="514"/>
      <c r="E31" s="513"/>
      <c r="F31" s="515"/>
      <c r="G31" s="515"/>
      <c r="H31" s="516"/>
      <c r="I31" s="516"/>
      <c r="J31" s="566"/>
      <c r="K31" s="517"/>
      <c r="L31" s="518">
        <f t="shared" ref="L31" si="17">SUM(H31:J31)+K31</f>
        <v>0</v>
      </c>
      <c r="M31" s="518">
        <f t="shared" si="0"/>
        <v>0</v>
      </c>
      <c r="N31" s="518">
        <f t="shared" si="1"/>
        <v>0</v>
      </c>
      <c r="O31" s="518">
        <f t="shared" si="2"/>
        <v>0</v>
      </c>
      <c r="P31" s="518">
        <f t="shared" si="3"/>
        <v>0</v>
      </c>
      <c r="Q31" s="518">
        <f t="shared" si="4"/>
        <v>0</v>
      </c>
      <c r="R31" s="518">
        <f t="shared" si="5"/>
        <v>0</v>
      </c>
    </row>
    <row r="32" spans="1:18" s="519" customFormat="1">
      <c r="A32" s="512"/>
      <c r="B32" s="511" t="s">
        <v>740</v>
      </c>
      <c r="C32" s="513">
        <v>10</v>
      </c>
      <c r="D32" s="514"/>
      <c r="E32" s="513">
        <v>6</v>
      </c>
      <c r="F32" s="515">
        <v>1</v>
      </c>
      <c r="G32" s="515">
        <v>2</v>
      </c>
      <c r="H32" s="503">
        <v>0.3</v>
      </c>
      <c r="I32" s="516">
        <f>1.87-0.06</f>
        <v>1.81</v>
      </c>
      <c r="J32" s="567">
        <v>0.3</v>
      </c>
      <c r="K32" s="517"/>
      <c r="L32" s="518">
        <f>SUM(H32:J32)+K32</f>
        <v>2.4099999999999997</v>
      </c>
      <c r="M32" s="518">
        <f t="shared" si="0"/>
        <v>0</v>
      </c>
      <c r="N32" s="518">
        <f t="shared" si="1"/>
        <v>28.92</v>
      </c>
      <c r="O32" s="518">
        <f t="shared" si="2"/>
        <v>0</v>
      </c>
      <c r="P32" s="518">
        <f t="shared" si="3"/>
        <v>0</v>
      </c>
      <c r="Q32" s="518">
        <f t="shared" si="4"/>
        <v>0</v>
      </c>
      <c r="R32" s="518">
        <f t="shared" si="5"/>
        <v>0</v>
      </c>
    </row>
    <row r="33" spans="1:18" s="519" customFormat="1">
      <c r="A33" s="512"/>
      <c r="B33" s="511" t="s">
        <v>773</v>
      </c>
      <c r="C33" s="513">
        <v>10</v>
      </c>
      <c r="D33" s="514"/>
      <c r="E33" s="513">
        <v>6</v>
      </c>
      <c r="F33" s="515">
        <v>1</v>
      </c>
      <c r="G33" s="515">
        <v>2</v>
      </c>
      <c r="H33" s="503">
        <v>0.3</v>
      </c>
      <c r="I33" s="516">
        <f>1.87-0.06</f>
        <v>1.81</v>
      </c>
      <c r="J33" s="567">
        <v>0.3</v>
      </c>
      <c r="K33" s="517"/>
      <c r="L33" s="518">
        <f t="shared" ref="L33" si="18">SUM(H33:J33)+K33</f>
        <v>2.4099999999999997</v>
      </c>
      <c r="M33" s="518">
        <f t="shared" si="0"/>
        <v>0</v>
      </c>
      <c r="N33" s="518">
        <f t="shared" si="1"/>
        <v>28.92</v>
      </c>
      <c r="O33" s="518">
        <f t="shared" si="2"/>
        <v>0</v>
      </c>
      <c r="P33" s="518">
        <f t="shared" si="3"/>
        <v>0</v>
      </c>
      <c r="Q33" s="518">
        <f t="shared" si="4"/>
        <v>0</v>
      </c>
      <c r="R33" s="518">
        <f t="shared" si="5"/>
        <v>0</v>
      </c>
    </row>
    <row r="34" spans="1:18" s="519" customFormat="1">
      <c r="A34" s="512"/>
      <c r="B34" s="511" t="s">
        <v>775</v>
      </c>
      <c r="C34" s="513">
        <v>8</v>
      </c>
      <c r="D34" s="514">
        <v>150</v>
      </c>
      <c r="E34" s="513">
        <v>6</v>
      </c>
      <c r="F34" s="515">
        <v>1</v>
      </c>
      <c r="G34" s="515">
        <f>+ROUND(1.57/0.15+1,0)</f>
        <v>11</v>
      </c>
      <c r="H34" s="516"/>
      <c r="I34" s="516">
        <f>2*(0.05+0.39)+16*C34/1000</f>
        <v>1.008</v>
      </c>
      <c r="J34" s="566"/>
      <c r="K34" s="413"/>
      <c r="L34" s="518">
        <f>SUM(H34:J34)+K34</f>
        <v>1.008</v>
      </c>
      <c r="M34" s="518">
        <f t="shared" si="0"/>
        <v>66.53</v>
      </c>
      <c r="N34" s="518">
        <f t="shared" si="1"/>
        <v>0</v>
      </c>
      <c r="O34" s="518">
        <f t="shared" si="2"/>
        <v>0</v>
      </c>
      <c r="P34" s="518">
        <f t="shared" si="3"/>
        <v>0</v>
      </c>
      <c r="Q34" s="518">
        <f t="shared" si="4"/>
        <v>0</v>
      </c>
      <c r="R34" s="518">
        <f t="shared" si="5"/>
        <v>0</v>
      </c>
    </row>
    <row r="35" spans="1:18" s="519" customFormat="1">
      <c r="A35" s="512" t="s">
        <v>776</v>
      </c>
      <c r="B35" s="506" t="s">
        <v>676</v>
      </c>
      <c r="C35" s="513"/>
      <c r="D35" s="514"/>
      <c r="E35" s="513"/>
      <c r="F35" s="515"/>
      <c r="G35" s="515"/>
      <c r="H35" s="516"/>
      <c r="I35" s="516"/>
      <c r="J35" s="566"/>
      <c r="K35" s="517"/>
      <c r="L35" s="518">
        <f t="shared" ref="L35" si="19">SUM(H35:J35)+K35</f>
        <v>0</v>
      </c>
      <c r="M35" s="518">
        <f t="shared" si="0"/>
        <v>0</v>
      </c>
      <c r="N35" s="518">
        <f t="shared" si="1"/>
        <v>0</v>
      </c>
      <c r="O35" s="518">
        <f t="shared" si="2"/>
        <v>0</v>
      </c>
      <c r="P35" s="518">
        <f t="shared" si="3"/>
        <v>0</v>
      </c>
      <c r="Q35" s="518">
        <f t="shared" si="4"/>
        <v>0</v>
      </c>
      <c r="R35" s="518">
        <f t="shared" si="5"/>
        <v>0</v>
      </c>
    </row>
    <row r="36" spans="1:18" s="519" customFormat="1">
      <c r="A36" s="512"/>
      <c r="B36" s="511" t="s">
        <v>740</v>
      </c>
      <c r="C36" s="513">
        <v>10</v>
      </c>
      <c r="D36" s="514"/>
      <c r="E36" s="513">
        <v>6</v>
      </c>
      <c r="F36" s="515">
        <v>1</v>
      </c>
      <c r="G36" s="515">
        <v>2</v>
      </c>
      <c r="H36" s="503">
        <v>0.3</v>
      </c>
      <c r="I36" s="516">
        <f>1.37-0.06</f>
        <v>1.31</v>
      </c>
      <c r="J36" s="567">
        <v>0.3</v>
      </c>
      <c r="K36" s="517"/>
      <c r="L36" s="518">
        <f>SUM(H36:J36)+K36</f>
        <v>1.9100000000000001</v>
      </c>
      <c r="M36" s="518">
        <f t="shared" si="0"/>
        <v>0</v>
      </c>
      <c r="N36" s="518">
        <f t="shared" si="1"/>
        <v>22.92</v>
      </c>
      <c r="O36" s="518">
        <f t="shared" si="2"/>
        <v>0</v>
      </c>
      <c r="P36" s="518">
        <f t="shared" si="3"/>
        <v>0</v>
      </c>
      <c r="Q36" s="518">
        <f t="shared" si="4"/>
        <v>0</v>
      </c>
      <c r="R36" s="518">
        <f t="shared" si="5"/>
        <v>0</v>
      </c>
    </row>
    <row r="37" spans="1:18" s="519" customFormat="1">
      <c r="A37" s="512"/>
      <c r="B37" s="511" t="s">
        <v>773</v>
      </c>
      <c r="C37" s="513">
        <v>10</v>
      </c>
      <c r="D37" s="514"/>
      <c r="E37" s="513">
        <v>6</v>
      </c>
      <c r="F37" s="515">
        <v>1</v>
      </c>
      <c r="G37" s="515">
        <v>2</v>
      </c>
      <c r="H37" s="503">
        <v>0.3</v>
      </c>
      <c r="I37" s="516">
        <f>1.37-0.06</f>
        <v>1.31</v>
      </c>
      <c r="J37" s="567">
        <v>0.3</v>
      </c>
      <c r="K37" s="517"/>
      <c r="L37" s="518">
        <f t="shared" ref="L37" si="20">SUM(H37:J37)+K37</f>
        <v>1.9100000000000001</v>
      </c>
      <c r="M37" s="518">
        <f t="shared" si="0"/>
        <v>0</v>
      </c>
      <c r="N37" s="518">
        <f t="shared" si="1"/>
        <v>22.92</v>
      </c>
      <c r="O37" s="518">
        <f t="shared" si="2"/>
        <v>0</v>
      </c>
      <c r="P37" s="518">
        <f t="shared" si="3"/>
        <v>0</v>
      </c>
      <c r="Q37" s="518">
        <f t="shared" si="4"/>
        <v>0</v>
      </c>
      <c r="R37" s="518">
        <f t="shared" si="5"/>
        <v>0</v>
      </c>
    </row>
    <row r="38" spans="1:18" s="519" customFormat="1">
      <c r="A38" s="512"/>
      <c r="B38" s="511" t="s">
        <v>775</v>
      </c>
      <c r="C38" s="513">
        <v>8</v>
      </c>
      <c r="D38" s="514">
        <v>150</v>
      </c>
      <c r="E38" s="513">
        <v>6</v>
      </c>
      <c r="F38" s="515">
        <v>1</v>
      </c>
      <c r="G38" s="515">
        <f>+ROUND(0.97/0.15+1,0)</f>
        <v>7</v>
      </c>
      <c r="H38" s="516"/>
      <c r="I38" s="516">
        <f>2*(0.05+0.39)+16*C38/1000</f>
        <v>1.008</v>
      </c>
      <c r="J38" s="566"/>
      <c r="K38" s="413"/>
      <c r="L38" s="518">
        <f>SUM(H38:J38)+K38</f>
        <v>1.008</v>
      </c>
      <c r="M38" s="518">
        <f t="shared" si="0"/>
        <v>42.34</v>
      </c>
      <c r="N38" s="518">
        <f t="shared" si="1"/>
        <v>0</v>
      </c>
      <c r="O38" s="518">
        <f t="shared" si="2"/>
        <v>0</v>
      </c>
      <c r="P38" s="518">
        <f t="shared" si="3"/>
        <v>0</v>
      </c>
      <c r="Q38" s="518">
        <f t="shared" si="4"/>
        <v>0</v>
      </c>
      <c r="R38" s="518">
        <f t="shared" si="5"/>
        <v>0</v>
      </c>
    </row>
    <row r="39" spans="1:18">
      <c r="A39" s="505" t="s">
        <v>772</v>
      </c>
      <c r="B39" s="506" t="s">
        <v>677</v>
      </c>
      <c r="C39" s="507"/>
      <c r="D39" s="508"/>
      <c r="E39" s="507"/>
      <c r="F39" s="502"/>
      <c r="G39" s="502"/>
      <c r="H39" s="503"/>
      <c r="I39" s="503"/>
      <c r="J39" s="568"/>
      <c r="K39" s="509"/>
      <c r="L39" s="510">
        <f t="shared" ref="L39" si="21">SUM(H39:J39)+K39</f>
        <v>0</v>
      </c>
      <c r="M39" s="510">
        <f t="shared" si="0"/>
        <v>0</v>
      </c>
      <c r="N39" s="510">
        <f t="shared" si="1"/>
        <v>0</v>
      </c>
      <c r="O39" s="510">
        <f t="shared" si="2"/>
        <v>0</v>
      </c>
      <c r="P39" s="510">
        <f t="shared" si="3"/>
        <v>0</v>
      </c>
      <c r="Q39" s="510">
        <f t="shared" si="4"/>
        <v>0</v>
      </c>
      <c r="R39" s="510">
        <f t="shared" si="5"/>
        <v>0</v>
      </c>
    </row>
    <row r="40" spans="1:18">
      <c r="A40" s="505"/>
      <c r="B40" s="511" t="s">
        <v>740</v>
      </c>
      <c r="C40" s="507">
        <v>16</v>
      </c>
      <c r="D40" s="508"/>
      <c r="E40" s="507">
        <v>2</v>
      </c>
      <c r="F40" s="502">
        <v>1</v>
      </c>
      <c r="G40" s="502">
        <v>2</v>
      </c>
      <c r="H40" s="503">
        <v>0.3</v>
      </c>
      <c r="I40" s="503">
        <f>1.925-0.06</f>
        <v>1.865</v>
      </c>
      <c r="J40" s="567">
        <v>0.3</v>
      </c>
      <c r="K40" s="509"/>
      <c r="L40" s="510">
        <f>SUM(H40:J40)+K40</f>
        <v>2.4649999999999999</v>
      </c>
      <c r="M40" s="510">
        <f t="shared" si="0"/>
        <v>0</v>
      </c>
      <c r="N40" s="510">
        <f t="shared" si="1"/>
        <v>0</v>
      </c>
      <c r="O40" s="510">
        <f t="shared" si="2"/>
        <v>0</v>
      </c>
      <c r="P40" s="510">
        <f t="shared" si="3"/>
        <v>9.86</v>
      </c>
      <c r="Q40" s="510">
        <f t="shared" si="4"/>
        <v>0</v>
      </c>
      <c r="R40" s="510">
        <f t="shared" si="5"/>
        <v>0</v>
      </c>
    </row>
    <row r="41" spans="1:18">
      <c r="A41" s="505"/>
      <c r="B41" s="511" t="s">
        <v>773</v>
      </c>
      <c r="C41" s="507">
        <v>16</v>
      </c>
      <c r="D41" s="508"/>
      <c r="E41" s="507">
        <v>2</v>
      </c>
      <c r="F41" s="502">
        <v>1</v>
      </c>
      <c r="G41" s="502">
        <v>2</v>
      </c>
      <c r="H41" s="503">
        <v>0.3</v>
      </c>
      <c r="I41" s="503">
        <f>1.925-0.06</f>
        <v>1.865</v>
      </c>
      <c r="J41" s="567">
        <v>0.3</v>
      </c>
      <c r="K41" s="509"/>
      <c r="L41" s="510">
        <f t="shared" ref="L41" si="22">SUM(H41:J41)+K41</f>
        <v>2.4649999999999999</v>
      </c>
      <c r="M41" s="510">
        <f t="shared" si="0"/>
        <v>0</v>
      </c>
      <c r="N41" s="510">
        <f t="shared" si="1"/>
        <v>0</v>
      </c>
      <c r="O41" s="510">
        <f t="shared" si="2"/>
        <v>0</v>
      </c>
      <c r="P41" s="510">
        <f t="shared" si="3"/>
        <v>9.86</v>
      </c>
      <c r="Q41" s="510">
        <f t="shared" si="4"/>
        <v>0</v>
      </c>
      <c r="R41" s="510">
        <f t="shared" si="5"/>
        <v>0</v>
      </c>
    </row>
    <row r="42" spans="1:18">
      <c r="A42" s="505"/>
      <c r="B42" s="511" t="s">
        <v>775</v>
      </c>
      <c r="C42" s="507">
        <v>8</v>
      </c>
      <c r="D42" s="508">
        <v>125</v>
      </c>
      <c r="E42" s="507">
        <v>2</v>
      </c>
      <c r="F42" s="502">
        <v>1</v>
      </c>
      <c r="G42" s="502">
        <f>+ROUND(1.395/0.125+1,0)</f>
        <v>12</v>
      </c>
      <c r="H42" s="503"/>
      <c r="I42" s="516">
        <f t="shared" ref="I42" si="23">2*(0.14+0.39)+16*C42/1000</f>
        <v>1.1880000000000002</v>
      </c>
      <c r="J42" s="568"/>
      <c r="K42" s="481"/>
      <c r="L42" s="510">
        <f>SUM(H42:J42)+K42</f>
        <v>1.1880000000000002</v>
      </c>
      <c r="M42" s="510">
        <f t="shared" si="0"/>
        <v>28.51</v>
      </c>
      <c r="N42" s="510">
        <f t="shared" si="1"/>
        <v>0</v>
      </c>
      <c r="O42" s="510">
        <f t="shared" si="2"/>
        <v>0</v>
      </c>
      <c r="P42" s="510">
        <f t="shared" si="3"/>
        <v>0</v>
      </c>
      <c r="Q42" s="510">
        <f t="shared" si="4"/>
        <v>0</v>
      </c>
      <c r="R42" s="510">
        <f t="shared" si="5"/>
        <v>0</v>
      </c>
    </row>
    <row r="43" spans="1:18">
      <c r="A43" s="505" t="s">
        <v>772</v>
      </c>
      <c r="B43" s="506" t="s">
        <v>678</v>
      </c>
      <c r="C43" s="507"/>
      <c r="D43" s="508"/>
      <c r="E43" s="507"/>
      <c r="F43" s="502"/>
      <c r="G43" s="502"/>
      <c r="H43" s="503"/>
      <c r="I43" s="503"/>
      <c r="J43" s="568"/>
      <c r="K43" s="509"/>
      <c r="L43" s="510">
        <f t="shared" ref="L43" si="24">SUM(H43:J43)+K43</f>
        <v>0</v>
      </c>
      <c r="M43" s="510">
        <f t="shared" si="0"/>
        <v>0</v>
      </c>
      <c r="N43" s="510">
        <f t="shared" si="1"/>
        <v>0</v>
      </c>
      <c r="O43" s="510">
        <f t="shared" si="2"/>
        <v>0</v>
      </c>
      <c r="P43" s="510">
        <f t="shared" si="3"/>
        <v>0</v>
      </c>
      <c r="Q43" s="510">
        <f t="shared" si="4"/>
        <v>0</v>
      </c>
      <c r="R43" s="510">
        <f t="shared" si="5"/>
        <v>0</v>
      </c>
    </row>
    <row r="44" spans="1:18">
      <c r="A44" s="505"/>
      <c r="B44" s="511" t="s">
        <v>740</v>
      </c>
      <c r="C44" s="507">
        <v>12</v>
      </c>
      <c r="D44" s="508"/>
      <c r="E44" s="507">
        <v>2</v>
      </c>
      <c r="F44" s="502">
        <v>1</v>
      </c>
      <c r="G44" s="502">
        <v>2</v>
      </c>
      <c r="H44" s="503">
        <v>0.3</v>
      </c>
      <c r="I44" s="503">
        <f>3.6-0.06</f>
        <v>3.54</v>
      </c>
      <c r="J44" s="509">
        <v>0.3</v>
      </c>
      <c r="K44" s="509"/>
      <c r="L44" s="510">
        <f>SUM(H44:J44)+K44</f>
        <v>4.1399999999999997</v>
      </c>
      <c r="M44" s="510">
        <f t="shared" si="0"/>
        <v>0</v>
      </c>
      <c r="N44" s="510">
        <f t="shared" si="1"/>
        <v>0</v>
      </c>
      <c r="O44" s="510">
        <f t="shared" si="2"/>
        <v>16.559999999999999</v>
      </c>
      <c r="P44" s="510">
        <f t="shared" si="3"/>
        <v>0</v>
      </c>
      <c r="Q44" s="510">
        <f t="shared" si="4"/>
        <v>0</v>
      </c>
      <c r="R44" s="510">
        <f t="shared" si="5"/>
        <v>0</v>
      </c>
    </row>
    <row r="45" spans="1:18">
      <c r="A45" s="505"/>
      <c r="B45" s="511" t="s">
        <v>773</v>
      </c>
      <c r="C45" s="507">
        <v>12</v>
      </c>
      <c r="D45" s="508"/>
      <c r="E45" s="507">
        <v>2</v>
      </c>
      <c r="F45" s="502">
        <v>1</v>
      </c>
      <c r="G45" s="502">
        <v>2</v>
      </c>
      <c r="H45" s="503">
        <v>0.3</v>
      </c>
      <c r="I45" s="503">
        <f>3.6-0.06</f>
        <v>3.54</v>
      </c>
      <c r="J45" s="509">
        <v>0.3</v>
      </c>
      <c r="K45" s="509"/>
      <c r="L45" s="510">
        <f t="shared" ref="L45" si="25">SUM(H45:J45)+K45</f>
        <v>4.1399999999999997</v>
      </c>
      <c r="M45" s="510">
        <f t="shared" si="0"/>
        <v>0</v>
      </c>
      <c r="N45" s="510">
        <f t="shared" si="1"/>
        <v>0</v>
      </c>
      <c r="O45" s="510">
        <f t="shared" si="2"/>
        <v>16.559999999999999</v>
      </c>
      <c r="P45" s="510">
        <f t="shared" si="3"/>
        <v>0</v>
      </c>
      <c r="Q45" s="510">
        <f t="shared" si="4"/>
        <v>0</v>
      </c>
      <c r="R45" s="510">
        <f t="shared" si="5"/>
        <v>0</v>
      </c>
    </row>
    <row r="46" spans="1:18">
      <c r="A46" s="505"/>
      <c r="B46" s="511" t="s">
        <v>775</v>
      </c>
      <c r="C46" s="507">
        <v>8</v>
      </c>
      <c r="D46" s="508">
        <v>100</v>
      </c>
      <c r="E46" s="507">
        <v>2</v>
      </c>
      <c r="F46" s="502">
        <v>1</v>
      </c>
      <c r="G46" s="502">
        <f>+ROUND(1.8/0.1,0)</f>
        <v>18</v>
      </c>
      <c r="H46" s="503"/>
      <c r="I46" s="516">
        <f t="shared" ref="I46:I47" si="26">2*(0.14+0.39)+16*C46/1000</f>
        <v>1.1880000000000002</v>
      </c>
      <c r="J46" s="509"/>
      <c r="K46" s="481"/>
      <c r="L46" s="510">
        <f>SUM(H46:J46)+K46</f>
        <v>1.1880000000000002</v>
      </c>
      <c r="M46" s="510">
        <f t="shared" si="0"/>
        <v>42.77</v>
      </c>
      <c r="N46" s="510">
        <f t="shared" si="1"/>
        <v>0</v>
      </c>
      <c r="O46" s="510">
        <f t="shared" si="2"/>
        <v>0</v>
      </c>
      <c r="P46" s="510">
        <f t="shared" si="3"/>
        <v>0</v>
      </c>
      <c r="Q46" s="510">
        <f t="shared" si="4"/>
        <v>0</v>
      </c>
      <c r="R46" s="510">
        <f t="shared" si="5"/>
        <v>0</v>
      </c>
    </row>
    <row r="47" spans="1:18">
      <c r="A47" s="505"/>
      <c r="B47" s="511"/>
      <c r="C47" s="507">
        <v>8</v>
      </c>
      <c r="D47" s="508">
        <v>150</v>
      </c>
      <c r="E47" s="507">
        <v>2</v>
      </c>
      <c r="F47" s="502">
        <v>1</v>
      </c>
      <c r="G47" s="502">
        <f>+ROUND(1.3/0.15+1,0)</f>
        <v>10</v>
      </c>
      <c r="H47" s="503"/>
      <c r="I47" s="516">
        <f t="shared" si="26"/>
        <v>1.1880000000000002</v>
      </c>
      <c r="J47" s="509"/>
      <c r="K47" s="509"/>
      <c r="L47" s="510">
        <f>SUM(H47:J47)+K47</f>
        <v>1.1880000000000002</v>
      </c>
      <c r="M47" s="510">
        <f t="shared" si="0"/>
        <v>23.76</v>
      </c>
      <c r="N47" s="510">
        <f t="shared" si="1"/>
        <v>0</v>
      </c>
      <c r="O47" s="510">
        <f t="shared" si="2"/>
        <v>0</v>
      </c>
      <c r="P47" s="510">
        <f t="shared" si="3"/>
        <v>0</v>
      </c>
      <c r="Q47" s="510">
        <f t="shared" si="4"/>
        <v>0</v>
      </c>
      <c r="R47" s="510">
        <f t="shared" si="5"/>
        <v>0</v>
      </c>
    </row>
    <row r="48" spans="1:18">
      <c r="A48" s="505" t="s">
        <v>772</v>
      </c>
      <c r="B48" s="506" t="s">
        <v>679</v>
      </c>
      <c r="C48" s="507"/>
      <c r="D48" s="508"/>
      <c r="E48" s="507"/>
      <c r="F48" s="502"/>
      <c r="G48" s="502"/>
      <c r="H48" s="503"/>
      <c r="I48" s="503"/>
      <c r="J48" s="509"/>
      <c r="K48" s="509"/>
      <c r="L48" s="510">
        <f t="shared" ref="L48" si="27">SUM(H48:J48)+K48</f>
        <v>0</v>
      </c>
      <c r="M48" s="510">
        <f t="shared" si="0"/>
        <v>0</v>
      </c>
      <c r="N48" s="510">
        <f t="shared" si="1"/>
        <v>0</v>
      </c>
      <c r="O48" s="510">
        <f t="shared" si="2"/>
        <v>0</v>
      </c>
      <c r="P48" s="510">
        <f t="shared" si="3"/>
        <v>0</v>
      </c>
      <c r="Q48" s="510">
        <f t="shared" si="4"/>
        <v>0</v>
      </c>
      <c r="R48" s="510">
        <f t="shared" si="5"/>
        <v>0</v>
      </c>
    </row>
    <row r="49" spans="1:18">
      <c r="A49" s="505"/>
      <c r="B49" s="511" t="s">
        <v>740</v>
      </c>
      <c r="C49" s="507">
        <v>12</v>
      </c>
      <c r="D49" s="508"/>
      <c r="E49" s="507">
        <v>1</v>
      </c>
      <c r="F49" s="502">
        <v>1</v>
      </c>
      <c r="G49" s="502">
        <v>2</v>
      </c>
      <c r="H49" s="503">
        <v>0.3</v>
      </c>
      <c r="I49" s="503">
        <v>18.91</v>
      </c>
      <c r="J49" s="509">
        <v>0.3</v>
      </c>
      <c r="K49" s="509">
        <f>+C49*49/1000</f>
        <v>0.58799999999999997</v>
      </c>
      <c r="L49" s="510">
        <f>SUM(H49:J49)+K49</f>
        <v>20.098000000000003</v>
      </c>
      <c r="M49" s="510">
        <f t="shared" si="0"/>
        <v>0</v>
      </c>
      <c r="N49" s="510">
        <f t="shared" si="1"/>
        <v>0</v>
      </c>
      <c r="O49" s="510">
        <f t="shared" si="2"/>
        <v>40.200000000000003</v>
      </c>
      <c r="P49" s="510">
        <f t="shared" si="3"/>
        <v>0</v>
      </c>
      <c r="Q49" s="510">
        <f t="shared" si="4"/>
        <v>0</v>
      </c>
      <c r="R49" s="510">
        <f t="shared" si="5"/>
        <v>0</v>
      </c>
    </row>
    <row r="50" spans="1:18">
      <c r="A50" s="505"/>
      <c r="B50" s="511" t="s">
        <v>773</v>
      </c>
      <c r="C50" s="507">
        <v>12</v>
      </c>
      <c r="D50" s="508"/>
      <c r="E50" s="507">
        <v>1</v>
      </c>
      <c r="F50" s="502">
        <v>1</v>
      </c>
      <c r="G50" s="502">
        <v>2</v>
      </c>
      <c r="H50" s="503">
        <v>0.3</v>
      </c>
      <c r="I50" s="503">
        <v>18.91</v>
      </c>
      <c r="J50" s="509">
        <v>0.3</v>
      </c>
      <c r="K50" s="509">
        <f>+C50*49/1000</f>
        <v>0.58799999999999997</v>
      </c>
      <c r="L50" s="510">
        <f t="shared" ref="L50" si="28">SUM(H50:J50)+K50</f>
        <v>20.098000000000003</v>
      </c>
      <c r="M50" s="510">
        <f t="shared" si="0"/>
        <v>0</v>
      </c>
      <c r="N50" s="510">
        <f t="shared" si="1"/>
        <v>0</v>
      </c>
      <c r="O50" s="510">
        <f t="shared" si="2"/>
        <v>40.200000000000003</v>
      </c>
      <c r="P50" s="510">
        <f t="shared" si="3"/>
        <v>0</v>
      </c>
      <c r="Q50" s="510">
        <f t="shared" si="4"/>
        <v>0</v>
      </c>
      <c r="R50" s="510">
        <f t="shared" si="5"/>
        <v>0</v>
      </c>
    </row>
    <row r="51" spans="1:18">
      <c r="A51" s="505"/>
      <c r="B51" s="511" t="s">
        <v>775</v>
      </c>
      <c r="C51" s="507">
        <v>8</v>
      </c>
      <c r="D51" s="508">
        <v>100</v>
      </c>
      <c r="E51" s="507">
        <v>1</v>
      </c>
      <c r="F51" s="502">
        <v>2</v>
      </c>
      <c r="G51" s="502">
        <f>+ROUND(2.345/0.1,0)</f>
        <v>23</v>
      </c>
      <c r="H51" s="503"/>
      <c r="I51" s="516">
        <f t="shared" ref="I51:I54" si="29">2*(0.14+0.39)+16*C51/1000</f>
        <v>1.1880000000000002</v>
      </c>
      <c r="J51" s="509"/>
      <c r="K51" s="481"/>
      <c r="L51" s="510">
        <f>SUM(H51:J51)+K51</f>
        <v>1.1880000000000002</v>
      </c>
      <c r="M51" s="510">
        <f t="shared" si="0"/>
        <v>54.65</v>
      </c>
      <c r="N51" s="510">
        <f t="shared" si="1"/>
        <v>0</v>
      </c>
      <c r="O51" s="510">
        <f t="shared" si="2"/>
        <v>0</v>
      </c>
      <c r="P51" s="510">
        <f t="shared" si="3"/>
        <v>0</v>
      </c>
      <c r="Q51" s="510">
        <f t="shared" si="4"/>
        <v>0</v>
      </c>
      <c r="R51" s="510">
        <f t="shared" si="5"/>
        <v>0</v>
      </c>
    </row>
    <row r="52" spans="1:18">
      <c r="A52" s="505"/>
      <c r="B52" s="511"/>
      <c r="C52" s="507">
        <v>8</v>
      </c>
      <c r="D52" s="508">
        <v>150</v>
      </c>
      <c r="E52" s="507">
        <v>1</v>
      </c>
      <c r="F52" s="502">
        <v>2</v>
      </c>
      <c r="G52" s="502">
        <f>+ROUND(2.345/0.15+1,0)</f>
        <v>17</v>
      </c>
      <c r="H52" s="503"/>
      <c r="I52" s="516">
        <f t="shared" si="29"/>
        <v>1.1880000000000002</v>
      </c>
      <c r="J52" s="509"/>
      <c r="K52" s="509"/>
      <c r="L52" s="510">
        <f t="shared" si="8"/>
        <v>1.1880000000000002</v>
      </c>
      <c r="M52" s="510">
        <f t="shared" si="0"/>
        <v>40.39</v>
      </c>
      <c r="N52" s="510">
        <f t="shared" si="1"/>
        <v>0</v>
      </c>
      <c r="O52" s="510">
        <f t="shared" si="2"/>
        <v>0</v>
      </c>
      <c r="P52" s="510">
        <f t="shared" si="3"/>
        <v>0</v>
      </c>
      <c r="Q52" s="510">
        <f t="shared" si="4"/>
        <v>0</v>
      </c>
      <c r="R52" s="510">
        <f t="shared" si="5"/>
        <v>0</v>
      </c>
    </row>
    <row r="53" spans="1:18">
      <c r="A53" s="505"/>
      <c r="B53" s="511" t="s">
        <v>775</v>
      </c>
      <c r="C53" s="507">
        <v>8</v>
      </c>
      <c r="D53" s="508">
        <v>100</v>
      </c>
      <c r="E53" s="507">
        <v>1</v>
      </c>
      <c r="F53" s="502">
        <v>2</v>
      </c>
      <c r="G53" s="502">
        <f>+ROUND(3.15/0.1,0)</f>
        <v>32</v>
      </c>
      <c r="H53" s="503"/>
      <c r="I53" s="516">
        <f t="shared" si="29"/>
        <v>1.1880000000000002</v>
      </c>
      <c r="J53" s="509"/>
      <c r="K53" s="481"/>
      <c r="L53" s="510">
        <f>SUM(H53:J53)+K53</f>
        <v>1.1880000000000002</v>
      </c>
      <c r="M53" s="510">
        <f t="shared" si="0"/>
        <v>76.03</v>
      </c>
      <c r="N53" s="510">
        <f t="shared" si="1"/>
        <v>0</v>
      </c>
      <c r="O53" s="510">
        <f t="shared" si="2"/>
        <v>0</v>
      </c>
      <c r="P53" s="510">
        <f t="shared" si="3"/>
        <v>0</v>
      </c>
      <c r="Q53" s="510">
        <f t="shared" si="4"/>
        <v>0</v>
      </c>
      <c r="R53" s="510">
        <f t="shared" si="5"/>
        <v>0</v>
      </c>
    </row>
    <row r="54" spans="1:18">
      <c r="A54" s="505"/>
      <c r="B54" s="511"/>
      <c r="C54" s="507">
        <v>8</v>
      </c>
      <c r="D54" s="508">
        <v>150</v>
      </c>
      <c r="E54" s="507">
        <v>1</v>
      </c>
      <c r="F54" s="502">
        <v>2</v>
      </c>
      <c r="G54" s="502">
        <f>+ROUND(3.15/0.15+1,0)</f>
        <v>22</v>
      </c>
      <c r="H54" s="503"/>
      <c r="I54" s="516">
        <f t="shared" si="29"/>
        <v>1.1880000000000002</v>
      </c>
      <c r="J54" s="509"/>
      <c r="K54" s="509"/>
      <c r="L54" s="510">
        <f t="shared" ref="L54" si="30">SUM(H54:J54)+K54</f>
        <v>1.1880000000000002</v>
      </c>
      <c r="M54" s="510">
        <f t="shared" si="0"/>
        <v>52.27</v>
      </c>
      <c r="N54" s="510">
        <f t="shared" si="1"/>
        <v>0</v>
      </c>
      <c r="O54" s="510">
        <f t="shared" si="2"/>
        <v>0</v>
      </c>
      <c r="P54" s="510">
        <f t="shared" si="3"/>
        <v>0</v>
      </c>
      <c r="Q54" s="510">
        <f t="shared" si="4"/>
        <v>0</v>
      </c>
      <c r="R54" s="510">
        <f t="shared" si="5"/>
        <v>0</v>
      </c>
    </row>
    <row r="55" spans="1:18">
      <c r="A55" s="505"/>
      <c r="B55" s="511"/>
      <c r="C55" s="507"/>
      <c r="D55" s="508"/>
      <c r="E55" s="507"/>
      <c r="F55" s="502"/>
      <c r="G55" s="502"/>
      <c r="H55" s="503"/>
      <c r="I55" s="503"/>
      <c r="J55" s="509"/>
      <c r="K55" s="509"/>
      <c r="L55" s="510"/>
      <c r="M55" s="510"/>
      <c r="N55" s="510"/>
      <c r="O55" s="510"/>
      <c r="P55" s="510"/>
      <c r="Q55" s="510"/>
      <c r="R55" s="510"/>
    </row>
    <row r="56" spans="1:18">
      <c r="A56" s="505"/>
      <c r="B56" s="511"/>
      <c r="C56" s="507"/>
      <c r="D56" s="508"/>
      <c r="E56" s="507"/>
      <c r="F56" s="502"/>
      <c r="G56" s="502"/>
      <c r="H56" s="503"/>
      <c r="I56" s="503"/>
      <c r="J56" s="509"/>
      <c r="K56" s="509"/>
      <c r="L56" s="510"/>
      <c r="M56" s="510"/>
      <c r="N56" s="510"/>
      <c r="O56" s="510"/>
      <c r="P56" s="510"/>
      <c r="Q56" s="510"/>
      <c r="R56" s="510"/>
    </row>
    <row r="57" spans="1:18">
      <c r="A57" s="505" t="s">
        <v>772</v>
      </c>
      <c r="B57" s="506" t="s">
        <v>680</v>
      </c>
      <c r="C57" s="507"/>
      <c r="D57" s="508"/>
      <c r="E57" s="507"/>
      <c r="F57" s="502"/>
      <c r="G57" s="502"/>
      <c r="H57" s="503"/>
      <c r="I57" s="503"/>
      <c r="J57" s="509"/>
      <c r="K57" s="509"/>
      <c r="L57" s="510">
        <f t="shared" ref="L57" si="31">SUM(H57:J57)+K57</f>
        <v>0</v>
      </c>
      <c r="M57" s="510">
        <f t="shared" si="0"/>
        <v>0</v>
      </c>
      <c r="N57" s="510">
        <f t="shared" si="1"/>
        <v>0</v>
      </c>
      <c r="O57" s="510">
        <f t="shared" si="2"/>
        <v>0</v>
      </c>
      <c r="P57" s="510">
        <f t="shared" si="3"/>
        <v>0</v>
      </c>
      <c r="Q57" s="510">
        <f t="shared" si="4"/>
        <v>0</v>
      </c>
      <c r="R57" s="510">
        <f t="shared" si="5"/>
        <v>0</v>
      </c>
    </row>
    <row r="58" spans="1:18">
      <c r="A58" s="505"/>
      <c r="B58" s="511" t="s">
        <v>740</v>
      </c>
      <c r="C58" s="507">
        <v>16</v>
      </c>
      <c r="D58" s="508"/>
      <c r="E58" s="507">
        <v>2</v>
      </c>
      <c r="F58" s="502">
        <v>1</v>
      </c>
      <c r="G58" s="502">
        <v>2</v>
      </c>
      <c r="H58" s="503">
        <v>0.3</v>
      </c>
      <c r="I58" s="503">
        <f>7.205-0.06</f>
        <v>7.1450000000000005</v>
      </c>
      <c r="J58" s="509">
        <v>0.3</v>
      </c>
      <c r="K58" s="509"/>
      <c r="L58" s="510">
        <f>SUM(H58:J58)+K58</f>
        <v>7.7450000000000001</v>
      </c>
      <c r="M58" s="510">
        <f t="shared" si="0"/>
        <v>0</v>
      </c>
      <c r="N58" s="510">
        <f t="shared" si="1"/>
        <v>0</v>
      </c>
      <c r="O58" s="510">
        <f t="shared" si="2"/>
        <v>0</v>
      </c>
      <c r="P58" s="510">
        <f t="shared" si="3"/>
        <v>30.98</v>
      </c>
      <c r="Q58" s="510">
        <f t="shared" si="4"/>
        <v>0</v>
      </c>
      <c r="R58" s="510">
        <f t="shared" si="5"/>
        <v>0</v>
      </c>
    </row>
    <row r="59" spans="1:18">
      <c r="A59" s="505"/>
      <c r="B59" s="511" t="s">
        <v>773</v>
      </c>
      <c r="C59" s="507">
        <v>16</v>
      </c>
      <c r="D59" s="508"/>
      <c r="E59" s="507">
        <v>2</v>
      </c>
      <c r="F59" s="502">
        <v>1</v>
      </c>
      <c r="G59" s="502">
        <v>2</v>
      </c>
      <c r="H59" s="503">
        <v>0.3</v>
      </c>
      <c r="I59" s="503">
        <f>7.205-0.06</f>
        <v>7.1450000000000005</v>
      </c>
      <c r="J59" s="509">
        <v>0.3</v>
      </c>
      <c r="K59" s="509"/>
      <c r="L59" s="510">
        <f t="shared" ref="L59" si="32">SUM(H59:J59)+K59</f>
        <v>7.7450000000000001</v>
      </c>
      <c r="M59" s="510">
        <f t="shared" si="0"/>
        <v>0</v>
      </c>
      <c r="N59" s="510">
        <f t="shared" si="1"/>
        <v>0</v>
      </c>
      <c r="O59" s="510">
        <f t="shared" si="2"/>
        <v>0</v>
      </c>
      <c r="P59" s="510">
        <f t="shared" si="3"/>
        <v>30.98</v>
      </c>
      <c r="Q59" s="510">
        <f t="shared" si="4"/>
        <v>0</v>
      </c>
      <c r="R59" s="510">
        <f t="shared" si="5"/>
        <v>0</v>
      </c>
    </row>
    <row r="60" spans="1:18">
      <c r="A60" s="505"/>
      <c r="B60" s="511" t="s">
        <v>777</v>
      </c>
      <c r="C60" s="507">
        <v>8</v>
      </c>
      <c r="D60" s="508">
        <v>100</v>
      </c>
      <c r="E60" s="507">
        <v>2</v>
      </c>
      <c r="F60" s="502">
        <v>1</v>
      </c>
      <c r="G60" s="502">
        <f>+ROUND(1.8/0.1,0)</f>
        <v>18</v>
      </c>
      <c r="H60" s="503"/>
      <c r="I60" s="516">
        <f t="shared" ref="I60:I63" si="33">2*(0.14+0.39)+16*C60/1000</f>
        <v>1.1880000000000002</v>
      </c>
      <c r="J60" s="509"/>
      <c r="K60" s="481"/>
      <c r="L60" s="510">
        <f>SUM(H60:J60)+K60</f>
        <v>1.1880000000000002</v>
      </c>
      <c r="M60" s="510">
        <f t="shared" si="0"/>
        <v>42.77</v>
      </c>
      <c r="N60" s="510">
        <f t="shared" si="1"/>
        <v>0</v>
      </c>
      <c r="O60" s="510">
        <f t="shared" si="2"/>
        <v>0</v>
      </c>
      <c r="P60" s="510">
        <f t="shared" si="3"/>
        <v>0</v>
      </c>
      <c r="Q60" s="510">
        <f t="shared" si="4"/>
        <v>0</v>
      </c>
      <c r="R60" s="510">
        <f t="shared" si="5"/>
        <v>0</v>
      </c>
    </row>
    <row r="61" spans="1:18">
      <c r="A61" s="505"/>
      <c r="B61" s="511"/>
      <c r="C61" s="507">
        <v>8</v>
      </c>
      <c r="D61" s="508">
        <v>150</v>
      </c>
      <c r="E61" s="507">
        <v>2</v>
      </c>
      <c r="F61" s="502">
        <v>1</v>
      </c>
      <c r="G61" s="502">
        <f>+ROUND(1.075/0.15+1,0)</f>
        <v>8</v>
      </c>
      <c r="H61" s="503"/>
      <c r="I61" s="516">
        <f t="shared" si="33"/>
        <v>1.1880000000000002</v>
      </c>
      <c r="J61" s="509"/>
      <c r="K61" s="509"/>
      <c r="L61" s="510">
        <f t="shared" ref="L61" si="34">SUM(H61:J61)+K61</f>
        <v>1.1880000000000002</v>
      </c>
      <c r="M61" s="510">
        <f t="shared" si="0"/>
        <v>19.010000000000002</v>
      </c>
      <c r="N61" s="510">
        <f t="shared" si="1"/>
        <v>0</v>
      </c>
      <c r="O61" s="510">
        <f t="shared" si="2"/>
        <v>0</v>
      </c>
      <c r="P61" s="510">
        <f t="shared" si="3"/>
        <v>0</v>
      </c>
      <c r="Q61" s="510">
        <f t="shared" si="4"/>
        <v>0</v>
      </c>
      <c r="R61" s="510">
        <f t="shared" si="5"/>
        <v>0</v>
      </c>
    </row>
    <row r="62" spans="1:18">
      <c r="A62" s="505"/>
      <c r="B62" s="511" t="s">
        <v>777</v>
      </c>
      <c r="C62" s="507">
        <v>8</v>
      </c>
      <c r="D62" s="508">
        <v>100</v>
      </c>
      <c r="E62" s="507">
        <v>2</v>
      </c>
      <c r="F62" s="502">
        <v>1</v>
      </c>
      <c r="G62" s="502">
        <f>+ROUND(1.8/0.1,0)</f>
        <v>18</v>
      </c>
      <c r="H62" s="503"/>
      <c r="I62" s="516">
        <f t="shared" si="33"/>
        <v>1.1880000000000002</v>
      </c>
      <c r="J62" s="509"/>
      <c r="K62" s="481"/>
      <c r="L62" s="510">
        <f>SUM(H62:J62)+K62</f>
        <v>1.1880000000000002</v>
      </c>
      <c r="M62" s="510">
        <f t="shared" si="0"/>
        <v>42.77</v>
      </c>
      <c r="N62" s="510">
        <f t="shared" si="1"/>
        <v>0</v>
      </c>
      <c r="O62" s="510">
        <f t="shared" si="2"/>
        <v>0</v>
      </c>
      <c r="P62" s="510">
        <f t="shared" si="3"/>
        <v>0</v>
      </c>
      <c r="Q62" s="510">
        <f t="shared" si="4"/>
        <v>0</v>
      </c>
      <c r="R62" s="510">
        <f t="shared" si="5"/>
        <v>0</v>
      </c>
    </row>
    <row r="63" spans="1:18">
      <c r="A63" s="505"/>
      <c r="B63" s="511"/>
      <c r="C63" s="507">
        <v>8</v>
      </c>
      <c r="D63" s="508">
        <v>150</v>
      </c>
      <c r="E63" s="507">
        <v>2</v>
      </c>
      <c r="F63" s="502">
        <v>1</v>
      </c>
      <c r="G63" s="502">
        <f>+ROUND(1.13/0.15+1,0)</f>
        <v>9</v>
      </c>
      <c r="H63" s="503"/>
      <c r="I63" s="516">
        <f t="shared" si="33"/>
        <v>1.1880000000000002</v>
      </c>
      <c r="J63" s="509"/>
      <c r="K63" s="509"/>
      <c r="L63" s="510">
        <f t="shared" ref="L63:L64" si="35">SUM(H63:J63)+K63</f>
        <v>1.1880000000000002</v>
      </c>
      <c r="M63" s="510">
        <f t="shared" si="0"/>
        <v>21.38</v>
      </c>
      <c r="N63" s="510">
        <f t="shared" si="1"/>
        <v>0</v>
      </c>
      <c r="O63" s="510">
        <f t="shared" si="2"/>
        <v>0</v>
      </c>
      <c r="P63" s="510">
        <f t="shared" si="3"/>
        <v>0</v>
      </c>
      <c r="Q63" s="510">
        <f t="shared" si="4"/>
        <v>0</v>
      </c>
      <c r="R63" s="510">
        <f t="shared" si="5"/>
        <v>0</v>
      </c>
    </row>
    <row r="64" spans="1:18">
      <c r="A64" s="505" t="s">
        <v>772</v>
      </c>
      <c r="B64" s="506" t="s">
        <v>681</v>
      </c>
      <c r="C64" s="507"/>
      <c r="D64" s="508"/>
      <c r="E64" s="507"/>
      <c r="F64" s="502"/>
      <c r="G64" s="502"/>
      <c r="H64" s="503"/>
      <c r="I64" s="503"/>
      <c r="J64" s="509"/>
      <c r="K64" s="509"/>
      <c r="L64" s="510">
        <f t="shared" si="35"/>
        <v>0</v>
      </c>
      <c r="M64" s="510">
        <f t="shared" si="0"/>
        <v>0</v>
      </c>
      <c r="N64" s="510">
        <f t="shared" si="1"/>
        <v>0</v>
      </c>
      <c r="O64" s="510">
        <f t="shared" si="2"/>
        <v>0</v>
      </c>
      <c r="P64" s="510">
        <f t="shared" si="3"/>
        <v>0</v>
      </c>
      <c r="Q64" s="510">
        <f t="shared" si="4"/>
        <v>0</v>
      </c>
      <c r="R64" s="510">
        <f t="shared" si="5"/>
        <v>0</v>
      </c>
    </row>
    <row r="65" spans="1:18">
      <c r="A65" s="505"/>
      <c r="B65" s="511" t="s">
        <v>740</v>
      </c>
      <c r="C65" s="507">
        <v>16</v>
      </c>
      <c r="D65" s="508"/>
      <c r="E65" s="507">
        <v>2</v>
      </c>
      <c r="F65" s="502">
        <v>1</v>
      </c>
      <c r="G65" s="502">
        <v>2</v>
      </c>
      <c r="H65" s="503">
        <v>0.3</v>
      </c>
      <c r="I65" s="503">
        <v>4.0599999999999996</v>
      </c>
      <c r="J65" s="509">
        <v>0.3</v>
      </c>
      <c r="K65" s="509"/>
      <c r="L65" s="510">
        <f>SUM(H65:J65)+K65</f>
        <v>4.6599999999999993</v>
      </c>
      <c r="M65" s="510">
        <f t="shared" si="0"/>
        <v>0</v>
      </c>
      <c r="N65" s="510">
        <f t="shared" si="1"/>
        <v>0</v>
      </c>
      <c r="O65" s="510">
        <f t="shared" si="2"/>
        <v>0</v>
      </c>
      <c r="P65" s="510">
        <f t="shared" si="3"/>
        <v>18.64</v>
      </c>
      <c r="Q65" s="510">
        <f t="shared" si="4"/>
        <v>0</v>
      </c>
      <c r="R65" s="510">
        <f t="shared" si="5"/>
        <v>0</v>
      </c>
    </row>
    <row r="66" spans="1:18">
      <c r="A66" s="505"/>
      <c r="B66" s="511" t="s">
        <v>773</v>
      </c>
      <c r="C66" s="507">
        <v>16</v>
      </c>
      <c r="D66" s="508"/>
      <c r="E66" s="507">
        <v>2</v>
      </c>
      <c r="F66" s="502">
        <v>1</v>
      </c>
      <c r="G66" s="502">
        <v>2</v>
      </c>
      <c r="H66" s="503">
        <v>0.3</v>
      </c>
      <c r="I66" s="503">
        <v>4.0599999999999996</v>
      </c>
      <c r="J66" s="509">
        <v>0.3</v>
      </c>
      <c r="K66" s="509"/>
      <c r="L66" s="510">
        <f t="shared" ref="L66" si="36">SUM(H66:J66)+K66</f>
        <v>4.6599999999999993</v>
      </c>
      <c r="M66" s="510">
        <f t="shared" si="0"/>
        <v>0</v>
      </c>
      <c r="N66" s="510">
        <f t="shared" si="1"/>
        <v>0</v>
      </c>
      <c r="O66" s="510">
        <f t="shared" si="2"/>
        <v>0</v>
      </c>
      <c r="P66" s="510">
        <f t="shared" si="3"/>
        <v>18.64</v>
      </c>
      <c r="Q66" s="510">
        <f t="shared" si="4"/>
        <v>0</v>
      </c>
      <c r="R66" s="510">
        <f t="shared" si="5"/>
        <v>0</v>
      </c>
    </row>
    <row r="67" spans="1:18">
      <c r="A67" s="505"/>
      <c r="B67" s="511" t="s">
        <v>775</v>
      </c>
      <c r="C67" s="507">
        <v>8</v>
      </c>
      <c r="D67" s="508">
        <v>100</v>
      </c>
      <c r="E67" s="507">
        <v>2</v>
      </c>
      <c r="F67" s="502">
        <v>1</v>
      </c>
      <c r="G67" s="502">
        <f>+ROUND(1.8/0.1,0)</f>
        <v>18</v>
      </c>
      <c r="H67" s="503"/>
      <c r="I67" s="516">
        <f t="shared" ref="I67:I68" si="37">2*(0.14+0.39)+16*C67/1000</f>
        <v>1.1880000000000002</v>
      </c>
      <c r="J67" s="509"/>
      <c r="K67" s="481"/>
      <c r="L67" s="510">
        <f>SUM(H67:J67)+K67</f>
        <v>1.1880000000000002</v>
      </c>
      <c r="M67" s="510">
        <f t="shared" si="0"/>
        <v>42.77</v>
      </c>
      <c r="N67" s="510">
        <f t="shared" si="1"/>
        <v>0</v>
      </c>
      <c r="O67" s="510">
        <f t="shared" si="2"/>
        <v>0</v>
      </c>
      <c r="P67" s="510">
        <f t="shared" si="3"/>
        <v>0</v>
      </c>
      <c r="Q67" s="510">
        <f t="shared" si="4"/>
        <v>0</v>
      </c>
      <c r="R67" s="510">
        <f t="shared" si="5"/>
        <v>0</v>
      </c>
    </row>
    <row r="68" spans="1:18">
      <c r="A68" s="505"/>
      <c r="B68" s="511"/>
      <c r="C68" s="507">
        <v>8</v>
      </c>
      <c r="D68" s="508">
        <v>150</v>
      </c>
      <c r="E68" s="507">
        <v>2</v>
      </c>
      <c r="F68" s="502">
        <v>1</v>
      </c>
      <c r="G68" s="502">
        <f>+ROUND(1.36/0.15+1,0)</f>
        <v>10</v>
      </c>
      <c r="H68" s="503"/>
      <c r="I68" s="516">
        <f t="shared" si="37"/>
        <v>1.1880000000000002</v>
      </c>
      <c r="J68" s="509"/>
      <c r="K68" s="509"/>
      <c r="L68" s="510">
        <f t="shared" ref="L68" si="38">SUM(H68:J68)+K68</f>
        <v>1.1880000000000002</v>
      </c>
      <c r="M68" s="510">
        <f t="shared" si="0"/>
        <v>23.76</v>
      </c>
      <c r="N68" s="510">
        <f t="shared" si="1"/>
        <v>0</v>
      </c>
      <c r="O68" s="510">
        <f t="shared" si="2"/>
        <v>0</v>
      </c>
      <c r="P68" s="510">
        <f t="shared" si="3"/>
        <v>0</v>
      </c>
      <c r="Q68" s="510">
        <f t="shared" si="4"/>
        <v>0</v>
      </c>
      <c r="R68" s="510">
        <f t="shared" si="5"/>
        <v>0</v>
      </c>
    </row>
    <row r="69" spans="1:18">
      <c r="A69" s="505" t="s">
        <v>772</v>
      </c>
      <c r="B69" s="506" t="s">
        <v>682</v>
      </c>
      <c r="C69" s="507"/>
      <c r="D69" s="508"/>
      <c r="E69" s="507"/>
      <c r="F69" s="502"/>
      <c r="G69" s="502"/>
      <c r="H69" s="503"/>
      <c r="I69" s="503"/>
      <c r="J69" s="509"/>
      <c r="K69" s="509"/>
      <c r="L69" s="510">
        <f>SUM(H69:J69)+K69</f>
        <v>0</v>
      </c>
      <c r="M69" s="510">
        <f t="shared" si="0"/>
        <v>0</v>
      </c>
      <c r="N69" s="510">
        <f t="shared" si="1"/>
        <v>0</v>
      </c>
      <c r="O69" s="510">
        <f t="shared" si="2"/>
        <v>0</v>
      </c>
      <c r="P69" s="510">
        <f t="shared" si="3"/>
        <v>0</v>
      </c>
      <c r="Q69" s="510">
        <f t="shared" si="4"/>
        <v>0</v>
      </c>
      <c r="R69" s="510">
        <f t="shared" si="5"/>
        <v>0</v>
      </c>
    </row>
    <row r="70" spans="1:18">
      <c r="A70" s="505"/>
      <c r="B70" s="511" t="s">
        <v>740</v>
      </c>
      <c r="C70" s="507">
        <v>16</v>
      </c>
      <c r="D70" s="508"/>
      <c r="E70" s="507">
        <v>2</v>
      </c>
      <c r="F70" s="502">
        <v>1</v>
      </c>
      <c r="G70" s="502">
        <v>2</v>
      </c>
      <c r="H70" s="503">
        <v>0.3</v>
      </c>
      <c r="I70" s="503">
        <f>6.365-0.06</f>
        <v>6.3050000000000006</v>
      </c>
      <c r="J70" s="509">
        <v>0.3</v>
      </c>
      <c r="K70" s="509"/>
      <c r="L70" s="510">
        <f>SUM(H70:J70)+K70</f>
        <v>6.9050000000000002</v>
      </c>
      <c r="M70" s="510">
        <f t="shared" si="0"/>
        <v>0</v>
      </c>
      <c r="N70" s="510">
        <f t="shared" si="1"/>
        <v>0</v>
      </c>
      <c r="O70" s="510">
        <f t="shared" si="2"/>
        <v>0</v>
      </c>
      <c r="P70" s="510">
        <f t="shared" si="3"/>
        <v>27.62</v>
      </c>
      <c r="Q70" s="510">
        <f t="shared" si="4"/>
        <v>0</v>
      </c>
      <c r="R70" s="510">
        <f t="shared" si="5"/>
        <v>0</v>
      </c>
    </row>
    <row r="71" spans="1:18">
      <c r="A71" s="505"/>
      <c r="B71" s="511" t="s">
        <v>773</v>
      </c>
      <c r="C71" s="507">
        <v>16</v>
      </c>
      <c r="D71" s="508"/>
      <c r="E71" s="507">
        <v>2</v>
      </c>
      <c r="F71" s="502">
        <v>1</v>
      </c>
      <c r="G71" s="502">
        <v>2</v>
      </c>
      <c r="H71" s="503">
        <v>0.3</v>
      </c>
      <c r="I71" s="503">
        <f>6.365-0.06</f>
        <v>6.3050000000000006</v>
      </c>
      <c r="J71" s="509">
        <v>0.3</v>
      </c>
      <c r="K71" s="509"/>
      <c r="L71" s="510">
        <f t="shared" ref="L71" si="39">SUM(H71:J71)+K71</f>
        <v>6.9050000000000002</v>
      </c>
      <c r="M71" s="510">
        <f t="shared" si="0"/>
        <v>0</v>
      </c>
      <c r="N71" s="510">
        <f t="shared" si="1"/>
        <v>0</v>
      </c>
      <c r="O71" s="510">
        <f t="shared" si="2"/>
        <v>0</v>
      </c>
      <c r="P71" s="510">
        <f t="shared" si="3"/>
        <v>27.62</v>
      </c>
      <c r="Q71" s="510">
        <f t="shared" si="4"/>
        <v>0</v>
      </c>
      <c r="R71" s="510">
        <f t="shared" si="5"/>
        <v>0</v>
      </c>
    </row>
    <row r="72" spans="1:18">
      <c r="A72" s="505"/>
      <c r="B72" s="511" t="s">
        <v>777</v>
      </c>
      <c r="C72" s="507">
        <v>8</v>
      </c>
      <c r="D72" s="508">
        <v>100</v>
      </c>
      <c r="E72" s="507">
        <v>2</v>
      </c>
      <c r="F72" s="502">
        <v>1</v>
      </c>
      <c r="G72" s="502">
        <f>+ROUND(2.05/0.1,0)</f>
        <v>21</v>
      </c>
      <c r="H72" s="503"/>
      <c r="I72" s="516">
        <f t="shared" ref="I72:I74" si="40">2*(0.14+0.39)+16*C72/1000</f>
        <v>1.1880000000000002</v>
      </c>
      <c r="J72" s="509"/>
      <c r="K72" s="481"/>
      <c r="L72" s="510">
        <f>SUM(H72:J72)+K72</f>
        <v>1.1880000000000002</v>
      </c>
      <c r="M72" s="510">
        <f t="shared" si="0"/>
        <v>49.9</v>
      </c>
      <c r="N72" s="510">
        <f t="shared" si="1"/>
        <v>0</v>
      </c>
      <c r="O72" s="510">
        <f t="shared" si="2"/>
        <v>0</v>
      </c>
      <c r="P72" s="510">
        <f t="shared" si="3"/>
        <v>0</v>
      </c>
      <c r="Q72" s="510">
        <f t="shared" si="4"/>
        <v>0</v>
      </c>
      <c r="R72" s="510">
        <f t="shared" si="5"/>
        <v>0</v>
      </c>
    </row>
    <row r="73" spans="1:18">
      <c r="A73" s="505"/>
      <c r="B73" s="511"/>
      <c r="C73" s="507">
        <v>8</v>
      </c>
      <c r="D73" s="508">
        <v>150</v>
      </c>
      <c r="E73" s="507">
        <v>2</v>
      </c>
      <c r="F73" s="502">
        <v>1</v>
      </c>
      <c r="G73" s="502">
        <f>+ROUND(2.05/0.15+1,0)</f>
        <v>15</v>
      </c>
      <c r="H73" s="503"/>
      <c r="I73" s="516">
        <f t="shared" si="40"/>
        <v>1.1880000000000002</v>
      </c>
      <c r="J73" s="509"/>
      <c r="K73" s="509"/>
      <c r="L73" s="510">
        <f t="shared" ref="L73" si="41">SUM(H73:J73)+K73</f>
        <v>1.1880000000000002</v>
      </c>
      <c r="M73" s="510">
        <f t="shared" si="0"/>
        <v>35.64</v>
      </c>
      <c r="N73" s="510">
        <f t="shared" si="1"/>
        <v>0</v>
      </c>
      <c r="O73" s="510">
        <f t="shared" si="2"/>
        <v>0</v>
      </c>
      <c r="P73" s="510">
        <f t="shared" si="3"/>
        <v>0</v>
      </c>
      <c r="Q73" s="510">
        <f t="shared" si="4"/>
        <v>0</v>
      </c>
      <c r="R73" s="510">
        <f t="shared" si="5"/>
        <v>0</v>
      </c>
    </row>
    <row r="74" spans="1:18">
      <c r="A74" s="505"/>
      <c r="B74" s="511" t="s">
        <v>777</v>
      </c>
      <c r="C74" s="507">
        <v>8</v>
      </c>
      <c r="D74" s="508">
        <v>100</v>
      </c>
      <c r="E74" s="507">
        <v>2</v>
      </c>
      <c r="F74" s="502">
        <v>1</v>
      </c>
      <c r="G74" s="502">
        <f>+ROUND(1.6/0.1,0)</f>
        <v>16</v>
      </c>
      <c r="H74" s="503"/>
      <c r="I74" s="516">
        <f t="shared" si="40"/>
        <v>1.1880000000000002</v>
      </c>
      <c r="J74" s="509"/>
      <c r="K74" s="481"/>
      <c r="L74" s="510">
        <f>SUM(H74:J74)+K74</f>
        <v>1.1880000000000002</v>
      </c>
      <c r="M74" s="510">
        <f t="shared" si="0"/>
        <v>38.020000000000003</v>
      </c>
      <c r="N74" s="510">
        <f t="shared" si="1"/>
        <v>0</v>
      </c>
      <c r="O74" s="510">
        <f t="shared" si="2"/>
        <v>0</v>
      </c>
      <c r="P74" s="510">
        <f t="shared" si="3"/>
        <v>0</v>
      </c>
      <c r="Q74" s="510">
        <f t="shared" si="4"/>
        <v>0</v>
      </c>
      <c r="R74" s="510">
        <f t="shared" si="5"/>
        <v>0</v>
      </c>
    </row>
    <row r="75" spans="1:18">
      <c r="A75" s="505" t="s">
        <v>772</v>
      </c>
      <c r="B75" s="506" t="s">
        <v>683</v>
      </c>
      <c r="C75" s="507"/>
      <c r="D75" s="508"/>
      <c r="E75" s="507"/>
      <c r="F75" s="502"/>
      <c r="G75" s="502"/>
      <c r="H75" s="503"/>
      <c r="I75" s="503"/>
      <c r="J75" s="509"/>
      <c r="K75" s="509"/>
      <c r="L75" s="510">
        <f t="shared" ref="L75" si="42">SUM(H75:J75)+K75</f>
        <v>0</v>
      </c>
      <c r="M75" s="510">
        <f t="shared" si="0"/>
        <v>0</v>
      </c>
      <c r="N75" s="510">
        <f t="shared" si="1"/>
        <v>0</v>
      </c>
      <c r="O75" s="510">
        <f t="shared" si="2"/>
        <v>0</v>
      </c>
      <c r="P75" s="510">
        <f t="shared" si="3"/>
        <v>0</v>
      </c>
      <c r="Q75" s="510">
        <f t="shared" si="4"/>
        <v>0</v>
      </c>
      <c r="R75" s="510">
        <f t="shared" si="5"/>
        <v>0</v>
      </c>
    </row>
    <row r="76" spans="1:18">
      <c r="A76" s="505"/>
      <c r="B76" s="511" t="s">
        <v>740</v>
      </c>
      <c r="C76" s="507">
        <v>16</v>
      </c>
      <c r="D76" s="508"/>
      <c r="E76" s="507">
        <v>2</v>
      </c>
      <c r="F76" s="502">
        <v>1</v>
      </c>
      <c r="G76" s="502">
        <v>2</v>
      </c>
      <c r="H76" s="503">
        <v>0.3</v>
      </c>
      <c r="I76" s="503">
        <f>5.89-0.06</f>
        <v>5.83</v>
      </c>
      <c r="J76" s="509">
        <v>0.3</v>
      </c>
      <c r="K76" s="509"/>
      <c r="L76" s="510">
        <f>SUM(H76:J76)+K76</f>
        <v>6.43</v>
      </c>
      <c r="M76" s="510">
        <f t="shared" si="0"/>
        <v>0</v>
      </c>
      <c r="N76" s="510">
        <f t="shared" si="1"/>
        <v>0</v>
      </c>
      <c r="O76" s="510">
        <f t="shared" si="2"/>
        <v>0</v>
      </c>
      <c r="P76" s="510">
        <f t="shared" si="3"/>
        <v>25.72</v>
      </c>
      <c r="Q76" s="510">
        <f t="shared" si="4"/>
        <v>0</v>
      </c>
      <c r="R76" s="510">
        <f t="shared" si="5"/>
        <v>0</v>
      </c>
    </row>
    <row r="77" spans="1:18">
      <c r="A77" s="505"/>
      <c r="B77" s="511" t="s">
        <v>773</v>
      </c>
      <c r="C77" s="507">
        <v>16</v>
      </c>
      <c r="D77" s="508"/>
      <c r="E77" s="507">
        <v>2</v>
      </c>
      <c r="F77" s="502">
        <v>1</v>
      </c>
      <c r="G77" s="502">
        <v>2</v>
      </c>
      <c r="H77" s="503">
        <v>0.3</v>
      </c>
      <c r="I77" s="503">
        <f>5.89-0.06</f>
        <v>5.83</v>
      </c>
      <c r="J77" s="509">
        <v>0.3</v>
      </c>
      <c r="K77" s="509"/>
      <c r="L77" s="510">
        <f t="shared" ref="L77" si="43">SUM(H77:J77)+K77</f>
        <v>6.43</v>
      </c>
      <c r="M77" s="510">
        <f t="shared" si="0"/>
        <v>0</v>
      </c>
      <c r="N77" s="510">
        <f t="shared" si="1"/>
        <v>0</v>
      </c>
      <c r="O77" s="510">
        <f t="shared" si="2"/>
        <v>0</v>
      </c>
      <c r="P77" s="510">
        <f t="shared" si="3"/>
        <v>25.72</v>
      </c>
      <c r="Q77" s="510">
        <f t="shared" si="4"/>
        <v>0</v>
      </c>
      <c r="R77" s="510">
        <f t="shared" si="5"/>
        <v>0</v>
      </c>
    </row>
    <row r="78" spans="1:18">
      <c r="A78" s="505"/>
      <c r="B78" s="511" t="s">
        <v>775</v>
      </c>
      <c r="C78" s="507">
        <v>8</v>
      </c>
      <c r="D78" s="508">
        <v>100</v>
      </c>
      <c r="E78" s="507">
        <v>2</v>
      </c>
      <c r="F78" s="502">
        <v>1</v>
      </c>
      <c r="G78" s="502">
        <f>+ROUND(2.345/0.1,0)</f>
        <v>23</v>
      </c>
      <c r="H78" s="503"/>
      <c r="I78" s="516">
        <f t="shared" ref="I78:I79" si="44">2*(0.14+0.39)+16*C78/1000</f>
        <v>1.1880000000000002</v>
      </c>
      <c r="J78" s="509"/>
      <c r="K78" s="481"/>
      <c r="L78" s="510">
        <f>SUM(H78:J78)+K78</f>
        <v>1.1880000000000002</v>
      </c>
      <c r="M78" s="510">
        <f t="shared" si="0"/>
        <v>54.65</v>
      </c>
      <c r="N78" s="510">
        <f t="shared" si="1"/>
        <v>0</v>
      </c>
      <c r="O78" s="510">
        <f t="shared" si="2"/>
        <v>0</v>
      </c>
      <c r="P78" s="510">
        <f t="shared" si="3"/>
        <v>0</v>
      </c>
      <c r="Q78" s="510">
        <f t="shared" si="4"/>
        <v>0</v>
      </c>
      <c r="R78" s="510">
        <f t="shared" si="5"/>
        <v>0</v>
      </c>
    </row>
    <row r="79" spans="1:18">
      <c r="A79" s="505"/>
      <c r="B79" s="511"/>
      <c r="C79" s="507">
        <v>8</v>
      </c>
      <c r="D79" s="508">
        <v>150</v>
      </c>
      <c r="E79" s="507">
        <v>2</v>
      </c>
      <c r="F79" s="502">
        <v>1</v>
      </c>
      <c r="G79" s="502">
        <f>+ROUND(2.345/0.15+1,0)</f>
        <v>17</v>
      </c>
      <c r="H79" s="503"/>
      <c r="I79" s="516">
        <f t="shared" si="44"/>
        <v>1.1880000000000002</v>
      </c>
      <c r="J79" s="509"/>
      <c r="K79" s="509"/>
      <c r="L79" s="510">
        <f t="shared" ref="L79" si="45">SUM(H79:J79)+K79</f>
        <v>1.1880000000000002</v>
      </c>
      <c r="M79" s="510">
        <f t="shared" si="0"/>
        <v>40.39</v>
      </c>
      <c r="N79" s="510">
        <f t="shared" si="1"/>
        <v>0</v>
      </c>
      <c r="O79" s="510">
        <f t="shared" si="2"/>
        <v>0</v>
      </c>
      <c r="P79" s="510">
        <f t="shared" si="3"/>
        <v>0</v>
      </c>
      <c r="Q79" s="510">
        <f t="shared" si="4"/>
        <v>0</v>
      </c>
      <c r="R79" s="510">
        <f t="shared" si="5"/>
        <v>0</v>
      </c>
    </row>
    <row r="80" spans="1:18">
      <c r="A80" s="505" t="s">
        <v>772</v>
      </c>
      <c r="B80" s="506" t="s">
        <v>684</v>
      </c>
      <c r="C80" s="507"/>
      <c r="D80" s="508"/>
      <c r="E80" s="507"/>
      <c r="F80" s="502"/>
      <c r="G80" s="502"/>
      <c r="H80" s="503"/>
      <c r="I80" s="503"/>
      <c r="J80" s="509"/>
      <c r="K80" s="509"/>
      <c r="L80" s="510">
        <f t="shared" ref="L80" si="46">SUM(H80:J80)+K80</f>
        <v>0</v>
      </c>
      <c r="M80" s="510">
        <f t="shared" si="0"/>
        <v>0</v>
      </c>
      <c r="N80" s="510">
        <f t="shared" si="1"/>
        <v>0</v>
      </c>
      <c r="O80" s="510">
        <f t="shared" si="2"/>
        <v>0</v>
      </c>
      <c r="P80" s="510">
        <f t="shared" si="3"/>
        <v>0</v>
      </c>
      <c r="Q80" s="510">
        <f t="shared" si="4"/>
        <v>0</v>
      </c>
      <c r="R80" s="510">
        <f t="shared" si="5"/>
        <v>0</v>
      </c>
    </row>
    <row r="81" spans="1:18">
      <c r="A81" s="505"/>
      <c r="B81" s="511" t="s">
        <v>740</v>
      </c>
      <c r="C81" s="507">
        <v>16</v>
      </c>
      <c r="D81" s="508"/>
      <c r="E81" s="507">
        <v>1</v>
      </c>
      <c r="F81" s="502">
        <v>1</v>
      </c>
      <c r="G81" s="502">
        <v>2</v>
      </c>
      <c r="H81" s="503">
        <v>0.3</v>
      </c>
      <c r="I81" s="503">
        <f>12.95-0.06</f>
        <v>12.889999999999999</v>
      </c>
      <c r="J81" s="509">
        <v>0.3</v>
      </c>
      <c r="K81" s="509">
        <f>49*C81/1000</f>
        <v>0.78400000000000003</v>
      </c>
      <c r="L81" s="510">
        <f>SUM(H81:J81)+K81</f>
        <v>14.274000000000001</v>
      </c>
      <c r="M81" s="510">
        <f t="shared" si="0"/>
        <v>0</v>
      </c>
      <c r="N81" s="510">
        <f t="shared" si="1"/>
        <v>0</v>
      </c>
      <c r="O81" s="510">
        <f t="shared" si="2"/>
        <v>0</v>
      </c>
      <c r="P81" s="510">
        <f t="shared" si="3"/>
        <v>28.55</v>
      </c>
      <c r="Q81" s="510">
        <f t="shared" si="4"/>
        <v>0</v>
      </c>
      <c r="R81" s="510">
        <f t="shared" si="5"/>
        <v>0</v>
      </c>
    </row>
    <row r="82" spans="1:18">
      <c r="A82" s="505"/>
      <c r="B82" s="511" t="s">
        <v>773</v>
      </c>
      <c r="C82" s="507">
        <v>16</v>
      </c>
      <c r="D82" s="508"/>
      <c r="E82" s="507">
        <v>1</v>
      </c>
      <c r="F82" s="502">
        <v>1</v>
      </c>
      <c r="G82" s="502">
        <v>2</v>
      </c>
      <c r="H82" s="503">
        <v>0.3</v>
      </c>
      <c r="I82" s="503">
        <f>12.95-0.06</f>
        <v>12.889999999999999</v>
      </c>
      <c r="J82" s="509">
        <v>0.3</v>
      </c>
      <c r="K82" s="509">
        <f>49*C82/1000</f>
        <v>0.78400000000000003</v>
      </c>
      <c r="L82" s="510">
        <f t="shared" ref="L82" si="47">SUM(H82:J82)+K82</f>
        <v>14.274000000000001</v>
      </c>
      <c r="M82" s="510">
        <f t="shared" si="0"/>
        <v>0</v>
      </c>
      <c r="N82" s="510">
        <f t="shared" si="1"/>
        <v>0</v>
      </c>
      <c r="O82" s="510">
        <f t="shared" si="2"/>
        <v>0</v>
      </c>
      <c r="P82" s="510">
        <f t="shared" si="3"/>
        <v>28.55</v>
      </c>
      <c r="Q82" s="510">
        <f t="shared" si="4"/>
        <v>0</v>
      </c>
      <c r="R82" s="510">
        <f t="shared" si="5"/>
        <v>0</v>
      </c>
    </row>
    <row r="83" spans="1:18">
      <c r="A83" s="505"/>
      <c r="B83" s="511" t="s">
        <v>778</v>
      </c>
      <c r="C83" s="507">
        <v>12</v>
      </c>
      <c r="D83" s="508"/>
      <c r="E83" s="507">
        <v>1</v>
      </c>
      <c r="F83" s="502">
        <v>2</v>
      </c>
      <c r="G83" s="502">
        <v>2</v>
      </c>
      <c r="H83" s="503"/>
      <c r="I83" s="516">
        <v>1.46</v>
      </c>
      <c r="J83" s="509"/>
      <c r="K83" s="509"/>
      <c r="L83" s="510">
        <f t="shared" ref="L83" si="48">SUM(H83:J83)+K83</f>
        <v>1.46</v>
      </c>
      <c r="M83" s="510">
        <f t="shared" si="0"/>
        <v>0</v>
      </c>
      <c r="N83" s="510">
        <f t="shared" si="1"/>
        <v>0</v>
      </c>
      <c r="O83" s="510">
        <f t="shared" si="2"/>
        <v>5.84</v>
      </c>
      <c r="P83" s="510">
        <f t="shared" si="3"/>
        <v>0</v>
      </c>
      <c r="Q83" s="510">
        <f t="shared" si="4"/>
        <v>0</v>
      </c>
      <c r="R83" s="510">
        <f t="shared" si="5"/>
        <v>0</v>
      </c>
    </row>
    <row r="84" spans="1:18">
      <c r="A84" s="505"/>
      <c r="B84" s="511" t="s">
        <v>774</v>
      </c>
      <c r="C84" s="507">
        <v>12</v>
      </c>
      <c r="D84" s="508"/>
      <c r="E84" s="507">
        <v>1</v>
      </c>
      <c r="F84" s="502">
        <v>1</v>
      </c>
      <c r="G84" s="502">
        <v>2</v>
      </c>
      <c r="H84" s="503"/>
      <c r="I84" s="503">
        <v>3.83</v>
      </c>
      <c r="J84" s="509"/>
      <c r="K84" s="509"/>
      <c r="L84" s="510">
        <f t="shared" ref="L84" si="49">SUM(H84:J84)+K84</f>
        <v>3.83</v>
      </c>
      <c r="M84" s="510">
        <f t="shared" si="0"/>
        <v>0</v>
      </c>
      <c r="N84" s="510">
        <f t="shared" si="1"/>
        <v>0</v>
      </c>
      <c r="O84" s="510">
        <f t="shared" si="2"/>
        <v>7.66</v>
      </c>
      <c r="P84" s="510">
        <f t="shared" si="3"/>
        <v>0</v>
      </c>
      <c r="Q84" s="510">
        <f t="shared" si="4"/>
        <v>0</v>
      </c>
      <c r="R84" s="510">
        <f t="shared" si="5"/>
        <v>0</v>
      </c>
    </row>
    <row r="85" spans="1:18">
      <c r="A85" s="505"/>
      <c r="B85" s="511" t="s">
        <v>774</v>
      </c>
      <c r="C85" s="507">
        <v>12</v>
      </c>
      <c r="D85" s="508"/>
      <c r="E85" s="507">
        <v>1</v>
      </c>
      <c r="F85" s="502">
        <v>2</v>
      </c>
      <c r="G85" s="502">
        <v>2</v>
      </c>
      <c r="H85" s="503">
        <v>0.3</v>
      </c>
      <c r="I85" s="503">
        <f>2.4-0.03</f>
        <v>2.37</v>
      </c>
      <c r="J85" s="509"/>
      <c r="K85" s="509"/>
      <c r="L85" s="510">
        <f t="shared" ref="L85" si="50">SUM(H85:J85)+K85</f>
        <v>2.67</v>
      </c>
      <c r="M85" s="510">
        <f t="shared" si="0"/>
        <v>0</v>
      </c>
      <c r="N85" s="510">
        <f t="shared" si="1"/>
        <v>0</v>
      </c>
      <c r="O85" s="510">
        <f t="shared" si="2"/>
        <v>10.68</v>
      </c>
      <c r="P85" s="510">
        <f t="shared" si="3"/>
        <v>0</v>
      </c>
      <c r="Q85" s="510">
        <f t="shared" si="4"/>
        <v>0</v>
      </c>
      <c r="R85" s="510">
        <f t="shared" si="5"/>
        <v>0</v>
      </c>
    </row>
    <row r="86" spans="1:18">
      <c r="A86" s="505"/>
      <c r="B86" s="511" t="s">
        <v>775</v>
      </c>
      <c r="C86" s="507">
        <v>8</v>
      </c>
      <c r="D86" s="508">
        <v>100</v>
      </c>
      <c r="E86" s="507">
        <v>1</v>
      </c>
      <c r="F86" s="502">
        <v>2</v>
      </c>
      <c r="G86" s="502">
        <f>+ROUND(2.89/0.1,0)</f>
        <v>29</v>
      </c>
      <c r="H86" s="503"/>
      <c r="I86" s="516">
        <f t="shared" ref="I86:I87" si="51">2*(0.14+0.39)+16*C86/1000</f>
        <v>1.1880000000000002</v>
      </c>
      <c r="J86" s="509"/>
      <c r="K86" s="481"/>
      <c r="L86" s="510">
        <f>SUM(H86:J86)+K86</f>
        <v>1.1880000000000002</v>
      </c>
      <c r="M86" s="510">
        <f t="shared" si="0"/>
        <v>68.900000000000006</v>
      </c>
      <c r="N86" s="510">
        <f t="shared" si="1"/>
        <v>0</v>
      </c>
      <c r="O86" s="510">
        <f t="shared" si="2"/>
        <v>0</v>
      </c>
      <c r="P86" s="510">
        <f t="shared" si="3"/>
        <v>0</v>
      </c>
      <c r="Q86" s="510">
        <f t="shared" si="4"/>
        <v>0</v>
      </c>
      <c r="R86" s="510">
        <f t="shared" si="5"/>
        <v>0</v>
      </c>
    </row>
    <row r="87" spans="1:18">
      <c r="A87" s="505"/>
      <c r="B87" s="511"/>
      <c r="C87" s="507">
        <v>8</v>
      </c>
      <c r="D87" s="508">
        <v>150</v>
      </c>
      <c r="E87" s="507">
        <v>1</v>
      </c>
      <c r="F87" s="502">
        <v>2</v>
      </c>
      <c r="G87" s="502">
        <f>+ROUND(2.89/0.15+1,0)</f>
        <v>20</v>
      </c>
      <c r="H87" s="503"/>
      <c r="I87" s="516">
        <f t="shared" si="51"/>
        <v>1.1880000000000002</v>
      </c>
      <c r="J87" s="509"/>
      <c r="K87" s="509"/>
      <c r="L87" s="510">
        <f t="shared" ref="L87" si="52">SUM(H87:J87)+K87</f>
        <v>1.1880000000000002</v>
      </c>
      <c r="M87" s="510">
        <f t="shared" si="0"/>
        <v>47.52</v>
      </c>
      <c r="N87" s="510">
        <f t="shared" si="1"/>
        <v>0</v>
      </c>
      <c r="O87" s="510">
        <f t="shared" si="2"/>
        <v>0</v>
      </c>
      <c r="P87" s="510">
        <f t="shared" si="3"/>
        <v>0</v>
      </c>
      <c r="Q87" s="510">
        <f t="shared" si="4"/>
        <v>0</v>
      </c>
      <c r="R87" s="510">
        <f t="shared" si="5"/>
        <v>0</v>
      </c>
    </row>
    <row r="88" spans="1:18">
      <c r="A88" s="505" t="s">
        <v>772</v>
      </c>
      <c r="B88" s="506" t="s">
        <v>685</v>
      </c>
      <c r="C88" s="507"/>
      <c r="D88" s="508"/>
      <c r="E88" s="507"/>
      <c r="F88" s="502"/>
      <c r="G88" s="502"/>
      <c r="H88" s="503"/>
      <c r="I88" s="503"/>
      <c r="J88" s="509"/>
      <c r="K88" s="509"/>
      <c r="L88" s="510">
        <f t="shared" ref="L88" si="53">SUM(H88:J88)+K88</f>
        <v>0</v>
      </c>
      <c r="M88" s="510">
        <f t="shared" si="0"/>
        <v>0</v>
      </c>
      <c r="N88" s="510">
        <f t="shared" si="1"/>
        <v>0</v>
      </c>
      <c r="O88" s="510">
        <f t="shared" si="2"/>
        <v>0</v>
      </c>
      <c r="P88" s="510">
        <f t="shared" si="3"/>
        <v>0</v>
      </c>
      <c r="Q88" s="510">
        <f t="shared" si="4"/>
        <v>0</v>
      </c>
      <c r="R88" s="510">
        <f t="shared" si="5"/>
        <v>0</v>
      </c>
    </row>
    <row r="89" spans="1:18">
      <c r="A89" s="505"/>
      <c r="B89" s="511" t="s">
        <v>740</v>
      </c>
      <c r="C89" s="507">
        <v>16</v>
      </c>
      <c r="D89" s="508"/>
      <c r="E89" s="507">
        <v>2</v>
      </c>
      <c r="F89" s="502">
        <v>1</v>
      </c>
      <c r="G89" s="502">
        <v>2</v>
      </c>
      <c r="H89" s="503">
        <v>0.3</v>
      </c>
      <c r="I89" s="503">
        <f>3.705-0.06</f>
        <v>3.645</v>
      </c>
      <c r="J89" s="509">
        <v>0.3</v>
      </c>
      <c r="K89" s="509"/>
      <c r="L89" s="510">
        <f>SUM(H89:J89)+K89</f>
        <v>4.2450000000000001</v>
      </c>
      <c r="M89" s="510">
        <f t="shared" si="0"/>
        <v>0</v>
      </c>
      <c r="N89" s="510">
        <f t="shared" si="1"/>
        <v>0</v>
      </c>
      <c r="O89" s="510">
        <f t="shared" si="2"/>
        <v>0</v>
      </c>
      <c r="P89" s="510">
        <f t="shared" si="3"/>
        <v>16.98</v>
      </c>
      <c r="Q89" s="510">
        <f t="shared" si="4"/>
        <v>0</v>
      </c>
      <c r="R89" s="510">
        <f t="shared" si="5"/>
        <v>0</v>
      </c>
    </row>
    <row r="90" spans="1:18">
      <c r="A90" s="505"/>
      <c r="B90" s="511" t="s">
        <v>773</v>
      </c>
      <c r="C90" s="507">
        <v>16</v>
      </c>
      <c r="D90" s="508"/>
      <c r="E90" s="507">
        <v>2</v>
      </c>
      <c r="F90" s="502">
        <v>1</v>
      </c>
      <c r="G90" s="502">
        <v>2</v>
      </c>
      <c r="H90" s="503">
        <v>0.3</v>
      </c>
      <c r="I90" s="503">
        <f>3.705-0.06</f>
        <v>3.645</v>
      </c>
      <c r="J90" s="509">
        <v>0.3</v>
      </c>
      <c r="K90" s="509"/>
      <c r="L90" s="510">
        <f t="shared" ref="L90" si="54">SUM(H90:J90)+K90</f>
        <v>4.2450000000000001</v>
      </c>
      <c r="M90" s="510">
        <f t="shared" si="0"/>
        <v>0</v>
      </c>
      <c r="N90" s="510">
        <f t="shared" si="1"/>
        <v>0</v>
      </c>
      <c r="O90" s="510">
        <f t="shared" si="2"/>
        <v>0</v>
      </c>
      <c r="P90" s="510">
        <f t="shared" si="3"/>
        <v>16.98</v>
      </c>
      <c r="Q90" s="510">
        <f t="shared" si="4"/>
        <v>0</v>
      </c>
      <c r="R90" s="510">
        <f t="shared" si="5"/>
        <v>0</v>
      </c>
    </row>
    <row r="91" spans="1:18">
      <c r="A91" s="505"/>
      <c r="B91" s="511" t="s">
        <v>777</v>
      </c>
      <c r="C91" s="507">
        <v>8</v>
      </c>
      <c r="D91" s="508">
        <v>100</v>
      </c>
      <c r="E91" s="507">
        <v>2</v>
      </c>
      <c r="F91" s="502">
        <v>1</v>
      </c>
      <c r="G91" s="502">
        <f>+ROUND(2.22/0.1+1,0)</f>
        <v>23</v>
      </c>
      <c r="H91" s="503"/>
      <c r="I91" s="516">
        <f t="shared" ref="I91" si="55">2*(0.14+0.39)+16*C91/1000</f>
        <v>1.1880000000000002</v>
      </c>
      <c r="J91" s="509"/>
      <c r="K91" s="481"/>
      <c r="L91" s="510">
        <f>SUM(H91:J91)+K91</f>
        <v>1.1880000000000002</v>
      </c>
      <c r="M91" s="510">
        <f t="shared" si="0"/>
        <v>54.65</v>
      </c>
      <c r="N91" s="510">
        <f t="shared" si="1"/>
        <v>0</v>
      </c>
      <c r="O91" s="510">
        <f t="shared" si="2"/>
        <v>0</v>
      </c>
      <c r="P91" s="510">
        <f t="shared" si="3"/>
        <v>0</v>
      </c>
      <c r="Q91" s="510">
        <f t="shared" si="4"/>
        <v>0</v>
      </c>
      <c r="R91" s="510">
        <f t="shared" si="5"/>
        <v>0</v>
      </c>
    </row>
    <row r="92" spans="1:18">
      <c r="A92" s="505" t="s">
        <v>772</v>
      </c>
      <c r="B92" s="506" t="s">
        <v>686</v>
      </c>
      <c r="C92" s="507"/>
      <c r="D92" s="508"/>
      <c r="E92" s="507"/>
      <c r="F92" s="502"/>
      <c r="G92" s="502"/>
      <c r="H92" s="503"/>
      <c r="I92" s="503"/>
      <c r="J92" s="509"/>
      <c r="K92" s="509"/>
      <c r="L92" s="510">
        <f t="shared" ref="L92" si="56">SUM(H92:J92)+K92</f>
        <v>0</v>
      </c>
      <c r="M92" s="510">
        <f t="shared" si="0"/>
        <v>0</v>
      </c>
      <c r="N92" s="510">
        <f t="shared" si="1"/>
        <v>0</v>
      </c>
      <c r="O92" s="510">
        <f t="shared" si="2"/>
        <v>0</v>
      </c>
      <c r="P92" s="510">
        <f t="shared" si="3"/>
        <v>0</v>
      </c>
      <c r="Q92" s="510">
        <f t="shared" si="4"/>
        <v>0</v>
      </c>
      <c r="R92" s="510">
        <f t="shared" si="5"/>
        <v>0</v>
      </c>
    </row>
    <row r="93" spans="1:18">
      <c r="A93" s="505"/>
      <c r="B93" s="511" t="s">
        <v>740</v>
      </c>
      <c r="C93" s="507">
        <v>16</v>
      </c>
      <c r="D93" s="508"/>
      <c r="E93" s="507">
        <v>2</v>
      </c>
      <c r="F93" s="502">
        <v>1</v>
      </c>
      <c r="G93" s="502">
        <v>2</v>
      </c>
      <c r="H93" s="503">
        <v>0.3</v>
      </c>
      <c r="I93" s="503">
        <v>4</v>
      </c>
      <c r="J93" s="509">
        <v>0.3</v>
      </c>
      <c r="K93" s="509"/>
      <c r="L93" s="510">
        <f>SUM(H93:J93)+K93</f>
        <v>4.5999999999999996</v>
      </c>
      <c r="M93" s="510">
        <f t="shared" si="0"/>
        <v>0</v>
      </c>
      <c r="N93" s="510">
        <f t="shared" si="1"/>
        <v>0</v>
      </c>
      <c r="O93" s="510">
        <f t="shared" si="2"/>
        <v>0</v>
      </c>
      <c r="P93" s="510">
        <f t="shared" si="3"/>
        <v>18.399999999999999</v>
      </c>
      <c r="Q93" s="510">
        <f t="shared" si="4"/>
        <v>0</v>
      </c>
      <c r="R93" s="510">
        <f t="shared" si="5"/>
        <v>0</v>
      </c>
    </row>
    <row r="94" spans="1:18">
      <c r="A94" s="505"/>
      <c r="B94" s="511" t="s">
        <v>773</v>
      </c>
      <c r="C94" s="507">
        <v>16</v>
      </c>
      <c r="D94" s="508"/>
      <c r="E94" s="507">
        <v>2</v>
      </c>
      <c r="F94" s="502">
        <v>1</v>
      </c>
      <c r="G94" s="502">
        <v>2</v>
      </c>
      <c r="H94" s="503">
        <v>0.3</v>
      </c>
      <c r="I94" s="503">
        <v>4</v>
      </c>
      <c r="J94" s="509">
        <v>0.3</v>
      </c>
      <c r="K94" s="509"/>
      <c r="L94" s="510">
        <f t="shared" ref="L94" si="57">SUM(H94:J94)+K94</f>
        <v>4.5999999999999996</v>
      </c>
      <c r="M94" s="510">
        <f t="shared" si="0"/>
        <v>0</v>
      </c>
      <c r="N94" s="510">
        <f t="shared" si="1"/>
        <v>0</v>
      </c>
      <c r="O94" s="510">
        <f t="shared" si="2"/>
        <v>0</v>
      </c>
      <c r="P94" s="510">
        <f t="shared" si="3"/>
        <v>18.399999999999999</v>
      </c>
      <c r="Q94" s="510">
        <f t="shared" si="4"/>
        <v>0</v>
      </c>
      <c r="R94" s="510">
        <f t="shared" si="5"/>
        <v>0</v>
      </c>
    </row>
    <row r="95" spans="1:18">
      <c r="A95" s="505"/>
      <c r="B95" s="511" t="s">
        <v>777</v>
      </c>
      <c r="C95" s="507">
        <v>8</v>
      </c>
      <c r="D95" s="508">
        <v>100</v>
      </c>
      <c r="E95" s="507">
        <v>2</v>
      </c>
      <c r="F95" s="502">
        <v>1</v>
      </c>
      <c r="G95" s="502">
        <f>+ROUND(3.115/0.1,0)</f>
        <v>31</v>
      </c>
      <c r="H95" s="503"/>
      <c r="I95" s="516">
        <f t="shared" ref="I95" si="58">2*(0.14+0.39)+16*C95/1000</f>
        <v>1.1880000000000002</v>
      </c>
      <c r="J95" s="509"/>
      <c r="K95" s="481"/>
      <c r="L95" s="510">
        <f>SUM(H95:J95)+K95</f>
        <v>1.1880000000000002</v>
      </c>
      <c r="M95" s="510">
        <f t="shared" si="0"/>
        <v>73.66</v>
      </c>
      <c r="N95" s="510">
        <f t="shared" si="1"/>
        <v>0</v>
      </c>
      <c r="O95" s="510">
        <f t="shared" si="2"/>
        <v>0</v>
      </c>
      <c r="P95" s="510">
        <f t="shared" si="3"/>
        <v>0</v>
      </c>
      <c r="Q95" s="510">
        <f t="shared" si="4"/>
        <v>0</v>
      </c>
      <c r="R95" s="510">
        <f t="shared" si="5"/>
        <v>0</v>
      </c>
    </row>
    <row r="96" spans="1:18">
      <c r="A96" s="505" t="s">
        <v>772</v>
      </c>
      <c r="B96" s="506" t="s">
        <v>687</v>
      </c>
      <c r="C96" s="507"/>
      <c r="D96" s="508"/>
      <c r="E96" s="507"/>
      <c r="F96" s="502"/>
      <c r="G96" s="502"/>
      <c r="H96" s="503"/>
      <c r="I96" s="503"/>
      <c r="J96" s="509"/>
      <c r="K96" s="509"/>
      <c r="L96" s="510">
        <f t="shared" ref="L96" si="59">SUM(H96:J96)+K96</f>
        <v>0</v>
      </c>
      <c r="M96" s="510">
        <f t="shared" si="0"/>
        <v>0</v>
      </c>
      <c r="N96" s="510">
        <f t="shared" si="1"/>
        <v>0</v>
      </c>
      <c r="O96" s="510">
        <f t="shared" si="2"/>
        <v>0</v>
      </c>
      <c r="P96" s="510">
        <f t="shared" si="3"/>
        <v>0</v>
      </c>
      <c r="Q96" s="510">
        <f t="shared" si="4"/>
        <v>0</v>
      </c>
      <c r="R96" s="510">
        <f t="shared" si="5"/>
        <v>0</v>
      </c>
    </row>
    <row r="97" spans="1:18">
      <c r="A97" s="505"/>
      <c r="B97" s="511" t="s">
        <v>740</v>
      </c>
      <c r="C97" s="507">
        <v>16</v>
      </c>
      <c r="D97" s="508"/>
      <c r="E97" s="507">
        <v>6</v>
      </c>
      <c r="F97" s="502">
        <v>1</v>
      </c>
      <c r="G97" s="502">
        <v>2</v>
      </c>
      <c r="H97" s="503">
        <v>0.3</v>
      </c>
      <c r="I97" s="503">
        <f>8.855-0.06</f>
        <v>8.7949999999999999</v>
      </c>
      <c r="J97" s="509">
        <v>0.3</v>
      </c>
      <c r="K97" s="509"/>
      <c r="L97" s="510">
        <f>SUM(H97:J97)+K97</f>
        <v>9.3950000000000014</v>
      </c>
      <c r="M97" s="510">
        <f t="shared" si="0"/>
        <v>0</v>
      </c>
      <c r="N97" s="510">
        <f t="shared" si="1"/>
        <v>0</v>
      </c>
      <c r="O97" s="510">
        <f t="shared" si="2"/>
        <v>0</v>
      </c>
      <c r="P97" s="510">
        <f t="shared" si="3"/>
        <v>112.74</v>
      </c>
      <c r="Q97" s="510">
        <f t="shared" si="4"/>
        <v>0</v>
      </c>
      <c r="R97" s="510">
        <f t="shared" si="5"/>
        <v>0</v>
      </c>
    </row>
    <row r="98" spans="1:18">
      <c r="A98" s="505"/>
      <c r="B98" s="511" t="s">
        <v>773</v>
      </c>
      <c r="C98" s="507">
        <v>16</v>
      </c>
      <c r="D98" s="508"/>
      <c r="E98" s="507">
        <v>6</v>
      </c>
      <c r="F98" s="502">
        <v>1</v>
      </c>
      <c r="G98" s="502">
        <v>2</v>
      </c>
      <c r="H98" s="503">
        <v>0.3</v>
      </c>
      <c r="I98" s="503">
        <f>8.855-0.06</f>
        <v>8.7949999999999999</v>
      </c>
      <c r="J98" s="509">
        <v>0.3</v>
      </c>
      <c r="K98" s="509"/>
      <c r="L98" s="510">
        <f t="shared" ref="L98" si="60">SUM(H98:J98)+K98</f>
        <v>9.3950000000000014</v>
      </c>
      <c r="M98" s="510">
        <f t="shared" si="0"/>
        <v>0</v>
      </c>
      <c r="N98" s="510">
        <f t="shared" si="1"/>
        <v>0</v>
      </c>
      <c r="O98" s="510">
        <f t="shared" si="2"/>
        <v>0</v>
      </c>
      <c r="P98" s="510">
        <f t="shared" si="3"/>
        <v>112.74</v>
      </c>
      <c r="Q98" s="510">
        <f t="shared" si="4"/>
        <v>0</v>
      </c>
      <c r="R98" s="510">
        <f t="shared" si="5"/>
        <v>0</v>
      </c>
    </row>
    <row r="99" spans="1:18">
      <c r="A99" s="505"/>
      <c r="B99" s="511" t="s">
        <v>777</v>
      </c>
      <c r="C99" s="507">
        <v>8</v>
      </c>
      <c r="D99" s="508">
        <v>100</v>
      </c>
      <c r="E99" s="507">
        <v>6</v>
      </c>
      <c r="F99" s="502">
        <v>1</v>
      </c>
      <c r="G99" s="502">
        <f>+ROUND(2.185/0.1,0)</f>
        <v>22</v>
      </c>
      <c r="H99" s="503"/>
      <c r="I99" s="516">
        <f t="shared" ref="I99:I102" si="61">2*(0.14+0.39)+16*C99/1000</f>
        <v>1.1880000000000002</v>
      </c>
      <c r="J99" s="509"/>
      <c r="K99" s="481"/>
      <c r="L99" s="510">
        <f>SUM(H99:J99)+K99</f>
        <v>1.1880000000000002</v>
      </c>
      <c r="M99" s="510">
        <f t="shared" si="0"/>
        <v>156.82</v>
      </c>
      <c r="N99" s="510">
        <f t="shared" si="1"/>
        <v>0</v>
      </c>
      <c r="O99" s="510">
        <f t="shared" si="2"/>
        <v>0</v>
      </c>
      <c r="P99" s="510">
        <f t="shared" si="3"/>
        <v>0</v>
      </c>
      <c r="Q99" s="510">
        <f t="shared" si="4"/>
        <v>0</v>
      </c>
      <c r="R99" s="510">
        <f t="shared" si="5"/>
        <v>0</v>
      </c>
    </row>
    <row r="100" spans="1:18">
      <c r="A100" s="505"/>
      <c r="B100" s="511"/>
      <c r="C100" s="507">
        <v>8</v>
      </c>
      <c r="D100" s="508">
        <v>150</v>
      </c>
      <c r="E100" s="507">
        <v>6</v>
      </c>
      <c r="F100" s="502">
        <v>1</v>
      </c>
      <c r="G100" s="502">
        <f>+ROUND(2.185/0.15+1,0)</f>
        <v>16</v>
      </c>
      <c r="H100" s="503"/>
      <c r="I100" s="516">
        <f t="shared" si="61"/>
        <v>1.1880000000000002</v>
      </c>
      <c r="J100" s="509"/>
      <c r="K100" s="481"/>
      <c r="L100" s="510">
        <f t="shared" ref="L100" si="62">SUM(H100:J100)+K100</f>
        <v>1.1880000000000002</v>
      </c>
      <c r="M100" s="510">
        <f t="shared" si="0"/>
        <v>114.05</v>
      </c>
      <c r="N100" s="510">
        <f t="shared" si="1"/>
        <v>0</v>
      </c>
      <c r="O100" s="510">
        <f t="shared" si="2"/>
        <v>0</v>
      </c>
      <c r="P100" s="510">
        <f t="shared" si="3"/>
        <v>0</v>
      </c>
      <c r="Q100" s="510">
        <f t="shared" si="4"/>
        <v>0</v>
      </c>
      <c r="R100" s="510">
        <f t="shared" si="5"/>
        <v>0</v>
      </c>
    </row>
    <row r="101" spans="1:18">
      <c r="A101" s="505"/>
      <c r="B101" s="511" t="s">
        <v>777</v>
      </c>
      <c r="C101" s="507">
        <v>8</v>
      </c>
      <c r="D101" s="508">
        <v>100</v>
      </c>
      <c r="E101" s="507">
        <v>6</v>
      </c>
      <c r="F101" s="502">
        <v>1</v>
      </c>
      <c r="G101" s="502">
        <f>+ROUND(1.8/0.1,0)</f>
        <v>18</v>
      </c>
      <c r="H101" s="503"/>
      <c r="I101" s="516">
        <f t="shared" si="61"/>
        <v>1.1880000000000002</v>
      </c>
      <c r="J101" s="509"/>
      <c r="K101" s="481"/>
      <c r="L101" s="510">
        <f>SUM(H101:J101)+K101</f>
        <v>1.1880000000000002</v>
      </c>
      <c r="M101" s="510">
        <f t="shared" si="0"/>
        <v>128.30000000000001</v>
      </c>
      <c r="N101" s="510">
        <f t="shared" si="1"/>
        <v>0</v>
      </c>
      <c r="O101" s="510">
        <f t="shared" si="2"/>
        <v>0</v>
      </c>
      <c r="P101" s="510">
        <f t="shared" si="3"/>
        <v>0</v>
      </c>
      <c r="Q101" s="510">
        <f t="shared" si="4"/>
        <v>0</v>
      </c>
      <c r="R101" s="510">
        <f t="shared" si="5"/>
        <v>0</v>
      </c>
    </row>
    <row r="102" spans="1:18">
      <c r="A102" s="505"/>
      <c r="B102" s="511"/>
      <c r="C102" s="507">
        <v>8</v>
      </c>
      <c r="D102" s="508">
        <v>150</v>
      </c>
      <c r="E102" s="507">
        <v>6</v>
      </c>
      <c r="F102" s="502">
        <v>1</v>
      </c>
      <c r="G102" s="502">
        <f>+ROUND(1.435/0.15+1,0)</f>
        <v>11</v>
      </c>
      <c r="H102" s="503"/>
      <c r="I102" s="516">
        <f t="shared" si="61"/>
        <v>1.1880000000000002</v>
      </c>
      <c r="J102" s="509"/>
      <c r="K102" s="481"/>
      <c r="L102" s="510">
        <f t="shared" ref="L102" si="63">SUM(H102:J102)+K102</f>
        <v>1.1880000000000002</v>
      </c>
      <c r="M102" s="510">
        <f t="shared" si="0"/>
        <v>78.41</v>
      </c>
      <c r="N102" s="510">
        <f t="shared" si="1"/>
        <v>0</v>
      </c>
      <c r="O102" s="510">
        <f t="shared" si="2"/>
        <v>0</v>
      </c>
      <c r="P102" s="510">
        <f t="shared" si="3"/>
        <v>0</v>
      </c>
      <c r="Q102" s="510">
        <f t="shared" si="4"/>
        <v>0</v>
      </c>
      <c r="R102" s="510">
        <f t="shared" si="5"/>
        <v>0</v>
      </c>
    </row>
    <row r="103" spans="1:18">
      <c r="A103" s="505" t="s">
        <v>772</v>
      </c>
      <c r="B103" s="506" t="s">
        <v>688</v>
      </c>
      <c r="C103" s="507"/>
      <c r="D103" s="508"/>
      <c r="E103" s="507"/>
      <c r="F103" s="502"/>
      <c r="G103" s="502"/>
      <c r="H103" s="503"/>
      <c r="I103" s="503"/>
      <c r="J103" s="509"/>
      <c r="K103" s="509"/>
      <c r="L103" s="510">
        <f t="shared" ref="L103" si="64">SUM(H103:J103)+K103</f>
        <v>0</v>
      </c>
      <c r="M103" s="510">
        <f t="shared" si="0"/>
        <v>0</v>
      </c>
      <c r="N103" s="510">
        <f t="shared" si="1"/>
        <v>0</v>
      </c>
      <c r="O103" s="510">
        <f t="shared" si="2"/>
        <v>0</v>
      </c>
      <c r="P103" s="510">
        <f t="shared" si="3"/>
        <v>0</v>
      </c>
      <c r="Q103" s="510">
        <f t="shared" si="4"/>
        <v>0</v>
      </c>
      <c r="R103" s="510">
        <f t="shared" si="5"/>
        <v>0</v>
      </c>
    </row>
    <row r="104" spans="1:18">
      <c r="A104" s="505"/>
      <c r="B104" s="511" t="s">
        <v>740</v>
      </c>
      <c r="C104" s="507">
        <v>12</v>
      </c>
      <c r="D104" s="508"/>
      <c r="E104" s="507">
        <v>2</v>
      </c>
      <c r="F104" s="502">
        <v>1</v>
      </c>
      <c r="G104" s="502">
        <v>2</v>
      </c>
      <c r="H104" s="503">
        <v>0.3</v>
      </c>
      <c r="I104" s="503">
        <f>3.715-0.06</f>
        <v>3.6549999999999998</v>
      </c>
      <c r="J104" s="509">
        <v>0.3</v>
      </c>
      <c r="K104" s="509"/>
      <c r="L104" s="510">
        <f>SUM(H104:J104)+K104</f>
        <v>4.2549999999999999</v>
      </c>
      <c r="M104" s="510">
        <f t="shared" si="0"/>
        <v>0</v>
      </c>
      <c r="N104" s="510">
        <f t="shared" si="1"/>
        <v>0</v>
      </c>
      <c r="O104" s="510">
        <f t="shared" si="2"/>
        <v>17.02</v>
      </c>
      <c r="P104" s="510">
        <f t="shared" si="3"/>
        <v>0</v>
      </c>
      <c r="Q104" s="510">
        <f t="shared" si="4"/>
        <v>0</v>
      </c>
      <c r="R104" s="510">
        <f t="shared" si="5"/>
        <v>0</v>
      </c>
    </row>
    <row r="105" spans="1:18">
      <c r="A105" s="505"/>
      <c r="B105" s="511" t="s">
        <v>773</v>
      </c>
      <c r="C105" s="507">
        <v>12</v>
      </c>
      <c r="D105" s="508"/>
      <c r="E105" s="507">
        <v>2</v>
      </c>
      <c r="F105" s="502">
        <v>1</v>
      </c>
      <c r="G105" s="502">
        <v>2</v>
      </c>
      <c r="H105" s="503">
        <v>0.3</v>
      </c>
      <c r="I105" s="503">
        <f>3.715-0.06</f>
        <v>3.6549999999999998</v>
      </c>
      <c r="J105" s="509">
        <v>0.3</v>
      </c>
      <c r="K105" s="509"/>
      <c r="L105" s="510">
        <f t="shared" ref="L105" si="65">SUM(H105:J105)+K105</f>
        <v>4.2549999999999999</v>
      </c>
      <c r="M105" s="510">
        <f t="shared" si="0"/>
        <v>0</v>
      </c>
      <c r="N105" s="510">
        <f t="shared" si="1"/>
        <v>0</v>
      </c>
      <c r="O105" s="510">
        <f t="shared" si="2"/>
        <v>17.02</v>
      </c>
      <c r="P105" s="510">
        <f t="shared" si="3"/>
        <v>0</v>
      </c>
      <c r="Q105" s="510">
        <f t="shared" si="4"/>
        <v>0</v>
      </c>
      <c r="R105" s="510">
        <f t="shared" si="5"/>
        <v>0</v>
      </c>
    </row>
    <row r="106" spans="1:18">
      <c r="A106" s="505"/>
      <c r="B106" s="511" t="s">
        <v>777</v>
      </c>
      <c r="C106" s="507">
        <v>8</v>
      </c>
      <c r="D106" s="508">
        <v>100</v>
      </c>
      <c r="E106" s="507">
        <v>2</v>
      </c>
      <c r="F106" s="502">
        <v>1</v>
      </c>
      <c r="G106" s="502">
        <f>+ROUND(1.8/0.1,0)</f>
        <v>18</v>
      </c>
      <c r="H106" s="503"/>
      <c r="I106" s="516">
        <f t="shared" ref="I106:I107" si="66">2*(0.14+0.39)+16*C106/1000</f>
        <v>1.1880000000000002</v>
      </c>
      <c r="J106" s="509"/>
      <c r="K106" s="481"/>
      <c r="L106" s="510">
        <f>SUM(H106:J106)+K106</f>
        <v>1.1880000000000002</v>
      </c>
      <c r="M106" s="510">
        <f t="shared" si="0"/>
        <v>42.77</v>
      </c>
      <c r="N106" s="510">
        <f t="shared" si="1"/>
        <v>0</v>
      </c>
      <c r="O106" s="510">
        <f t="shared" si="2"/>
        <v>0</v>
      </c>
      <c r="P106" s="510">
        <f t="shared" si="3"/>
        <v>0</v>
      </c>
      <c r="Q106" s="510">
        <f t="shared" si="4"/>
        <v>0</v>
      </c>
      <c r="R106" s="510">
        <f t="shared" si="5"/>
        <v>0</v>
      </c>
    </row>
    <row r="107" spans="1:18">
      <c r="A107" s="505"/>
      <c r="B107" s="511"/>
      <c r="C107" s="507">
        <v>8</v>
      </c>
      <c r="D107" s="508">
        <v>150</v>
      </c>
      <c r="E107" s="507">
        <v>2</v>
      </c>
      <c r="F107" s="502">
        <v>1</v>
      </c>
      <c r="G107" s="502">
        <f>+ROUND(1.42/0.15+1,0)</f>
        <v>10</v>
      </c>
      <c r="H107" s="503"/>
      <c r="I107" s="516">
        <f t="shared" si="66"/>
        <v>1.1880000000000002</v>
      </c>
      <c r="J107" s="509"/>
      <c r="K107" s="509"/>
      <c r="L107" s="510">
        <f t="shared" ref="L107:L108" si="67">SUM(H107:J107)+K107</f>
        <v>1.1880000000000002</v>
      </c>
      <c r="M107" s="510">
        <f t="shared" si="0"/>
        <v>23.76</v>
      </c>
      <c r="N107" s="510">
        <f t="shared" si="1"/>
        <v>0</v>
      </c>
      <c r="O107" s="510">
        <f t="shared" si="2"/>
        <v>0</v>
      </c>
      <c r="P107" s="510">
        <f t="shared" si="3"/>
        <v>0</v>
      </c>
      <c r="Q107" s="510">
        <f t="shared" si="4"/>
        <v>0</v>
      </c>
      <c r="R107" s="510">
        <f t="shared" si="5"/>
        <v>0</v>
      </c>
    </row>
    <row r="108" spans="1:18">
      <c r="A108" s="505" t="s">
        <v>779</v>
      </c>
      <c r="B108" s="506" t="s">
        <v>689</v>
      </c>
      <c r="C108" s="507"/>
      <c r="D108" s="508"/>
      <c r="E108" s="507"/>
      <c r="F108" s="502"/>
      <c r="G108" s="502"/>
      <c r="H108" s="503"/>
      <c r="I108" s="503"/>
      <c r="J108" s="509"/>
      <c r="K108" s="509"/>
      <c r="L108" s="510">
        <f t="shared" si="67"/>
        <v>0</v>
      </c>
      <c r="M108" s="510">
        <f t="shared" si="0"/>
        <v>0</v>
      </c>
      <c r="N108" s="510">
        <f t="shared" si="1"/>
        <v>0</v>
      </c>
      <c r="O108" s="510">
        <f t="shared" si="2"/>
        <v>0</v>
      </c>
      <c r="P108" s="510">
        <f t="shared" si="3"/>
        <v>0</v>
      </c>
      <c r="Q108" s="510">
        <f t="shared" si="4"/>
        <v>0</v>
      </c>
      <c r="R108" s="510">
        <f t="shared" si="5"/>
        <v>0</v>
      </c>
    </row>
    <row r="109" spans="1:18">
      <c r="A109" s="505"/>
      <c r="B109" s="511" t="s">
        <v>740</v>
      </c>
      <c r="C109" s="507">
        <v>16</v>
      </c>
      <c r="D109" s="508"/>
      <c r="E109" s="507">
        <v>2</v>
      </c>
      <c r="F109" s="502">
        <v>1</v>
      </c>
      <c r="G109" s="502">
        <v>2</v>
      </c>
      <c r="H109" s="503">
        <v>0.3</v>
      </c>
      <c r="I109" s="503">
        <v>6.1</v>
      </c>
      <c r="J109" s="509">
        <v>0.3</v>
      </c>
      <c r="K109" s="509"/>
      <c r="L109" s="510">
        <f>SUM(H109:J109)+K109</f>
        <v>6.6999999999999993</v>
      </c>
      <c r="M109" s="510">
        <f t="shared" si="0"/>
        <v>0</v>
      </c>
      <c r="N109" s="510">
        <f t="shared" si="1"/>
        <v>0</v>
      </c>
      <c r="O109" s="510">
        <f t="shared" si="2"/>
        <v>0</v>
      </c>
      <c r="P109" s="510">
        <f t="shared" si="3"/>
        <v>26.8</v>
      </c>
      <c r="Q109" s="510">
        <f t="shared" si="4"/>
        <v>0</v>
      </c>
      <c r="R109" s="510">
        <f t="shared" si="5"/>
        <v>0</v>
      </c>
    </row>
    <row r="110" spans="1:18">
      <c r="A110" s="505"/>
      <c r="B110" s="511" t="s">
        <v>773</v>
      </c>
      <c r="C110" s="507">
        <v>20</v>
      </c>
      <c r="D110" s="508"/>
      <c r="E110" s="507">
        <v>2</v>
      </c>
      <c r="F110" s="502">
        <v>1</v>
      </c>
      <c r="G110" s="502">
        <v>3</v>
      </c>
      <c r="H110" s="503">
        <v>0.3</v>
      </c>
      <c r="I110" s="503">
        <v>6.1</v>
      </c>
      <c r="J110" s="509">
        <v>0.3</v>
      </c>
      <c r="K110" s="509"/>
      <c r="L110" s="510">
        <f t="shared" ref="L110" si="68">SUM(H110:J110)+K110</f>
        <v>6.6999999999999993</v>
      </c>
      <c r="M110" s="510">
        <f t="shared" si="0"/>
        <v>0</v>
      </c>
      <c r="N110" s="510">
        <f t="shared" si="1"/>
        <v>0</v>
      </c>
      <c r="O110" s="510">
        <f t="shared" si="2"/>
        <v>0</v>
      </c>
      <c r="P110" s="510">
        <f t="shared" si="3"/>
        <v>0</v>
      </c>
      <c r="Q110" s="510">
        <f t="shared" si="4"/>
        <v>40.200000000000003</v>
      </c>
      <c r="R110" s="510">
        <f t="shared" si="5"/>
        <v>0</v>
      </c>
    </row>
    <row r="111" spans="1:18">
      <c r="A111" s="505"/>
      <c r="B111" s="511" t="s">
        <v>781</v>
      </c>
      <c r="C111" s="507">
        <v>8</v>
      </c>
      <c r="D111" s="508">
        <v>100</v>
      </c>
      <c r="E111" s="507">
        <v>2</v>
      </c>
      <c r="F111" s="502">
        <v>1</v>
      </c>
      <c r="G111" s="502">
        <f>+ROUND(1.8/0.1,0)</f>
        <v>18</v>
      </c>
      <c r="H111" s="503"/>
      <c r="I111" s="516">
        <f>2*(0.17+0.39)+16*C111/1000</f>
        <v>1.2480000000000002</v>
      </c>
      <c r="J111" s="509"/>
      <c r="K111" s="481"/>
      <c r="L111" s="510">
        <f>SUM(H111:J111)+K111</f>
        <v>1.2480000000000002</v>
      </c>
      <c r="M111" s="510">
        <f t="shared" si="0"/>
        <v>44.93</v>
      </c>
      <c r="N111" s="510">
        <f t="shared" si="1"/>
        <v>0</v>
      </c>
      <c r="O111" s="510">
        <f t="shared" si="2"/>
        <v>0</v>
      </c>
      <c r="P111" s="510">
        <f t="shared" si="3"/>
        <v>0</v>
      </c>
      <c r="Q111" s="510">
        <f t="shared" si="4"/>
        <v>0</v>
      </c>
      <c r="R111" s="510">
        <f t="shared" si="5"/>
        <v>0</v>
      </c>
    </row>
    <row r="112" spans="1:18">
      <c r="A112" s="505"/>
      <c r="B112" s="511"/>
      <c r="C112" s="507">
        <v>8</v>
      </c>
      <c r="D112" s="508">
        <v>150</v>
      </c>
      <c r="E112" s="507">
        <v>2</v>
      </c>
      <c r="F112" s="502">
        <v>1</v>
      </c>
      <c r="G112" s="502">
        <f>+ROUND(0.96/0.15+1,0)</f>
        <v>7</v>
      </c>
      <c r="H112" s="503"/>
      <c r="I112" s="516">
        <f>2*(0.17+0.39)+16*C112/1000</f>
        <v>1.2480000000000002</v>
      </c>
      <c r="J112" s="509"/>
      <c r="K112" s="509"/>
      <c r="L112" s="510">
        <f t="shared" ref="L112:L113" si="69">SUM(H112:J112)+K112</f>
        <v>1.2480000000000002</v>
      </c>
      <c r="M112" s="510">
        <f t="shared" si="0"/>
        <v>17.47</v>
      </c>
      <c r="N112" s="510">
        <f t="shared" si="1"/>
        <v>0</v>
      </c>
      <c r="O112" s="510">
        <f t="shared" si="2"/>
        <v>0</v>
      </c>
      <c r="P112" s="510">
        <f t="shared" si="3"/>
        <v>0</v>
      </c>
      <c r="Q112" s="510">
        <f t="shared" si="4"/>
        <v>0</v>
      </c>
      <c r="R112" s="510">
        <f t="shared" si="5"/>
        <v>0</v>
      </c>
    </row>
    <row r="113" spans="1:18">
      <c r="A113" s="505" t="s">
        <v>779</v>
      </c>
      <c r="B113" s="506" t="s">
        <v>690</v>
      </c>
      <c r="C113" s="507"/>
      <c r="D113" s="508"/>
      <c r="E113" s="507"/>
      <c r="F113" s="502"/>
      <c r="G113" s="502"/>
      <c r="H113" s="503"/>
      <c r="I113" s="503"/>
      <c r="J113" s="509"/>
      <c r="K113" s="509"/>
      <c r="L113" s="510">
        <f t="shared" si="69"/>
        <v>0</v>
      </c>
      <c r="M113" s="510">
        <f t="shared" si="0"/>
        <v>0</v>
      </c>
      <c r="N113" s="510">
        <f t="shared" si="1"/>
        <v>0</v>
      </c>
      <c r="O113" s="510">
        <f t="shared" si="2"/>
        <v>0</v>
      </c>
      <c r="P113" s="510">
        <f t="shared" si="3"/>
        <v>0</v>
      </c>
      <c r="Q113" s="510">
        <f t="shared" si="4"/>
        <v>0</v>
      </c>
      <c r="R113" s="510">
        <f t="shared" si="5"/>
        <v>0</v>
      </c>
    </row>
    <row r="114" spans="1:18">
      <c r="A114" s="505"/>
      <c r="B114" s="511" t="s">
        <v>740</v>
      </c>
      <c r="C114" s="507">
        <v>16</v>
      </c>
      <c r="D114" s="508"/>
      <c r="E114" s="507">
        <v>1</v>
      </c>
      <c r="F114" s="502">
        <v>1</v>
      </c>
      <c r="G114" s="502">
        <v>2</v>
      </c>
      <c r="H114" s="524">
        <v>0.3</v>
      </c>
      <c r="I114" s="524">
        <f>35.55-0.06</f>
        <v>35.489999999999995</v>
      </c>
      <c r="J114" s="525">
        <v>0.3</v>
      </c>
      <c r="K114" s="525">
        <f>2*49*C114/1000</f>
        <v>1.5680000000000001</v>
      </c>
      <c r="L114" s="510">
        <f>SUM(H114:J114)+K114</f>
        <v>37.657999999999987</v>
      </c>
      <c r="M114" s="510">
        <f t="shared" si="0"/>
        <v>0</v>
      </c>
      <c r="N114" s="510">
        <f t="shared" si="1"/>
        <v>0</v>
      </c>
      <c r="O114" s="510">
        <f t="shared" si="2"/>
        <v>0</v>
      </c>
      <c r="P114" s="510">
        <f t="shared" si="3"/>
        <v>75.319999999999993</v>
      </c>
      <c r="Q114" s="510">
        <f t="shared" si="4"/>
        <v>0</v>
      </c>
      <c r="R114" s="510">
        <f t="shared" si="5"/>
        <v>0</v>
      </c>
    </row>
    <row r="115" spans="1:18">
      <c r="A115" s="505"/>
      <c r="B115" s="511" t="s">
        <v>773</v>
      </c>
      <c r="C115" s="507">
        <v>16</v>
      </c>
      <c r="D115" s="508"/>
      <c r="E115" s="507">
        <v>1</v>
      </c>
      <c r="F115" s="502">
        <v>1</v>
      </c>
      <c r="G115" s="502">
        <v>2</v>
      </c>
      <c r="H115" s="524">
        <v>0.3</v>
      </c>
      <c r="I115" s="524">
        <f>35.55-0.06</f>
        <v>35.489999999999995</v>
      </c>
      <c r="J115" s="525">
        <v>0.3</v>
      </c>
      <c r="K115" s="525">
        <f>2*49*C115/1000</f>
        <v>1.5680000000000001</v>
      </c>
      <c r="L115" s="510">
        <f t="shared" ref="L115" si="70">SUM(H115:J115)+K115</f>
        <v>37.657999999999987</v>
      </c>
      <c r="M115" s="510">
        <f t="shared" si="0"/>
        <v>0</v>
      </c>
      <c r="N115" s="510">
        <f t="shared" si="1"/>
        <v>0</v>
      </c>
      <c r="O115" s="510">
        <f t="shared" si="2"/>
        <v>0</v>
      </c>
      <c r="P115" s="510">
        <f t="shared" si="3"/>
        <v>75.319999999999993</v>
      </c>
      <c r="Q115" s="510">
        <f t="shared" si="4"/>
        <v>0</v>
      </c>
      <c r="R115" s="510">
        <f t="shared" si="5"/>
        <v>0</v>
      </c>
    </row>
    <row r="116" spans="1:18">
      <c r="A116" s="505"/>
      <c r="B116" s="511" t="s">
        <v>778</v>
      </c>
      <c r="C116" s="507">
        <v>12</v>
      </c>
      <c r="D116" s="508"/>
      <c r="E116" s="507">
        <v>1</v>
      </c>
      <c r="F116" s="502">
        <v>2</v>
      </c>
      <c r="G116" s="502">
        <v>2</v>
      </c>
      <c r="H116" s="524"/>
      <c r="I116" s="524">
        <v>4.165</v>
      </c>
      <c r="J116" s="525"/>
      <c r="K116" s="509"/>
      <c r="L116" s="510">
        <f t="shared" ref="L116" si="71">SUM(H116:J116)+K116</f>
        <v>4.165</v>
      </c>
      <c r="M116" s="510">
        <f t="shared" si="0"/>
        <v>0</v>
      </c>
      <c r="N116" s="510">
        <f t="shared" si="1"/>
        <v>0</v>
      </c>
      <c r="O116" s="510">
        <f t="shared" si="2"/>
        <v>16.66</v>
      </c>
      <c r="P116" s="510">
        <f t="shared" si="3"/>
        <v>0</v>
      </c>
      <c r="Q116" s="510">
        <f t="shared" si="4"/>
        <v>0</v>
      </c>
      <c r="R116" s="510">
        <f t="shared" si="5"/>
        <v>0</v>
      </c>
    </row>
    <row r="117" spans="1:18">
      <c r="A117" s="505"/>
      <c r="B117" s="511" t="s">
        <v>778</v>
      </c>
      <c r="C117" s="507">
        <v>12</v>
      </c>
      <c r="D117" s="508"/>
      <c r="E117" s="507">
        <v>1</v>
      </c>
      <c r="F117" s="502">
        <v>2</v>
      </c>
      <c r="G117" s="502">
        <v>2</v>
      </c>
      <c r="H117" s="524"/>
      <c r="I117" s="524">
        <v>4.0599999999999996</v>
      </c>
      <c r="J117" s="525"/>
      <c r="K117" s="509"/>
      <c r="L117" s="510">
        <f t="shared" ref="L117" si="72">SUM(H117:J117)+K117</f>
        <v>4.0599999999999996</v>
      </c>
      <c r="M117" s="510">
        <f t="shared" si="0"/>
        <v>0</v>
      </c>
      <c r="N117" s="510">
        <f t="shared" si="1"/>
        <v>0</v>
      </c>
      <c r="O117" s="510">
        <f t="shared" si="2"/>
        <v>16.239999999999998</v>
      </c>
      <c r="P117" s="510">
        <f t="shared" si="3"/>
        <v>0</v>
      </c>
      <c r="Q117" s="510">
        <f t="shared" si="4"/>
        <v>0</v>
      </c>
      <c r="R117" s="510">
        <f t="shared" si="5"/>
        <v>0</v>
      </c>
    </row>
    <row r="118" spans="1:18">
      <c r="A118" s="505"/>
      <c r="B118" s="511" t="s">
        <v>774</v>
      </c>
      <c r="C118" s="507">
        <v>16</v>
      </c>
      <c r="D118" s="508"/>
      <c r="E118" s="507">
        <v>1</v>
      </c>
      <c r="F118" s="502">
        <v>1</v>
      </c>
      <c r="G118" s="502">
        <v>2</v>
      </c>
      <c r="H118" s="524"/>
      <c r="I118" s="524">
        <v>3.63</v>
      </c>
      <c r="J118" s="525">
        <v>0.3</v>
      </c>
      <c r="K118" s="509"/>
      <c r="L118" s="510">
        <f t="shared" ref="L118" si="73">SUM(H118:J118)+K118</f>
        <v>3.9299999999999997</v>
      </c>
      <c r="M118" s="510">
        <f t="shared" si="0"/>
        <v>0</v>
      </c>
      <c r="N118" s="510">
        <f t="shared" si="1"/>
        <v>0</v>
      </c>
      <c r="O118" s="510">
        <f t="shared" si="2"/>
        <v>0</v>
      </c>
      <c r="P118" s="510">
        <f t="shared" si="3"/>
        <v>7.86</v>
      </c>
      <c r="Q118" s="510">
        <f t="shared" si="4"/>
        <v>0</v>
      </c>
      <c r="R118" s="510">
        <f t="shared" si="5"/>
        <v>0</v>
      </c>
    </row>
    <row r="119" spans="1:18">
      <c r="A119" s="505"/>
      <c r="B119" s="511" t="s">
        <v>774</v>
      </c>
      <c r="C119" s="507">
        <v>16</v>
      </c>
      <c r="D119" s="508"/>
      <c r="E119" s="507">
        <v>1</v>
      </c>
      <c r="F119" s="502">
        <v>2</v>
      </c>
      <c r="G119" s="502">
        <v>2</v>
      </c>
      <c r="H119" s="524"/>
      <c r="I119" s="524">
        <v>4</v>
      </c>
      <c r="J119" s="525">
        <v>0.3</v>
      </c>
      <c r="K119" s="509"/>
      <c r="L119" s="510">
        <f t="shared" ref="L119" si="74">SUM(H119:J119)+K119</f>
        <v>4.3</v>
      </c>
      <c r="M119" s="510">
        <f t="shared" si="0"/>
        <v>0</v>
      </c>
      <c r="N119" s="510">
        <f t="shared" si="1"/>
        <v>0</v>
      </c>
      <c r="O119" s="510">
        <f t="shared" si="2"/>
        <v>0</v>
      </c>
      <c r="P119" s="510">
        <f t="shared" si="3"/>
        <v>17.2</v>
      </c>
      <c r="Q119" s="510">
        <f t="shared" si="4"/>
        <v>0</v>
      </c>
      <c r="R119" s="510">
        <f t="shared" si="5"/>
        <v>0</v>
      </c>
    </row>
    <row r="120" spans="1:18">
      <c r="A120" s="505"/>
      <c r="B120" s="511" t="s">
        <v>774</v>
      </c>
      <c r="C120" s="507">
        <v>16</v>
      </c>
      <c r="D120" s="508"/>
      <c r="E120" s="507">
        <v>1</v>
      </c>
      <c r="F120" s="502">
        <v>2</v>
      </c>
      <c r="G120" s="502">
        <v>2</v>
      </c>
      <c r="H120" s="524"/>
      <c r="I120" s="524">
        <v>2.7</v>
      </c>
      <c r="J120" s="525">
        <v>0.3</v>
      </c>
      <c r="K120" s="509"/>
      <c r="L120" s="510">
        <f t="shared" ref="L120" si="75">SUM(H120:J120)+K120</f>
        <v>3</v>
      </c>
      <c r="M120" s="510">
        <f t="shared" si="0"/>
        <v>0</v>
      </c>
      <c r="N120" s="510">
        <f t="shared" si="1"/>
        <v>0</v>
      </c>
      <c r="O120" s="510">
        <f t="shared" si="2"/>
        <v>0</v>
      </c>
      <c r="P120" s="510">
        <f t="shared" si="3"/>
        <v>12</v>
      </c>
      <c r="Q120" s="510">
        <f t="shared" si="4"/>
        <v>0</v>
      </c>
      <c r="R120" s="510">
        <f t="shared" si="5"/>
        <v>0</v>
      </c>
    </row>
    <row r="121" spans="1:18">
      <c r="A121" s="505"/>
      <c r="B121" s="511" t="s">
        <v>781</v>
      </c>
      <c r="C121" s="507">
        <v>8</v>
      </c>
      <c r="D121" s="508">
        <v>100</v>
      </c>
      <c r="E121" s="507">
        <v>1</v>
      </c>
      <c r="F121" s="502">
        <v>2</v>
      </c>
      <c r="G121" s="502">
        <f>+ROUND(3.72/0.1+2,0)</f>
        <v>39</v>
      </c>
      <c r="H121" s="524"/>
      <c r="I121" s="516">
        <f>2*(0.17+0.39)+16*C121/1000</f>
        <v>1.2480000000000002</v>
      </c>
      <c r="J121" s="525"/>
      <c r="K121" s="481"/>
      <c r="L121" s="510">
        <f>SUM(H121:J121)+K121</f>
        <v>1.2480000000000002</v>
      </c>
      <c r="M121" s="510">
        <f t="shared" si="0"/>
        <v>97.34</v>
      </c>
      <c r="N121" s="510">
        <f t="shared" si="1"/>
        <v>0</v>
      </c>
      <c r="O121" s="510">
        <f t="shared" si="2"/>
        <v>0</v>
      </c>
      <c r="P121" s="510">
        <f t="shared" si="3"/>
        <v>0</v>
      </c>
      <c r="Q121" s="510">
        <f t="shared" si="4"/>
        <v>0</v>
      </c>
      <c r="R121" s="510">
        <f t="shared" si="5"/>
        <v>0</v>
      </c>
    </row>
    <row r="122" spans="1:18">
      <c r="A122" s="505"/>
      <c r="B122" s="511" t="s">
        <v>781</v>
      </c>
      <c r="C122" s="507">
        <v>8</v>
      </c>
      <c r="D122" s="508">
        <v>100</v>
      </c>
      <c r="E122" s="507">
        <v>1</v>
      </c>
      <c r="F122" s="502">
        <v>2</v>
      </c>
      <c r="G122" s="502">
        <f>+ROUND(2.932/0.1,0)</f>
        <v>29</v>
      </c>
      <c r="H122" s="524"/>
      <c r="I122" s="516">
        <f t="shared" ref="I122:I125" si="76">2*(0.17+0.39)+16*C122/1000</f>
        <v>1.2480000000000002</v>
      </c>
      <c r="J122" s="525"/>
      <c r="K122" s="481"/>
      <c r="L122" s="510">
        <f>SUM(H122:J122)+K122</f>
        <v>1.2480000000000002</v>
      </c>
      <c r="M122" s="510">
        <f t="shared" si="0"/>
        <v>72.38</v>
      </c>
      <c r="N122" s="510">
        <f t="shared" si="1"/>
        <v>0</v>
      </c>
      <c r="O122" s="510">
        <f t="shared" si="2"/>
        <v>0</v>
      </c>
      <c r="P122" s="510">
        <f t="shared" si="3"/>
        <v>0</v>
      </c>
      <c r="Q122" s="510">
        <f t="shared" si="4"/>
        <v>0</v>
      </c>
      <c r="R122" s="510">
        <f t="shared" si="5"/>
        <v>0</v>
      </c>
    </row>
    <row r="123" spans="1:18">
      <c r="A123" s="505"/>
      <c r="B123" s="511"/>
      <c r="C123" s="507">
        <v>8</v>
      </c>
      <c r="D123" s="508">
        <v>150</v>
      </c>
      <c r="E123" s="507">
        <v>1</v>
      </c>
      <c r="F123" s="502">
        <v>2</v>
      </c>
      <c r="G123" s="502">
        <f>+ROUND(2.932/0.15+1,0)</f>
        <v>21</v>
      </c>
      <c r="H123" s="524"/>
      <c r="I123" s="516">
        <f t="shared" si="76"/>
        <v>1.2480000000000002</v>
      </c>
      <c r="J123" s="525"/>
      <c r="K123" s="481"/>
      <c r="L123" s="510">
        <f>SUM(H123:J123)+K123</f>
        <v>1.2480000000000002</v>
      </c>
      <c r="M123" s="510">
        <f t="shared" si="0"/>
        <v>52.42</v>
      </c>
      <c r="N123" s="510">
        <f t="shared" si="1"/>
        <v>0</v>
      </c>
      <c r="O123" s="510">
        <f t="shared" si="2"/>
        <v>0</v>
      </c>
      <c r="P123" s="510">
        <f t="shared" si="3"/>
        <v>0</v>
      </c>
      <c r="Q123" s="510">
        <f t="shared" si="4"/>
        <v>0</v>
      </c>
      <c r="R123" s="510">
        <f t="shared" si="5"/>
        <v>0</v>
      </c>
    </row>
    <row r="124" spans="1:18">
      <c r="A124" s="505"/>
      <c r="B124" s="511" t="s">
        <v>781</v>
      </c>
      <c r="C124" s="507">
        <v>8</v>
      </c>
      <c r="D124" s="508">
        <v>100</v>
      </c>
      <c r="E124" s="507">
        <v>1</v>
      </c>
      <c r="F124" s="502">
        <v>2</v>
      </c>
      <c r="G124" s="502">
        <f>+ROUND(2.88/0.1,0)</f>
        <v>29</v>
      </c>
      <c r="H124" s="524"/>
      <c r="I124" s="516">
        <f t="shared" si="76"/>
        <v>1.2480000000000002</v>
      </c>
      <c r="J124" s="525"/>
      <c r="K124" s="481"/>
      <c r="L124" s="510">
        <f>SUM(H124:J124)+K124</f>
        <v>1.2480000000000002</v>
      </c>
      <c r="M124" s="510">
        <f t="shared" si="0"/>
        <v>72.38</v>
      </c>
      <c r="N124" s="510">
        <f t="shared" si="1"/>
        <v>0</v>
      </c>
      <c r="O124" s="510">
        <f t="shared" si="2"/>
        <v>0</v>
      </c>
      <c r="P124" s="510">
        <f t="shared" si="3"/>
        <v>0</v>
      </c>
      <c r="Q124" s="510">
        <f t="shared" si="4"/>
        <v>0</v>
      </c>
      <c r="R124" s="510">
        <f t="shared" si="5"/>
        <v>0</v>
      </c>
    </row>
    <row r="125" spans="1:18">
      <c r="A125" s="505"/>
      <c r="B125" s="511"/>
      <c r="C125" s="507">
        <v>8</v>
      </c>
      <c r="D125" s="508">
        <v>150</v>
      </c>
      <c r="E125" s="507">
        <v>1</v>
      </c>
      <c r="F125" s="502">
        <v>2</v>
      </c>
      <c r="G125" s="502">
        <f>+ROUND(2.88/0.15+1,0)</f>
        <v>20</v>
      </c>
      <c r="H125" s="524"/>
      <c r="I125" s="516">
        <f t="shared" si="76"/>
        <v>1.2480000000000002</v>
      </c>
      <c r="J125" s="525"/>
      <c r="K125" s="481"/>
      <c r="L125" s="510">
        <f>SUM(H125:J125)+K125</f>
        <v>1.2480000000000002</v>
      </c>
      <c r="M125" s="510">
        <f t="shared" si="0"/>
        <v>49.92</v>
      </c>
      <c r="N125" s="510">
        <f t="shared" si="1"/>
        <v>0</v>
      </c>
      <c r="O125" s="510">
        <f t="shared" si="2"/>
        <v>0</v>
      </c>
      <c r="P125" s="510">
        <f t="shared" si="3"/>
        <v>0</v>
      </c>
      <c r="Q125" s="510">
        <f t="shared" si="4"/>
        <v>0</v>
      </c>
      <c r="R125" s="510">
        <f t="shared" si="5"/>
        <v>0</v>
      </c>
    </row>
    <row r="126" spans="1:18">
      <c r="A126" s="505" t="s">
        <v>772</v>
      </c>
      <c r="B126" s="506" t="s">
        <v>691</v>
      </c>
      <c r="C126" s="507"/>
      <c r="D126" s="508"/>
      <c r="E126" s="507"/>
      <c r="F126" s="502"/>
      <c r="G126" s="502"/>
      <c r="H126" s="503"/>
      <c r="I126" s="503"/>
      <c r="J126" s="509"/>
      <c r="K126" s="509"/>
      <c r="L126" s="510">
        <f t="shared" ref="L126" si="77">SUM(H126:J126)+K126</f>
        <v>0</v>
      </c>
      <c r="M126" s="510">
        <f t="shared" si="0"/>
        <v>0</v>
      </c>
      <c r="N126" s="510">
        <f t="shared" si="1"/>
        <v>0</v>
      </c>
      <c r="O126" s="510">
        <f t="shared" si="2"/>
        <v>0</v>
      </c>
      <c r="P126" s="510">
        <f t="shared" si="3"/>
        <v>0</v>
      </c>
      <c r="Q126" s="510">
        <f t="shared" si="4"/>
        <v>0</v>
      </c>
      <c r="R126" s="510">
        <f t="shared" si="5"/>
        <v>0</v>
      </c>
    </row>
    <row r="127" spans="1:18">
      <c r="A127" s="505"/>
      <c r="B127" s="511" t="s">
        <v>740</v>
      </c>
      <c r="C127" s="507">
        <v>16</v>
      </c>
      <c r="D127" s="508"/>
      <c r="E127" s="507">
        <v>2</v>
      </c>
      <c r="F127" s="502">
        <v>1</v>
      </c>
      <c r="G127" s="502">
        <v>2</v>
      </c>
      <c r="H127" s="524">
        <v>0.3</v>
      </c>
      <c r="I127" s="524">
        <f>9.42-0.06</f>
        <v>9.36</v>
      </c>
      <c r="J127" s="525">
        <v>0.3</v>
      </c>
      <c r="K127" s="509"/>
      <c r="L127" s="510">
        <f>SUM(H127:J127)+K127</f>
        <v>9.9600000000000009</v>
      </c>
      <c r="M127" s="510">
        <f t="shared" si="0"/>
        <v>0</v>
      </c>
      <c r="N127" s="510">
        <f t="shared" si="1"/>
        <v>0</v>
      </c>
      <c r="O127" s="510">
        <f t="shared" si="2"/>
        <v>0</v>
      </c>
      <c r="P127" s="510">
        <f t="shared" si="3"/>
        <v>39.840000000000003</v>
      </c>
      <c r="Q127" s="510">
        <f t="shared" si="4"/>
        <v>0</v>
      </c>
      <c r="R127" s="510">
        <f t="shared" si="5"/>
        <v>0</v>
      </c>
    </row>
    <row r="128" spans="1:18">
      <c r="A128" s="505"/>
      <c r="B128" s="511" t="s">
        <v>773</v>
      </c>
      <c r="C128" s="507">
        <v>16</v>
      </c>
      <c r="D128" s="508"/>
      <c r="E128" s="507">
        <v>2</v>
      </c>
      <c r="F128" s="502">
        <v>1</v>
      </c>
      <c r="G128" s="502">
        <v>2</v>
      </c>
      <c r="H128" s="524">
        <v>0.3</v>
      </c>
      <c r="I128" s="524">
        <f>9.42-0.06</f>
        <v>9.36</v>
      </c>
      <c r="J128" s="525">
        <v>0.3</v>
      </c>
      <c r="K128" s="509"/>
      <c r="L128" s="510">
        <f t="shared" ref="L128" si="78">SUM(H128:J128)+K128</f>
        <v>9.9600000000000009</v>
      </c>
      <c r="M128" s="510">
        <f t="shared" si="0"/>
        <v>0</v>
      </c>
      <c r="N128" s="510">
        <f t="shared" si="1"/>
        <v>0</v>
      </c>
      <c r="O128" s="510">
        <f t="shared" si="2"/>
        <v>0</v>
      </c>
      <c r="P128" s="510">
        <f t="shared" si="3"/>
        <v>39.840000000000003</v>
      </c>
      <c r="Q128" s="510">
        <f t="shared" si="4"/>
        <v>0</v>
      </c>
      <c r="R128" s="510">
        <f t="shared" si="5"/>
        <v>0</v>
      </c>
    </row>
    <row r="129" spans="1:18">
      <c r="A129" s="505"/>
      <c r="B129" s="511" t="s">
        <v>778</v>
      </c>
      <c r="C129" s="507">
        <v>12</v>
      </c>
      <c r="D129" s="508"/>
      <c r="E129" s="507">
        <v>2</v>
      </c>
      <c r="F129" s="502">
        <v>1</v>
      </c>
      <c r="G129" s="502">
        <v>2</v>
      </c>
      <c r="H129" s="524"/>
      <c r="I129" s="524">
        <v>3.54</v>
      </c>
      <c r="J129" s="525"/>
      <c r="K129" s="509"/>
      <c r="L129" s="510">
        <f t="shared" ref="L129" si="79">SUM(H129:J129)+K129</f>
        <v>3.54</v>
      </c>
      <c r="M129" s="510">
        <f t="shared" si="0"/>
        <v>0</v>
      </c>
      <c r="N129" s="510">
        <f t="shared" si="1"/>
        <v>0</v>
      </c>
      <c r="O129" s="510">
        <f t="shared" si="2"/>
        <v>14.16</v>
      </c>
      <c r="P129" s="510">
        <f t="shared" si="3"/>
        <v>0</v>
      </c>
      <c r="Q129" s="510">
        <f t="shared" si="4"/>
        <v>0</v>
      </c>
      <c r="R129" s="510">
        <f t="shared" si="5"/>
        <v>0</v>
      </c>
    </row>
    <row r="130" spans="1:18">
      <c r="A130" s="505"/>
      <c r="B130" s="511" t="s">
        <v>774</v>
      </c>
      <c r="C130" s="507">
        <v>12</v>
      </c>
      <c r="D130" s="508"/>
      <c r="E130" s="507">
        <v>2</v>
      </c>
      <c r="F130" s="502">
        <v>1</v>
      </c>
      <c r="G130" s="502">
        <v>2</v>
      </c>
      <c r="H130" s="524"/>
      <c r="I130" s="524">
        <v>2.9</v>
      </c>
      <c r="J130" s="525"/>
      <c r="K130" s="509"/>
      <c r="L130" s="510">
        <f t="shared" ref="L130" si="80">SUM(H130:J130)+K130</f>
        <v>2.9</v>
      </c>
      <c r="M130" s="510">
        <f t="shared" si="0"/>
        <v>0</v>
      </c>
      <c r="N130" s="510">
        <f t="shared" si="1"/>
        <v>0</v>
      </c>
      <c r="O130" s="510">
        <f t="shared" si="2"/>
        <v>11.6</v>
      </c>
      <c r="P130" s="510">
        <f t="shared" si="3"/>
        <v>0</v>
      </c>
      <c r="Q130" s="510">
        <f t="shared" si="4"/>
        <v>0</v>
      </c>
      <c r="R130" s="510">
        <f t="shared" si="5"/>
        <v>0</v>
      </c>
    </row>
    <row r="131" spans="1:18">
      <c r="A131" s="505"/>
      <c r="B131" s="511" t="s">
        <v>774</v>
      </c>
      <c r="C131" s="507">
        <v>12</v>
      </c>
      <c r="D131" s="508"/>
      <c r="E131" s="507">
        <v>2</v>
      </c>
      <c r="F131" s="502">
        <v>1</v>
      </c>
      <c r="G131" s="502">
        <v>2</v>
      </c>
      <c r="H131" s="524"/>
      <c r="I131" s="524">
        <f>1.4+0.6-0.03</f>
        <v>1.97</v>
      </c>
      <c r="J131" s="525">
        <v>0.3</v>
      </c>
      <c r="K131" s="509"/>
      <c r="L131" s="510">
        <f t="shared" ref="L131" si="81">SUM(H131:J131)+K131</f>
        <v>2.27</v>
      </c>
      <c r="M131" s="510">
        <f t="shared" si="0"/>
        <v>0</v>
      </c>
      <c r="N131" s="510">
        <f t="shared" si="1"/>
        <v>0</v>
      </c>
      <c r="O131" s="510">
        <f t="shared" si="2"/>
        <v>9.08</v>
      </c>
      <c r="P131" s="510">
        <f t="shared" si="3"/>
        <v>0</v>
      </c>
      <c r="Q131" s="510">
        <f t="shared" si="4"/>
        <v>0</v>
      </c>
      <c r="R131" s="510">
        <f t="shared" si="5"/>
        <v>0</v>
      </c>
    </row>
    <row r="132" spans="1:18">
      <c r="A132" s="505"/>
      <c r="B132" s="511" t="s">
        <v>780</v>
      </c>
      <c r="C132" s="507">
        <v>8</v>
      </c>
      <c r="D132" s="508">
        <v>100</v>
      </c>
      <c r="E132" s="507">
        <v>2</v>
      </c>
      <c r="F132" s="502">
        <v>1</v>
      </c>
      <c r="G132" s="502">
        <f>+ROUND(1.8/0.1,0)</f>
        <v>18</v>
      </c>
      <c r="H132" s="524"/>
      <c r="I132" s="516">
        <f t="shared" ref="I132:I135" si="82">2*(0.14+0.39)+16*C132/1000</f>
        <v>1.1880000000000002</v>
      </c>
      <c r="J132" s="525"/>
      <c r="K132" s="481"/>
      <c r="L132" s="510">
        <f>SUM(H132:J132)+K132</f>
        <v>1.1880000000000002</v>
      </c>
      <c r="M132" s="510">
        <f t="shared" si="0"/>
        <v>42.77</v>
      </c>
      <c r="N132" s="510">
        <f t="shared" si="1"/>
        <v>0</v>
      </c>
      <c r="O132" s="510">
        <f t="shared" si="2"/>
        <v>0</v>
      </c>
      <c r="P132" s="510">
        <f t="shared" si="3"/>
        <v>0</v>
      </c>
      <c r="Q132" s="510">
        <f t="shared" si="4"/>
        <v>0</v>
      </c>
      <c r="R132" s="510">
        <f t="shared" si="5"/>
        <v>0</v>
      </c>
    </row>
    <row r="133" spans="1:18">
      <c r="A133" s="505"/>
      <c r="B133" s="511"/>
      <c r="C133" s="507">
        <v>8</v>
      </c>
      <c r="D133" s="508">
        <v>150</v>
      </c>
      <c r="E133" s="507">
        <v>2</v>
      </c>
      <c r="F133" s="502">
        <v>1</v>
      </c>
      <c r="G133" s="502">
        <f>+ROUND(1.53/0.15+1,0)</f>
        <v>11</v>
      </c>
      <c r="H133" s="524"/>
      <c r="I133" s="516">
        <f t="shared" si="82"/>
        <v>1.1880000000000002</v>
      </c>
      <c r="J133" s="525"/>
      <c r="K133" s="481"/>
      <c r="L133" s="510">
        <f>SUM(H133:J133)+K133</f>
        <v>1.1880000000000002</v>
      </c>
      <c r="M133" s="510">
        <f t="shared" si="0"/>
        <v>26.14</v>
      </c>
      <c r="N133" s="510">
        <f t="shared" si="1"/>
        <v>0</v>
      </c>
      <c r="O133" s="510">
        <f t="shared" si="2"/>
        <v>0</v>
      </c>
      <c r="P133" s="510">
        <f t="shared" si="3"/>
        <v>0</v>
      </c>
      <c r="Q133" s="510">
        <f t="shared" si="4"/>
        <v>0</v>
      </c>
      <c r="R133" s="510">
        <f t="shared" si="5"/>
        <v>0</v>
      </c>
    </row>
    <row r="134" spans="1:18">
      <c r="A134" s="505"/>
      <c r="B134" s="511" t="s">
        <v>780</v>
      </c>
      <c r="C134" s="507">
        <v>8</v>
      </c>
      <c r="D134" s="508">
        <v>100</v>
      </c>
      <c r="E134" s="507">
        <v>2</v>
      </c>
      <c r="F134" s="502">
        <v>1</v>
      </c>
      <c r="G134" s="502">
        <f>+ROUND(2.345/0.1,0)</f>
        <v>23</v>
      </c>
      <c r="H134" s="524"/>
      <c r="I134" s="516">
        <f t="shared" si="82"/>
        <v>1.1880000000000002</v>
      </c>
      <c r="J134" s="525"/>
      <c r="K134" s="481"/>
      <c r="L134" s="510">
        <f>SUM(H134:J134)+K134</f>
        <v>1.1880000000000002</v>
      </c>
      <c r="M134" s="510">
        <f t="shared" si="0"/>
        <v>54.65</v>
      </c>
      <c r="N134" s="510">
        <f t="shared" si="1"/>
        <v>0</v>
      </c>
      <c r="O134" s="510">
        <f t="shared" si="2"/>
        <v>0</v>
      </c>
      <c r="P134" s="510">
        <f t="shared" si="3"/>
        <v>0</v>
      </c>
      <c r="Q134" s="510">
        <f t="shared" si="4"/>
        <v>0</v>
      </c>
      <c r="R134" s="510">
        <f t="shared" si="5"/>
        <v>0</v>
      </c>
    </row>
    <row r="135" spans="1:18">
      <c r="A135" s="505"/>
      <c r="B135" s="511"/>
      <c r="C135" s="507">
        <v>8</v>
      </c>
      <c r="D135" s="508">
        <v>150</v>
      </c>
      <c r="E135" s="507">
        <v>2</v>
      </c>
      <c r="F135" s="502">
        <v>1</v>
      </c>
      <c r="G135" s="502">
        <f>+ROUND(2.345/0.15+1,0)</f>
        <v>17</v>
      </c>
      <c r="H135" s="524"/>
      <c r="I135" s="516">
        <f t="shared" si="82"/>
        <v>1.1880000000000002</v>
      </c>
      <c r="J135" s="525"/>
      <c r="K135" s="481"/>
      <c r="L135" s="510">
        <f>SUM(H135:J135)+K135</f>
        <v>1.1880000000000002</v>
      </c>
      <c r="M135" s="510">
        <f t="shared" si="0"/>
        <v>40.39</v>
      </c>
      <c r="N135" s="510">
        <f t="shared" si="1"/>
        <v>0</v>
      </c>
      <c r="O135" s="510">
        <f t="shared" si="2"/>
        <v>0</v>
      </c>
      <c r="P135" s="510">
        <f t="shared" si="3"/>
        <v>0</v>
      </c>
      <c r="Q135" s="510">
        <f t="shared" si="4"/>
        <v>0</v>
      </c>
      <c r="R135" s="510">
        <f t="shared" si="5"/>
        <v>0</v>
      </c>
    </row>
    <row r="136" spans="1:18">
      <c r="A136" s="505" t="s">
        <v>772</v>
      </c>
      <c r="B136" s="506" t="s">
        <v>692</v>
      </c>
      <c r="C136" s="507"/>
      <c r="D136" s="508"/>
      <c r="E136" s="507"/>
      <c r="F136" s="502"/>
      <c r="G136" s="502"/>
      <c r="H136" s="503"/>
      <c r="I136" s="503"/>
      <c r="J136" s="509"/>
      <c r="K136" s="509"/>
      <c r="L136" s="510">
        <f t="shared" ref="L136" si="83">SUM(H136:J136)+K136</f>
        <v>0</v>
      </c>
      <c r="M136" s="510">
        <f t="shared" si="0"/>
        <v>0</v>
      </c>
      <c r="N136" s="510">
        <f t="shared" si="1"/>
        <v>0</v>
      </c>
      <c r="O136" s="510">
        <f t="shared" si="2"/>
        <v>0</v>
      </c>
      <c r="P136" s="510">
        <f t="shared" si="3"/>
        <v>0</v>
      </c>
      <c r="Q136" s="510">
        <f t="shared" si="4"/>
        <v>0</v>
      </c>
      <c r="R136" s="510">
        <f t="shared" si="5"/>
        <v>0</v>
      </c>
    </row>
    <row r="137" spans="1:18">
      <c r="A137" s="505"/>
      <c r="B137" s="511" t="s">
        <v>740</v>
      </c>
      <c r="C137" s="507">
        <v>16</v>
      </c>
      <c r="D137" s="508"/>
      <c r="E137" s="507">
        <v>2</v>
      </c>
      <c r="F137" s="502">
        <v>1</v>
      </c>
      <c r="G137" s="502">
        <v>2</v>
      </c>
      <c r="H137" s="503">
        <v>0.3</v>
      </c>
      <c r="I137" s="503">
        <f>6.23-0.06</f>
        <v>6.1700000000000008</v>
      </c>
      <c r="J137" s="509">
        <v>0.3</v>
      </c>
      <c r="K137" s="509"/>
      <c r="L137" s="510">
        <f>SUM(H137:J137)+K137</f>
        <v>6.7700000000000005</v>
      </c>
      <c r="M137" s="510">
        <f t="shared" si="0"/>
        <v>0</v>
      </c>
      <c r="N137" s="510">
        <f t="shared" si="1"/>
        <v>0</v>
      </c>
      <c r="O137" s="510">
        <f t="shared" si="2"/>
        <v>0</v>
      </c>
      <c r="P137" s="510">
        <f t="shared" si="3"/>
        <v>27.08</v>
      </c>
      <c r="Q137" s="510">
        <f t="shared" si="4"/>
        <v>0</v>
      </c>
      <c r="R137" s="510">
        <f t="shared" si="5"/>
        <v>0</v>
      </c>
    </row>
    <row r="138" spans="1:18">
      <c r="A138" s="505"/>
      <c r="B138" s="511" t="s">
        <v>773</v>
      </c>
      <c r="C138" s="507">
        <v>16</v>
      </c>
      <c r="D138" s="508"/>
      <c r="E138" s="507">
        <v>2</v>
      </c>
      <c r="F138" s="502">
        <v>1</v>
      </c>
      <c r="G138" s="502">
        <v>2</v>
      </c>
      <c r="H138" s="503">
        <v>0.3</v>
      </c>
      <c r="I138" s="503">
        <f>6.23-0.06</f>
        <v>6.1700000000000008</v>
      </c>
      <c r="J138" s="509">
        <v>0.3</v>
      </c>
      <c r="K138" s="509"/>
      <c r="L138" s="510">
        <f t="shared" ref="L138" si="84">SUM(H138:J138)+K138</f>
        <v>6.7700000000000005</v>
      </c>
      <c r="M138" s="510">
        <f t="shared" si="0"/>
        <v>0</v>
      </c>
      <c r="N138" s="510">
        <f t="shared" si="1"/>
        <v>0</v>
      </c>
      <c r="O138" s="510">
        <f t="shared" si="2"/>
        <v>0</v>
      </c>
      <c r="P138" s="510">
        <f t="shared" si="3"/>
        <v>27.08</v>
      </c>
      <c r="Q138" s="510">
        <f t="shared" si="4"/>
        <v>0</v>
      </c>
      <c r="R138" s="510">
        <f t="shared" si="5"/>
        <v>0</v>
      </c>
    </row>
    <row r="139" spans="1:18">
      <c r="A139" s="505"/>
      <c r="B139" s="511" t="s">
        <v>778</v>
      </c>
      <c r="C139" s="507">
        <v>12</v>
      </c>
      <c r="D139" s="508"/>
      <c r="E139" s="507">
        <v>2</v>
      </c>
      <c r="F139" s="502">
        <v>1</v>
      </c>
      <c r="G139" s="502">
        <v>2</v>
      </c>
      <c r="H139" s="503"/>
      <c r="I139" s="503">
        <v>4.53</v>
      </c>
      <c r="J139" s="509"/>
      <c r="K139" s="509"/>
      <c r="L139" s="510">
        <f t="shared" ref="L139:L140" si="85">SUM(H139:J139)+K139</f>
        <v>4.53</v>
      </c>
      <c r="M139" s="510">
        <f t="shared" si="0"/>
        <v>0</v>
      </c>
      <c r="N139" s="510">
        <f t="shared" si="1"/>
        <v>0</v>
      </c>
      <c r="O139" s="510">
        <f t="shared" si="2"/>
        <v>18.12</v>
      </c>
      <c r="P139" s="510">
        <f t="shared" si="3"/>
        <v>0</v>
      </c>
      <c r="Q139" s="510">
        <f t="shared" si="4"/>
        <v>0</v>
      </c>
      <c r="R139" s="510">
        <f t="shared" si="5"/>
        <v>0</v>
      </c>
    </row>
    <row r="140" spans="1:18">
      <c r="A140" s="505"/>
      <c r="B140" s="511" t="s">
        <v>774</v>
      </c>
      <c r="C140" s="507">
        <v>12</v>
      </c>
      <c r="D140" s="508"/>
      <c r="E140" s="507">
        <v>2</v>
      </c>
      <c r="F140" s="502">
        <v>2</v>
      </c>
      <c r="G140" s="502">
        <v>2</v>
      </c>
      <c r="H140" s="503"/>
      <c r="I140" s="503">
        <f>1.6+0.27</f>
        <v>1.87</v>
      </c>
      <c r="J140" s="509">
        <v>0.3</v>
      </c>
      <c r="K140" s="509"/>
      <c r="L140" s="510">
        <f t="shared" si="85"/>
        <v>2.17</v>
      </c>
      <c r="M140" s="510">
        <f t="shared" si="0"/>
        <v>0</v>
      </c>
      <c r="N140" s="510">
        <f t="shared" si="1"/>
        <v>0</v>
      </c>
      <c r="O140" s="510">
        <f t="shared" si="2"/>
        <v>17.36</v>
      </c>
      <c r="P140" s="510">
        <f t="shared" si="3"/>
        <v>0</v>
      </c>
      <c r="Q140" s="510">
        <f t="shared" si="4"/>
        <v>0</v>
      </c>
      <c r="R140" s="510">
        <f t="shared" si="5"/>
        <v>0</v>
      </c>
    </row>
    <row r="141" spans="1:18">
      <c r="A141" s="505"/>
      <c r="B141" s="511" t="s">
        <v>780</v>
      </c>
      <c r="C141" s="507">
        <v>8</v>
      </c>
      <c r="D141" s="508">
        <v>100</v>
      </c>
      <c r="E141" s="507">
        <v>2</v>
      </c>
      <c r="F141" s="502">
        <v>1</v>
      </c>
      <c r="G141" s="502">
        <f>+ROUND(2.82/0.1,0)</f>
        <v>28</v>
      </c>
      <c r="H141" s="503"/>
      <c r="I141" s="516">
        <f t="shared" ref="I141:I142" si="86">2*(0.14+0.39)+16*C141/1000</f>
        <v>1.1880000000000002</v>
      </c>
      <c r="J141" s="509"/>
      <c r="K141" s="481"/>
      <c r="L141" s="510">
        <f>SUM(H141:J141)+K141</f>
        <v>1.1880000000000002</v>
      </c>
      <c r="M141" s="510">
        <f t="shared" si="0"/>
        <v>66.53</v>
      </c>
      <c r="N141" s="510">
        <f t="shared" si="1"/>
        <v>0</v>
      </c>
      <c r="O141" s="510">
        <f t="shared" si="2"/>
        <v>0</v>
      </c>
      <c r="P141" s="510">
        <f t="shared" si="3"/>
        <v>0</v>
      </c>
      <c r="Q141" s="510">
        <f t="shared" si="4"/>
        <v>0</v>
      </c>
      <c r="R141" s="510">
        <f t="shared" si="5"/>
        <v>0</v>
      </c>
    </row>
    <row r="142" spans="1:18">
      <c r="A142" s="505"/>
      <c r="B142" s="511"/>
      <c r="C142" s="507">
        <v>8</v>
      </c>
      <c r="D142" s="508">
        <v>150</v>
      </c>
      <c r="E142" s="507">
        <v>2</v>
      </c>
      <c r="F142" s="502">
        <v>1</v>
      </c>
      <c r="G142" s="502">
        <f>+ROUND(2.82/0.15+1,0)</f>
        <v>20</v>
      </c>
      <c r="H142" s="503"/>
      <c r="I142" s="516">
        <f t="shared" si="86"/>
        <v>1.1880000000000002</v>
      </c>
      <c r="J142" s="509"/>
      <c r="K142" s="481"/>
      <c r="L142" s="510">
        <f t="shared" ref="L142" si="87">SUM(H142:J142)+K142</f>
        <v>1.1880000000000002</v>
      </c>
      <c r="M142" s="510">
        <f t="shared" si="0"/>
        <v>47.52</v>
      </c>
      <c r="N142" s="510">
        <f t="shared" si="1"/>
        <v>0</v>
      </c>
      <c r="O142" s="510">
        <f t="shared" si="2"/>
        <v>0</v>
      </c>
      <c r="P142" s="510">
        <f t="shared" si="3"/>
        <v>0</v>
      </c>
      <c r="Q142" s="510">
        <f t="shared" si="4"/>
        <v>0</v>
      </c>
      <c r="R142" s="510">
        <f t="shared" si="5"/>
        <v>0</v>
      </c>
    </row>
    <row r="143" spans="1:18">
      <c r="A143" s="505" t="s">
        <v>772</v>
      </c>
      <c r="B143" s="506" t="s">
        <v>693</v>
      </c>
      <c r="C143" s="507"/>
      <c r="D143" s="508"/>
      <c r="E143" s="507"/>
      <c r="F143" s="502"/>
      <c r="G143" s="502"/>
      <c r="H143" s="503"/>
      <c r="I143" s="503"/>
      <c r="J143" s="509"/>
      <c r="K143" s="509"/>
      <c r="L143" s="510">
        <f t="shared" ref="L143" si="88">SUM(H143:J143)+K143</f>
        <v>0</v>
      </c>
      <c r="M143" s="510">
        <f t="shared" si="0"/>
        <v>0</v>
      </c>
      <c r="N143" s="510">
        <f t="shared" si="1"/>
        <v>0</v>
      </c>
      <c r="O143" s="510">
        <f t="shared" si="2"/>
        <v>0</v>
      </c>
      <c r="P143" s="510">
        <f t="shared" si="3"/>
        <v>0</v>
      </c>
      <c r="Q143" s="510">
        <f t="shared" si="4"/>
        <v>0</v>
      </c>
      <c r="R143" s="510">
        <f t="shared" si="5"/>
        <v>0</v>
      </c>
    </row>
    <row r="144" spans="1:18">
      <c r="A144" s="505"/>
      <c r="B144" s="511" t="s">
        <v>740</v>
      </c>
      <c r="C144" s="507">
        <v>16</v>
      </c>
      <c r="D144" s="508"/>
      <c r="E144" s="507">
        <v>2</v>
      </c>
      <c r="F144" s="502">
        <v>1</v>
      </c>
      <c r="G144" s="502">
        <v>2</v>
      </c>
      <c r="H144" s="503">
        <v>0.3</v>
      </c>
      <c r="I144" s="503">
        <f>8.6-0.06</f>
        <v>8.5399999999999991</v>
      </c>
      <c r="J144" s="509">
        <v>0.3</v>
      </c>
      <c r="K144" s="509"/>
      <c r="L144" s="510">
        <f>SUM(H144:J144)+K144</f>
        <v>9.14</v>
      </c>
      <c r="M144" s="510">
        <f t="shared" si="0"/>
        <v>0</v>
      </c>
      <c r="N144" s="510">
        <f t="shared" si="1"/>
        <v>0</v>
      </c>
      <c r="O144" s="510">
        <f t="shared" si="2"/>
        <v>0</v>
      </c>
      <c r="P144" s="510">
        <f t="shared" si="3"/>
        <v>36.56</v>
      </c>
      <c r="Q144" s="510">
        <f t="shared" si="4"/>
        <v>0</v>
      </c>
      <c r="R144" s="510">
        <f t="shared" si="5"/>
        <v>0</v>
      </c>
    </row>
    <row r="145" spans="1:18">
      <c r="A145" s="505"/>
      <c r="B145" s="511" t="s">
        <v>773</v>
      </c>
      <c r="C145" s="507">
        <v>16</v>
      </c>
      <c r="D145" s="508"/>
      <c r="E145" s="507">
        <v>2</v>
      </c>
      <c r="F145" s="502">
        <v>1</v>
      </c>
      <c r="G145" s="502">
        <v>2</v>
      </c>
      <c r="H145" s="503">
        <v>0.3</v>
      </c>
      <c r="I145" s="503">
        <f>8.6-0.06</f>
        <v>8.5399999999999991</v>
      </c>
      <c r="J145" s="509">
        <v>0.3</v>
      </c>
      <c r="K145" s="509"/>
      <c r="L145" s="510">
        <f t="shared" ref="L145" si="89">SUM(H145:J145)+K145</f>
        <v>9.14</v>
      </c>
      <c r="M145" s="510">
        <f t="shared" si="0"/>
        <v>0</v>
      </c>
      <c r="N145" s="510">
        <f t="shared" si="1"/>
        <v>0</v>
      </c>
      <c r="O145" s="510">
        <f t="shared" si="2"/>
        <v>0</v>
      </c>
      <c r="P145" s="510">
        <f t="shared" si="3"/>
        <v>36.56</v>
      </c>
      <c r="Q145" s="510">
        <f t="shared" si="4"/>
        <v>0</v>
      </c>
      <c r="R145" s="510">
        <f t="shared" si="5"/>
        <v>0</v>
      </c>
    </row>
    <row r="146" spans="1:18">
      <c r="A146" s="505"/>
      <c r="B146" s="511" t="s">
        <v>778</v>
      </c>
      <c r="C146" s="507">
        <v>12</v>
      </c>
      <c r="D146" s="508"/>
      <c r="E146" s="507">
        <v>2</v>
      </c>
      <c r="F146" s="502">
        <v>1</v>
      </c>
      <c r="G146" s="502">
        <v>2</v>
      </c>
      <c r="H146" s="503"/>
      <c r="I146" s="503">
        <v>4.28</v>
      </c>
      <c r="J146" s="509"/>
      <c r="K146" s="509"/>
      <c r="L146" s="510">
        <f t="shared" ref="L146:L147" si="90">SUM(H146:J146)+K146</f>
        <v>4.28</v>
      </c>
      <c r="M146" s="510">
        <f t="shared" si="0"/>
        <v>0</v>
      </c>
      <c r="N146" s="510">
        <f t="shared" si="1"/>
        <v>0</v>
      </c>
      <c r="O146" s="510">
        <f t="shared" si="2"/>
        <v>17.12</v>
      </c>
      <c r="P146" s="510">
        <f t="shared" si="3"/>
        <v>0</v>
      </c>
      <c r="Q146" s="510">
        <f t="shared" si="4"/>
        <v>0</v>
      </c>
      <c r="R146" s="510">
        <f t="shared" si="5"/>
        <v>0</v>
      </c>
    </row>
    <row r="147" spans="1:18">
      <c r="A147" s="505"/>
      <c r="B147" s="511" t="s">
        <v>774</v>
      </c>
      <c r="C147" s="507">
        <v>12</v>
      </c>
      <c r="D147" s="508"/>
      <c r="E147" s="507">
        <v>2</v>
      </c>
      <c r="F147" s="502">
        <v>1</v>
      </c>
      <c r="G147" s="502">
        <v>2</v>
      </c>
      <c r="H147" s="503"/>
      <c r="I147" s="503">
        <v>1.97</v>
      </c>
      <c r="J147" s="509">
        <v>0.3</v>
      </c>
      <c r="K147" s="509"/>
      <c r="L147" s="510">
        <f t="shared" si="90"/>
        <v>2.27</v>
      </c>
      <c r="M147" s="510">
        <f t="shared" si="0"/>
        <v>0</v>
      </c>
      <c r="N147" s="510">
        <f t="shared" si="1"/>
        <v>0</v>
      </c>
      <c r="O147" s="510">
        <f t="shared" si="2"/>
        <v>9.08</v>
      </c>
      <c r="P147" s="510">
        <f t="shared" si="3"/>
        <v>0</v>
      </c>
      <c r="Q147" s="510">
        <f t="shared" si="4"/>
        <v>0</v>
      </c>
      <c r="R147" s="510">
        <f t="shared" si="5"/>
        <v>0</v>
      </c>
    </row>
    <row r="148" spans="1:18">
      <c r="A148" s="505"/>
      <c r="B148" s="511"/>
      <c r="C148" s="507">
        <v>12</v>
      </c>
      <c r="D148" s="508"/>
      <c r="E148" s="507">
        <v>2</v>
      </c>
      <c r="F148" s="502">
        <v>1</v>
      </c>
      <c r="G148" s="502">
        <v>2</v>
      </c>
      <c r="H148" s="503"/>
      <c r="I148" s="503">
        <v>2.5</v>
      </c>
      <c r="J148" s="509"/>
      <c r="K148" s="509"/>
      <c r="L148" s="510">
        <f t="shared" ref="L148" si="91">SUM(H148:J148)+K148</f>
        <v>2.5</v>
      </c>
      <c r="M148" s="510">
        <f t="shared" si="0"/>
        <v>0</v>
      </c>
      <c r="N148" s="510">
        <f t="shared" si="1"/>
        <v>0</v>
      </c>
      <c r="O148" s="510">
        <f t="shared" si="2"/>
        <v>10</v>
      </c>
      <c r="P148" s="510">
        <f t="shared" si="3"/>
        <v>0</v>
      </c>
      <c r="Q148" s="510">
        <f t="shared" si="4"/>
        <v>0</v>
      </c>
      <c r="R148" s="510">
        <f t="shared" si="5"/>
        <v>0</v>
      </c>
    </row>
    <row r="149" spans="1:18">
      <c r="A149" s="505"/>
      <c r="B149" s="511" t="s">
        <v>777</v>
      </c>
      <c r="C149" s="507">
        <v>8</v>
      </c>
      <c r="D149" s="508">
        <v>100</v>
      </c>
      <c r="E149" s="507">
        <v>2</v>
      </c>
      <c r="F149" s="502">
        <v>1</v>
      </c>
      <c r="G149" s="502">
        <f>+ROUND(2.14/0.1+1,0)</f>
        <v>22</v>
      </c>
      <c r="H149" s="503"/>
      <c r="I149" s="516">
        <f t="shared" ref="I149:I151" si="92">2*(0.14+0.39)+16*C149/1000</f>
        <v>1.1880000000000002</v>
      </c>
      <c r="J149" s="509"/>
      <c r="K149" s="481"/>
      <c r="L149" s="510">
        <f>SUM(H149:J149)+K149</f>
        <v>1.1880000000000002</v>
      </c>
      <c r="M149" s="510">
        <f t="shared" si="0"/>
        <v>52.27</v>
      </c>
      <c r="N149" s="510">
        <f t="shared" si="1"/>
        <v>0</v>
      </c>
      <c r="O149" s="510">
        <f t="shared" si="2"/>
        <v>0</v>
      </c>
      <c r="P149" s="510">
        <f t="shared" si="3"/>
        <v>0</v>
      </c>
      <c r="Q149" s="510">
        <f t="shared" si="4"/>
        <v>0</v>
      </c>
      <c r="R149" s="510">
        <f t="shared" si="5"/>
        <v>0</v>
      </c>
    </row>
    <row r="150" spans="1:18">
      <c r="A150" s="505"/>
      <c r="B150" s="511" t="s">
        <v>777</v>
      </c>
      <c r="C150" s="507">
        <v>8</v>
      </c>
      <c r="D150" s="508">
        <v>100</v>
      </c>
      <c r="E150" s="507">
        <v>2</v>
      </c>
      <c r="F150" s="502">
        <v>1</v>
      </c>
      <c r="G150" s="502">
        <f>+ROUND(2.82/0.1,0)</f>
        <v>28</v>
      </c>
      <c r="H150" s="503"/>
      <c r="I150" s="516">
        <f t="shared" si="92"/>
        <v>1.1880000000000002</v>
      </c>
      <c r="J150" s="509"/>
      <c r="K150" s="481"/>
      <c r="L150" s="510">
        <f t="shared" ref="L150:L151" si="93">SUM(H150:J150)+K150</f>
        <v>1.1880000000000002</v>
      </c>
      <c r="M150" s="510">
        <f t="shared" si="0"/>
        <v>66.53</v>
      </c>
      <c r="N150" s="510">
        <f t="shared" si="1"/>
        <v>0</v>
      </c>
      <c r="O150" s="510">
        <f t="shared" si="2"/>
        <v>0</v>
      </c>
      <c r="P150" s="510">
        <f t="shared" si="3"/>
        <v>0</v>
      </c>
      <c r="Q150" s="510">
        <f t="shared" si="4"/>
        <v>0</v>
      </c>
      <c r="R150" s="510">
        <f t="shared" si="5"/>
        <v>0</v>
      </c>
    </row>
    <row r="151" spans="1:18">
      <c r="A151" s="505"/>
      <c r="B151" s="511"/>
      <c r="C151" s="507">
        <v>8</v>
      </c>
      <c r="D151" s="508">
        <v>150</v>
      </c>
      <c r="E151" s="507">
        <v>2</v>
      </c>
      <c r="F151" s="502">
        <v>1</v>
      </c>
      <c r="G151" s="502">
        <f>+ROUND(2.82/0.15+1,0)</f>
        <v>20</v>
      </c>
      <c r="H151" s="503"/>
      <c r="I151" s="516">
        <f t="shared" si="92"/>
        <v>1.1880000000000002</v>
      </c>
      <c r="J151" s="509"/>
      <c r="K151" s="481"/>
      <c r="L151" s="510">
        <f t="shared" si="93"/>
        <v>1.1880000000000002</v>
      </c>
      <c r="M151" s="510">
        <f t="shared" si="0"/>
        <v>47.52</v>
      </c>
      <c r="N151" s="510">
        <f t="shared" si="1"/>
        <v>0</v>
      </c>
      <c r="O151" s="510">
        <f t="shared" si="2"/>
        <v>0</v>
      </c>
      <c r="P151" s="510">
        <f t="shared" si="3"/>
        <v>0</v>
      </c>
      <c r="Q151" s="510">
        <f t="shared" si="4"/>
        <v>0</v>
      </c>
      <c r="R151" s="510">
        <f t="shared" si="5"/>
        <v>0</v>
      </c>
    </row>
    <row r="152" spans="1:18">
      <c r="A152" s="505" t="s">
        <v>772</v>
      </c>
      <c r="B152" s="506" t="s">
        <v>694</v>
      </c>
      <c r="C152" s="507"/>
      <c r="D152" s="508"/>
      <c r="E152" s="507"/>
      <c r="F152" s="502"/>
      <c r="G152" s="502"/>
      <c r="H152" s="503"/>
      <c r="I152" s="503"/>
      <c r="J152" s="509"/>
      <c r="K152" s="509"/>
      <c r="L152" s="510">
        <f t="shared" ref="L152" si="94">SUM(H152:J152)+K152</f>
        <v>0</v>
      </c>
      <c r="M152" s="510">
        <f t="shared" si="0"/>
        <v>0</v>
      </c>
      <c r="N152" s="510">
        <f t="shared" si="1"/>
        <v>0</v>
      </c>
      <c r="O152" s="510">
        <f t="shared" si="2"/>
        <v>0</v>
      </c>
      <c r="P152" s="510">
        <f t="shared" si="3"/>
        <v>0</v>
      </c>
      <c r="Q152" s="510">
        <f t="shared" si="4"/>
        <v>0</v>
      </c>
      <c r="R152" s="510">
        <f t="shared" si="5"/>
        <v>0</v>
      </c>
    </row>
    <row r="153" spans="1:18">
      <c r="A153" s="505"/>
      <c r="B153" s="511" t="s">
        <v>740</v>
      </c>
      <c r="C153" s="507">
        <v>16</v>
      </c>
      <c r="D153" s="508"/>
      <c r="E153" s="507">
        <v>6</v>
      </c>
      <c r="F153" s="502">
        <v>1</v>
      </c>
      <c r="G153" s="502">
        <v>2</v>
      </c>
      <c r="H153" s="503">
        <v>0.3</v>
      </c>
      <c r="I153" s="503">
        <f>8.855-0.06</f>
        <v>8.7949999999999999</v>
      </c>
      <c r="J153" s="509">
        <v>0.3</v>
      </c>
      <c r="K153" s="509"/>
      <c r="L153" s="510">
        <f>SUM(H153:J153)+K153</f>
        <v>9.3950000000000014</v>
      </c>
      <c r="M153" s="510">
        <f t="shared" si="0"/>
        <v>0</v>
      </c>
      <c r="N153" s="510">
        <f t="shared" si="1"/>
        <v>0</v>
      </c>
      <c r="O153" s="510">
        <f t="shared" si="2"/>
        <v>0</v>
      </c>
      <c r="P153" s="510">
        <f t="shared" si="3"/>
        <v>112.74</v>
      </c>
      <c r="Q153" s="510">
        <f t="shared" si="4"/>
        <v>0</v>
      </c>
      <c r="R153" s="510">
        <f t="shared" si="5"/>
        <v>0</v>
      </c>
    </row>
    <row r="154" spans="1:18">
      <c r="A154" s="505"/>
      <c r="B154" s="511" t="s">
        <v>773</v>
      </c>
      <c r="C154" s="507">
        <v>16</v>
      </c>
      <c r="D154" s="508"/>
      <c r="E154" s="507">
        <v>6</v>
      </c>
      <c r="F154" s="502">
        <v>1</v>
      </c>
      <c r="G154" s="502">
        <v>2</v>
      </c>
      <c r="H154" s="503">
        <v>0.3</v>
      </c>
      <c r="I154" s="503">
        <f>8.855-0.06</f>
        <v>8.7949999999999999</v>
      </c>
      <c r="J154" s="509">
        <v>0.3</v>
      </c>
      <c r="K154" s="509"/>
      <c r="L154" s="510">
        <f t="shared" ref="L154" si="95">SUM(H154:J154)+K154</f>
        <v>9.3950000000000014</v>
      </c>
      <c r="M154" s="510">
        <f t="shared" si="0"/>
        <v>0</v>
      </c>
      <c r="N154" s="510">
        <f t="shared" si="1"/>
        <v>0</v>
      </c>
      <c r="O154" s="510">
        <f t="shared" si="2"/>
        <v>0</v>
      </c>
      <c r="P154" s="510">
        <f t="shared" si="3"/>
        <v>112.74</v>
      </c>
      <c r="Q154" s="510">
        <f t="shared" si="4"/>
        <v>0</v>
      </c>
      <c r="R154" s="510">
        <f t="shared" si="5"/>
        <v>0</v>
      </c>
    </row>
    <row r="155" spans="1:18">
      <c r="A155" s="505"/>
      <c r="B155" s="511" t="s">
        <v>778</v>
      </c>
      <c r="C155" s="507">
        <v>12</v>
      </c>
      <c r="D155" s="508"/>
      <c r="E155" s="507">
        <v>6</v>
      </c>
      <c r="F155" s="502">
        <v>1</v>
      </c>
      <c r="G155" s="502">
        <v>2</v>
      </c>
      <c r="H155" s="503"/>
      <c r="I155" s="503">
        <v>3.57</v>
      </c>
      <c r="J155" s="509"/>
      <c r="K155" s="509"/>
      <c r="L155" s="510">
        <f t="shared" ref="L155:L156" si="96">SUM(H155:J155)+K155</f>
        <v>3.57</v>
      </c>
      <c r="M155" s="510">
        <f t="shared" si="0"/>
        <v>0</v>
      </c>
      <c r="N155" s="510">
        <f t="shared" si="1"/>
        <v>0</v>
      </c>
      <c r="O155" s="510">
        <f t="shared" si="2"/>
        <v>42.84</v>
      </c>
      <c r="P155" s="510">
        <f t="shared" si="3"/>
        <v>0</v>
      </c>
      <c r="Q155" s="510">
        <f t="shared" si="4"/>
        <v>0</v>
      </c>
      <c r="R155" s="510">
        <f t="shared" si="5"/>
        <v>0</v>
      </c>
    </row>
    <row r="156" spans="1:18">
      <c r="A156" s="505"/>
      <c r="B156" s="511" t="s">
        <v>774</v>
      </c>
      <c r="C156" s="507">
        <v>16</v>
      </c>
      <c r="D156" s="508"/>
      <c r="E156" s="507">
        <v>6</v>
      </c>
      <c r="F156" s="502">
        <v>1</v>
      </c>
      <c r="G156" s="502">
        <v>2</v>
      </c>
      <c r="H156" s="503"/>
      <c r="I156" s="503">
        <v>2.6</v>
      </c>
      <c r="J156" s="509"/>
      <c r="K156" s="509"/>
      <c r="L156" s="510">
        <f t="shared" si="96"/>
        <v>2.6</v>
      </c>
      <c r="M156" s="510">
        <f t="shared" si="0"/>
        <v>0</v>
      </c>
      <c r="N156" s="510">
        <f t="shared" si="1"/>
        <v>0</v>
      </c>
      <c r="O156" s="510">
        <f t="shared" si="2"/>
        <v>0</v>
      </c>
      <c r="P156" s="510">
        <f t="shared" si="3"/>
        <v>31.2</v>
      </c>
      <c r="Q156" s="510">
        <f t="shared" si="4"/>
        <v>0</v>
      </c>
      <c r="R156" s="510">
        <f t="shared" si="5"/>
        <v>0</v>
      </c>
    </row>
    <row r="157" spans="1:18">
      <c r="A157" s="505"/>
      <c r="B157" s="511"/>
      <c r="C157" s="507">
        <v>16</v>
      </c>
      <c r="D157" s="508"/>
      <c r="E157" s="507">
        <v>6</v>
      </c>
      <c r="F157" s="502">
        <v>1</v>
      </c>
      <c r="G157" s="502">
        <v>2</v>
      </c>
      <c r="H157" s="503">
        <v>0.3</v>
      </c>
      <c r="I157" s="503">
        <f>1.7-0.03</f>
        <v>1.67</v>
      </c>
      <c r="J157" s="509"/>
      <c r="K157" s="509"/>
      <c r="L157" s="510">
        <f t="shared" ref="L157:L158" si="97">SUM(H157:J157)+K157</f>
        <v>1.97</v>
      </c>
      <c r="M157" s="510">
        <f t="shared" si="0"/>
        <v>0</v>
      </c>
      <c r="N157" s="510">
        <f t="shared" si="1"/>
        <v>0</v>
      </c>
      <c r="O157" s="510">
        <f t="shared" si="2"/>
        <v>0</v>
      </c>
      <c r="P157" s="510">
        <f t="shared" si="3"/>
        <v>23.64</v>
      </c>
      <c r="Q157" s="510">
        <f t="shared" si="4"/>
        <v>0</v>
      </c>
      <c r="R157" s="510">
        <f t="shared" si="5"/>
        <v>0</v>
      </c>
    </row>
    <row r="158" spans="1:18">
      <c r="A158" s="505"/>
      <c r="B158" s="511"/>
      <c r="C158" s="507">
        <v>12</v>
      </c>
      <c r="D158" s="508"/>
      <c r="E158" s="507">
        <v>6</v>
      </c>
      <c r="F158" s="502">
        <v>1</v>
      </c>
      <c r="G158" s="502">
        <v>2</v>
      </c>
      <c r="H158" s="503"/>
      <c r="I158" s="503">
        <f>1.2-0.03</f>
        <v>1.17</v>
      </c>
      <c r="J158" s="509">
        <v>0.3</v>
      </c>
      <c r="K158" s="509"/>
      <c r="L158" s="510">
        <f t="shared" si="97"/>
        <v>1.47</v>
      </c>
      <c r="M158" s="510">
        <f t="shared" si="0"/>
        <v>0</v>
      </c>
      <c r="N158" s="510">
        <f t="shared" si="1"/>
        <v>0</v>
      </c>
      <c r="O158" s="510">
        <f t="shared" si="2"/>
        <v>17.64</v>
      </c>
      <c r="P158" s="510">
        <f t="shared" si="3"/>
        <v>0</v>
      </c>
      <c r="Q158" s="510">
        <f t="shared" si="4"/>
        <v>0</v>
      </c>
      <c r="R158" s="510">
        <f t="shared" si="5"/>
        <v>0</v>
      </c>
    </row>
    <row r="159" spans="1:18">
      <c r="A159" s="505"/>
      <c r="B159" s="511" t="s">
        <v>777</v>
      </c>
      <c r="C159" s="507">
        <v>8</v>
      </c>
      <c r="D159" s="508">
        <v>100</v>
      </c>
      <c r="E159" s="507">
        <v>6</v>
      </c>
      <c r="F159" s="502">
        <v>1</v>
      </c>
      <c r="G159" s="502">
        <f>+ROUND(2.36/0.1,0)</f>
        <v>24</v>
      </c>
      <c r="H159" s="503"/>
      <c r="I159" s="516">
        <f t="shared" ref="I159:I162" si="98">2*(0.14+0.39)+16*C159/1000</f>
        <v>1.1880000000000002</v>
      </c>
      <c r="J159" s="509"/>
      <c r="K159" s="481"/>
      <c r="L159" s="510">
        <f t="shared" ref="L159:L160" si="99">SUM(H159:J159)+K159</f>
        <v>1.1880000000000002</v>
      </c>
      <c r="M159" s="510">
        <f t="shared" si="0"/>
        <v>171.07</v>
      </c>
      <c r="N159" s="510">
        <f t="shared" si="1"/>
        <v>0</v>
      </c>
      <c r="O159" s="510">
        <f t="shared" si="2"/>
        <v>0</v>
      </c>
      <c r="P159" s="510">
        <f t="shared" si="3"/>
        <v>0</v>
      </c>
      <c r="Q159" s="510">
        <f t="shared" si="4"/>
        <v>0</v>
      </c>
      <c r="R159" s="510">
        <f t="shared" si="5"/>
        <v>0</v>
      </c>
    </row>
    <row r="160" spans="1:18">
      <c r="A160" s="505"/>
      <c r="B160" s="511"/>
      <c r="C160" s="507">
        <v>8</v>
      </c>
      <c r="D160" s="508">
        <v>150</v>
      </c>
      <c r="E160" s="507">
        <v>6</v>
      </c>
      <c r="F160" s="502">
        <v>1</v>
      </c>
      <c r="G160" s="502">
        <f>+ROUND(2.36/0.15+1,0)</f>
        <v>17</v>
      </c>
      <c r="H160" s="503"/>
      <c r="I160" s="516">
        <f t="shared" si="98"/>
        <v>1.1880000000000002</v>
      </c>
      <c r="J160" s="509"/>
      <c r="K160" s="481"/>
      <c r="L160" s="510">
        <f t="shared" si="99"/>
        <v>1.1880000000000002</v>
      </c>
      <c r="M160" s="510">
        <f t="shared" si="0"/>
        <v>121.18</v>
      </c>
      <c r="N160" s="510">
        <f t="shared" si="1"/>
        <v>0</v>
      </c>
      <c r="O160" s="510">
        <f t="shared" si="2"/>
        <v>0</v>
      </c>
      <c r="P160" s="510">
        <f t="shared" si="3"/>
        <v>0</v>
      </c>
      <c r="Q160" s="510">
        <f t="shared" si="4"/>
        <v>0</v>
      </c>
      <c r="R160" s="510">
        <f t="shared" si="5"/>
        <v>0</v>
      </c>
    </row>
    <row r="161" spans="1:18">
      <c r="A161" s="505"/>
      <c r="B161" s="511" t="s">
        <v>777</v>
      </c>
      <c r="C161" s="507">
        <v>8</v>
      </c>
      <c r="D161" s="508">
        <v>100</v>
      </c>
      <c r="E161" s="507">
        <v>6</v>
      </c>
      <c r="F161" s="502">
        <v>1</v>
      </c>
      <c r="G161" s="502">
        <f>+ROUND(1.8/0.1,0)</f>
        <v>18</v>
      </c>
      <c r="H161" s="503"/>
      <c r="I161" s="516">
        <f t="shared" si="98"/>
        <v>1.1880000000000002</v>
      </c>
      <c r="J161" s="509"/>
      <c r="K161" s="481"/>
      <c r="L161" s="510">
        <f>SUM(H161:J161)+K161</f>
        <v>1.1880000000000002</v>
      </c>
      <c r="M161" s="510">
        <f t="shared" si="0"/>
        <v>128.30000000000001</v>
      </c>
      <c r="N161" s="510">
        <f t="shared" si="1"/>
        <v>0</v>
      </c>
      <c r="O161" s="510">
        <f t="shared" si="2"/>
        <v>0</v>
      </c>
      <c r="P161" s="510">
        <f t="shared" si="3"/>
        <v>0</v>
      </c>
      <c r="Q161" s="510">
        <f t="shared" si="4"/>
        <v>0</v>
      </c>
      <c r="R161" s="510">
        <f t="shared" si="5"/>
        <v>0</v>
      </c>
    </row>
    <row r="162" spans="1:18">
      <c r="A162" s="505"/>
      <c r="B162" s="511"/>
      <c r="C162" s="507">
        <v>8</v>
      </c>
      <c r="D162" s="508">
        <v>100</v>
      </c>
      <c r="E162" s="507">
        <v>6</v>
      </c>
      <c r="F162" s="502">
        <v>1</v>
      </c>
      <c r="G162" s="502">
        <f>+ROUND(1.435/0.15+1,0)</f>
        <v>11</v>
      </c>
      <c r="H162" s="503"/>
      <c r="I162" s="516">
        <f t="shared" si="98"/>
        <v>1.1880000000000002</v>
      </c>
      <c r="J162" s="509"/>
      <c r="K162" s="481"/>
      <c r="L162" s="510">
        <f t="shared" ref="L162:L203" si="100">SUM(H162:J162)+K162</f>
        <v>1.1880000000000002</v>
      </c>
      <c r="M162" s="510">
        <f t="shared" si="0"/>
        <v>78.41</v>
      </c>
      <c r="N162" s="510">
        <f t="shared" si="1"/>
        <v>0</v>
      </c>
      <c r="O162" s="510">
        <f t="shared" si="2"/>
        <v>0</v>
      </c>
      <c r="P162" s="510">
        <f t="shared" si="3"/>
        <v>0</v>
      </c>
      <c r="Q162" s="510">
        <f t="shared" si="4"/>
        <v>0</v>
      </c>
      <c r="R162" s="510">
        <f t="shared" si="5"/>
        <v>0</v>
      </c>
    </row>
    <row r="163" spans="1:18">
      <c r="A163" s="505" t="s">
        <v>772</v>
      </c>
      <c r="B163" s="506" t="s">
        <v>695</v>
      </c>
      <c r="C163" s="507"/>
      <c r="D163" s="508"/>
      <c r="E163" s="507"/>
      <c r="F163" s="502"/>
      <c r="G163" s="502"/>
      <c r="H163" s="503"/>
      <c r="I163" s="503"/>
      <c r="J163" s="509"/>
      <c r="K163" s="509"/>
      <c r="L163" s="510">
        <f t="shared" ref="L163" si="101">SUM(H163:J163)+K163</f>
        <v>0</v>
      </c>
      <c r="M163" s="510">
        <f t="shared" si="0"/>
        <v>0</v>
      </c>
      <c r="N163" s="510">
        <f t="shared" si="1"/>
        <v>0</v>
      </c>
      <c r="O163" s="510">
        <f t="shared" si="2"/>
        <v>0</v>
      </c>
      <c r="P163" s="510">
        <f t="shared" si="3"/>
        <v>0</v>
      </c>
      <c r="Q163" s="510">
        <f t="shared" si="4"/>
        <v>0</v>
      </c>
      <c r="R163" s="510">
        <f t="shared" si="5"/>
        <v>0</v>
      </c>
    </row>
    <row r="164" spans="1:18">
      <c r="A164" s="505"/>
      <c r="B164" s="511" t="s">
        <v>740</v>
      </c>
      <c r="C164" s="507">
        <v>16</v>
      </c>
      <c r="D164" s="508"/>
      <c r="E164" s="507">
        <v>6</v>
      </c>
      <c r="F164" s="502">
        <v>1</v>
      </c>
      <c r="G164" s="502">
        <v>2</v>
      </c>
      <c r="H164" s="503">
        <v>0.3</v>
      </c>
      <c r="I164" s="503">
        <f>6.945-0.06</f>
        <v>6.8850000000000007</v>
      </c>
      <c r="J164" s="509">
        <v>0.3</v>
      </c>
      <c r="K164" s="509"/>
      <c r="L164" s="510">
        <f>SUM(H164:J164)+K164</f>
        <v>7.4850000000000003</v>
      </c>
      <c r="M164" s="510">
        <f t="shared" si="0"/>
        <v>0</v>
      </c>
      <c r="N164" s="510">
        <f t="shared" si="1"/>
        <v>0</v>
      </c>
      <c r="O164" s="510">
        <f t="shared" si="2"/>
        <v>0</v>
      </c>
      <c r="P164" s="510">
        <f t="shared" si="3"/>
        <v>89.82</v>
      </c>
      <c r="Q164" s="510">
        <f t="shared" si="4"/>
        <v>0</v>
      </c>
      <c r="R164" s="510">
        <f t="shared" si="5"/>
        <v>0</v>
      </c>
    </row>
    <row r="165" spans="1:18">
      <c r="A165" s="505"/>
      <c r="B165" s="511" t="s">
        <v>773</v>
      </c>
      <c r="C165" s="507">
        <v>16</v>
      </c>
      <c r="D165" s="508"/>
      <c r="E165" s="507">
        <v>6</v>
      </c>
      <c r="F165" s="502">
        <v>1</v>
      </c>
      <c r="G165" s="502">
        <v>2</v>
      </c>
      <c r="H165" s="503">
        <v>0.3</v>
      </c>
      <c r="I165" s="503">
        <f>6.945-0.06</f>
        <v>6.8850000000000007</v>
      </c>
      <c r="J165" s="509">
        <v>0.3</v>
      </c>
      <c r="K165" s="509"/>
      <c r="L165" s="510">
        <f t="shared" ref="L165" si="102">SUM(H165:J165)+K165</f>
        <v>7.4850000000000003</v>
      </c>
      <c r="M165" s="510">
        <f t="shared" si="0"/>
        <v>0</v>
      </c>
      <c r="N165" s="510">
        <f t="shared" si="1"/>
        <v>0</v>
      </c>
      <c r="O165" s="510">
        <f t="shared" si="2"/>
        <v>0</v>
      </c>
      <c r="P165" s="510">
        <f t="shared" si="3"/>
        <v>89.82</v>
      </c>
      <c r="Q165" s="510">
        <f t="shared" si="4"/>
        <v>0</v>
      </c>
      <c r="R165" s="510">
        <f t="shared" si="5"/>
        <v>0</v>
      </c>
    </row>
    <row r="166" spans="1:18">
      <c r="A166" s="505"/>
      <c r="B166" s="511" t="s">
        <v>777</v>
      </c>
      <c r="C166" s="507">
        <v>8</v>
      </c>
      <c r="D166" s="508">
        <v>100</v>
      </c>
      <c r="E166" s="507">
        <v>6</v>
      </c>
      <c r="F166" s="502">
        <v>1</v>
      </c>
      <c r="G166" s="502">
        <f>+ROUND(1.8/0.1,0)</f>
        <v>18</v>
      </c>
      <c r="H166" s="503"/>
      <c r="I166" s="516">
        <f t="shared" ref="I166:I169" si="103">2*(0.14+0.39)+16*C166/1000</f>
        <v>1.1880000000000002</v>
      </c>
      <c r="J166" s="509"/>
      <c r="K166" s="481"/>
      <c r="L166" s="510">
        <f t="shared" ref="L166:L167" si="104">SUM(H166:J166)+K166</f>
        <v>1.1880000000000002</v>
      </c>
      <c r="M166" s="510">
        <f t="shared" si="0"/>
        <v>128.30000000000001</v>
      </c>
      <c r="N166" s="510">
        <f t="shared" si="1"/>
        <v>0</v>
      </c>
      <c r="O166" s="510">
        <f t="shared" si="2"/>
        <v>0</v>
      </c>
      <c r="P166" s="510">
        <f t="shared" si="3"/>
        <v>0</v>
      </c>
      <c r="Q166" s="510">
        <f t="shared" si="4"/>
        <v>0</v>
      </c>
      <c r="R166" s="510">
        <f t="shared" si="5"/>
        <v>0</v>
      </c>
    </row>
    <row r="167" spans="1:18">
      <c r="A167" s="505"/>
      <c r="B167" s="511"/>
      <c r="C167" s="507">
        <v>8</v>
      </c>
      <c r="D167" s="508">
        <v>150</v>
      </c>
      <c r="E167" s="507">
        <v>6</v>
      </c>
      <c r="F167" s="502">
        <v>1</v>
      </c>
      <c r="G167" s="502">
        <f>+ROUND(1.365/0.15+1,0)</f>
        <v>10</v>
      </c>
      <c r="H167" s="503"/>
      <c r="I167" s="516">
        <f t="shared" si="103"/>
        <v>1.1880000000000002</v>
      </c>
      <c r="J167" s="509"/>
      <c r="K167" s="481"/>
      <c r="L167" s="510">
        <f t="shared" si="104"/>
        <v>1.1880000000000002</v>
      </c>
      <c r="M167" s="510">
        <f t="shared" si="0"/>
        <v>71.28</v>
      </c>
      <c r="N167" s="510">
        <f t="shared" si="1"/>
        <v>0</v>
      </c>
      <c r="O167" s="510">
        <f t="shared" si="2"/>
        <v>0</v>
      </c>
      <c r="P167" s="510">
        <f t="shared" si="3"/>
        <v>0</v>
      </c>
      <c r="Q167" s="510">
        <f t="shared" si="4"/>
        <v>0</v>
      </c>
      <c r="R167" s="510">
        <f t="shared" si="5"/>
        <v>0</v>
      </c>
    </row>
    <row r="168" spans="1:18">
      <c r="A168" s="505"/>
      <c r="B168" s="511" t="s">
        <v>777</v>
      </c>
      <c r="C168" s="507">
        <v>8</v>
      </c>
      <c r="D168" s="508">
        <v>100</v>
      </c>
      <c r="E168" s="507">
        <v>6</v>
      </c>
      <c r="F168" s="502">
        <v>1</v>
      </c>
      <c r="G168" s="502">
        <f>+ROUND(1.8/0.1,0)</f>
        <v>18</v>
      </c>
      <c r="H168" s="503"/>
      <c r="I168" s="516">
        <f t="shared" si="103"/>
        <v>1.1880000000000002</v>
      </c>
      <c r="J168" s="509"/>
      <c r="K168" s="481"/>
      <c r="L168" s="510">
        <f>SUM(H168:J168)+K168</f>
        <v>1.1880000000000002</v>
      </c>
      <c r="M168" s="510">
        <f t="shared" si="0"/>
        <v>128.30000000000001</v>
      </c>
      <c r="N168" s="510">
        <f t="shared" si="1"/>
        <v>0</v>
      </c>
      <c r="O168" s="510">
        <f t="shared" si="2"/>
        <v>0</v>
      </c>
      <c r="P168" s="510">
        <f t="shared" si="3"/>
        <v>0</v>
      </c>
      <c r="Q168" s="510">
        <f t="shared" si="4"/>
        <v>0</v>
      </c>
      <c r="R168" s="510">
        <f t="shared" si="5"/>
        <v>0</v>
      </c>
    </row>
    <row r="169" spans="1:18">
      <c r="A169" s="505"/>
      <c r="B169" s="511"/>
      <c r="C169" s="507">
        <v>8</v>
      </c>
      <c r="D169" s="508">
        <v>100</v>
      </c>
      <c r="E169" s="507">
        <v>6</v>
      </c>
      <c r="F169" s="502">
        <v>1</v>
      </c>
      <c r="G169" s="502">
        <f>+ROUND(0.78/0.15+1,0)</f>
        <v>6</v>
      </c>
      <c r="H169" s="503"/>
      <c r="I169" s="516">
        <f t="shared" si="103"/>
        <v>1.1880000000000002</v>
      </c>
      <c r="J169" s="509"/>
      <c r="K169" s="481"/>
      <c r="L169" s="510">
        <f t="shared" ref="L169" si="105">SUM(H169:J169)+K169</f>
        <v>1.1880000000000002</v>
      </c>
      <c r="M169" s="510">
        <f t="shared" si="0"/>
        <v>42.77</v>
      </c>
      <c r="N169" s="510">
        <f t="shared" si="1"/>
        <v>0</v>
      </c>
      <c r="O169" s="510">
        <f t="shared" si="2"/>
        <v>0</v>
      </c>
      <c r="P169" s="510">
        <f t="shared" si="3"/>
        <v>0</v>
      </c>
      <c r="Q169" s="510">
        <f t="shared" si="4"/>
        <v>0</v>
      </c>
      <c r="R169" s="510">
        <f t="shared" si="5"/>
        <v>0</v>
      </c>
    </row>
    <row r="170" spans="1:18">
      <c r="A170" s="505" t="s">
        <v>772</v>
      </c>
      <c r="B170" s="506" t="s">
        <v>696</v>
      </c>
      <c r="C170" s="507"/>
      <c r="D170" s="508"/>
      <c r="E170" s="507"/>
      <c r="F170" s="502"/>
      <c r="G170" s="502"/>
      <c r="H170" s="503"/>
      <c r="I170" s="503"/>
      <c r="J170" s="509"/>
      <c r="K170" s="509"/>
      <c r="L170" s="510">
        <f t="shared" ref="L170" si="106">SUM(H170:J170)+K170</f>
        <v>0</v>
      </c>
      <c r="M170" s="510">
        <f t="shared" si="0"/>
        <v>0</v>
      </c>
      <c r="N170" s="510">
        <f t="shared" si="1"/>
        <v>0</v>
      </c>
      <c r="O170" s="510">
        <f t="shared" si="2"/>
        <v>0</v>
      </c>
      <c r="P170" s="510">
        <f t="shared" si="3"/>
        <v>0</v>
      </c>
      <c r="Q170" s="510">
        <f t="shared" si="4"/>
        <v>0</v>
      </c>
      <c r="R170" s="510">
        <f t="shared" si="5"/>
        <v>0</v>
      </c>
    </row>
    <row r="171" spans="1:18">
      <c r="A171" s="505"/>
      <c r="B171" s="511" t="s">
        <v>740</v>
      </c>
      <c r="C171" s="507">
        <v>16</v>
      </c>
      <c r="D171" s="508"/>
      <c r="E171" s="507">
        <v>2</v>
      </c>
      <c r="F171" s="502">
        <v>1</v>
      </c>
      <c r="G171" s="502">
        <v>2</v>
      </c>
      <c r="H171" s="503">
        <v>0.3</v>
      </c>
      <c r="I171" s="503">
        <f>5.725-0.06</f>
        <v>5.665</v>
      </c>
      <c r="J171" s="509">
        <v>0.3</v>
      </c>
      <c r="K171" s="509"/>
      <c r="L171" s="510">
        <f>SUM(H171:J171)+K171</f>
        <v>6.2649999999999997</v>
      </c>
      <c r="M171" s="510">
        <f t="shared" si="0"/>
        <v>0</v>
      </c>
      <c r="N171" s="510">
        <f t="shared" si="1"/>
        <v>0</v>
      </c>
      <c r="O171" s="510">
        <f t="shared" si="2"/>
        <v>0</v>
      </c>
      <c r="P171" s="510">
        <f t="shared" si="3"/>
        <v>25.06</v>
      </c>
      <c r="Q171" s="510">
        <f t="shared" si="4"/>
        <v>0</v>
      </c>
      <c r="R171" s="510">
        <f t="shared" si="5"/>
        <v>0</v>
      </c>
    </row>
    <row r="172" spans="1:18">
      <c r="A172" s="505"/>
      <c r="B172" s="511" t="s">
        <v>773</v>
      </c>
      <c r="C172" s="507">
        <v>16</v>
      </c>
      <c r="D172" s="508"/>
      <c r="E172" s="507">
        <v>2</v>
      </c>
      <c r="F172" s="502">
        <v>1</v>
      </c>
      <c r="G172" s="502">
        <v>2</v>
      </c>
      <c r="H172" s="503">
        <v>0.3</v>
      </c>
      <c r="I172" s="503">
        <f>5.725-0.06</f>
        <v>5.665</v>
      </c>
      <c r="J172" s="509">
        <v>0.3</v>
      </c>
      <c r="K172" s="509"/>
      <c r="L172" s="510">
        <f t="shared" ref="L172" si="107">SUM(H172:J172)+K172</f>
        <v>6.2649999999999997</v>
      </c>
      <c r="M172" s="510">
        <f t="shared" si="0"/>
        <v>0</v>
      </c>
      <c r="N172" s="510">
        <f t="shared" si="1"/>
        <v>0</v>
      </c>
      <c r="O172" s="510">
        <f t="shared" si="2"/>
        <v>0</v>
      </c>
      <c r="P172" s="510">
        <f t="shared" si="3"/>
        <v>25.06</v>
      </c>
      <c r="Q172" s="510">
        <f t="shared" si="4"/>
        <v>0</v>
      </c>
      <c r="R172" s="510">
        <f t="shared" si="5"/>
        <v>0</v>
      </c>
    </row>
    <row r="173" spans="1:18">
      <c r="A173" s="505"/>
      <c r="B173" s="511" t="s">
        <v>778</v>
      </c>
      <c r="C173" s="507">
        <v>12</v>
      </c>
      <c r="D173" s="508"/>
      <c r="E173" s="507">
        <v>2</v>
      </c>
      <c r="F173" s="502">
        <v>1</v>
      </c>
      <c r="G173" s="502">
        <v>2</v>
      </c>
      <c r="H173" s="503"/>
      <c r="I173" s="503">
        <v>4.1399999999999997</v>
      </c>
      <c r="J173" s="509"/>
      <c r="K173" s="509"/>
      <c r="L173" s="510">
        <f t="shared" ref="L173:L174" si="108">SUM(H173:J173)+K173</f>
        <v>4.1399999999999997</v>
      </c>
      <c r="M173" s="510">
        <f t="shared" si="0"/>
        <v>0</v>
      </c>
      <c r="N173" s="510">
        <f t="shared" si="1"/>
        <v>0</v>
      </c>
      <c r="O173" s="510">
        <f t="shared" si="2"/>
        <v>16.559999999999999</v>
      </c>
      <c r="P173" s="510">
        <f t="shared" si="3"/>
        <v>0</v>
      </c>
      <c r="Q173" s="510">
        <f t="shared" si="4"/>
        <v>0</v>
      </c>
      <c r="R173" s="510">
        <f t="shared" si="5"/>
        <v>0</v>
      </c>
    </row>
    <row r="174" spans="1:18">
      <c r="A174" s="505"/>
      <c r="B174" s="511" t="s">
        <v>774</v>
      </c>
      <c r="C174" s="507">
        <v>16</v>
      </c>
      <c r="D174" s="508"/>
      <c r="E174" s="507">
        <v>2</v>
      </c>
      <c r="F174" s="502">
        <v>2</v>
      </c>
      <c r="G174" s="502">
        <v>2</v>
      </c>
      <c r="H174" s="503">
        <v>0.3</v>
      </c>
      <c r="I174" s="503">
        <f>1.8-0.03</f>
        <v>1.77</v>
      </c>
      <c r="J174" s="509"/>
      <c r="K174" s="509"/>
      <c r="L174" s="510">
        <f t="shared" si="108"/>
        <v>2.0699999999999998</v>
      </c>
      <c r="M174" s="510">
        <f t="shared" si="0"/>
        <v>0</v>
      </c>
      <c r="N174" s="510">
        <f t="shared" si="1"/>
        <v>0</v>
      </c>
      <c r="O174" s="510">
        <f t="shared" si="2"/>
        <v>0</v>
      </c>
      <c r="P174" s="510">
        <f t="shared" si="3"/>
        <v>16.559999999999999</v>
      </c>
      <c r="Q174" s="510">
        <f t="shared" si="4"/>
        <v>0</v>
      </c>
      <c r="R174" s="510">
        <f t="shared" si="5"/>
        <v>0</v>
      </c>
    </row>
    <row r="175" spans="1:18">
      <c r="A175" s="505"/>
      <c r="B175" s="511" t="s">
        <v>777</v>
      </c>
      <c r="C175" s="507">
        <v>8</v>
      </c>
      <c r="D175" s="508">
        <v>100</v>
      </c>
      <c r="E175" s="507">
        <v>2</v>
      </c>
      <c r="F175" s="502">
        <v>1</v>
      </c>
      <c r="G175" s="502">
        <f>+ROUND(1.8/0.1,0)</f>
        <v>18</v>
      </c>
      <c r="H175" s="503"/>
      <c r="I175" s="516">
        <f t="shared" ref="I175:I176" si="109">2*(0.14+0.39)+16*C175/1000</f>
        <v>1.1880000000000002</v>
      </c>
      <c r="J175" s="509"/>
      <c r="K175" s="481"/>
      <c r="L175" s="510">
        <f t="shared" ref="L175:L177" si="110">SUM(H175:J175)+K175</f>
        <v>1.1880000000000002</v>
      </c>
      <c r="M175" s="510">
        <f t="shared" si="0"/>
        <v>42.77</v>
      </c>
      <c r="N175" s="510">
        <f t="shared" si="1"/>
        <v>0</v>
      </c>
      <c r="O175" s="510">
        <f t="shared" si="2"/>
        <v>0</v>
      </c>
      <c r="P175" s="510">
        <f t="shared" si="3"/>
        <v>0</v>
      </c>
      <c r="Q175" s="510">
        <f t="shared" si="4"/>
        <v>0</v>
      </c>
      <c r="R175" s="510">
        <f t="shared" si="5"/>
        <v>0</v>
      </c>
    </row>
    <row r="176" spans="1:18">
      <c r="A176" s="505"/>
      <c r="B176" s="511"/>
      <c r="C176" s="507">
        <v>8</v>
      </c>
      <c r="D176" s="508">
        <v>150</v>
      </c>
      <c r="E176" s="507">
        <v>2</v>
      </c>
      <c r="F176" s="502">
        <v>1</v>
      </c>
      <c r="G176" s="502">
        <f>+ROUND(3.325/0.15+1,0)</f>
        <v>23</v>
      </c>
      <c r="H176" s="503"/>
      <c r="I176" s="516">
        <f t="shared" si="109"/>
        <v>1.1880000000000002</v>
      </c>
      <c r="J176" s="509"/>
      <c r="K176" s="481"/>
      <c r="L176" s="510">
        <f t="shared" si="110"/>
        <v>1.1880000000000002</v>
      </c>
      <c r="M176" s="510">
        <f t="shared" si="0"/>
        <v>54.65</v>
      </c>
      <c r="N176" s="510">
        <f t="shared" si="1"/>
        <v>0</v>
      </c>
      <c r="O176" s="510">
        <f t="shared" si="2"/>
        <v>0</v>
      </c>
      <c r="P176" s="510">
        <f t="shared" si="3"/>
        <v>0</v>
      </c>
      <c r="Q176" s="510">
        <f t="shared" si="4"/>
        <v>0</v>
      </c>
      <c r="R176" s="510">
        <f t="shared" si="5"/>
        <v>0</v>
      </c>
    </row>
    <row r="177" spans="1:18">
      <c r="A177" s="505" t="s">
        <v>772</v>
      </c>
      <c r="B177" s="506" t="s">
        <v>697</v>
      </c>
      <c r="C177" s="507"/>
      <c r="D177" s="508"/>
      <c r="E177" s="507"/>
      <c r="F177" s="502"/>
      <c r="G177" s="502"/>
      <c r="H177" s="503"/>
      <c r="I177" s="503"/>
      <c r="J177" s="509"/>
      <c r="K177" s="509"/>
      <c r="L177" s="510">
        <f t="shared" si="110"/>
        <v>0</v>
      </c>
      <c r="M177" s="510">
        <f t="shared" si="0"/>
        <v>0</v>
      </c>
      <c r="N177" s="510">
        <f t="shared" si="1"/>
        <v>0</v>
      </c>
      <c r="O177" s="510">
        <f t="shared" si="2"/>
        <v>0</v>
      </c>
      <c r="P177" s="510">
        <f t="shared" si="3"/>
        <v>0</v>
      </c>
      <c r="Q177" s="510">
        <f t="shared" si="4"/>
        <v>0</v>
      </c>
      <c r="R177" s="510">
        <f t="shared" si="5"/>
        <v>0</v>
      </c>
    </row>
    <row r="178" spans="1:18">
      <c r="A178" s="505"/>
      <c r="B178" s="511" t="s">
        <v>740</v>
      </c>
      <c r="C178" s="507">
        <v>20</v>
      </c>
      <c r="D178" s="508"/>
      <c r="E178" s="507">
        <v>2</v>
      </c>
      <c r="F178" s="502">
        <v>1</v>
      </c>
      <c r="G178" s="502">
        <v>2</v>
      </c>
      <c r="H178" s="503">
        <v>0.3</v>
      </c>
      <c r="I178" s="503">
        <f>1.93-0.06</f>
        <v>1.8699999999999999</v>
      </c>
      <c r="J178" s="509">
        <v>0.3</v>
      </c>
      <c r="K178" s="509"/>
      <c r="L178" s="510">
        <f>SUM(H178:J178)+K178</f>
        <v>2.4699999999999998</v>
      </c>
      <c r="M178" s="510">
        <f t="shared" si="0"/>
        <v>0</v>
      </c>
      <c r="N178" s="510">
        <f t="shared" si="1"/>
        <v>0</v>
      </c>
      <c r="O178" s="510">
        <f t="shared" si="2"/>
        <v>0</v>
      </c>
      <c r="P178" s="510">
        <f t="shared" si="3"/>
        <v>0</v>
      </c>
      <c r="Q178" s="510">
        <f t="shared" si="4"/>
        <v>9.8800000000000008</v>
      </c>
      <c r="R178" s="510">
        <f t="shared" si="5"/>
        <v>0</v>
      </c>
    </row>
    <row r="179" spans="1:18">
      <c r="A179" s="505"/>
      <c r="B179" s="511" t="s">
        <v>773</v>
      </c>
      <c r="C179" s="507">
        <v>20</v>
      </c>
      <c r="D179" s="508"/>
      <c r="E179" s="507">
        <v>2</v>
      </c>
      <c r="F179" s="502">
        <v>1</v>
      </c>
      <c r="G179" s="502">
        <v>2</v>
      </c>
      <c r="H179" s="503">
        <v>0.3</v>
      </c>
      <c r="I179" s="503">
        <f>1.93-0.06</f>
        <v>1.8699999999999999</v>
      </c>
      <c r="J179" s="509">
        <v>0.3</v>
      </c>
      <c r="K179" s="509"/>
      <c r="L179" s="510">
        <f t="shared" ref="L179" si="111">SUM(H179:J179)+K179</f>
        <v>2.4699999999999998</v>
      </c>
      <c r="M179" s="510">
        <f t="shared" si="0"/>
        <v>0</v>
      </c>
      <c r="N179" s="510">
        <f t="shared" si="1"/>
        <v>0</v>
      </c>
      <c r="O179" s="510">
        <f t="shared" si="2"/>
        <v>0</v>
      </c>
      <c r="P179" s="510">
        <f t="shared" si="3"/>
        <v>0</v>
      </c>
      <c r="Q179" s="510">
        <f t="shared" si="4"/>
        <v>9.8800000000000008</v>
      </c>
      <c r="R179" s="510">
        <f t="shared" si="5"/>
        <v>0</v>
      </c>
    </row>
    <row r="180" spans="1:18">
      <c r="A180" s="505"/>
      <c r="B180" s="511" t="s">
        <v>777</v>
      </c>
      <c r="C180" s="507">
        <v>8</v>
      </c>
      <c r="D180" s="508">
        <v>125</v>
      </c>
      <c r="E180" s="507">
        <v>2</v>
      </c>
      <c r="F180" s="502">
        <v>1</v>
      </c>
      <c r="G180" s="502">
        <f>+ROUND(1.4/0.125+1,0)</f>
        <v>12</v>
      </c>
      <c r="H180" s="503"/>
      <c r="I180" s="516">
        <f t="shared" ref="I180" si="112">2*(0.14+0.39)+16*C180/1000</f>
        <v>1.1880000000000002</v>
      </c>
      <c r="J180" s="509"/>
      <c r="K180" s="481"/>
      <c r="L180" s="510">
        <f t="shared" ref="L180" si="113">SUM(H180:J180)+K180</f>
        <v>1.1880000000000002</v>
      </c>
      <c r="M180" s="510">
        <f t="shared" si="0"/>
        <v>28.51</v>
      </c>
      <c r="N180" s="510">
        <f t="shared" si="1"/>
        <v>0</v>
      </c>
      <c r="O180" s="510">
        <f t="shared" si="2"/>
        <v>0</v>
      </c>
      <c r="P180" s="510">
        <f t="shared" si="3"/>
        <v>0</v>
      </c>
      <c r="Q180" s="510">
        <f t="shared" si="4"/>
        <v>0</v>
      </c>
      <c r="R180" s="510">
        <f t="shared" si="5"/>
        <v>0</v>
      </c>
    </row>
    <row r="181" spans="1:18">
      <c r="A181" s="505" t="s">
        <v>772</v>
      </c>
      <c r="B181" s="506" t="s">
        <v>698</v>
      </c>
      <c r="C181" s="507"/>
      <c r="D181" s="508"/>
      <c r="E181" s="507"/>
      <c r="F181" s="502"/>
      <c r="G181" s="502"/>
      <c r="H181" s="503"/>
      <c r="I181" s="503"/>
      <c r="J181" s="509"/>
      <c r="K181" s="509"/>
      <c r="L181" s="510">
        <f t="shared" ref="L181" si="114">SUM(H181:J181)+K181</f>
        <v>0</v>
      </c>
      <c r="M181" s="510">
        <f t="shared" si="0"/>
        <v>0</v>
      </c>
      <c r="N181" s="510">
        <f t="shared" si="1"/>
        <v>0</v>
      </c>
      <c r="O181" s="510">
        <f t="shared" si="2"/>
        <v>0</v>
      </c>
      <c r="P181" s="510">
        <f t="shared" si="3"/>
        <v>0</v>
      </c>
      <c r="Q181" s="510">
        <f t="shared" si="4"/>
        <v>0</v>
      </c>
      <c r="R181" s="510">
        <f t="shared" si="5"/>
        <v>0</v>
      </c>
    </row>
    <row r="182" spans="1:18">
      <c r="A182" s="505"/>
      <c r="B182" s="511" t="s">
        <v>740</v>
      </c>
      <c r="C182" s="507">
        <v>16</v>
      </c>
      <c r="D182" s="508"/>
      <c r="E182" s="507">
        <v>2</v>
      </c>
      <c r="F182" s="502">
        <v>1</v>
      </c>
      <c r="G182" s="502">
        <v>2</v>
      </c>
      <c r="H182" s="503">
        <v>0.3</v>
      </c>
      <c r="I182" s="503">
        <f>11.355-0.06</f>
        <v>11.295</v>
      </c>
      <c r="J182" s="509">
        <v>0.3</v>
      </c>
      <c r="K182" s="509"/>
      <c r="L182" s="510">
        <f>SUM(H182:J182)+K182</f>
        <v>11.895000000000001</v>
      </c>
      <c r="M182" s="510">
        <f t="shared" si="0"/>
        <v>0</v>
      </c>
      <c r="N182" s="510">
        <f t="shared" si="1"/>
        <v>0</v>
      </c>
      <c r="O182" s="510">
        <f t="shared" si="2"/>
        <v>0</v>
      </c>
      <c r="P182" s="510">
        <f t="shared" si="3"/>
        <v>47.58</v>
      </c>
      <c r="Q182" s="510">
        <f t="shared" si="4"/>
        <v>0</v>
      </c>
      <c r="R182" s="510">
        <f t="shared" si="5"/>
        <v>0</v>
      </c>
    </row>
    <row r="183" spans="1:18">
      <c r="A183" s="505"/>
      <c r="B183" s="511" t="s">
        <v>773</v>
      </c>
      <c r="C183" s="507">
        <v>16</v>
      </c>
      <c r="D183" s="508"/>
      <c r="E183" s="507">
        <v>2</v>
      </c>
      <c r="F183" s="502">
        <v>1</v>
      </c>
      <c r="G183" s="502">
        <v>2</v>
      </c>
      <c r="H183" s="503">
        <v>0.3</v>
      </c>
      <c r="I183" s="503">
        <f>11.355-0.06</f>
        <v>11.295</v>
      </c>
      <c r="J183" s="509">
        <v>0.3</v>
      </c>
      <c r="K183" s="509"/>
      <c r="L183" s="510">
        <f t="shared" ref="L183" si="115">SUM(H183:J183)+K183</f>
        <v>11.895000000000001</v>
      </c>
      <c r="M183" s="510">
        <f t="shared" si="0"/>
        <v>0</v>
      </c>
      <c r="N183" s="510">
        <f t="shared" si="1"/>
        <v>0</v>
      </c>
      <c r="O183" s="510">
        <f t="shared" si="2"/>
        <v>0</v>
      </c>
      <c r="P183" s="510">
        <f t="shared" si="3"/>
        <v>47.58</v>
      </c>
      <c r="Q183" s="510">
        <f t="shared" si="4"/>
        <v>0</v>
      </c>
      <c r="R183" s="510">
        <f t="shared" si="5"/>
        <v>0</v>
      </c>
    </row>
    <row r="184" spans="1:18">
      <c r="A184" s="505"/>
      <c r="B184" s="511" t="s">
        <v>777</v>
      </c>
      <c r="C184" s="507">
        <v>8</v>
      </c>
      <c r="D184" s="508">
        <v>100</v>
      </c>
      <c r="E184" s="507">
        <v>2</v>
      </c>
      <c r="F184" s="502">
        <v>1</v>
      </c>
      <c r="G184" s="502">
        <f>+ROUND(3.95/0.1+1,0)</f>
        <v>41</v>
      </c>
      <c r="H184" s="503"/>
      <c r="I184" s="516">
        <f t="shared" ref="I184:I185" si="116">2*(0.14+0.39)+16*C184/1000</f>
        <v>1.1880000000000002</v>
      </c>
      <c r="J184" s="509"/>
      <c r="K184" s="481"/>
      <c r="L184" s="510">
        <f t="shared" ref="L184" si="117">SUM(H184:J184)+K184</f>
        <v>1.1880000000000002</v>
      </c>
      <c r="M184" s="510">
        <f t="shared" si="0"/>
        <v>97.42</v>
      </c>
      <c r="N184" s="510">
        <f t="shared" si="1"/>
        <v>0</v>
      </c>
      <c r="O184" s="510">
        <f t="shared" si="2"/>
        <v>0</v>
      </c>
      <c r="P184" s="510">
        <f t="shared" si="3"/>
        <v>0</v>
      </c>
      <c r="Q184" s="510">
        <f t="shared" si="4"/>
        <v>0</v>
      </c>
      <c r="R184" s="510">
        <f t="shared" si="5"/>
        <v>0</v>
      </c>
    </row>
    <row r="185" spans="1:18">
      <c r="A185" s="505"/>
      <c r="B185" s="511" t="s">
        <v>777</v>
      </c>
      <c r="C185" s="507">
        <v>8</v>
      </c>
      <c r="D185" s="508">
        <v>100</v>
      </c>
      <c r="E185" s="507">
        <v>2</v>
      </c>
      <c r="F185" s="502">
        <v>1</v>
      </c>
      <c r="G185" s="502">
        <f>+ROUND(2.875/0.1+1,0)</f>
        <v>30</v>
      </c>
      <c r="H185" s="503"/>
      <c r="I185" s="516">
        <f t="shared" si="116"/>
        <v>1.1880000000000002</v>
      </c>
      <c r="J185" s="509"/>
      <c r="K185" s="481"/>
      <c r="L185" s="510">
        <f t="shared" ref="L185" si="118">SUM(H185:J185)+K185</f>
        <v>1.1880000000000002</v>
      </c>
      <c r="M185" s="510">
        <f t="shared" si="0"/>
        <v>71.28</v>
      </c>
      <c r="N185" s="510">
        <f t="shared" si="1"/>
        <v>0</v>
      </c>
      <c r="O185" s="510">
        <f t="shared" si="2"/>
        <v>0</v>
      </c>
      <c r="P185" s="510">
        <f t="shared" si="3"/>
        <v>0</v>
      </c>
      <c r="Q185" s="510">
        <f t="shared" si="4"/>
        <v>0</v>
      </c>
      <c r="R185" s="510">
        <f t="shared" si="5"/>
        <v>0</v>
      </c>
    </row>
    <row r="186" spans="1:18">
      <c r="A186" s="505"/>
      <c r="B186" s="511" t="s">
        <v>781</v>
      </c>
      <c r="C186" s="507">
        <v>8</v>
      </c>
      <c r="D186" s="508">
        <v>100</v>
      </c>
      <c r="E186" s="507">
        <v>2</v>
      </c>
      <c r="F186" s="502">
        <v>1</v>
      </c>
      <c r="G186" s="502">
        <f>+ROUND(1.8/0.1,0)</f>
        <v>18</v>
      </c>
      <c r="H186" s="503"/>
      <c r="I186" s="503">
        <f>2*(0.17+0.39)+24*C186/1000</f>
        <v>1.3120000000000001</v>
      </c>
      <c r="J186" s="509"/>
      <c r="K186" s="481"/>
      <c r="L186" s="510">
        <f t="shared" ref="L186:L187" si="119">SUM(H186:J186)+K186</f>
        <v>1.3120000000000001</v>
      </c>
      <c r="M186" s="510">
        <f t="shared" si="0"/>
        <v>47.23</v>
      </c>
      <c r="N186" s="510">
        <f t="shared" si="1"/>
        <v>0</v>
      </c>
      <c r="O186" s="510">
        <f t="shared" si="2"/>
        <v>0</v>
      </c>
      <c r="P186" s="510">
        <f t="shared" si="3"/>
        <v>0</v>
      </c>
      <c r="Q186" s="510">
        <f t="shared" si="4"/>
        <v>0</v>
      </c>
      <c r="R186" s="510">
        <f t="shared" si="5"/>
        <v>0</v>
      </c>
    </row>
    <row r="187" spans="1:18">
      <c r="A187" s="505"/>
      <c r="B187" s="511" t="s">
        <v>781</v>
      </c>
      <c r="C187" s="507">
        <v>8</v>
      </c>
      <c r="D187" s="508">
        <v>150</v>
      </c>
      <c r="E187" s="507">
        <v>2</v>
      </c>
      <c r="F187" s="502">
        <v>1</v>
      </c>
      <c r="G187" s="502">
        <f>+ROUND(1.13/0.15+1,0)</f>
        <v>9</v>
      </c>
      <c r="H187" s="503"/>
      <c r="I187" s="503">
        <f>2*(0.17+0.39)+24*C187/1000</f>
        <v>1.3120000000000001</v>
      </c>
      <c r="J187" s="509"/>
      <c r="K187" s="481"/>
      <c r="L187" s="510">
        <f t="shared" si="119"/>
        <v>1.3120000000000001</v>
      </c>
      <c r="M187" s="510">
        <f t="shared" si="0"/>
        <v>23.62</v>
      </c>
      <c r="N187" s="510">
        <f t="shared" si="1"/>
        <v>0</v>
      </c>
      <c r="O187" s="510">
        <f t="shared" si="2"/>
        <v>0</v>
      </c>
      <c r="P187" s="510">
        <f t="shared" si="3"/>
        <v>0</v>
      </c>
      <c r="Q187" s="510">
        <f t="shared" si="4"/>
        <v>0</v>
      </c>
      <c r="R187" s="510">
        <f t="shared" si="5"/>
        <v>0</v>
      </c>
    </row>
    <row r="188" spans="1:18">
      <c r="A188" s="505" t="s">
        <v>779</v>
      </c>
      <c r="B188" s="506" t="s">
        <v>699</v>
      </c>
      <c r="C188" s="507"/>
      <c r="D188" s="508"/>
      <c r="E188" s="507"/>
      <c r="F188" s="502"/>
      <c r="G188" s="502"/>
      <c r="H188" s="503"/>
      <c r="I188" s="503"/>
      <c r="J188" s="509"/>
      <c r="K188" s="509"/>
      <c r="L188" s="510">
        <f t="shared" ref="L188" si="120">SUM(H188:J188)+K188</f>
        <v>0</v>
      </c>
      <c r="M188" s="510">
        <f t="shared" si="0"/>
        <v>0</v>
      </c>
      <c r="N188" s="510">
        <f t="shared" si="1"/>
        <v>0</v>
      </c>
      <c r="O188" s="510">
        <f t="shared" si="2"/>
        <v>0</v>
      </c>
      <c r="P188" s="510">
        <f t="shared" si="3"/>
        <v>0</v>
      </c>
      <c r="Q188" s="510">
        <f t="shared" si="4"/>
        <v>0</v>
      </c>
      <c r="R188" s="510">
        <f t="shared" si="5"/>
        <v>0</v>
      </c>
    </row>
    <row r="189" spans="1:18">
      <c r="A189" s="505"/>
      <c r="B189" s="511" t="s">
        <v>740</v>
      </c>
      <c r="C189" s="507">
        <v>16</v>
      </c>
      <c r="D189" s="508"/>
      <c r="E189" s="507">
        <v>1</v>
      </c>
      <c r="F189" s="502">
        <v>1</v>
      </c>
      <c r="G189" s="502">
        <v>2</v>
      </c>
      <c r="H189" s="524">
        <v>0.3</v>
      </c>
      <c r="I189" s="524">
        <f>18.91-0.06</f>
        <v>18.850000000000001</v>
      </c>
      <c r="J189" s="525">
        <v>0.3</v>
      </c>
      <c r="K189" s="525">
        <f>49*C189/1000</f>
        <v>0.78400000000000003</v>
      </c>
      <c r="L189" s="510">
        <f>SUM(H189:J189)+K189</f>
        <v>20.234000000000002</v>
      </c>
      <c r="M189" s="510">
        <f t="shared" si="0"/>
        <v>0</v>
      </c>
      <c r="N189" s="510">
        <f t="shared" si="1"/>
        <v>0</v>
      </c>
      <c r="O189" s="510">
        <f t="shared" si="2"/>
        <v>0</v>
      </c>
      <c r="P189" s="510">
        <f t="shared" si="3"/>
        <v>40.47</v>
      </c>
      <c r="Q189" s="510">
        <f t="shared" si="4"/>
        <v>0</v>
      </c>
      <c r="R189" s="510">
        <f t="shared" si="5"/>
        <v>0</v>
      </c>
    </row>
    <row r="190" spans="1:18">
      <c r="A190" s="505"/>
      <c r="B190" s="511" t="s">
        <v>773</v>
      </c>
      <c r="C190" s="507">
        <v>16</v>
      </c>
      <c r="D190" s="508"/>
      <c r="E190" s="507">
        <v>1</v>
      </c>
      <c r="F190" s="502">
        <v>1</v>
      </c>
      <c r="G190" s="502">
        <v>2</v>
      </c>
      <c r="H190" s="524">
        <v>0.3</v>
      </c>
      <c r="I190" s="524">
        <f>18.91-0.06</f>
        <v>18.850000000000001</v>
      </c>
      <c r="J190" s="525">
        <v>0.3</v>
      </c>
      <c r="K190" s="525">
        <f>49*C190/1000</f>
        <v>0.78400000000000003</v>
      </c>
      <c r="L190" s="510">
        <f t="shared" ref="L190" si="121">SUM(H190:J190)+K190</f>
        <v>20.234000000000002</v>
      </c>
      <c r="M190" s="510">
        <f t="shared" si="0"/>
        <v>0</v>
      </c>
      <c r="N190" s="510">
        <f t="shared" si="1"/>
        <v>0</v>
      </c>
      <c r="O190" s="510">
        <f t="shared" si="2"/>
        <v>0</v>
      </c>
      <c r="P190" s="510">
        <f t="shared" si="3"/>
        <v>40.47</v>
      </c>
      <c r="Q190" s="510">
        <f t="shared" si="4"/>
        <v>0</v>
      </c>
      <c r="R190" s="510">
        <f t="shared" si="5"/>
        <v>0</v>
      </c>
    </row>
    <row r="191" spans="1:18">
      <c r="A191" s="505"/>
      <c r="B191" s="511" t="s">
        <v>781</v>
      </c>
      <c r="C191" s="507">
        <v>8</v>
      </c>
      <c r="D191" s="508">
        <v>100</v>
      </c>
      <c r="E191" s="507">
        <v>1</v>
      </c>
      <c r="F191" s="502">
        <v>2</v>
      </c>
      <c r="G191" s="502">
        <f>+ROUND(0.315/0.1+1,0)</f>
        <v>4</v>
      </c>
      <c r="H191" s="524"/>
      <c r="I191" s="516">
        <f>2*(0.17+0.39)+16*C191/1000</f>
        <v>1.2480000000000002</v>
      </c>
      <c r="J191" s="525"/>
      <c r="K191" s="467"/>
      <c r="L191" s="510">
        <f t="shared" ref="L191:L195" si="122">SUM(H191:J191)+K191</f>
        <v>1.2480000000000002</v>
      </c>
      <c r="M191" s="510">
        <f t="shared" si="0"/>
        <v>9.98</v>
      </c>
      <c r="N191" s="510">
        <f t="shared" si="1"/>
        <v>0</v>
      </c>
      <c r="O191" s="510">
        <f t="shared" si="2"/>
        <v>0</v>
      </c>
      <c r="P191" s="510">
        <f t="shared" si="3"/>
        <v>0</v>
      </c>
      <c r="Q191" s="510">
        <f t="shared" si="4"/>
        <v>0</v>
      </c>
      <c r="R191" s="510">
        <f t="shared" si="5"/>
        <v>0</v>
      </c>
    </row>
    <row r="192" spans="1:18">
      <c r="A192" s="505"/>
      <c r="B192" s="511" t="s">
        <v>781</v>
      </c>
      <c r="C192" s="507">
        <v>8</v>
      </c>
      <c r="D192" s="508">
        <v>100</v>
      </c>
      <c r="E192" s="507">
        <v>1</v>
      </c>
      <c r="F192" s="502">
        <v>2</v>
      </c>
      <c r="G192" s="502">
        <f>+ROUND(2.345/0.1,0)</f>
        <v>23</v>
      </c>
      <c r="H192" s="524"/>
      <c r="I192" s="516">
        <f t="shared" ref="I192:I195" si="123">2*(0.17+0.39)+16*C192/1000</f>
        <v>1.2480000000000002</v>
      </c>
      <c r="J192" s="525"/>
      <c r="K192" s="467"/>
      <c r="L192" s="510">
        <f t="shared" si="122"/>
        <v>1.2480000000000002</v>
      </c>
      <c r="M192" s="510">
        <f t="shared" si="0"/>
        <v>57.41</v>
      </c>
      <c r="N192" s="510">
        <f t="shared" si="1"/>
        <v>0</v>
      </c>
      <c r="O192" s="510">
        <f t="shared" si="2"/>
        <v>0</v>
      </c>
      <c r="P192" s="510">
        <f t="shared" si="3"/>
        <v>0</v>
      </c>
      <c r="Q192" s="510">
        <f t="shared" si="4"/>
        <v>0</v>
      </c>
      <c r="R192" s="510">
        <f t="shared" si="5"/>
        <v>0</v>
      </c>
    </row>
    <row r="193" spans="1:18">
      <c r="A193" s="505"/>
      <c r="B193" s="511" t="s">
        <v>781</v>
      </c>
      <c r="C193" s="507">
        <v>8</v>
      </c>
      <c r="D193" s="508">
        <v>150</v>
      </c>
      <c r="E193" s="507">
        <v>1</v>
      </c>
      <c r="F193" s="502">
        <v>2</v>
      </c>
      <c r="G193" s="502">
        <f>+ROUND(2.345/0.15+1,0)</f>
        <v>17</v>
      </c>
      <c r="H193" s="524"/>
      <c r="I193" s="516">
        <f t="shared" si="123"/>
        <v>1.2480000000000002</v>
      </c>
      <c r="J193" s="525"/>
      <c r="K193" s="467"/>
      <c r="L193" s="510">
        <f t="shared" si="122"/>
        <v>1.2480000000000002</v>
      </c>
      <c r="M193" s="510">
        <f t="shared" si="0"/>
        <v>42.43</v>
      </c>
      <c r="N193" s="510">
        <f t="shared" si="1"/>
        <v>0</v>
      </c>
      <c r="O193" s="510">
        <f t="shared" si="2"/>
        <v>0</v>
      </c>
      <c r="P193" s="510">
        <f t="shared" si="3"/>
        <v>0</v>
      </c>
      <c r="Q193" s="510">
        <f t="shared" si="4"/>
        <v>0</v>
      </c>
      <c r="R193" s="510">
        <f t="shared" si="5"/>
        <v>0</v>
      </c>
    </row>
    <row r="194" spans="1:18">
      <c r="A194" s="505"/>
      <c r="B194" s="511" t="s">
        <v>781</v>
      </c>
      <c r="C194" s="507">
        <v>8</v>
      </c>
      <c r="D194" s="508">
        <v>100</v>
      </c>
      <c r="E194" s="507">
        <v>1</v>
      </c>
      <c r="F194" s="502">
        <v>1</v>
      </c>
      <c r="G194" s="502">
        <f>+ROUND(3.15/0.1,0)</f>
        <v>32</v>
      </c>
      <c r="H194" s="524"/>
      <c r="I194" s="516">
        <f t="shared" si="123"/>
        <v>1.2480000000000002</v>
      </c>
      <c r="J194" s="525"/>
      <c r="K194" s="467"/>
      <c r="L194" s="510">
        <f t="shared" si="122"/>
        <v>1.2480000000000002</v>
      </c>
      <c r="M194" s="510">
        <f t="shared" si="0"/>
        <v>39.94</v>
      </c>
      <c r="N194" s="510">
        <f t="shared" si="1"/>
        <v>0</v>
      </c>
      <c r="O194" s="510">
        <f t="shared" si="2"/>
        <v>0</v>
      </c>
      <c r="P194" s="510">
        <f t="shared" si="3"/>
        <v>0</v>
      </c>
      <c r="Q194" s="510">
        <f t="shared" si="4"/>
        <v>0</v>
      </c>
      <c r="R194" s="510">
        <f t="shared" si="5"/>
        <v>0</v>
      </c>
    </row>
    <row r="195" spans="1:18">
      <c r="A195" s="505"/>
      <c r="B195" s="511" t="s">
        <v>781</v>
      </c>
      <c r="C195" s="507">
        <v>8</v>
      </c>
      <c r="D195" s="508">
        <v>150</v>
      </c>
      <c r="E195" s="507">
        <v>1</v>
      </c>
      <c r="F195" s="502">
        <v>1</v>
      </c>
      <c r="G195" s="502">
        <f>+ROUND(3.15/0.15+1,0)</f>
        <v>22</v>
      </c>
      <c r="H195" s="524"/>
      <c r="I195" s="516">
        <f t="shared" si="123"/>
        <v>1.2480000000000002</v>
      </c>
      <c r="J195" s="525"/>
      <c r="K195" s="467"/>
      <c r="L195" s="510">
        <f t="shared" si="122"/>
        <v>1.2480000000000002</v>
      </c>
      <c r="M195" s="510">
        <f t="shared" si="0"/>
        <v>27.46</v>
      </c>
      <c r="N195" s="510">
        <f t="shared" si="1"/>
        <v>0</v>
      </c>
      <c r="O195" s="510">
        <f t="shared" si="2"/>
        <v>0</v>
      </c>
      <c r="P195" s="510">
        <f t="shared" si="3"/>
        <v>0</v>
      </c>
      <c r="Q195" s="510">
        <f t="shared" si="4"/>
        <v>0</v>
      </c>
      <c r="R195" s="510">
        <f t="shared" si="5"/>
        <v>0</v>
      </c>
    </row>
    <row r="196" spans="1:18">
      <c r="A196" s="505"/>
      <c r="B196" s="511"/>
      <c r="C196" s="507"/>
      <c r="D196" s="508"/>
      <c r="E196" s="507"/>
      <c r="F196" s="502"/>
      <c r="G196" s="502"/>
      <c r="H196" s="503"/>
      <c r="I196" s="503"/>
      <c r="J196" s="509"/>
      <c r="K196" s="481"/>
      <c r="L196" s="510"/>
      <c r="M196" s="510"/>
      <c r="N196" s="510"/>
      <c r="O196" s="510"/>
      <c r="P196" s="510"/>
      <c r="Q196" s="510"/>
      <c r="R196" s="510"/>
    </row>
    <row r="197" spans="1:18">
      <c r="A197" s="505"/>
      <c r="B197" s="511"/>
      <c r="C197" s="507"/>
      <c r="D197" s="508"/>
      <c r="E197" s="507"/>
      <c r="F197" s="502"/>
      <c r="G197" s="502"/>
      <c r="H197" s="503"/>
      <c r="I197" s="503"/>
      <c r="J197" s="509"/>
      <c r="K197" s="481"/>
      <c r="L197" s="510"/>
      <c r="M197" s="510"/>
      <c r="N197" s="510"/>
      <c r="O197" s="510"/>
      <c r="P197" s="510"/>
      <c r="Q197" s="510"/>
      <c r="R197" s="510"/>
    </row>
    <row r="198" spans="1:18">
      <c r="A198" s="505" t="s">
        <v>779</v>
      </c>
      <c r="B198" s="506" t="s">
        <v>700</v>
      </c>
      <c r="C198" s="507"/>
      <c r="D198" s="508"/>
      <c r="E198" s="507"/>
      <c r="F198" s="502"/>
      <c r="G198" s="502"/>
      <c r="H198" s="503"/>
      <c r="I198" s="503"/>
      <c r="J198" s="509"/>
      <c r="K198" s="509"/>
      <c r="L198" s="510">
        <f t="shared" ref="L198" si="124">SUM(H198:J198)+K198</f>
        <v>0</v>
      </c>
      <c r="M198" s="510">
        <f t="shared" si="0"/>
        <v>0</v>
      </c>
      <c r="N198" s="510">
        <f t="shared" si="1"/>
        <v>0</v>
      </c>
      <c r="O198" s="510">
        <f t="shared" si="2"/>
        <v>0</v>
      </c>
      <c r="P198" s="510">
        <f t="shared" si="3"/>
        <v>0</v>
      </c>
      <c r="Q198" s="510">
        <f t="shared" si="4"/>
        <v>0</v>
      </c>
      <c r="R198" s="510">
        <f t="shared" si="5"/>
        <v>0</v>
      </c>
    </row>
    <row r="199" spans="1:18">
      <c r="A199" s="505"/>
      <c r="B199" s="511" t="s">
        <v>740</v>
      </c>
      <c r="C199" s="507">
        <v>16</v>
      </c>
      <c r="D199" s="508"/>
      <c r="E199" s="507">
        <v>2</v>
      </c>
      <c r="F199" s="502">
        <v>1</v>
      </c>
      <c r="G199" s="502">
        <v>2</v>
      </c>
      <c r="H199" s="503">
        <v>0.3</v>
      </c>
      <c r="I199" s="503">
        <f>4.41-0.06</f>
        <v>4.3500000000000005</v>
      </c>
      <c r="J199" s="509">
        <v>0.3</v>
      </c>
      <c r="K199" s="509"/>
      <c r="L199" s="510">
        <f>SUM(H199:J199)+K199</f>
        <v>4.95</v>
      </c>
      <c r="M199" s="510">
        <f t="shared" si="0"/>
        <v>0</v>
      </c>
      <c r="N199" s="510">
        <f t="shared" si="1"/>
        <v>0</v>
      </c>
      <c r="O199" s="510">
        <f t="shared" si="2"/>
        <v>0</v>
      </c>
      <c r="P199" s="510">
        <f t="shared" si="3"/>
        <v>19.8</v>
      </c>
      <c r="Q199" s="510">
        <f t="shared" si="4"/>
        <v>0</v>
      </c>
      <c r="R199" s="510">
        <f t="shared" si="5"/>
        <v>0</v>
      </c>
    </row>
    <row r="200" spans="1:18">
      <c r="A200" s="505"/>
      <c r="B200" s="511" t="s">
        <v>773</v>
      </c>
      <c r="C200" s="507">
        <v>16</v>
      </c>
      <c r="D200" s="508"/>
      <c r="E200" s="507">
        <v>2</v>
      </c>
      <c r="F200" s="502">
        <v>1</v>
      </c>
      <c r="G200" s="502">
        <v>2</v>
      </c>
      <c r="H200" s="503">
        <v>0.3</v>
      </c>
      <c r="I200" s="503">
        <f>4.41-0.06</f>
        <v>4.3500000000000005</v>
      </c>
      <c r="J200" s="509">
        <v>0.3</v>
      </c>
      <c r="K200" s="509"/>
      <c r="L200" s="510">
        <f t="shared" ref="L200" si="125">SUM(H200:J200)+K200</f>
        <v>4.95</v>
      </c>
      <c r="M200" s="510">
        <f t="shared" si="0"/>
        <v>0</v>
      </c>
      <c r="N200" s="510">
        <f t="shared" si="1"/>
        <v>0</v>
      </c>
      <c r="O200" s="510">
        <f t="shared" si="2"/>
        <v>0</v>
      </c>
      <c r="P200" s="510">
        <f t="shared" si="3"/>
        <v>19.8</v>
      </c>
      <c r="Q200" s="510">
        <f t="shared" si="4"/>
        <v>0</v>
      </c>
      <c r="R200" s="510">
        <f t="shared" si="5"/>
        <v>0</v>
      </c>
    </row>
    <row r="201" spans="1:18">
      <c r="A201" s="505"/>
      <c r="B201" s="511" t="s">
        <v>781</v>
      </c>
      <c r="C201" s="507">
        <v>8</v>
      </c>
      <c r="D201" s="508">
        <v>100</v>
      </c>
      <c r="E201" s="507">
        <v>2</v>
      </c>
      <c r="F201" s="502">
        <v>1</v>
      </c>
      <c r="G201" s="502">
        <f>+ROUND(1.8/0.1,0)</f>
        <v>18</v>
      </c>
      <c r="H201" s="503"/>
      <c r="I201" s="503">
        <f>2*(0.17+0.39)+16*C201/1000</f>
        <v>1.2480000000000002</v>
      </c>
      <c r="J201" s="509"/>
      <c r="K201" s="481"/>
      <c r="L201" s="510">
        <f t="shared" ref="L201" si="126">SUM(H201:J201)+K201</f>
        <v>1.2480000000000002</v>
      </c>
      <c r="M201" s="510">
        <f t="shared" si="0"/>
        <v>44.93</v>
      </c>
      <c r="N201" s="510">
        <f t="shared" si="1"/>
        <v>0</v>
      </c>
      <c r="O201" s="510">
        <f t="shared" si="2"/>
        <v>0</v>
      </c>
      <c r="P201" s="510">
        <f t="shared" si="3"/>
        <v>0</v>
      </c>
      <c r="Q201" s="510">
        <f t="shared" si="4"/>
        <v>0</v>
      </c>
      <c r="R201" s="510">
        <f t="shared" si="5"/>
        <v>0</v>
      </c>
    </row>
    <row r="202" spans="1:18">
      <c r="A202" s="505"/>
      <c r="B202" s="511"/>
      <c r="C202" s="507">
        <v>8</v>
      </c>
      <c r="D202" s="508">
        <v>150</v>
      </c>
      <c r="E202" s="507">
        <v>2</v>
      </c>
      <c r="F202" s="502">
        <v>1</v>
      </c>
      <c r="G202" s="502">
        <f>+ROUND(1.73/0.15+1,0)</f>
        <v>13</v>
      </c>
      <c r="H202" s="503"/>
      <c r="I202" s="503">
        <f>2*(0.17+0.39)+16*C202/1000</f>
        <v>1.2480000000000002</v>
      </c>
      <c r="J202" s="509"/>
      <c r="K202" s="481"/>
      <c r="L202" s="510">
        <f t="shared" si="100"/>
        <v>1.2480000000000002</v>
      </c>
      <c r="M202" s="510">
        <f t="shared" si="0"/>
        <v>32.450000000000003</v>
      </c>
      <c r="N202" s="510">
        <f t="shared" si="1"/>
        <v>0</v>
      </c>
      <c r="O202" s="510">
        <f t="shared" si="2"/>
        <v>0</v>
      </c>
      <c r="P202" s="510">
        <f t="shared" si="3"/>
        <v>0</v>
      </c>
      <c r="Q202" s="510">
        <f t="shared" si="4"/>
        <v>0</v>
      </c>
      <c r="R202" s="510">
        <f t="shared" si="5"/>
        <v>0</v>
      </c>
    </row>
    <row r="203" spans="1:18">
      <c r="A203" s="505" t="s">
        <v>772</v>
      </c>
      <c r="B203" s="506" t="s">
        <v>701</v>
      </c>
      <c r="C203" s="507"/>
      <c r="D203" s="508"/>
      <c r="E203" s="507"/>
      <c r="F203" s="502"/>
      <c r="G203" s="502"/>
      <c r="H203" s="503"/>
      <c r="I203" s="503"/>
      <c r="J203" s="509"/>
      <c r="K203" s="509"/>
      <c r="L203" s="510">
        <f t="shared" si="100"/>
        <v>0</v>
      </c>
      <c r="M203" s="510">
        <f t="shared" si="0"/>
        <v>0</v>
      </c>
      <c r="N203" s="510">
        <f t="shared" si="1"/>
        <v>0</v>
      </c>
      <c r="O203" s="510">
        <f t="shared" si="2"/>
        <v>0</v>
      </c>
      <c r="P203" s="510">
        <f t="shared" si="3"/>
        <v>0</v>
      </c>
      <c r="Q203" s="510">
        <f t="shared" si="4"/>
        <v>0</v>
      </c>
      <c r="R203" s="510">
        <f t="shared" si="5"/>
        <v>0</v>
      </c>
    </row>
    <row r="204" spans="1:18">
      <c r="A204" s="505"/>
      <c r="B204" s="511" t="s">
        <v>740</v>
      </c>
      <c r="C204" s="507">
        <v>12</v>
      </c>
      <c r="D204" s="508"/>
      <c r="E204" s="507">
        <v>2</v>
      </c>
      <c r="F204" s="502">
        <v>1</v>
      </c>
      <c r="G204" s="502">
        <v>2</v>
      </c>
      <c r="H204" s="503">
        <v>0.3</v>
      </c>
      <c r="I204" s="503">
        <f>3.835-0.06</f>
        <v>3.7749999999999999</v>
      </c>
      <c r="J204" s="509">
        <v>0.3</v>
      </c>
      <c r="K204" s="509"/>
      <c r="L204" s="510">
        <f>SUM(H204:J204)+K204</f>
        <v>4.375</v>
      </c>
      <c r="M204" s="510">
        <f t="shared" si="0"/>
        <v>0</v>
      </c>
      <c r="N204" s="510">
        <f t="shared" si="1"/>
        <v>0</v>
      </c>
      <c r="O204" s="510">
        <f t="shared" si="2"/>
        <v>17.5</v>
      </c>
      <c r="P204" s="510">
        <f t="shared" si="3"/>
        <v>0</v>
      </c>
      <c r="Q204" s="510">
        <f t="shared" si="4"/>
        <v>0</v>
      </c>
      <c r="R204" s="510">
        <f t="shared" si="5"/>
        <v>0</v>
      </c>
    </row>
    <row r="205" spans="1:18">
      <c r="A205" s="505"/>
      <c r="B205" s="511" t="s">
        <v>773</v>
      </c>
      <c r="C205" s="507">
        <v>12</v>
      </c>
      <c r="D205" s="508"/>
      <c r="E205" s="507">
        <v>2</v>
      </c>
      <c r="F205" s="502">
        <v>1</v>
      </c>
      <c r="G205" s="502">
        <v>2</v>
      </c>
      <c r="H205" s="503">
        <v>0.3</v>
      </c>
      <c r="I205" s="503">
        <f>3.835-0.06</f>
        <v>3.7749999999999999</v>
      </c>
      <c r="J205" s="509">
        <v>0.3</v>
      </c>
      <c r="K205" s="509"/>
      <c r="L205" s="510">
        <f t="shared" ref="L205" si="127">SUM(H205:J205)+K205</f>
        <v>4.375</v>
      </c>
      <c r="M205" s="510">
        <f t="shared" si="0"/>
        <v>0</v>
      </c>
      <c r="N205" s="510">
        <f t="shared" si="1"/>
        <v>0</v>
      </c>
      <c r="O205" s="510">
        <f t="shared" si="2"/>
        <v>17.5</v>
      </c>
      <c r="P205" s="510">
        <f t="shared" si="3"/>
        <v>0</v>
      </c>
      <c r="Q205" s="510">
        <f t="shared" si="4"/>
        <v>0</v>
      </c>
      <c r="R205" s="510">
        <f t="shared" si="5"/>
        <v>0</v>
      </c>
    </row>
    <row r="206" spans="1:18">
      <c r="A206" s="505"/>
      <c r="B206" s="511" t="s">
        <v>777</v>
      </c>
      <c r="C206" s="507">
        <v>8</v>
      </c>
      <c r="D206" s="508">
        <v>100</v>
      </c>
      <c r="E206" s="507">
        <v>2</v>
      </c>
      <c r="F206" s="502">
        <v>1</v>
      </c>
      <c r="G206" s="502">
        <f>+ROUND(1.8/0.1,0)</f>
        <v>18</v>
      </c>
      <c r="H206" s="503"/>
      <c r="I206" s="516">
        <f t="shared" ref="I206:I207" si="128">2*(0.14+0.39)+16*C206/1000</f>
        <v>1.1880000000000002</v>
      </c>
      <c r="J206" s="509"/>
      <c r="K206" s="481"/>
      <c r="L206" s="510">
        <f t="shared" ref="L206:L207" si="129">SUM(H206:J206)+K206</f>
        <v>1.1880000000000002</v>
      </c>
      <c r="M206" s="510">
        <f t="shared" si="0"/>
        <v>42.77</v>
      </c>
      <c r="N206" s="510">
        <f t="shared" si="1"/>
        <v>0</v>
      </c>
      <c r="O206" s="510">
        <f t="shared" si="2"/>
        <v>0</v>
      </c>
      <c r="P206" s="510">
        <f t="shared" si="3"/>
        <v>0</v>
      </c>
      <c r="Q206" s="510">
        <f t="shared" si="4"/>
        <v>0</v>
      </c>
      <c r="R206" s="510">
        <f t="shared" si="5"/>
        <v>0</v>
      </c>
    </row>
    <row r="207" spans="1:18">
      <c r="A207" s="505"/>
      <c r="B207" s="511"/>
      <c r="C207" s="507">
        <v>8</v>
      </c>
      <c r="D207" s="508">
        <v>150</v>
      </c>
      <c r="E207" s="507">
        <v>2</v>
      </c>
      <c r="F207" s="502">
        <v>1</v>
      </c>
      <c r="G207" s="502">
        <f>+ROUND(1.235/0.15+1,0)</f>
        <v>9</v>
      </c>
      <c r="H207" s="503"/>
      <c r="I207" s="516">
        <f t="shared" si="128"/>
        <v>1.1880000000000002</v>
      </c>
      <c r="J207" s="509"/>
      <c r="K207" s="481"/>
      <c r="L207" s="510">
        <f t="shared" si="129"/>
        <v>1.1880000000000002</v>
      </c>
      <c r="M207" s="510">
        <f t="shared" si="0"/>
        <v>21.38</v>
      </c>
      <c r="N207" s="510">
        <f t="shared" si="1"/>
        <v>0</v>
      </c>
      <c r="O207" s="510">
        <f t="shared" si="2"/>
        <v>0</v>
      </c>
      <c r="P207" s="510">
        <f t="shared" si="3"/>
        <v>0</v>
      </c>
      <c r="Q207" s="510">
        <f t="shared" si="4"/>
        <v>0</v>
      </c>
      <c r="R207" s="510">
        <f t="shared" si="5"/>
        <v>0</v>
      </c>
    </row>
    <row r="208" spans="1:18">
      <c r="A208" s="505" t="s">
        <v>772</v>
      </c>
      <c r="B208" s="506" t="s">
        <v>702</v>
      </c>
      <c r="C208" s="507"/>
      <c r="D208" s="508"/>
      <c r="E208" s="507"/>
      <c r="F208" s="502"/>
      <c r="G208" s="502"/>
      <c r="H208" s="503"/>
      <c r="I208" s="503"/>
      <c r="J208" s="509"/>
      <c r="K208" s="509"/>
      <c r="L208" s="510">
        <f t="shared" ref="L208" si="130">SUM(H208:J208)+K208</f>
        <v>0</v>
      </c>
      <c r="M208" s="510">
        <f t="shared" si="0"/>
        <v>0</v>
      </c>
      <c r="N208" s="510">
        <f t="shared" si="1"/>
        <v>0</v>
      </c>
      <c r="O208" s="510">
        <f t="shared" si="2"/>
        <v>0</v>
      </c>
      <c r="P208" s="510">
        <f t="shared" si="3"/>
        <v>0</v>
      </c>
      <c r="Q208" s="510">
        <f t="shared" si="4"/>
        <v>0</v>
      </c>
      <c r="R208" s="510">
        <f t="shared" si="5"/>
        <v>0</v>
      </c>
    </row>
    <row r="209" spans="1:18">
      <c r="A209" s="505"/>
      <c r="B209" s="511" t="s">
        <v>740</v>
      </c>
      <c r="C209" s="507">
        <v>16</v>
      </c>
      <c r="D209" s="508"/>
      <c r="E209" s="507">
        <v>2</v>
      </c>
      <c r="F209" s="502">
        <v>1</v>
      </c>
      <c r="G209" s="502">
        <v>2</v>
      </c>
      <c r="H209" s="503">
        <v>0.3</v>
      </c>
      <c r="I209" s="503">
        <f>11.1-0.06</f>
        <v>11.04</v>
      </c>
      <c r="J209" s="509">
        <v>0.3</v>
      </c>
      <c r="K209" s="509"/>
      <c r="L209" s="510">
        <f>SUM(H209:J209)+K209</f>
        <v>11.64</v>
      </c>
      <c r="M209" s="510">
        <f t="shared" si="0"/>
        <v>0</v>
      </c>
      <c r="N209" s="510">
        <f t="shared" si="1"/>
        <v>0</v>
      </c>
      <c r="O209" s="510">
        <f t="shared" si="2"/>
        <v>0</v>
      </c>
      <c r="P209" s="510">
        <f t="shared" si="3"/>
        <v>46.56</v>
      </c>
      <c r="Q209" s="510">
        <f t="shared" si="4"/>
        <v>0</v>
      </c>
      <c r="R209" s="510">
        <f t="shared" si="5"/>
        <v>0</v>
      </c>
    </row>
    <row r="210" spans="1:18">
      <c r="A210" s="505"/>
      <c r="B210" s="511" t="s">
        <v>773</v>
      </c>
      <c r="C210" s="507">
        <v>16</v>
      </c>
      <c r="D210" s="508"/>
      <c r="E210" s="507">
        <v>2</v>
      </c>
      <c r="F210" s="502">
        <v>1</v>
      </c>
      <c r="G210" s="502">
        <v>2</v>
      </c>
      <c r="H210" s="503">
        <v>0.3</v>
      </c>
      <c r="I210" s="503">
        <f>11.1-0.06</f>
        <v>11.04</v>
      </c>
      <c r="J210" s="509">
        <v>0.3</v>
      </c>
      <c r="K210" s="509"/>
      <c r="L210" s="510">
        <f t="shared" ref="L210:L212" si="131">SUM(H210:J210)+K210</f>
        <v>11.64</v>
      </c>
      <c r="M210" s="510">
        <f t="shared" si="0"/>
        <v>0</v>
      </c>
      <c r="N210" s="510">
        <f t="shared" si="1"/>
        <v>0</v>
      </c>
      <c r="O210" s="510">
        <f t="shared" si="2"/>
        <v>0</v>
      </c>
      <c r="P210" s="510">
        <f t="shared" si="3"/>
        <v>46.56</v>
      </c>
      <c r="Q210" s="510">
        <f t="shared" si="4"/>
        <v>0</v>
      </c>
      <c r="R210" s="510">
        <f t="shared" si="5"/>
        <v>0</v>
      </c>
    </row>
    <row r="211" spans="1:18">
      <c r="A211" s="505"/>
      <c r="B211" s="511" t="s">
        <v>778</v>
      </c>
      <c r="C211" s="507">
        <v>12</v>
      </c>
      <c r="D211" s="508"/>
      <c r="E211" s="507">
        <v>2</v>
      </c>
      <c r="F211" s="502">
        <v>1</v>
      </c>
      <c r="G211" s="502">
        <v>2</v>
      </c>
      <c r="H211" s="503"/>
      <c r="I211" s="503">
        <v>3.85</v>
      </c>
      <c r="J211" s="509"/>
      <c r="K211" s="509"/>
      <c r="L211" s="510">
        <f t="shared" ref="L211" si="132">SUM(H211:J211)+K211</f>
        <v>3.85</v>
      </c>
      <c r="M211" s="510">
        <f t="shared" si="0"/>
        <v>0</v>
      </c>
      <c r="N211" s="510">
        <f t="shared" si="1"/>
        <v>0</v>
      </c>
      <c r="O211" s="510">
        <f t="shared" si="2"/>
        <v>15.4</v>
      </c>
      <c r="P211" s="510">
        <f t="shared" si="3"/>
        <v>0</v>
      </c>
      <c r="Q211" s="510">
        <f t="shared" si="4"/>
        <v>0</v>
      </c>
      <c r="R211" s="510">
        <f t="shared" si="5"/>
        <v>0</v>
      </c>
    </row>
    <row r="212" spans="1:18">
      <c r="A212" s="505"/>
      <c r="B212" s="511" t="s">
        <v>774</v>
      </c>
      <c r="C212" s="507">
        <v>12</v>
      </c>
      <c r="D212" s="508"/>
      <c r="E212" s="507">
        <v>2</v>
      </c>
      <c r="F212" s="502">
        <v>1</v>
      </c>
      <c r="G212" s="502">
        <v>2</v>
      </c>
      <c r="H212" s="503"/>
      <c r="I212" s="503">
        <v>3.3</v>
      </c>
      <c r="J212" s="509"/>
      <c r="K212" s="509"/>
      <c r="L212" s="510">
        <f t="shared" si="131"/>
        <v>3.3</v>
      </c>
      <c r="M212" s="510">
        <f t="shared" si="0"/>
        <v>0</v>
      </c>
      <c r="N212" s="510">
        <f t="shared" si="1"/>
        <v>0</v>
      </c>
      <c r="O212" s="510">
        <f t="shared" si="2"/>
        <v>13.2</v>
      </c>
      <c r="P212" s="510">
        <f t="shared" si="3"/>
        <v>0</v>
      </c>
      <c r="Q212" s="510">
        <f t="shared" si="4"/>
        <v>0</v>
      </c>
      <c r="R212" s="510">
        <f t="shared" si="5"/>
        <v>0</v>
      </c>
    </row>
    <row r="213" spans="1:18">
      <c r="A213" s="505"/>
      <c r="B213" s="511" t="s">
        <v>774</v>
      </c>
      <c r="C213" s="507">
        <v>12</v>
      </c>
      <c r="D213" s="508"/>
      <c r="E213" s="507">
        <v>2</v>
      </c>
      <c r="F213" s="502">
        <v>2</v>
      </c>
      <c r="G213" s="502">
        <v>2</v>
      </c>
      <c r="H213" s="503">
        <v>0.3</v>
      </c>
      <c r="I213" s="503">
        <f>1.8-0.03</f>
        <v>1.77</v>
      </c>
      <c r="J213" s="509"/>
      <c r="K213" s="509"/>
      <c r="L213" s="510">
        <f t="shared" ref="L213" si="133">SUM(H213:J213)+K213</f>
        <v>2.0699999999999998</v>
      </c>
      <c r="M213" s="510">
        <f t="shared" si="0"/>
        <v>0</v>
      </c>
      <c r="N213" s="510">
        <f t="shared" si="1"/>
        <v>0</v>
      </c>
      <c r="O213" s="510">
        <f t="shared" si="2"/>
        <v>16.559999999999999</v>
      </c>
      <c r="P213" s="510">
        <f t="shared" si="3"/>
        <v>0</v>
      </c>
      <c r="Q213" s="510">
        <f t="shared" si="4"/>
        <v>0</v>
      </c>
      <c r="R213" s="510">
        <f t="shared" si="5"/>
        <v>0</v>
      </c>
    </row>
    <row r="214" spans="1:18">
      <c r="A214" s="505"/>
      <c r="B214" s="511" t="s">
        <v>777</v>
      </c>
      <c r="C214" s="507">
        <v>8</v>
      </c>
      <c r="D214" s="508">
        <v>100</v>
      </c>
      <c r="E214" s="507">
        <v>2</v>
      </c>
      <c r="F214" s="502">
        <v>2</v>
      </c>
      <c r="G214" s="502">
        <f>+ROUND(2.55/0.1,0)</f>
        <v>26</v>
      </c>
      <c r="H214" s="503"/>
      <c r="I214" s="516">
        <f t="shared" ref="I214:I215" si="134">2*(0.14+0.39)+16*C214/1000</f>
        <v>1.1880000000000002</v>
      </c>
      <c r="J214" s="509"/>
      <c r="K214" s="481"/>
      <c r="L214" s="510">
        <f t="shared" ref="L214:L215" si="135">SUM(H214:J214)+K214</f>
        <v>1.1880000000000002</v>
      </c>
      <c r="M214" s="510">
        <f t="shared" si="0"/>
        <v>123.55</v>
      </c>
      <c r="N214" s="510">
        <f t="shared" si="1"/>
        <v>0</v>
      </c>
      <c r="O214" s="510">
        <f t="shared" si="2"/>
        <v>0</v>
      </c>
      <c r="P214" s="510">
        <f t="shared" si="3"/>
        <v>0</v>
      </c>
      <c r="Q214" s="510">
        <f t="shared" si="4"/>
        <v>0</v>
      </c>
      <c r="R214" s="510">
        <f t="shared" si="5"/>
        <v>0</v>
      </c>
    </row>
    <row r="215" spans="1:18">
      <c r="A215" s="505"/>
      <c r="B215" s="511"/>
      <c r="C215" s="507">
        <v>8</v>
      </c>
      <c r="D215" s="508">
        <v>150</v>
      </c>
      <c r="E215" s="507">
        <v>2</v>
      </c>
      <c r="F215" s="502">
        <v>2</v>
      </c>
      <c r="G215" s="502">
        <f>+ROUND(2.55/0.15+1,0)</f>
        <v>18</v>
      </c>
      <c r="H215" s="503"/>
      <c r="I215" s="516">
        <f t="shared" si="134"/>
        <v>1.1880000000000002</v>
      </c>
      <c r="J215" s="509"/>
      <c r="K215" s="481"/>
      <c r="L215" s="510">
        <f t="shared" si="135"/>
        <v>1.1880000000000002</v>
      </c>
      <c r="M215" s="510">
        <f t="shared" si="0"/>
        <v>85.54</v>
      </c>
      <c r="N215" s="510">
        <f t="shared" si="1"/>
        <v>0</v>
      </c>
      <c r="O215" s="510">
        <f t="shared" si="2"/>
        <v>0</v>
      </c>
      <c r="P215" s="510">
        <f t="shared" si="3"/>
        <v>0</v>
      </c>
      <c r="Q215" s="510">
        <f t="shared" si="4"/>
        <v>0</v>
      </c>
      <c r="R215" s="510">
        <f t="shared" si="5"/>
        <v>0</v>
      </c>
    </row>
    <row r="216" spans="1:18">
      <c r="A216" s="505" t="s">
        <v>772</v>
      </c>
      <c r="B216" s="506" t="s">
        <v>703</v>
      </c>
      <c r="C216" s="507"/>
      <c r="D216" s="508"/>
      <c r="E216" s="507"/>
      <c r="F216" s="502"/>
      <c r="G216" s="502"/>
      <c r="H216" s="503"/>
      <c r="I216" s="503"/>
      <c r="J216" s="509"/>
      <c r="K216" s="509"/>
      <c r="L216" s="510">
        <f t="shared" ref="L216" si="136">SUM(H216:J216)+K216</f>
        <v>0</v>
      </c>
      <c r="M216" s="510">
        <f t="shared" si="0"/>
        <v>0</v>
      </c>
      <c r="N216" s="510">
        <f t="shared" si="1"/>
        <v>0</v>
      </c>
      <c r="O216" s="510">
        <f t="shared" si="2"/>
        <v>0</v>
      </c>
      <c r="P216" s="510">
        <f t="shared" si="3"/>
        <v>0</v>
      </c>
      <c r="Q216" s="510">
        <f t="shared" si="4"/>
        <v>0</v>
      </c>
      <c r="R216" s="510">
        <f t="shared" si="5"/>
        <v>0</v>
      </c>
    </row>
    <row r="217" spans="1:18">
      <c r="A217" s="505"/>
      <c r="B217" s="511" t="s">
        <v>740</v>
      </c>
      <c r="C217" s="507">
        <v>16</v>
      </c>
      <c r="D217" s="508"/>
      <c r="E217" s="507">
        <v>2</v>
      </c>
      <c r="F217" s="502">
        <v>1</v>
      </c>
      <c r="G217" s="502">
        <v>2</v>
      </c>
      <c r="H217" s="503">
        <v>0.3</v>
      </c>
      <c r="I217" s="503">
        <f>7.08-0.06</f>
        <v>7.0200000000000005</v>
      </c>
      <c r="J217" s="509">
        <v>0.3</v>
      </c>
      <c r="K217" s="509"/>
      <c r="L217" s="510">
        <f>SUM(H217:J217)+K217</f>
        <v>7.62</v>
      </c>
      <c r="M217" s="510">
        <f t="shared" si="0"/>
        <v>0</v>
      </c>
      <c r="N217" s="510">
        <f t="shared" si="1"/>
        <v>0</v>
      </c>
      <c r="O217" s="510">
        <f t="shared" si="2"/>
        <v>0</v>
      </c>
      <c r="P217" s="510">
        <f t="shared" si="3"/>
        <v>30.48</v>
      </c>
      <c r="Q217" s="510">
        <f t="shared" si="4"/>
        <v>0</v>
      </c>
      <c r="R217" s="510">
        <f t="shared" si="5"/>
        <v>0</v>
      </c>
    </row>
    <row r="218" spans="1:18">
      <c r="A218" s="505"/>
      <c r="B218" s="511" t="s">
        <v>773</v>
      </c>
      <c r="C218" s="507">
        <v>16</v>
      </c>
      <c r="D218" s="508"/>
      <c r="E218" s="507">
        <v>2</v>
      </c>
      <c r="F218" s="502">
        <v>1</v>
      </c>
      <c r="G218" s="502">
        <v>2</v>
      </c>
      <c r="H218" s="503">
        <v>0.3</v>
      </c>
      <c r="I218" s="503">
        <f>7.08-0.06</f>
        <v>7.0200000000000005</v>
      </c>
      <c r="J218" s="509">
        <v>0.3</v>
      </c>
      <c r="K218" s="509"/>
      <c r="L218" s="510">
        <f t="shared" ref="L218" si="137">SUM(H218:J218)+K218</f>
        <v>7.62</v>
      </c>
      <c r="M218" s="510">
        <f t="shared" si="0"/>
        <v>0</v>
      </c>
      <c r="N218" s="510">
        <f t="shared" si="1"/>
        <v>0</v>
      </c>
      <c r="O218" s="510">
        <f t="shared" si="2"/>
        <v>0</v>
      </c>
      <c r="P218" s="510">
        <f t="shared" si="3"/>
        <v>30.48</v>
      </c>
      <c r="Q218" s="510">
        <f t="shared" si="4"/>
        <v>0</v>
      </c>
      <c r="R218" s="510">
        <f t="shared" si="5"/>
        <v>0</v>
      </c>
    </row>
    <row r="219" spans="1:18">
      <c r="A219" s="505"/>
      <c r="B219" s="511" t="s">
        <v>777</v>
      </c>
      <c r="C219" s="507">
        <v>8</v>
      </c>
      <c r="D219" s="508">
        <v>100</v>
      </c>
      <c r="E219" s="507">
        <v>2</v>
      </c>
      <c r="F219" s="502">
        <v>2</v>
      </c>
      <c r="G219" s="502">
        <f>+ROUND(1.8/0.1,0)</f>
        <v>18</v>
      </c>
      <c r="H219" s="503"/>
      <c r="I219" s="516">
        <f t="shared" ref="I219:I220" si="138">2*(0.14+0.39)+16*C219/1000</f>
        <v>1.1880000000000002</v>
      </c>
      <c r="J219" s="509"/>
      <c r="K219" s="481"/>
      <c r="L219" s="510">
        <f t="shared" ref="L219:L220" si="139">SUM(H219:J219)+K219</f>
        <v>1.1880000000000002</v>
      </c>
      <c r="M219" s="510">
        <f t="shared" si="0"/>
        <v>85.54</v>
      </c>
      <c r="N219" s="510">
        <f t="shared" si="1"/>
        <v>0</v>
      </c>
      <c r="O219" s="510">
        <f t="shared" si="2"/>
        <v>0</v>
      </c>
      <c r="P219" s="510">
        <f t="shared" si="3"/>
        <v>0</v>
      </c>
      <c r="Q219" s="510">
        <f t="shared" si="4"/>
        <v>0</v>
      </c>
      <c r="R219" s="510">
        <f t="shared" si="5"/>
        <v>0</v>
      </c>
    </row>
    <row r="220" spans="1:18">
      <c r="A220" s="505"/>
      <c r="B220" s="511"/>
      <c r="C220" s="507">
        <v>8</v>
      </c>
      <c r="D220" s="508">
        <v>150</v>
      </c>
      <c r="E220" s="507">
        <v>2</v>
      </c>
      <c r="F220" s="502">
        <v>2</v>
      </c>
      <c r="G220" s="502">
        <f>+ROUND(1.39/0.15+1,0)</f>
        <v>10</v>
      </c>
      <c r="H220" s="503"/>
      <c r="I220" s="516">
        <f t="shared" si="138"/>
        <v>1.1880000000000002</v>
      </c>
      <c r="J220" s="509"/>
      <c r="K220" s="481"/>
      <c r="L220" s="510">
        <f t="shared" si="139"/>
        <v>1.1880000000000002</v>
      </c>
      <c r="M220" s="510">
        <f t="shared" si="0"/>
        <v>47.52</v>
      </c>
      <c r="N220" s="510">
        <f t="shared" si="1"/>
        <v>0</v>
      </c>
      <c r="O220" s="510">
        <f t="shared" si="2"/>
        <v>0</v>
      </c>
      <c r="P220" s="510">
        <f t="shared" si="3"/>
        <v>0</v>
      </c>
      <c r="Q220" s="510">
        <f t="shared" si="4"/>
        <v>0</v>
      </c>
      <c r="R220" s="510">
        <f t="shared" si="5"/>
        <v>0</v>
      </c>
    </row>
    <row r="221" spans="1:18">
      <c r="A221" s="505" t="s">
        <v>772</v>
      </c>
      <c r="B221" s="506" t="s">
        <v>704</v>
      </c>
      <c r="C221" s="507"/>
      <c r="D221" s="508"/>
      <c r="E221" s="507"/>
      <c r="F221" s="502"/>
      <c r="G221" s="502"/>
      <c r="H221" s="503"/>
      <c r="I221" s="503"/>
      <c r="J221" s="509"/>
      <c r="K221" s="509"/>
      <c r="L221" s="510">
        <f t="shared" ref="L221" si="140">SUM(H221:J221)+K221</f>
        <v>0</v>
      </c>
      <c r="M221" s="510">
        <f t="shared" si="0"/>
        <v>0</v>
      </c>
      <c r="N221" s="510">
        <f t="shared" si="1"/>
        <v>0</v>
      </c>
      <c r="O221" s="510">
        <f t="shared" si="2"/>
        <v>0</v>
      </c>
      <c r="P221" s="510">
        <f t="shared" si="3"/>
        <v>0</v>
      </c>
      <c r="Q221" s="510">
        <f t="shared" si="4"/>
        <v>0</v>
      </c>
      <c r="R221" s="510">
        <f t="shared" si="5"/>
        <v>0</v>
      </c>
    </row>
    <row r="222" spans="1:18">
      <c r="A222" s="505"/>
      <c r="B222" s="511" t="s">
        <v>740</v>
      </c>
      <c r="C222" s="507">
        <v>12</v>
      </c>
      <c r="D222" s="508"/>
      <c r="E222" s="507">
        <v>6</v>
      </c>
      <c r="F222" s="502">
        <v>1</v>
      </c>
      <c r="G222" s="502">
        <v>2</v>
      </c>
      <c r="H222" s="503">
        <v>0.3</v>
      </c>
      <c r="I222" s="503">
        <f>9.04-0.06</f>
        <v>8.9799999999999986</v>
      </c>
      <c r="J222" s="509">
        <v>0.3</v>
      </c>
      <c r="K222" s="509"/>
      <c r="L222" s="510">
        <f>SUM(H222:J222)+K222</f>
        <v>9.58</v>
      </c>
      <c r="M222" s="510">
        <f t="shared" si="0"/>
        <v>0</v>
      </c>
      <c r="N222" s="510">
        <f t="shared" si="1"/>
        <v>0</v>
      </c>
      <c r="O222" s="510">
        <f t="shared" si="2"/>
        <v>114.96</v>
      </c>
      <c r="P222" s="510">
        <f t="shared" si="3"/>
        <v>0</v>
      </c>
      <c r="Q222" s="510">
        <f t="shared" si="4"/>
        <v>0</v>
      </c>
      <c r="R222" s="510">
        <f t="shared" si="5"/>
        <v>0</v>
      </c>
    </row>
    <row r="223" spans="1:18">
      <c r="A223" s="505"/>
      <c r="B223" s="511" t="s">
        <v>773</v>
      </c>
      <c r="C223" s="507">
        <v>12</v>
      </c>
      <c r="D223" s="508"/>
      <c r="E223" s="507">
        <v>6</v>
      </c>
      <c r="F223" s="502">
        <v>1</v>
      </c>
      <c r="G223" s="502">
        <v>2</v>
      </c>
      <c r="H223" s="503">
        <v>0.3</v>
      </c>
      <c r="I223" s="503">
        <f>9.04-0.06</f>
        <v>8.9799999999999986</v>
      </c>
      <c r="J223" s="509">
        <v>0.3</v>
      </c>
      <c r="K223" s="509"/>
      <c r="L223" s="510">
        <f t="shared" ref="L223" si="141">SUM(H223:J223)+K223</f>
        <v>9.58</v>
      </c>
      <c r="M223" s="510">
        <f t="shared" si="0"/>
        <v>0</v>
      </c>
      <c r="N223" s="510">
        <f t="shared" si="1"/>
        <v>0</v>
      </c>
      <c r="O223" s="510">
        <f t="shared" si="2"/>
        <v>114.96</v>
      </c>
      <c r="P223" s="510">
        <f t="shared" si="3"/>
        <v>0</v>
      </c>
      <c r="Q223" s="510">
        <f t="shared" si="4"/>
        <v>0</v>
      </c>
      <c r="R223" s="510">
        <f t="shared" si="5"/>
        <v>0</v>
      </c>
    </row>
    <row r="224" spans="1:18">
      <c r="A224" s="505"/>
      <c r="B224" s="511" t="s">
        <v>777</v>
      </c>
      <c r="C224" s="507">
        <v>8</v>
      </c>
      <c r="D224" s="508">
        <v>100</v>
      </c>
      <c r="E224" s="507">
        <v>6</v>
      </c>
      <c r="F224" s="502">
        <v>1</v>
      </c>
      <c r="G224" s="502">
        <f>+ROUND(1.8/0.1,0)</f>
        <v>18</v>
      </c>
      <c r="H224" s="503"/>
      <c r="I224" s="516">
        <f t="shared" ref="I224:I226" si="142">2*(0.14+0.39)+16*C224/1000</f>
        <v>1.1880000000000002</v>
      </c>
      <c r="J224" s="509"/>
      <c r="K224" s="481"/>
      <c r="L224" s="510">
        <f t="shared" ref="L224:L225" si="143">SUM(H224:J224)+K224</f>
        <v>1.1880000000000002</v>
      </c>
      <c r="M224" s="510">
        <f t="shared" si="0"/>
        <v>128.30000000000001</v>
      </c>
      <c r="N224" s="510">
        <f t="shared" si="1"/>
        <v>0</v>
      </c>
      <c r="O224" s="510">
        <f t="shared" si="2"/>
        <v>0</v>
      </c>
      <c r="P224" s="510">
        <f t="shared" si="3"/>
        <v>0</v>
      </c>
      <c r="Q224" s="510">
        <f t="shared" si="4"/>
        <v>0</v>
      </c>
      <c r="R224" s="510">
        <f t="shared" si="5"/>
        <v>0</v>
      </c>
    </row>
    <row r="225" spans="1:18">
      <c r="A225" s="505"/>
      <c r="B225" s="511"/>
      <c r="C225" s="507">
        <v>8</v>
      </c>
      <c r="D225" s="508">
        <v>150</v>
      </c>
      <c r="E225" s="507">
        <v>6</v>
      </c>
      <c r="F225" s="502">
        <v>1</v>
      </c>
      <c r="G225" s="502">
        <f>+ROUND(1.75/0.15+1,0)</f>
        <v>13</v>
      </c>
      <c r="H225" s="503"/>
      <c r="I225" s="516">
        <f t="shared" si="142"/>
        <v>1.1880000000000002</v>
      </c>
      <c r="J225" s="509"/>
      <c r="K225" s="481"/>
      <c r="L225" s="510">
        <f t="shared" si="143"/>
        <v>1.1880000000000002</v>
      </c>
      <c r="M225" s="510">
        <f t="shared" si="0"/>
        <v>92.66</v>
      </c>
      <c r="N225" s="510">
        <f t="shared" si="1"/>
        <v>0</v>
      </c>
      <c r="O225" s="510">
        <f t="shared" si="2"/>
        <v>0</v>
      </c>
      <c r="P225" s="510">
        <f t="shared" si="3"/>
        <v>0</v>
      </c>
      <c r="Q225" s="510">
        <f t="shared" si="4"/>
        <v>0</v>
      </c>
      <c r="R225" s="510">
        <f t="shared" si="5"/>
        <v>0</v>
      </c>
    </row>
    <row r="226" spans="1:18">
      <c r="A226" s="505"/>
      <c r="B226" s="511" t="s">
        <v>777</v>
      </c>
      <c r="C226" s="507">
        <v>8</v>
      </c>
      <c r="D226" s="508">
        <v>100</v>
      </c>
      <c r="E226" s="507">
        <v>6</v>
      </c>
      <c r="F226" s="502">
        <v>1</v>
      </c>
      <c r="G226" s="502">
        <f>+ROUND(1.81/0.1+1,0)</f>
        <v>19</v>
      </c>
      <c r="H226" s="503"/>
      <c r="I226" s="516">
        <f t="shared" si="142"/>
        <v>1.1880000000000002</v>
      </c>
      <c r="J226" s="509"/>
      <c r="K226" s="481"/>
      <c r="L226" s="510">
        <f t="shared" ref="L226" si="144">SUM(H226:J226)+K226</f>
        <v>1.1880000000000002</v>
      </c>
      <c r="M226" s="510">
        <f t="shared" si="0"/>
        <v>135.43</v>
      </c>
      <c r="N226" s="510">
        <f t="shared" si="1"/>
        <v>0</v>
      </c>
      <c r="O226" s="510">
        <f t="shared" si="2"/>
        <v>0</v>
      </c>
      <c r="P226" s="510">
        <f t="shared" si="3"/>
        <v>0</v>
      </c>
      <c r="Q226" s="510">
        <f t="shared" si="4"/>
        <v>0</v>
      </c>
      <c r="R226" s="510">
        <f t="shared" si="5"/>
        <v>0</v>
      </c>
    </row>
    <row r="227" spans="1:18">
      <c r="A227" s="505" t="s">
        <v>776</v>
      </c>
      <c r="B227" s="506" t="s">
        <v>705</v>
      </c>
      <c r="C227" s="507"/>
      <c r="D227" s="508"/>
      <c r="E227" s="507"/>
      <c r="F227" s="502"/>
      <c r="G227" s="502"/>
      <c r="H227" s="503"/>
      <c r="I227" s="503"/>
      <c r="J227" s="509"/>
      <c r="K227" s="509"/>
      <c r="L227" s="510">
        <f t="shared" ref="L227" si="145">SUM(H227:J227)+K227</f>
        <v>0</v>
      </c>
      <c r="M227" s="510">
        <f t="shared" si="0"/>
        <v>0</v>
      </c>
      <c r="N227" s="510">
        <f t="shared" si="1"/>
        <v>0</v>
      </c>
      <c r="O227" s="510">
        <f t="shared" si="2"/>
        <v>0</v>
      </c>
      <c r="P227" s="510">
        <f t="shared" si="3"/>
        <v>0</v>
      </c>
      <c r="Q227" s="510">
        <f t="shared" si="4"/>
        <v>0</v>
      </c>
      <c r="R227" s="510">
        <f t="shared" si="5"/>
        <v>0</v>
      </c>
    </row>
    <row r="228" spans="1:18">
      <c r="A228" s="505"/>
      <c r="B228" s="511" t="s">
        <v>740</v>
      </c>
      <c r="C228" s="507">
        <v>12</v>
      </c>
      <c r="D228" s="508"/>
      <c r="E228" s="507">
        <v>18</v>
      </c>
      <c r="F228" s="502">
        <v>1</v>
      </c>
      <c r="G228" s="502">
        <v>2</v>
      </c>
      <c r="H228" s="503">
        <v>0.3</v>
      </c>
      <c r="I228" s="503">
        <f>0.715-0.06</f>
        <v>0.65500000000000003</v>
      </c>
      <c r="J228" s="509">
        <v>0.3</v>
      </c>
      <c r="K228" s="509"/>
      <c r="L228" s="510">
        <f>SUM(H228:J228)+K228</f>
        <v>1.2550000000000001</v>
      </c>
      <c r="M228" s="510">
        <f t="shared" si="0"/>
        <v>0</v>
      </c>
      <c r="N228" s="510">
        <f t="shared" si="1"/>
        <v>0</v>
      </c>
      <c r="O228" s="510">
        <f t="shared" si="2"/>
        <v>45.18</v>
      </c>
      <c r="P228" s="510">
        <f t="shared" si="3"/>
        <v>0</v>
      </c>
      <c r="Q228" s="510">
        <f t="shared" si="4"/>
        <v>0</v>
      </c>
      <c r="R228" s="510">
        <f t="shared" si="5"/>
        <v>0</v>
      </c>
    </row>
    <row r="229" spans="1:18">
      <c r="A229" s="505"/>
      <c r="B229" s="511" t="s">
        <v>773</v>
      </c>
      <c r="C229" s="507">
        <v>12</v>
      </c>
      <c r="D229" s="508"/>
      <c r="E229" s="507">
        <v>18</v>
      </c>
      <c r="F229" s="502">
        <v>1</v>
      </c>
      <c r="G229" s="502">
        <v>2</v>
      </c>
      <c r="H229" s="503">
        <v>0.3</v>
      </c>
      <c r="I229" s="503">
        <f>0.715-0.06</f>
        <v>0.65500000000000003</v>
      </c>
      <c r="J229" s="509">
        <v>0.3</v>
      </c>
      <c r="K229" s="509"/>
      <c r="L229" s="510">
        <f t="shared" ref="L229" si="146">SUM(H229:J229)+K229</f>
        <v>1.2550000000000001</v>
      </c>
      <c r="M229" s="510">
        <f t="shared" si="0"/>
        <v>0</v>
      </c>
      <c r="N229" s="510">
        <f t="shared" si="1"/>
        <v>0</v>
      </c>
      <c r="O229" s="510">
        <f t="shared" si="2"/>
        <v>45.18</v>
      </c>
      <c r="P229" s="510">
        <f t="shared" si="3"/>
        <v>0</v>
      </c>
      <c r="Q229" s="510">
        <f t="shared" si="4"/>
        <v>0</v>
      </c>
      <c r="R229" s="510">
        <f t="shared" si="5"/>
        <v>0</v>
      </c>
    </row>
    <row r="230" spans="1:18">
      <c r="A230" s="505"/>
      <c r="B230" s="511" t="s">
        <v>777</v>
      </c>
      <c r="C230" s="507">
        <v>8</v>
      </c>
      <c r="D230" s="508">
        <v>100</v>
      </c>
      <c r="E230" s="507">
        <v>18</v>
      </c>
      <c r="F230" s="502">
        <v>1</v>
      </c>
      <c r="G230" s="502">
        <f>+ROUND(0.415/0.1+1,0)</f>
        <v>5</v>
      </c>
      <c r="H230" s="503"/>
      <c r="I230" s="516">
        <f>2*(0.05+0.39)+16*C230/1000</f>
        <v>1.008</v>
      </c>
      <c r="J230" s="509"/>
      <c r="K230" s="481"/>
      <c r="L230" s="510">
        <f t="shared" ref="L230" si="147">SUM(H230:J230)+K230</f>
        <v>1.008</v>
      </c>
      <c r="M230" s="510">
        <f t="shared" si="0"/>
        <v>90.72</v>
      </c>
      <c r="N230" s="510">
        <f t="shared" si="1"/>
        <v>0</v>
      </c>
      <c r="O230" s="510">
        <f t="shared" si="2"/>
        <v>0</v>
      </c>
      <c r="P230" s="510">
        <f t="shared" si="3"/>
        <v>0</v>
      </c>
      <c r="Q230" s="510">
        <f t="shared" si="4"/>
        <v>0</v>
      </c>
      <c r="R230" s="510">
        <f t="shared" si="5"/>
        <v>0</v>
      </c>
    </row>
    <row r="231" spans="1:18">
      <c r="A231" s="505" t="s">
        <v>772</v>
      </c>
      <c r="B231" s="506" t="s">
        <v>706</v>
      </c>
      <c r="C231" s="507"/>
      <c r="D231" s="508"/>
      <c r="E231" s="507"/>
      <c r="F231" s="502"/>
      <c r="G231" s="502"/>
      <c r="H231" s="503"/>
      <c r="I231" s="503"/>
      <c r="J231" s="509"/>
      <c r="K231" s="509"/>
      <c r="L231" s="510">
        <f t="shared" ref="L231" si="148">SUM(H231:J231)+K231</f>
        <v>0</v>
      </c>
      <c r="M231" s="510">
        <f t="shared" si="0"/>
        <v>0</v>
      </c>
      <c r="N231" s="510">
        <f t="shared" si="1"/>
        <v>0</v>
      </c>
      <c r="O231" s="510">
        <f t="shared" si="2"/>
        <v>0</v>
      </c>
      <c r="P231" s="510">
        <f t="shared" si="3"/>
        <v>0</v>
      </c>
      <c r="Q231" s="510">
        <f t="shared" si="4"/>
        <v>0</v>
      </c>
      <c r="R231" s="510">
        <f t="shared" si="5"/>
        <v>0</v>
      </c>
    </row>
    <row r="232" spans="1:18">
      <c r="A232" s="505"/>
      <c r="B232" s="511" t="s">
        <v>740</v>
      </c>
      <c r="C232" s="507">
        <v>12</v>
      </c>
      <c r="D232" s="508"/>
      <c r="E232" s="507">
        <v>6</v>
      </c>
      <c r="F232" s="502">
        <v>1</v>
      </c>
      <c r="G232" s="502">
        <v>2</v>
      </c>
      <c r="H232" s="503">
        <v>0.3</v>
      </c>
      <c r="I232" s="503">
        <f>3.95-0.06</f>
        <v>3.89</v>
      </c>
      <c r="J232" s="509">
        <v>0.3</v>
      </c>
      <c r="K232" s="509"/>
      <c r="L232" s="510">
        <f>SUM(H232:J232)+K232</f>
        <v>4.49</v>
      </c>
      <c r="M232" s="510">
        <f t="shared" si="0"/>
        <v>0</v>
      </c>
      <c r="N232" s="510">
        <f t="shared" si="1"/>
        <v>0</v>
      </c>
      <c r="O232" s="510">
        <f t="shared" si="2"/>
        <v>53.88</v>
      </c>
      <c r="P232" s="510">
        <f t="shared" si="3"/>
        <v>0</v>
      </c>
      <c r="Q232" s="510">
        <f t="shared" si="4"/>
        <v>0</v>
      </c>
      <c r="R232" s="510">
        <f t="shared" si="5"/>
        <v>0</v>
      </c>
    </row>
    <row r="233" spans="1:18">
      <c r="A233" s="505"/>
      <c r="B233" s="511" t="s">
        <v>773</v>
      </c>
      <c r="C233" s="507">
        <v>12</v>
      </c>
      <c r="D233" s="508"/>
      <c r="E233" s="507">
        <v>6</v>
      </c>
      <c r="F233" s="502">
        <v>1</v>
      </c>
      <c r="G233" s="502">
        <v>2</v>
      </c>
      <c r="H233" s="503">
        <v>0.3</v>
      </c>
      <c r="I233" s="503">
        <f>3.95-0.06</f>
        <v>3.89</v>
      </c>
      <c r="J233" s="509">
        <v>0.3</v>
      </c>
      <c r="K233" s="509"/>
      <c r="L233" s="510">
        <f>SUM(H233:J233)+K233</f>
        <v>4.49</v>
      </c>
      <c r="M233" s="510">
        <f t="shared" si="0"/>
        <v>0</v>
      </c>
      <c r="N233" s="510">
        <f t="shared" si="1"/>
        <v>0</v>
      </c>
      <c r="O233" s="510">
        <f t="shared" si="2"/>
        <v>53.88</v>
      </c>
      <c r="P233" s="510">
        <f t="shared" si="3"/>
        <v>0</v>
      </c>
      <c r="Q233" s="510">
        <f t="shared" si="4"/>
        <v>0</v>
      </c>
      <c r="R233" s="510">
        <f t="shared" si="5"/>
        <v>0</v>
      </c>
    </row>
    <row r="234" spans="1:18">
      <c r="A234" s="505"/>
      <c r="B234" s="511" t="s">
        <v>777</v>
      </c>
      <c r="C234" s="507">
        <v>8</v>
      </c>
      <c r="D234" s="508">
        <v>100</v>
      </c>
      <c r="E234" s="507">
        <v>6</v>
      </c>
      <c r="F234" s="502">
        <v>2</v>
      </c>
      <c r="G234" s="502">
        <f>+ROUND(1.8/0.1,0)</f>
        <v>18</v>
      </c>
      <c r="H234" s="503"/>
      <c r="I234" s="516">
        <f t="shared" ref="I234:I235" si="149">2*(0.14+0.39)+16*C234/1000</f>
        <v>1.1880000000000002</v>
      </c>
      <c r="J234" s="509"/>
      <c r="K234" s="481"/>
      <c r="L234" s="510">
        <f t="shared" ref="L234:L235" si="150">SUM(H234:J234)+K234</f>
        <v>1.1880000000000002</v>
      </c>
      <c r="M234" s="510">
        <f t="shared" si="0"/>
        <v>256.61</v>
      </c>
      <c r="N234" s="510">
        <f t="shared" si="1"/>
        <v>0</v>
      </c>
      <c r="O234" s="510">
        <f t="shared" si="2"/>
        <v>0</v>
      </c>
      <c r="P234" s="510">
        <f t="shared" si="3"/>
        <v>0</v>
      </c>
      <c r="Q234" s="510">
        <f t="shared" si="4"/>
        <v>0</v>
      </c>
      <c r="R234" s="510">
        <f t="shared" si="5"/>
        <v>0</v>
      </c>
    </row>
    <row r="235" spans="1:18">
      <c r="A235" s="505"/>
      <c r="B235" s="511"/>
      <c r="C235" s="507">
        <v>8</v>
      </c>
      <c r="D235" s="508">
        <v>150</v>
      </c>
      <c r="E235" s="507">
        <v>6</v>
      </c>
      <c r="F235" s="502">
        <v>2</v>
      </c>
      <c r="G235" s="502">
        <f>+ROUND(1.72/0.15+1,0)</f>
        <v>12</v>
      </c>
      <c r="H235" s="503"/>
      <c r="I235" s="516">
        <f t="shared" si="149"/>
        <v>1.1880000000000002</v>
      </c>
      <c r="J235" s="509"/>
      <c r="K235" s="481"/>
      <c r="L235" s="510">
        <f t="shared" si="150"/>
        <v>1.1880000000000002</v>
      </c>
      <c r="M235" s="510">
        <f t="shared" si="0"/>
        <v>171.07</v>
      </c>
      <c r="N235" s="510">
        <f t="shared" si="1"/>
        <v>0</v>
      </c>
      <c r="O235" s="510">
        <f t="shared" si="2"/>
        <v>0</v>
      </c>
      <c r="P235" s="510">
        <f t="shared" si="3"/>
        <v>0</v>
      </c>
      <c r="Q235" s="510">
        <f t="shared" si="4"/>
        <v>0</v>
      </c>
      <c r="R235" s="510">
        <f t="shared" si="5"/>
        <v>0</v>
      </c>
    </row>
    <row r="236" spans="1:18">
      <c r="A236" s="505" t="s">
        <v>772</v>
      </c>
      <c r="B236" s="506" t="s">
        <v>707</v>
      </c>
      <c r="C236" s="507"/>
      <c r="D236" s="508"/>
      <c r="E236" s="507"/>
      <c r="F236" s="502"/>
      <c r="G236" s="502"/>
      <c r="H236" s="503"/>
      <c r="I236" s="503"/>
      <c r="J236" s="509"/>
      <c r="K236" s="509"/>
      <c r="L236" s="510">
        <f t="shared" ref="L236" si="151">SUM(H236:J236)+K236</f>
        <v>0</v>
      </c>
      <c r="M236" s="510">
        <f t="shared" si="0"/>
        <v>0</v>
      </c>
      <c r="N236" s="510">
        <f t="shared" si="1"/>
        <v>0</v>
      </c>
      <c r="O236" s="510">
        <f t="shared" si="2"/>
        <v>0</v>
      </c>
      <c r="P236" s="510">
        <f t="shared" si="3"/>
        <v>0</v>
      </c>
      <c r="Q236" s="510">
        <f t="shared" si="4"/>
        <v>0</v>
      </c>
      <c r="R236" s="510">
        <f t="shared" si="5"/>
        <v>0</v>
      </c>
    </row>
    <row r="237" spans="1:18">
      <c r="A237" s="505"/>
      <c r="B237" s="511" t="s">
        <v>740</v>
      </c>
      <c r="C237" s="507">
        <v>16</v>
      </c>
      <c r="D237" s="508"/>
      <c r="E237" s="507">
        <v>6</v>
      </c>
      <c r="F237" s="502">
        <v>1</v>
      </c>
      <c r="G237" s="502">
        <v>2</v>
      </c>
      <c r="H237" s="524">
        <v>0.3</v>
      </c>
      <c r="I237" s="524">
        <f>4.26-0.06</f>
        <v>4.2</v>
      </c>
      <c r="J237" s="525">
        <v>0.3</v>
      </c>
      <c r="K237" s="509"/>
      <c r="L237" s="510">
        <f>SUM(H237:J237)+K237</f>
        <v>4.8</v>
      </c>
      <c r="M237" s="510">
        <f t="shared" si="0"/>
        <v>0</v>
      </c>
      <c r="N237" s="510">
        <f t="shared" si="1"/>
        <v>0</v>
      </c>
      <c r="O237" s="510">
        <f t="shared" si="2"/>
        <v>0</v>
      </c>
      <c r="P237" s="510">
        <f t="shared" si="3"/>
        <v>57.6</v>
      </c>
      <c r="Q237" s="510">
        <f t="shared" si="4"/>
        <v>0</v>
      </c>
      <c r="R237" s="510">
        <f t="shared" si="5"/>
        <v>0</v>
      </c>
    </row>
    <row r="238" spans="1:18">
      <c r="A238" s="505"/>
      <c r="B238" s="511" t="s">
        <v>773</v>
      </c>
      <c r="C238" s="507">
        <v>16</v>
      </c>
      <c r="D238" s="508"/>
      <c r="E238" s="507">
        <v>6</v>
      </c>
      <c r="F238" s="502">
        <v>1</v>
      </c>
      <c r="G238" s="502">
        <v>2</v>
      </c>
      <c r="H238" s="524">
        <v>0.3</v>
      </c>
      <c r="I238" s="524">
        <f>4.26-0.06</f>
        <v>4.2</v>
      </c>
      <c r="J238" s="525">
        <v>0.3</v>
      </c>
      <c r="K238" s="509"/>
      <c r="L238" s="510">
        <f>SUM(H238:J238)+K238</f>
        <v>4.8</v>
      </c>
      <c r="M238" s="510">
        <f t="shared" si="0"/>
        <v>0</v>
      </c>
      <c r="N238" s="510">
        <f t="shared" si="1"/>
        <v>0</v>
      </c>
      <c r="O238" s="510">
        <f t="shared" si="2"/>
        <v>0</v>
      </c>
      <c r="P238" s="510">
        <f t="shared" si="3"/>
        <v>57.6</v>
      </c>
      <c r="Q238" s="510">
        <f t="shared" si="4"/>
        <v>0</v>
      </c>
      <c r="R238" s="510">
        <f t="shared" si="5"/>
        <v>0</v>
      </c>
    </row>
    <row r="239" spans="1:18">
      <c r="A239" s="505"/>
      <c r="B239" s="511" t="s">
        <v>777</v>
      </c>
      <c r="C239" s="507">
        <v>8</v>
      </c>
      <c r="D239" s="508">
        <v>100</v>
      </c>
      <c r="E239" s="507">
        <v>6</v>
      </c>
      <c r="F239" s="502">
        <v>1</v>
      </c>
      <c r="G239" s="502">
        <f>+ROUND(1.8/0.1,0)</f>
        <v>18</v>
      </c>
      <c r="H239" s="524"/>
      <c r="I239" s="516">
        <f t="shared" ref="I239:I240" si="152">2*(0.14+0.39)+16*C239/1000</f>
        <v>1.1880000000000002</v>
      </c>
      <c r="J239" s="525"/>
      <c r="K239" s="481"/>
      <c r="L239" s="510">
        <f t="shared" ref="L239:L240" si="153">SUM(H239:J239)+K239</f>
        <v>1.1880000000000002</v>
      </c>
      <c r="M239" s="510">
        <f t="shared" si="0"/>
        <v>128.30000000000001</v>
      </c>
      <c r="N239" s="510">
        <f t="shared" si="1"/>
        <v>0</v>
      </c>
      <c r="O239" s="510">
        <f t="shared" si="2"/>
        <v>0</v>
      </c>
      <c r="P239" s="510">
        <f t="shared" si="3"/>
        <v>0</v>
      </c>
      <c r="Q239" s="510">
        <f t="shared" si="4"/>
        <v>0</v>
      </c>
      <c r="R239" s="510">
        <f t="shared" si="5"/>
        <v>0</v>
      </c>
    </row>
    <row r="240" spans="1:18">
      <c r="A240" s="505"/>
      <c r="B240" s="511"/>
      <c r="C240" s="507">
        <v>8</v>
      </c>
      <c r="D240" s="508">
        <v>150</v>
      </c>
      <c r="E240" s="507">
        <v>6</v>
      </c>
      <c r="F240" s="502">
        <v>1</v>
      </c>
      <c r="G240" s="502">
        <f>+ROUND(1.125/0.15+1,0)</f>
        <v>9</v>
      </c>
      <c r="H240" s="524"/>
      <c r="I240" s="516">
        <f t="shared" si="152"/>
        <v>1.1880000000000002</v>
      </c>
      <c r="J240" s="525"/>
      <c r="K240" s="481"/>
      <c r="L240" s="510">
        <f t="shared" si="153"/>
        <v>1.1880000000000002</v>
      </c>
      <c r="M240" s="510">
        <f t="shared" si="0"/>
        <v>64.150000000000006</v>
      </c>
      <c r="N240" s="510">
        <f t="shared" si="1"/>
        <v>0</v>
      </c>
      <c r="O240" s="510">
        <f t="shared" si="2"/>
        <v>0</v>
      </c>
      <c r="P240" s="510">
        <f t="shared" si="3"/>
        <v>0</v>
      </c>
      <c r="Q240" s="510">
        <f t="shared" si="4"/>
        <v>0</v>
      </c>
      <c r="R240" s="510">
        <f t="shared" si="5"/>
        <v>0</v>
      </c>
    </row>
    <row r="241" spans="1:18">
      <c r="A241" s="505" t="s">
        <v>772</v>
      </c>
      <c r="B241" s="506" t="s">
        <v>708</v>
      </c>
      <c r="C241" s="507"/>
      <c r="D241" s="508"/>
      <c r="E241" s="507"/>
      <c r="F241" s="502"/>
      <c r="G241" s="502"/>
      <c r="H241" s="503"/>
      <c r="I241" s="503"/>
      <c r="J241" s="509"/>
      <c r="K241" s="509"/>
      <c r="L241" s="510">
        <f t="shared" ref="L241" si="154">SUM(H241:J241)+K241</f>
        <v>0</v>
      </c>
      <c r="M241" s="510">
        <f t="shared" si="0"/>
        <v>0</v>
      </c>
      <c r="N241" s="510">
        <f t="shared" si="1"/>
        <v>0</v>
      </c>
      <c r="O241" s="510">
        <f t="shared" si="2"/>
        <v>0</v>
      </c>
      <c r="P241" s="510">
        <f t="shared" si="3"/>
        <v>0</v>
      </c>
      <c r="Q241" s="510">
        <f t="shared" si="4"/>
        <v>0</v>
      </c>
      <c r="R241" s="510">
        <f t="shared" si="5"/>
        <v>0</v>
      </c>
    </row>
    <row r="242" spans="1:18">
      <c r="A242" s="505"/>
      <c r="B242" s="511" t="s">
        <v>740</v>
      </c>
      <c r="C242" s="507">
        <v>16</v>
      </c>
      <c r="D242" s="508"/>
      <c r="E242" s="507">
        <v>2</v>
      </c>
      <c r="F242" s="502">
        <v>1</v>
      </c>
      <c r="G242" s="502">
        <v>2</v>
      </c>
      <c r="H242" s="524">
        <v>0.3</v>
      </c>
      <c r="I242" s="524">
        <f>12.03-0.06</f>
        <v>11.969999999999999</v>
      </c>
      <c r="J242" s="525">
        <v>0.3</v>
      </c>
      <c r="K242" s="525">
        <f>49*C242/1000</f>
        <v>0.78400000000000003</v>
      </c>
      <c r="L242" s="510">
        <f>SUM(H242:J242)+K242</f>
        <v>13.354000000000001</v>
      </c>
      <c r="M242" s="510">
        <f t="shared" si="0"/>
        <v>0</v>
      </c>
      <c r="N242" s="510">
        <f t="shared" si="1"/>
        <v>0</v>
      </c>
      <c r="O242" s="510">
        <f t="shared" si="2"/>
        <v>0</v>
      </c>
      <c r="P242" s="510">
        <f t="shared" si="3"/>
        <v>53.42</v>
      </c>
      <c r="Q242" s="510">
        <f t="shared" si="4"/>
        <v>0</v>
      </c>
      <c r="R242" s="510">
        <f t="shared" si="5"/>
        <v>0</v>
      </c>
    </row>
    <row r="243" spans="1:18">
      <c r="A243" s="505"/>
      <c r="B243" s="511" t="s">
        <v>773</v>
      </c>
      <c r="C243" s="507">
        <v>16</v>
      </c>
      <c r="D243" s="508"/>
      <c r="E243" s="507">
        <v>2</v>
      </c>
      <c r="F243" s="502">
        <v>1</v>
      </c>
      <c r="G243" s="502">
        <v>2</v>
      </c>
      <c r="H243" s="524">
        <v>0.3</v>
      </c>
      <c r="I243" s="524">
        <f>12.03-0.06</f>
        <v>11.969999999999999</v>
      </c>
      <c r="J243" s="525">
        <v>0.3</v>
      </c>
      <c r="K243" s="525">
        <f>49*C243/1000</f>
        <v>0.78400000000000003</v>
      </c>
      <c r="L243" s="510">
        <f>SUM(H243:J243)+K243</f>
        <v>13.354000000000001</v>
      </c>
      <c r="M243" s="510">
        <f t="shared" si="0"/>
        <v>0</v>
      </c>
      <c r="N243" s="510">
        <f t="shared" si="1"/>
        <v>0</v>
      </c>
      <c r="O243" s="510">
        <f t="shared" si="2"/>
        <v>0</v>
      </c>
      <c r="P243" s="510">
        <f t="shared" si="3"/>
        <v>53.42</v>
      </c>
      <c r="Q243" s="510">
        <f t="shared" si="4"/>
        <v>0</v>
      </c>
      <c r="R243" s="510">
        <f t="shared" si="5"/>
        <v>0</v>
      </c>
    </row>
    <row r="244" spans="1:18">
      <c r="A244" s="505"/>
      <c r="B244" s="511" t="s">
        <v>778</v>
      </c>
      <c r="C244" s="507">
        <v>12</v>
      </c>
      <c r="D244" s="508"/>
      <c r="E244" s="507">
        <v>2</v>
      </c>
      <c r="F244" s="502">
        <v>1</v>
      </c>
      <c r="G244" s="502">
        <v>2</v>
      </c>
      <c r="H244" s="524"/>
      <c r="I244" s="524">
        <v>2.93</v>
      </c>
      <c r="J244" s="525"/>
      <c r="K244" s="525"/>
      <c r="L244" s="510">
        <f t="shared" ref="L244:L245" si="155">SUM(H244:J244)+K244</f>
        <v>2.93</v>
      </c>
      <c r="M244" s="510">
        <f t="shared" si="0"/>
        <v>0</v>
      </c>
      <c r="N244" s="510">
        <f t="shared" si="1"/>
        <v>0</v>
      </c>
      <c r="O244" s="510">
        <f t="shared" si="2"/>
        <v>11.72</v>
      </c>
      <c r="P244" s="510">
        <f t="shared" si="3"/>
        <v>0</v>
      </c>
      <c r="Q244" s="510">
        <f t="shared" si="4"/>
        <v>0</v>
      </c>
      <c r="R244" s="510">
        <f t="shared" si="5"/>
        <v>0</v>
      </c>
    </row>
    <row r="245" spans="1:18">
      <c r="A245" s="505"/>
      <c r="B245" s="511" t="s">
        <v>774</v>
      </c>
      <c r="C245" s="507">
        <v>12</v>
      </c>
      <c r="D245" s="508"/>
      <c r="E245" s="507">
        <v>2</v>
      </c>
      <c r="F245" s="502">
        <v>2</v>
      </c>
      <c r="G245" s="502">
        <v>2</v>
      </c>
      <c r="H245" s="524"/>
      <c r="I245" s="524">
        <v>2.85</v>
      </c>
      <c r="J245" s="525"/>
      <c r="K245" s="525"/>
      <c r="L245" s="510">
        <f t="shared" si="155"/>
        <v>2.85</v>
      </c>
      <c r="M245" s="510">
        <f t="shared" si="0"/>
        <v>0</v>
      </c>
      <c r="N245" s="510">
        <f t="shared" si="1"/>
        <v>0</v>
      </c>
      <c r="O245" s="510">
        <f t="shared" si="2"/>
        <v>22.8</v>
      </c>
      <c r="P245" s="510">
        <f t="shared" si="3"/>
        <v>0</v>
      </c>
      <c r="Q245" s="510">
        <f t="shared" si="4"/>
        <v>0</v>
      </c>
      <c r="R245" s="510">
        <f t="shared" si="5"/>
        <v>0</v>
      </c>
    </row>
    <row r="246" spans="1:18">
      <c r="A246" s="505"/>
      <c r="B246" s="511" t="s">
        <v>777</v>
      </c>
      <c r="C246" s="507">
        <v>8</v>
      </c>
      <c r="D246" s="508">
        <v>100</v>
      </c>
      <c r="E246" s="507">
        <v>2</v>
      </c>
      <c r="F246" s="502">
        <v>1</v>
      </c>
      <c r="G246" s="502">
        <f>+ROUND(3/0.1+1,0)</f>
        <v>31</v>
      </c>
      <c r="H246" s="524"/>
      <c r="I246" s="516">
        <f t="shared" ref="I246:I250" si="156">2*(0.14+0.39)+16*C246/1000</f>
        <v>1.1880000000000002</v>
      </c>
      <c r="J246" s="525"/>
      <c r="K246" s="467"/>
      <c r="L246" s="510">
        <f t="shared" ref="L246" si="157">SUM(H246:J246)+K246</f>
        <v>1.1880000000000002</v>
      </c>
      <c r="M246" s="510">
        <f t="shared" si="0"/>
        <v>73.66</v>
      </c>
      <c r="N246" s="510">
        <f t="shared" si="1"/>
        <v>0</v>
      </c>
      <c r="O246" s="510">
        <f t="shared" si="2"/>
        <v>0</v>
      </c>
      <c r="P246" s="510">
        <f t="shared" si="3"/>
        <v>0</v>
      </c>
      <c r="Q246" s="510">
        <f t="shared" si="4"/>
        <v>0</v>
      </c>
      <c r="R246" s="510">
        <f t="shared" si="5"/>
        <v>0</v>
      </c>
    </row>
    <row r="247" spans="1:18">
      <c r="A247" s="505"/>
      <c r="B247" s="511" t="s">
        <v>777</v>
      </c>
      <c r="C247" s="507">
        <v>8</v>
      </c>
      <c r="D247" s="508">
        <v>100</v>
      </c>
      <c r="E247" s="507">
        <v>2</v>
      </c>
      <c r="F247" s="502">
        <v>1</v>
      </c>
      <c r="G247" s="502">
        <f>+ROUND(2.065/0.1,0)</f>
        <v>21</v>
      </c>
      <c r="H247" s="524"/>
      <c r="I247" s="516">
        <f t="shared" si="156"/>
        <v>1.1880000000000002</v>
      </c>
      <c r="J247" s="525"/>
      <c r="K247" s="467"/>
      <c r="L247" s="510">
        <f t="shared" ref="L247:L248" si="158">SUM(H247:J247)+K247</f>
        <v>1.1880000000000002</v>
      </c>
      <c r="M247" s="510">
        <f t="shared" si="0"/>
        <v>49.9</v>
      </c>
      <c r="N247" s="510">
        <f t="shared" si="1"/>
        <v>0</v>
      </c>
      <c r="O247" s="510">
        <f t="shared" si="2"/>
        <v>0</v>
      </c>
      <c r="P247" s="510">
        <f t="shared" si="3"/>
        <v>0</v>
      </c>
      <c r="Q247" s="510">
        <f t="shared" si="4"/>
        <v>0</v>
      </c>
      <c r="R247" s="510">
        <f t="shared" si="5"/>
        <v>0</v>
      </c>
    </row>
    <row r="248" spans="1:18">
      <c r="A248" s="505"/>
      <c r="B248" s="511"/>
      <c r="C248" s="507">
        <v>8</v>
      </c>
      <c r="D248" s="508">
        <v>150</v>
      </c>
      <c r="E248" s="507">
        <v>2</v>
      </c>
      <c r="F248" s="502">
        <v>1</v>
      </c>
      <c r="G248" s="502">
        <f>+ROUND(2.065/0.15+1,0)</f>
        <v>15</v>
      </c>
      <c r="H248" s="524"/>
      <c r="I248" s="516">
        <f t="shared" si="156"/>
        <v>1.1880000000000002</v>
      </c>
      <c r="J248" s="525"/>
      <c r="K248" s="467"/>
      <c r="L248" s="510">
        <f t="shared" si="158"/>
        <v>1.1880000000000002</v>
      </c>
      <c r="M248" s="510">
        <f t="shared" ref="M248:M313" si="159">+ROUND(IF(C248=8,PRODUCT(E248,F248,G248,L248),0),2)</f>
        <v>35.64</v>
      </c>
      <c r="N248" s="510">
        <f t="shared" ref="N248:N313" si="160">+ROUND(IF(C248=10,PRODUCT(E248,F248,G248,L248),0),2)</f>
        <v>0</v>
      </c>
      <c r="O248" s="510">
        <f t="shared" ref="O248:O313" si="161">+ROUND(IF(C248=12,PRODUCT(E248,F248,G248,L248),0),2)</f>
        <v>0</v>
      </c>
      <c r="P248" s="510">
        <f t="shared" ref="P248:P313" si="162">+ROUND(IF(C248=16,PRODUCT(E248,F248,G248,L248),0),2)</f>
        <v>0</v>
      </c>
      <c r="Q248" s="510">
        <f t="shared" ref="Q248:Q313" si="163">+ROUND(IF(C248=20,PRODUCT(E248,F248,G248,L248),0),2)</f>
        <v>0</v>
      </c>
      <c r="R248" s="510">
        <f t="shared" ref="R248:R313" si="164">+ROUND(IF(C248=25,PRODUCT(E248,F248,G248,L248),0),2)</f>
        <v>0</v>
      </c>
    </row>
    <row r="249" spans="1:18">
      <c r="A249" s="505"/>
      <c r="B249" s="511" t="s">
        <v>777</v>
      </c>
      <c r="C249" s="507">
        <v>8</v>
      </c>
      <c r="D249" s="508">
        <v>100</v>
      </c>
      <c r="E249" s="507">
        <v>2</v>
      </c>
      <c r="F249" s="502">
        <v>1</v>
      </c>
      <c r="G249" s="502">
        <f>+ROUND(1.8/0.1,0)</f>
        <v>18</v>
      </c>
      <c r="H249" s="524"/>
      <c r="I249" s="516">
        <f t="shared" si="156"/>
        <v>1.1880000000000002</v>
      </c>
      <c r="J249" s="525"/>
      <c r="K249" s="467"/>
      <c r="L249" s="510">
        <f t="shared" ref="L249:L250" si="165">SUM(H249:J249)+K249</f>
        <v>1.1880000000000002</v>
      </c>
      <c r="M249" s="510">
        <f t="shared" si="159"/>
        <v>42.77</v>
      </c>
      <c r="N249" s="510">
        <f t="shared" si="160"/>
        <v>0</v>
      </c>
      <c r="O249" s="510">
        <f t="shared" si="161"/>
        <v>0</v>
      </c>
      <c r="P249" s="510">
        <f t="shared" si="162"/>
        <v>0</v>
      </c>
      <c r="Q249" s="510">
        <f t="shared" si="163"/>
        <v>0</v>
      </c>
      <c r="R249" s="510">
        <f t="shared" si="164"/>
        <v>0</v>
      </c>
    </row>
    <row r="250" spans="1:18">
      <c r="A250" s="505"/>
      <c r="B250" s="511"/>
      <c r="C250" s="507">
        <v>8</v>
      </c>
      <c r="D250" s="508">
        <v>150</v>
      </c>
      <c r="E250" s="507">
        <v>2</v>
      </c>
      <c r="F250" s="502">
        <v>1</v>
      </c>
      <c r="G250" s="502">
        <f>+ROUND(1.2/0.15+1,0)</f>
        <v>9</v>
      </c>
      <c r="H250" s="524"/>
      <c r="I250" s="516">
        <f t="shared" si="156"/>
        <v>1.1880000000000002</v>
      </c>
      <c r="J250" s="525"/>
      <c r="K250" s="467"/>
      <c r="L250" s="510">
        <f t="shared" si="165"/>
        <v>1.1880000000000002</v>
      </c>
      <c r="M250" s="510">
        <f t="shared" ref="M250" si="166">+ROUND(IF(C250=8,PRODUCT(E250,F250,G250,L250),0),2)</f>
        <v>21.38</v>
      </c>
      <c r="N250" s="510">
        <f t="shared" ref="N250" si="167">+ROUND(IF(C250=10,PRODUCT(E250,F250,G250,L250),0),2)</f>
        <v>0</v>
      </c>
      <c r="O250" s="510">
        <f t="shared" ref="O250" si="168">+ROUND(IF(C250=12,PRODUCT(E250,F250,G250,L250),0),2)</f>
        <v>0</v>
      </c>
      <c r="P250" s="510">
        <f t="shared" ref="P250" si="169">+ROUND(IF(C250=16,PRODUCT(E250,F250,G250,L250),0),2)</f>
        <v>0</v>
      </c>
      <c r="Q250" s="510">
        <f t="shared" ref="Q250" si="170">+ROUND(IF(C250=20,PRODUCT(E250,F250,G250,L250),0),2)</f>
        <v>0</v>
      </c>
      <c r="R250" s="510">
        <f t="shared" ref="R250" si="171">+ROUND(IF(C250=25,PRODUCT(E250,F250,G250,L250),0),2)</f>
        <v>0</v>
      </c>
    </row>
    <row r="251" spans="1:18">
      <c r="A251" s="505" t="s">
        <v>772</v>
      </c>
      <c r="B251" s="506" t="s">
        <v>709</v>
      </c>
      <c r="C251" s="507"/>
      <c r="D251" s="508"/>
      <c r="E251" s="507"/>
      <c r="F251" s="502"/>
      <c r="G251" s="502"/>
      <c r="H251" s="503"/>
      <c r="I251" s="503"/>
      <c r="J251" s="509"/>
      <c r="K251" s="509"/>
      <c r="L251" s="510">
        <f t="shared" ref="L251" si="172">SUM(H251:J251)+K251</f>
        <v>0</v>
      </c>
      <c r="M251" s="510">
        <f t="shared" si="159"/>
        <v>0</v>
      </c>
      <c r="N251" s="510">
        <f t="shared" si="160"/>
        <v>0</v>
      </c>
      <c r="O251" s="510">
        <f t="shared" si="161"/>
        <v>0</v>
      </c>
      <c r="P251" s="510">
        <f t="shared" si="162"/>
        <v>0</v>
      </c>
      <c r="Q251" s="510">
        <f t="shared" si="163"/>
        <v>0</v>
      </c>
      <c r="R251" s="510">
        <f t="shared" si="164"/>
        <v>0</v>
      </c>
    </row>
    <row r="252" spans="1:18">
      <c r="A252" s="505"/>
      <c r="B252" s="511" t="s">
        <v>740</v>
      </c>
      <c r="C252" s="507">
        <v>16</v>
      </c>
      <c r="D252" s="508"/>
      <c r="E252" s="507">
        <v>6</v>
      </c>
      <c r="F252" s="502">
        <v>1</v>
      </c>
      <c r="G252" s="502">
        <v>2</v>
      </c>
      <c r="H252" s="503">
        <v>0.3</v>
      </c>
      <c r="I252" s="503">
        <f>4.775-0.06</f>
        <v>4.7150000000000007</v>
      </c>
      <c r="J252" s="509">
        <v>0.3</v>
      </c>
      <c r="K252" s="509"/>
      <c r="L252" s="510">
        <f>SUM(H252:J252)+K252</f>
        <v>5.3150000000000004</v>
      </c>
      <c r="M252" s="510">
        <f t="shared" si="159"/>
        <v>0</v>
      </c>
      <c r="N252" s="510">
        <f t="shared" si="160"/>
        <v>0</v>
      </c>
      <c r="O252" s="510">
        <f t="shared" si="161"/>
        <v>0</v>
      </c>
      <c r="P252" s="510">
        <f t="shared" si="162"/>
        <v>63.78</v>
      </c>
      <c r="Q252" s="510">
        <f t="shared" si="163"/>
        <v>0</v>
      </c>
      <c r="R252" s="510">
        <f t="shared" si="164"/>
        <v>0</v>
      </c>
    </row>
    <row r="253" spans="1:18">
      <c r="A253" s="505"/>
      <c r="B253" s="511" t="s">
        <v>773</v>
      </c>
      <c r="C253" s="507">
        <v>16</v>
      </c>
      <c r="D253" s="508"/>
      <c r="E253" s="507">
        <v>6</v>
      </c>
      <c r="F253" s="502">
        <v>1</v>
      </c>
      <c r="G253" s="502">
        <v>2</v>
      </c>
      <c r="H253" s="503">
        <v>0.3</v>
      </c>
      <c r="I253" s="503">
        <f>4.775-0.06</f>
        <v>4.7150000000000007</v>
      </c>
      <c r="J253" s="509">
        <v>0.3</v>
      </c>
      <c r="K253" s="509"/>
      <c r="L253" s="510">
        <f>SUM(H253:J253)+K253</f>
        <v>5.3150000000000004</v>
      </c>
      <c r="M253" s="510">
        <f t="shared" si="159"/>
        <v>0</v>
      </c>
      <c r="N253" s="510">
        <f t="shared" si="160"/>
        <v>0</v>
      </c>
      <c r="O253" s="510">
        <f t="shared" si="161"/>
        <v>0</v>
      </c>
      <c r="P253" s="510">
        <f t="shared" si="162"/>
        <v>63.78</v>
      </c>
      <c r="Q253" s="510">
        <f t="shared" si="163"/>
        <v>0</v>
      </c>
      <c r="R253" s="510">
        <f t="shared" si="164"/>
        <v>0</v>
      </c>
    </row>
    <row r="254" spans="1:18">
      <c r="A254" s="505"/>
      <c r="B254" s="511" t="s">
        <v>777</v>
      </c>
      <c r="C254" s="507">
        <v>8</v>
      </c>
      <c r="D254" s="508">
        <v>100</v>
      </c>
      <c r="E254" s="507">
        <v>6</v>
      </c>
      <c r="F254" s="502">
        <v>1</v>
      </c>
      <c r="G254" s="502">
        <f>+ROUND(2/0.1,0)</f>
        <v>20</v>
      </c>
      <c r="H254" s="503"/>
      <c r="I254" s="516">
        <f t="shared" ref="I254:I255" si="173">2*(0.14+0.39)+16*C254/1000</f>
        <v>1.1880000000000002</v>
      </c>
      <c r="J254" s="509"/>
      <c r="K254" s="481"/>
      <c r="L254" s="510">
        <f t="shared" ref="L254:L255" si="174">SUM(H254:J254)+K254</f>
        <v>1.1880000000000002</v>
      </c>
      <c r="M254" s="510">
        <f t="shared" si="159"/>
        <v>142.56</v>
      </c>
      <c r="N254" s="510">
        <f t="shared" si="160"/>
        <v>0</v>
      </c>
      <c r="O254" s="510">
        <f t="shared" si="161"/>
        <v>0</v>
      </c>
      <c r="P254" s="510">
        <f t="shared" si="162"/>
        <v>0</v>
      </c>
      <c r="Q254" s="510">
        <f t="shared" si="163"/>
        <v>0</v>
      </c>
      <c r="R254" s="510">
        <f t="shared" si="164"/>
        <v>0</v>
      </c>
    </row>
    <row r="255" spans="1:18">
      <c r="A255" s="505"/>
      <c r="B255" s="511"/>
      <c r="C255" s="507">
        <v>8</v>
      </c>
      <c r="D255" s="508">
        <v>150</v>
      </c>
      <c r="E255" s="507">
        <v>6</v>
      </c>
      <c r="F255" s="502">
        <v>1</v>
      </c>
      <c r="G255" s="502">
        <f>+ROUND(1.31/0.15+1,0)</f>
        <v>10</v>
      </c>
      <c r="H255" s="503"/>
      <c r="I255" s="516">
        <f t="shared" si="173"/>
        <v>1.1880000000000002</v>
      </c>
      <c r="J255" s="509"/>
      <c r="K255" s="481"/>
      <c r="L255" s="510">
        <f t="shared" si="174"/>
        <v>1.1880000000000002</v>
      </c>
      <c r="M255" s="510">
        <f t="shared" si="159"/>
        <v>71.28</v>
      </c>
      <c r="N255" s="510">
        <f t="shared" si="160"/>
        <v>0</v>
      </c>
      <c r="O255" s="510">
        <f t="shared" si="161"/>
        <v>0</v>
      </c>
      <c r="P255" s="510">
        <f t="shared" si="162"/>
        <v>0</v>
      </c>
      <c r="Q255" s="510">
        <f t="shared" si="163"/>
        <v>0</v>
      </c>
      <c r="R255" s="510">
        <f t="shared" si="164"/>
        <v>0</v>
      </c>
    </row>
    <row r="256" spans="1:18">
      <c r="A256" s="505" t="s">
        <v>772</v>
      </c>
      <c r="B256" s="506" t="s">
        <v>710</v>
      </c>
      <c r="C256" s="507"/>
      <c r="D256" s="508"/>
      <c r="E256" s="507"/>
      <c r="F256" s="502"/>
      <c r="G256" s="502"/>
      <c r="H256" s="503"/>
      <c r="I256" s="503"/>
      <c r="J256" s="509"/>
      <c r="K256" s="509"/>
      <c r="L256" s="510">
        <f t="shared" ref="L256" si="175">SUM(H256:J256)+K256</f>
        <v>0</v>
      </c>
      <c r="M256" s="510">
        <f t="shared" si="159"/>
        <v>0</v>
      </c>
      <c r="N256" s="510">
        <f t="shared" si="160"/>
        <v>0</v>
      </c>
      <c r="O256" s="510">
        <f t="shared" si="161"/>
        <v>0</v>
      </c>
      <c r="P256" s="510">
        <f t="shared" si="162"/>
        <v>0</v>
      </c>
      <c r="Q256" s="510">
        <f t="shared" si="163"/>
        <v>0</v>
      </c>
      <c r="R256" s="510">
        <f t="shared" si="164"/>
        <v>0</v>
      </c>
    </row>
    <row r="257" spans="1:18">
      <c r="A257" s="505"/>
      <c r="B257" s="511" t="s">
        <v>740</v>
      </c>
      <c r="C257" s="507">
        <v>12</v>
      </c>
      <c r="D257" s="508"/>
      <c r="E257" s="507">
        <v>6</v>
      </c>
      <c r="F257" s="502">
        <v>1</v>
      </c>
      <c r="G257" s="502">
        <v>2</v>
      </c>
      <c r="H257" s="503">
        <v>0.3</v>
      </c>
      <c r="I257" s="503">
        <f>5.19-0.06</f>
        <v>5.1300000000000008</v>
      </c>
      <c r="J257" s="509">
        <v>0.3</v>
      </c>
      <c r="K257" s="509"/>
      <c r="L257" s="510">
        <f>SUM(H257:J257)+K257</f>
        <v>5.73</v>
      </c>
      <c r="M257" s="510">
        <f t="shared" si="159"/>
        <v>0</v>
      </c>
      <c r="N257" s="510">
        <f t="shared" si="160"/>
        <v>0</v>
      </c>
      <c r="O257" s="510">
        <f t="shared" si="161"/>
        <v>68.760000000000005</v>
      </c>
      <c r="P257" s="510">
        <f t="shared" si="162"/>
        <v>0</v>
      </c>
      <c r="Q257" s="510">
        <f t="shared" si="163"/>
        <v>0</v>
      </c>
      <c r="R257" s="510">
        <f t="shared" si="164"/>
        <v>0</v>
      </c>
    </row>
    <row r="258" spans="1:18">
      <c r="A258" s="505"/>
      <c r="B258" s="511" t="s">
        <v>773</v>
      </c>
      <c r="C258" s="507">
        <v>12</v>
      </c>
      <c r="D258" s="508"/>
      <c r="E258" s="507">
        <v>6</v>
      </c>
      <c r="F258" s="502">
        <v>1</v>
      </c>
      <c r="G258" s="502">
        <v>2</v>
      </c>
      <c r="H258" s="503">
        <v>0.3</v>
      </c>
      <c r="I258" s="503">
        <f>5.19-0.06</f>
        <v>5.1300000000000008</v>
      </c>
      <c r="J258" s="509">
        <v>0.3</v>
      </c>
      <c r="K258" s="509"/>
      <c r="L258" s="510">
        <f>SUM(H258:J258)+K258</f>
        <v>5.73</v>
      </c>
      <c r="M258" s="510">
        <f t="shared" si="159"/>
        <v>0</v>
      </c>
      <c r="N258" s="510">
        <f t="shared" si="160"/>
        <v>0</v>
      </c>
      <c r="O258" s="510">
        <f t="shared" si="161"/>
        <v>68.760000000000005</v>
      </c>
      <c r="P258" s="510">
        <f t="shared" si="162"/>
        <v>0</v>
      </c>
      <c r="Q258" s="510">
        <f t="shared" si="163"/>
        <v>0</v>
      </c>
      <c r="R258" s="510">
        <f t="shared" si="164"/>
        <v>0</v>
      </c>
    </row>
    <row r="259" spans="1:18">
      <c r="A259" s="505"/>
      <c r="B259" s="511" t="s">
        <v>777</v>
      </c>
      <c r="C259" s="507">
        <v>8</v>
      </c>
      <c r="D259" s="508">
        <v>100</v>
      </c>
      <c r="E259" s="507">
        <v>6</v>
      </c>
      <c r="F259" s="502">
        <v>1</v>
      </c>
      <c r="G259" s="502">
        <f>+ROUND(4.49/0.1+2,0)</f>
        <v>47</v>
      </c>
      <c r="H259" s="503"/>
      <c r="I259" s="516">
        <f t="shared" ref="I259" si="176">2*(0.14+0.39)+16*C259/1000</f>
        <v>1.1880000000000002</v>
      </c>
      <c r="J259" s="509"/>
      <c r="K259" s="481"/>
      <c r="L259" s="510">
        <f t="shared" ref="L259" si="177">SUM(H259:J259)+K259</f>
        <v>1.1880000000000002</v>
      </c>
      <c r="M259" s="510">
        <f t="shared" si="159"/>
        <v>335.02</v>
      </c>
      <c r="N259" s="510">
        <f t="shared" si="160"/>
        <v>0</v>
      </c>
      <c r="O259" s="510">
        <f t="shared" si="161"/>
        <v>0</v>
      </c>
      <c r="P259" s="510">
        <f t="shared" si="162"/>
        <v>0</v>
      </c>
      <c r="Q259" s="510">
        <f t="shared" si="163"/>
        <v>0</v>
      </c>
      <c r="R259" s="510">
        <f t="shared" si="164"/>
        <v>0</v>
      </c>
    </row>
    <row r="260" spans="1:18">
      <c r="A260" s="505" t="s">
        <v>772</v>
      </c>
      <c r="B260" s="506" t="s">
        <v>711</v>
      </c>
      <c r="C260" s="507"/>
      <c r="D260" s="508"/>
      <c r="E260" s="507"/>
      <c r="F260" s="502"/>
      <c r="G260" s="502"/>
      <c r="H260" s="503"/>
      <c r="I260" s="503"/>
      <c r="J260" s="509"/>
      <c r="K260" s="509"/>
      <c r="L260" s="510">
        <f t="shared" ref="L260" si="178">SUM(H260:J260)+K260</f>
        <v>0</v>
      </c>
      <c r="M260" s="510">
        <f t="shared" si="159"/>
        <v>0</v>
      </c>
      <c r="N260" s="510">
        <f t="shared" si="160"/>
        <v>0</v>
      </c>
      <c r="O260" s="510">
        <f t="shared" si="161"/>
        <v>0</v>
      </c>
      <c r="P260" s="510">
        <f t="shared" si="162"/>
        <v>0</v>
      </c>
      <c r="Q260" s="510">
        <f t="shared" si="163"/>
        <v>0</v>
      </c>
      <c r="R260" s="510">
        <f t="shared" si="164"/>
        <v>0</v>
      </c>
    </row>
    <row r="261" spans="1:18">
      <c r="A261" s="505"/>
      <c r="B261" s="511" t="s">
        <v>740</v>
      </c>
      <c r="C261" s="507">
        <v>12</v>
      </c>
      <c r="D261" s="508"/>
      <c r="E261" s="507">
        <v>2</v>
      </c>
      <c r="F261" s="502">
        <v>1</v>
      </c>
      <c r="G261" s="502">
        <v>2</v>
      </c>
      <c r="H261" s="503">
        <v>0.3</v>
      </c>
      <c r="I261" s="503">
        <f>6.745-0.06</f>
        <v>6.6850000000000005</v>
      </c>
      <c r="J261" s="509">
        <v>0.3</v>
      </c>
      <c r="K261" s="509"/>
      <c r="L261" s="510">
        <f>SUM(H261:J261)+K261</f>
        <v>7.2850000000000001</v>
      </c>
      <c r="M261" s="510">
        <f t="shared" si="159"/>
        <v>0</v>
      </c>
      <c r="N261" s="510">
        <f t="shared" si="160"/>
        <v>0</v>
      </c>
      <c r="O261" s="510">
        <f t="shared" si="161"/>
        <v>29.14</v>
      </c>
      <c r="P261" s="510">
        <f t="shared" si="162"/>
        <v>0</v>
      </c>
      <c r="Q261" s="510">
        <f t="shared" si="163"/>
        <v>0</v>
      </c>
      <c r="R261" s="510">
        <f t="shared" si="164"/>
        <v>0</v>
      </c>
    </row>
    <row r="262" spans="1:18">
      <c r="A262" s="505"/>
      <c r="B262" s="511" t="s">
        <v>773</v>
      </c>
      <c r="C262" s="507">
        <v>12</v>
      </c>
      <c r="D262" s="508"/>
      <c r="E262" s="507">
        <v>2</v>
      </c>
      <c r="F262" s="502">
        <v>1</v>
      </c>
      <c r="G262" s="502">
        <v>2</v>
      </c>
      <c r="H262" s="503">
        <v>0.3</v>
      </c>
      <c r="I262" s="503">
        <f>6.745-0.06</f>
        <v>6.6850000000000005</v>
      </c>
      <c r="J262" s="509">
        <v>0.3</v>
      </c>
      <c r="K262" s="509"/>
      <c r="L262" s="510">
        <f>SUM(H262:J262)+K262</f>
        <v>7.2850000000000001</v>
      </c>
      <c r="M262" s="510">
        <f t="shared" si="159"/>
        <v>0</v>
      </c>
      <c r="N262" s="510">
        <f t="shared" si="160"/>
        <v>0</v>
      </c>
      <c r="O262" s="510">
        <f t="shared" si="161"/>
        <v>29.14</v>
      </c>
      <c r="P262" s="510">
        <f t="shared" si="162"/>
        <v>0</v>
      </c>
      <c r="Q262" s="510">
        <f t="shared" si="163"/>
        <v>0</v>
      </c>
      <c r="R262" s="510">
        <f t="shared" si="164"/>
        <v>0</v>
      </c>
    </row>
    <row r="263" spans="1:18">
      <c r="A263" s="505"/>
      <c r="B263" s="511" t="s">
        <v>778</v>
      </c>
      <c r="C263" s="507">
        <v>12</v>
      </c>
      <c r="D263" s="508"/>
      <c r="E263" s="507">
        <v>2</v>
      </c>
      <c r="F263" s="502">
        <v>1</v>
      </c>
      <c r="G263" s="502">
        <v>2</v>
      </c>
      <c r="H263" s="503"/>
      <c r="I263" s="503">
        <v>4.2450000000000001</v>
      </c>
      <c r="J263" s="509"/>
      <c r="K263" s="509"/>
      <c r="L263" s="510">
        <f t="shared" ref="L263" si="179">SUM(H263:J263)+K263</f>
        <v>4.2450000000000001</v>
      </c>
      <c r="M263" s="510">
        <f t="shared" si="159"/>
        <v>0</v>
      </c>
      <c r="N263" s="510">
        <f t="shared" si="160"/>
        <v>0</v>
      </c>
      <c r="O263" s="510">
        <f t="shared" si="161"/>
        <v>16.98</v>
      </c>
      <c r="P263" s="510">
        <f t="shared" si="162"/>
        <v>0</v>
      </c>
      <c r="Q263" s="510">
        <f t="shared" si="163"/>
        <v>0</v>
      </c>
      <c r="R263" s="510">
        <f t="shared" si="164"/>
        <v>0</v>
      </c>
    </row>
    <row r="264" spans="1:18">
      <c r="A264" s="505"/>
      <c r="B264" s="511" t="s">
        <v>774</v>
      </c>
      <c r="C264" s="507">
        <v>12</v>
      </c>
      <c r="D264" s="508"/>
      <c r="E264" s="507">
        <v>2</v>
      </c>
      <c r="F264" s="502">
        <v>2</v>
      </c>
      <c r="G264" s="502">
        <v>2</v>
      </c>
      <c r="H264" s="503"/>
      <c r="I264" s="503">
        <f>1.5+0.75-0.03</f>
        <v>2.2200000000000002</v>
      </c>
      <c r="J264" s="509">
        <v>0.3</v>
      </c>
      <c r="K264" s="509"/>
      <c r="L264" s="510">
        <f t="shared" ref="L264" si="180">SUM(H264:J264)+K264</f>
        <v>2.52</v>
      </c>
      <c r="M264" s="510">
        <f t="shared" si="159"/>
        <v>0</v>
      </c>
      <c r="N264" s="510">
        <f t="shared" si="160"/>
        <v>0</v>
      </c>
      <c r="O264" s="510">
        <f t="shared" si="161"/>
        <v>20.16</v>
      </c>
      <c r="P264" s="510">
        <f t="shared" si="162"/>
        <v>0</v>
      </c>
      <c r="Q264" s="510">
        <f t="shared" si="163"/>
        <v>0</v>
      </c>
      <c r="R264" s="510">
        <f t="shared" si="164"/>
        <v>0</v>
      </c>
    </row>
    <row r="265" spans="1:18">
      <c r="A265" s="505"/>
      <c r="B265" s="511" t="s">
        <v>777</v>
      </c>
      <c r="C265" s="507">
        <v>8</v>
      </c>
      <c r="D265" s="508">
        <v>100</v>
      </c>
      <c r="E265" s="507">
        <v>2</v>
      </c>
      <c r="F265" s="502">
        <v>1</v>
      </c>
      <c r="G265" s="502">
        <f>+ROUND(2.622/0.1,0)</f>
        <v>26</v>
      </c>
      <c r="H265" s="503"/>
      <c r="I265" s="516">
        <f t="shared" ref="I265:I266" si="181">2*(0.14+0.39)+16*C265/1000</f>
        <v>1.1880000000000002</v>
      </c>
      <c r="J265" s="509"/>
      <c r="K265" s="481"/>
      <c r="L265" s="510">
        <f t="shared" ref="L265" si="182">SUM(H265:J265)+K265</f>
        <v>1.1880000000000002</v>
      </c>
      <c r="M265" s="510">
        <f t="shared" si="159"/>
        <v>61.78</v>
      </c>
      <c r="N265" s="510">
        <f t="shared" si="160"/>
        <v>0</v>
      </c>
      <c r="O265" s="510">
        <f t="shared" si="161"/>
        <v>0</v>
      </c>
      <c r="P265" s="510">
        <f t="shared" si="162"/>
        <v>0</v>
      </c>
      <c r="Q265" s="510">
        <f t="shared" si="163"/>
        <v>0</v>
      </c>
      <c r="R265" s="510">
        <f t="shared" si="164"/>
        <v>0</v>
      </c>
    </row>
    <row r="266" spans="1:18">
      <c r="A266" s="505"/>
      <c r="B266" s="511"/>
      <c r="C266" s="507">
        <v>8</v>
      </c>
      <c r="D266" s="508">
        <v>150</v>
      </c>
      <c r="E266" s="507">
        <v>2</v>
      </c>
      <c r="F266" s="502">
        <v>1</v>
      </c>
      <c r="G266" s="502">
        <f>+ROUND(2.622/0.15+1,0)</f>
        <v>18</v>
      </c>
      <c r="H266" s="503"/>
      <c r="I266" s="516">
        <f t="shared" si="181"/>
        <v>1.1880000000000002</v>
      </c>
      <c r="J266" s="509"/>
      <c r="K266" s="509"/>
      <c r="L266" s="510">
        <f>SUM(H266:J266)+K266</f>
        <v>1.1880000000000002</v>
      </c>
      <c r="M266" s="510">
        <f t="shared" si="159"/>
        <v>42.77</v>
      </c>
      <c r="N266" s="510">
        <f t="shared" si="160"/>
        <v>0</v>
      </c>
      <c r="O266" s="510">
        <f t="shared" si="161"/>
        <v>0</v>
      </c>
      <c r="P266" s="510">
        <f t="shared" si="162"/>
        <v>0</v>
      </c>
      <c r="Q266" s="510">
        <f t="shared" si="163"/>
        <v>0</v>
      </c>
      <c r="R266" s="510">
        <f t="shared" si="164"/>
        <v>0</v>
      </c>
    </row>
    <row r="267" spans="1:18">
      <c r="A267" s="505" t="s">
        <v>772</v>
      </c>
      <c r="B267" s="506" t="s">
        <v>712</v>
      </c>
      <c r="C267" s="507"/>
      <c r="D267" s="508"/>
      <c r="E267" s="507"/>
      <c r="F267" s="502"/>
      <c r="G267" s="502"/>
      <c r="H267" s="503"/>
      <c r="I267" s="503"/>
      <c r="J267" s="509"/>
      <c r="K267" s="509"/>
      <c r="L267" s="510">
        <f t="shared" ref="L267" si="183">SUM(H267:J267)+K267</f>
        <v>0</v>
      </c>
      <c r="M267" s="510">
        <f t="shared" si="159"/>
        <v>0</v>
      </c>
      <c r="N267" s="510">
        <f t="shared" si="160"/>
        <v>0</v>
      </c>
      <c r="O267" s="510">
        <f t="shared" si="161"/>
        <v>0</v>
      </c>
      <c r="P267" s="510">
        <f t="shared" si="162"/>
        <v>0</v>
      </c>
      <c r="Q267" s="510">
        <f t="shared" si="163"/>
        <v>0</v>
      </c>
      <c r="R267" s="510">
        <f t="shared" si="164"/>
        <v>0</v>
      </c>
    </row>
    <row r="268" spans="1:18">
      <c r="A268" s="505"/>
      <c r="B268" s="511" t="s">
        <v>740</v>
      </c>
      <c r="C268" s="507">
        <v>12</v>
      </c>
      <c r="D268" s="508"/>
      <c r="E268" s="507">
        <v>2</v>
      </c>
      <c r="F268" s="502">
        <v>1</v>
      </c>
      <c r="G268" s="502">
        <v>2</v>
      </c>
      <c r="H268" s="503">
        <v>0.3</v>
      </c>
      <c r="I268" s="503">
        <f>2.43-0.03</f>
        <v>2.4000000000000004</v>
      </c>
      <c r="J268" s="509">
        <f>49*0.016+10*0.016</f>
        <v>0.94400000000000006</v>
      </c>
      <c r="K268" s="509"/>
      <c r="L268" s="510">
        <f>SUM(H268:J268)+K268</f>
        <v>3.6440000000000001</v>
      </c>
      <c r="M268" s="510">
        <f t="shared" si="159"/>
        <v>0</v>
      </c>
      <c r="N268" s="510">
        <f t="shared" si="160"/>
        <v>0</v>
      </c>
      <c r="O268" s="510">
        <f t="shared" si="161"/>
        <v>14.58</v>
      </c>
      <c r="P268" s="510">
        <f t="shared" si="162"/>
        <v>0</v>
      </c>
      <c r="Q268" s="510">
        <f t="shared" si="163"/>
        <v>0</v>
      </c>
      <c r="R268" s="510">
        <f t="shared" si="164"/>
        <v>0</v>
      </c>
    </row>
    <row r="269" spans="1:18">
      <c r="A269" s="505"/>
      <c r="B269" s="511" t="s">
        <v>773</v>
      </c>
      <c r="C269" s="507">
        <v>12</v>
      </c>
      <c r="D269" s="508"/>
      <c r="E269" s="507">
        <v>2</v>
      </c>
      <c r="F269" s="502">
        <v>1</v>
      </c>
      <c r="G269" s="502">
        <v>2</v>
      </c>
      <c r="H269" s="503">
        <v>0.3</v>
      </c>
      <c r="I269" s="503">
        <f>2.43-0.03</f>
        <v>2.4000000000000004</v>
      </c>
      <c r="J269" s="509">
        <f>49*0.016+10*0.016</f>
        <v>0.94400000000000006</v>
      </c>
      <c r="K269" s="509"/>
      <c r="L269" s="510">
        <f>SUM(H269:J269)+K269</f>
        <v>3.6440000000000001</v>
      </c>
      <c r="M269" s="510">
        <f t="shared" si="159"/>
        <v>0</v>
      </c>
      <c r="N269" s="510">
        <f t="shared" si="160"/>
        <v>0</v>
      </c>
      <c r="O269" s="510">
        <f t="shared" si="161"/>
        <v>14.58</v>
      </c>
      <c r="P269" s="510">
        <f t="shared" si="162"/>
        <v>0</v>
      </c>
      <c r="Q269" s="510">
        <f t="shared" si="163"/>
        <v>0</v>
      </c>
      <c r="R269" s="510">
        <f t="shared" si="164"/>
        <v>0</v>
      </c>
    </row>
    <row r="270" spans="1:18">
      <c r="A270" s="505"/>
      <c r="B270" s="511" t="s">
        <v>777</v>
      </c>
      <c r="C270" s="507">
        <v>8</v>
      </c>
      <c r="D270" s="508">
        <v>100</v>
      </c>
      <c r="E270" s="507">
        <v>2</v>
      </c>
      <c r="F270" s="502">
        <v>1</v>
      </c>
      <c r="G270" s="502">
        <f>+ROUND(2.23/0.1+1,0)</f>
        <v>23</v>
      </c>
      <c r="H270" s="503"/>
      <c r="I270" s="516">
        <f t="shared" ref="I270" si="184">2*(0.14+0.39)+16*C270/1000</f>
        <v>1.1880000000000002</v>
      </c>
      <c r="J270" s="509"/>
      <c r="K270" s="481"/>
      <c r="L270" s="510">
        <f t="shared" ref="L270" si="185">SUM(H270:J270)+K270</f>
        <v>1.1880000000000002</v>
      </c>
      <c r="M270" s="510">
        <f t="shared" si="159"/>
        <v>54.65</v>
      </c>
      <c r="N270" s="510">
        <f t="shared" si="160"/>
        <v>0</v>
      </c>
      <c r="O270" s="510">
        <f t="shared" si="161"/>
        <v>0</v>
      </c>
      <c r="P270" s="510">
        <f t="shared" si="162"/>
        <v>0</v>
      </c>
      <c r="Q270" s="510">
        <f t="shared" si="163"/>
        <v>0</v>
      </c>
      <c r="R270" s="510">
        <f t="shared" si="164"/>
        <v>0</v>
      </c>
    </row>
    <row r="271" spans="1:18">
      <c r="A271" s="505" t="s">
        <v>772</v>
      </c>
      <c r="B271" s="506" t="s">
        <v>713</v>
      </c>
      <c r="C271" s="507"/>
      <c r="D271" s="508"/>
      <c r="E271" s="507"/>
      <c r="F271" s="502"/>
      <c r="G271" s="502"/>
      <c r="H271" s="503"/>
      <c r="I271" s="503"/>
      <c r="J271" s="509"/>
      <c r="K271" s="509"/>
      <c r="L271" s="510">
        <f t="shared" ref="L271" si="186">SUM(H271:J271)+K271</f>
        <v>0</v>
      </c>
      <c r="M271" s="510">
        <f t="shared" si="159"/>
        <v>0</v>
      </c>
      <c r="N271" s="510">
        <f t="shared" si="160"/>
        <v>0</v>
      </c>
      <c r="O271" s="510">
        <f t="shared" si="161"/>
        <v>0</v>
      </c>
      <c r="P271" s="510">
        <f t="shared" si="162"/>
        <v>0</v>
      </c>
      <c r="Q271" s="510">
        <f t="shared" si="163"/>
        <v>0</v>
      </c>
      <c r="R271" s="510">
        <f t="shared" si="164"/>
        <v>0</v>
      </c>
    </row>
    <row r="272" spans="1:18">
      <c r="A272" s="505"/>
      <c r="B272" s="511" t="s">
        <v>740</v>
      </c>
      <c r="C272" s="507">
        <v>16</v>
      </c>
      <c r="D272" s="508"/>
      <c r="E272" s="507">
        <v>2</v>
      </c>
      <c r="F272" s="502">
        <v>1</v>
      </c>
      <c r="G272" s="502">
        <v>2</v>
      </c>
      <c r="H272" s="503">
        <v>0.3</v>
      </c>
      <c r="I272" s="503">
        <f>6.13-0.06</f>
        <v>6.07</v>
      </c>
      <c r="J272" s="509">
        <v>0.3</v>
      </c>
      <c r="K272" s="509"/>
      <c r="L272" s="510">
        <f>SUM(H272:J272)+K272</f>
        <v>6.67</v>
      </c>
      <c r="M272" s="510">
        <f t="shared" si="159"/>
        <v>0</v>
      </c>
      <c r="N272" s="510">
        <f t="shared" si="160"/>
        <v>0</v>
      </c>
      <c r="O272" s="510">
        <f t="shared" si="161"/>
        <v>0</v>
      </c>
      <c r="P272" s="510">
        <f t="shared" si="162"/>
        <v>26.68</v>
      </c>
      <c r="Q272" s="510">
        <f t="shared" si="163"/>
        <v>0</v>
      </c>
      <c r="R272" s="510">
        <f t="shared" si="164"/>
        <v>0</v>
      </c>
    </row>
    <row r="273" spans="1:18">
      <c r="A273" s="505"/>
      <c r="B273" s="511" t="s">
        <v>773</v>
      </c>
      <c r="C273" s="507">
        <v>16</v>
      </c>
      <c r="D273" s="508"/>
      <c r="E273" s="507">
        <v>2</v>
      </c>
      <c r="F273" s="502">
        <v>1</v>
      </c>
      <c r="G273" s="502">
        <v>2</v>
      </c>
      <c r="H273" s="503">
        <v>0.3</v>
      </c>
      <c r="I273" s="503">
        <f>6.13-0.06</f>
        <v>6.07</v>
      </c>
      <c r="J273" s="509">
        <v>0.3</v>
      </c>
      <c r="K273" s="509"/>
      <c r="L273" s="510">
        <f>SUM(H273:J273)+K273</f>
        <v>6.67</v>
      </c>
      <c r="M273" s="510">
        <f t="shared" si="159"/>
        <v>0</v>
      </c>
      <c r="N273" s="510">
        <f t="shared" si="160"/>
        <v>0</v>
      </c>
      <c r="O273" s="510">
        <f t="shared" si="161"/>
        <v>0</v>
      </c>
      <c r="P273" s="510">
        <f t="shared" si="162"/>
        <v>26.68</v>
      </c>
      <c r="Q273" s="510">
        <f t="shared" si="163"/>
        <v>0</v>
      </c>
      <c r="R273" s="510">
        <f t="shared" si="164"/>
        <v>0</v>
      </c>
    </row>
    <row r="274" spans="1:18">
      <c r="A274" s="505"/>
      <c r="B274" s="511" t="s">
        <v>777</v>
      </c>
      <c r="C274" s="507">
        <v>8</v>
      </c>
      <c r="D274" s="508">
        <v>100</v>
      </c>
      <c r="E274" s="507">
        <v>2</v>
      </c>
      <c r="F274" s="502">
        <v>1</v>
      </c>
      <c r="G274" s="502">
        <f>+ROUND(4.95/0.1+1,0)</f>
        <v>51</v>
      </c>
      <c r="H274" s="503"/>
      <c r="I274" s="516">
        <f t="shared" ref="I274" si="187">2*(0.14+0.39)+16*C274/1000</f>
        <v>1.1880000000000002</v>
      </c>
      <c r="J274" s="509"/>
      <c r="K274" s="481"/>
      <c r="L274" s="510">
        <f t="shared" ref="L274" si="188">SUM(H274:J274)+K274</f>
        <v>1.1880000000000002</v>
      </c>
      <c r="M274" s="510">
        <f t="shared" si="159"/>
        <v>121.18</v>
      </c>
      <c r="N274" s="510">
        <f t="shared" si="160"/>
        <v>0</v>
      </c>
      <c r="O274" s="510">
        <f t="shared" si="161"/>
        <v>0</v>
      </c>
      <c r="P274" s="510">
        <f t="shared" si="162"/>
        <v>0</v>
      </c>
      <c r="Q274" s="510">
        <f t="shared" si="163"/>
        <v>0</v>
      </c>
      <c r="R274" s="510">
        <f t="shared" si="164"/>
        <v>0</v>
      </c>
    </row>
    <row r="275" spans="1:18">
      <c r="A275" s="505" t="s">
        <v>772</v>
      </c>
      <c r="B275" s="506" t="s">
        <v>714</v>
      </c>
      <c r="C275" s="507"/>
      <c r="D275" s="508"/>
      <c r="E275" s="507"/>
      <c r="F275" s="502"/>
      <c r="G275" s="502"/>
      <c r="H275" s="503"/>
      <c r="I275" s="503"/>
      <c r="J275" s="509"/>
      <c r="K275" s="509"/>
      <c r="L275" s="510">
        <f t="shared" ref="L275" si="189">SUM(H275:J275)+K275</f>
        <v>0</v>
      </c>
      <c r="M275" s="510">
        <f t="shared" si="159"/>
        <v>0</v>
      </c>
      <c r="N275" s="510">
        <f t="shared" si="160"/>
        <v>0</v>
      </c>
      <c r="O275" s="510">
        <f t="shared" si="161"/>
        <v>0</v>
      </c>
      <c r="P275" s="510">
        <f t="shared" si="162"/>
        <v>0</v>
      </c>
      <c r="Q275" s="510">
        <f t="shared" si="163"/>
        <v>0</v>
      </c>
      <c r="R275" s="510">
        <f t="shared" si="164"/>
        <v>0</v>
      </c>
    </row>
    <row r="276" spans="1:18">
      <c r="A276" s="505"/>
      <c r="B276" s="511" t="s">
        <v>740</v>
      </c>
      <c r="C276" s="507">
        <v>16</v>
      </c>
      <c r="D276" s="508"/>
      <c r="E276" s="507">
        <v>2</v>
      </c>
      <c r="F276" s="502">
        <v>1</v>
      </c>
      <c r="G276" s="502">
        <v>2</v>
      </c>
      <c r="H276" s="503">
        <v>0.3</v>
      </c>
      <c r="I276" s="503">
        <f>6.645-0.06</f>
        <v>6.585</v>
      </c>
      <c r="J276" s="509">
        <v>0.3</v>
      </c>
      <c r="K276" s="509"/>
      <c r="L276" s="510">
        <f>SUM(H276:J276)+K276</f>
        <v>7.1849999999999996</v>
      </c>
      <c r="M276" s="510">
        <f t="shared" si="159"/>
        <v>0</v>
      </c>
      <c r="N276" s="510">
        <f t="shared" si="160"/>
        <v>0</v>
      </c>
      <c r="O276" s="510">
        <f t="shared" si="161"/>
        <v>0</v>
      </c>
      <c r="P276" s="510">
        <f t="shared" si="162"/>
        <v>28.74</v>
      </c>
      <c r="Q276" s="510">
        <f t="shared" si="163"/>
        <v>0</v>
      </c>
      <c r="R276" s="510">
        <f t="shared" si="164"/>
        <v>0</v>
      </c>
    </row>
    <row r="277" spans="1:18">
      <c r="A277" s="505"/>
      <c r="B277" s="511" t="s">
        <v>773</v>
      </c>
      <c r="C277" s="507">
        <v>16</v>
      </c>
      <c r="D277" s="508"/>
      <c r="E277" s="507">
        <v>2</v>
      </c>
      <c r="F277" s="502">
        <v>1</v>
      </c>
      <c r="G277" s="502">
        <v>2</v>
      </c>
      <c r="H277" s="503">
        <v>0.3</v>
      </c>
      <c r="I277" s="503">
        <f>6.645-0.06</f>
        <v>6.585</v>
      </c>
      <c r="J277" s="509">
        <v>0.3</v>
      </c>
      <c r="K277" s="509"/>
      <c r="L277" s="510">
        <f>SUM(H277:J277)+K277</f>
        <v>7.1849999999999996</v>
      </c>
      <c r="M277" s="510">
        <f t="shared" si="159"/>
        <v>0</v>
      </c>
      <c r="N277" s="510">
        <f t="shared" si="160"/>
        <v>0</v>
      </c>
      <c r="O277" s="510">
        <f t="shared" si="161"/>
        <v>0</v>
      </c>
      <c r="P277" s="510">
        <f t="shared" si="162"/>
        <v>28.74</v>
      </c>
      <c r="Q277" s="510">
        <f t="shared" si="163"/>
        <v>0</v>
      </c>
      <c r="R277" s="510">
        <f t="shared" si="164"/>
        <v>0</v>
      </c>
    </row>
    <row r="278" spans="1:18">
      <c r="A278" s="505"/>
      <c r="B278" s="511" t="s">
        <v>778</v>
      </c>
      <c r="C278" s="507">
        <v>12</v>
      </c>
      <c r="D278" s="508"/>
      <c r="E278" s="507">
        <v>2</v>
      </c>
      <c r="F278" s="502">
        <v>1</v>
      </c>
      <c r="G278" s="502">
        <v>2</v>
      </c>
      <c r="H278" s="503"/>
      <c r="I278" s="503">
        <v>4.2450000000000001</v>
      </c>
      <c r="J278" s="509"/>
      <c r="K278" s="509"/>
      <c r="L278" s="510">
        <f t="shared" ref="L278" si="190">SUM(H278:J278)+K278</f>
        <v>4.2450000000000001</v>
      </c>
      <c r="M278" s="510">
        <f t="shared" si="159"/>
        <v>0</v>
      </c>
      <c r="N278" s="510">
        <f t="shared" si="160"/>
        <v>0</v>
      </c>
      <c r="O278" s="510">
        <f t="shared" si="161"/>
        <v>16.98</v>
      </c>
      <c r="P278" s="510">
        <f t="shared" si="162"/>
        <v>0</v>
      </c>
      <c r="Q278" s="510">
        <f t="shared" si="163"/>
        <v>0</v>
      </c>
      <c r="R278" s="510">
        <f t="shared" si="164"/>
        <v>0</v>
      </c>
    </row>
    <row r="279" spans="1:18">
      <c r="A279" s="505"/>
      <c r="B279" s="511" t="s">
        <v>774</v>
      </c>
      <c r="C279" s="507">
        <v>12</v>
      </c>
      <c r="D279" s="508"/>
      <c r="E279" s="507">
        <v>2</v>
      </c>
      <c r="F279" s="502">
        <v>2</v>
      </c>
      <c r="G279" s="502">
        <v>2</v>
      </c>
      <c r="H279" s="503"/>
      <c r="I279" s="503">
        <f>1.5+0.75-0.03</f>
        <v>2.2200000000000002</v>
      </c>
      <c r="J279" s="509">
        <v>0.3</v>
      </c>
      <c r="K279" s="509"/>
      <c r="L279" s="510">
        <f>SUM(H279:J279)+K279</f>
        <v>2.52</v>
      </c>
      <c r="M279" s="510">
        <f t="shared" si="159"/>
        <v>0</v>
      </c>
      <c r="N279" s="510">
        <f t="shared" si="160"/>
        <v>0</v>
      </c>
      <c r="O279" s="510">
        <f t="shared" si="161"/>
        <v>20.16</v>
      </c>
      <c r="P279" s="510">
        <f t="shared" si="162"/>
        <v>0</v>
      </c>
      <c r="Q279" s="510">
        <f t="shared" si="163"/>
        <v>0</v>
      </c>
      <c r="R279" s="510">
        <f t="shared" si="164"/>
        <v>0</v>
      </c>
    </row>
    <row r="280" spans="1:18">
      <c r="A280" s="505"/>
      <c r="B280" s="511" t="s">
        <v>777</v>
      </c>
      <c r="C280" s="507">
        <v>8</v>
      </c>
      <c r="D280" s="508">
        <v>100</v>
      </c>
      <c r="E280" s="507">
        <v>2</v>
      </c>
      <c r="F280" s="502">
        <v>1</v>
      </c>
      <c r="G280" s="502">
        <f>+ROUND(2.572/0.1,0)</f>
        <v>26</v>
      </c>
      <c r="H280" s="503"/>
      <c r="I280" s="516">
        <f t="shared" ref="I280:I281" si="191">2*(0.14+0.39)+16*C280/1000</f>
        <v>1.1880000000000002</v>
      </c>
      <c r="J280" s="509"/>
      <c r="K280" s="481"/>
      <c r="L280" s="510">
        <f t="shared" ref="L280:L281" si="192">SUM(H280:J280)+K280</f>
        <v>1.1880000000000002</v>
      </c>
      <c r="M280" s="510">
        <f t="shared" si="159"/>
        <v>61.78</v>
      </c>
      <c r="N280" s="510">
        <f t="shared" si="160"/>
        <v>0</v>
      </c>
      <c r="O280" s="510">
        <f t="shared" si="161"/>
        <v>0</v>
      </c>
      <c r="P280" s="510">
        <f t="shared" si="162"/>
        <v>0</v>
      </c>
      <c r="Q280" s="510">
        <f t="shared" si="163"/>
        <v>0</v>
      </c>
      <c r="R280" s="510">
        <f t="shared" si="164"/>
        <v>0</v>
      </c>
    </row>
    <row r="281" spans="1:18">
      <c r="A281" s="505"/>
      <c r="B281" s="511"/>
      <c r="C281" s="507">
        <v>8</v>
      </c>
      <c r="D281" s="508">
        <v>150</v>
      </c>
      <c r="E281" s="507">
        <v>2</v>
      </c>
      <c r="F281" s="502">
        <v>1</v>
      </c>
      <c r="G281" s="502">
        <f>+ROUND(2.572/0.15+1,0)</f>
        <v>18</v>
      </c>
      <c r="H281" s="503"/>
      <c r="I281" s="516">
        <f t="shared" si="191"/>
        <v>1.1880000000000002</v>
      </c>
      <c r="J281" s="509"/>
      <c r="K281" s="509"/>
      <c r="L281" s="510">
        <f t="shared" si="192"/>
        <v>1.1880000000000002</v>
      </c>
      <c r="M281" s="510">
        <f t="shared" si="159"/>
        <v>42.77</v>
      </c>
      <c r="N281" s="510">
        <f t="shared" si="160"/>
        <v>0</v>
      </c>
      <c r="O281" s="510">
        <f t="shared" si="161"/>
        <v>0</v>
      </c>
      <c r="P281" s="510">
        <f t="shared" si="162"/>
        <v>0</v>
      </c>
      <c r="Q281" s="510">
        <f t="shared" si="163"/>
        <v>0</v>
      </c>
      <c r="R281" s="510">
        <f t="shared" si="164"/>
        <v>0</v>
      </c>
    </row>
    <row r="282" spans="1:18">
      <c r="A282" s="505" t="s">
        <v>779</v>
      </c>
      <c r="B282" s="506" t="s">
        <v>715</v>
      </c>
      <c r="C282" s="507"/>
      <c r="D282" s="508"/>
      <c r="E282" s="507"/>
      <c r="F282" s="502"/>
      <c r="G282" s="502"/>
      <c r="H282" s="503"/>
      <c r="I282" s="503"/>
      <c r="J282" s="509"/>
      <c r="K282" s="509"/>
      <c r="L282" s="510">
        <f t="shared" ref="L282" si="193">SUM(H282:J282)+K282</f>
        <v>0</v>
      </c>
      <c r="M282" s="510">
        <f t="shared" si="159"/>
        <v>0</v>
      </c>
      <c r="N282" s="510">
        <f t="shared" si="160"/>
        <v>0</v>
      </c>
      <c r="O282" s="510">
        <f t="shared" si="161"/>
        <v>0</v>
      </c>
      <c r="P282" s="510">
        <f t="shared" si="162"/>
        <v>0</v>
      </c>
      <c r="Q282" s="510">
        <f t="shared" si="163"/>
        <v>0</v>
      </c>
      <c r="R282" s="510">
        <f t="shared" si="164"/>
        <v>0</v>
      </c>
    </row>
    <row r="283" spans="1:18">
      <c r="A283" s="505"/>
      <c r="B283" s="511" t="s">
        <v>740</v>
      </c>
      <c r="C283" s="507">
        <v>16</v>
      </c>
      <c r="D283" s="508"/>
      <c r="E283" s="507">
        <v>2</v>
      </c>
      <c r="F283" s="502">
        <v>1</v>
      </c>
      <c r="G283" s="502">
        <v>2</v>
      </c>
      <c r="H283" s="503">
        <v>0.3</v>
      </c>
      <c r="I283" s="503">
        <f>4.18-0.06</f>
        <v>4.12</v>
      </c>
      <c r="J283" s="509">
        <v>0.3</v>
      </c>
      <c r="K283" s="509"/>
      <c r="L283" s="510">
        <f>SUM(H283:J283)+K283</f>
        <v>4.72</v>
      </c>
      <c r="M283" s="510">
        <f t="shared" si="159"/>
        <v>0</v>
      </c>
      <c r="N283" s="510">
        <f t="shared" si="160"/>
        <v>0</v>
      </c>
      <c r="O283" s="510">
        <f t="shared" si="161"/>
        <v>0</v>
      </c>
      <c r="P283" s="510">
        <f t="shared" si="162"/>
        <v>18.88</v>
      </c>
      <c r="Q283" s="510">
        <f t="shared" si="163"/>
        <v>0</v>
      </c>
      <c r="R283" s="510">
        <f t="shared" si="164"/>
        <v>0</v>
      </c>
    </row>
    <row r="284" spans="1:18">
      <c r="A284" s="505"/>
      <c r="B284" s="511" t="s">
        <v>773</v>
      </c>
      <c r="C284" s="507">
        <v>16</v>
      </c>
      <c r="D284" s="508"/>
      <c r="E284" s="507">
        <v>2</v>
      </c>
      <c r="F284" s="502">
        <v>1</v>
      </c>
      <c r="G284" s="502">
        <v>2</v>
      </c>
      <c r="H284" s="503">
        <v>0.3</v>
      </c>
      <c r="I284" s="503">
        <f>4.18-0.06</f>
        <v>4.12</v>
      </c>
      <c r="J284" s="509">
        <v>0.3</v>
      </c>
      <c r="K284" s="509"/>
      <c r="L284" s="510">
        <f>SUM(H284:J284)+K284</f>
        <v>4.72</v>
      </c>
      <c r="M284" s="510">
        <f t="shared" si="159"/>
        <v>0</v>
      </c>
      <c r="N284" s="510">
        <f t="shared" si="160"/>
        <v>0</v>
      </c>
      <c r="O284" s="510">
        <f t="shared" si="161"/>
        <v>0</v>
      </c>
      <c r="P284" s="510">
        <f t="shared" si="162"/>
        <v>18.88</v>
      </c>
      <c r="Q284" s="510">
        <f t="shared" si="163"/>
        <v>0</v>
      </c>
      <c r="R284" s="510">
        <f t="shared" si="164"/>
        <v>0</v>
      </c>
    </row>
    <row r="285" spans="1:18">
      <c r="A285" s="505"/>
      <c r="B285" s="511" t="s">
        <v>781</v>
      </c>
      <c r="C285" s="507">
        <v>8</v>
      </c>
      <c r="D285" s="508">
        <v>100</v>
      </c>
      <c r="E285" s="507">
        <v>2</v>
      </c>
      <c r="F285" s="502">
        <v>1</v>
      </c>
      <c r="G285" s="502">
        <f>+ROUND(1.8/0.1,0)</f>
        <v>18</v>
      </c>
      <c r="H285" s="503"/>
      <c r="I285" s="516">
        <f>2*(0.17+0.39)+16*C285/1000</f>
        <v>1.2480000000000002</v>
      </c>
      <c r="J285" s="509"/>
      <c r="K285" s="481"/>
      <c r="L285" s="510">
        <f t="shared" ref="L285" si="194">SUM(H285:J285)+K285</f>
        <v>1.2480000000000002</v>
      </c>
      <c r="M285" s="510">
        <f t="shared" si="159"/>
        <v>44.93</v>
      </c>
      <c r="N285" s="510">
        <f t="shared" si="160"/>
        <v>0</v>
      </c>
      <c r="O285" s="510">
        <f t="shared" si="161"/>
        <v>0</v>
      </c>
      <c r="P285" s="510">
        <f t="shared" si="162"/>
        <v>0</v>
      </c>
      <c r="Q285" s="510">
        <f t="shared" si="163"/>
        <v>0</v>
      </c>
      <c r="R285" s="510">
        <f t="shared" si="164"/>
        <v>0</v>
      </c>
    </row>
    <row r="286" spans="1:18">
      <c r="A286" s="505"/>
      <c r="B286" s="511"/>
      <c r="C286" s="507">
        <v>8</v>
      </c>
      <c r="D286" s="508">
        <v>150</v>
      </c>
      <c r="E286" s="507">
        <v>2</v>
      </c>
      <c r="F286" s="502">
        <v>1</v>
      </c>
      <c r="G286" s="502">
        <f>+ROUND(1.4/0.15+1,0)</f>
        <v>10</v>
      </c>
      <c r="H286" s="503"/>
      <c r="I286" s="516">
        <f>2*(0.17+0.39)+16*C286/1000</f>
        <v>1.2480000000000002</v>
      </c>
      <c r="J286" s="509"/>
      <c r="K286" s="509"/>
      <c r="L286" s="510">
        <f t="shared" ref="L286" si="195">SUM(H286:J286)+K286</f>
        <v>1.2480000000000002</v>
      </c>
      <c r="M286" s="510">
        <f t="shared" si="159"/>
        <v>24.96</v>
      </c>
      <c r="N286" s="510">
        <f t="shared" si="160"/>
        <v>0</v>
      </c>
      <c r="O286" s="510">
        <f t="shared" si="161"/>
        <v>0</v>
      </c>
      <c r="P286" s="510">
        <f t="shared" si="162"/>
        <v>0</v>
      </c>
      <c r="Q286" s="510">
        <f t="shared" si="163"/>
        <v>0</v>
      </c>
      <c r="R286" s="510">
        <f t="shared" si="164"/>
        <v>0</v>
      </c>
    </row>
    <row r="287" spans="1:18">
      <c r="A287" s="505" t="s">
        <v>772</v>
      </c>
      <c r="B287" s="506" t="s">
        <v>716</v>
      </c>
      <c r="C287" s="507"/>
      <c r="D287" s="508"/>
      <c r="E287" s="507"/>
      <c r="F287" s="502"/>
      <c r="G287" s="502"/>
      <c r="H287" s="503"/>
      <c r="I287" s="503"/>
      <c r="J287" s="509"/>
      <c r="K287" s="509"/>
      <c r="L287" s="510">
        <f t="shared" ref="L287" si="196">SUM(H287:J287)+K287</f>
        <v>0</v>
      </c>
      <c r="M287" s="510">
        <f>+ROUND(IF(C287=8,PRODUCT(E287,F287,G287,L287),0),2)</f>
        <v>0</v>
      </c>
      <c r="N287" s="510">
        <f>+ROUND(IF(C287=10,PRODUCT(E287,F287,G287,L287),0),2)</f>
        <v>0</v>
      </c>
      <c r="O287" s="510">
        <f>+ROUND(IF(C287=12,PRODUCT(E287,F287,G287,L287),0),2)</f>
        <v>0</v>
      </c>
      <c r="P287" s="510">
        <f>+ROUND(IF(C287=16,PRODUCT(E287,F287,G287,L287),0),2)</f>
        <v>0</v>
      </c>
      <c r="Q287" s="510">
        <f>+ROUND(IF(C287=20,PRODUCT(E287,F287,G287,L287),0),2)</f>
        <v>0</v>
      </c>
      <c r="R287" s="510">
        <f>+ROUND(IF(C287=25,PRODUCT(E287,F287,G287,L287),0),2)</f>
        <v>0</v>
      </c>
    </row>
    <row r="288" spans="1:18">
      <c r="A288" s="505"/>
      <c r="B288" s="511" t="s">
        <v>740</v>
      </c>
      <c r="C288" s="507">
        <v>12</v>
      </c>
      <c r="D288" s="508"/>
      <c r="E288" s="507">
        <v>2</v>
      </c>
      <c r="F288" s="502">
        <v>1</v>
      </c>
      <c r="G288" s="502">
        <v>2</v>
      </c>
      <c r="H288" s="503">
        <v>0.3</v>
      </c>
      <c r="I288" s="503">
        <f>3.45-0.06</f>
        <v>3.39</v>
      </c>
      <c r="J288" s="509">
        <v>0.3</v>
      </c>
      <c r="K288" s="509"/>
      <c r="L288" s="510">
        <f>SUM(H288:J288)+K288</f>
        <v>3.9899999999999998</v>
      </c>
      <c r="M288" s="510">
        <f>+ROUND(IF(C288=8,PRODUCT(E288,F288,G288,L288),0),2)</f>
        <v>0</v>
      </c>
      <c r="N288" s="510">
        <f>+ROUND(IF(C288=10,PRODUCT(E288,F288,G288,L288),0),2)</f>
        <v>0</v>
      </c>
      <c r="O288" s="510">
        <f>+ROUND(IF(C288=12,PRODUCT(E288,F288,G288,L288),0),2)</f>
        <v>15.96</v>
      </c>
      <c r="P288" s="510">
        <f>+ROUND(IF(C288=16,PRODUCT(E288,F288,G288,L288),0),2)</f>
        <v>0</v>
      </c>
      <c r="Q288" s="510">
        <f>+ROUND(IF(C288=20,PRODUCT(E288,F288,G288,L288),0),2)</f>
        <v>0</v>
      </c>
      <c r="R288" s="510">
        <f>+ROUND(IF(C288=25,PRODUCT(E288,F288,G288,L288),0),2)</f>
        <v>0</v>
      </c>
    </row>
    <row r="289" spans="1:18">
      <c r="A289" s="505"/>
      <c r="B289" s="511" t="s">
        <v>773</v>
      </c>
      <c r="C289" s="507">
        <v>12</v>
      </c>
      <c r="D289" s="508"/>
      <c r="E289" s="507">
        <v>2</v>
      </c>
      <c r="F289" s="502">
        <v>1</v>
      </c>
      <c r="G289" s="502">
        <v>2</v>
      </c>
      <c r="H289" s="503">
        <v>0.3</v>
      </c>
      <c r="I289" s="503">
        <f>3.45-0.06</f>
        <v>3.39</v>
      </c>
      <c r="J289" s="509">
        <v>0.3</v>
      </c>
      <c r="K289" s="509"/>
      <c r="L289" s="510">
        <f>SUM(H289:J289)+K289</f>
        <v>3.9899999999999998</v>
      </c>
      <c r="M289" s="510">
        <f>+ROUND(IF(C289=8,PRODUCT(E289,F289,G289,L289),0),2)</f>
        <v>0</v>
      </c>
      <c r="N289" s="510">
        <f>+ROUND(IF(C289=10,PRODUCT(E289,F289,G289,L289),0),2)</f>
        <v>0</v>
      </c>
      <c r="O289" s="510">
        <f>+ROUND(IF(C289=12,PRODUCT(E289,F289,G289,L289),0),2)</f>
        <v>15.96</v>
      </c>
      <c r="P289" s="510">
        <f>+ROUND(IF(C289=16,PRODUCT(E289,F289,G289,L289),0),2)</f>
        <v>0</v>
      </c>
      <c r="Q289" s="510">
        <f>+ROUND(IF(C289=20,PRODUCT(E289,F289,G289,L289),0),2)</f>
        <v>0</v>
      </c>
      <c r="R289" s="510">
        <f>+ROUND(IF(C289=25,PRODUCT(E289,F289,G289,L289),0),2)</f>
        <v>0</v>
      </c>
    </row>
    <row r="290" spans="1:18">
      <c r="A290" s="505"/>
      <c r="B290" s="511" t="s">
        <v>777</v>
      </c>
      <c r="C290" s="507">
        <v>8</v>
      </c>
      <c r="D290" s="508">
        <v>100</v>
      </c>
      <c r="E290" s="507">
        <v>2</v>
      </c>
      <c r="F290" s="502">
        <v>1</v>
      </c>
      <c r="G290" s="502">
        <f>+ROUND(1.8/0.1,0)</f>
        <v>18</v>
      </c>
      <c r="H290" s="503"/>
      <c r="I290" s="516">
        <f t="shared" ref="I290:I291" si="197">2*(0.14+0.39)+16*C290/1000</f>
        <v>1.1880000000000002</v>
      </c>
      <c r="J290" s="509"/>
      <c r="K290" s="481"/>
      <c r="L290" s="510">
        <f t="shared" ref="L290:L291" si="198">SUM(H290:J290)+K290</f>
        <v>1.1880000000000002</v>
      </c>
      <c r="M290" s="510">
        <f>+ROUND(IF(C290=8,PRODUCT(E290,F290,G290,L290),0),2)</f>
        <v>42.77</v>
      </c>
      <c r="N290" s="510">
        <f>+ROUND(IF(C290=10,PRODUCT(E290,F290,G290,L290),0),2)</f>
        <v>0</v>
      </c>
      <c r="O290" s="510">
        <f>+ROUND(IF(C290=12,PRODUCT(E290,F290,G290,L290),0),2)</f>
        <v>0</v>
      </c>
      <c r="P290" s="510">
        <f>+ROUND(IF(C290=16,PRODUCT(E290,F290,G290,L290),0),2)</f>
        <v>0</v>
      </c>
      <c r="Q290" s="510">
        <f>+ROUND(IF(C290=20,PRODUCT(E290,F290,G290,L290),0),2)</f>
        <v>0</v>
      </c>
      <c r="R290" s="510">
        <f>+ROUND(IF(C290=25,PRODUCT(E290,F290,G290,L290),0),2)</f>
        <v>0</v>
      </c>
    </row>
    <row r="291" spans="1:18">
      <c r="A291" s="505"/>
      <c r="B291" s="511"/>
      <c r="C291" s="507">
        <v>8</v>
      </c>
      <c r="D291" s="508">
        <v>150</v>
      </c>
      <c r="E291" s="507">
        <v>2</v>
      </c>
      <c r="F291" s="502">
        <v>1</v>
      </c>
      <c r="G291" s="502">
        <f>+ROUND(1.15/0.15+1,0)</f>
        <v>9</v>
      </c>
      <c r="H291" s="503"/>
      <c r="I291" s="516">
        <f t="shared" si="197"/>
        <v>1.1880000000000002</v>
      </c>
      <c r="J291" s="509"/>
      <c r="K291" s="509"/>
      <c r="L291" s="510">
        <f t="shared" si="198"/>
        <v>1.1880000000000002</v>
      </c>
      <c r="M291" s="510">
        <f>+ROUND(IF(C291=8,PRODUCT(E291,F291,G291,L291),0),2)</f>
        <v>21.38</v>
      </c>
      <c r="N291" s="510">
        <f>+ROUND(IF(C291=10,PRODUCT(E291,F291,G291,L291),0),2)</f>
        <v>0</v>
      </c>
      <c r="O291" s="510">
        <f>+ROUND(IF(C291=12,PRODUCT(E291,F291,G291,L291),0),2)</f>
        <v>0</v>
      </c>
      <c r="P291" s="510">
        <f>+ROUND(IF(C291=16,PRODUCT(E291,F291,G291,L291),0),2)</f>
        <v>0</v>
      </c>
      <c r="Q291" s="510">
        <f>+ROUND(IF(C291=20,PRODUCT(E291,F291,G291,L291),0),2)</f>
        <v>0</v>
      </c>
      <c r="R291" s="510">
        <f>+ROUND(IF(C291=25,PRODUCT(E291,F291,G291,L291),0),2)</f>
        <v>0</v>
      </c>
    </row>
    <row r="292" spans="1:18">
      <c r="A292" s="505" t="s">
        <v>772</v>
      </c>
      <c r="B292" s="506" t="s">
        <v>717</v>
      </c>
      <c r="C292" s="507"/>
      <c r="D292" s="508"/>
      <c r="E292" s="507"/>
      <c r="F292" s="502"/>
      <c r="G292" s="502"/>
      <c r="H292" s="503"/>
      <c r="I292" s="503"/>
      <c r="J292" s="509"/>
      <c r="K292" s="509"/>
      <c r="L292" s="510">
        <f t="shared" ref="L292" si="199">SUM(H292:J292)+K292</f>
        <v>0</v>
      </c>
      <c r="M292" s="510">
        <f t="shared" si="159"/>
        <v>0</v>
      </c>
      <c r="N292" s="510">
        <f t="shared" si="160"/>
        <v>0</v>
      </c>
      <c r="O292" s="510">
        <f t="shared" si="161"/>
        <v>0</v>
      </c>
      <c r="P292" s="510">
        <f t="shared" si="162"/>
        <v>0</v>
      </c>
      <c r="Q292" s="510">
        <f t="shared" si="163"/>
        <v>0</v>
      </c>
      <c r="R292" s="510">
        <f t="shared" si="164"/>
        <v>0</v>
      </c>
    </row>
    <row r="293" spans="1:18">
      <c r="A293" s="505"/>
      <c r="B293" s="511" t="s">
        <v>740</v>
      </c>
      <c r="C293" s="507">
        <v>16</v>
      </c>
      <c r="D293" s="508"/>
      <c r="E293" s="507">
        <v>2</v>
      </c>
      <c r="F293" s="502">
        <v>1</v>
      </c>
      <c r="G293" s="502">
        <v>2</v>
      </c>
      <c r="H293" s="503">
        <v>0.3</v>
      </c>
      <c r="I293" s="503">
        <f>5.75-0.06</f>
        <v>5.69</v>
      </c>
      <c r="J293" s="509">
        <v>0.3</v>
      </c>
      <c r="K293" s="509"/>
      <c r="L293" s="510">
        <f>SUM(H293:J293)+K293</f>
        <v>6.29</v>
      </c>
      <c r="M293" s="510">
        <f t="shared" si="159"/>
        <v>0</v>
      </c>
      <c r="N293" s="510">
        <f t="shared" si="160"/>
        <v>0</v>
      </c>
      <c r="O293" s="510">
        <f t="shared" si="161"/>
        <v>0</v>
      </c>
      <c r="P293" s="510">
        <f t="shared" si="162"/>
        <v>25.16</v>
      </c>
      <c r="Q293" s="510">
        <f t="shared" si="163"/>
        <v>0</v>
      </c>
      <c r="R293" s="510">
        <f t="shared" si="164"/>
        <v>0</v>
      </c>
    </row>
    <row r="294" spans="1:18">
      <c r="A294" s="505"/>
      <c r="B294" s="511" t="s">
        <v>773</v>
      </c>
      <c r="C294" s="507">
        <v>16</v>
      </c>
      <c r="D294" s="508"/>
      <c r="E294" s="507">
        <v>2</v>
      </c>
      <c r="F294" s="502">
        <v>1</v>
      </c>
      <c r="G294" s="502">
        <v>2</v>
      </c>
      <c r="H294" s="503">
        <v>0.3</v>
      </c>
      <c r="I294" s="503">
        <f>5.75-0.06</f>
        <v>5.69</v>
      </c>
      <c r="J294" s="509">
        <v>0.3</v>
      </c>
      <c r="K294" s="509"/>
      <c r="L294" s="510">
        <f>SUM(H294:J294)+K294</f>
        <v>6.29</v>
      </c>
      <c r="M294" s="510">
        <f t="shared" si="159"/>
        <v>0</v>
      </c>
      <c r="N294" s="510">
        <f t="shared" si="160"/>
        <v>0</v>
      </c>
      <c r="O294" s="510">
        <f t="shared" si="161"/>
        <v>0</v>
      </c>
      <c r="P294" s="510">
        <f t="shared" si="162"/>
        <v>25.16</v>
      </c>
      <c r="Q294" s="510">
        <f t="shared" si="163"/>
        <v>0</v>
      </c>
      <c r="R294" s="510">
        <f t="shared" si="164"/>
        <v>0</v>
      </c>
    </row>
    <row r="295" spans="1:18">
      <c r="A295" s="505"/>
      <c r="B295" s="511" t="s">
        <v>777</v>
      </c>
      <c r="C295" s="507">
        <v>8</v>
      </c>
      <c r="D295" s="508">
        <v>100</v>
      </c>
      <c r="E295" s="507">
        <v>2</v>
      </c>
      <c r="F295" s="502">
        <v>1</v>
      </c>
      <c r="G295" s="502">
        <f>+ROUND(1.9/0.1,0)</f>
        <v>19</v>
      </c>
      <c r="H295" s="503"/>
      <c r="I295" s="516">
        <f t="shared" ref="I295:I296" si="200">2*(0.14+0.39)+16*C295/1000</f>
        <v>1.1880000000000002</v>
      </c>
      <c r="J295" s="509"/>
      <c r="K295" s="481"/>
      <c r="L295" s="510">
        <f t="shared" ref="L295:L296" si="201">SUM(H295:J295)+K295</f>
        <v>1.1880000000000002</v>
      </c>
      <c r="M295" s="510">
        <f t="shared" si="159"/>
        <v>45.14</v>
      </c>
      <c r="N295" s="510">
        <f t="shared" si="160"/>
        <v>0</v>
      </c>
      <c r="O295" s="510">
        <f t="shared" si="161"/>
        <v>0</v>
      </c>
      <c r="P295" s="510">
        <f t="shared" si="162"/>
        <v>0</v>
      </c>
      <c r="Q295" s="510">
        <f t="shared" si="163"/>
        <v>0</v>
      </c>
      <c r="R295" s="510">
        <f t="shared" si="164"/>
        <v>0</v>
      </c>
    </row>
    <row r="296" spans="1:18">
      <c r="A296" s="505"/>
      <c r="B296" s="511"/>
      <c r="C296" s="507">
        <v>8</v>
      </c>
      <c r="D296" s="508">
        <v>150</v>
      </c>
      <c r="E296" s="507">
        <v>2</v>
      </c>
      <c r="F296" s="502">
        <v>1</v>
      </c>
      <c r="G296" s="502">
        <f>+ROUND(1.9/0.15+1,0)</f>
        <v>14</v>
      </c>
      <c r="H296" s="503"/>
      <c r="I296" s="516">
        <f t="shared" si="200"/>
        <v>1.1880000000000002</v>
      </c>
      <c r="J296" s="509"/>
      <c r="K296" s="509"/>
      <c r="L296" s="510">
        <f t="shared" si="201"/>
        <v>1.1880000000000002</v>
      </c>
      <c r="M296" s="510">
        <f t="shared" si="159"/>
        <v>33.26</v>
      </c>
      <c r="N296" s="510">
        <f t="shared" si="160"/>
        <v>0</v>
      </c>
      <c r="O296" s="510">
        <f t="shared" si="161"/>
        <v>0</v>
      </c>
      <c r="P296" s="510">
        <f t="shared" si="162"/>
        <v>0</v>
      </c>
      <c r="Q296" s="510">
        <f t="shared" si="163"/>
        <v>0</v>
      </c>
      <c r="R296" s="510">
        <f t="shared" si="164"/>
        <v>0</v>
      </c>
    </row>
    <row r="297" spans="1:18">
      <c r="A297" s="505" t="s">
        <v>772</v>
      </c>
      <c r="B297" s="506" t="s">
        <v>718</v>
      </c>
      <c r="C297" s="507"/>
      <c r="D297" s="508"/>
      <c r="E297" s="507"/>
      <c r="F297" s="502"/>
      <c r="G297" s="502"/>
      <c r="H297" s="503"/>
      <c r="I297" s="503"/>
      <c r="J297" s="509"/>
      <c r="K297" s="509"/>
      <c r="L297" s="510">
        <f t="shared" ref="L297" si="202">SUM(H297:J297)+K297</f>
        <v>0</v>
      </c>
      <c r="M297" s="510">
        <f t="shared" si="159"/>
        <v>0</v>
      </c>
      <c r="N297" s="510">
        <f t="shared" si="160"/>
        <v>0</v>
      </c>
      <c r="O297" s="510">
        <f t="shared" si="161"/>
        <v>0</v>
      </c>
      <c r="P297" s="510">
        <f t="shared" si="162"/>
        <v>0</v>
      </c>
      <c r="Q297" s="510">
        <f t="shared" si="163"/>
        <v>0</v>
      </c>
      <c r="R297" s="510">
        <f t="shared" si="164"/>
        <v>0</v>
      </c>
    </row>
    <row r="298" spans="1:18">
      <c r="A298" s="505"/>
      <c r="B298" s="511" t="s">
        <v>740</v>
      </c>
      <c r="C298" s="507">
        <v>16</v>
      </c>
      <c r="D298" s="508"/>
      <c r="E298" s="507">
        <v>2</v>
      </c>
      <c r="F298" s="502">
        <v>1</v>
      </c>
      <c r="G298" s="502">
        <v>2</v>
      </c>
      <c r="H298" s="503">
        <v>0.3</v>
      </c>
      <c r="I298" s="503">
        <f>5.75-0.06</f>
        <v>5.69</v>
      </c>
      <c r="J298" s="509">
        <v>0.3</v>
      </c>
      <c r="K298" s="509"/>
      <c r="L298" s="510">
        <f>SUM(H298:J298)+K298</f>
        <v>6.29</v>
      </c>
      <c r="M298" s="510">
        <f t="shared" si="159"/>
        <v>0</v>
      </c>
      <c r="N298" s="510">
        <f t="shared" si="160"/>
        <v>0</v>
      </c>
      <c r="O298" s="510">
        <f t="shared" si="161"/>
        <v>0</v>
      </c>
      <c r="P298" s="510">
        <f t="shared" si="162"/>
        <v>25.16</v>
      </c>
      <c r="Q298" s="510">
        <f t="shared" si="163"/>
        <v>0</v>
      </c>
      <c r="R298" s="510">
        <f t="shared" si="164"/>
        <v>0</v>
      </c>
    </row>
    <row r="299" spans="1:18">
      <c r="A299" s="505"/>
      <c r="B299" s="511" t="s">
        <v>773</v>
      </c>
      <c r="C299" s="507">
        <v>16</v>
      </c>
      <c r="D299" s="508"/>
      <c r="E299" s="507">
        <v>2</v>
      </c>
      <c r="F299" s="502">
        <v>1</v>
      </c>
      <c r="G299" s="502">
        <v>2</v>
      </c>
      <c r="H299" s="503">
        <v>0.3</v>
      </c>
      <c r="I299" s="503">
        <f>5.75-0.06</f>
        <v>5.69</v>
      </c>
      <c r="J299" s="509">
        <v>0.3</v>
      </c>
      <c r="K299" s="509"/>
      <c r="L299" s="510">
        <f>SUM(H299:J299)+K299</f>
        <v>6.29</v>
      </c>
      <c r="M299" s="510">
        <f t="shared" si="159"/>
        <v>0</v>
      </c>
      <c r="N299" s="510">
        <f t="shared" si="160"/>
        <v>0</v>
      </c>
      <c r="O299" s="510">
        <f t="shared" si="161"/>
        <v>0</v>
      </c>
      <c r="P299" s="510">
        <f t="shared" si="162"/>
        <v>25.16</v>
      </c>
      <c r="Q299" s="510">
        <f t="shared" si="163"/>
        <v>0</v>
      </c>
      <c r="R299" s="510">
        <f t="shared" si="164"/>
        <v>0</v>
      </c>
    </row>
    <row r="300" spans="1:18">
      <c r="A300" s="505"/>
      <c r="B300" s="511" t="s">
        <v>777</v>
      </c>
      <c r="C300" s="507">
        <v>8</v>
      </c>
      <c r="D300" s="508">
        <v>100</v>
      </c>
      <c r="E300" s="507">
        <v>2</v>
      </c>
      <c r="F300" s="502">
        <v>1</v>
      </c>
      <c r="G300" s="502">
        <f>+ROUND(2.275/0.1,0)</f>
        <v>23</v>
      </c>
      <c r="H300" s="503"/>
      <c r="I300" s="516">
        <f t="shared" ref="I300:I301" si="203">2*(0.14+0.39)+16*C300/1000</f>
        <v>1.1880000000000002</v>
      </c>
      <c r="J300" s="509"/>
      <c r="K300" s="481"/>
      <c r="L300" s="510">
        <f t="shared" ref="L300:L301" si="204">SUM(H300:J300)+K300</f>
        <v>1.1880000000000002</v>
      </c>
      <c r="M300" s="510">
        <f t="shared" si="159"/>
        <v>54.65</v>
      </c>
      <c r="N300" s="510">
        <f t="shared" si="160"/>
        <v>0</v>
      </c>
      <c r="O300" s="510">
        <f t="shared" si="161"/>
        <v>0</v>
      </c>
      <c r="P300" s="510">
        <f t="shared" si="162"/>
        <v>0</v>
      </c>
      <c r="Q300" s="510">
        <f t="shared" si="163"/>
        <v>0</v>
      </c>
      <c r="R300" s="510">
        <f t="shared" si="164"/>
        <v>0</v>
      </c>
    </row>
    <row r="301" spans="1:18">
      <c r="A301" s="505"/>
      <c r="B301" s="511"/>
      <c r="C301" s="507">
        <v>8</v>
      </c>
      <c r="D301" s="508">
        <v>150</v>
      </c>
      <c r="E301" s="507">
        <v>2</v>
      </c>
      <c r="F301" s="502">
        <v>1</v>
      </c>
      <c r="G301" s="502">
        <f>+ROUND(2.275/0.15+1,0)</f>
        <v>16</v>
      </c>
      <c r="H301" s="503"/>
      <c r="I301" s="516">
        <f t="shared" si="203"/>
        <v>1.1880000000000002</v>
      </c>
      <c r="J301" s="509"/>
      <c r="K301" s="509"/>
      <c r="L301" s="510">
        <f t="shared" si="204"/>
        <v>1.1880000000000002</v>
      </c>
      <c r="M301" s="510">
        <f t="shared" si="159"/>
        <v>38.020000000000003</v>
      </c>
      <c r="N301" s="510">
        <f t="shared" si="160"/>
        <v>0</v>
      </c>
      <c r="O301" s="510">
        <f t="shared" si="161"/>
        <v>0</v>
      </c>
      <c r="P301" s="510">
        <f t="shared" si="162"/>
        <v>0</v>
      </c>
      <c r="Q301" s="510">
        <f t="shared" si="163"/>
        <v>0</v>
      </c>
      <c r="R301" s="510">
        <f t="shared" si="164"/>
        <v>0</v>
      </c>
    </row>
    <row r="302" spans="1:18">
      <c r="A302" s="505" t="s">
        <v>772</v>
      </c>
      <c r="B302" s="506" t="s">
        <v>719</v>
      </c>
      <c r="C302" s="507"/>
      <c r="D302" s="508"/>
      <c r="E302" s="507"/>
      <c r="F302" s="502"/>
      <c r="G302" s="502"/>
      <c r="H302" s="503"/>
      <c r="I302" s="503"/>
      <c r="J302" s="509"/>
      <c r="K302" s="509"/>
      <c r="L302" s="510">
        <f t="shared" ref="L302" si="205">SUM(H302:J302)+K302</f>
        <v>0</v>
      </c>
      <c r="M302" s="510">
        <f t="shared" si="159"/>
        <v>0</v>
      </c>
      <c r="N302" s="510">
        <f t="shared" si="160"/>
        <v>0</v>
      </c>
      <c r="O302" s="510">
        <f t="shared" si="161"/>
        <v>0</v>
      </c>
      <c r="P302" s="510">
        <f t="shared" si="162"/>
        <v>0</v>
      </c>
      <c r="Q302" s="510">
        <f t="shared" si="163"/>
        <v>0</v>
      </c>
      <c r="R302" s="510">
        <f t="shared" si="164"/>
        <v>0</v>
      </c>
    </row>
    <row r="303" spans="1:18">
      <c r="A303" s="505"/>
      <c r="B303" s="511" t="s">
        <v>740</v>
      </c>
      <c r="C303" s="507">
        <v>16</v>
      </c>
      <c r="D303" s="508"/>
      <c r="E303" s="507">
        <v>2</v>
      </c>
      <c r="F303" s="502">
        <v>1</v>
      </c>
      <c r="G303" s="502">
        <v>2</v>
      </c>
      <c r="H303" s="503">
        <v>0.3</v>
      </c>
      <c r="I303" s="503">
        <f>3.95-0.06</f>
        <v>3.89</v>
      </c>
      <c r="J303" s="509">
        <v>0.3</v>
      </c>
      <c r="K303" s="509"/>
      <c r="L303" s="510">
        <f>SUM(H303:J303)+K303</f>
        <v>4.49</v>
      </c>
      <c r="M303" s="510">
        <f t="shared" si="159"/>
        <v>0</v>
      </c>
      <c r="N303" s="510">
        <f t="shared" si="160"/>
        <v>0</v>
      </c>
      <c r="O303" s="510">
        <f t="shared" si="161"/>
        <v>0</v>
      </c>
      <c r="P303" s="510">
        <f t="shared" si="162"/>
        <v>17.96</v>
      </c>
      <c r="Q303" s="510">
        <f t="shared" si="163"/>
        <v>0</v>
      </c>
      <c r="R303" s="510">
        <f t="shared" si="164"/>
        <v>0</v>
      </c>
    </row>
    <row r="304" spans="1:18">
      <c r="A304" s="505"/>
      <c r="B304" s="511" t="s">
        <v>773</v>
      </c>
      <c r="C304" s="507">
        <v>16</v>
      </c>
      <c r="D304" s="508"/>
      <c r="E304" s="507">
        <v>2</v>
      </c>
      <c r="F304" s="502">
        <v>1</v>
      </c>
      <c r="G304" s="502">
        <v>2</v>
      </c>
      <c r="H304" s="503">
        <v>0.3</v>
      </c>
      <c r="I304" s="503">
        <f>3.95-0.06</f>
        <v>3.89</v>
      </c>
      <c r="J304" s="509">
        <v>0.3</v>
      </c>
      <c r="K304" s="509"/>
      <c r="L304" s="510">
        <f>SUM(H304:J304)+K304</f>
        <v>4.49</v>
      </c>
      <c r="M304" s="510">
        <f t="shared" si="159"/>
        <v>0</v>
      </c>
      <c r="N304" s="510">
        <f t="shared" si="160"/>
        <v>0</v>
      </c>
      <c r="O304" s="510">
        <f t="shared" si="161"/>
        <v>0</v>
      </c>
      <c r="P304" s="510">
        <f t="shared" si="162"/>
        <v>17.96</v>
      </c>
      <c r="Q304" s="510">
        <f t="shared" si="163"/>
        <v>0</v>
      </c>
      <c r="R304" s="510">
        <f t="shared" si="164"/>
        <v>0</v>
      </c>
    </row>
    <row r="305" spans="1:18">
      <c r="A305" s="505"/>
      <c r="B305" s="511" t="s">
        <v>777</v>
      </c>
      <c r="C305" s="507">
        <v>8</v>
      </c>
      <c r="D305" s="508">
        <v>100</v>
      </c>
      <c r="E305" s="507">
        <v>2</v>
      </c>
      <c r="F305" s="502">
        <v>1</v>
      </c>
      <c r="G305" s="502">
        <f>+ROUND(1.8/0.1,0)</f>
        <v>18</v>
      </c>
      <c r="H305" s="503"/>
      <c r="I305" s="516">
        <f t="shared" ref="I305:I306" si="206">2*(0.14+0.39)+16*C305/1000</f>
        <v>1.1880000000000002</v>
      </c>
      <c r="J305" s="509"/>
      <c r="K305" s="481"/>
      <c r="L305" s="510">
        <f t="shared" ref="L305:L306" si="207">SUM(H305:J305)+K305</f>
        <v>1.1880000000000002</v>
      </c>
      <c r="M305" s="510">
        <f t="shared" si="159"/>
        <v>42.77</v>
      </c>
      <c r="N305" s="510">
        <f t="shared" si="160"/>
        <v>0</v>
      </c>
      <c r="O305" s="510">
        <f t="shared" si="161"/>
        <v>0</v>
      </c>
      <c r="P305" s="510">
        <f t="shared" si="162"/>
        <v>0</v>
      </c>
      <c r="Q305" s="510">
        <f t="shared" si="163"/>
        <v>0</v>
      </c>
      <c r="R305" s="510">
        <f t="shared" si="164"/>
        <v>0</v>
      </c>
    </row>
    <row r="306" spans="1:18">
      <c r="A306" s="505"/>
      <c r="B306" s="511"/>
      <c r="C306" s="507">
        <v>8</v>
      </c>
      <c r="D306" s="508">
        <v>150</v>
      </c>
      <c r="E306" s="507">
        <v>2</v>
      </c>
      <c r="F306" s="502">
        <v>1</v>
      </c>
      <c r="G306" s="502">
        <f>+ROUND(1.25/0.15+1,0)</f>
        <v>9</v>
      </c>
      <c r="H306" s="503"/>
      <c r="I306" s="516">
        <f t="shared" si="206"/>
        <v>1.1880000000000002</v>
      </c>
      <c r="J306" s="509"/>
      <c r="K306" s="509"/>
      <c r="L306" s="510">
        <f t="shared" si="207"/>
        <v>1.1880000000000002</v>
      </c>
      <c r="M306" s="510">
        <f t="shared" si="159"/>
        <v>21.38</v>
      </c>
      <c r="N306" s="510">
        <f t="shared" si="160"/>
        <v>0</v>
      </c>
      <c r="O306" s="510">
        <f t="shared" si="161"/>
        <v>0</v>
      </c>
      <c r="P306" s="510">
        <f t="shared" si="162"/>
        <v>0</v>
      </c>
      <c r="Q306" s="510">
        <f t="shared" si="163"/>
        <v>0</v>
      </c>
      <c r="R306" s="510">
        <f t="shared" si="164"/>
        <v>0</v>
      </c>
    </row>
    <row r="307" spans="1:18">
      <c r="A307" s="505" t="s">
        <v>772</v>
      </c>
      <c r="B307" s="506" t="s">
        <v>720</v>
      </c>
      <c r="C307" s="507"/>
      <c r="D307" s="508"/>
      <c r="E307" s="507"/>
      <c r="F307" s="502"/>
      <c r="G307" s="502"/>
      <c r="H307" s="503"/>
      <c r="I307" s="503"/>
      <c r="J307" s="509"/>
      <c r="K307" s="509"/>
      <c r="L307" s="510">
        <f t="shared" ref="L307" si="208">SUM(H307:J307)+K307</f>
        <v>0</v>
      </c>
      <c r="M307" s="510">
        <f t="shared" si="159"/>
        <v>0</v>
      </c>
      <c r="N307" s="510">
        <f t="shared" si="160"/>
        <v>0</v>
      </c>
      <c r="O307" s="510">
        <f t="shared" si="161"/>
        <v>0</v>
      </c>
      <c r="P307" s="510">
        <f t="shared" si="162"/>
        <v>0</v>
      </c>
      <c r="Q307" s="510">
        <f t="shared" si="163"/>
        <v>0</v>
      </c>
      <c r="R307" s="510">
        <f t="shared" si="164"/>
        <v>0</v>
      </c>
    </row>
    <row r="308" spans="1:18">
      <c r="A308" s="505"/>
      <c r="B308" s="511" t="s">
        <v>740</v>
      </c>
      <c r="C308" s="507">
        <v>12</v>
      </c>
      <c r="D308" s="508"/>
      <c r="E308" s="507">
        <v>2</v>
      </c>
      <c r="F308" s="502">
        <v>1</v>
      </c>
      <c r="G308" s="502">
        <v>2</v>
      </c>
      <c r="H308" s="503">
        <v>0.3</v>
      </c>
      <c r="I308" s="503">
        <f>4.315-0.06</f>
        <v>4.2550000000000008</v>
      </c>
      <c r="J308" s="509">
        <v>0.3</v>
      </c>
      <c r="K308" s="509"/>
      <c r="L308" s="510">
        <f>SUM(H308:J308)+K308</f>
        <v>4.8550000000000004</v>
      </c>
      <c r="M308" s="510">
        <f t="shared" si="159"/>
        <v>0</v>
      </c>
      <c r="N308" s="510">
        <f t="shared" si="160"/>
        <v>0</v>
      </c>
      <c r="O308" s="510">
        <f t="shared" si="161"/>
        <v>19.420000000000002</v>
      </c>
      <c r="P308" s="510">
        <f t="shared" si="162"/>
        <v>0</v>
      </c>
      <c r="Q308" s="510">
        <f t="shared" si="163"/>
        <v>0</v>
      </c>
      <c r="R308" s="510">
        <f t="shared" si="164"/>
        <v>0</v>
      </c>
    </row>
    <row r="309" spans="1:18">
      <c r="A309" s="505"/>
      <c r="B309" s="511" t="s">
        <v>773</v>
      </c>
      <c r="C309" s="507">
        <v>12</v>
      </c>
      <c r="D309" s="508"/>
      <c r="E309" s="507">
        <v>2</v>
      </c>
      <c r="F309" s="502">
        <v>1</v>
      </c>
      <c r="G309" s="502">
        <v>2</v>
      </c>
      <c r="H309" s="503">
        <v>0.3</v>
      </c>
      <c r="I309" s="503">
        <f>4.315-0.06</f>
        <v>4.2550000000000008</v>
      </c>
      <c r="J309" s="509">
        <v>0.3</v>
      </c>
      <c r="K309" s="509"/>
      <c r="L309" s="510">
        <f>SUM(H309:J309)+K309</f>
        <v>4.8550000000000004</v>
      </c>
      <c r="M309" s="510">
        <f t="shared" si="159"/>
        <v>0</v>
      </c>
      <c r="N309" s="510">
        <f t="shared" si="160"/>
        <v>0</v>
      </c>
      <c r="O309" s="510">
        <f t="shared" si="161"/>
        <v>19.420000000000002</v>
      </c>
      <c r="P309" s="510">
        <f t="shared" si="162"/>
        <v>0</v>
      </c>
      <c r="Q309" s="510">
        <f t="shared" si="163"/>
        <v>0</v>
      </c>
      <c r="R309" s="510">
        <f t="shared" si="164"/>
        <v>0</v>
      </c>
    </row>
    <row r="310" spans="1:18">
      <c r="A310" s="505"/>
      <c r="B310" s="511" t="s">
        <v>780</v>
      </c>
      <c r="C310" s="507">
        <v>8</v>
      </c>
      <c r="D310" s="508">
        <v>100</v>
      </c>
      <c r="E310" s="507">
        <v>2</v>
      </c>
      <c r="F310" s="502">
        <v>1</v>
      </c>
      <c r="G310" s="502">
        <f>+ROUND(1.8/0.1,0)</f>
        <v>18</v>
      </c>
      <c r="H310" s="503"/>
      <c r="I310" s="516">
        <f t="shared" ref="I310:I311" si="209">2*(0.14+0.39)+16*C310/1000</f>
        <v>1.1880000000000002</v>
      </c>
      <c r="J310" s="509"/>
      <c r="K310" s="481"/>
      <c r="L310" s="510">
        <f t="shared" ref="L310" si="210">SUM(H310:J310)+K310</f>
        <v>1.1880000000000002</v>
      </c>
      <c r="M310" s="510">
        <f t="shared" si="159"/>
        <v>42.77</v>
      </c>
      <c r="N310" s="510">
        <f t="shared" si="160"/>
        <v>0</v>
      </c>
      <c r="O310" s="510">
        <f t="shared" si="161"/>
        <v>0</v>
      </c>
      <c r="P310" s="510">
        <f t="shared" si="162"/>
        <v>0</v>
      </c>
      <c r="Q310" s="510">
        <f t="shared" si="163"/>
        <v>0</v>
      </c>
      <c r="R310" s="510">
        <f t="shared" si="164"/>
        <v>0</v>
      </c>
    </row>
    <row r="311" spans="1:18">
      <c r="A311" s="505"/>
      <c r="B311" s="511"/>
      <c r="C311" s="507">
        <v>8</v>
      </c>
      <c r="D311" s="508">
        <v>150</v>
      </c>
      <c r="E311" s="507">
        <v>2</v>
      </c>
      <c r="F311" s="502">
        <v>1</v>
      </c>
      <c r="G311" s="502">
        <f>+ROUND(1.315/0.15+1,0)</f>
        <v>10</v>
      </c>
      <c r="H311" s="503"/>
      <c r="I311" s="516">
        <f t="shared" si="209"/>
        <v>1.1880000000000002</v>
      </c>
      <c r="J311" s="509"/>
      <c r="K311" s="509"/>
      <c r="L311" s="510">
        <f t="shared" ref="L311" si="211">SUM(H311:J311)+K311</f>
        <v>1.1880000000000002</v>
      </c>
      <c r="M311" s="510">
        <f t="shared" si="159"/>
        <v>23.76</v>
      </c>
      <c r="N311" s="510">
        <f t="shared" si="160"/>
        <v>0</v>
      </c>
      <c r="O311" s="510">
        <f t="shared" si="161"/>
        <v>0</v>
      </c>
      <c r="P311" s="510">
        <f t="shared" si="162"/>
        <v>0</v>
      </c>
      <c r="Q311" s="510">
        <f t="shared" si="163"/>
        <v>0</v>
      </c>
      <c r="R311" s="510">
        <f t="shared" si="164"/>
        <v>0</v>
      </c>
    </row>
    <row r="312" spans="1:18">
      <c r="A312" s="505" t="s">
        <v>772</v>
      </c>
      <c r="B312" s="506" t="s">
        <v>721</v>
      </c>
      <c r="C312" s="507"/>
      <c r="D312" s="508"/>
      <c r="E312" s="507"/>
      <c r="F312" s="502"/>
      <c r="G312" s="502"/>
      <c r="H312" s="503"/>
      <c r="I312" s="503"/>
      <c r="J312" s="509"/>
      <c r="K312" s="509"/>
      <c r="L312" s="510">
        <f t="shared" ref="L312" si="212">SUM(H312:J312)+K312</f>
        <v>0</v>
      </c>
      <c r="M312" s="510">
        <f t="shared" si="159"/>
        <v>0</v>
      </c>
      <c r="N312" s="510">
        <f t="shared" si="160"/>
        <v>0</v>
      </c>
      <c r="O312" s="510">
        <f t="shared" si="161"/>
        <v>0</v>
      </c>
      <c r="P312" s="510">
        <f t="shared" si="162"/>
        <v>0</v>
      </c>
      <c r="Q312" s="510">
        <f t="shared" si="163"/>
        <v>0</v>
      </c>
      <c r="R312" s="510">
        <f t="shared" si="164"/>
        <v>0</v>
      </c>
    </row>
    <row r="313" spans="1:18">
      <c r="A313" s="505"/>
      <c r="B313" s="511" t="s">
        <v>740</v>
      </c>
      <c r="C313" s="507">
        <v>12</v>
      </c>
      <c r="D313" s="508"/>
      <c r="E313" s="507">
        <v>2</v>
      </c>
      <c r="F313" s="502">
        <v>1</v>
      </c>
      <c r="G313" s="502">
        <v>2</v>
      </c>
      <c r="H313" s="503">
        <v>0.2</v>
      </c>
      <c r="I313" s="503">
        <f>2.775-0.06</f>
        <v>2.7149999999999999</v>
      </c>
      <c r="J313" s="509">
        <v>0.2</v>
      </c>
      <c r="K313" s="509"/>
      <c r="L313" s="510">
        <f>SUM(H313:J313)+K313</f>
        <v>3.1150000000000002</v>
      </c>
      <c r="M313" s="510">
        <f t="shared" si="159"/>
        <v>0</v>
      </c>
      <c r="N313" s="510">
        <f t="shared" si="160"/>
        <v>0</v>
      </c>
      <c r="O313" s="510">
        <f t="shared" si="161"/>
        <v>12.46</v>
      </c>
      <c r="P313" s="510">
        <f t="shared" si="162"/>
        <v>0</v>
      </c>
      <c r="Q313" s="510">
        <f t="shared" si="163"/>
        <v>0</v>
      </c>
      <c r="R313" s="510">
        <f t="shared" si="164"/>
        <v>0</v>
      </c>
    </row>
    <row r="314" spans="1:18">
      <c r="A314" s="505"/>
      <c r="B314" s="511" t="s">
        <v>773</v>
      </c>
      <c r="C314" s="507">
        <v>12</v>
      </c>
      <c r="D314" s="508"/>
      <c r="E314" s="507">
        <v>2</v>
      </c>
      <c r="F314" s="502">
        <v>1</v>
      </c>
      <c r="G314" s="502">
        <v>2</v>
      </c>
      <c r="H314" s="503">
        <v>0.2</v>
      </c>
      <c r="I314" s="503">
        <f>2.775-0.06</f>
        <v>2.7149999999999999</v>
      </c>
      <c r="J314" s="509">
        <v>0.2</v>
      </c>
      <c r="K314" s="509"/>
      <c r="L314" s="510">
        <f>SUM(H314:J314)+K314</f>
        <v>3.1150000000000002</v>
      </c>
      <c r="M314" s="510">
        <f t="shared" ref="M314:M377" si="213">+ROUND(IF(C314=8,PRODUCT(E314,F314,G314,L314),0),2)</f>
        <v>0</v>
      </c>
      <c r="N314" s="510">
        <f t="shared" ref="N314:N377" si="214">+ROUND(IF(C314=10,PRODUCT(E314,F314,G314,L314),0),2)</f>
        <v>0</v>
      </c>
      <c r="O314" s="510">
        <f t="shared" ref="O314:O377" si="215">+ROUND(IF(C314=12,PRODUCT(E314,F314,G314,L314),0),2)</f>
        <v>12.46</v>
      </c>
      <c r="P314" s="510">
        <f t="shared" ref="P314:P377" si="216">+ROUND(IF(C314=16,PRODUCT(E314,F314,G314,L314),0),2)</f>
        <v>0</v>
      </c>
      <c r="Q314" s="510">
        <f t="shared" ref="Q314:Q377" si="217">+ROUND(IF(C314=20,PRODUCT(E314,F314,G314,L314),0),2)</f>
        <v>0</v>
      </c>
      <c r="R314" s="510">
        <f t="shared" ref="R314:R377" si="218">+ROUND(IF(C314=25,PRODUCT(E314,F314,G314,L314),0),2)</f>
        <v>0</v>
      </c>
    </row>
    <row r="315" spans="1:18">
      <c r="A315" s="505"/>
      <c r="B315" s="511" t="s">
        <v>780</v>
      </c>
      <c r="C315" s="507">
        <v>8</v>
      </c>
      <c r="D315" s="508">
        <v>100</v>
      </c>
      <c r="E315" s="507">
        <v>2</v>
      </c>
      <c r="F315" s="502">
        <v>1</v>
      </c>
      <c r="G315" s="502">
        <f>+ROUND(1.41/0.1+1,0)</f>
        <v>15</v>
      </c>
      <c r="H315" s="503"/>
      <c r="I315" s="516">
        <f t="shared" ref="I315" si="219">2*(0.14+0.39)+16*C315/1000</f>
        <v>1.1880000000000002</v>
      </c>
      <c r="J315" s="509"/>
      <c r="K315" s="481"/>
      <c r="L315" s="510">
        <f t="shared" ref="L315" si="220">SUM(H315:J315)+K315</f>
        <v>1.1880000000000002</v>
      </c>
      <c r="M315" s="510">
        <f t="shared" si="213"/>
        <v>35.64</v>
      </c>
      <c r="N315" s="510">
        <f t="shared" si="214"/>
        <v>0</v>
      </c>
      <c r="O315" s="510">
        <f t="shared" si="215"/>
        <v>0</v>
      </c>
      <c r="P315" s="510">
        <f t="shared" si="216"/>
        <v>0</v>
      </c>
      <c r="Q315" s="510">
        <f t="shared" si="217"/>
        <v>0</v>
      </c>
      <c r="R315" s="510">
        <f t="shared" si="218"/>
        <v>0</v>
      </c>
    </row>
    <row r="316" spans="1:18">
      <c r="A316" s="505" t="s">
        <v>779</v>
      </c>
      <c r="B316" s="506" t="s">
        <v>722</v>
      </c>
      <c r="C316" s="507"/>
      <c r="D316" s="508"/>
      <c r="E316" s="507"/>
      <c r="F316" s="502"/>
      <c r="G316" s="502"/>
      <c r="H316" s="503"/>
      <c r="I316" s="503"/>
      <c r="J316" s="509"/>
      <c r="K316" s="509"/>
      <c r="L316" s="510">
        <f t="shared" ref="L316" si="221">SUM(H316:J316)+K316</f>
        <v>0</v>
      </c>
      <c r="M316" s="510">
        <f t="shared" si="213"/>
        <v>0</v>
      </c>
      <c r="N316" s="510">
        <f t="shared" si="214"/>
        <v>0</v>
      </c>
      <c r="O316" s="510">
        <f t="shared" si="215"/>
        <v>0</v>
      </c>
      <c r="P316" s="510">
        <f t="shared" si="216"/>
        <v>0</v>
      </c>
      <c r="Q316" s="510">
        <f t="shared" si="217"/>
        <v>0</v>
      </c>
      <c r="R316" s="510">
        <f t="shared" si="218"/>
        <v>0</v>
      </c>
    </row>
    <row r="317" spans="1:18">
      <c r="A317" s="505"/>
      <c r="B317" s="511" t="s">
        <v>740</v>
      </c>
      <c r="C317" s="507">
        <v>12</v>
      </c>
      <c r="D317" s="508"/>
      <c r="E317" s="507">
        <v>2</v>
      </c>
      <c r="F317" s="502">
        <v>1</v>
      </c>
      <c r="G317" s="502">
        <v>2</v>
      </c>
      <c r="H317" s="503">
        <v>0.3</v>
      </c>
      <c r="I317" s="503">
        <f>0.75-0.06</f>
        <v>0.69</v>
      </c>
      <c r="J317" s="509">
        <v>0.3</v>
      </c>
      <c r="K317" s="509"/>
      <c r="L317" s="510">
        <f>SUM(H317:J317)+K317</f>
        <v>1.29</v>
      </c>
      <c r="M317" s="510">
        <f t="shared" si="213"/>
        <v>0</v>
      </c>
      <c r="N317" s="510">
        <f t="shared" si="214"/>
        <v>0</v>
      </c>
      <c r="O317" s="510">
        <f t="shared" si="215"/>
        <v>5.16</v>
      </c>
      <c r="P317" s="510">
        <f t="shared" si="216"/>
        <v>0</v>
      </c>
      <c r="Q317" s="510">
        <f t="shared" si="217"/>
        <v>0</v>
      </c>
      <c r="R317" s="510">
        <f t="shared" si="218"/>
        <v>0</v>
      </c>
    </row>
    <row r="318" spans="1:18">
      <c r="A318" s="505"/>
      <c r="B318" s="511" t="s">
        <v>773</v>
      </c>
      <c r="C318" s="507">
        <v>12</v>
      </c>
      <c r="D318" s="508"/>
      <c r="E318" s="507">
        <v>2</v>
      </c>
      <c r="F318" s="502">
        <v>1</v>
      </c>
      <c r="G318" s="502">
        <v>2</v>
      </c>
      <c r="H318" s="503">
        <v>0.3</v>
      </c>
      <c r="I318" s="503">
        <f>0.75-0.06</f>
        <v>0.69</v>
      </c>
      <c r="J318" s="509">
        <v>0.3</v>
      </c>
      <c r="K318" s="509"/>
      <c r="L318" s="510">
        <f>SUM(H318:J318)+K318</f>
        <v>1.29</v>
      </c>
      <c r="M318" s="510">
        <f t="shared" si="213"/>
        <v>0</v>
      </c>
      <c r="N318" s="510">
        <f t="shared" si="214"/>
        <v>0</v>
      </c>
      <c r="O318" s="510">
        <f t="shared" si="215"/>
        <v>5.16</v>
      </c>
      <c r="P318" s="510">
        <f t="shared" si="216"/>
        <v>0</v>
      </c>
      <c r="Q318" s="510">
        <f t="shared" si="217"/>
        <v>0</v>
      </c>
      <c r="R318" s="510">
        <f t="shared" si="218"/>
        <v>0</v>
      </c>
    </row>
    <row r="319" spans="1:18">
      <c r="A319" s="505"/>
      <c r="B319" s="511" t="s">
        <v>780</v>
      </c>
      <c r="C319" s="507">
        <v>8</v>
      </c>
      <c r="D319" s="508">
        <v>100</v>
      </c>
      <c r="E319" s="507">
        <v>2</v>
      </c>
      <c r="F319" s="502">
        <v>1</v>
      </c>
      <c r="G319" s="502">
        <f>+ROUND(0.69/0.1+1,0)</f>
        <v>8</v>
      </c>
      <c r="H319" s="503"/>
      <c r="I319" s="516">
        <f>2*(0.17+0.39)+16*C319/1000</f>
        <v>1.2480000000000002</v>
      </c>
      <c r="J319" s="509"/>
      <c r="K319" s="481"/>
      <c r="L319" s="510">
        <f t="shared" ref="L319" si="222">SUM(H319:J319)+K319</f>
        <v>1.2480000000000002</v>
      </c>
      <c r="M319" s="510">
        <f t="shared" si="213"/>
        <v>19.97</v>
      </c>
      <c r="N319" s="510">
        <f t="shared" si="214"/>
        <v>0</v>
      </c>
      <c r="O319" s="510">
        <f t="shared" si="215"/>
        <v>0</v>
      </c>
      <c r="P319" s="510">
        <f t="shared" si="216"/>
        <v>0</v>
      </c>
      <c r="Q319" s="510">
        <f t="shared" si="217"/>
        <v>0</v>
      </c>
      <c r="R319" s="510">
        <f t="shared" si="218"/>
        <v>0</v>
      </c>
    </row>
    <row r="320" spans="1:18">
      <c r="A320" s="505" t="s">
        <v>779</v>
      </c>
      <c r="B320" s="506" t="s">
        <v>723</v>
      </c>
      <c r="C320" s="507"/>
      <c r="D320" s="508"/>
      <c r="E320" s="507"/>
      <c r="F320" s="502"/>
      <c r="G320" s="502"/>
      <c r="H320" s="503"/>
      <c r="I320" s="503"/>
      <c r="J320" s="509"/>
      <c r="K320" s="509"/>
      <c r="L320" s="510">
        <f t="shared" ref="L320" si="223">SUM(H320:J320)+K320</f>
        <v>0</v>
      </c>
      <c r="M320" s="510">
        <f t="shared" si="213"/>
        <v>0</v>
      </c>
      <c r="N320" s="510">
        <f t="shared" si="214"/>
        <v>0</v>
      </c>
      <c r="O320" s="510">
        <f t="shared" si="215"/>
        <v>0</v>
      </c>
      <c r="P320" s="510">
        <f t="shared" si="216"/>
        <v>0</v>
      </c>
      <c r="Q320" s="510">
        <f t="shared" si="217"/>
        <v>0</v>
      </c>
      <c r="R320" s="510">
        <f t="shared" si="218"/>
        <v>0</v>
      </c>
    </row>
    <row r="321" spans="1:18">
      <c r="A321" s="505"/>
      <c r="B321" s="511" t="s">
        <v>740</v>
      </c>
      <c r="C321" s="507">
        <v>12</v>
      </c>
      <c r="D321" s="508"/>
      <c r="E321" s="507">
        <v>2</v>
      </c>
      <c r="F321" s="502">
        <v>1</v>
      </c>
      <c r="G321" s="502">
        <v>2</v>
      </c>
      <c r="H321" s="503">
        <f>49*0.016+10*0.016</f>
        <v>0.94400000000000006</v>
      </c>
      <c r="I321" s="503">
        <f>2.36-0.03</f>
        <v>2.33</v>
      </c>
      <c r="J321" s="509">
        <v>0.3</v>
      </c>
      <c r="K321" s="509"/>
      <c r="L321" s="510">
        <f>SUM(H321:J321)+K321</f>
        <v>3.5739999999999998</v>
      </c>
      <c r="M321" s="510">
        <f t="shared" si="213"/>
        <v>0</v>
      </c>
      <c r="N321" s="510">
        <f t="shared" si="214"/>
        <v>0</v>
      </c>
      <c r="O321" s="510">
        <f t="shared" si="215"/>
        <v>14.3</v>
      </c>
      <c r="P321" s="510">
        <f t="shared" si="216"/>
        <v>0</v>
      </c>
      <c r="Q321" s="510">
        <f t="shared" si="217"/>
        <v>0</v>
      </c>
      <c r="R321" s="510">
        <f t="shared" si="218"/>
        <v>0</v>
      </c>
    </row>
    <row r="322" spans="1:18">
      <c r="A322" s="505"/>
      <c r="B322" s="511" t="s">
        <v>773</v>
      </c>
      <c r="C322" s="507">
        <v>16</v>
      </c>
      <c r="D322" s="508"/>
      <c r="E322" s="507">
        <v>2</v>
      </c>
      <c r="F322" s="502">
        <v>1</v>
      </c>
      <c r="G322" s="502">
        <v>2</v>
      </c>
      <c r="H322" s="503">
        <f>49*0.016+10*0.016</f>
        <v>0.94400000000000006</v>
      </c>
      <c r="I322" s="503">
        <f>2.36-0.03</f>
        <v>2.33</v>
      </c>
      <c r="J322" s="509">
        <v>0.3</v>
      </c>
      <c r="K322" s="509"/>
      <c r="L322" s="510">
        <f>SUM(H322:J322)+K322</f>
        <v>3.5739999999999998</v>
      </c>
      <c r="M322" s="510">
        <f t="shared" si="213"/>
        <v>0</v>
      </c>
      <c r="N322" s="510">
        <f t="shared" si="214"/>
        <v>0</v>
      </c>
      <c r="O322" s="510">
        <f t="shared" si="215"/>
        <v>0</v>
      </c>
      <c r="P322" s="510">
        <f t="shared" si="216"/>
        <v>14.3</v>
      </c>
      <c r="Q322" s="510">
        <f t="shared" si="217"/>
        <v>0</v>
      </c>
      <c r="R322" s="510">
        <f t="shared" si="218"/>
        <v>0</v>
      </c>
    </row>
    <row r="323" spans="1:18">
      <c r="A323" s="505"/>
      <c r="B323" s="511" t="s">
        <v>780</v>
      </c>
      <c r="C323" s="507">
        <v>8</v>
      </c>
      <c r="D323" s="508">
        <v>100</v>
      </c>
      <c r="E323" s="507">
        <v>2</v>
      </c>
      <c r="F323" s="502">
        <v>1</v>
      </c>
      <c r="G323" s="502">
        <f>+ROUND(2.16/0.1+1,0)</f>
        <v>23</v>
      </c>
      <c r="H323" s="503"/>
      <c r="I323" s="516">
        <f>2*(0.17+0.39)+16*C323/1000</f>
        <v>1.2480000000000002</v>
      </c>
      <c r="J323" s="509"/>
      <c r="K323" s="481"/>
      <c r="L323" s="510">
        <f t="shared" ref="L323" si="224">SUM(H323:J323)+K323</f>
        <v>1.2480000000000002</v>
      </c>
      <c r="M323" s="510">
        <f t="shared" si="213"/>
        <v>57.41</v>
      </c>
      <c r="N323" s="510">
        <f t="shared" si="214"/>
        <v>0</v>
      </c>
      <c r="O323" s="510">
        <f t="shared" si="215"/>
        <v>0</v>
      </c>
      <c r="P323" s="510">
        <f t="shared" si="216"/>
        <v>0</v>
      </c>
      <c r="Q323" s="510">
        <f t="shared" si="217"/>
        <v>0</v>
      </c>
      <c r="R323" s="510">
        <f t="shared" si="218"/>
        <v>0</v>
      </c>
    </row>
    <row r="324" spans="1:18">
      <c r="A324" s="505" t="s">
        <v>779</v>
      </c>
      <c r="B324" s="506" t="s">
        <v>724</v>
      </c>
      <c r="C324" s="507"/>
      <c r="D324" s="508"/>
      <c r="E324" s="507"/>
      <c r="F324" s="502"/>
      <c r="G324" s="502"/>
      <c r="H324" s="503"/>
      <c r="I324" s="503"/>
      <c r="J324" s="509"/>
      <c r="K324" s="509"/>
      <c r="L324" s="510">
        <f t="shared" ref="L324" si="225">SUM(H324:J324)+K324</f>
        <v>0</v>
      </c>
      <c r="M324" s="510">
        <f t="shared" si="213"/>
        <v>0</v>
      </c>
      <c r="N324" s="510">
        <f t="shared" si="214"/>
        <v>0</v>
      </c>
      <c r="O324" s="510">
        <f t="shared" si="215"/>
        <v>0</v>
      </c>
      <c r="P324" s="510">
        <f t="shared" si="216"/>
        <v>0</v>
      </c>
      <c r="Q324" s="510">
        <f t="shared" si="217"/>
        <v>0</v>
      </c>
      <c r="R324" s="510">
        <f t="shared" si="218"/>
        <v>0</v>
      </c>
    </row>
    <row r="325" spans="1:18">
      <c r="A325" s="505"/>
      <c r="B325" s="511" t="s">
        <v>740</v>
      </c>
      <c r="C325" s="507">
        <v>16</v>
      </c>
      <c r="D325" s="508"/>
      <c r="E325" s="507">
        <v>2</v>
      </c>
      <c r="F325" s="502">
        <v>1</v>
      </c>
      <c r="G325" s="502">
        <v>2</v>
      </c>
      <c r="H325" s="503">
        <v>0.3</v>
      </c>
      <c r="I325" s="503">
        <f>4.18-0.06</f>
        <v>4.12</v>
      </c>
      <c r="J325" s="509">
        <v>0.3</v>
      </c>
      <c r="K325" s="509"/>
      <c r="L325" s="510">
        <f>SUM(H325:J325)+K325</f>
        <v>4.72</v>
      </c>
      <c r="M325" s="510">
        <f t="shared" si="213"/>
        <v>0</v>
      </c>
      <c r="N325" s="510">
        <f t="shared" si="214"/>
        <v>0</v>
      </c>
      <c r="O325" s="510">
        <f t="shared" si="215"/>
        <v>0</v>
      </c>
      <c r="P325" s="510">
        <f t="shared" si="216"/>
        <v>18.88</v>
      </c>
      <c r="Q325" s="510">
        <f t="shared" si="217"/>
        <v>0</v>
      </c>
      <c r="R325" s="510">
        <f t="shared" si="218"/>
        <v>0</v>
      </c>
    </row>
    <row r="326" spans="1:18">
      <c r="A326" s="505"/>
      <c r="B326" s="511" t="s">
        <v>773</v>
      </c>
      <c r="C326" s="507">
        <v>16</v>
      </c>
      <c r="D326" s="508"/>
      <c r="E326" s="507">
        <v>2</v>
      </c>
      <c r="F326" s="502">
        <v>1</v>
      </c>
      <c r="G326" s="502">
        <v>2</v>
      </c>
      <c r="H326" s="503">
        <v>0.3</v>
      </c>
      <c r="I326" s="503">
        <f>4.18-0.06</f>
        <v>4.12</v>
      </c>
      <c r="J326" s="509">
        <v>0.3</v>
      </c>
      <c r="K326" s="509"/>
      <c r="L326" s="510">
        <f>SUM(H326:J326)+K326</f>
        <v>4.72</v>
      </c>
      <c r="M326" s="510">
        <f t="shared" si="213"/>
        <v>0</v>
      </c>
      <c r="N326" s="510">
        <f t="shared" si="214"/>
        <v>0</v>
      </c>
      <c r="O326" s="510">
        <f t="shared" si="215"/>
        <v>0</v>
      </c>
      <c r="P326" s="510">
        <f t="shared" si="216"/>
        <v>18.88</v>
      </c>
      <c r="Q326" s="510">
        <f t="shared" si="217"/>
        <v>0</v>
      </c>
      <c r="R326" s="510">
        <f t="shared" si="218"/>
        <v>0</v>
      </c>
    </row>
    <row r="327" spans="1:18">
      <c r="A327" s="505"/>
      <c r="B327" s="511" t="s">
        <v>781</v>
      </c>
      <c r="C327" s="507">
        <v>8</v>
      </c>
      <c r="D327" s="508">
        <v>100</v>
      </c>
      <c r="E327" s="507">
        <v>2</v>
      </c>
      <c r="F327" s="502">
        <v>1</v>
      </c>
      <c r="G327" s="502">
        <f>+ROUND(1.8/0.1,0)</f>
        <v>18</v>
      </c>
      <c r="H327" s="503"/>
      <c r="I327" s="516">
        <f>2*(0.17+0.39)+16*C327/1000</f>
        <v>1.2480000000000002</v>
      </c>
      <c r="J327" s="509"/>
      <c r="K327" s="481"/>
      <c r="L327" s="510">
        <f t="shared" ref="L327:L329" si="226">SUM(H327:J327)+K327</f>
        <v>1.2480000000000002</v>
      </c>
      <c r="M327" s="510">
        <f t="shared" si="213"/>
        <v>44.93</v>
      </c>
      <c r="N327" s="510">
        <f t="shared" si="214"/>
        <v>0</v>
      </c>
      <c r="O327" s="510">
        <f t="shared" si="215"/>
        <v>0</v>
      </c>
      <c r="P327" s="510">
        <f t="shared" si="216"/>
        <v>0</v>
      </c>
      <c r="Q327" s="510">
        <f t="shared" si="217"/>
        <v>0</v>
      </c>
      <c r="R327" s="510">
        <f t="shared" si="218"/>
        <v>0</v>
      </c>
    </row>
    <row r="328" spans="1:18">
      <c r="A328" s="505"/>
      <c r="B328" s="511"/>
      <c r="C328" s="507">
        <v>8</v>
      </c>
      <c r="D328" s="508">
        <v>150</v>
      </c>
      <c r="E328" s="507">
        <v>2</v>
      </c>
      <c r="F328" s="502">
        <v>1</v>
      </c>
      <c r="G328" s="502">
        <f>+ROUND(1.4/0.15+1,0)</f>
        <v>10</v>
      </c>
      <c r="H328" s="503"/>
      <c r="I328" s="516">
        <f>2*(0.17+0.39)+16*C328/1000</f>
        <v>1.2480000000000002</v>
      </c>
      <c r="J328" s="509"/>
      <c r="K328" s="481"/>
      <c r="L328" s="510">
        <f t="shared" si="226"/>
        <v>1.2480000000000002</v>
      </c>
      <c r="M328" s="510">
        <f t="shared" si="213"/>
        <v>24.96</v>
      </c>
      <c r="N328" s="510">
        <f t="shared" si="214"/>
        <v>0</v>
      </c>
      <c r="O328" s="510">
        <f t="shared" si="215"/>
        <v>0</v>
      </c>
      <c r="P328" s="510">
        <f t="shared" si="216"/>
        <v>0</v>
      </c>
      <c r="Q328" s="510">
        <f t="shared" si="217"/>
        <v>0</v>
      </c>
      <c r="R328" s="510">
        <f t="shared" si="218"/>
        <v>0</v>
      </c>
    </row>
    <row r="329" spans="1:18">
      <c r="A329" s="505" t="s">
        <v>779</v>
      </c>
      <c r="B329" s="506" t="s">
        <v>782</v>
      </c>
      <c r="C329" s="507"/>
      <c r="D329" s="508"/>
      <c r="E329" s="507"/>
      <c r="F329" s="502"/>
      <c r="G329" s="502"/>
      <c r="H329" s="503"/>
      <c r="I329" s="503"/>
      <c r="J329" s="509"/>
      <c r="K329" s="509"/>
      <c r="L329" s="510">
        <f t="shared" si="226"/>
        <v>0</v>
      </c>
      <c r="M329" s="510">
        <f t="shared" si="213"/>
        <v>0</v>
      </c>
      <c r="N329" s="510">
        <f t="shared" si="214"/>
        <v>0</v>
      </c>
      <c r="O329" s="510">
        <f t="shared" si="215"/>
        <v>0</v>
      </c>
      <c r="P329" s="510">
        <f t="shared" si="216"/>
        <v>0</v>
      </c>
      <c r="Q329" s="510">
        <f t="shared" si="217"/>
        <v>0</v>
      </c>
      <c r="R329" s="510">
        <f t="shared" si="218"/>
        <v>0</v>
      </c>
    </row>
    <row r="330" spans="1:18">
      <c r="A330" s="505"/>
      <c r="B330" s="511" t="s">
        <v>740</v>
      </c>
      <c r="C330" s="507">
        <v>16</v>
      </c>
      <c r="D330" s="508"/>
      <c r="E330" s="507">
        <v>2</v>
      </c>
      <c r="F330" s="502">
        <v>1</v>
      </c>
      <c r="G330" s="502">
        <v>2</v>
      </c>
      <c r="H330" s="503">
        <v>0.3</v>
      </c>
      <c r="I330" s="503">
        <f>18.975-0.06</f>
        <v>18.915000000000003</v>
      </c>
      <c r="J330" s="509">
        <v>0.3</v>
      </c>
      <c r="K330" s="509">
        <f>49*C330/1000</f>
        <v>0.78400000000000003</v>
      </c>
      <c r="L330" s="510">
        <f>SUM(H330:J330)+K330</f>
        <v>20.299000000000003</v>
      </c>
      <c r="M330" s="510">
        <f t="shared" si="213"/>
        <v>0</v>
      </c>
      <c r="N330" s="510">
        <f t="shared" si="214"/>
        <v>0</v>
      </c>
      <c r="O330" s="510">
        <f t="shared" si="215"/>
        <v>0</v>
      </c>
      <c r="P330" s="510">
        <f t="shared" si="216"/>
        <v>81.2</v>
      </c>
      <c r="Q330" s="510">
        <f t="shared" si="217"/>
        <v>0</v>
      </c>
      <c r="R330" s="510">
        <f t="shared" si="218"/>
        <v>0</v>
      </c>
    </row>
    <row r="331" spans="1:18">
      <c r="A331" s="505"/>
      <c r="B331" s="511" t="s">
        <v>773</v>
      </c>
      <c r="C331" s="507">
        <v>16</v>
      </c>
      <c r="D331" s="508"/>
      <c r="E331" s="507">
        <v>2</v>
      </c>
      <c r="F331" s="502">
        <v>1</v>
      </c>
      <c r="G331" s="502">
        <v>2</v>
      </c>
      <c r="H331" s="503">
        <v>0.3</v>
      </c>
      <c r="I331" s="503">
        <f>18.975-0.06</f>
        <v>18.915000000000003</v>
      </c>
      <c r="J331" s="509">
        <v>0.3</v>
      </c>
      <c r="K331" s="509">
        <f>49*C331/1000</f>
        <v>0.78400000000000003</v>
      </c>
      <c r="L331" s="510">
        <f>SUM(H331:J331)+K331</f>
        <v>20.299000000000003</v>
      </c>
      <c r="M331" s="510">
        <f t="shared" si="213"/>
        <v>0</v>
      </c>
      <c r="N331" s="510">
        <f t="shared" si="214"/>
        <v>0</v>
      </c>
      <c r="O331" s="510">
        <f t="shared" si="215"/>
        <v>0</v>
      </c>
      <c r="P331" s="510">
        <f t="shared" si="216"/>
        <v>81.2</v>
      </c>
      <c r="Q331" s="510">
        <f t="shared" si="217"/>
        <v>0</v>
      </c>
      <c r="R331" s="510">
        <f t="shared" si="218"/>
        <v>0</v>
      </c>
    </row>
    <row r="332" spans="1:18">
      <c r="A332" s="505"/>
      <c r="B332" s="511" t="s">
        <v>781</v>
      </c>
      <c r="C332" s="507">
        <v>8</v>
      </c>
      <c r="D332" s="508">
        <v>100</v>
      </c>
      <c r="E332" s="507">
        <v>2</v>
      </c>
      <c r="F332" s="502">
        <v>1</v>
      </c>
      <c r="G332" s="502">
        <f>+ROUND(1.8/0.1,0)</f>
        <v>18</v>
      </c>
      <c r="H332" s="503"/>
      <c r="I332" s="516">
        <f t="shared" ref="I332:I333" si="227">2*(0.17+0.39)+16*C332/1000</f>
        <v>1.2480000000000002</v>
      </c>
      <c r="J332" s="509"/>
      <c r="K332" s="481"/>
      <c r="L332" s="510">
        <f t="shared" ref="L332:L334" si="228">SUM(H332:J332)+K332</f>
        <v>1.2480000000000002</v>
      </c>
      <c r="M332" s="510">
        <f t="shared" si="213"/>
        <v>44.93</v>
      </c>
      <c r="N332" s="510">
        <f t="shared" si="214"/>
        <v>0</v>
      </c>
      <c r="O332" s="510">
        <f t="shared" si="215"/>
        <v>0</v>
      </c>
      <c r="P332" s="510">
        <f t="shared" si="216"/>
        <v>0</v>
      </c>
      <c r="Q332" s="510">
        <f t="shared" si="217"/>
        <v>0</v>
      </c>
      <c r="R332" s="510">
        <f t="shared" si="218"/>
        <v>0</v>
      </c>
    </row>
    <row r="333" spans="1:18">
      <c r="A333" s="505"/>
      <c r="B333" s="511"/>
      <c r="C333" s="507">
        <v>8</v>
      </c>
      <c r="D333" s="508">
        <v>150</v>
      </c>
      <c r="E333" s="507">
        <v>2</v>
      </c>
      <c r="F333" s="502">
        <v>1</v>
      </c>
      <c r="G333" s="502">
        <f>+ROUND(0.74/0.15+1,0)</f>
        <v>6</v>
      </c>
      <c r="H333" s="503"/>
      <c r="I333" s="516">
        <f t="shared" si="227"/>
        <v>1.2480000000000002</v>
      </c>
      <c r="J333" s="509"/>
      <c r="K333" s="481"/>
      <c r="L333" s="510">
        <f t="shared" si="228"/>
        <v>1.2480000000000002</v>
      </c>
      <c r="M333" s="510">
        <f t="shared" si="213"/>
        <v>14.98</v>
      </c>
      <c r="N333" s="510">
        <f t="shared" si="214"/>
        <v>0</v>
      </c>
      <c r="O333" s="510">
        <f t="shared" si="215"/>
        <v>0</v>
      </c>
      <c r="P333" s="510">
        <f t="shared" si="216"/>
        <v>0</v>
      </c>
      <c r="Q333" s="510">
        <f t="shared" si="217"/>
        <v>0</v>
      </c>
      <c r="R333" s="510">
        <f t="shared" si="218"/>
        <v>0</v>
      </c>
    </row>
    <row r="334" spans="1:18">
      <c r="A334" s="505"/>
      <c r="B334" s="511" t="s">
        <v>777</v>
      </c>
      <c r="C334" s="507">
        <v>8</v>
      </c>
      <c r="D334" s="508">
        <v>100</v>
      </c>
      <c r="E334" s="507">
        <v>2</v>
      </c>
      <c r="F334" s="502">
        <v>2</v>
      </c>
      <c r="G334" s="502">
        <f>+ROUND(1.8/0.1,0)</f>
        <v>18</v>
      </c>
      <c r="H334" s="503"/>
      <c r="I334" s="516">
        <f t="shared" ref="I334:I338" si="229">2*(0.14+0.39)+16*C334/1000</f>
        <v>1.1880000000000002</v>
      </c>
      <c r="J334" s="509"/>
      <c r="K334" s="481"/>
      <c r="L334" s="510">
        <f t="shared" si="228"/>
        <v>1.1880000000000002</v>
      </c>
      <c r="M334" s="510">
        <f t="shared" si="213"/>
        <v>85.54</v>
      </c>
      <c r="N334" s="510">
        <f t="shared" si="214"/>
        <v>0</v>
      </c>
      <c r="O334" s="510">
        <f t="shared" si="215"/>
        <v>0</v>
      </c>
      <c r="P334" s="510">
        <f t="shared" si="216"/>
        <v>0</v>
      </c>
      <c r="Q334" s="510">
        <f t="shared" si="217"/>
        <v>0</v>
      </c>
      <c r="R334" s="510">
        <f t="shared" si="218"/>
        <v>0</v>
      </c>
    </row>
    <row r="335" spans="1:18">
      <c r="A335" s="505"/>
      <c r="B335" s="511"/>
      <c r="C335" s="507">
        <v>8</v>
      </c>
      <c r="D335" s="508">
        <v>150</v>
      </c>
      <c r="E335" s="507">
        <v>2</v>
      </c>
      <c r="F335" s="502">
        <v>2</v>
      </c>
      <c r="G335" s="502">
        <f>+ROUND(1.63/0.15+1,0)</f>
        <v>12</v>
      </c>
      <c r="H335" s="503"/>
      <c r="I335" s="516">
        <f t="shared" si="229"/>
        <v>1.1880000000000002</v>
      </c>
      <c r="J335" s="509"/>
      <c r="K335" s="509"/>
      <c r="L335" s="510">
        <f>SUM(H335:J335)+K335</f>
        <v>1.1880000000000002</v>
      </c>
      <c r="M335" s="510">
        <f t="shared" si="213"/>
        <v>57.02</v>
      </c>
      <c r="N335" s="510">
        <f t="shared" si="214"/>
        <v>0</v>
      </c>
      <c r="O335" s="510">
        <f t="shared" si="215"/>
        <v>0</v>
      </c>
      <c r="P335" s="510">
        <f t="shared" si="216"/>
        <v>0</v>
      </c>
      <c r="Q335" s="510">
        <f t="shared" si="217"/>
        <v>0</v>
      </c>
      <c r="R335" s="510">
        <f t="shared" si="218"/>
        <v>0</v>
      </c>
    </row>
    <row r="336" spans="1:18">
      <c r="A336" s="505"/>
      <c r="B336" s="511" t="s">
        <v>777</v>
      </c>
      <c r="C336" s="507">
        <v>8</v>
      </c>
      <c r="D336" s="508">
        <v>100</v>
      </c>
      <c r="E336" s="507">
        <v>2</v>
      </c>
      <c r="F336" s="502">
        <v>1</v>
      </c>
      <c r="G336" s="502">
        <f>+ROUND(1.8/0.1,0)</f>
        <v>18</v>
      </c>
      <c r="H336" s="503"/>
      <c r="I336" s="516">
        <f t="shared" si="229"/>
        <v>1.1880000000000002</v>
      </c>
      <c r="J336" s="509"/>
      <c r="K336" s="481"/>
      <c r="L336" s="510">
        <f t="shared" ref="L336" si="230">SUM(H336:J336)+K336</f>
        <v>1.1880000000000002</v>
      </c>
      <c r="M336" s="510">
        <f t="shared" si="213"/>
        <v>42.77</v>
      </c>
      <c r="N336" s="510">
        <f t="shared" si="214"/>
        <v>0</v>
      </c>
      <c r="O336" s="510">
        <f t="shared" si="215"/>
        <v>0</v>
      </c>
      <c r="P336" s="510">
        <f t="shared" si="216"/>
        <v>0</v>
      </c>
      <c r="Q336" s="510">
        <f t="shared" si="217"/>
        <v>0</v>
      </c>
      <c r="R336" s="510">
        <f t="shared" si="218"/>
        <v>0</v>
      </c>
    </row>
    <row r="337" spans="1:18">
      <c r="A337" s="505"/>
      <c r="B337" s="511"/>
      <c r="C337" s="507">
        <v>8</v>
      </c>
      <c r="D337" s="508">
        <v>150</v>
      </c>
      <c r="E337" s="507">
        <v>2</v>
      </c>
      <c r="F337" s="502">
        <v>1</v>
      </c>
      <c r="G337" s="502">
        <f>+ROUND(1.34/0.15+1,0)</f>
        <v>10</v>
      </c>
      <c r="H337" s="503"/>
      <c r="I337" s="516">
        <f t="shared" si="229"/>
        <v>1.1880000000000002</v>
      </c>
      <c r="J337" s="509"/>
      <c r="K337" s="509"/>
      <c r="L337" s="510">
        <f>SUM(H337:J337)+K337</f>
        <v>1.1880000000000002</v>
      </c>
      <c r="M337" s="510">
        <f t="shared" si="213"/>
        <v>23.76</v>
      </c>
      <c r="N337" s="510">
        <f t="shared" si="214"/>
        <v>0</v>
      </c>
      <c r="O337" s="510">
        <f t="shared" si="215"/>
        <v>0</v>
      </c>
      <c r="P337" s="510">
        <f t="shared" si="216"/>
        <v>0</v>
      </c>
      <c r="Q337" s="510">
        <f t="shared" si="217"/>
        <v>0</v>
      </c>
      <c r="R337" s="510">
        <f t="shared" si="218"/>
        <v>0</v>
      </c>
    </row>
    <row r="338" spans="1:18">
      <c r="A338" s="505"/>
      <c r="B338" s="511" t="s">
        <v>777</v>
      </c>
      <c r="C338" s="507">
        <v>8</v>
      </c>
      <c r="D338" s="508">
        <v>100</v>
      </c>
      <c r="E338" s="507">
        <v>2</v>
      </c>
      <c r="F338" s="502">
        <v>1</v>
      </c>
      <c r="G338" s="502">
        <f>+ROUND(1.9/0.1+1,0)</f>
        <v>20</v>
      </c>
      <c r="H338" s="503"/>
      <c r="I338" s="516">
        <f t="shared" si="229"/>
        <v>1.1880000000000002</v>
      </c>
      <c r="J338" s="509"/>
      <c r="K338" s="481"/>
      <c r="L338" s="510">
        <f t="shared" ref="L338" si="231">SUM(H338:J338)+K338</f>
        <v>1.1880000000000002</v>
      </c>
      <c r="M338" s="510">
        <f t="shared" si="213"/>
        <v>47.52</v>
      </c>
      <c r="N338" s="510">
        <f t="shared" si="214"/>
        <v>0</v>
      </c>
      <c r="O338" s="510">
        <f t="shared" si="215"/>
        <v>0</v>
      </c>
      <c r="P338" s="510">
        <f t="shared" si="216"/>
        <v>0</v>
      </c>
      <c r="Q338" s="510">
        <f t="shared" si="217"/>
        <v>0</v>
      </c>
      <c r="R338" s="510">
        <f t="shared" si="218"/>
        <v>0</v>
      </c>
    </row>
    <row r="339" spans="1:18">
      <c r="A339" s="505" t="s">
        <v>772</v>
      </c>
      <c r="B339" s="506" t="s">
        <v>726</v>
      </c>
      <c r="C339" s="507"/>
      <c r="D339" s="508"/>
      <c r="E339" s="507"/>
      <c r="F339" s="502"/>
      <c r="G339" s="502"/>
      <c r="H339" s="503"/>
      <c r="I339" s="503"/>
      <c r="J339" s="509"/>
      <c r="K339" s="509"/>
      <c r="L339" s="510">
        <f t="shared" ref="L339" si="232">SUM(H339:J339)+K339</f>
        <v>0</v>
      </c>
      <c r="M339" s="510">
        <f t="shared" si="213"/>
        <v>0</v>
      </c>
      <c r="N339" s="510">
        <f t="shared" si="214"/>
        <v>0</v>
      </c>
      <c r="O339" s="510">
        <f t="shared" si="215"/>
        <v>0</v>
      </c>
      <c r="P339" s="510">
        <f t="shared" si="216"/>
        <v>0</v>
      </c>
      <c r="Q339" s="510">
        <f t="shared" si="217"/>
        <v>0</v>
      </c>
      <c r="R339" s="510">
        <f t="shared" si="218"/>
        <v>0</v>
      </c>
    </row>
    <row r="340" spans="1:18">
      <c r="A340" s="505"/>
      <c r="B340" s="511" t="s">
        <v>740</v>
      </c>
      <c r="C340" s="507">
        <v>12</v>
      </c>
      <c r="D340" s="508"/>
      <c r="E340" s="507">
        <v>4</v>
      </c>
      <c r="F340" s="502">
        <v>1</v>
      </c>
      <c r="G340" s="502">
        <v>2</v>
      </c>
      <c r="H340" s="503">
        <v>0.3</v>
      </c>
      <c r="I340" s="503">
        <f>3.225-0.06</f>
        <v>3.165</v>
      </c>
      <c r="J340" s="509">
        <v>0.3</v>
      </c>
      <c r="K340" s="509"/>
      <c r="L340" s="510">
        <f>SUM(H340:J340)+K340</f>
        <v>3.7649999999999997</v>
      </c>
      <c r="M340" s="510">
        <f t="shared" si="213"/>
        <v>0</v>
      </c>
      <c r="N340" s="510">
        <f t="shared" si="214"/>
        <v>0</v>
      </c>
      <c r="O340" s="510">
        <f t="shared" si="215"/>
        <v>30.12</v>
      </c>
      <c r="P340" s="510">
        <f t="shared" si="216"/>
        <v>0</v>
      </c>
      <c r="Q340" s="510">
        <f t="shared" si="217"/>
        <v>0</v>
      </c>
      <c r="R340" s="510">
        <f t="shared" si="218"/>
        <v>0</v>
      </c>
    </row>
    <row r="341" spans="1:18">
      <c r="A341" s="505"/>
      <c r="B341" s="511" t="s">
        <v>773</v>
      </c>
      <c r="C341" s="507">
        <v>12</v>
      </c>
      <c r="D341" s="508"/>
      <c r="E341" s="507">
        <v>4</v>
      </c>
      <c r="F341" s="502">
        <v>1</v>
      </c>
      <c r="G341" s="502">
        <v>2</v>
      </c>
      <c r="H341" s="503">
        <v>0.3</v>
      </c>
      <c r="I341" s="503">
        <f>3.225-0.06</f>
        <v>3.165</v>
      </c>
      <c r="J341" s="509">
        <v>0.3</v>
      </c>
      <c r="K341" s="509"/>
      <c r="L341" s="510">
        <f>SUM(H341:J341)+K341</f>
        <v>3.7649999999999997</v>
      </c>
      <c r="M341" s="510">
        <f t="shared" si="213"/>
        <v>0</v>
      </c>
      <c r="N341" s="510">
        <f t="shared" si="214"/>
        <v>0</v>
      </c>
      <c r="O341" s="510">
        <f t="shared" si="215"/>
        <v>30.12</v>
      </c>
      <c r="P341" s="510">
        <f t="shared" si="216"/>
        <v>0</v>
      </c>
      <c r="Q341" s="510">
        <f t="shared" si="217"/>
        <v>0</v>
      </c>
      <c r="R341" s="510">
        <f t="shared" si="218"/>
        <v>0</v>
      </c>
    </row>
    <row r="342" spans="1:18">
      <c r="A342" s="505"/>
      <c r="B342" s="511" t="s">
        <v>777</v>
      </c>
      <c r="C342" s="507">
        <v>8</v>
      </c>
      <c r="D342" s="508">
        <v>100</v>
      </c>
      <c r="E342" s="507">
        <v>4</v>
      </c>
      <c r="F342" s="502">
        <v>1</v>
      </c>
      <c r="G342" s="502">
        <f>+ROUND(2.225/0.1+1,0)</f>
        <v>23</v>
      </c>
      <c r="H342" s="503"/>
      <c r="I342" s="516">
        <f t="shared" ref="I342" si="233">2*(0.14+0.39)+16*C342/1000</f>
        <v>1.1880000000000002</v>
      </c>
      <c r="J342" s="509"/>
      <c r="K342" s="481"/>
      <c r="L342" s="510">
        <f t="shared" ref="L342" si="234">SUM(H342:J342)+K342</f>
        <v>1.1880000000000002</v>
      </c>
      <c r="M342" s="510">
        <f t="shared" si="213"/>
        <v>109.3</v>
      </c>
      <c r="N342" s="510">
        <f t="shared" si="214"/>
        <v>0</v>
      </c>
      <c r="O342" s="510">
        <f t="shared" si="215"/>
        <v>0</v>
      </c>
      <c r="P342" s="510">
        <f t="shared" si="216"/>
        <v>0</v>
      </c>
      <c r="Q342" s="510">
        <f t="shared" si="217"/>
        <v>0</v>
      </c>
      <c r="R342" s="510">
        <f t="shared" si="218"/>
        <v>0</v>
      </c>
    </row>
    <row r="343" spans="1:18">
      <c r="A343" s="505" t="s">
        <v>772</v>
      </c>
      <c r="B343" s="506" t="s">
        <v>727</v>
      </c>
      <c r="C343" s="507"/>
      <c r="D343" s="508"/>
      <c r="E343" s="507"/>
      <c r="F343" s="502"/>
      <c r="G343" s="502"/>
      <c r="H343" s="503"/>
      <c r="I343" s="503"/>
      <c r="J343" s="509"/>
      <c r="K343" s="509"/>
      <c r="L343" s="510">
        <f t="shared" ref="L343" si="235">SUM(H343:J343)+K343</f>
        <v>0</v>
      </c>
      <c r="M343" s="510">
        <f t="shared" si="213"/>
        <v>0</v>
      </c>
      <c r="N343" s="510">
        <f t="shared" si="214"/>
        <v>0</v>
      </c>
      <c r="O343" s="510">
        <f t="shared" si="215"/>
        <v>0</v>
      </c>
      <c r="P343" s="510">
        <f t="shared" si="216"/>
        <v>0</v>
      </c>
      <c r="Q343" s="510">
        <f t="shared" si="217"/>
        <v>0</v>
      </c>
      <c r="R343" s="510">
        <f t="shared" si="218"/>
        <v>0</v>
      </c>
    </row>
    <row r="344" spans="1:18">
      <c r="A344" s="505"/>
      <c r="B344" s="511" t="s">
        <v>740</v>
      </c>
      <c r="C344" s="507">
        <v>12</v>
      </c>
      <c r="D344" s="508"/>
      <c r="E344" s="507">
        <v>2</v>
      </c>
      <c r="F344" s="502">
        <v>1</v>
      </c>
      <c r="G344" s="502">
        <v>2</v>
      </c>
      <c r="H344" s="503">
        <v>0.3</v>
      </c>
      <c r="I344" s="503">
        <f>3.96-0.06</f>
        <v>3.9</v>
      </c>
      <c r="J344" s="509">
        <v>0.3</v>
      </c>
      <c r="K344" s="509"/>
      <c r="L344" s="510">
        <f>SUM(H344:J344)+K344</f>
        <v>4.5</v>
      </c>
      <c r="M344" s="510">
        <f t="shared" si="213"/>
        <v>0</v>
      </c>
      <c r="N344" s="510">
        <f t="shared" si="214"/>
        <v>0</v>
      </c>
      <c r="O344" s="510">
        <f t="shared" si="215"/>
        <v>18</v>
      </c>
      <c r="P344" s="510">
        <f t="shared" si="216"/>
        <v>0</v>
      </c>
      <c r="Q344" s="510">
        <f t="shared" si="217"/>
        <v>0</v>
      </c>
      <c r="R344" s="510">
        <f t="shared" si="218"/>
        <v>0</v>
      </c>
    </row>
    <row r="345" spans="1:18">
      <c r="A345" s="505"/>
      <c r="B345" s="511" t="s">
        <v>773</v>
      </c>
      <c r="C345" s="507">
        <v>12</v>
      </c>
      <c r="D345" s="508"/>
      <c r="E345" s="507">
        <v>2</v>
      </c>
      <c r="F345" s="502">
        <v>1</v>
      </c>
      <c r="G345" s="502">
        <v>2</v>
      </c>
      <c r="H345" s="503">
        <v>0.3</v>
      </c>
      <c r="I345" s="503">
        <f>3.96-0.06</f>
        <v>3.9</v>
      </c>
      <c r="J345" s="509">
        <v>0.3</v>
      </c>
      <c r="K345" s="509"/>
      <c r="L345" s="510">
        <f>SUM(H345:J345)+K345</f>
        <v>4.5</v>
      </c>
      <c r="M345" s="510">
        <f t="shared" si="213"/>
        <v>0</v>
      </c>
      <c r="N345" s="510">
        <f t="shared" si="214"/>
        <v>0</v>
      </c>
      <c r="O345" s="510">
        <f t="shared" si="215"/>
        <v>18</v>
      </c>
      <c r="P345" s="510">
        <f t="shared" si="216"/>
        <v>0</v>
      </c>
      <c r="Q345" s="510">
        <f t="shared" si="217"/>
        <v>0</v>
      </c>
      <c r="R345" s="510">
        <f t="shared" si="218"/>
        <v>0</v>
      </c>
    </row>
    <row r="346" spans="1:18">
      <c r="A346" s="505"/>
      <c r="B346" s="511" t="s">
        <v>780</v>
      </c>
      <c r="C346" s="507">
        <v>8</v>
      </c>
      <c r="D346" s="508">
        <v>100</v>
      </c>
      <c r="E346" s="507">
        <v>2</v>
      </c>
      <c r="F346" s="502">
        <v>1</v>
      </c>
      <c r="G346" s="502">
        <f>+ROUND(1.8/0.1,0)</f>
        <v>18</v>
      </c>
      <c r="H346" s="503"/>
      <c r="I346" s="516">
        <f t="shared" ref="I346:I347" si="236">2*(0.14+0.39)+16*C346/1000</f>
        <v>1.1880000000000002</v>
      </c>
      <c r="J346" s="509"/>
      <c r="K346" s="481"/>
      <c r="L346" s="510">
        <f t="shared" ref="L346:L348" si="237">SUM(H346:J346)+K346</f>
        <v>1.1880000000000002</v>
      </c>
      <c r="M346" s="510">
        <f t="shared" si="213"/>
        <v>42.77</v>
      </c>
      <c r="N346" s="510">
        <f t="shared" si="214"/>
        <v>0</v>
      </c>
      <c r="O346" s="510">
        <f t="shared" si="215"/>
        <v>0</v>
      </c>
      <c r="P346" s="510">
        <f t="shared" si="216"/>
        <v>0</v>
      </c>
      <c r="Q346" s="510">
        <f t="shared" si="217"/>
        <v>0</v>
      </c>
      <c r="R346" s="510">
        <f t="shared" si="218"/>
        <v>0</v>
      </c>
    </row>
    <row r="347" spans="1:18">
      <c r="A347" s="505"/>
      <c r="B347" s="511"/>
      <c r="C347" s="507">
        <v>8</v>
      </c>
      <c r="D347" s="508">
        <v>150</v>
      </c>
      <c r="E347" s="507">
        <v>2</v>
      </c>
      <c r="F347" s="502">
        <v>1</v>
      </c>
      <c r="G347" s="502">
        <f>+ROUND(1.065/0.15+1,0)</f>
        <v>8</v>
      </c>
      <c r="H347" s="503"/>
      <c r="I347" s="516">
        <f t="shared" si="236"/>
        <v>1.1880000000000002</v>
      </c>
      <c r="J347" s="509"/>
      <c r="K347" s="481"/>
      <c r="L347" s="510">
        <f t="shared" si="237"/>
        <v>1.1880000000000002</v>
      </c>
      <c r="M347" s="510">
        <f t="shared" si="213"/>
        <v>19.010000000000002</v>
      </c>
      <c r="N347" s="510">
        <f t="shared" si="214"/>
        <v>0</v>
      </c>
      <c r="O347" s="510">
        <f t="shared" si="215"/>
        <v>0</v>
      </c>
      <c r="P347" s="510">
        <f t="shared" si="216"/>
        <v>0</v>
      </c>
      <c r="Q347" s="510">
        <f t="shared" si="217"/>
        <v>0</v>
      </c>
      <c r="R347" s="510">
        <f t="shared" si="218"/>
        <v>0</v>
      </c>
    </row>
    <row r="348" spans="1:18">
      <c r="A348" s="505" t="s">
        <v>772</v>
      </c>
      <c r="B348" s="506" t="s">
        <v>728</v>
      </c>
      <c r="C348" s="507"/>
      <c r="D348" s="508"/>
      <c r="E348" s="507"/>
      <c r="F348" s="502"/>
      <c r="G348" s="502"/>
      <c r="H348" s="503"/>
      <c r="I348" s="503"/>
      <c r="J348" s="509"/>
      <c r="K348" s="509"/>
      <c r="L348" s="510">
        <f t="shared" si="237"/>
        <v>0</v>
      </c>
      <c r="M348" s="510">
        <f t="shared" si="213"/>
        <v>0</v>
      </c>
      <c r="N348" s="510">
        <f t="shared" si="214"/>
        <v>0</v>
      </c>
      <c r="O348" s="510">
        <f t="shared" si="215"/>
        <v>0</v>
      </c>
      <c r="P348" s="510">
        <f t="shared" si="216"/>
        <v>0</v>
      </c>
      <c r="Q348" s="510">
        <f t="shared" si="217"/>
        <v>0</v>
      </c>
      <c r="R348" s="510">
        <f t="shared" si="218"/>
        <v>0</v>
      </c>
    </row>
    <row r="349" spans="1:18">
      <c r="A349" s="505"/>
      <c r="B349" s="511" t="s">
        <v>740</v>
      </c>
      <c r="C349" s="507">
        <v>16</v>
      </c>
      <c r="D349" s="508"/>
      <c r="E349" s="507">
        <v>2</v>
      </c>
      <c r="F349" s="502">
        <v>1</v>
      </c>
      <c r="G349" s="502">
        <v>2</v>
      </c>
      <c r="H349" s="503">
        <v>0.3</v>
      </c>
      <c r="I349" s="503">
        <f>3.96-0.06</f>
        <v>3.9</v>
      </c>
      <c r="J349" s="509">
        <v>0.3</v>
      </c>
      <c r="K349" s="509"/>
      <c r="L349" s="510">
        <f>SUM(H349:J349)+K349</f>
        <v>4.5</v>
      </c>
      <c r="M349" s="510">
        <f t="shared" si="213"/>
        <v>0</v>
      </c>
      <c r="N349" s="510">
        <f t="shared" si="214"/>
        <v>0</v>
      </c>
      <c r="O349" s="510">
        <f t="shared" si="215"/>
        <v>0</v>
      </c>
      <c r="P349" s="510">
        <f t="shared" si="216"/>
        <v>18</v>
      </c>
      <c r="Q349" s="510">
        <f t="shared" si="217"/>
        <v>0</v>
      </c>
      <c r="R349" s="510">
        <f t="shared" si="218"/>
        <v>0</v>
      </c>
    </row>
    <row r="350" spans="1:18">
      <c r="A350" s="505"/>
      <c r="B350" s="511" t="s">
        <v>773</v>
      </c>
      <c r="C350" s="507">
        <v>16</v>
      </c>
      <c r="D350" s="508"/>
      <c r="E350" s="507">
        <v>2</v>
      </c>
      <c r="F350" s="502">
        <v>1</v>
      </c>
      <c r="G350" s="502">
        <v>2</v>
      </c>
      <c r="H350" s="503">
        <v>0.3</v>
      </c>
      <c r="I350" s="503">
        <f>3.96-0.06</f>
        <v>3.9</v>
      </c>
      <c r="J350" s="509">
        <v>0.3</v>
      </c>
      <c r="K350" s="509"/>
      <c r="L350" s="510">
        <f>SUM(H350:J350)+K350</f>
        <v>4.5</v>
      </c>
      <c r="M350" s="510">
        <f t="shared" si="213"/>
        <v>0</v>
      </c>
      <c r="N350" s="510">
        <f t="shared" si="214"/>
        <v>0</v>
      </c>
      <c r="O350" s="510">
        <f t="shared" si="215"/>
        <v>0</v>
      </c>
      <c r="P350" s="510">
        <f t="shared" si="216"/>
        <v>18</v>
      </c>
      <c r="Q350" s="510">
        <f t="shared" si="217"/>
        <v>0</v>
      </c>
      <c r="R350" s="510">
        <f t="shared" si="218"/>
        <v>0</v>
      </c>
    </row>
    <row r="351" spans="1:18">
      <c r="A351" s="505"/>
      <c r="B351" s="511" t="s">
        <v>780</v>
      </c>
      <c r="C351" s="507">
        <v>8</v>
      </c>
      <c r="D351" s="508">
        <v>100</v>
      </c>
      <c r="E351" s="507">
        <v>2</v>
      </c>
      <c r="F351" s="502">
        <v>1</v>
      </c>
      <c r="G351" s="502">
        <f>+ROUND(1.8/0.1,0)</f>
        <v>18</v>
      </c>
      <c r="H351" s="503"/>
      <c r="I351" s="516">
        <f t="shared" ref="I351:I352" si="238">2*(0.14+0.39)+16*C351/1000</f>
        <v>1.1880000000000002</v>
      </c>
      <c r="J351" s="509"/>
      <c r="K351" s="481"/>
      <c r="L351" s="510">
        <f t="shared" ref="L351:L353" si="239">SUM(H351:J351)+K351</f>
        <v>1.1880000000000002</v>
      </c>
      <c r="M351" s="510">
        <f t="shared" si="213"/>
        <v>42.77</v>
      </c>
      <c r="N351" s="510">
        <f t="shared" si="214"/>
        <v>0</v>
      </c>
      <c r="O351" s="510">
        <f t="shared" si="215"/>
        <v>0</v>
      </c>
      <c r="P351" s="510">
        <f t="shared" si="216"/>
        <v>0</v>
      </c>
      <c r="Q351" s="510">
        <f t="shared" si="217"/>
        <v>0</v>
      </c>
      <c r="R351" s="510">
        <f t="shared" si="218"/>
        <v>0</v>
      </c>
    </row>
    <row r="352" spans="1:18">
      <c r="A352" s="505"/>
      <c r="B352" s="511"/>
      <c r="C352" s="507">
        <v>8</v>
      </c>
      <c r="D352" s="508">
        <v>150</v>
      </c>
      <c r="E352" s="507">
        <v>2</v>
      </c>
      <c r="F352" s="502">
        <v>1</v>
      </c>
      <c r="G352" s="502">
        <f>+ROUND(1.065/0.15+1,0)</f>
        <v>8</v>
      </c>
      <c r="H352" s="503"/>
      <c r="I352" s="516">
        <f t="shared" si="238"/>
        <v>1.1880000000000002</v>
      </c>
      <c r="J352" s="509"/>
      <c r="K352" s="481"/>
      <c r="L352" s="510">
        <f t="shared" si="239"/>
        <v>1.1880000000000002</v>
      </c>
      <c r="M352" s="510">
        <f t="shared" si="213"/>
        <v>19.010000000000002</v>
      </c>
      <c r="N352" s="510">
        <f t="shared" si="214"/>
        <v>0</v>
      </c>
      <c r="O352" s="510">
        <f t="shared" si="215"/>
        <v>0</v>
      </c>
      <c r="P352" s="510">
        <f t="shared" si="216"/>
        <v>0</v>
      </c>
      <c r="Q352" s="510">
        <f t="shared" si="217"/>
        <v>0</v>
      </c>
      <c r="R352" s="510">
        <f t="shared" si="218"/>
        <v>0</v>
      </c>
    </row>
    <row r="353" spans="1:18">
      <c r="A353" s="505" t="s">
        <v>772</v>
      </c>
      <c r="B353" s="506" t="s">
        <v>729</v>
      </c>
      <c r="C353" s="507"/>
      <c r="D353" s="508"/>
      <c r="E353" s="507"/>
      <c r="F353" s="502"/>
      <c r="G353" s="502"/>
      <c r="H353" s="503"/>
      <c r="I353" s="503"/>
      <c r="J353" s="509"/>
      <c r="K353" s="509"/>
      <c r="L353" s="510">
        <f t="shared" si="239"/>
        <v>0</v>
      </c>
      <c r="M353" s="510">
        <f t="shared" si="213"/>
        <v>0</v>
      </c>
      <c r="N353" s="510">
        <f t="shared" si="214"/>
        <v>0</v>
      </c>
      <c r="O353" s="510">
        <f t="shared" si="215"/>
        <v>0</v>
      </c>
      <c r="P353" s="510">
        <f t="shared" si="216"/>
        <v>0</v>
      </c>
      <c r="Q353" s="510">
        <f t="shared" si="217"/>
        <v>0</v>
      </c>
      <c r="R353" s="510">
        <f t="shared" si="218"/>
        <v>0</v>
      </c>
    </row>
    <row r="354" spans="1:18">
      <c r="A354" s="505"/>
      <c r="B354" s="511" t="s">
        <v>740</v>
      </c>
      <c r="C354" s="507">
        <v>12</v>
      </c>
      <c r="D354" s="508"/>
      <c r="E354" s="507">
        <v>2</v>
      </c>
      <c r="F354" s="502">
        <v>1</v>
      </c>
      <c r="G354" s="502">
        <v>2</v>
      </c>
      <c r="H354" s="503">
        <v>0.3</v>
      </c>
      <c r="I354" s="503">
        <v>2.0299999999999998</v>
      </c>
      <c r="J354" s="509">
        <v>0.3</v>
      </c>
      <c r="K354" s="509"/>
      <c r="L354" s="510">
        <f>SUM(H354:J354)+K354</f>
        <v>2.6299999999999994</v>
      </c>
      <c r="M354" s="510">
        <f t="shared" si="213"/>
        <v>0</v>
      </c>
      <c r="N354" s="510">
        <f t="shared" si="214"/>
        <v>0</v>
      </c>
      <c r="O354" s="510">
        <f t="shared" si="215"/>
        <v>10.52</v>
      </c>
      <c r="P354" s="510">
        <f t="shared" si="216"/>
        <v>0</v>
      </c>
      <c r="Q354" s="510">
        <f t="shared" si="217"/>
        <v>0</v>
      </c>
      <c r="R354" s="510">
        <f t="shared" si="218"/>
        <v>0</v>
      </c>
    </row>
    <row r="355" spans="1:18">
      <c r="A355" s="505"/>
      <c r="B355" s="511" t="s">
        <v>773</v>
      </c>
      <c r="C355" s="507">
        <v>12</v>
      </c>
      <c r="D355" s="508"/>
      <c r="E355" s="507">
        <v>2</v>
      </c>
      <c r="F355" s="502">
        <v>1</v>
      </c>
      <c r="G355" s="502">
        <v>2</v>
      </c>
      <c r="H355" s="503">
        <v>0.3</v>
      </c>
      <c r="I355" s="503">
        <v>2.0299999999999998</v>
      </c>
      <c r="J355" s="509">
        <v>0.3</v>
      </c>
      <c r="K355" s="509"/>
      <c r="L355" s="510">
        <f>SUM(H355:J355)+K355</f>
        <v>2.6299999999999994</v>
      </c>
      <c r="M355" s="510">
        <f t="shared" si="213"/>
        <v>0</v>
      </c>
      <c r="N355" s="510">
        <f t="shared" si="214"/>
        <v>0</v>
      </c>
      <c r="O355" s="510">
        <f t="shared" si="215"/>
        <v>10.52</v>
      </c>
      <c r="P355" s="510">
        <f t="shared" si="216"/>
        <v>0</v>
      </c>
      <c r="Q355" s="510">
        <f t="shared" si="217"/>
        <v>0</v>
      </c>
      <c r="R355" s="510">
        <f t="shared" si="218"/>
        <v>0</v>
      </c>
    </row>
    <row r="356" spans="1:18">
      <c r="A356" s="505"/>
      <c r="B356" s="511" t="s">
        <v>780</v>
      </c>
      <c r="C356" s="507">
        <v>8</v>
      </c>
      <c r="D356" s="508">
        <v>100</v>
      </c>
      <c r="E356" s="507">
        <v>2</v>
      </c>
      <c r="F356" s="502">
        <v>1</v>
      </c>
      <c r="G356" s="502">
        <f>+ROUND(1.8/0.1+1,0)</f>
        <v>19</v>
      </c>
      <c r="H356" s="503"/>
      <c r="I356" s="516">
        <f t="shared" ref="I356" si="240">2*(0.14+0.39)+16*C356/1000</f>
        <v>1.1880000000000002</v>
      </c>
      <c r="J356" s="509"/>
      <c r="K356" s="481"/>
      <c r="L356" s="510">
        <f t="shared" ref="L356" si="241">SUM(H356:J356)+K356</f>
        <v>1.1880000000000002</v>
      </c>
      <c r="M356" s="510">
        <f t="shared" si="213"/>
        <v>45.14</v>
      </c>
      <c r="N356" s="510">
        <f t="shared" si="214"/>
        <v>0</v>
      </c>
      <c r="O356" s="510">
        <f t="shared" si="215"/>
        <v>0</v>
      </c>
      <c r="P356" s="510">
        <f t="shared" si="216"/>
        <v>0</v>
      </c>
      <c r="Q356" s="510">
        <f t="shared" si="217"/>
        <v>0</v>
      </c>
      <c r="R356" s="510">
        <f t="shared" si="218"/>
        <v>0</v>
      </c>
    </row>
    <row r="357" spans="1:18">
      <c r="A357" s="505" t="s">
        <v>772</v>
      </c>
      <c r="B357" s="506" t="s">
        <v>730</v>
      </c>
      <c r="C357" s="507"/>
      <c r="D357" s="508"/>
      <c r="E357" s="507"/>
      <c r="F357" s="502"/>
      <c r="G357" s="502"/>
      <c r="H357" s="503"/>
      <c r="I357" s="503"/>
      <c r="J357" s="509"/>
      <c r="K357" s="509"/>
      <c r="L357" s="510">
        <f t="shared" ref="L357" si="242">SUM(H357:J357)+K357</f>
        <v>0</v>
      </c>
      <c r="M357" s="510">
        <f t="shared" si="213"/>
        <v>0</v>
      </c>
      <c r="N357" s="510">
        <f t="shared" si="214"/>
        <v>0</v>
      </c>
      <c r="O357" s="510">
        <f t="shared" si="215"/>
        <v>0</v>
      </c>
      <c r="P357" s="510">
        <f t="shared" si="216"/>
        <v>0</v>
      </c>
      <c r="Q357" s="510">
        <f t="shared" si="217"/>
        <v>0</v>
      </c>
      <c r="R357" s="510">
        <f t="shared" si="218"/>
        <v>0</v>
      </c>
    </row>
    <row r="358" spans="1:18">
      <c r="A358" s="505"/>
      <c r="B358" s="511" t="s">
        <v>740</v>
      </c>
      <c r="C358" s="507">
        <v>16</v>
      </c>
      <c r="D358" s="508"/>
      <c r="E358" s="507">
        <v>4</v>
      </c>
      <c r="F358" s="502">
        <v>1</v>
      </c>
      <c r="G358" s="502">
        <v>2</v>
      </c>
      <c r="H358" s="503">
        <v>0.3</v>
      </c>
      <c r="I358" s="503">
        <f>3.65-0.06</f>
        <v>3.59</v>
      </c>
      <c r="J358" s="509">
        <v>0.3</v>
      </c>
      <c r="K358" s="509"/>
      <c r="L358" s="510">
        <f>SUM(H358:J358)+K358</f>
        <v>4.1899999999999995</v>
      </c>
      <c r="M358" s="510">
        <f t="shared" si="213"/>
        <v>0</v>
      </c>
      <c r="N358" s="510">
        <f t="shared" si="214"/>
        <v>0</v>
      </c>
      <c r="O358" s="510">
        <f t="shared" si="215"/>
        <v>0</v>
      </c>
      <c r="P358" s="510">
        <f t="shared" si="216"/>
        <v>33.520000000000003</v>
      </c>
      <c r="Q358" s="510">
        <f t="shared" si="217"/>
        <v>0</v>
      </c>
      <c r="R358" s="510">
        <f t="shared" si="218"/>
        <v>0</v>
      </c>
    </row>
    <row r="359" spans="1:18">
      <c r="A359" s="505"/>
      <c r="B359" s="511" t="s">
        <v>773</v>
      </c>
      <c r="C359" s="507">
        <v>16</v>
      </c>
      <c r="D359" s="508"/>
      <c r="E359" s="507">
        <v>4</v>
      </c>
      <c r="F359" s="502">
        <v>1</v>
      </c>
      <c r="G359" s="502">
        <v>2</v>
      </c>
      <c r="H359" s="503">
        <v>0.3</v>
      </c>
      <c r="I359" s="503">
        <f>3.65-0.06</f>
        <v>3.59</v>
      </c>
      <c r="J359" s="509">
        <v>0.3</v>
      </c>
      <c r="K359" s="509"/>
      <c r="L359" s="510">
        <f>SUM(H359:J359)+K359</f>
        <v>4.1899999999999995</v>
      </c>
      <c r="M359" s="510">
        <f t="shared" si="213"/>
        <v>0</v>
      </c>
      <c r="N359" s="510">
        <f t="shared" si="214"/>
        <v>0</v>
      </c>
      <c r="O359" s="510">
        <f t="shared" si="215"/>
        <v>0</v>
      </c>
      <c r="P359" s="510">
        <f t="shared" si="216"/>
        <v>33.520000000000003</v>
      </c>
      <c r="Q359" s="510">
        <f t="shared" si="217"/>
        <v>0</v>
      </c>
      <c r="R359" s="510">
        <f t="shared" si="218"/>
        <v>0</v>
      </c>
    </row>
    <row r="360" spans="1:18">
      <c r="A360" s="505"/>
      <c r="B360" s="511" t="s">
        <v>780</v>
      </c>
      <c r="C360" s="507">
        <v>8</v>
      </c>
      <c r="D360" s="508">
        <v>100</v>
      </c>
      <c r="E360" s="507">
        <v>4</v>
      </c>
      <c r="F360" s="502">
        <v>1</v>
      </c>
      <c r="G360" s="502">
        <f>+ROUND(1.8/0.1,0)</f>
        <v>18</v>
      </c>
      <c r="H360" s="503"/>
      <c r="I360" s="516">
        <f t="shared" ref="I360:I361" si="243">2*(0.14+0.39)+16*C360/1000</f>
        <v>1.1880000000000002</v>
      </c>
      <c r="J360" s="509"/>
      <c r="K360" s="481"/>
      <c r="L360" s="510">
        <f t="shared" ref="L360:L361" si="244">SUM(H360:J360)+K360</f>
        <v>1.1880000000000002</v>
      </c>
      <c r="M360" s="510">
        <f t="shared" si="213"/>
        <v>85.54</v>
      </c>
      <c r="N360" s="510">
        <f t="shared" si="214"/>
        <v>0</v>
      </c>
      <c r="O360" s="510">
        <f t="shared" si="215"/>
        <v>0</v>
      </c>
      <c r="P360" s="510">
        <f t="shared" si="216"/>
        <v>0</v>
      </c>
      <c r="Q360" s="510">
        <f t="shared" si="217"/>
        <v>0</v>
      </c>
      <c r="R360" s="510">
        <f t="shared" si="218"/>
        <v>0</v>
      </c>
    </row>
    <row r="361" spans="1:18">
      <c r="A361" s="505"/>
      <c r="B361" s="511"/>
      <c r="C361" s="507">
        <v>8</v>
      </c>
      <c r="D361" s="508">
        <v>150</v>
      </c>
      <c r="E361" s="507">
        <v>4</v>
      </c>
      <c r="F361" s="502">
        <v>1</v>
      </c>
      <c r="G361" s="502">
        <f>+ROUND(1.25/0.15+1,0)</f>
        <v>9</v>
      </c>
      <c r="H361" s="503"/>
      <c r="I361" s="516">
        <f t="shared" si="243"/>
        <v>1.1880000000000002</v>
      </c>
      <c r="J361" s="509"/>
      <c r="K361" s="481"/>
      <c r="L361" s="510">
        <f t="shared" si="244"/>
        <v>1.1880000000000002</v>
      </c>
      <c r="M361" s="510">
        <f t="shared" si="213"/>
        <v>42.77</v>
      </c>
      <c r="N361" s="510">
        <f t="shared" si="214"/>
        <v>0</v>
      </c>
      <c r="O361" s="510">
        <f t="shared" si="215"/>
        <v>0</v>
      </c>
      <c r="P361" s="510">
        <f t="shared" si="216"/>
        <v>0</v>
      </c>
      <c r="Q361" s="510">
        <f t="shared" si="217"/>
        <v>0</v>
      </c>
      <c r="R361" s="510">
        <f t="shared" si="218"/>
        <v>0</v>
      </c>
    </row>
    <row r="362" spans="1:18">
      <c r="A362" s="505" t="s">
        <v>772</v>
      </c>
      <c r="B362" s="506" t="s">
        <v>731</v>
      </c>
      <c r="C362" s="507"/>
      <c r="D362" s="508"/>
      <c r="E362" s="507"/>
      <c r="F362" s="502"/>
      <c r="G362" s="502"/>
      <c r="H362" s="503"/>
      <c r="I362" s="503"/>
      <c r="J362" s="509"/>
      <c r="K362" s="509"/>
      <c r="L362" s="510">
        <f t="shared" ref="L362" si="245">SUM(H362:J362)+K362</f>
        <v>0</v>
      </c>
      <c r="M362" s="510">
        <f t="shared" si="213"/>
        <v>0</v>
      </c>
      <c r="N362" s="510">
        <f t="shared" si="214"/>
        <v>0</v>
      </c>
      <c r="O362" s="510">
        <f t="shared" si="215"/>
        <v>0</v>
      </c>
      <c r="P362" s="510">
        <f t="shared" si="216"/>
        <v>0</v>
      </c>
      <c r="Q362" s="510">
        <f t="shared" si="217"/>
        <v>0</v>
      </c>
      <c r="R362" s="510">
        <f t="shared" si="218"/>
        <v>0</v>
      </c>
    </row>
    <row r="363" spans="1:18">
      <c r="A363" s="505"/>
      <c r="B363" s="511" t="s">
        <v>740</v>
      </c>
      <c r="C363" s="507">
        <v>16</v>
      </c>
      <c r="D363" s="508"/>
      <c r="E363" s="507">
        <v>2</v>
      </c>
      <c r="F363" s="502">
        <v>1</v>
      </c>
      <c r="G363" s="502">
        <v>2</v>
      </c>
      <c r="H363" s="503">
        <v>0.3</v>
      </c>
      <c r="I363" s="503">
        <f>7.4-0.06</f>
        <v>7.3400000000000007</v>
      </c>
      <c r="J363" s="509">
        <v>0.3</v>
      </c>
      <c r="K363" s="509"/>
      <c r="L363" s="510">
        <f>SUM(H363:J363)+K363</f>
        <v>7.94</v>
      </c>
      <c r="M363" s="510">
        <f t="shared" si="213"/>
        <v>0</v>
      </c>
      <c r="N363" s="510">
        <f t="shared" si="214"/>
        <v>0</v>
      </c>
      <c r="O363" s="510">
        <f t="shared" si="215"/>
        <v>0</v>
      </c>
      <c r="P363" s="510">
        <f t="shared" si="216"/>
        <v>31.76</v>
      </c>
      <c r="Q363" s="510">
        <f t="shared" si="217"/>
        <v>0</v>
      </c>
      <c r="R363" s="510">
        <f t="shared" si="218"/>
        <v>0</v>
      </c>
    </row>
    <row r="364" spans="1:18">
      <c r="A364" s="505"/>
      <c r="B364" s="511" t="s">
        <v>773</v>
      </c>
      <c r="C364" s="507">
        <v>16</v>
      </c>
      <c r="D364" s="508"/>
      <c r="E364" s="507">
        <v>2</v>
      </c>
      <c r="F364" s="502">
        <v>1</v>
      </c>
      <c r="G364" s="502">
        <v>2</v>
      </c>
      <c r="H364" s="503">
        <v>0.3</v>
      </c>
      <c r="I364" s="503">
        <f>7.4-0.06</f>
        <v>7.3400000000000007</v>
      </c>
      <c r="J364" s="509">
        <v>0.3</v>
      </c>
      <c r="K364" s="509"/>
      <c r="L364" s="510">
        <f>SUM(H364:J364)+K364</f>
        <v>7.94</v>
      </c>
      <c r="M364" s="510">
        <f t="shared" si="213"/>
        <v>0</v>
      </c>
      <c r="N364" s="510">
        <f t="shared" si="214"/>
        <v>0</v>
      </c>
      <c r="O364" s="510">
        <f t="shared" si="215"/>
        <v>0</v>
      </c>
      <c r="P364" s="510">
        <f t="shared" si="216"/>
        <v>31.76</v>
      </c>
      <c r="Q364" s="510">
        <f t="shared" si="217"/>
        <v>0</v>
      </c>
      <c r="R364" s="510">
        <f t="shared" si="218"/>
        <v>0</v>
      </c>
    </row>
    <row r="365" spans="1:18">
      <c r="A365" s="505"/>
      <c r="B365" s="511" t="s">
        <v>780</v>
      </c>
      <c r="C365" s="507">
        <v>8</v>
      </c>
      <c r="D365" s="508">
        <v>100</v>
      </c>
      <c r="E365" s="507">
        <v>2</v>
      </c>
      <c r="F365" s="502">
        <v>1</v>
      </c>
      <c r="G365" s="502">
        <f>+ROUND(3.155/0.1+2,0)</f>
        <v>34</v>
      </c>
      <c r="H365" s="503"/>
      <c r="I365" s="516">
        <f t="shared" ref="I365:I367" si="246">2*(0.14+0.39)+16*C365/1000</f>
        <v>1.1880000000000002</v>
      </c>
      <c r="J365" s="509"/>
      <c r="K365" s="481"/>
      <c r="L365" s="510">
        <f t="shared" ref="L365:L367" si="247">SUM(H365:J365)+K365</f>
        <v>1.1880000000000002</v>
      </c>
      <c r="M365" s="510">
        <f t="shared" si="213"/>
        <v>80.78</v>
      </c>
      <c r="N365" s="510">
        <f t="shared" si="214"/>
        <v>0</v>
      </c>
      <c r="O365" s="510">
        <f t="shared" si="215"/>
        <v>0</v>
      </c>
      <c r="P365" s="510">
        <f t="shared" si="216"/>
        <v>0</v>
      </c>
      <c r="Q365" s="510">
        <f t="shared" si="217"/>
        <v>0</v>
      </c>
      <c r="R365" s="510">
        <f t="shared" si="218"/>
        <v>0</v>
      </c>
    </row>
    <row r="366" spans="1:18">
      <c r="A366" s="505"/>
      <c r="B366" s="511" t="s">
        <v>780</v>
      </c>
      <c r="C366" s="507">
        <v>8</v>
      </c>
      <c r="D366" s="508">
        <v>100</v>
      </c>
      <c r="E366" s="507">
        <v>2</v>
      </c>
      <c r="F366" s="502">
        <v>1</v>
      </c>
      <c r="G366" s="502">
        <f>+ROUND(1.8/0.1,0)</f>
        <v>18</v>
      </c>
      <c r="H366" s="503"/>
      <c r="I366" s="516">
        <f t="shared" si="246"/>
        <v>1.1880000000000002</v>
      </c>
      <c r="J366" s="509"/>
      <c r="K366" s="481"/>
      <c r="L366" s="510">
        <f t="shared" si="247"/>
        <v>1.1880000000000002</v>
      </c>
      <c r="M366" s="510">
        <f t="shared" si="213"/>
        <v>42.77</v>
      </c>
      <c r="N366" s="510">
        <f t="shared" si="214"/>
        <v>0</v>
      </c>
      <c r="O366" s="510">
        <f t="shared" si="215"/>
        <v>0</v>
      </c>
      <c r="P366" s="510">
        <f t="shared" si="216"/>
        <v>0</v>
      </c>
      <c r="Q366" s="510">
        <f t="shared" si="217"/>
        <v>0</v>
      </c>
      <c r="R366" s="510">
        <f t="shared" si="218"/>
        <v>0</v>
      </c>
    </row>
    <row r="367" spans="1:18">
      <c r="A367" s="505"/>
      <c r="B367" s="511"/>
      <c r="C367" s="507">
        <v>8</v>
      </c>
      <c r="D367" s="508">
        <v>150</v>
      </c>
      <c r="E367" s="507">
        <v>2</v>
      </c>
      <c r="F367" s="502">
        <v>1</v>
      </c>
      <c r="G367" s="502">
        <f>+ROUND(1.585/0.15+1,0)</f>
        <v>12</v>
      </c>
      <c r="H367" s="503"/>
      <c r="I367" s="516">
        <f t="shared" si="246"/>
        <v>1.1880000000000002</v>
      </c>
      <c r="J367" s="509"/>
      <c r="K367" s="481"/>
      <c r="L367" s="510">
        <f t="shared" si="247"/>
        <v>1.1880000000000002</v>
      </c>
      <c r="M367" s="510">
        <f t="shared" si="213"/>
        <v>28.51</v>
      </c>
      <c r="N367" s="510">
        <f t="shared" si="214"/>
        <v>0</v>
      </c>
      <c r="O367" s="510">
        <f t="shared" si="215"/>
        <v>0</v>
      </c>
      <c r="P367" s="510">
        <f t="shared" si="216"/>
        <v>0</v>
      </c>
      <c r="Q367" s="510">
        <f t="shared" si="217"/>
        <v>0</v>
      </c>
      <c r="R367" s="510">
        <f t="shared" si="218"/>
        <v>0</v>
      </c>
    </row>
    <row r="368" spans="1:18">
      <c r="A368" s="505" t="s">
        <v>772</v>
      </c>
      <c r="B368" s="506" t="s">
        <v>732</v>
      </c>
      <c r="C368" s="507"/>
      <c r="D368" s="508"/>
      <c r="E368" s="507"/>
      <c r="F368" s="502"/>
      <c r="G368" s="502"/>
      <c r="H368" s="503"/>
      <c r="I368" s="503"/>
      <c r="J368" s="509"/>
      <c r="K368" s="509"/>
      <c r="L368" s="510">
        <f t="shared" ref="L368" si="248">SUM(H368:J368)+K368</f>
        <v>0</v>
      </c>
      <c r="M368" s="510">
        <f t="shared" si="213"/>
        <v>0</v>
      </c>
      <c r="N368" s="510">
        <f t="shared" si="214"/>
        <v>0</v>
      </c>
      <c r="O368" s="510">
        <f t="shared" si="215"/>
        <v>0</v>
      </c>
      <c r="P368" s="510">
        <f t="shared" si="216"/>
        <v>0</v>
      </c>
      <c r="Q368" s="510">
        <f t="shared" si="217"/>
        <v>0</v>
      </c>
      <c r="R368" s="510">
        <f t="shared" si="218"/>
        <v>0</v>
      </c>
    </row>
    <row r="369" spans="1:19">
      <c r="A369" s="505"/>
      <c r="B369" s="511" t="s">
        <v>740</v>
      </c>
      <c r="C369" s="507">
        <v>12</v>
      </c>
      <c r="D369" s="508"/>
      <c r="E369" s="507">
        <v>2</v>
      </c>
      <c r="F369" s="502">
        <v>1</v>
      </c>
      <c r="G369" s="502">
        <v>2</v>
      </c>
      <c r="H369" s="503">
        <v>0.3</v>
      </c>
      <c r="I369" s="503">
        <f>7.4-0.06</f>
        <v>7.3400000000000007</v>
      </c>
      <c r="J369" s="509">
        <v>0.3</v>
      </c>
      <c r="K369" s="509"/>
      <c r="L369" s="510">
        <f>SUM(H369:J369)+K369</f>
        <v>7.94</v>
      </c>
      <c r="M369" s="510">
        <f t="shared" si="213"/>
        <v>0</v>
      </c>
      <c r="N369" s="510">
        <f t="shared" si="214"/>
        <v>0</v>
      </c>
      <c r="O369" s="510">
        <f t="shared" si="215"/>
        <v>31.76</v>
      </c>
      <c r="P369" s="510">
        <f t="shared" si="216"/>
        <v>0</v>
      </c>
      <c r="Q369" s="510">
        <f t="shared" si="217"/>
        <v>0</v>
      </c>
      <c r="R369" s="510">
        <f t="shared" si="218"/>
        <v>0</v>
      </c>
    </row>
    <row r="370" spans="1:19">
      <c r="A370" s="505"/>
      <c r="B370" s="511" t="s">
        <v>773</v>
      </c>
      <c r="C370" s="507">
        <v>12</v>
      </c>
      <c r="D370" s="508"/>
      <c r="E370" s="507">
        <v>2</v>
      </c>
      <c r="F370" s="502">
        <v>1</v>
      </c>
      <c r="G370" s="502">
        <v>2</v>
      </c>
      <c r="H370" s="503">
        <v>0.3</v>
      </c>
      <c r="I370" s="503">
        <f>7.4-0.06</f>
        <v>7.3400000000000007</v>
      </c>
      <c r="J370" s="509">
        <v>0.3</v>
      </c>
      <c r="K370" s="509"/>
      <c r="L370" s="510">
        <f>SUM(H370:J370)+K370</f>
        <v>7.94</v>
      </c>
      <c r="M370" s="510">
        <f t="shared" si="213"/>
        <v>0</v>
      </c>
      <c r="N370" s="510">
        <f t="shared" si="214"/>
        <v>0</v>
      </c>
      <c r="O370" s="510">
        <f t="shared" si="215"/>
        <v>31.76</v>
      </c>
      <c r="P370" s="510">
        <f t="shared" si="216"/>
        <v>0</v>
      </c>
      <c r="Q370" s="510">
        <f t="shared" si="217"/>
        <v>0</v>
      </c>
      <c r="R370" s="510">
        <f t="shared" si="218"/>
        <v>0</v>
      </c>
    </row>
    <row r="371" spans="1:19">
      <c r="A371" s="505"/>
      <c r="B371" s="511" t="s">
        <v>780</v>
      </c>
      <c r="C371" s="507">
        <v>8</v>
      </c>
      <c r="D371" s="508">
        <v>100</v>
      </c>
      <c r="E371" s="507">
        <v>2</v>
      </c>
      <c r="F371" s="502">
        <v>1</v>
      </c>
      <c r="G371" s="502">
        <f>+ROUND(6.17/0.1+3,0)</f>
        <v>65</v>
      </c>
      <c r="H371" s="503"/>
      <c r="I371" s="516">
        <f t="shared" ref="I371" si="249">2*(0.14+0.39)+16*C371/1000</f>
        <v>1.1880000000000002</v>
      </c>
      <c r="J371" s="509"/>
      <c r="K371" s="481"/>
      <c r="L371" s="510">
        <f t="shared" ref="L371" si="250">SUM(H371:J371)+K371</f>
        <v>1.1880000000000002</v>
      </c>
      <c r="M371" s="510">
        <f t="shared" si="213"/>
        <v>154.44</v>
      </c>
      <c r="N371" s="510">
        <f t="shared" si="214"/>
        <v>0</v>
      </c>
      <c r="O371" s="510">
        <f t="shared" si="215"/>
        <v>0</v>
      </c>
      <c r="P371" s="510">
        <f t="shared" si="216"/>
        <v>0</v>
      </c>
      <c r="Q371" s="510">
        <f t="shared" si="217"/>
        <v>0</v>
      </c>
      <c r="R371" s="510">
        <f t="shared" si="218"/>
        <v>0</v>
      </c>
    </row>
    <row r="372" spans="1:19">
      <c r="A372" s="505" t="s">
        <v>772</v>
      </c>
      <c r="B372" s="506" t="s">
        <v>733</v>
      </c>
      <c r="C372" s="507"/>
      <c r="D372" s="508"/>
      <c r="E372" s="507"/>
      <c r="F372" s="502"/>
      <c r="G372" s="502"/>
      <c r="H372" s="503"/>
      <c r="I372" s="503"/>
      <c r="J372" s="509"/>
      <c r="K372" s="509"/>
      <c r="L372" s="510">
        <f t="shared" ref="L372" si="251">SUM(H372:J372)+K372</f>
        <v>0</v>
      </c>
      <c r="M372" s="510">
        <f t="shared" si="213"/>
        <v>0</v>
      </c>
      <c r="N372" s="510">
        <f t="shared" si="214"/>
        <v>0</v>
      </c>
      <c r="O372" s="510">
        <f t="shared" si="215"/>
        <v>0</v>
      </c>
      <c r="P372" s="510">
        <f t="shared" si="216"/>
        <v>0</v>
      </c>
      <c r="Q372" s="510">
        <f t="shared" si="217"/>
        <v>0</v>
      </c>
      <c r="R372" s="510">
        <f t="shared" si="218"/>
        <v>0</v>
      </c>
    </row>
    <row r="373" spans="1:19">
      <c r="A373" s="505"/>
      <c r="B373" s="511" t="s">
        <v>740</v>
      </c>
      <c r="C373" s="507">
        <v>12</v>
      </c>
      <c r="D373" s="508"/>
      <c r="E373" s="507">
        <v>4</v>
      </c>
      <c r="F373" s="502">
        <v>1</v>
      </c>
      <c r="G373" s="502">
        <v>2</v>
      </c>
      <c r="H373" s="503">
        <v>0.3</v>
      </c>
      <c r="I373" s="503">
        <f>5.55-0.06</f>
        <v>5.49</v>
      </c>
      <c r="J373" s="509">
        <v>0.3</v>
      </c>
      <c r="K373" s="509"/>
      <c r="L373" s="510">
        <f>SUM(H373:J373)+K373</f>
        <v>6.09</v>
      </c>
      <c r="M373" s="510">
        <f t="shared" si="213"/>
        <v>0</v>
      </c>
      <c r="N373" s="510">
        <f t="shared" si="214"/>
        <v>0</v>
      </c>
      <c r="O373" s="510">
        <f t="shared" si="215"/>
        <v>48.72</v>
      </c>
      <c r="P373" s="510">
        <f t="shared" si="216"/>
        <v>0</v>
      </c>
      <c r="Q373" s="510">
        <f t="shared" si="217"/>
        <v>0</v>
      </c>
      <c r="R373" s="510">
        <f t="shared" si="218"/>
        <v>0</v>
      </c>
    </row>
    <row r="374" spans="1:19">
      <c r="A374" s="505"/>
      <c r="B374" s="511" t="s">
        <v>773</v>
      </c>
      <c r="C374" s="507">
        <v>12</v>
      </c>
      <c r="D374" s="508"/>
      <c r="E374" s="507">
        <v>4</v>
      </c>
      <c r="F374" s="502">
        <v>1</v>
      </c>
      <c r="G374" s="502">
        <v>2</v>
      </c>
      <c r="H374" s="503">
        <v>0.3</v>
      </c>
      <c r="I374" s="503">
        <f>5.55-0.06</f>
        <v>5.49</v>
      </c>
      <c r="J374" s="509">
        <v>0.3</v>
      </c>
      <c r="K374" s="509"/>
      <c r="L374" s="510">
        <f>SUM(H374:J374)+K374</f>
        <v>6.09</v>
      </c>
      <c r="M374" s="510">
        <f t="shared" si="213"/>
        <v>0</v>
      </c>
      <c r="N374" s="510">
        <f t="shared" si="214"/>
        <v>0</v>
      </c>
      <c r="O374" s="510">
        <f t="shared" si="215"/>
        <v>48.72</v>
      </c>
      <c r="P374" s="510">
        <f t="shared" si="216"/>
        <v>0</v>
      </c>
      <c r="Q374" s="510">
        <f t="shared" si="217"/>
        <v>0</v>
      </c>
      <c r="R374" s="510">
        <f t="shared" si="218"/>
        <v>0</v>
      </c>
    </row>
    <row r="375" spans="1:19">
      <c r="A375" s="505"/>
      <c r="B375" s="511" t="s">
        <v>783</v>
      </c>
      <c r="C375" s="507">
        <v>8</v>
      </c>
      <c r="D375" s="508">
        <v>100</v>
      </c>
      <c r="E375" s="507">
        <v>4</v>
      </c>
      <c r="F375" s="502">
        <v>1</v>
      </c>
      <c r="G375" s="502">
        <f>+ROUND(1.7/0.1+1,0)</f>
        <v>18</v>
      </c>
      <c r="H375" s="503"/>
      <c r="I375" s="516">
        <f t="shared" ref="I375:I377" si="252">2*(0.14+0.39)+16*C375/1000</f>
        <v>1.1880000000000002</v>
      </c>
      <c r="J375" s="509"/>
      <c r="K375" s="481"/>
      <c r="L375" s="510">
        <f t="shared" ref="L375" si="253">SUM(H375:J375)+K375</f>
        <v>1.1880000000000002</v>
      </c>
      <c r="M375" s="510">
        <f t="shared" si="213"/>
        <v>85.54</v>
      </c>
      <c r="N375" s="510">
        <f t="shared" si="214"/>
        <v>0</v>
      </c>
      <c r="O375" s="510">
        <f t="shared" si="215"/>
        <v>0</v>
      </c>
      <c r="P375" s="510">
        <f t="shared" si="216"/>
        <v>0</v>
      </c>
      <c r="Q375" s="510">
        <f t="shared" si="217"/>
        <v>0</v>
      </c>
      <c r="R375" s="510">
        <f t="shared" si="218"/>
        <v>0</v>
      </c>
    </row>
    <row r="376" spans="1:19">
      <c r="A376" s="505"/>
      <c r="B376" s="511" t="s">
        <v>783</v>
      </c>
      <c r="C376" s="507">
        <v>8</v>
      </c>
      <c r="D376" s="508">
        <v>100</v>
      </c>
      <c r="E376" s="507">
        <v>4</v>
      </c>
      <c r="F376" s="502">
        <v>1</v>
      </c>
      <c r="G376" s="502">
        <f>+ROUND(1.8/0.1,0)</f>
        <v>18</v>
      </c>
      <c r="H376" s="503"/>
      <c r="I376" s="516">
        <f t="shared" si="252"/>
        <v>1.1880000000000002</v>
      </c>
      <c r="J376" s="509"/>
      <c r="K376" s="481"/>
      <c r="L376" s="510">
        <f t="shared" ref="L376:L377" si="254">SUM(H376:J376)+K376</f>
        <v>1.1880000000000002</v>
      </c>
      <c r="M376" s="510">
        <f t="shared" si="213"/>
        <v>85.54</v>
      </c>
      <c r="N376" s="510">
        <f t="shared" si="214"/>
        <v>0</v>
      </c>
      <c r="O376" s="510">
        <f t="shared" si="215"/>
        <v>0</v>
      </c>
      <c r="P376" s="510">
        <f t="shared" si="216"/>
        <v>0</v>
      </c>
      <c r="Q376" s="510">
        <f t="shared" si="217"/>
        <v>0</v>
      </c>
      <c r="R376" s="510">
        <f t="shared" si="218"/>
        <v>0</v>
      </c>
    </row>
    <row r="377" spans="1:19">
      <c r="A377" s="505"/>
      <c r="B377" s="511"/>
      <c r="C377" s="507">
        <v>8</v>
      </c>
      <c r="D377" s="508">
        <v>150</v>
      </c>
      <c r="E377" s="507">
        <v>4</v>
      </c>
      <c r="F377" s="502">
        <v>1</v>
      </c>
      <c r="G377" s="502">
        <f>+ROUND(1.25/0.15+1,0)</f>
        <v>9</v>
      </c>
      <c r="H377" s="503"/>
      <c r="I377" s="516">
        <f t="shared" si="252"/>
        <v>1.1880000000000002</v>
      </c>
      <c r="J377" s="509"/>
      <c r="K377" s="481"/>
      <c r="L377" s="510">
        <f t="shared" si="254"/>
        <v>1.1880000000000002</v>
      </c>
      <c r="M377" s="510">
        <f t="shared" si="213"/>
        <v>42.77</v>
      </c>
      <c r="N377" s="510">
        <f t="shared" si="214"/>
        <v>0</v>
      </c>
      <c r="O377" s="510">
        <f t="shared" si="215"/>
        <v>0</v>
      </c>
      <c r="P377" s="510">
        <f t="shared" si="216"/>
        <v>0</v>
      </c>
      <c r="Q377" s="510">
        <f t="shared" si="217"/>
        <v>0</v>
      </c>
      <c r="R377" s="510">
        <f t="shared" si="218"/>
        <v>0</v>
      </c>
    </row>
    <row r="378" spans="1:19">
      <c r="A378" s="505" t="s">
        <v>772</v>
      </c>
      <c r="B378" s="506" t="s">
        <v>734</v>
      </c>
      <c r="C378" s="507"/>
      <c r="D378" s="508"/>
      <c r="E378" s="507"/>
      <c r="F378" s="502"/>
      <c r="G378" s="502"/>
      <c r="H378" s="503"/>
      <c r="I378" s="503"/>
      <c r="J378" s="509"/>
      <c r="K378" s="509"/>
      <c r="L378" s="510">
        <f t="shared" ref="L378" si="255">SUM(H378:J378)+K378</f>
        <v>0</v>
      </c>
      <c r="M378" s="510">
        <f t="shared" ref="M378:M383" si="256">+ROUND(IF(C378=8,PRODUCT(E378,F378,G378,L378),0),2)</f>
        <v>0</v>
      </c>
      <c r="N378" s="510">
        <f t="shared" ref="N378:N383" si="257">+ROUND(IF(C378=10,PRODUCT(E378,F378,G378,L378),0),2)</f>
        <v>0</v>
      </c>
      <c r="O378" s="510">
        <f t="shared" ref="O378:O383" si="258">+ROUND(IF(C378=12,PRODUCT(E378,F378,G378,L378),0),2)</f>
        <v>0</v>
      </c>
      <c r="P378" s="510">
        <f t="shared" ref="P378:P383" si="259">+ROUND(IF(C378=16,PRODUCT(E378,F378,G378,L378),0),2)</f>
        <v>0</v>
      </c>
      <c r="Q378" s="510">
        <f t="shared" ref="Q378:Q383" si="260">+ROUND(IF(C378=20,PRODUCT(E378,F378,G378,L378),0),2)</f>
        <v>0</v>
      </c>
      <c r="R378" s="510">
        <f t="shared" ref="R378:R383" si="261">+ROUND(IF(C378=25,PRODUCT(E378,F378,G378,L378),0),2)</f>
        <v>0</v>
      </c>
    </row>
    <row r="379" spans="1:19">
      <c r="A379" s="505"/>
      <c r="B379" s="511" t="s">
        <v>740</v>
      </c>
      <c r="C379" s="507">
        <v>12</v>
      </c>
      <c r="D379" s="508"/>
      <c r="E379" s="507">
        <v>2</v>
      </c>
      <c r="F379" s="502">
        <v>1</v>
      </c>
      <c r="G379" s="502">
        <v>2</v>
      </c>
      <c r="H379" s="503">
        <v>0.3</v>
      </c>
      <c r="I379" s="503">
        <f>3.6-0.06</f>
        <v>3.54</v>
      </c>
      <c r="J379" s="509">
        <v>0.3</v>
      </c>
      <c r="K379" s="509"/>
      <c r="L379" s="510">
        <f>SUM(H379:J379)+K379</f>
        <v>4.1399999999999997</v>
      </c>
      <c r="M379" s="510">
        <f t="shared" si="256"/>
        <v>0</v>
      </c>
      <c r="N379" s="510">
        <f t="shared" si="257"/>
        <v>0</v>
      </c>
      <c r="O379" s="510">
        <f t="shared" si="258"/>
        <v>16.559999999999999</v>
      </c>
      <c r="P379" s="510">
        <f t="shared" si="259"/>
        <v>0</v>
      </c>
      <c r="Q379" s="510">
        <f t="shared" si="260"/>
        <v>0</v>
      </c>
      <c r="R379" s="510">
        <f t="shared" si="261"/>
        <v>0</v>
      </c>
    </row>
    <row r="380" spans="1:19">
      <c r="A380" s="505"/>
      <c r="B380" s="511" t="s">
        <v>773</v>
      </c>
      <c r="C380" s="507">
        <v>12</v>
      </c>
      <c r="D380" s="508"/>
      <c r="E380" s="507">
        <v>2</v>
      </c>
      <c r="F380" s="502">
        <v>1</v>
      </c>
      <c r="G380" s="502">
        <v>2</v>
      </c>
      <c r="H380" s="503">
        <v>0.3</v>
      </c>
      <c r="I380" s="503">
        <f>3.6-0.06</f>
        <v>3.54</v>
      </c>
      <c r="J380" s="509">
        <v>0.3</v>
      </c>
      <c r="K380" s="509"/>
      <c r="L380" s="510">
        <f>SUM(H380:J380)+K380</f>
        <v>4.1399999999999997</v>
      </c>
      <c r="M380" s="510">
        <f t="shared" si="256"/>
        <v>0</v>
      </c>
      <c r="N380" s="510">
        <f t="shared" si="257"/>
        <v>0</v>
      </c>
      <c r="O380" s="510">
        <f t="shared" si="258"/>
        <v>16.559999999999999</v>
      </c>
      <c r="P380" s="510">
        <f t="shared" si="259"/>
        <v>0</v>
      </c>
      <c r="Q380" s="510">
        <f t="shared" si="260"/>
        <v>0</v>
      </c>
      <c r="R380" s="510">
        <f t="shared" si="261"/>
        <v>0</v>
      </c>
    </row>
    <row r="381" spans="1:19">
      <c r="A381" s="505"/>
      <c r="B381" s="511" t="s">
        <v>780</v>
      </c>
      <c r="C381" s="507">
        <v>8</v>
      </c>
      <c r="D381" s="508">
        <v>100</v>
      </c>
      <c r="E381" s="507">
        <v>2</v>
      </c>
      <c r="F381" s="502">
        <v>1</v>
      </c>
      <c r="G381" s="502">
        <f>+ROUND(1.8/0.1,0)</f>
        <v>18</v>
      </c>
      <c r="H381" s="503"/>
      <c r="I381" s="516">
        <f t="shared" ref="I381:I382" si="262">2*(0.14+0.39)+16*C381/1000</f>
        <v>1.1880000000000002</v>
      </c>
      <c r="J381" s="509"/>
      <c r="K381" s="481"/>
      <c r="L381" s="510">
        <f t="shared" ref="L381:L382" si="263">SUM(H381:J381)+K381</f>
        <v>1.1880000000000002</v>
      </c>
      <c r="M381" s="510">
        <f t="shared" si="256"/>
        <v>42.77</v>
      </c>
      <c r="N381" s="510">
        <f t="shared" si="257"/>
        <v>0</v>
      </c>
      <c r="O381" s="510">
        <f t="shared" si="258"/>
        <v>0</v>
      </c>
      <c r="P381" s="510">
        <f t="shared" si="259"/>
        <v>0</v>
      </c>
      <c r="Q381" s="510">
        <f t="shared" si="260"/>
        <v>0</v>
      </c>
      <c r="R381" s="510">
        <f t="shared" si="261"/>
        <v>0</v>
      </c>
    </row>
    <row r="382" spans="1:19">
      <c r="A382" s="505"/>
      <c r="B382" s="511"/>
      <c r="C382" s="507">
        <v>8</v>
      </c>
      <c r="D382" s="508">
        <v>150</v>
      </c>
      <c r="E382" s="507">
        <v>2</v>
      </c>
      <c r="F382" s="502">
        <v>1</v>
      </c>
      <c r="G382" s="502">
        <f>+ROUND(1.37/0.15+1,0)</f>
        <v>10</v>
      </c>
      <c r="H382" s="503"/>
      <c r="I382" s="516">
        <f t="shared" si="262"/>
        <v>1.1880000000000002</v>
      </c>
      <c r="J382" s="509"/>
      <c r="K382" s="481"/>
      <c r="L382" s="510">
        <f t="shared" si="263"/>
        <v>1.1880000000000002</v>
      </c>
      <c r="M382" s="510">
        <f t="shared" si="256"/>
        <v>23.76</v>
      </c>
      <c r="N382" s="510">
        <f t="shared" si="257"/>
        <v>0</v>
      </c>
      <c r="O382" s="510">
        <f t="shared" si="258"/>
        <v>0</v>
      </c>
      <c r="P382" s="510">
        <f t="shared" si="259"/>
        <v>0</v>
      </c>
      <c r="Q382" s="510">
        <f t="shared" si="260"/>
        <v>0</v>
      </c>
      <c r="R382" s="510">
        <f t="shared" si="261"/>
        <v>0</v>
      </c>
    </row>
    <row r="383" spans="1:19">
      <c r="A383" s="505"/>
      <c r="B383" s="511"/>
      <c r="C383" s="507"/>
      <c r="D383" s="508"/>
      <c r="E383" s="507"/>
      <c r="F383" s="502"/>
      <c r="G383" s="502"/>
      <c r="H383" s="503"/>
      <c r="I383" s="503"/>
      <c r="J383" s="509"/>
      <c r="K383" s="509"/>
      <c r="L383" s="510">
        <f t="shared" ref="L383" si="264">SUM(H383:J383)+K383</f>
        <v>0</v>
      </c>
      <c r="M383" s="510">
        <f t="shared" si="256"/>
        <v>0</v>
      </c>
      <c r="N383" s="510">
        <f t="shared" si="257"/>
        <v>0</v>
      </c>
      <c r="O383" s="510">
        <f t="shared" si="258"/>
        <v>0</v>
      </c>
      <c r="P383" s="510">
        <f t="shared" si="259"/>
        <v>0</v>
      </c>
      <c r="Q383" s="510">
        <f t="shared" si="260"/>
        <v>0</v>
      </c>
      <c r="R383" s="510">
        <f t="shared" si="261"/>
        <v>0</v>
      </c>
    </row>
    <row r="384" spans="1:19">
      <c r="A384" s="505"/>
      <c r="B384" s="520" t="s">
        <v>784</v>
      </c>
      <c r="C384" s="521"/>
      <c r="D384" s="522"/>
      <c r="E384" s="521"/>
      <c r="F384" s="523"/>
      <c r="G384" s="523"/>
      <c r="H384" s="524"/>
      <c r="I384" s="524"/>
      <c r="J384" s="525"/>
      <c r="K384" s="525"/>
      <c r="L384" s="524"/>
      <c r="M384" s="526">
        <f>SUM(M5:M383)*0.395</f>
        <v>3492.1436500000063</v>
      </c>
      <c r="N384" s="526">
        <f>SUM(N5:N383)*0.617</f>
        <v>131.69248000000005</v>
      </c>
      <c r="O384" s="526">
        <f>SUM(O5:O383)*0.888</f>
        <v>1475.6961600000002</v>
      </c>
      <c r="P384" s="526">
        <f>SUM(P5:P383)*1.58</f>
        <v>4761.2983999999997</v>
      </c>
      <c r="Q384" s="526">
        <f>SUM(Q5:Q383)*2.46</f>
        <v>147.50160000000002</v>
      </c>
      <c r="R384" s="526">
        <f>SUM(R5:R383)*3.85</f>
        <v>0</v>
      </c>
      <c r="S384" s="527">
        <f>SUM(M384:R384)</f>
        <v>10008.332290000006</v>
      </c>
    </row>
    <row r="385" spans="1:18">
      <c r="A385" s="505"/>
      <c r="B385" s="511"/>
      <c r="C385" s="507"/>
      <c r="D385" s="508"/>
      <c r="E385" s="507"/>
      <c r="F385" s="502"/>
      <c r="G385" s="502"/>
      <c r="H385" s="503"/>
      <c r="I385" s="503"/>
      <c r="J385" s="509"/>
      <c r="K385" s="509"/>
      <c r="L385" s="503"/>
      <c r="M385" s="503"/>
      <c r="N385" s="503"/>
      <c r="O385" s="503"/>
      <c r="P385" s="503"/>
      <c r="Q385" s="503"/>
      <c r="R385" s="503"/>
    </row>
    <row r="388" spans="1:18">
      <c r="G388" s="528">
        <v>178.6</v>
      </c>
      <c r="H388" s="221">
        <v>6</v>
      </c>
      <c r="I388" s="221">
        <f>+G388*H388</f>
        <v>1071.5999999999999</v>
      </c>
    </row>
    <row r="389" spans="1:18">
      <c r="G389" s="528">
        <v>160</v>
      </c>
      <c r="H389" s="221">
        <v>5</v>
      </c>
      <c r="I389" s="221">
        <f t="shared" ref="I389:I409" si="265">+G389*H389</f>
        <v>800</v>
      </c>
    </row>
    <row r="390" spans="1:18">
      <c r="G390" s="528">
        <v>87</v>
      </c>
      <c r="H390" s="221">
        <v>4.5</v>
      </c>
      <c r="I390" s="221">
        <f t="shared" si="265"/>
        <v>391.5</v>
      </c>
    </row>
    <row r="391" spans="1:18">
      <c r="G391" s="528">
        <v>78.599999999999994</v>
      </c>
      <c r="H391" s="221">
        <v>4.5</v>
      </c>
      <c r="I391" s="221">
        <f t="shared" si="265"/>
        <v>353.7</v>
      </c>
    </row>
    <row r="392" spans="1:18">
      <c r="G392" s="528">
        <v>135</v>
      </c>
      <c r="H392" s="221">
        <v>4.5</v>
      </c>
      <c r="I392" s="221">
        <f t="shared" si="265"/>
        <v>607.5</v>
      </c>
    </row>
    <row r="393" spans="1:18">
      <c r="G393" s="528">
        <v>20</v>
      </c>
      <c r="H393" s="221">
        <v>8.5</v>
      </c>
      <c r="I393" s="221">
        <f t="shared" si="265"/>
        <v>170</v>
      </c>
    </row>
    <row r="394" spans="1:18">
      <c r="G394" s="528">
        <v>90</v>
      </c>
      <c r="H394" s="221">
        <v>4.5</v>
      </c>
      <c r="I394" s="221">
        <f t="shared" si="265"/>
        <v>405</v>
      </c>
    </row>
    <row r="395" spans="1:18">
      <c r="G395" s="528">
        <v>90</v>
      </c>
      <c r="H395" s="221">
        <v>4.5</v>
      </c>
      <c r="I395" s="221">
        <f t="shared" si="265"/>
        <v>405</v>
      </c>
    </row>
    <row r="396" spans="1:18">
      <c r="G396" s="528">
        <v>137.5</v>
      </c>
      <c r="H396" s="221">
        <v>4.5</v>
      </c>
      <c r="I396" s="221">
        <f t="shared" si="265"/>
        <v>618.75</v>
      </c>
    </row>
    <row r="397" spans="1:18">
      <c r="G397" s="528">
        <v>100</v>
      </c>
      <c r="H397" s="221">
        <v>4.5</v>
      </c>
      <c r="I397" s="221">
        <f t="shared" si="265"/>
        <v>450</v>
      </c>
    </row>
    <row r="398" spans="1:18">
      <c r="G398" s="528">
        <v>92</v>
      </c>
      <c r="H398" s="221">
        <v>4.5</v>
      </c>
      <c r="I398" s="221">
        <f t="shared" si="265"/>
        <v>414</v>
      </c>
    </row>
    <row r="399" spans="1:18">
      <c r="G399" s="528">
        <v>50</v>
      </c>
      <c r="H399" s="221">
        <v>6</v>
      </c>
      <c r="I399" s="221">
        <f t="shared" si="265"/>
        <v>300</v>
      </c>
    </row>
    <row r="400" spans="1:18">
      <c r="G400" s="528">
        <v>60</v>
      </c>
      <c r="H400" s="221">
        <v>6</v>
      </c>
      <c r="I400" s="221">
        <f t="shared" si="265"/>
        <v>360</v>
      </c>
    </row>
    <row r="401" spans="7:10">
      <c r="G401" s="528">
        <v>129</v>
      </c>
      <c r="H401" s="221">
        <v>5</v>
      </c>
      <c r="I401" s="221">
        <f t="shared" si="265"/>
        <v>645</v>
      </c>
    </row>
    <row r="402" spans="7:10">
      <c r="G402" s="528">
        <v>118</v>
      </c>
      <c r="H402" s="221">
        <v>4.5</v>
      </c>
      <c r="I402" s="221">
        <f t="shared" si="265"/>
        <v>531</v>
      </c>
    </row>
    <row r="403" spans="7:10">
      <c r="G403" s="528">
        <v>115</v>
      </c>
      <c r="H403" s="221">
        <v>4.5</v>
      </c>
      <c r="I403" s="221">
        <f t="shared" si="265"/>
        <v>517.5</v>
      </c>
    </row>
    <row r="404" spans="7:10">
      <c r="G404" s="528">
        <v>95</v>
      </c>
      <c r="H404" s="221">
        <v>4.5</v>
      </c>
      <c r="I404" s="221">
        <f t="shared" si="265"/>
        <v>427.5</v>
      </c>
    </row>
    <row r="405" spans="7:10">
      <c r="G405" s="528">
        <v>86</v>
      </c>
      <c r="H405" s="221">
        <v>4.5</v>
      </c>
      <c r="I405" s="221">
        <f t="shared" si="265"/>
        <v>387</v>
      </c>
    </row>
    <row r="406" spans="7:10">
      <c r="G406" s="528">
        <v>156</v>
      </c>
      <c r="H406" s="221">
        <v>4.5</v>
      </c>
      <c r="I406" s="221">
        <f t="shared" si="265"/>
        <v>702</v>
      </c>
    </row>
    <row r="407" spans="7:10">
      <c r="G407" s="528">
        <v>153</v>
      </c>
      <c r="H407" s="221">
        <v>6</v>
      </c>
      <c r="I407" s="221">
        <f t="shared" si="265"/>
        <v>918</v>
      </c>
    </row>
    <row r="408" spans="7:10">
      <c r="G408" s="528">
        <v>78</v>
      </c>
      <c r="H408" s="221">
        <v>4.5</v>
      </c>
      <c r="I408" s="221">
        <f t="shared" si="265"/>
        <v>351</v>
      </c>
    </row>
    <row r="409" spans="7:10">
      <c r="G409" s="528">
        <v>61</v>
      </c>
      <c r="H409" s="221">
        <v>4.5</v>
      </c>
      <c r="I409" s="221">
        <f t="shared" si="265"/>
        <v>274.5</v>
      </c>
    </row>
    <row r="411" spans="7:10">
      <c r="I411" s="221">
        <f>SUM(I388:I410)</f>
        <v>11100.55</v>
      </c>
      <c r="J411" s="221">
        <f>+I411*10.764</f>
        <v>119486.32019999999</v>
      </c>
    </row>
  </sheetData>
  <mergeCells count="11">
    <mergeCell ref="G2:G3"/>
    <mergeCell ref="H2:J2"/>
    <mergeCell ref="K2:K3"/>
    <mergeCell ref="L2:L3"/>
    <mergeCell ref="M2:R2"/>
    <mergeCell ref="F2:F3"/>
    <mergeCell ref="A2:A3"/>
    <mergeCell ref="B2:B3"/>
    <mergeCell ref="C2:C3"/>
    <mergeCell ref="D2:D3"/>
    <mergeCell ref="E2:E3"/>
  </mergeCells>
  <conditionalFormatting sqref="M385:R385 M383:R383 M5:R22 M55:R100 M103:R123 M126:R133 M136:R193 M196:R226 M231:R248 M275:R281 M287:R334 M372:R376 M39:R52 M251:R270">
    <cfRule type="cellIs" dxfId="1314" priority="273" operator="greaterThan">
      <formula>0</formula>
    </cfRule>
  </conditionalFormatting>
  <conditionalFormatting sqref="M5:R5">
    <cfRule type="cellIs" dxfId="1313" priority="272" operator="greaterThan">
      <formula>0</formula>
    </cfRule>
  </conditionalFormatting>
  <conditionalFormatting sqref="M10:R11">
    <cfRule type="cellIs" dxfId="1312" priority="271" operator="greaterThan">
      <formula>0</formula>
    </cfRule>
  </conditionalFormatting>
  <conditionalFormatting sqref="M9:R9">
    <cfRule type="cellIs" dxfId="1311" priority="270" operator="greaterThan">
      <formula>0</formula>
    </cfRule>
  </conditionalFormatting>
  <conditionalFormatting sqref="M13:R13">
    <cfRule type="cellIs" dxfId="1310" priority="269" operator="greaterThan">
      <formula>0</formula>
    </cfRule>
  </conditionalFormatting>
  <conditionalFormatting sqref="M335:R335">
    <cfRule type="cellIs" dxfId="1309" priority="264" operator="greaterThan">
      <formula>0</formula>
    </cfRule>
  </conditionalFormatting>
  <conditionalFormatting sqref="M12:R12">
    <cfRule type="cellIs" dxfId="1308" priority="268" operator="greaterThan">
      <formula>0</formula>
    </cfRule>
  </conditionalFormatting>
  <conditionalFormatting sqref="M266:R266 M281:R281">
    <cfRule type="cellIs" dxfId="1307" priority="266" operator="greaterThan">
      <formula>0</formula>
    </cfRule>
  </conditionalFormatting>
  <conditionalFormatting sqref="M52:R52 M142:R142 M55:R56">
    <cfRule type="cellIs" dxfId="1306" priority="267" operator="greaterThan">
      <formula>0</formula>
    </cfRule>
  </conditionalFormatting>
  <conditionalFormatting sqref="M18:R18">
    <cfRule type="cellIs" dxfId="1305" priority="261" operator="greaterThan">
      <formula>0</formula>
    </cfRule>
  </conditionalFormatting>
  <conditionalFormatting sqref="M162:R162 M202:R202">
    <cfRule type="cellIs" dxfId="1304" priority="265" operator="greaterThan">
      <formula>0</formula>
    </cfRule>
  </conditionalFormatting>
  <conditionalFormatting sqref="N377:R377">
    <cfRule type="cellIs" dxfId="1303" priority="263" operator="greaterThan">
      <formula>0</formula>
    </cfRule>
  </conditionalFormatting>
  <conditionalFormatting sqref="M17:R17">
    <cfRule type="cellIs" dxfId="1302" priority="260" operator="greaterThan">
      <formula>0</formula>
    </cfRule>
  </conditionalFormatting>
  <conditionalFormatting sqref="M22:R22">
    <cfRule type="cellIs" dxfId="1301" priority="257" operator="greaterThan">
      <formula>0</formula>
    </cfRule>
  </conditionalFormatting>
  <conditionalFormatting sqref="M14:R16">
    <cfRule type="cellIs" dxfId="1300" priority="262" operator="greaterThan">
      <formula>0</formula>
    </cfRule>
  </conditionalFormatting>
  <conditionalFormatting sqref="M44:R45">
    <cfRule type="cellIs" dxfId="1299" priority="252" operator="greaterThan">
      <formula>0</formula>
    </cfRule>
  </conditionalFormatting>
  <conditionalFormatting sqref="M19:R19">
    <cfRule type="cellIs" dxfId="1298" priority="259" operator="greaterThan">
      <formula>0</formula>
    </cfRule>
  </conditionalFormatting>
  <conditionalFormatting sqref="M40:R41">
    <cfRule type="cellIs" dxfId="1297" priority="255" operator="greaterThan">
      <formula>0</formula>
    </cfRule>
  </conditionalFormatting>
  <conditionalFormatting sqref="M42:R42">
    <cfRule type="cellIs" dxfId="1296" priority="254" operator="greaterThan">
      <formula>0</formula>
    </cfRule>
  </conditionalFormatting>
  <conditionalFormatting sqref="M20:R21">
    <cfRule type="cellIs" dxfId="1295" priority="258" operator="greaterThan">
      <formula>0</formula>
    </cfRule>
  </conditionalFormatting>
  <conditionalFormatting sqref="M39:R39">
    <cfRule type="cellIs" dxfId="1294" priority="256" operator="greaterThan">
      <formula>0</formula>
    </cfRule>
  </conditionalFormatting>
  <conditionalFormatting sqref="M46:R46">
    <cfRule type="cellIs" dxfId="1293" priority="250" operator="greaterThan">
      <formula>0</formula>
    </cfRule>
  </conditionalFormatting>
  <conditionalFormatting sqref="M51:R51">
    <cfRule type="cellIs" dxfId="1292" priority="247" operator="greaterThan">
      <formula>0</formula>
    </cfRule>
  </conditionalFormatting>
  <conditionalFormatting sqref="M43:R43">
    <cfRule type="cellIs" dxfId="1291" priority="253" operator="greaterThan">
      <formula>0</formula>
    </cfRule>
  </conditionalFormatting>
  <conditionalFormatting sqref="M47:R47">
    <cfRule type="cellIs" dxfId="1290" priority="251" operator="greaterThan">
      <formula>0</formula>
    </cfRule>
  </conditionalFormatting>
  <conditionalFormatting sqref="M49:R50">
    <cfRule type="cellIs" dxfId="1289" priority="248" operator="greaterThan">
      <formula>0</formula>
    </cfRule>
  </conditionalFormatting>
  <conditionalFormatting sqref="M60:R60">
    <cfRule type="cellIs" dxfId="1288" priority="244" operator="greaterThan">
      <formula>0</formula>
    </cfRule>
  </conditionalFormatting>
  <conditionalFormatting sqref="M48:R48">
    <cfRule type="cellIs" dxfId="1287" priority="249" operator="greaterThan">
      <formula>0</formula>
    </cfRule>
  </conditionalFormatting>
  <conditionalFormatting sqref="M62:R62">
    <cfRule type="cellIs" dxfId="1286" priority="242" operator="greaterThan">
      <formula>0</formula>
    </cfRule>
  </conditionalFormatting>
  <conditionalFormatting sqref="M68:R68">
    <cfRule type="cellIs" dxfId="1285" priority="241" operator="greaterThan">
      <formula>0</formula>
    </cfRule>
  </conditionalFormatting>
  <conditionalFormatting sqref="M67:R67">
    <cfRule type="cellIs" dxfId="1284" priority="238" operator="greaterThan">
      <formula>0</formula>
    </cfRule>
  </conditionalFormatting>
  <conditionalFormatting sqref="M63:R63">
    <cfRule type="cellIs" dxfId="1283" priority="243" operator="greaterThan">
      <formula>0</formula>
    </cfRule>
  </conditionalFormatting>
  <conditionalFormatting sqref="M61:R61">
    <cfRule type="cellIs" dxfId="1282" priority="246" operator="greaterThan">
      <formula>0</formula>
    </cfRule>
  </conditionalFormatting>
  <conditionalFormatting sqref="M57:R57">
    <cfRule type="cellIs" dxfId="1281" priority="245" operator="greaterThan">
      <formula>0</formula>
    </cfRule>
  </conditionalFormatting>
  <conditionalFormatting sqref="M65:R66">
    <cfRule type="cellIs" dxfId="1280" priority="239" operator="greaterThan">
      <formula>0</formula>
    </cfRule>
  </conditionalFormatting>
  <conditionalFormatting sqref="M64:R64">
    <cfRule type="cellIs" dxfId="1279" priority="240" operator="greaterThan">
      <formula>0</formula>
    </cfRule>
  </conditionalFormatting>
  <conditionalFormatting sqref="M78:R78">
    <cfRule type="cellIs" dxfId="1278" priority="234" operator="greaterThan">
      <formula>0</formula>
    </cfRule>
  </conditionalFormatting>
  <conditionalFormatting sqref="M76:R77">
    <cfRule type="cellIs" dxfId="1277" priority="235" operator="greaterThan">
      <formula>0</formula>
    </cfRule>
  </conditionalFormatting>
  <conditionalFormatting sqref="M79:R79">
    <cfRule type="cellIs" dxfId="1276" priority="237" operator="greaterThan">
      <formula>0</formula>
    </cfRule>
  </conditionalFormatting>
  <conditionalFormatting sqref="M75:R75">
    <cfRule type="cellIs" dxfId="1275" priority="236" operator="greaterThan">
      <formula>0</formula>
    </cfRule>
  </conditionalFormatting>
  <conditionalFormatting sqref="M86:R86">
    <cfRule type="cellIs" dxfId="1274" priority="230" operator="greaterThan">
      <formula>0</formula>
    </cfRule>
  </conditionalFormatting>
  <conditionalFormatting sqref="M81:R82">
    <cfRule type="cellIs" dxfId="1273" priority="231" operator="greaterThan">
      <formula>0</formula>
    </cfRule>
  </conditionalFormatting>
  <conditionalFormatting sqref="M87:R87">
    <cfRule type="cellIs" dxfId="1272" priority="233" operator="greaterThan">
      <formula>0</formula>
    </cfRule>
  </conditionalFormatting>
  <conditionalFormatting sqref="M80:R80">
    <cfRule type="cellIs" dxfId="1271" priority="232" operator="greaterThan">
      <formula>0</formula>
    </cfRule>
  </conditionalFormatting>
  <conditionalFormatting sqref="M83:R85">
    <cfRule type="cellIs" dxfId="1270" priority="229" operator="greaterThan">
      <formula>0</formula>
    </cfRule>
  </conditionalFormatting>
  <conditionalFormatting sqref="M72:R72">
    <cfRule type="cellIs" dxfId="1269" priority="226" operator="greaterThan">
      <formula>0</formula>
    </cfRule>
  </conditionalFormatting>
  <conditionalFormatting sqref="M74:R74">
    <cfRule type="cellIs" dxfId="1268" priority="225" operator="greaterThan">
      <formula>0</formula>
    </cfRule>
  </conditionalFormatting>
  <conditionalFormatting sqref="M73:R73">
    <cfRule type="cellIs" dxfId="1267" priority="228" operator="greaterThan">
      <formula>0</formula>
    </cfRule>
  </conditionalFormatting>
  <conditionalFormatting sqref="M69:R69">
    <cfRule type="cellIs" dxfId="1266" priority="227" operator="greaterThan">
      <formula>0</formula>
    </cfRule>
  </conditionalFormatting>
  <conditionalFormatting sqref="M91:R91">
    <cfRule type="cellIs" dxfId="1265" priority="223" operator="greaterThan">
      <formula>0</formula>
    </cfRule>
  </conditionalFormatting>
  <conditionalFormatting sqref="M88:R88">
    <cfRule type="cellIs" dxfId="1264" priority="224" operator="greaterThan">
      <formula>0</formula>
    </cfRule>
  </conditionalFormatting>
  <conditionalFormatting sqref="M93:R94">
    <cfRule type="cellIs" dxfId="1263" priority="222" operator="greaterThan">
      <formula>0</formula>
    </cfRule>
  </conditionalFormatting>
  <conditionalFormatting sqref="M95:R95">
    <cfRule type="cellIs" dxfId="1262" priority="220" operator="greaterThan">
      <formula>0</formula>
    </cfRule>
  </conditionalFormatting>
  <conditionalFormatting sqref="M96:R96">
    <cfRule type="cellIs" dxfId="1261" priority="219" operator="greaterThan">
      <formula>0</formula>
    </cfRule>
  </conditionalFormatting>
  <conditionalFormatting sqref="M92:R92">
    <cfRule type="cellIs" dxfId="1260" priority="221" operator="greaterThan">
      <formula>0</formula>
    </cfRule>
  </conditionalFormatting>
  <conditionalFormatting sqref="M99:R100">
    <cfRule type="cellIs" dxfId="1259" priority="218" operator="greaterThan">
      <formula>0</formula>
    </cfRule>
  </conditionalFormatting>
  <conditionalFormatting sqref="M104:R105">
    <cfRule type="cellIs" dxfId="1258" priority="217" operator="greaterThan">
      <formula>0</formula>
    </cfRule>
  </conditionalFormatting>
  <conditionalFormatting sqref="M106:R106">
    <cfRule type="cellIs" dxfId="1257" priority="214" operator="greaterThan">
      <formula>0</formula>
    </cfRule>
  </conditionalFormatting>
  <conditionalFormatting sqref="M107:R107">
    <cfRule type="cellIs" dxfId="1256" priority="216" operator="greaterThan">
      <formula>0</formula>
    </cfRule>
  </conditionalFormatting>
  <conditionalFormatting sqref="M103:R103">
    <cfRule type="cellIs" dxfId="1255" priority="215" operator="greaterThan">
      <formula>0</formula>
    </cfRule>
  </conditionalFormatting>
  <conditionalFormatting sqref="M111:R111">
    <cfRule type="cellIs" dxfId="1254" priority="211" operator="greaterThan">
      <formula>0</formula>
    </cfRule>
  </conditionalFormatting>
  <conditionalFormatting sqref="M112:R112">
    <cfRule type="cellIs" dxfId="1253" priority="213" operator="greaterThan">
      <formula>0</formula>
    </cfRule>
  </conditionalFormatting>
  <conditionalFormatting sqref="M108:R108">
    <cfRule type="cellIs" dxfId="1252" priority="212" operator="greaterThan">
      <formula>0</formula>
    </cfRule>
  </conditionalFormatting>
  <conditionalFormatting sqref="M121:R123">
    <cfRule type="cellIs" dxfId="1251" priority="209" operator="greaterThan">
      <formula>0</formula>
    </cfRule>
  </conditionalFormatting>
  <conditionalFormatting sqref="M113:R113">
    <cfRule type="cellIs" dxfId="1250" priority="210" operator="greaterThan">
      <formula>0</formula>
    </cfRule>
  </conditionalFormatting>
  <conditionalFormatting sqref="M116:R120">
    <cfRule type="cellIs" dxfId="1249" priority="208" operator="greaterThan">
      <formula>0</formula>
    </cfRule>
  </conditionalFormatting>
  <conditionalFormatting sqref="M132:R133">
    <cfRule type="cellIs" dxfId="1248" priority="206" operator="greaterThan">
      <formula>0</formula>
    </cfRule>
  </conditionalFormatting>
  <conditionalFormatting sqref="M126:R126">
    <cfRule type="cellIs" dxfId="1247" priority="207" operator="greaterThan">
      <formula>0</formula>
    </cfRule>
  </conditionalFormatting>
  <conditionalFormatting sqref="M137:R138">
    <cfRule type="cellIs" dxfId="1246" priority="205" operator="greaterThan">
      <formula>0</formula>
    </cfRule>
  </conditionalFormatting>
  <conditionalFormatting sqref="M136:R136">
    <cfRule type="cellIs" dxfId="1245" priority="204" operator="greaterThan">
      <formula>0</formula>
    </cfRule>
  </conditionalFormatting>
  <conditionalFormatting sqref="M141:R141">
    <cfRule type="cellIs" dxfId="1244" priority="203" operator="greaterThan">
      <formula>0</formula>
    </cfRule>
  </conditionalFormatting>
  <conditionalFormatting sqref="M143:R143">
    <cfRule type="cellIs" dxfId="1243" priority="199" operator="greaterThan">
      <formula>0</formula>
    </cfRule>
  </conditionalFormatting>
  <conditionalFormatting sqref="M139:R140">
    <cfRule type="cellIs" dxfId="1242" priority="202" operator="greaterThan">
      <formula>0</formula>
    </cfRule>
  </conditionalFormatting>
  <conditionalFormatting sqref="M150:R151">
    <cfRule type="cellIs" dxfId="1241" priority="201" operator="greaterThan">
      <formula>0</formula>
    </cfRule>
  </conditionalFormatting>
  <conditionalFormatting sqref="M144:R145">
    <cfRule type="cellIs" dxfId="1240" priority="200" operator="greaterThan">
      <formula>0</formula>
    </cfRule>
  </conditionalFormatting>
  <conditionalFormatting sqref="M149:R149">
    <cfRule type="cellIs" dxfId="1239" priority="198" operator="greaterThan">
      <formula>0</formula>
    </cfRule>
  </conditionalFormatting>
  <conditionalFormatting sqref="M146:R148">
    <cfRule type="cellIs" dxfId="1238" priority="197" operator="greaterThan">
      <formula>0</formula>
    </cfRule>
  </conditionalFormatting>
  <conditionalFormatting sqref="M152:R152">
    <cfRule type="cellIs" dxfId="1237" priority="194" operator="greaterThan">
      <formula>0</formula>
    </cfRule>
  </conditionalFormatting>
  <conditionalFormatting sqref="M159:R160">
    <cfRule type="cellIs" dxfId="1236" priority="196" operator="greaterThan">
      <formula>0</formula>
    </cfRule>
  </conditionalFormatting>
  <conditionalFormatting sqref="M153:R154">
    <cfRule type="cellIs" dxfId="1235" priority="195" operator="greaterThan">
      <formula>0</formula>
    </cfRule>
  </conditionalFormatting>
  <conditionalFormatting sqref="M163:R163">
    <cfRule type="cellIs" dxfId="1234" priority="189" operator="greaterThan">
      <formula>0</formula>
    </cfRule>
  </conditionalFormatting>
  <conditionalFormatting sqref="M155:R158">
    <cfRule type="cellIs" dxfId="1233" priority="193" operator="greaterThan">
      <formula>0</formula>
    </cfRule>
  </conditionalFormatting>
  <conditionalFormatting sqref="M161:R161">
    <cfRule type="cellIs" dxfId="1232" priority="192" operator="greaterThan">
      <formula>0</formula>
    </cfRule>
  </conditionalFormatting>
  <conditionalFormatting sqref="M169:R169">
    <cfRule type="cellIs" dxfId="1231" priority="191" operator="greaterThan">
      <formula>0</formula>
    </cfRule>
  </conditionalFormatting>
  <conditionalFormatting sqref="M170:R170">
    <cfRule type="cellIs" dxfId="1230" priority="185" operator="greaterThan">
      <formula>0</formula>
    </cfRule>
  </conditionalFormatting>
  <conditionalFormatting sqref="M166:R167">
    <cfRule type="cellIs" dxfId="1229" priority="190" operator="greaterThan">
      <formula>0</formula>
    </cfRule>
  </conditionalFormatting>
  <conditionalFormatting sqref="M173:R174">
    <cfRule type="cellIs" dxfId="1228" priority="184" operator="greaterThan">
      <formula>0</formula>
    </cfRule>
  </conditionalFormatting>
  <conditionalFormatting sqref="M168:R168">
    <cfRule type="cellIs" dxfId="1227" priority="188" operator="greaterThan">
      <formula>0</formula>
    </cfRule>
  </conditionalFormatting>
  <conditionalFormatting sqref="M177:R177">
    <cfRule type="cellIs" dxfId="1226" priority="181" operator="greaterThan">
      <formula>0</formula>
    </cfRule>
  </conditionalFormatting>
  <conditionalFormatting sqref="M178:R179">
    <cfRule type="cellIs" dxfId="1225" priority="182" operator="greaterThan">
      <formula>0</formula>
    </cfRule>
  </conditionalFormatting>
  <conditionalFormatting sqref="M175:R176">
    <cfRule type="cellIs" dxfId="1224" priority="187" operator="greaterThan">
      <formula>0</formula>
    </cfRule>
  </conditionalFormatting>
  <conditionalFormatting sqref="M171:R172">
    <cfRule type="cellIs" dxfId="1223" priority="186" operator="greaterThan">
      <formula>0</formula>
    </cfRule>
  </conditionalFormatting>
  <conditionalFormatting sqref="M181:R181">
    <cfRule type="cellIs" dxfId="1222" priority="179" operator="greaterThan">
      <formula>0</formula>
    </cfRule>
  </conditionalFormatting>
  <conditionalFormatting sqref="M188:R188">
    <cfRule type="cellIs" dxfId="1221" priority="176" operator="greaterThan">
      <formula>0</formula>
    </cfRule>
  </conditionalFormatting>
  <conditionalFormatting sqref="M180:R180">
    <cfRule type="cellIs" dxfId="1220" priority="183" operator="greaterThan">
      <formula>0</formula>
    </cfRule>
  </conditionalFormatting>
  <conditionalFormatting sqref="M191:R193 M196:R197">
    <cfRule type="cellIs" dxfId="1219" priority="178" operator="greaterThan">
      <formula>0</formula>
    </cfRule>
  </conditionalFormatting>
  <conditionalFormatting sqref="M189:R190">
    <cfRule type="cellIs" dxfId="1218" priority="177" operator="greaterThan">
      <formula>0</formula>
    </cfRule>
  </conditionalFormatting>
  <conditionalFormatting sqref="M198:R198">
    <cfRule type="cellIs" dxfId="1217" priority="173" operator="greaterThan">
      <formula>0</formula>
    </cfRule>
  </conditionalFormatting>
  <conditionalFormatting sqref="M184:R187">
    <cfRule type="cellIs" dxfId="1216" priority="180" operator="greaterThan">
      <formula>0</formula>
    </cfRule>
  </conditionalFormatting>
  <conditionalFormatting sqref="M199:R200">
    <cfRule type="cellIs" dxfId="1215" priority="174" operator="greaterThan">
      <formula>0</formula>
    </cfRule>
  </conditionalFormatting>
  <conditionalFormatting sqref="M203:R203">
    <cfRule type="cellIs" dxfId="1214" priority="169" operator="greaterThan">
      <formula>0</formula>
    </cfRule>
  </conditionalFormatting>
  <conditionalFormatting sqref="M201:R201">
    <cfRule type="cellIs" dxfId="1213" priority="175" operator="greaterThan">
      <formula>0</formula>
    </cfRule>
  </conditionalFormatting>
  <conditionalFormatting sqref="M204:R205">
    <cfRule type="cellIs" dxfId="1212" priority="170" operator="greaterThan">
      <formula>0</formula>
    </cfRule>
  </conditionalFormatting>
  <conditionalFormatting sqref="M206:R206">
    <cfRule type="cellIs" dxfId="1211" priority="171" operator="greaterThan">
      <formula>0</formula>
    </cfRule>
  </conditionalFormatting>
  <conditionalFormatting sqref="M207:R207">
    <cfRule type="cellIs" dxfId="1210" priority="172" operator="greaterThan">
      <formula>0</formula>
    </cfRule>
  </conditionalFormatting>
  <conditionalFormatting sqref="M208:R208">
    <cfRule type="cellIs" dxfId="1209" priority="165" operator="greaterThan">
      <formula>0</formula>
    </cfRule>
  </conditionalFormatting>
  <conditionalFormatting sqref="M209:R211">
    <cfRule type="cellIs" dxfId="1208" priority="166" operator="greaterThan">
      <formula>0</formula>
    </cfRule>
  </conditionalFormatting>
  <conditionalFormatting sqref="M214:R214">
    <cfRule type="cellIs" dxfId="1207" priority="167" operator="greaterThan">
      <formula>0</formula>
    </cfRule>
  </conditionalFormatting>
  <conditionalFormatting sqref="M215:R215">
    <cfRule type="cellIs" dxfId="1206" priority="168" operator="greaterThan">
      <formula>0</formula>
    </cfRule>
  </conditionalFormatting>
  <conditionalFormatting sqref="M216:R216">
    <cfRule type="cellIs" dxfId="1205" priority="161" operator="greaterThan">
      <formula>0</formula>
    </cfRule>
  </conditionalFormatting>
  <conditionalFormatting sqref="M217:R218">
    <cfRule type="cellIs" dxfId="1204" priority="162" operator="greaterThan">
      <formula>0</formula>
    </cfRule>
  </conditionalFormatting>
  <conditionalFormatting sqref="M219:R219">
    <cfRule type="cellIs" dxfId="1203" priority="163" operator="greaterThan">
      <formula>0</formula>
    </cfRule>
  </conditionalFormatting>
  <conditionalFormatting sqref="M220:R220">
    <cfRule type="cellIs" dxfId="1202" priority="164" operator="greaterThan">
      <formula>0</formula>
    </cfRule>
  </conditionalFormatting>
  <conditionalFormatting sqref="M225:R225">
    <cfRule type="cellIs" dxfId="1201" priority="160" operator="greaterThan">
      <formula>0</formula>
    </cfRule>
  </conditionalFormatting>
  <conditionalFormatting sqref="M221:R221">
    <cfRule type="cellIs" dxfId="1200" priority="158" operator="greaterThan">
      <formula>0</formula>
    </cfRule>
  </conditionalFormatting>
  <conditionalFormatting sqref="M224:R224">
    <cfRule type="cellIs" dxfId="1199" priority="159" operator="greaterThan">
      <formula>0</formula>
    </cfRule>
  </conditionalFormatting>
  <conditionalFormatting sqref="M235:R235">
    <cfRule type="cellIs" dxfId="1198" priority="156" operator="greaterThan">
      <formula>0</formula>
    </cfRule>
  </conditionalFormatting>
  <conditionalFormatting sqref="M226:R226">
    <cfRule type="cellIs" dxfId="1197" priority="157" operator="greaterThan">
      <formula>0</formula>
    </cfRule>
  </conditionalFormatting>
  <conditionalFormatting sqref="M239:R239">
    <cfRule type="cellIs" dxfId="1196" priority="151" operator="greaterThan">
      <formula>0</formula>
    </cfRule>
  </conditionalFormatting>
  <conditionalFormatting sqref="M231:R231">
    <cfRule type="cellIs" dxfId="1195" priority="153" operator="greaterThan">
      <formula>0</formula>
    </cfRule>
  </conditionalFormatting>
  <conditionalFormatting sqref="M232:R233">
    <cfRule type="cellIs" dxfId="1194" priority="154" operator="greaterThan">
      <formula>0</formula>
    </cfRule>
  </conditionalFormatting>
  <conditionalFormatting sqref="M234:R234">
    <cfRule type="cellIs" dxfId="1193" priority="155" operator="greaterThan">
      <formula>0</formula>
    </cfRule>
  </conditionalFormatting>
  <conditionalFormatting sqref="M236:R236">
    <cfRule type="cellIs" dxfId="1192" priority="150" operator="greaterThan">
      <formula>0</formula>
    </cfRule>
  </conditionalFormatting>
  <conditionalFormatting sqref="M240:R240">
    <cfRule type="cellIs" dxfId="1191" priority="152" operator="greaterThan">
      <formula>0</formula>
    </cfRule>
  </conditionalFormatting>
  <conditionalFormatting sqref="M261:R262">
    <cfRule type="cellIs" dxfId="1190" priority="137" operator="greaterThan">
      <formula>0</formula>
    </cfRule>
  </conditionalFormatting>
  <conditionalFormatting sqref="M246:R246">
    <cfRule type="cellIs" dxfId="1189" priority="149" operator="greaterThan">
      <formula>0</formula>
    </cfRule>
  </conditionalFormatting>
  <conditionalFormatting sqref="M241:R241">
    <cfRule type="cellIs" dxfId="1188" priority="148" operator="greaterThan">
      <formula>0</formula>
    </cfRule>
  </conditionalFormatting>
  <conditionalFormatting sqref="M247:R247">
    <cfRule type="cellIs" dxfId="1187" priority="146" operator="greaterThan">
      <formula>0</formula>
    </cfRule>
  </conditionalFormatting>
  <conditionalFormatting sqref="M248:R248">
    <cfRule type="cellIs" dxfId="1186" priority="147" operator="greaterThan">
      <formula>0</formula>
    </cfRule>
  </conditionalFormatting>
  <conditionalFormatting sqref="M251:R251">
    <cfRule type="cellIs" dxfId="1185" priority="141" operator="greaterThan">
      <formula>0</formula>
    </cfRule>
  </conditionalFormatting>
  <conditionalFormatting sqref="M244:R244">
    <cfRule type="cellIs" dxfId="1184" priority="144" operator="greaterThan">
      <formula>0</formula>
    </cfRule>
  </conditionalFormatting>
  <conditionalFormatting sqref="M256:R256">
    <cfRule type="cellIs" dxfId="1183" priority="138" operator="greaterThan">
      <formula>0</formula>
    </cfRule>
  </conditionalFormatting>
  <conditionalFormatting sqref="M245:R245">
    <cfRule type="cellIs" dxfId="1182" priority="145" operator="greaterThan">
      <formula>0</formula>
    </cfRule>
  </conditionalFormatting>
  <conditionalFormatting sqref="M254:R254">
    <cfRule type="cellIs" dxfId="1181" priority="142" operator="greaterThan">
      <formula>0</formula>
    </cfRule>
  </conditionalFormatting>
  <conditionalFormatting sqref="M255:R255">
    <cfRule type="cellIs" dxfId="1180" priority="143" operator="greaterThan">
      <formula>0</formula>
    </cfRule>
  </conditionalFormatting>
  <conditionalFormatting sqref="M257:R258">
    <cfRule type="cellIs" dxfId="1179" priority="140" operator="greaterThan">
      <formula>0</formula>
    </cfRule>
  </conditionalFormatting>
  <conditionalFormatting sqref="M259:R259">
    <cfRule type="cellIs" dxfId="1178" priority="139" operator="greaterThan">
      <formula>0</formula>
    </cfRule>
  </conditionalFormatting>
  <conditionalFormatting sqref="M265:R265">
    <cfRule type="cellIs" dxfId="1177" priority="136" operator="greaterThan">
      <formula>0</formula>
    </cfRule>
  </conditionalFormatting>
  <conditionalFormatting sqref="M260:R260">
    <cfRule type="cellIs" dxfId="1176" priority="135" operator="greaterThan">
      <formula>0</formula>
    </cfRule>
  </conditionalFormatting>
  <conditionalFormatting sqref="M263:R263">
    <cfRule type="cellIs" dxfId="1175" priority="134" operator="greaterThan">
      <formula>0</formula>
    </cfRule>
  </conditionalFormatting>
  <conditionalFormatting sqref="M270:R270">
    <cfRule type="cellIs" dxfId="1174" priority="133" operator="greaterThan">
      <formula>0</formula>
    </cfRule>
  </conditionalFormatting>
  <conditionalFormatting sqref="M267:R267">
    <cfRule type="cellIs" dxfId="1173" priority="132" operator="greaterThan">
      <formula>0</formula>
    </cfRule>
  </conditionalFormatting>
  <conditionalFormatting sqref="M275:R275">
    <cfRule type="cellIs" dxfId="1172" priority="129" operator="greaterThan">
      <formula>0</formula>
    </cfRule>
  </conditionalFormatting>
  <conditionalFormatting sqref="M276:R277 M279:R279">
    <cfRule type="cellIs" dxfId="1171" priority="131" operator="greaterThan">
      <formula>0</formula>
    </cfRule>
  </conditionalFormatting>
  <conditionalFormatting sqref="M280:R280">
    <cfRule type="cellIs" dxfId="1170" priority="130" operator="greaterThan">
      <formula>0</formula>
    </cfRule>
  </conditionalFormatting>
  <conditionalFormatting sqref="M278:R278">
    <cfRule type="cellIs" dxfId="1169" priority="128" operator="greaterThan">
      <formula>0</formula>
    </cfRule>
  </conditionalFormatting>
  <conditionalFormatting sqref="M287:R287">
    <cfRule type="cellIs" dxfId="1168" priority="120" operator="greaterThan">
      <formula>0</formula>
    </cfRule>
  </conditionalFormatting>
  <conditionalFormatting sqref="M296:R296">
    <cfRule type="cellIs" dxfId="1167" priority="127" operator="greaterThan">
      <formula>0</formula>
    </cfRule>
  </conditionalFormatting>
  <conditionalFormatting sqref="M292:R292">
    <cfRule type="cellIs" dxfId="1166" priority="124" operator="greaterThan">
      <formula>0</formula>
    </cfRule>
  </conditionalFormatting>
  <conditionalFormatting sqref="M293:R294">
    <cfRule type="cellIs" dxfId="1165" priority="126" operator="greaterThan">
      <formula>0</formula>
    </cfRule>
  </conditionalFormatting>
  <conditionalFormatting sqref="M295:R295">
    <cfRule type="cellIs" dxfId="1164" priority="125" operator="greaterThan">
      <formula>0</formula>
    </cfRule>
  </conditionalFormatting>
  <conditionalFormatting sqref="M297:R297">
    <cfRule type="cellIs" dxfId="1163" priority="116" operator="greaterThan">
      <formula>0</formula>
    </cfRule>
  </conditionalFormatting>
  <conditionalFormatting sqref="M291:R291">
    <cfRule type="cellIs" dxfId="1162" priority="123" operator="greaterThan">
      <formula>0</formula>
    </cfRule>
  </conditionalFormatting>
  <conditionalFormatting sqref="M288:R289">
    <cfRule type="cellIs" dxfId="1161" priority="122" operator="greaterThan">
      <formula>0</formula>
    </cfRule>
  </conditionalFormatting>
  <conditionalFormatting sqref="M290:R290">
    <cfRule type="cellIs" dxfId="1160" priority="121" operator="greaterThan">
      <formula>0</formula>
    </cfRule>
  </conditionalFormatting>
  <conditionalFormatting sqref="M302:R302">
    <cfRule type="cellIs" dxfId="1159" priority="112" operator="greaterThan">
      <formula>0</formula>
    </cfRule>
  </conditionalFormatting>
  <conditionalFormatting sqref="M301:R301">
    <cfRule type="cellIs" dxfId="1158" priority="119" operator="greaterThan">
      <formula>0</formula>
    </cfRule>
  </conditionalFormatting>
  <conditionalFormatting sqref="M298:R299">
    <cfRule type="cellIs" dxfId="1157" priority="118" operator="greaterThan">
      <formula>0</formula>
    </cfRule>
  </conditionalFormatting>
  <conditionalFormatting sqref="M300:R300">
    <cfRule type="cellIs" dxfId="1156" priority="117" operator="greaterThan">
      <formula>0</formula>
    </cfRule>
  </conditionalFormatting>
  <conditionalFormatting sqref="M307:R307">
    <cfRule type="cellIs" dxfId="1155" priority="108" operator="greaterThan">
      <formula>0</formula>
    </cfRule>
  </conditionalFormatting>
  <conditionalFormatting sqref="M312:R312">
    <cfRule type="cellIs" dxfId="1154" priority="105" operator="greaterThan">
      <formula>0</formula>
    </cfRule>
  </conditionalFormatting>
  <conditionalFormatting sqref="M306:R306">
    <cfRule type="cellIs" dxfId="1153" priority="115" operator="greaterThan">
      <formula>0</formula>
    </cfRule>
  </conditionalFormatting>
  <conditionalFormatting sqref="M303:R304">
    <cfRule type="cellIs" dxfId="1152" priority="114" operator="greaterThan">
      <formula>0</formula>
    </cfRule>
  </conditionalFormatting>
  <conditionalFormatting sqref="M305:R305">
    <cfRule type="cellIs" dxfId="1151" priority="113" operator="greaterThan">
      <formula>0</formula>
    </cfRule>
  </conditionalFormatting>
  <conditionalFormatting sqref="M311:R311">
    <cfRule type="cellIs" dxfId="1150" priority="111" operator="greaterThan">
      <formula>0</formula>
    </cfRule>
  </conditionalFormatting>
  <conditionalFormatting sqref="M308:R309">
    <cfRule type="cellIs" dxfId="1149" priority="110" operator="greaterThan">
      <formula>0</formula>
    </cfRule>
  </conditionalFormatting>
  <conditionalFormatting sqref="M310:R310">
    <cfRule type="cellIs" dxfId="1148" priority="109" operator="greaterThan">
      <formula>0</formula>
    </cfRule>
  </conditionalFormatting>
  <conditionalFormatting sqref="M313:R314">
    <cfRule type="cellIs" dxfId="1147" priority="107" operator="greaterThan">
      <formula>0</formula>
    </cfRule>
  </conditionalFormatting>
  <conditionalFormatting sqref="M315:R315">
    <cfRule type="cellIs" dxfId="1146" priority="106" operator="greaterThan">
      <formula>0</formula>
    </cfRule>
  </conditionalFormatting>
  <conditionalFormatting sqref="M316:R316">
    <cfRule type="cellIs" dxfId="1145" priority="102" operator="greaterThan">
      <formula>0</formula>
    </cfRule>
  </conditionalFormatting>
  <conditionalFormatting sqref="M327:R328">
    <cfRule type="cellIs" dxfId="1144" priority="98" operator="greaterThan">
      <formula>0</formula>
    </cfRule>
  </conditionalFormatting>
  <conditionalFormatting sqref="M335:R335 N377:R377">
    <cfRule type="cellIs" dxfId="1143" priority="99" operator="greaterThan">
      <formula>0</formula>
    </cfRule>
  </conditionalFormatting>
  <conditionalFormatting sqref="M317:R318">
    <cfRule type="cellIs" dxfId="1142" priority="104" operator="greaterThan">
      <formula>0</formula>
    </cfRule>
  </conditionalFormatting>
  <conditionalFormatting sqref="M319:R319">
    <cfRule type="cellIs" dxfId="1141" priority="103" operator="greaterThan">
      <formula>0</formula>
    </cfRule>
  </conditionalFormatting>
  <conditionalFormatting sqref="M321:R322">
    <cfRule type="cellIs" dxfId="1140" priority="101" operator="greaterThan">
      <formula>0</formula>
    </cfRule>
  </conditionalFormatting>
  <conditionalFormatting sqref="M323:R323">
    <cfRule type="cellIs" dxfId="1139" priority="100" operator="greaterThan">
      <formula>0</formula>
    </cfRule>
  </conditionalFormatting>
  <conditionalFormatting sqref="M324:R324">
    <cfRule type="cellIs" dxfId="1138" priority="97" operator="greaterThan">
      <formula>0</formula>
    </cfRule>
  </conditionalFormatting>
  <conditionalFormatting sqref="M332:R333">
    <cfRule type="cellIs" dxfId="1137" priority="96" operator="greaterThan">
      <formula>0</formula>
    </cfRule>
  </conditionalFormatting>
  <conditionalFormatting sqref="M329:R329">
    <cfRule type="cellIs" dxfId="1136" priority="95" operator="greaterThan">
      <formula>0</formula>
    </cfRule>
  </conditionalFormatting>
  <conditionalFormatting sqref="M334:R334">
    <cfRule type="cellIs" dxfId="1135" priority="94" operator="greaterThan">
      <formula>0</formula>
    </cfRule>
  </conditionalFormatting>
  <conditionalFormatting sqref="M339:R339">
    <cfRule type="cellIs" dxfId="1134" priority="91" operator="greaterThan">
      <formula>0</formula>
    </cfRule>
  </conditionalFormatting>
  <conditionalFormatting sqref="M339:R342">
    <cfRule type="cellIs" dxfId="1133" priority="90" operator="greaterThan">
      <formula>0</formula>
    </cfRule>
  </conditionalFormatting>
  <conditionalFormatting sqref="M340:R341">
    <cfRule type="cellIs" dxfId="1132" priority="93" operator="greaterThan">
      <formula>0</formula>
    </cfRule>
  </conditionalFormatting>
  <conditionalFormatting sqref="M347:R347">
    <cfRule type="cellIs" dxfId="1131" priority="88" operator="greaterThan">
      <formula>0</formula>
    </cfRule>
  </conditionalFormatting>
  <conditionalFormatting sqref="M344:R345">
    <cfRule type="cellIs" dxfId="1130" priority="87" operator="greaterThan">
      <formula>0</formula>
    </cfRule>
  </conditionalFormatting>
  <conditionalFormatting sqref="M346:R346">
    <cfRule type="cellIs" dxfId="1129" priority="86" operator="greaterThan">
      <formula>0</formula>
    </cfRule>
  </conditionalFormatting>
  <conditionalFormatting sqref="M361:R361">
    <cfRule type="cellIs" dxfId="1128" priority="82" operator="greaterThan">
      <formula>0</formula>
    </cfRule>
  </conditionalFormatting>
  <conditionalFormatting sqref="M347:R347">
    <cfRule type="cellIs" dxfId="1127" priority="89" operator="greaterThan">
      <formula>0</formula>
    </cfRule>
  </conditionalFormatting>
  <conditionalFormatting sqref="M358:R359">
    <cfRule type="cellIs" dxfId="1126" priority="81" operator="greaterThan">
      <formula>0</formula>
    </cfRule>
  </conditionalFormatting>
  <conditionalFormatting sqref="M342:R342">
    <cfRule type="cellIs" dxfId="1125" priority="92" operator="greaterThan">
      <formula>0</formula>
    </cfRule>
  </conditionalFormatting>
  <conditionalFormatting sqref="M343:R343">
    <cfRule type="cellIs" dxfId="1124" priority="85" operator="greaterThan">
      <formula>0</formula>
    </cfRule>
  </conditionalFormatting>
  <conditionalFormatting sqref="M360:R360">
    <cfRule type="cellIs" dxfId="1123" priority="80" operator="greaterThan">
      <formula>0</formula>
    </cfRule>
  </conditionalFormatting>
  <conditionalFormatting sqref="M343:R346">
    <cfRule type="cellIs" dxfId="1122" priority="84" operator="greaterThan">
      <formula>0</formula>
    </cfRule>
  </conditionalFormatting>
  <conditionalFormatting sqref="M361:R361">
    <cfRule type="cellIs" dxfId="1121" priority="83" operator="greaterThan">
      <formula>0</formula>
    </cfRule>
  </conditionalFormatting>
  <conditionalFormatting sqref="M367:R367">
    <cfRule type="cellIs" dxfId="1120" priority="76" operator="greaterThan">
      <formula>0</formula>
    </cfRule>
  </conditionalFormatting>
  <conditionalFormatting sqref="M363:R364">
    <cfRule type="cellIs" dxfId="1119" priority="75" operator="greaterThan">
      <formula>0</formula>
    </cfRule>
  </conditionalFormatting>
  <conditionalFormatting sqref="M357:R357">
    <cfRule type="cellIs" dxfId="1118" priority="79" operator="greaterThan">
      <formula>0</formula>
    </cfRule>
  </conditionalFormatting>
  <conditionalFormatting sqref="M357:R360">
    <cfRule type="cellIs" dxfId="1117" priority="78" operator="greaterThan">
      <formula>0</formula>
    </cfRule>
  </conditionalFormatting>
  <conditionalFormatting sqref="M362:R362">
    <cfRule type="cellIs" dxfId="1116" priority="73" operator="greaterThan">
      <formula>0</formula>
    </cfRule>
  </conditionalFormatting>
  <conditionalFormatting sqref="M365:R366">
    <cfRule type="cellIs" dxfId="1115" priority="74" operator="greaterThan">
      <formula>0</formula>
    </cfRule>
  </conditionalFormatting>
  <conditionalFormatting sqref="M362:R366">
    <cfRule type="cellIs" dxfId="1114" priority="72" operator="greaterThan">
      <formula>0</formula>
    </cfRule>
  </conditionalFormatting>
  <conditionalFormatting sqref="M367:R367">
    <cfRule type="cellIs" dxfId="1113" priority="77" operator="greaterThan">
      <formula>0</formula>
    </cfRule>
  </conditionalFormatting>
  <conditionalFormatting sqref="M373:R374">
    <cfRule type="cellIs" dxfId="1112" priority="71" operator="greaterThan">
      <formula>0</formula>
    </cfRule>
  </conditionalFormatting>
  <conditionalFormatting sqref="M382:R382">
    <cfRule type="cellIs" dxfId="1111" priority="66" operator="greaterThan">
      <formula>0</formula>
    </cfRule>
  </conditionalFormatting>
  <conditionalFormatting sqref="M375:R376 M377">
    <cfRule type="cellIs" dxfId="1110" priority="70" operator="greaterThan">
      <formula>0</formula>
    </cfRule>
  </conditionalFormatting>
  <conditionalFormatting sqref="M379:R380">
    <cfRule type="cellIs" dxfId="1109" priority="65" operator="greaterThan">
      <formula>0</formula>
    </cfRule>
  </conditionalFormatting>
  <conditionalFormatting sqref="M381:R381">
    <cfRule type="cellIs" dxfId="1108" priority="64" operator="greaterThan">
      <formula>0</formula>
    </cfRule>
  </conditionalFormatting>
  <conditionalFormatting sqref="M382:R382">
    <cfRule type="cellIs" dxfId="1107" priority="67" operator="greaterThan">
      <formula>0</formula>
    </cfRule>
  </conditionalFormatting>
  <conditionalFormatting sqref="M372:R372">
    <cfRule type="cellIs" dxfId="1106" priority="69" operator="greaterThan">
      <formula>0</formula>
    </cfRule>
  </conditionalFormatting>
  <conditionalFormatting sqref="M377">
    <cfRule type="cellIs" dxfId="1105" priority="68" operator="greaterThan">
      <formula>0</formula>
    </cfRule>
  </conditionalFormatting>
  <conditionalFormatting sqref="M378:R378">
    <cfRule type="cellIs" dxfId="1104" priority="63" operator="greaterThan">
      <formula>0</formula>
    </cfRule>
  </conditionalFormatting>
  <conditionalFormatting sqref="M378:R381">
    <cfRule type="cellIs" dxfId="1103" priority="62" operator="greaterThan">
      <formula>0</formula>
    </cfRule>
  </conditionalFormatting>
  <conditionalFormatting sqref="M53:R54">
    <cfRule type="cellIs" dxfId="1102" priority="61" operator="greaterThan">
      <formula>0</formula>
    </cfRule>
  </conditionalFormatting>
  <conditionalFormatting sqref="M54:R54">
    <cfRule type="cellIs" dxfId="1101" priority="60" operator="greaterThan">
      <formula>0</formula>
    </cfRule>
  </conditionalFormatting>
  <conditionalFormatting sqref="M53:R53">
    <cfRule type="cellIs" dxfId="1100" priority="59" operator="greaterThan">
      <formula>0</formula>
    </cfRule>
  </conditionalFormatting>
  <conditionalFormatting sqref="M101:R102">
    <cfRule type="cellIs" dxfId="1099" priority="58" operator="greaterThan">
      <formula>0</formula>
    </cfRule>
  </conditionalFormatting>
  <conditionalFormatting sqref="M101:R102">
    <cfRule type="cellIs" dxfId="1098" priority="57" operator="greaterThan">
      <formula>0</formula>
    </cfRule>
  </conditionalFormatting>
  <conditionalFormatting sqref="M124:R125">
    <cfRule type="cellIs" dxfId="1097" priority="56" operator="greaterThan">
      <formula>0</formula>
    </cfRule>
  </conditionalFormatting>
  <conditionalFormatting sqref="M124:R125">
    <cfRule type="cellIs" dxfId="1096" priority="55" operator="greaterThan">
      <formula>0</formula>
    </cfRule>
  </conditionalFormatting>
  <conditionalFormatting sqref="M134:R135">
    <cfRule type="cellIs" dxfId="1095" priority="54" operator="greaterThan">
      <formula>0</formula>
    </cfRule>
  </conditionalFormatting>
  <conditionalFormatting sqref="M134:R135">
    <cfRule type="cellIs" dxfId="1094" priority="53" operator="greaterThan">
      <formula>0</formula>
    </cfRule>
  </conditionalFormatting>
  <conditionalFormatting sqref="M194:R195">
    <cfRule type="cellIs" dxfId="1093" priority="52" operator="greaterThan">
      <formula>0</formula>
    </cfRule>
  </conditionalFormatting>
  <conditionalFormatting sqref="M194:R195">
    <cfRule type="cellIs" dxfId="1092" priority="51" operator="greaterThan">
      <formula>0</formula>
    </cfRule>
  </conditionalFormatting>
  <conditionalFormatting sqref="M227:R230">
    <cfRule type="cellIs" dxfId="1091" priority="50" operator="greaterThan">
      <formula>0</formula>
    </cfRule>
  </conditionalFormatting>
  <conditionalFormatting sqref="M227:R227">
    <cfRule type="cellIs" dxfId="1090" priority="48" operator="greaterThan">
      <formula>0</formula>
    </cfRule>
  </conditionalFormatting>
  <conditionalFormatting sqref="M230:R230">
    <cfRule type="cellIs" dxfId="1089" priority="49" operator="greaterThan">
      <formula>0</formula>
    </cfRule>
  </conditionalFormatting>
  <conditionalFormatting sqref="M271:R274">
    <cfRule type="cellIs" dxfId="1088" priority="47" operator="greaterThan">
      <formula>0</formula>
    </cfRule>
  </conditionalFormatting>
  <conditionalFormatting sqref="M274:R274">
    <cfRule type="cellIs" dxfId="1087" priority="46" operator="greaterThan">
      <formula>0</formula>
    </cfRule>
  </conditionalFormatting>
  <conditionalFormatting sqref="M271:R271">
    <cfRule type="cellIs" dxfId="1086" priority="45" operator="greaterThan">
      <formula>0</formula>
    </cfRule>
  </conditionalFormatting>
  <conditionalFormatting sqref="M282:R285">
    <cfRule type="cellIs" dxfId="1085" priority="44" operator="greaterThan">
      <formula>0</formula>
    </cfRule>
  </conditionalFormatting>
  <conditionalFormatting sqref="M285:R285">
    <cfRule type="cellIs" dxfId="1084" priority="43" operator="greaterThan">
      <formula>0</formula>
    </cfRule>
  </conditionalFormatting>
  <conditionalFormatting sqref="M282:R282">
    <cfRule type="cellIs" dxfId="1083" priority="42" operator="greaterThan">
      <formula>0</formula>
    </cfRule>
  </conditionalFormatting>
  <conditionalFormatting sqref="M286:R286">
    <cfRule type="cellIs" dxfId="1082" priority="41" operator="greaterThan">
      <formula>0</formula>
    </cfRule>
  </conditionalFormatting>
  <conditionalFormatting sqref="M286:R286">
    <cfRule type="cellIs" dxfId="1081" priority="40" operator="greaterThan">
      <formula>0</formula>
    </cfRule>
  </conditionalFormatting>
  <conditionalFormatting sqref="M336:R336">
    <cfRule type="cellIs" dxfId="1080" priority="39" operator="greaterThan">
      <formula>0</formula>
    </cfRule>
  </conditionalFormatting>
  <conditionalFormatting sqref="M337:R337">
    <cfRule type="cellIs" dxfId="1079" priority="38" operator="greaterThan">
      <formula>0</formula>
    </cfRule>
  </conditionalFormatting>
  <conditionalFormatting sqref="M337:R337">
    <cfRule type="cellIs" dxfId="1078" priority="37" operator="greaterThan">
      <formula>0</formula>
    </cfRule>
  </conditionalFormatting>
  <conditionalFormatting sqref="M336:R336">
    <cfRule type="cellIs" dxfId="1077" priority="36" operator="greaterThan">
      <formula>0</formula>
    </cfRule>
  </conditionalFormatting>
  <conditionalFormatting sqref="M338:R338">
    <cfRule type="cellIs" dxfId="1076" priority="35" operator="greaterThan">
      <formula>0</formula>
    </cfRule>
  </conditionalFormatting>
  <conditionalFormatting sqref="M338:R338">
    <cfRule type="cellIs" dxfId="1075" priority="34" operator="greaterThan">
      <formula>0</formula>
    </cfRule>
  </conditionalFormatting>
  <conditionalFormatting sqref="M352:R352">
    <cfRule type="cellIs" dxfId="1074" priority="32" operator="greaterThan">
      <formula>0</formula>
    </cfRule>
  </conditionalFormatting>
  <conditionalFormatting sqref="M349:R350">
    <cfRule type="cellIs" dxfId="1073" priority="31" operator="greaterThan">
      <formula>0</formula>
    </cfRule>
  </conditionalFormatting>
  <conditionalFormatting sqref="M352:R352">
    <cfRule type="cellIs" dxfId="1072" priority="33" operator="greaterThan">
      <formula>0</formula>
    </cfRule>
  </conditionalFormatting>
  <conditionalFormatting sqref="M348:R348">
    <cfRule type="cellIs" dxfId="1071" priority="29" operator="greaterThan">
      <formula>0</formula>
    </cfRule>
  </conditionalFormatting>
  <conditionalFormatting sqref="M351:R351">
    <cfRule type="cellIs" dxfId="1070" priority="30" operator="greaterThan">
      <formula>0</formula>
    </cfRule>
  </conditionalFormatting>
  <conditionalFormatting sqref="M348:R351">
    <cfRule type="cellIs" dxfId="1069" priority="28" operator="greaterThan">
      <formula>0</formula>
    </cfRule>
  </conditionalFormatting>
  <conditionalFormatting sqref="M354:R355">
    <cfRule type="cellIs" dxfId="1068" priority="27" operator="greaterThan">
      <formula>0</formula>
    </cfRule>
  </conditionalFormatting>
  <conditionalFormatting sqref="M353:R353">
    <cfRule type="cellIs" dxfId="1067" priority="25" operator="greaterThan">
      <formula>0</formula>
    </cfRule>
  </conditionalFormatting>
  <conditionalFormatting sqref="M356:R356">
    <cfRule type="cellIs" dxfId="1066" priority="26" operator="greaterThan">
      <formula>0</formula>
    </cfRule>
  </conditionalFormatting>
  <conditionalFormatting sqref="M353:R356">
    <cfRule type="cellIs" dxfId="1065" priority="24" operator="greaterThan">
      <formula>0</formula>
    </cfRule>
  </conditionalFormatting>
  <conditionalFormatting sqref="M369:R370">
    <cfRule type="cellIs" dxfId="1064" priority="23" operator="greaterThan">
      <formula>0</formula>
    </cfRule>
  </conditionalFormatting>
  <conditionalFormatting sqref="M368:R368">
    <cfRule type="cellIs" dxfId="1063" priority="21" operator="greaterThan">
      <formula>0</formula>
    </cfRule>
  </conditionalFormatting>
  <conditionalFormatting sqref="M371:R371">
    <cfRule type="cellIs" dxfId="1062" priority="22" operator="greaterThan">
      <formula>0</formula>
    </cfRule>
  </conditionalFormatting>
  <conditionalFormatting sqref="M368:R371">
    <cfRule type="cellIs" dxfId="1061" priority="20" operator="greaterThan">
      <formula>0</formula>
    </cfRule>
  </conditionalFormatting>
  <conditionalFormatting sqref="M23:R26">
    <cfRule type="cellIs" dxfId="1060" priority="19" operator="greaterThan">
      <formula>0</formula>
    </cfRule>
  </conditionalFormatting>
  <conditionalFormatting sqref="M23:R23">
    <cfRule type="cellIs" dxfId="1059" priority="18" operator="greaterThan">
      <formula>0</formula>
    </cfRule>
  </conditionalFormatting>
  <conditionalFormatting sqref="M26:R26">
    <cfRule type="cellIs" dxfId="1058" priority="16" operator="greaterThan">
      <formula>0</formula>
    </cfRule>
  </conditionalFormatting>
  <conditionalFormatting sqref="M24:R25">
    <cfRule type="cellIs" dxfId="1057" priority="17" operator="greaterThan">
      <formula>0</formula>
    </cfRule>
  </conditionalFormatting>
  <conditionalFormatting sqref="M27:R30">
    <cfRule type="cellIs" dxfId="1056" priority="15" operator="greaterThan">
      <formula>0</formula>
    </cfRule>
  </conditionalFormatting>
  <conditionalFormatting sqref="M27:R27">
    <cfRule type="cellIs" dxfId="1055" priority="14" operator="greaterThan">
      <formula>0</formula>
    </cfRule>
  </conditionalFormatting>
  <conditionalFormatting sqref="M30:R30">
    <cfRule type="cellIs" dxfId="1054" priority="12" operator="greaterThan">
      <formula>0</formula>
    </cfRule>
  </conditionalFormatting>
  <conditionalFormatting sqref="M28:R29">
    <cfRule type="cellIs" dxfId="1053" priority="13" operator="greaterThan">
      <formula>0</formula>
    </cfRule>
  </conditionalFormatting>
  <conditionalFormatting sqref="M31:R34">
    <cfRule type="cellIs" dxfId="1052" priority="11" operator="greaterThan">
      <formula>0</formula>
    </cfRule>
  </conditionalFormatting>
  <conditionalFormatting sqref="M31:R31">
    <cfRule type="cellIs" dxfId="1051" priority="10" operator="greaterThan">
      <formula>0</formula>
    </cfRule>
  </conditionalFormatting>
  <conditionalFormatting sqref="M34:R34">
    <cfRule type="cellIs" dxfId="1050" priority="8" operator="greaterThan">
      <formula>0</formula>
    </cfRule>
  </conditionalFormatting>
  <conditionalFormatting sqref="M32:R33">
    <cfRule type="cellIs" dxfId="1049" priority="9" operator="greaterThan">
      <formula>0</formula>
    </cfRule>
  </conditionalFormatting>
  <conditionalFormatting sqref="M35:R38">
    <cfRule type="cellIs" dxfId="1048" priority="7" operator="greaterThan">
      <formula>0</formula>
    </cfRule>
  </conditionalFormatting>
  <conditionalFormatting sqref="M35:R35">
    <cfRule type="cellIs" dxfId="1047" priority="6" operator="greaterThan">
      <formula>0</formula>
    </cfRule>
  </conditionalFormatting>
  <conditionalFormatting sqref="M38:R38">
    <cfRule type="cellIs" dxfId="1046" priority="4" operator="greaterThan">
      <formula>0</formula>
    </cfRule>
  </conditionalFormatting>
  <conditionalFormatting sqref="M36:R37">
    <cfRule type="cellIs" dxfId="1045" priority="5" operator="greaterThan">
      <formula>0</formula>
    </cfRule>
  </conditionalFormatting>
  <conditionalFormatting sqref="M249:R250">
    <cfRule type="cellIs" dxfId="1044" priority="3" operator="greaterThan">
      <formula>0</formula>
    </cfRule>
  </conditionalFormatting>
  <conditionalFormatting sqref="M249:R249">
    <cfRule type="cellIs" dxfId="1043" priority="1" operator="greaterThan">
      <formula>0</formula>
    </cfRule>
  </conditionalFormatting>
  <conditionalFormatting sqref="M250:R250">
    <cfRule type="cellIs" dxfId="1042" priority="2" operator="greaterThan">
      <formula>0</formula>
    </cfRule>
  </conditionalFormatting>
  <pageMargins left="0.7" right="0.7" top="0.75" bottom="0.75" header="0.3" footer="0.3"/>
  <pageSetup scale="63" fitToHeight="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071"/>
  <sheetViews>
    <sheetView zoomScale="85" zoomScaleNormal="85" workbookViewId="0">
      <pane ySplit="3" topLeftCell="A405" activePane="bottomLeft" state="frozen"/>
      <selection pane="bottomLeft" activeCell="I405" sqref="I405:K405"/>
    </sheetView>
  </sheetViews>
  <sheetFormatPr defaultColWidth="9.140625" defaultRowHeight="15"/>
  <cols>
    <col min="1" max="1" width="9.140625" style="221"/>
    <col min="2" max="2" width="36.28515625" style="221" customWidth="1"/>
    <col min="3" max="3" width="6.85546875" style="528" customWidth="1"/>
    <col min="4" max="4" width="6.85546875" style="529" customWidth="1"/>
    <col min="5" max="5" width="7.7109375" style="528" customWidth="1"/>
    <col min="6" max="6" width="9.140625" style="528"/>
    <col min="7" max="7" width="8.7109375" style="528" customWidth="1"/>
    <col min="8" max="12" width="8.7109375" style="221" customWidth="1"/>
    <col min="13" max="13" width="9.5703125" style="221" bestFit="1" customWidth="1"/>
    <col min="14" max="16384" width="9.140625" style="221"/>
  </cols>
  <sheetData>
    <row r="1" spans="1:19" ht="21">
      <c r="A1" s="493" t="s">
        <v>756</v>
      </c>
      <c r="B1" s="494"/>
      <c r="C1" s="494"/>
      <c r="D1" s="494"/>
      <c r="E1" s="494"/>
      <c r="F1" s="494"/>
      <c r="G1" s="494"/>
      <c r="H1" s="494"/>
      <c r="I1" s="494"/>
      <c r="J1" s="494"/>
      <c r="K1" s="494"/>
      <c r="L1" s="494"/>
      <c r="M1" s="494"/>
      <c r="N1" s="494"/>
      <c r="O1" s="494"/>
      <c r="P1" s="494"/>
      <c r="Q1" s="494"/>
      <c r="R1" s="494"/>
    </row>
    <row r="2" spans="1:19">
      <c r="A2" s="823" t="s">
        <v>757</v>
      </c>
      <c r="B2" s="823" t="s">
        <v>785</v>
      </c>
      <c r="C2" s="821" t="s">
        <v>759</v>
      </c>
      <c r="D2" s="821" t="s">
        <v>760</v>
      </c>
      <c r="E2" s="821" t="s">
        <v>761</v>
      </c>
      <c r="F2" s="821" t="s">
        <v>761</v>
      </c>
      <c r="G2" s="821" t="s">
        <v>762</v>
      </c>
      <c r="H2" s="825" t="s">
        <v>763</v>
      </c>
      <c r="I2" s="825"/>
      <c r="J2" s="825"/>
      <c r="K2" s="823" t="s">
        <v>764</v>
      </c>
      <c r="L2" s="823" t="s">
        <v>765</v>
      </c>
      <c r="M2" s="826" t="s">
        <v>766</v>
      </c>
      <c r="N2" s="826"/>
      <c r="O2" s="826"/>
      <c r="P2" s="826"/>
      <c r="Q2" s="826"/>
      <c r="R2" s="826"/>
    </row>
    <row r="3" spans="1:19">
      <c r="A3" s="824"/>
      <c r="B3" s="824"/>
      <c r="C3" s="822"/>
      <c r="D3" s="822"/>
      <c r="E3" s="822"/>
      <c r="F3" s="822"/>
      <c r="G3" s="822"/>
      <c r="H3" s="495" t="s">
        <v>767</v>
      </c>
      <c r="I3" s="495" t="s">
        <v>768</v>
      </c>
      <c r="J3" s="495" t="s">
        <v>769</v>
      </c>
      <c r="K3" s="824"/>
      <c r="L3" s="824"/>
      <c r="M3" s="496" t="s">
        <v>231</v>
      </c>
      <c r="N3" s="496" t="s">
        <v>232</v>
      </c>
      <c r="O3" s="496" t="s">
        <v>233</v>
      </c>
      <c r="P3" s="496" t="s">
        <v>234</v>
      </c>
      <c r="Q3" s="496" t="s">
        <v>770</v>
      </c>
      <c r="R3" s="497" t="s">
        <v>236</v>
      </c>
    </row>
    <row r="4" spans="1:19">
      <c r="A4" s="498"/>
      <c r="B4" s="499"/>
      <c r="C4" s="500"/>
      <c r="D4" s="501"/>
      <c r="E4" s="500"/>
      <c r="F4" s="502"/>
      <c r="G4" s="502"/>
      <c r="H4" s="503"/>
      <c r="I4" s="503"/>
      <c r="J4" s="503"/>
      <c r="K4" s="503"/>
      <c r="L4" s="503"/>
      <c r="M4" s="503"/>
      <c r="N4" s="503"/>
      <c r="O4" s="503"/>
      <c r="P4" s="503"/>
      <c r="Q4" s="503"/>
      <c r="R4" s="504"/>
    </row>
    <row r="5" spans="1:19">
      <c r="A5" s="505"/>
      <c r="B5" s="511"/>
      <c r="C5" s="507"/>
      <c r="D5" s="508"/>
      <c r="E5" s="507"/>
      <c r="F5" s="502"/>
      <c r="G5" s="502"/>
      <c r="H5" s="503"/>
      <c r="I5" s="503"/>
      <c r="J5" s="509"/>
      <c r="K5" s="509"/>
      <c r="L5" s="503"/>
      <c r="M5" s="503"/>
      <c r="N5" s="503"/>
      <c r="O5" s="503"/>
      <c r="P5" s="503"/>
      <c r="Q5" s="503"/>
      <c r="R5" s="503"/>
    </row>
    <row r="6" spans="1:19">
      <c r="A6" s="505"/>
      <c r="B6" s="506" t="s">
        <v>829</v>
      </c>
      <c r="C6" s="507"/>
      <c r="D6" s="508"/>
      <c r="E6" s="507"/>
      <c r="F6" s="502"/>
      <c r="G6" s="502"/>
      <c r="H6" s="503"/>
      <c r="I6" s="503"/>
      <c r="J6" s="509"/>
      <c r="K6" s="481"/>
      <c r="L6" s="503"/>
      <c r="M6" s="503"/>
      <c r="N6" s="503"/>
      <c r="O6" s="503"/>
      <c r="P6" s="503"/>
      <c r="Q6" s="503"/>
      <c r="R6" s="503"/>
    </row>
    <row r="7" spans="1:19">
      <c r="A7" s="530">
        <f>+E7</f>
        <v>28</v>
      </c>
      <c r="B7" s="506" t="s">
        <v>786</v>
      </c>
      <c r="C7" s="507">
        <v>16</v>
      </c>
      <c r="D7" s="508"/>
      <c r="E7" s="507">
        <v>28</v>
      </c>
      <c r="F7" s="502">
        <v>1</v>
      </c>
      <c r="G7" s="502">
        <v>8</v>
      </c>
      <c r="H7" s="503"/>
      <c r="I7" s="503">
        <v>2.95</v>
      </c>
      <c r="J7" s="509"/>
      <c r="K7" s="509">
        <f>1*36*C7/1000</f>
        <v>0.57599999999999996</v>
      </c>
      <c r="L7" s="503">
        <f>SUM(H7:J7)+K7</f>
        <v>3.5260000000000002</v>
      </c>
      <c r="M7" s="503">
        <f t="shared" ref="M7:M213" si="0">+ROUND(IF(C7=8,PRODUCT(E7,F7,G7,L7),0),2)</f>
        <v>0</v>
      </c>
      <c r="N7" s="503">
        <f t="shared" ref="N7:N213" si="1">+ROUND(IF(C7=10,PRODUCT(E7,F7,G7,L7),0),2)</f>
        <v>0</v>
      </c>
      <c r="O7" s="503">
        <f t="shared" ref="O7:O213" si="2">+ROUND(IF(C7=12,PRODUCT(E7,F7,G7,L7),0),2)</f>
        <v>0</v>
      </c>
      <c r="P7" s="503">
        <f>+ROUND(IF(C7=16,PRODUCT(E7,F7,G7,L7),0),2)</f>
        <v>789.82</v>
      </c>
      <c r="Q7" s="503">
        <f t="shared" ref="Q7:Q213" si="3">+ROUND(IF(C7=20,PRODUCT(E7,F7,G7,L7),0),2)</f>
        <v>0</v>
      </c>
      <c r="R7" s="503">
        <f t="shared" ref="R7:R213" si="4">+ROUND(IF(C7=25,PRODUCT(E7,F7,G7,L7),0),2)</f>
        <v>0</v>
      </c>
      <c r="S7" s="221">
        <f>+G7*E7</f>
        <v>224</v>
      </c>
    </row>
    <row r="8" spans="1:19">
      <c r="A8" s="505"/>
      <c r="B8" s="511"/>
      <c r="C8" s="507">
        <v>12</v>
      </c>
      <c r="D8" s="508"/>
      <c r="E8" s="507">
        <f>+E7</f>
        <v>28</v>
      </c>
      <c r="F8" s="502">
        <v>1</v>
      </c>
      <c r="G8" s="502">
        <v>6</v>
      </c>
      <c r="H8" s="503"/>
      <c r="I8" s="503">
        <v>2.95</v>
      </c>
      <c r="J8" s="509"/>
      <c r="K8" s="509">
        <f>1*36*C8/1000</f>
        <v>0.432</v>
      </c>
      <c r="L8" s="503">
        <f t="shared" ref="L8:L33" si="5">SUM(H8:J8)+K8</f>
        <v>3.3820000000000001</v>
      </c>
      <c r="M8" s="503">
        <f t="shared" si="0"/>
        <v>0</v>
      </c>
      <c r="N8" s="503">
        <f t="shared" si="1"/>
        <v>0</v>
      </c>
      <c r="O8" s="503">
        <f t="shared" si="2"/>
        <v>568.17999999999995</v>
      </c>
      <c r="P8" s="503">
        <f t="shared" ref="P8:P213" si="6">+ROUND(IF(C8=16,PRODUCT(E8,F8,G8,L8),0),2)</f>
        <v>0</v>
      </c>
      <c r="Q8" s="503">
        <f t="shared" si="3"/>
        <v>0</v>
      </c>
      <c r="R8" s="503">
        <f t="shared" si="4"/>
        <v>0</v>
      </c>
      <c r="S8" s="221">
        <f>+G8*E8</f>
        <v>168</v>
      </c>
    </row>
    <row r="9" spans="1:19">
      <c r="A9" s="505"/>
      <c r="B9" s="511" t="s">
        <v>787</v>
      </c>
      <c r="C9" s="507">
        <v>10</v>
      </c>
      <c r="D9" s="508">
        <v>75</v>
      </c>
      <c r="E9" s="507">
        <f>+E8</f>
        <v>28</v>
      </c>
      <c r="F9" s="502">
        <v>2</v>
      </c>
      <c r="G9" s="502">
        <f>+ROUND(600/D9,0)+4</f>
        <v>12</v>
      </c>
      <c r="H9" s="503"/>
      <c r="I9" s="503">
        <f>2*(0.22+0.52)+16*0.01</f>
        <v>1.64</v>
      </c>
      <c r="J9" s="509"/>
      <c r="K9" s="509"/>
      <c r="L9" s="503">
        <f t="shared" si="5"/>
        <v>1.64</v>
      </c>
      <c r="M9" s="503">
        <f t="shared" si="0"/>
        <v>0</v>
      </c>
      <c r="N9" s="503">
        <f t="shared" si="1"/>
        <v>1102.08</v>
      </c>
      <c r="O9" s="503">
        <f t="shared" si="2"/>
        <v>0</v>
      </c>
      <c r="P9" s="503">
        <f t="shared" si="6"/>
        <v>0</v>
      </c>
      <c r="Q9" s="503">
        <f t="shared" si="3"/>
        <v>0</v>
      </c>
      <c r="R9" s="503">
        <f t="shared" si="4"/>
        <v>0</v>
      </c>
    </row>
    <row r="10" spans="1:19">
      <c r="A10" s="505"/>
      <c r="B10" s="511"/>
      <c r="C10" s="507">
        <v>10</v>
      </c>
      <c r="D10" s="508">
        <v>75</v>
      </c>
      <c r="E10" s="507">
        <f t="shared" ref="E10:E14" si="7">+E9</f>
        <v>28</v>
      </c>
      <c r="F10" s="502">
        <v>2</v>
      </c>
      <c r="G10" s="502">
        <f t="shared" ref="G10" si="8">+ROUND(600/D10,0)</f>
        <v>8</v>
      </c>
      <c r="H10" s="503"/>
      <c r="I10" s="524">
        <f>2*(0.22+0.135)+16*0.01</f>
        <v>0.87</v>
      </c>
      <c r="J10" s="509"/>
      <c r="K10" s="509"/>
      <c r="L10" s="503">
        <f t="shared" si="5"/>
        <v>0.87</v>
      </c>
      <c r="M10" s="503">
        <f t="shared" si="0"/>
        <v>0</v>
      </c>
      <c r="N10" s="503">
        <f t="shared" si="1"/>
        <v>389.76</v>
      </c>
      <c r="O10" s="503">
        <f t="shared" si="2"/>
        <v>0</v>
      </c>
      <c r="P10" s="503">
        <f t="shared" si="6"/>
        <v>0</v>
      </c>
      <c r="Q10" s="503">
        <f t="shared" si="3"/>
        <v>0</v>
      </c>
      <c r="R10" s="503">
        <f t="shared" si="4"/>
        <v>0</v>
      </c>
    </row>
    <row r="11" spans="1:19">
      <c r="A11" s="505"/>
      <c r="B11" s="511"/>
      <c r="C11" s="507">
        <v>10</v>
      </c>
      <c r="D11" s="508">
        <v>75</v>
      </c>
      <c r="E11" s="507">
        <f t="shared" si="7"/>
        <v>28</v>
      </c>
      <c r="F11" s="502">
        <f>2*2</f>
        <v>4</v>
      </c>
      <c r="G11" s="502">
        <f>+ROUND(600/D11,0)</f>
        <v>8</v>
      </c>
      <c r="H11" s="503"/>
      <c r="I11" s="503">
        <f>+(0.168+0.168+0.22)+16*0.01</f>
        <v>0.71600000000000008</v>
      </c>
      <c r="J11" s="509"/>
      <c r="K11" s="509"/>
      <c r="L11" s="503">
        <f t="shared" si="5"/>
        <v>0.71600000000000008</v>
      </c>
      <c r="M11" s="503">
        <f t="shared" si="0"/>
        <v>0</v>
      </c>
      <c r="N11" s="503">
        <f t="shared" si="1"/>
        <v>641.54</v>
      </c>
      <c r="O11" s="503">
        <f t="shared" si="2"/>
        <v>0</v>
      </c>
      <c r="P11" s="503">
        <f t="shared" si="6"/>
        <v>0</v>
      </c>
      <c r="Q11" s="503">
        <f t="shared" si="3"/>
        <v>0</v>
      </c>
      <c r="R11" s="503">
        <f t="shared" si="4"/>
        <v>0</v>
      </c>
    </row>
    <row r="12" spans="1:19">
      <c r="A12" s="505"/>
      <c r="B12" s="511" t="s">
        <v>788</v>
      </c>
      <c r="C12" s="507">
        <v>8</v>
      </c>
      <c r="D12" s="508">
        <v>150</v>
      </c>
      <c r="E12" s="507">
        <f t="shared" si="7"/>
        <v>28</v>
      </c>
      <c r="F12" s="502">
        <v>1</v>
      </c>
      <c r="G12" s="502">
        <f>+ROUND(1400/D12+1,0)</f>
        <v>10</v>
      </c>
      <c r="H12" s="503"/>
      <c r="I12" s="503">
        <f>2*(0.22+0.52)+16*0.008</f>
        <v>1.6080000000000001</v>
      </c>
      <c r="J12" s="509"/>
      <c r="K12" s="509"/>
      <c r="L12" s="503">
        <f t="shared" si="5"/>
        <v>1.6080000000000001</v>
      </c>
      <c r="M12" s="503">
        <f t="shared" si="0"/>
        <v>450.24</v>
      </c>
      <c r="N12" s="503">
        <f t="shared" si="1"/>
        <v>0</v>
      </c>
      <c r="O12" s="503">
        <f t="shared" si="2"/>
        <v>0</v>
      </c>
      <c r="P12" s="503">
        <f t="shared" si="6"/>
        <v>0</v>
      </c>
      <c r="Q12" s="503">
        <f t="shared" si="3"/>
        <v>0</v>
      </c>
      <c r="R12" s="503">
        <f t="shared" si="4"/>
        <v>0</v>
      </c>
    </row>
    <row r="13" spans="1:19">
      <c r="A13" s="505"/>
      <c r="B13" s="511"/>
      <c r="C13" s="507">
        <v>8</v>
      </c>
      <c r="D13" s="508">
        <v>150</v>
      </c>
      <c r="E13" s="507">
        <f t="shared" si="7"/>
        <v>28</v>
      </c>
      <c r="F13" s="502">
        <v>1</v>
      </c>
      <c r="G13" s="502">
        <f t="shared" ref="G13:G14" si="9">+ROUND(1400/D13+1,0)</f>
        <v>10</v>
      </c>
      <c r="H13" s="503"/>
      <c r="I13" s="503">
        <f>2*(0.22+0.13)+16*0.008</f>
        <v>0.82799999999999996</v>
      </c>
      <c r="J13" s="509"/>
      <c r="K13" s="509"/>
      <c r="L13" s="503">
        <f t="shared" si="5"/>
        <v>0.82799999999999996</v>
      </c>
      <c r="M13" s="503">
        <f t="shared" si="0"/>
        <v>231.84</v>
      </c>
      <c r="N13" s="503">
        <f t="shared" si="1"/>
        <v>0</v>
      </c>
      <c r="O13" s="503">
        <f t="shared" si="2"/>
        <v>0</v>
      </c>
      <c r="P13" s="503">
        <f t="shared" si="6"/>
        <v>0</v>
      </c>
      <c r="Q13" s="503">
        <f t="shared" si="3"/>
        <v>0</v>
      </c>
      <c r="R13" s="503">
        <f t="shared" si="4"/>
        <v>0</v>
      </c>
    </row>
    <row r="14" spans="1:19">
      <c r="A14" s="505"/>
      <c r="B14" s="511"/>
      <c r="C14" s="507">
        <v>8</v>
      </c>
      <c r="D14" s="508">
        <v>150</v>
      </c>
      <c r="E14" s="507">
        <f t="shared" si="7"/>
        <v>28</v>
      </c>
      <c r="F14" s="502">
        <v>2</v>
      </c>
      <c r="G14" s="502">
        <f t="shared" si="9"/>
        <v>10</v>
      </c>
      <c r="H14" s="503"/>
      <c r="I14" s="503">
        <f>+(0.168+0.168+0.22)+16*0.008</f>
        <v>0.68400000000000005</v>
      </c>
      <c r="J14" s="509"/>
      <c r="K14" s="509"/>
      <c r="L14" s="503">
        <f t="shared" si="5"/>
        <v>0.68400000000000005</v>
      </c>
      <c r="M14" s="503">
        <f t="shared" si="0"/>
        <v>383.04</v>
      </c>
      <c r="N14" s="503">
        <f t="shared" si="1"/>
        <v>0</v>
      </c>
      <c r="O14" s="503">
        <f t="shared" si="2"/>
        <v>0</v>
      </c>
      <c r="P14" s="503">
        <f t="shared" si="6"/>
        <v>0</v>
      </c>
      <c r="Q14" s="503">
        <f t="shared" si="3"/>
        <v>0</v>
      </c>
      <c r="R14" s="503">
        <f t="shared" si="4"/>
        <v>0</v>
      </c>
    </row>
    <row r="15" spans="1:19">
      <c r="A15" s="530">
        <f>+E15</f>
        <v>12</v>
      </c>
      <c r="B15" s="506" t="s">
        <v>789</v>
      </c>
      <c r="C15" s="507">
        <v>20</v>
      </c>
      <c r="D15" s="508"/>
      <c r="E15" s="507">
        <v>12</v>
      </c>
      <c r="F15" s="502">
        <v>1</v>
      </c>
      <c r="G15" s="502">
        <v>6</v>
      </c>
      <c r="H15" s="503"/>
      <c r="I15" s="503">
        <v>2.95</v>
      </c>
      <c r="J15" s="509"/>
      <c r="K15" s="509">
        <f>1*36*C15/1000</f>
        <v>0.72</v>
      </c>
      <c r="L15" s="503">
        <f t="shared" si="5"/>
        <v>3.67</v>
      </c>
      <c r="M15" s="503">
        <f t="shared" si="0"/>
        <v>0</v>
      </c>
      <c r="N15" s="503">
        <f t="shared" si="1"/>
        <v>0</v>
      </c>
      <c r="O15" s="503">
        <f t="shared" si="2"/>
        <v>0</v>
      </c>
      <c r="P15" s="503">
        <f t="shared" si="6"/>
        <v>0</v>
      </c>
      <c r="Q15" s="503">
        <f t="shared" si="3"/>
        <v>264.24</v>
      </c>
      <c r="R15" s="503">
        <f t="shared" si="4"/>
        <v>0</v>
      </c>
      <c r="S15" s="221">
        <f>+G15*E15</f>
        <v>72</v>
      </c>
    </row>
    <row r="16" spans="1:19">
      <c r="A16" s="505"/>
      <c r="B16" s="511"/>
      <c r="C16" s="507">
        <v>16</v>
      </c>
      <c r="D16" s="508"/>
      <c r="E16" s="507">
        <f>+E15</f>
        <v>12</v>
      </c>
      <c r="F16" s="502">
        <v>1</v>
      </c>
      <c r="G16" s="502">
        <v>8</v>
      </c>
      <c r="H16" s="503"/>
      <c r="I16" s="503">
        <v>2.95</v>
      </c>
      <c r="J16" s="509"/>
      <c r="K16" s="509">
        <f>1*36*C16/1000</f>
        <v>0.57599999999999996</v>
      </c>
      <c r="L16" s="503">
        <f t="shared" si="5"/>
        <v>3.5260000000000002</v>
      </c>
      <c r="M16" s="503">
        <f t="shared" si="0"/>
        <v>0</v>
      </c>
      <c r="N16" s="503">
        <f t="shared" si="1"/>
        <v>0</v>
      </c>
      <c r="O16" s="503">
        <f t="shared" si="2"/>
        <v>0</v>
      </c>
      <c r="P16" s="503">
        <f t="shared" si="6"/>
        <v>338.5</v>
      </c>
      <c r="Q16" s="503">
        <f t="shared" si="3"/>
        <v>0</v>
      </c>
      <c r="R16" s="503">
        <f t="shared" si="4"/>
        <v>0</v>
      </c>
      <c r="S16" s="221">
        <f>+G16*E16</f>
        <v>96</v>
      </c>
    </row>
    <row r="17" spans="1:19">
      <c r="A17" s="505"/>
      <c r="B17" s="511" t="s">
        <v>787</v>
      </c>
      <c r="C17" s="507">
        <v>10</v>
      </c>
      <c r="D17" s="508">
        <v>75</v>
      </c>
      <c r="E17" s="507">
        <f>+E16</f>
        <v>12</v>
      </c>
      <c r="F17" s="502">
        <v>2</v>
      </c>
      <c r="G17" s="502">
        <f>+ROUND(600/D17,0)+4</f>
        <v>12</v>
      </c>
      <c r="H17" s="503"/>
      <c r="I17" s="503">
        <f>2*(0.22+0.52)+16*0.01</f>
        <v>1.64</v>
      </c>
      <c r="J17" s="509"/>
      <c r="K17" s="509"/>
      <c r="L17" s="503">
        <f t="shared" si="5"/>
        <v>1.64</v>
      </c>
      <c r="M17" s="503">
        <f t="shared" si="0"/>
        <v>0</v>
      </c>
      <c r="N17" s="503">
        <f t="shared" si="1"/>
        <v>472.32</v>
      </c>
      <c r="O17" s="503">
        <f t="shared" si="2"/>
        <v>0</v>
      </c>
      <c r="P17" s="503">
        <f t="shared" si="6"/>
        <v>0</v>
      </c>
      <c r="Q17" s="503">
        <f t="shared" si="3"/>
        <v>0</v>
      </c>
      <c r="R17" s="503">
        <f t="shared" si="4"/>
        <v>0</v>
      </c>
    </row>
    <row r="18" spans="1:19">
      <c r="A18" s="505"/>
      <c r="B18" s="511"/>
      <c r="C18" s="507">
        <v>10</v>
      </c>
      <c r="D18" s="508">
        <v>75</v>
      </c>
      <c r="E18" s="507">
        <f t="shared" ref="E18:E22" si="10">+E17</f>
        <v>12</v>
      </c>
      <c r="F18" s="502">
        <v>2</v>
      </c>
      <c r="G18" s="502">
        <f t="shared" ref="G18:G19" si="11">+ROUND(600/D18,0)</f>
        <v>8</v>
      </c>
      <c r="H18" s="503"/>
      <c r="I18" s="503">
        <f>2*(0.22+0.135)+16*0.01</f>
        <v>0.87</v>
      </c>
      <c r="J18" s="509"/>
      <c r="K18" s="509"/>
      <c r="L18" s="503">
        <f t="shared" si="5"/>
        <v>0.87</v>
      </c>
      <c r="M18" s="503">
        <f t="shared" si="0"/>
        <v>0</v>
      </c>
      <c r="N18" s="503">
        <f t="shared" si="1"/>
        <v>167.04</v>
      </c>
      <c r="O18" s="503">
        <f t="shared" si="2"/>
        <v>0</v>
      </c>
      <c r="P18" s="503">
        <f t="shared" si="6"/>
        <v>0</v>
      </c>
      <c r="Q18" s="503">
        <f t="shared" si="3"/>
        <v>0</v>
      </c>
      <c r="R18" s="503">
        <f t="shared" si="4"/>
        <v>0</v>
      </c>
    </row>
    <row r="19" spans="1:19">
      <c r="A19" s="505"/>
      <c r="B19" s="511"/>
      <c r="C19" s="507">
        <v>10</v>
      </c>
      <c r="D19" s="508">
        <v>75</v>
      </c>
      <c r="E19" s="507">
        <f t="shared" si="10"/>
        <v>12</v>
      </c>
      <c r="F19" s="502">
        <f>2*2</f>
        <v>4</v>
      </c>
      <c r="G19" s="502">
        <f t="shared" si="11"/>
        <v>8</v>
      </c>
      <c r="H19" s="503"/>
      <c r="I19" s="503">
        <f>+(0.168+0.168+0.22)+16*0.01</f>
        <v>0.71600000000000008</v>
      </c>
      <c r="J19" s="509"/>
      <c r="K19" s="509"/>
      <c r="L19" s="503">
        <f t="shared" si="5"/>
        <v>0.71600000000000008</v>
      </c>
      <c r="M19" s="503">
        <f t="shared" si="0"/>
        <v>0</v>
      </c>
      <c r="N19" s="503">
        <f t="shared" si="1"/>
        <v>274.94</v>
      </c>
      <c r="O19" s="503">
        <f t="shared" si="2"/>
        <v>0</v>
      </c>
      <c r="P19" s="503">
        <f t="shared" si="6"/>
        <v>0</v>
      </c>
      <c r="Q19" s="503">
        <f t="shared" si="3"/>
        <v>0</v>
      </c>
      <c r="R19" s="503">
        <f t="shared" si="4"/>
        <v>0</v>
      </c>
    </row>
    <row r="20" spans="1:19">
      <c r="A20" s="505"/>
      <c r="B20" s="511" t="s">
        <v>788</v>
      </c>
      <c r="C20" s="507">
        <v>8</v>
      </c>
      <c r="D20" s="508">
        <v>150</v>
      </c>
      <c r="E20" s="507">
        <f t="shared" si="10"/>
        <v>12</v>
      </c>
      <c r="F20" s="502">
        <v>1</v>
      </c>
      <c r="G20" s="502">
        <f t="shared" ref="G20:G22" si="12">+ROUND(1400/D20+1,0)</f>
        <v>10</v>
      </c>
      <c r="H20" s="503"/>
      <c r="I20" s="503">
        <f>2*(0.22+0.52)+16*0.008</f>
        <v>1.6080000000000001</v>
      </c>
      <c r="J20" s="509"/>
      <c r="K20" s="509"/>
      <c r="L20" s="503">
        <f t="shared" si="5"/>
        <v>1.6080000000000001</v>
      </c>
      <c r="M20" s="503">
        <f t="shared" si="0"/>
        <v>192.96</v>
      </c>
      <c r="N20" s="503">
        <f t="shared" si="1"/>
        <v>0</v>
      </c>
      <c r="O20" s="503">
        <f t="shared" si="2"/>
        <v>0</v>
      </c>
      <c r="P20" s="503">
        <f t="shared" si="6"/>
        <v>0</v>
      </c>
      <c r="Q20" s="503">
        <f t="shared" si="3"/>
        <v>0</v>
      </c>
      <c r="R20" s="503">
        <f t="shared" si="4"/>
        <v>0</v>
      </c>
    </row>
    <row r="21" spans="1:19">
      <c r="A21" s="505"/>
      <c r="B21" s="511"/>
      <c r="C21" s="507">
        <v>8</v>
      </c>
      <c r="D21" s="508">
        <v>150</v>
      </c>
      <c r="E21" s="507">
        <f t="shared" si="10"/>
        <v>12</v>
      </c>
      <c r="F21" s="502">
        <v>1</v>
      </c>
      <c r="G21" s="502">
        <f t="shared" si="12"/>
        <v>10</v>
      </c>
      <c r="H21" s="503"/>
      <c r="I21" s="503">
        <f>2*(0.22+0.13)+16*0.008</f>
        <v>0.82799999999999996</v>
      </c>
      <c r="J21" s="509"/>
      <c r="K21" s="509"/>
      <c r="L21" s="503">
        <f t="shared" si="5"/>
        <v>0.82799999999999996</v>
      </c>
      <c r="M21" s="503">
        <f t="shared" si="0"/>
        <v>99.36</v>
      </c>
      <c r="N21" s="503">
        <f t="shared" si="1"/>
        <v>0</v>
      </c>
      <c r="O21" s="503">
        <f t="shared" si="2"/>
        <v>0</v>
      </c>
      <c r="P21" s="503">
        <f t="shared" si="6"/>
        <v>0</v>
      </c>
      <c r="Q21" s="503">
        <f t="shared" si="3"/>
        <v>0</v>
      </c>
      <c r="R21" s="503">
        <f t="shared" si="4"/>
        <v>0</v>
      </c>
    </row>
    <row r="22" spans="1:19">
      <c r="A22" s="505"/>
      <c r="B22" s="511"/>
      <c r="C22" s="507">
        <v>8</v>
      </c>
      <c r="D22" s="508">
        <v>150</v>
      </c>
      <c r="E22" s="507">
        <f t="shared" si="10"/>
        <v>12</v>
      </c>
      <c r="F22" s="502">
        <v>2</v>
      </c>
      <c r="G22" s="502">
        <f t="shared" si="12"/>
        <v>10</v>
      </c>
      <c r="H22" s="503"/>
      <c r="I22" s="503">
        <f>+(0.168+0.168+0.22)+16*0.008</f>
        <v>0.68400000000000005</v>
      </c>
      <c r="J22" s="509"/>
      <c r="K22" s="509"/>
      <c r="L22" s="503">
        <f t="shared" si="5"/>
        <v>0.68400000000000005</v>
      </c>
      <c r="M22" s="503">
        <f t="shared" si="0"/>
        <v>164.16</v>
      </c>
      <c r="N22" s="503">
        <f t="shared" si="1"/>
        <v>0</v>
      </c>
      <c r="O22" s="503">
        <f t="shared" si="2"/>
        <v>0</v>
      </c>
      <c r="P22" s="503">
        <f t="shared" si="6"/>
        <v>0</v>
      </c>
      <c r="Q22" s="503">
        <f t="shared" si="3"/>
        <v>0</v>
      </c>
      <c r="R22" s="503">
        <f t="shared" si="4"/>
        <v>0</v>
      </c>
    </row>
    <row r="23" spans="1:19">
      <c r="A23" s="530">
        <f>+E23</f>
        <v>4</v>
      </c>
      <c r="B23" s="506" t="s">
        <v>790</v>
      </c>
      <c r="C23" s="507">
        <v>25</v>
      </c>
      <c r="D23" s="508"/>
      <c r="E23" s="507">
        <v>4</v>
      </c>
      <c r="F23" s="502">
        <v>1</v>
      </c>
      <c r="G23" s="502">
        <v>14</v>
      </c>
      <c r="H23" s="503"/>
      <c r="I23" s="503">
        <v>2.95</v>
      </c>
      <c r="J23" s="509"/>
      <c r="K23" s="509">
        <f>1*36*C23/1000</f>
        <v>0.9</v>
      </c>
      <c r="L23" s="503">
        <f t="shared" si="5"/>
        <v>3.85</v>
      </c>
      <c r="M23" s="503">
        <f t="shared" si="0"/>
        <v>0</v>
      </c>
      <c r="N23" s="503">
        <f t="shared" si="1"/>
        <v>0</v>
      </c>
      <c r="O23" s="503">
        <f t="shared" si="2"/>
        <v>0</v>
      </c>
      <c r="P23" s="503">
        <f t="shared" si="6"/>
        <v>0</v>
      </c>
      <c r="Q23" s="503">
        <f t="shared" si="3"/>
        <v>0</v>
      </c>
      <c r="R23" s="503">
        <f t="shared" si="4"/>
        <v>215.6</v>
      </c>
      <c r="S23" s="221">
        <f>+G23*E23</f>
        <v>56</v>
      </c>
    </row>
    <row r="24" spans="1:19">
      <c r="A24" s="505"/>
      <c r="B24" s="511" t="s">
        <v>787</v>
      </c>
      <c r="C24" s="507">
        <v>10</v>
      </c>
      <c r="D24" s="508">
        <v>75</v>
      </c>
      <c r="E24" s="507">
        <f>+E23</f>
        <v>4</v>
      </c>
      <c r="F24" s="502">
        <v>2</v>
      </c>
      <c r="G24" s="502">
        <f>+ROUND(600/D24,0)+4</f>
        <v>12</v>
      </c>
      <c r="H24" s="503"/>
      <c r="I24" s="503">
        <f>2*(0.22+0.52)+16*0.01</f>
        <v>1.64</v>
      </c>
      <c r="J24" s="509"/>
      <c r="K24" s="509"/>
      <c r="L24" s="503">
        <f t="shared" si="5"/>
        <v>1.64</v>
      </c>
      <c r="M24" s="503">
        <f t="shared" si="0"/>
        <v>0</v>
      </c>
      <c r="N24" s="503">
        <f t="shared" si="1"/>
        <v>157.44</v>
      </c>
      <c r="O24" s="503">
        <f t="shared" si="2"/>
        <v>0</v>
      </c>
      <c r="P24" s="503">
        <f t="shared" si="6"/>
        <v>0</v>
      </c>
      <c r="Q24" s="503">
        <f t="shared" si="3"/>
        <v>0</v>
      </c>
      <c r="R24" s="503">
        <f t="shared" si="4"/>
        <v>0</v>
      </c>
    </row>
    <row r="25" spans="1:19">
      <c r="A25" s="505"/>
      <c r="B25" s="511"/>
      <c r="C25" s="507">
        <v>10</v>
      </c>
      <c r="D25" s="508">
        <v>75</v>
      </c>
      <c r="E25" s="507">
        <f t="shared" ref="E25:E29" si="13">+E24</f>
        <v>4</v>
      </c>
      <c r="F25" s="502">
        <v>2</v>
      </c>
      <c r="G25" s="502">
        <f t="shared" ref="G25:G26" si="14">+ROUND(600/D25,0)</f>
        <v>8</v>
      </c>
      <c r="H25" s="503"/>
      <c r="I25" s="503">
        <f>2*(0.22+0.135)+16*0.01</f>
        <v>0.87</v>
      </c>
      <c r="J25" s="509"/>
      <c r="K25" s="509"/>
      <c r="L25" s="503">
        <f t="shared" si="5"/>
        <v>0.87</v>
      </c>
      <c r="M25" s="503">
        <f t="shared" si="0"/>
        <v>0</v>
      </c>
      <c r="N25" s="503">
        <f t="shared" si="1"/>
        <v>55.68</v>
      </c>
      <c r="O25" s="503">
        <f t="shared" si="2"/>
        <v>0</v>
      </c>
      <c r="P25" s="503">
        <f t="shared" si="6"/>
        <v>0</v>
      </c>
      <c r="Q25" s="503">
        <f t="shared" si="3"/>
        <v>0</v>
      </c>
      <c r="R25" s="503">
        <f t="shared" si="4"/>
        <v>0</v>
      </c>
    </row>
    <row r="26" spans="1:19">
      <c r="A26" s="505"/>
      <c r="B26" s="511"/>
      <c r="C26" s="507">
        <v>10</v>
      </c>
      <c r="D26" s="508">
        <v>75</v>
      </c>
      <c r="E26" s="507">
        <f t="shared" si="13"/>
        <v>4</v>
      </c>
      <c r="F26" s="502">
        <f>2*2</f>
        <v>4</v>
      </c>
      <c r="G26" s="502">
        <f t="shared" si="14"/>
        <v>8</v>
      </c>
      <c r="H26" s="503"/>
      <c r="I26" s="503">
        <f>+(0.168+0.168+0.22)+16*0.01</f>
        <v>0.71600000000000008</v>
      </c>
      <c r="J26" s="509"/>
      <c r="K26" s="509"/>
      <c r="L26" s="503">
        <f t="shared" si="5"/>
        <v>0.71600000000000008</v>
      </c>
      <c r="M26" s="503">
        <f t="shared" si="0"/>
        <v>0</v>
      </c>
      <c r="N26" s="503">
        <f t="shared" si="1"/>
        <v>91.65</v>
      </c>
      <c r="O26" s="503">
        <f t="shared" si="2"/>
        <v>0</v>
      </c>
      <c r="P26" s="503">
        <f t="shared" si="6"/>
        <v>0</v>
      </c>
      <c r="Q26" s="503">
        <f t="shared" si="3"/>
        <v>0</v>
      </c>
      <c r="R26" s="503">
        <f t="shared" si="4"/>
        <v>0</v>
      </c>
    </row>
    <row r="27" spans="1:19">
      <c r="A27" s="505"/>
      <c r="B27" s="511" t="s">
        <v>788</v>
      </c>
      <c r="C27" s="507">
        <v>8</v>
      </c>
      <c r="D27" s="508">
        <v>150</v>
      </c>
      <c r="E27" s="507">
        <f t="shared" si="13"/>
        <v>4</v>
      </c>
      <c r="F27" s="502">
        <v>1</v>
      </c>
      <c r="G27" s="502">
        <f t="shared" ref="G27:G29" si="15">+ROUND(1400/D27+1,0)</f>
        <v>10</v>
      </c>
      <c r="H27" s="503"/>
      <c r="I27" s="503">
        <f>2*(0.22+0.52)+16*0.008</f>
        <v>1.6080000000000001</v>
      </c>
      <c r="J27" s="509"/>
      <c r="K27" s="509"/>
      <c r="L27" s="503">
        <f t="shared" si="5"/>
        <v>1.6080000000000001</v>
      </c>
      <c r="M27" s="503">
        <f t="shared" si="0"/>
        <v>64.319999999999993</v>
      </c>
      <c r="N27" s="503">
        <f t="shared" si="1"/>
        <v>0</v>
      </c>
      <c r="O27" s="503">
        <f t="shared" si="2"/>
        <v>0</v>
      </c>
      <c r="P27" s="503">
        <f t="shared" si="6"/>
        <v>0</v>
      </c>
      <c r="Q27" s="503">
        <f t="shared" si="3"/>
        <v>0</v>
      </c>
      <c r="R27" s="503">
        <f t="shared" si="4"/>
        <v>0</v>
      </c>
    </row>
    <row r="28" spans="1:19">
      <c r="A28" s="505"/>
      <c r="B28" s="511"/>
      <c r="C28" s="507">
        <v>8</v>
      </c>
      <c r="D28" s="508">
        <v>150</v>
      </c>
      <c r="E28" s="507">
        <f t="shared" si="13"/>
        <v>4</v>
      </c>
      <c r="F28" s="502">
        <v>1</v>
      </c>
      <c r="G28" s="502">
        <f t="shared" si="15"/>
        <v>10</v>
      </c>
      <c r="H28" s="503"/>
      <c r="I28" s="503">
        <f>2*(0.22+0.135)+16*0.008</f>
        <v>0.83799999999999997</v>
      </c>
      <c r="J28" s="509"/>
      <c r="K28" s="509"/>
      <c r="L28" s="503">
        <f t="shared" si="5"/>
        <v>0.83799999999999997</v>
      </c>
      <c r="M28" s="503">
        <f t="shared" si="0"/>
        <v>33.520000000000003</v>
      </c>
      <c r="N28" s="503">
        <f t="shared" si="1"/>
        <v>0</v>
      </c>
      <c r="O28" s="503">
        <f t="shared" si="2"/>
        <v>0</v>
      </c>
      <c r="P28" s="503">
        <f t="shared" si="6"/>
        <v>0</v>
      </c>
      <c r="Q28" s="503">
        <f t="shared" si="3"/>
        <v>0</v>
      </c>
      <c r="R28" s="503">
        <f t="shared" si="4"/>
        <v>0</v>
      </c>
    </row>
    <row r="29" spans="1:19">
      <c r="A29" s="505"/>
      <c r="B29" s="511"/>
      <c r="C29" s="507">
        <v>8</v>
      </c>
      <c r="D29" s="508">
        <v>150</v>
      </c>
      <c r="E29" s="507">
        <f t="shared" si="13"/>
        <v>4</v>
      </c>
      <c r="F29" s="502">
        <v>2</v>
      </c>
      <c r="G29" s="502">
        <f t="shared" si="15"/>
        <v>10</v>
      </c>
      <c r="H29" s="503"/>
      <c r="I29" s="503">
        <f>+(0.168+0.168+0.22)+16*0.008</f>
        <v>0.68400000000000005</v>
      </c>
      <c r="J29" s="509"/>
      <c r="K29" s="509"/>
      <c r="L29" s="503">
        <f t="shared" si="5"/>
        <v>0.68400000000000005</v>
      </c>
      <c r="M29" s="503">
        <f t="shared" si="0"/>
        <v>54.72</v>
      </c>
      <c r="N29" s="503">
        <f t="shared" si="1"/>
        <v>0</v>
      </c>
      <c r="O29" s="503">
        <f t="shared" si="2"/>
        <v>0</v>
      </c>
      <c r="P29" s="503">
        <f t="shared" si="6"/>
        <v>0</v>
      </c>
      <c r="Q29" s="503">
        <f t="shared" si="3"/>
        <v>0</v>
      </c>
      <c r="R29" s="503">
        <f t="shared" si="4"/>
        <v>0</v>
      </c>
    </row>
    <row r="30" spans="1:19">
      <c r="A30" s="530">
        <f>+E30</f>
        <v>16</v>
      </c>
      <c r="B30" s="506" t="s">
        <v>791</v>
      </c>
      <c r="C30" s="507">
        <v>20</v>
      </c>
      <c r="D30" s="508"/>
      <c r="E30" s="507">
        <v>16</v>
      </c>
      <c r="F30" s="502">
        <v>1</v>
      </c>
      <c r="G30" s="502">
        <v>16</v>
      </c>
      <c r="H30" s="503"/>
      <c r="I30" s="503">
        <v>2.95</v>
      </c>
      <c r="J30" s="509"/>
      <c r="K30" s="509">
        <f>1*36*C30/1000</f>
        <v>0.72</v>
      </c>
      <c r="L30" s="503">
        <f t="shared" si="5"/>
        <v>3.67</v>
      </c>
      <c r="M30" s="503">
        <f t="shared" si="0"/>
        <v>0</v>
      </c>
      <c r="N30" s="503">
        <f t="shared" si="1"/>
        <v>0</v>
      </c>
      <c r="O30" s="503">
        <f t="shared" si="2"/>
        <v>0</v>
      </c>
      <c r="P30" s="503">
        <f t="shared" si="6"/>
        <v>0</v>
      </c>
      <c r="Q30" s="503">
        <f t="shared" si="3"/>
        <v>939.52</v>
      </c>
      <c r="R30" s="503">
        <f t="shared" si="4"/>
        <v>0</v>
      </c>
      <c r="S30" s="221">
        <f>+G30*E30</f>
        <v>256</v>
      </c>
    </row>
    <row r="31" spans="1:19">
      <c r="A31" s="505"/>
      <c r="B31" s="511" t="s">
        <v>787</v>
      </c>
      <c r="C31" s="507">
        <v>10</v>
      </c>
      <c r="D31" s="508">
        <v>75</v>
      </c>
      <c r="E31" s="507">
        <f>+E30</f>
        <v>16</v>
      </c>
      <c r="F31" s="502">
        <v>2</v>
      </c>
      <c r="G31" s="502">
        <f>+ROUND(750/D31,0)+4</f>
        <v>14</v>
      </c>
      <c r="H31" s="503"/>
      <c r="I31" s="503">
        <f>2*(0.22+0.67)+16*0.01</f>
        <v>1.94</v>
      </c>
      <c r="J31" s="509"/>
      <c r="K31" s="509"/>
      <c r="L31" s="503">
        <f t="shared" si="5"/>
        <v>1.94</v>
      </c>
      <c r="M31" s="503">
        <f t="shared" si="0"/>
        <v>0</v>
      </c>
      <c r="N31" s="503">
        <f t="shared" si="1"/>
        <v>869.12</v>
      </c>
      <c r="O31" s="503">
        <f t="shared" si="2"/>
        <v>0</v>
      </c>
      <c r="P31" s="503">
        <f t="shared" si="6"/>
        <v>0</v>
      </c>
      <c r="Q31" s="503">
        <f t="shared" si="3"/>
        <v>0</v>
      </c>
      <c r="R31" s="503">
        <f t="shared" si="4"/>
        <v>0</v>
      </c>
    </row>
    <row r="32" spans="1:19">
      <c r="A32" s="505"/>
      <c r="B32" s="511"/>
      <c r="C32" s="507">
        <v>10</v>
      </c>
      <c r="D32" s="508">
        <v>75</v>
      </c>
      <c r="E32" s="507">
        <f t="shared" ref="E32:E38" si="16">+E31</f>
        <v>16</v>
      </c>
      <c r="F32" s="502">
        <v>2</v>
      </c>
      <c r="G32" s="502">
        <f t="shared" ref="G32:G34" si="17">+ROUND(750/D32,0)</f>
        <v>10</v>
      </c>
      <c r="H32" s="503"/>
      <c r="I32" s="503">
        <f>2*(0.22+0.25)+16*0.01</f>
        <v>1.0999999999999999</v>
      </c>
      <c r="J32" s="509"/>
      <c r="K32" s="509"/>
      <c r="L32" s="503">
        <f t="shared" si="5"/>
        <v>1.0999999999999999</v>
      </c>
      <c r="M32" s="503">
        <f t="shared" si="0"/>
        <v>0</v>
      </c>
      <c r="N32" s="503">
        <f t="shared" si="1"/>
        <v>352</v>
      </c>
      <c r="O32" s="503">
        <f t="shared" si="2"/>
        <v>0</v>
      </c>
      <c r="P32" s="503">
        <f t="shared" si="6"/>
        <v>0</v>
      </c>
      <c r="Q32" s="503">
        <f t="shared" si="3"/>
        <v>0</v>
      </c>
      <c r="R32" s="503">
        <f t="shared" si="4"/>
        <v>0</v>
      </c>
    </row>
    <row r="33" spans="1:19">
      <c r="A33" s="505"/>
      <c r="B33" s="511"/>
      <c r="C33" s="507">
        <v>10</v>
      </c>
      <c r="D33" s="508">
        <v>75</v>
      </c>
      <c r="E33" s="507">
        <f t="shared" si="16"/>
        <v>16</v>
      </c>
      <c r="F33" s="502">
        <f>2*2</f>
        <v>4</v>
      </c>
      <c r="G33" s="502">
        <f t="shared" si="17"/>
        <v>10</v>
      </c>
      <c r="H33" s="503"/>
      <c r="I33" s="503">
        <f>+(0.168+0.168+0.22)+16*0.01</f>
        <v>0.71600000000000008</v>
      </c>
      <c r="J33" s="509"/>
      <c r="K33" s="509"/>
      <c r="L33" s="503">
        <f t="shared" si="5"/>
        <v>0.71600000000000008</v>
      </c>
      <c r="M33" s="503">
        <f t="shared" si="0"/>
        <v>0</v>
      </c>
      <c r="N33" s="503">
        <f t="shared" si="1"/>
        <v>458.24</v>
      </c>
      <c r="O33" s="503">
        <f t="shared" si="2"/>
        <v>0</v>
      </c>
      <c r="P33" s="503">
        <f t="shared" si="6"/>
        <v>0</v>
      </c>
      <c r="Q33" s="503">
        <f t="shared" si="3"/>
        <v>0</v>
      </c>
      <c r="R33" s="503">
        <f t="shared" si="4"/>
        <v>0</v>
      </c>
    </row>
    <row r="34" spans="1:19">
      <c r="A34" s="505"/>
      <c r="B34" s="511"/>
      <c r="C34" s="507">
        <v>10</v>
      </c>
      <c r="D34" s="508">
        <v>75</v>
      </c>
      <c r="E34" s="507">
        <f t="shared" si="16"/>
        <v>16</v>
      </c>
      <c r="F34" s="502">
        <v>2</v>
      </c>
      <c r="G34" s="502">
        <f t="shared" si="17"/>
        <v>10</v>
      </c>
      <c r="H34" s="503"/>
      <c r="I34" s="503">
        <f>0.22+2*10*0.01</f>
        <v>0.42000000000000004</v>
      </c>
      <c r="J34" s="509"/>
      <c r="K34" s="509"/>
      <c r="L34" s="503">
        <f t="shared" ref="L34:L125" si="18">SUM(H34:J34)+K34</f>
        <v>0.42000000000000004</v>
      </c>
      <c r="M34" s="503">
        <f t="shared" si="0"/>
        <v>0</v>
      </c>
      <c r="N34" s="503">
        <f t="shared" si="1"/>
        <v>134.4</v>
      </c>
      <c r="O34" s="503">
        <f t="shared" si="2"/>
        <v>0</v>
      </c>
      <c r="P34" s="503">
        <f t="shared" si="6"/>
        <v>0</v>
      </c>
      <c r="Q34" s="503">
        <f t="shared" si="3"/>
        <v>0</v>
      </c>
      <c r="R34" s="503">
        <f t="shared" si="4"/>
        <v>0</v>
      </c>
    </row>
    <row r="35" spans="1:19">
      <c r="A35" s="505"/>
      <c r="B35" s="511" t="s">
        <v>788</v>
      </c>
      <c r="C35" s="507">
        <v>8</v>
      </c>
      <c r="D35" s="508">
        <v>150</v>
      </c>
      <c r="E35" s="507">
        <f t="shared" si="16"/>
        <v>16</v>
      </c>
      <c r="F35" s="502">
        <v>1</v>
      </c>
      <c r="G35" s="502">
        <f>+ROUND(1100/D35+1,0)</f>
        <v>8</v>
      </c>
      <c r="H35" s="503"/>
      <c r="I35" s="503">
        <f>2*(0.22+0.67)+16*0.008</f>
        <v>1.9079999999999999</v>
      </c>
      <c r="J35" s="509"/>
      <c r="K35" s="509"/>
      <c r="L35" s="503">
        <f t="shared" si="18"/>
        <v>1.9079999999999999</v>
      </c>
      <c r="M35" s="503">
        <f t="shared" si="0"/>
        <v>244.22</v>
      </c>
      <c r="N35" s="503">
        <f t="shared" si="1"/>
        <v>0</v>
      </c>
      <c r="O35" s="503">
        <f t="shared" si="2"/>
        <v>0</v>
      </c>
      <c r="P35" s="503">
        <f t="shared" si="6"/>
        <v>0</v>
      </c>
      <c r="Q35" s="503">
        <f t="shared" si="3"/>
        <v>0</v>
      </c>
      <c r="R35" s="503">
        <f t="shared" si="4"/>
        <v>0</v>
      </c>
    </row>
    <row r="36" spans="1:19">
      <c r="A36" s="505"/>
      <c r="B36" s="511"/>
      <c r="C36" s="507">
        <v>8</v>
      </c>
      <c r="D36" s="508">
        <v>150</v>
      </c>
      <c r="E36" s="507">
        <f t="shared" si="16"/>
        <v>16</v>
      </c>
      <c r="F36" s="502">
        <v>1</v>
      </c>
      <c r="G36" s="502">
        <f t="shared" ref="G36:G38" si="19">+ROUND(1100/D36+1,0)</f>
        <v>8</v>
      </c>
      <c r="H36" s="503"/>
      <c r="I36" s="503">
        <f>2*(0.22+0.25)+16*0.008</f>
        <v>1.0680000000000001</v>
      </c>
      <c r="J36" s="509"/>
      <c r="K36" s="509"/>
      <c r="L36" s="503">
        <f t="shared" si="18"/>
        <v>1.0680000000000001</v>
      </c>
      <c r="M36" s="503">
        <f t="shared" si="0"/>
        <v>136.69999999999999</v>
      </c>
      <c r="N36" s="503">
        <f t="shared" si="1"/>
        <v>0</v>
      </c>
      <c r="O36" s="503">
        <f t="shared" si="2"/>
        <v>0</v>
      </c>
      <c r="P36" s="503">
        <f t="shared" si="6"/>
        <v>0</v>
      </c>
      <c r="Q36" s="503">
        <f t="shared" si="3"/>
        <v>0</v>
      </c>
      <c r="R36" s="503">
        <f t="shared" si="4"/>
        <v>0</v>
      </c>
    </row>
    <row r="37" spans="1:19">
      <c r="A37" s="505"/>
      <c r="B37" s="511"/>
      <c r="C37" s="507">
        <v>8</v>
      </c>
      <c r="D37" s="508">
        <v>150</v>
      </c>
      <c r="E37" s="507">
        <f t="shared" si="16"/>
        <v>16</v>
      </c>
      <c r="F37" s="502">
        <v>2</v>
      </c>
      <c r="G37" s="502">
        <f t="shared" si="19"/>
        <v>8</v>
      </c>
      <c r="H37" s="503"/>
      <c r="I37" s="503">
        <f>+(0.168+0.168+0.22)+16*0.008</f>
        <v>0.68400000000000005</v>
      </c>
      <c r="J37" s="509"/>
      <c r="K37" s="509"/>
      <c r="L37" s="503">
        <f t="shared" si="18"/>
        <v>0.68400000000000005</v>
      </c>
      <c r="M37" s="503">
        <f t="shared" si="0"/>
        <v>175.1</v>
      </c>
      <c r="N37" s="503">
        <f t="shared" si="1"/>
        <v>0</v>
      </c>
      <c r="O37" s="503">
        <f t="shared" si="2"/>
        <v>0</v>
      </c>
      <c r="P37" s="503">
        <f t="shared" si="6"/>
        <v>0</v>
      </c>
      <c r="Q37" s="503">
        <f t="shared" si="3"/>
        <v>0</v>
      </c>
      <c r="R37" s="503">
        <f t="shared" si="4"/>
        <v>0</v>
      </c>
    </row>
    <row r="38" spans="1:19">
      <c r="A38" s="505"/>
      <c r="B38" s="511"/>
      <c r="C38" s="507">
        <v>8</v>
      </c>
      <c r="D38" s="508">
        <v>150</v>
      </c>
      <c r="E38" s="507">
        <f t="shared" si="16"/>
        <v>16</v>
      </c>
      <c r="F38" s="502">
        <v>1</v>
      </c>
      <c r="G38" s="502">
        <f t="shared" si="19"/>
        <v>8</v>
      </c>
      <c r="H38" s="503"/>
      <c r="I38" s="503">
        <f>0.22+2*10*0.008</f>
        <v>0.38</v>
      </c>
      <c r="J38" s="509"/>
      <c r="K38" s="509"/>
      <c r="L38" s="503">
        <f t="shared" si="18"/>
        <v>0.38</v>
      </c>
      <c r="M38" s="503">
        <f t="shared" si="0"/>
        <v>48.64</v>
      </c>
      <c r="N38" s="503">
        <f t="shared" si="1"/>
        <v>0</v>
      </c>
      <c r="O38" s="503">
        <f t="shared" si="2"/>
        <v>0</v>
      </c>
      <c r="P38" s="503">
        <f t="shared" si="6"/>
        <v>0</v>
      </c>
      <c r="Q38" s="503">
        <f t="shared" si="3"/>
        <v>0</v>
      </c>
      <c r="R38" s="503">
        <f t="shared" si="4"/>
        <v>0</v>
      </c>
    </row>
    <row r="39" spans="1:19">
      <c r="A39" s="530">
        <f>+E39</f>
        <v>14</v>
      </c>
      <c r="B39" s="506" t="s">
        <v>792</v>
      </c>
      <c r="C39" s="507">
        <v>16</v>
      </c>
      <c r="D39" s="508"/>
      <c r="E39" s="507">
        <v>14</v>
      </c>
      <c r="F39" s="502">
        <v>1</v>
      </c>
      <c r="G39" s="502">
        <v>10</v>
      </c>
      <c r="H39" s="503"/>
      <c r="I39" s="503">
        <v>2.95</v>
      </c>
      <c r="J39" s="509"/>
      <c r="K39" s="509">
        <f t="shared" ref="K39:K40" si="20">1*36*C39/1000</f>
        <v>0.57599999999999996</v>
      </c>
      <c r="L39" s="503">
        <f t="shared" si="18"/>
        <v>3.5260000000000002</v>
      </c>
      <c r="M39" s="503">
        <f t="shared" si="0"/>
        <v>0</v>
      </c>
      <c r="N39" s="503">
        <f t="shared" si="1"/>
        <v>0</v>
      </c>
      <c r="O39" s="503">
        <f t="shared" si="2"/>
        <v>0</v>
      </c>
      <c r="P39" s="503">
        <f t="shared" si="6"/>
        <v>493.64</v>
      </c>
      <c r="Q39" s="503">
        <f t="shared" si="3"/>
        <v>0</v>
      </c>
      <c r="R39" s="503">
        <f t="shared" si="4"/>
        <v>0</v>
      </c>
      <c r="S39" s="221">
        <f>+G39*E39</f>
        <v>140</v>
      </c>
    </row>
    <row r="40" spans="1:19">
      <c r="A40" s="505"/>
      <c r="B40" s="511"/>
      <c r="C40" s="507">
        <v>12</v>
      </c>
      <c r="D40" s="508"/>
      <c r="E40" s="507">
        <f>+E39</f>
        <v>14</v>
      </c>
      <c r="F40" s="502">
        <v>1</v>
      </c>
      <c r="G40" s="502">
        <v>6</v>
      </c>
      <c r="H40" s="503"/>
      <c r="I40" s="503">
        <v>2.95</v>
      </c>
      <c r="J40" s="509"/>
      <c r="K40" s="509">
        <f t="shared" si="20"/>
        <v>0.432</v>
      </c>
      <c r="L40" s="503">
        <f t="shared" si="18"/>
        <v>3.3820000000000001</v>
      </c>
      <c r="M40" s="503">
        <f t="shared" si="0"/>
        <v>0</v>
      </c>
      <c r="N40" s="503">
        <f t="shared" si="1"/>
        <v>0</v>
      </c>
      <c r="O40" s="503">
        <f t="shared" si="2"/>
        <v>284.08999999999997</v>
      </c>
      <c r="P40" s="503">
        <f t="shared" si="6"/>
        <v>0</v>
      </c>
      <c r="Q40" s="503">
        <f t="shared" si="3"/>
        <v>0</v>
      </c>
      <c r="R40" s="503">
        <f t="shared" si="4"/>
        <v>0</v>
      </c>
      <c r="S40" s="221">
        <f>+G40*E40</f>
        <v>84</v>
      </c>
    </row>
    <row r="41" spans="1:19">
      <c r="A41" s="505"/>
      <c r="B41" s="511" t="s">
        <v>787</v>
      </c>
      <c r="C41" s="507">
        <v>10</v>
      </c>
      <c r="D41" s="508">
        <v>75</v>
      </c>
      <c r="E41" s="507">
        <f t="shared" ref="E41:E48" si="21">+E40</f>
        <v>14</v>
      </c>
      <c r="F41" s="502">
        <v>2</v>
      </c>
      <c r="G41" s="502">
        <f>+ROUND(750/D41,0)+4</f>
        <v>14</v>
      </c>
      <c r="H41" s="503"/>
      <c r="I41" s="503">
        <f>2*(0.22+0.67)+16*0.01</f>
        <v>1.94</v>
      </c>
      <c r="J41" s="509"/>
      <c r="K41" s="509"/>
      <c r="L41" s="503">
        <f t="shared" si="18"/>
        <v>1.94</v>
      </c>
      <c r="M41" s="503">
        <f t="shared" si="0"/>
        <v>0</v>
      </c>
      <c r="N41" s="503">
        <f t="shared" si="1"/>
        <v>760.48</v>
      </c>
      <c r="O41" s="503">
        <f t="shared" si="2"/>
        <v>0</v>
      </c>
      <c r="P41" s="503">
        <f t="shared" si="6"/>
        <v>0</v>
      </c>
      <c r="Q41" s="503">
        <f t="shared" si="3"/>
        <v>0</v>
      </c>
      <c r="R41" s="503">
        <f t="shared" si="4"/>
        <v>0</v>
      </c>
    </row>
    <row r="42" spans="1:19">
      <c r="A42" s="505"/>
      <c r="B42" s="511"/>
      <c r="C42" s="507">
        <v>10</v>
      </c>
      <c r="D42" s="508">
        <v>75</v>
      </c>
      <c r="E42" s="507">
        <f t="shared" si="21"/>
        <v>14</v>
      </c>
      <c r="F42" s="502">
        <v>2</v>
      </c>
      <c r="G42" s="502">
        <f t="shared" ref="G42:G44" si="22">+ROUND(750/D42,0)</f>
        <v>10</v>
      </c>
      <c r="H42" s="503"/>
      <c r="I42" s="503">
        <f>2*(0.22+0.25)+16*0.01</f>
        <v>1.0999999999999999</v>
      </c>
      <c r="J42" s="509"/>
      <c r="K42" s="509"/>
      <c r="L42" s="503">
        <f t="shared" si="18"/>
        <v>1.0999999999999999</v>
      </c>
      <c r="M42" s="503">
        <f t="shared" si="0"/>
        <v>0</v>
      </c>
      <c r="N42" s="503">
        <f t="shared" si="1"/>
        <v>308</v>
      </c>
      <c r="O42" s="503">
        <f t="shared" si="2"/>
        <v>0</v>
      </c>
      <c r="P42" s="503">
        <f t="shared" si="6"/>
        <v>0</v>
      </c>
      <c r="Q42" s="503">
        <f t="shared" si="3"/>
        <v>0</v>
      </c>
      <c r="R42" s="503">
        <f t="shared" si="4"/>
        <v>0</v>
      </c>
    </row>
    <row r="43" spans="1:19">
      <c r="A43" s="505"/>
      <c r="B43" s="511"/>
      <c r="C43" s="507">
        <v>10</v>
      </c>
      <c r="D43" s="508">
        <v>75</v>
      </c>
      <c r="E43" s="507">
        <f t="shared" si="21"/>
        <v>14</v>
      </c>
      <c r="F43" s="502">
        <f>2*2</f>
        <v>4</v>
      </c>
      <c r="G43" s="502">
        <f t="shared" si="22"/>
        <v>10</v>
      </c>
      <c r="H43" s="503"/>
      <c r="I43" s="503">
        <f>+(0.168+0.168+0.22)+16*0.01</f>
        <v>0.71600000000000008</v>
      </c>
      <c r="J43" s="509"/>
      <c r="K43" s="509"/>
      <c r="L43" s="503">
        <f t="shared" si="18"/>
        <v>0.71600000000000008</v>
      </c>
      <c r="M43" s="503">
        <f t="shared" si="0"/>
        <v>0</v>
      </c>
      <c r="N43" s="503">
        <f t="shared" si="1"/>
        <v>400.96</v>
      </c>
      <c r="O43" s="503">
        <f t="shared" si="2"/>
        <v>0</v>
      </c>
      <c r="P43" s="503">
        <f t="shared" si="6"/>
        <v>0</v>
      </c>
      <c r="Q43" s="503">
        <f t="shared" si="3"/>
        <v>0</v>
      </c>
      <c r="R43" s="503">
        <f t="shared" si="4"/>
        <v>0</v>
      </c>
    </row>
    <row r="44" spans="1:19">
      <c r="A44" s="505"/>
      <c r="B44" s="511"/>
      <c r="C44" s="507">
        <v>10</v>
      </c>
      <c r="D44" s="508">
        <v>75</v>
      </c>
      <c r="E44" s="507">
        <f t="shared" si="21"/>
        <v>14</v>
      </c>
      <c r="F44" s="502">
        <v>2</v>
      </c>
      <c r="G44" s="502">
        <f t="shared" si="22"/>
        <v>10</v>
      </c>
      <c r="H44" s="503"/>
      <c r="I44" s="503">
        <f>0.22+2*10*0.01</f>
        <v>0.42000000000000004</v>
      </c>
      <c r="J44" s="509"/>
      <c r="K44" s="509"/>
      <c r="L44" s="503">
        <f t="shared" si="18"/>
        <v>0.42000000000000004</v>
      </c>
      <c r="M44" s="503">
        <f t="shared" si="0"/>
        <v>0</v>
      </c>
      <c r="N44" s="503">
        <f t="shared" si="1"/>
        <v>117.6</v>
      </c>
      <c r="O44" s="503">
        <f t="shared" si="2"/>
        <v>0</v>
      </c>
      <c r="P44" s="503">
        <f t="shared" si="6"/>
        <v>0</v>
      </c>
      <c r="Q44" s="503">
        <f t="shared" si="3"/>
        <v>0</v>
      </c>
      <c r="R44" s="503">
        <f t="shared" si="4"/>
        <v>0</v>
      </c>
    </row>
    <row r="45" spans="1:19">
      <c r="A45" s="505"/>
      <c r="B45" s="511" t="s">
        <v>788</v>
      </c>
      <c r="C45" s="507">
        <v>8</v>
      </c>
      <c r="D45" s="508">
        <v>150</v>
      </c>
      <c r="E45" s="507">
        <f t="shared" si="21"/>
        <v>14</v>
      </c>
      <c r="F45" s="502">
        <v>1</v>
      </c>
      <c r="G45" s="502">
        <f t="shared" ref="G45:G48" si="23">+ROUND(1100/D45+1,0)</f>
        <v>8</v>
      </c>
      <c r="H45" s="503"/>
      <c r="I45" s="503">
        <f>2*(0.22+0.67)+16*0.008</f>
        <v>1.9079999999999999</v>
      </c>
      <c r="J45" s="509"/>
      <c r="K45" s="509"/>
      <c r="L45" s="503">
        <f t="shared" si="18"/>
        <v>1.9079999999999999</v>
      </c>
      <c r="M45" s="503">
        <f t="shared" si="0"/>
        <v>213.7</v>
      </c>
      <c r="N45" s="503">
        <f t="shared" si="1"/>
        <v>0</v>
      </c>
      <c r="O45" s="503">
        <f t="shared" si="2"/>
        <v>0</v>
      </c>
      <c r="P45" s="503">
        <f t="shared" si="6"/>
        <v>0</v>
      </c>
      <c r="Q45" s="503">
        <f t="shared" si="3"/>
        <v>0</v>
      </c>
      <c r="R45" s="503">
        <f t="shared" si="4"/>
        <v>0</v>
      </c>
    </row>
    <row r="46" spans="1:19">
      <c r="A46" s="505"/>
      <c r="B46" s="511"/>
      <c r="C46" s="507">
        <v>8</v>
      </c>
      <c r="D46" s="508">
        <v>150</v>
      </c>
      <c r="E46" s="507">
        <f t="shared" si="21"/>
        <v>14</v>
      </c>
      <c r="F46" s="502">
        <v>1</v>
      </c>
      <c r="G46" s="502">
        <f t="shared" si="23"/>
        <v>8</v>
      </c>
      <c r="H46" s="503"/>
      <c r="I46" s="503">
        <f>2*(0.22+0.25)+16*0.008</f>
        <v>1.0680000000000001</v>
      </c>
      <c r="J46" s="509"/>
      <c r="K46" s="509"/>
      <c r="L46" s="503">
        <f t="shared" si="18"/>
        <v>1.0680000000000001</v>
      </c>
      <c r="M46" s="503">
        <f t="shared" si="0"/>
        <v>119.62</v>
      </c>
      <c r="N46" s="503">
        <f t="shared" si="1"/>
        <v>0</v>
      </c>
      <c r="O46" s="503">
        <f t="shared" si="2"/>
        <v>0</v>
      </c>
      <c r="P46" s="503">
        <f t="shared" si="6"/>
        <v>0</v>
      </c>
      <c r="Q46" s="503">
        <f t="shared" si="3"/>
        <v>0</v>
      </c>
      <c r="R46" s="503">
        <f t="shared" si="4"/>
        <v>0</v>
      </c>
    </row>
    <row r="47" spans="1:19">
      <c r="A47" s="505"/>
      <c r="B47" s="511"/>
      <c r="C47" s="507">
        <v>8</v>
      </c>
      <c r="D47" s="508">
        <v>150</v>
      </c>
      <c r="E47" s="507">
        <f t="shared" si="21"/>
        <v>14</v>
      </c>
      <c r="F47" s="502">
        <v>2</v>
      </c>
      <c r="G47" s="502">
        <f t="shared" si="23"/>
        <v>8</v>
      </c>
      <c r="H47" s="503"/>
      <c r="I47" s="503">
        <f>+(0.168+0.168+0.22)+16*0.008</f>
        <v>0.68400000000000005</v>
      </c>
      <c r="J47" s="509"/>
      <c r="K47" s="509"/>
      <c r="L47" s="503">
        <f t="shared" si="18"/>
        <v>0.68400000000000005</v>
      </c>
      <c r="M47" s="503">
        <f t="shared" si="0"/>
        <v>153.22</v>
      </c>
      <c r="N47" s="503">
        <f t="shared" si="1"/>
        <v>0</v>
      </c>
      <c r="O47" s="503">
        <f t="shared" si="2"/>
        <v>0</v>
      </c>
      <c r="P47" s="503">
        <f t="shared" si="6"/>
        <v>0</v>
      </c>
      <c r="Q47" s="503">
        <f t="shared" si="3"/>
        <v>0</v>
      </c>
      <c r="R47" s="503">
        <f t="shared" si="4"/>
        <v>0</v>
      </c>
    </row>
    <row r="48" spans="1:19">
      <c r="A48" s="505"/>
      <c r="B48" s="511"/>
      <c r="C48" s="507">
        <v>8</v>
      </c>
      <c r="D48" s="508">
        <v>150</v>
      </c>
      <c r="E48" s="507">
        <f t="shared" si="21"/>
        <v>14</v>
      </c>
      <c r="F48" s="502">
        <v>1</v>
      </c>
      <c r="G48" s="502">
        <f t="shared" si="23"/>
        <v>8</v>
      </c>
      <c r="H48" s="503"/>
      <c r="I48" s="503">
        <f>0.22+2*10*0.008</f>
        <v>0.38</v>
      </c>
      <c r="J48" s="509"/>
      <c r="K48" s="509"/>
      <c r="L48" s="503">
        <f t="shared" si="18"/>
        <v>0.38</v>
      </c>
      <c r="M48" s="503">
        <f t="shared" si="0"/>
        <v>42.56</v>
      </c>
      <c r="N48" s="503">
        <f t="shared" si="1"/>
        <v>0</v>
      </c>
      <c r="O48" s="503">
        <f t="shared" si="2"/>
        <v>0</v>
      </c>
      <c r="P48" s="503">
        <f t="shared" si="6"/>
        <v>0</v>
      </c>
      <c r="Q48" s="503">
        <f t="shared" si="3"/>
        <v>0</v>
      </c>
      <c r="R48" s="503">
        <f t="shared" si="4"/>
        <v>0</v>
      </c>
    </row>
    <row r="49" spans="1:19">
      <c r="A49" s="530">
        <f>+E49</f>
        <v>10</v>
      </c>
      <c r="B49" s="506" t="s">
        <v>793</v>
      </c>
      <c r="C49" s="507">
        <v>16</v>
      </c>
      <c r="D49" s="508"/>
      <c r="E49" s="507">
        <v>10</v>
      </c>
      <c r="F49" s="502">
        <v>1</v>
      </c>
      <c r="G49" s="502">
        <v>4</v>
      </c>
      <c r="H49" s="503"/>
      <c r="I49" s="503">
        <v>2.95</v>
      </c>
      <c r="J49" s="509"/>
      <c r="K49" s="509">
        <f t="shared" ref="K49:K50" si="24">1*36*C49/1000</f>
        <v>0.57599999999999996</v>
      </c>
      <c r="L49" s="503">
        <f t="shared" si="18"/>
        <v>3.5260000000000002</v>
      </c>
      <c r="M49" s="503">
        <f t="shared" si="0"/>
        <v>0</v>
      </c>
      <c r="N49" s="503">
        <f t="shared" si="1"/>
        <v>0</v>
      </c>
      <c r="O49" s="503">
        <f t="shared" si="2"/>
        <v>0</v>
      </c>
      <c r="P49" s="503">
        <f t="shared" si="6"/>
        <v>141.04</v>
      </c>
      <c r="Q49" s="503">
        <f t="shared" si="3"/>
        <v>0</v>
      </c>
      <c r="R49" s="503">
        <f t="shared" si="4"/>
        <v>0</v>
      </c>
      <c r="S49" s="221">
        <f>+G49*E49</f>
        <v>40</v>
      </c>
    </row>
    <row r="50" spans="1:19">
      <c r="A50" s="505"/>
      <c r="B50" s="511"/>
      <c r="C50" s="507">
        <v>12</v>
      </c>
      <c r="D50" s="508"/>
      <c r="E50" s="507">
        <f>+E49</f>
        <v>10</v>
      </c>
      <c r="F50" s="502">
        <v>1</v>
      </c>
      <c r="G50" s="502">
        <v>12</v>
      </c>
      <c r="H50" s="503"/>
      <c r="I50" s="503">
        <v>2.95</v>
      </c>
      <c r="J50" s="509"/>
      <c r="K50" s="509">
        <f t="shared" si="24"/>
        <v>0.432</v>
      </c>
      <c r="L50" s="503">
        <f t="shared" si="18"/>
        <v>3.3820000000000001</v>
      </c>
      <c r="M50" s="503">
        <f t="shared" si="0"/>
        <v>0</v>
      </c>
      <c r="N50" s="503">
        <f t="shared" si="1"/>
        <v>0</v>
      </c>
      <c r="O50" s="503">
        <f t="shared" si="2"/>
        <v>405.84</v>
      </c>
      <c r="P50" s="503">
        <f t="shared" si="6"/>
        <v>0</v>
      </c>
      <c r="Q50" s="503">
        <f t="shared" si="3"/>
        <v>0</v>
      </c>
      <c r="R50" s="503">
        <f t="shared" si="4"/>
        <v>0</v>
      </c>
      <c r="S50" s="221">
        <f>+G50*E50</f>
        <v>120</v>
      </c>
    </row>
    <row r="51" spans="1:19">
      <c r="A51" s="505"/>
      <c r="B51" s="511" t="s">
        <v>787</v>
      </c>
      <c r="C51" s="507">
        <v>10</v>
      </c>
      <c r="D51" s="508">
        <v>75</v>
      </c>
      <c r="E51" s="507">
        <f t="shared" ref="E51:E58" si="25">+E50</f>
        <v>10</v>
      </c>
      <c r="F51" s="502">
        <v>2</v>
      </c>
      <c r="G51" s="502">
        <f>+ROUND(715/D51,0)+4</f>
        <v>14</v>
      </c>
      <c r="H51" s="503"/>
      <c r="I51" s="503">
        <f>2*(0.22+0.635)+16*0.01</f>
        <v>1.8699999999999999</v>
      </c>
      <c r="J51" s="509"/>
      <c r="K51" s="509"/>
      <c r="L51" s="503">
        <f t="shared" si="18"/>
        <v>1.8699999999999999</v>
      </c>
      <c r="M51" s="503">
        <f t="shared" si="0"/>
        <v>0</v>
      </c>
      <c r="N51" s="503">
        <f t="shared" si="1"/>
        <v>523.6</v>
      </c>
      <c r="O51" s="503">
        <f t="shared" si="2"/>
        <v>0</v>
      </c>
      <c r="P51" s="503">
        <f t="shared" si="6"/>
        <v>0</v>
      </c>
      <c r="Q51" s="503">
        <f t="shared" si="3"/>
        <v>0</v>
      </c>
      <c r="R51" s="503">
        <f t="shared" si="4"/>
        <v>0</v>
      </c>
    </row>
    <row r="52" spans="1:19">
      <c r="A52" s="505"/>
      <c r="B52" s="511"/>
      <c r="C52" s="507">
        <v>10</v>
      </c>
      <c r="D52" s="508">
        <v>75</v>
      </c>
      <c r="E52" s="507">
        <f t="shared" si="25"/>
        <v>10</v>
      </c>
      <c r="F52" s="502">
        <v>2</v>
      </c>
      <c r="G52" s="502">
        <f t="shared" ref="G52:G54" si="26">+ROUND(715/D52,0)</f>
        <v>10</v>
      </c>
      <c r="H52" s="503"/>
      <c r="I52" s="503">
        <f>2*(0.22+0.235)+16*0.01</f>
        <v>1.0699999999999998</v>
      </c>
      <c r="J52" s="509"/>
      <c r="K52" s="509"/>
      <c r="L52" s="503">
        <f t="shared" si="18"/>
        <v>1.0699999999999998</v>
      </c>
      <c r="M52" s="503">
        <f t="shared" si="0"/>
        <v>0</v>
      </c>
      <c r="N52" s="503">
        <f t="shared" si="1"/>
        <v>214</v>
      </c>
      <c r="O52" s="503">
        <f t="shared" si="2"/>
        <v>0</v>
      </c>
      <c r="P52" s="503">
        <f t="shared" si="6"/>
        <v>0</v>
      </c>
      <c r="Q52" s="503">
        <f t="shared" si="3"/>
        <v>0</v>
      </c>
      <c r="R52" s="503">
        <f t="shared" si="4"/>
        <v>0</v>
      </c>
    </row>
    <row r="53" spans="1:19">
      <c r="A53" s="505"/>
      <c r="B53" s="511"/>
      <c r="C53" s="507">
        <v>10</v>
      </c>
      <c r="D53" s="508">
        <v>75</v>
      </c>
      <c r="E53" s="507">
        <f t="shared" si="25"/>
        <v>10</v>
      </c>
      <c r="F53" s="502">
        <f>2*2</f>
        <v>4</v>
      </c>
      <c r="G53" s="502">
        <f t="shared" si="26"/>
        <v>10</v>
      </c>
      <c r="H53" s="503"/>
      <c r="I53" s="503">
        <f>+(0.168+0.168+0.22)+16*0.01</f>
        <v>0.71600000000000008</v>
      </c>
      <c r="J53" s="509"/>
      <c r="K53" s="509"/>
      <c r="L53" s="503">
        <f t="shared" si="18"/>
        <v>0.71600000000000008</v>
      </c>
      <c r="M53" s="503">
        <f t="shared" si="0"/>
        <v>0</v>
      </c>
      <c r="N53" s="503">
        <f t="shared" si="1"/>
        <v>286.39999999999998</v>
      </c>
      <c r="O53" s="503">
        <f t="shared" si="2"/>
        <v>0</v>
      </c>
      <c r="P53" s="503">
        <f t="shared" si="6"/>
        <v>0</v>
      </c>
      <c r="Q53" s="503">
        <f t="shared" si="3"/>
        <v>0</v>
      </c>
      <c r="R53" s="503">
        <f t="shared" si="4"/>
        <v>0</v>
      </c>
    </row>
    <row r="54" spans="1:19">
      <c r="A54" s="505"/>
      <c r="B54" s="511"/>
      <c r="C54" s="507">
        <v>10</v>
      </c>
      <c r="D54" s="508">
        <v>75</v>
      </c>
      <c r="E54" s="507">
        <f t="shared" si="25"/>
        <v>10</v>
      </c>
      <c r="F54" s="502">
        <v>2</v>
      </c>
      <c r="G54" s="502">
        <f t="shared" si="26"/>
        <v>10</v>
      </c>
      <c r="H54" s="503"/>
      <c r="I54" s="503">
        <f>0.22+2*10*0.01</f>
        <v>0.42000000000000004</v>
      </c>
      <c r="J54" s="509"/>
      <c r="K54" s="509"/>
      <c r="L54" s="503">
        <f t="shared" si="18"/>
        <v>0.42000000000000004</v>
      </c>
      <c r="M54" s="503">
        <f t="shared" si="0"/>
        <v>0</v>
      </c>
      <c r="N54" s="503">
        <f t="shared" si="1"/>
        <v>84</v>
      </c>
      <c r="O54" s="503">
        <f t="shared" si="2"/>
        <v>0</v>
      </c>
      <c r="P54" s="503">
        <f t="shared" si="6"/>
        <v>0</v>
      </c>
      <c r="Q54" s="503">
        <f t="shared" si="3"/>
        <v>0</v>
      </c>
      <c r="R54" s="503">
        <f t="shared" si="4"/>
        <v>0</v>
      </c>
    </row>
    <row r="55" spans="1:19">
      <c r="A55" s="505"/>
      <c r="B55" s="511" t="s">
        <v>788</v>
      </c>
      <c r="C55" s="507">
        <v>8</v>
      </c>
      <c r="D55" s="508">
        <v>150</v>
      </c>
      <c r="E55" s="507">
        <f t="shared" si="25"/>
        <v>10</v>
      </c>
      <c r="F55" s="502">
        <v>1</v>
      </c>
      <c r="G55" s="502">
        <f>+ROUND(1170/D55+1,0)</f>
        <v>9</v>
      </c>
      <c r="H55" s="503"/>
      <c r="I55" s="503">
        <f>2*(0.22+0.635)+16*0.008</f>
        <v>1.8380000000000001</v>
      </c>
      <c r="J55" s="509"/>
      <c r="K55" s="509"/>
      <c r="L55" s="503">
        <f t="shared" si="18"/>
        <v>1.8380000000000001</v>
      </c>
      <c r="M55" s="503">
        <f t="shared" si="0"/>
        <v>165.42</v>
      </c>
      <c r="N55" s="503">
        <f t="shared" si="1"/>
        <v>0</v>
      </c>
      <c r="O55" s="503">
        <f t="shared" si="2"/>
        <v>0</v>
      </c>
      <c r="P55" s="503">
        <f t="shared" si="6"/>
        <v>0</v>
      </c>
      <c r="Q55" s="503">
        <f t="shared" si="3"/>
        <v>0</v>
      </c>
      <c r="R55" s="503">
        <f t="shared" si="4"/>
        <v>0</v>
      </c>
    </row>
    <row r="56" spans="1:19">
      <c r="A56" s="505"/>
      <c r="B56" s="511"/>
      <c r="C56" s="507">
        <v>8</v>
      </c>
      <c r="D56" s="508">
        <v>150</v>
      </c>
      <c r="E56" s="507">
        <f t="shared" si="25"/>
        <v>10</v>
      </c>
      <c r="F56" s="502">
        <v>1</v>
      </c>
      <c r="G56" s="502">
        <f t="shared" ref="G56:G58" si="27">+ROUND(1170/D56+1,0)</f>
        <v>9</v>
      </c>
      <c r="H56" s="503"/>
      <c r="I56" s="503">
        <f>2*(0.22+0.235)+16*0.008</f>
        <v>1.0379999999999998</v>
      </c>
      <c r="J56" s="509"/>
      <c r="K56" s="509"/>
      <c r="L56" s="503">
        <f t="shared" si="18"/>
        <v>1.0379999999999998</v>
      </c>
      <c r="M56" s="503">
        <f t="shared" si="0"/>
        <v>93.42</v>
      </c>
      <c r="N56" s="503">
        <f t="shared" si="1"/>
        <v>0</v>
      </c>
      <c r="O56" s="503">
        <f t="shared" si="2"/>
        <v>0</v>
      </c>
      <c r="P56" s="503">
        <f t="shared" si="6"/>
        <v>0</v>
      </c>
      <c r="Q56" s="503">
        <f t="shared" si="3"/>
        <v>0</v>
      </c>
      <c r="R56" s="503">
        <f t="shared" si="4"/>
        <v>0</v>
      </c>
    </row>
    <row r="57" spans="1:19">
      <c r="A57" s="505"/>
      <c r="B57" s="511"/>
      <c r="C57" s="507">
        <v>8</v>
      </c>
      <c r="D57" s="508">
        <v>150</v>
      </c>
      <c r="E57" s="507">
        <f t="shared" si="25"/>
        <v>10</v>
      </c>
      <c r="F57" s="502">
        <v>2</v>
      </c>
      <c r="G57" s="502">
        <f t="shared" si="27"/>
        <v>9</v>
      </c>
      <c r="H57" s="503"/>
      <c r="I57" s="503">
        <f>+(0.168+0.168+0.22)+16*0.008</f>
        <v>0.68400000000000005</v>
      </c>
      <c r="J57" s="509"/>
      <c r="K57" s="509"/>
      <c r="L57" s="503">
        <f t="shared" si="18"/>
        <v>0.68400000000000005</v>
      </c>
      <c r="M57" s="503">
        <f t="shared" si="0"/>
        <v>123.12</v>
      </c>
      <c r="N57" s="503">
        <f t="shared" si="1"/>
        <v>0</v>
      </c>
      <c r="O57" s="503">
        <f t="shared" si="2"/>
        <v>0</v>
      </c>
      <c r="P57" s="503">
        <f t="shared" si="6"/>
        <v>0</v>
      </c>
      <c r="Q57" s="503">
        <f t="shared" si="3"/>
        <v>0</v>
      </c>
      <c r="R57" s="503">
        <f t="shared" si="4"/>
        <v>0</v>
      </c>
    </row>
    <row r="58" spans="1:19">
      <c r="A58" s="505"/>
      <c r="B58" s="511"/>
      <c r="C58" s="507">
        <v>8</v>
      </c>
      <c r="D58" s="508">
        <v>150</v>
      </c>
      <c r="E58" s="507">
        <f t="shared" si="25"/>
        <v>10</v>
      </c>
      <c r="F58" s="502">
        <v>1</v>
      </c>
      <c r="G58" s="502">
        <f t="shared" si="27"/>
        <v>9</v>
      </c>
      <c r="H58" s="503"/>
      <c r="I58" s="503">
        <f>0.22+2*10*0.008</f>
        <v>0.38</v>
      </c>
      <c r="J58" s="509"/>
      <c r="K58" s="509"/>
      <c r="L58" s="503">
        <f t="shared" si="18"/>
        <v>0.38</v>
      </c>
      <c r="M58" s="503">
        <f t="shared" si="0"/>
        <v>34.200000000000003</v>
      </c>
      <c r="N58" s="503">
        <f t="shared" si="1"/>
        <v>0</v>
      </c>
      <c r="O58" s="503">
        <f t="shared" si="2"/>
        <v>0</v>
      </c>
      <c r="P58" s="503">
        <f t="shared" si="6"/>
        <v>0</v>
      </c>
      <c r="Q58" s="503">
        <f t="shared" si="3"/>
        <v>0</v>
      </c>
      <c r="R58" s="503">
        <f t="shared" si="4"/>
        <v>0</v>
      </c>
    </row>
    <row r="59" spans="1:19">
      <c r="A59" s="530">
        <f>+E59</f>
        <v>4</v>
      </c>
      <c r="B59" s="506" t="s">
        <v>794</v>
      </c>
      <c r="C59" s="507">
        <v>16</v>
      </c>
      <c r="D59" s="508"/>
      <c r="E59" s="507">
        <v>4</v>
      </c>
      <c r="F59" s="502">
        <v>1</v>
      </c>
      <c r="G59" s="502">
        <v>4</v>
      </c>
      <c r="H59" s="503"/>
      <c r="I59" s="503">
        <v>2.95</v>
      </c>
      <c r="J59" s="509"/>
      <c r="K59" s="509">
        <f t="shared" ref="K59:K60" si="28">1*36*C59/1000</f>
        <v>0.57599999999999996</v>
      </c>
      <c r="L59" s="503">
        <f t="shared" si="18"/>
        <v>3.5260000000000002</v>
      </c>
      <c r="M59" s="503">
        <f t="shared" si="0"/>
        <v>0</v>
      </c>
      <c r="N59" s="503">
        <f t="shared" si="1"/>
        <v>0</v>
      </c>
      <c r="O59" s="503">
        <f t="shared" si="2"/>
        <v>0</v>
      </c>
      <c r="P59" s="503">
        <f t="shared" si="6"/>
        <v>56.42</v>
      </c>
      <c r="Q59" s="503">
        <f t="shared" si="3"/>
        <v>0</v>
      </c>
      <c r="R59" s="503">
        <f t="shared" si="4"/>
        <v>0</v>
      </c>
      <c r="S59" s="221">
        <f>+G59*E59</f>
        <v>16</v>
      </c>
    </row>
    <row r="60" spans="1:19">
      <c r="A60" s="505"/>
      <c r="B60" s="511"/>
      <c r="C60" s="507">
        <v>12</v>
      </c>
      <c r="D60" s="508"/>
      <c r="E60" s="507">
        <f>+E59</f>
        <v>4</v>
      </c>
      <c r="F60" s="502">
        <v>1</v>
      </c>
      <c r="G60" s="502">
        <v>14</v>
      </c>
      <c r="H60" s="503"/>
      <c r="I60" s="503">
        <v>2.95</v>
      </c>
      <c r="J60" s="509"/>
      <c r="K60" s="509">
        <f t="shared" si="28"/>
        <v>0.432</v>
      </c>
      <c r="L60" s="503">
        <f t="shared" si="18"/>
        <v>3.3820000000000001</v>
      </c>
      <c r="M60" s="503">
        <f t="shared" si="0"/>
        <v>0</v>
      </c>
      <c r="N60" s="503">
        <f t="shared" si="1"/>
        <v>0</v>
      </c>
      <c r="O60" s="503">
        <f t="shared" si="2"/>
        <v>189.39</v>
      </c>
      <c r="P60" s="503">
        <f t="shared" si="6"/>
        <v>0</v>
      </c>
      <c r="Q60" s="503">
        <f t="shared" si="3"/>
        <v>0</v>
      </c>
      <c r="R60" s="503">
        <f t="shared" si="4"/>
        <v>0</v>
      </c>
      <c r="S60" s="221">
        <f>+G60*E60</f>
        <v>56</v>
      </c>
    </row>
    <row r="61" spans="1:19">
      <c r="A61" s="505"/>
      <c r="B61" s="511" t="s">
        <v>787</v>
      </c>
      <c r="C61" s="507">
        <v>10</v>
      </c>
      <c r="D61" s="508">
        <v>75</v>
      </c>
      <c r="E61" s="507">
        <f t="shared" ref="E61:E66" si="29">+E60</f>
        <v>4</v>
      </c>
      <c r="F61" s="502">
        <v>2</v>
      </c>
      <c r="G61" s="502">
        <f>+ROUND(800/D61,0)+4</f>
        <v>15</v>
      </c>
      <c r="H61" s="503"/>
      <c r="I61" s="503">
        <f>2*(0.22+0.72)+16*0.01</f>
        <v>2.04</v>
      </c>
      <c r="J61" s="509"/>
      <c r="K61" s="509"/>
      <c r="L61" s="503">
        <f t="shared" si="18"/>
        <v>2.04</v>
      </c>
      <c r="M61" s="503">
        <f t="shared" si="0"/>
        <v>0</v>
      </c>
      <c r="N61" s="503">
        <f t="shared" si="1"/>
        <v>244.8</v>
      </c>
      <c r="O61" s="503">
        <f t="shared" si="2"/>
        <v>0</v>
      </c>
      <c r="P61" s="503">
        <f t="shared" si="6"/>
        <v>0</v>
      </c>
      <c r="Q61" s="503">
        <f t="shared" si="3"/>
        <v>0</v>
      </c>
      <c r="R61" s="503">
        <f t="shared" si="4"/>
        <v>0</v>
      </c>
    </row>
    <row r="62" spans="1:19">
      <c r="A62" s="505"/>
      <c r="B62" s="511"/>
      <c r="C62" s="507">
        <v>10</v>
      </c>
      <c r="D62" s="508">
        <v>75</v>
      </c>
      <c r="E62" s="507">
        <f t="shared" si="29"/>
        <v>4</v>
      </c>
      <c r="F62" s="502">
        <f>2*2</f>
        <v>4</v>
      </c>
      <c r="G62" s="502">
        <f t="shared" ref="G62:G63" si="30">+ROUND(800/D62,0)</f>
        <v>11</v>
      </c>
      <c r="H62" s="503"/>
      <c r="I62" s="503">
        <f>2*(0.22+0.135)+16*0.01</f>
        <v>0.87</v>
      </c>
      <c r="J62" s="509"/>
      <c r="K62" s="509"/>
      <c r="L62" s="503">
        <f t="shared" si="18"/>
        <v>0.87</v>
      </c>
      <c r="M62" s="503">
        <f t="shared" si="0"/>
        <v>0</v>
      </c>
      <c r="N62" s="503">
        <f t="shared" si="1"/>
        <v>153.12</v>
      </c>
      <c r="O62" s="503">
        <f t="shared" si="2"/>
        <v>0</v>
      </c>
      <c r="P62" s="503">
        <f t="shared" si="6"/>
        <v>0</v>
      </c>
      <c r="Q62" s="503">
        <f t="shared" si="3"/>
        <v>0</v>
      </c>
      <c r="R62" s="503">
        <f t="shared" si="4"/>
        <v>0</v>
      </c>
    </row>
    <row r="63" spans="1:19">
      <c r="A63" s="505"/>
      <c r="B63" s="511"/>
      <c r="C63" s="507">
        <v>10</v>
      </c>
      <c r="D63" s="508">
        <v>75</v>
      </c>
      <c r="E63" s="507">
        <f t="shared" si="29"/>
        <v>4</v>
      </c>
      <c r="F63" s="502">
        <f>2*2</f>
        <v>4</v>
      </c>
      <c r="G63" s="502">
        <f t="shared" si="30"/>
        <v>11</v>
      </c>
      <c r="H63" s="503"/>
      <c r="I63" s="503">
        <f>+(0.168+0.168+0.22)+16*0.01</f>
        <v>0.71600000000000008</v>
      </c>
      <c r="J63" s="509"/>
      <c r="K63" s="509"/>
      <c r="L63" s="503">
        <f t="shared" si="18"/>
        <v>0.71600000000000008</v>
      </c>
      <c r="M63" s="503">
        <f t="shared" si="0"/>
        <v>0</v>
      </c>
      <c r="N63" s="503">
        <f t="shared" si="1"/>
        <v>126.02</v>
      </c>
      <c r="O63" s="503">
        <f t="shared" si="2"/>
        <v>0</v>
      </c>
      <c r="P63" s="503">
        <f t="shared" si="6"/>
        <v>0</v>
      </c>
      <c r="Q63" s="503">
        <f t="shared" si="3"/>
        <v>0</v>
      </c>
      <c r="R63" s="503">
        <f t="shared" si="4"/>
        <v>0</v>
      </c>
    </row>
    <row r="64" spans="1:19">
      <c r="A64" s="505"/>
      <c r="B64" s="511" t="s">
        <v>788</v>
      </c>
      <c r="C64" s="507">
        <v>8</v>
      </c>
      <c r="D64" s="508">
        <v>150</v>
      </c>
      <c r="E64" s="507">
        <f t="shared" si="29"/>
        <v>4</v>
      </c>
      <c r="F64" s="502">
        <v>1</v>
      </c>
      <c r="G64" s="502">
        <f>+ROUND(1000/D64+1,0)</f>
        <v>8</v>
      </c>
      <c r="H64" s="503"/>
      <c r="I64" s="503">
        <f>2*(0.22+0.72)+16*0.008</f>
        <v>2.008</v>
      </c>
      <c r="J64" s="509"/>
      <c r="K64" s="509"/>
      <c r="L64" s="503">
        <f t="shared" si="18"/>
        <v>2.008</v>
      </c>
      <c r="M64" s="503">
        <f t="shared" si="0"/>
        <v>64.260000000000005</v>
      </c>
      <c r="N64" s="503">
        <f t="shared" si="1"/>
        <v>0</v>
      </c>
      <c r="O64" s="503">
        <f t="shared" si="2"/>
        <v>0</v>
      </c>
      <c r="P64" s="503">
        <f t="shared" si="6"/>
        <v>0</v>
      </c>
      <c r="Q64" s="503">
        <f t="shared" si="3"/>
        <v>0</v>
      </c>
      <c r="R64" s="503">
        <f t="shared" si="4"/>
        <v>0</v>
      </c>
    </row>
    <row r="65" spans="1:19">
      <c r="A65" s="505"/>
      <c r="B65" s="511"/>
      <c r="C65" s="507">
        <v>8</v>
      </c>
      <c r="D65" s="508">
        <v>150</v>
      </c>
      <c r="E65" s="507">
        <f t="shared" si="29"/>
        <v>4</v>
      </c>
      <c r="F65" s="502">
        <v>2</v>
      </c>
      <c r="G65" s="502">
        <f t="shared" ref="G65:G66" si="31">+ROUND(1000/D65+1,0)</f>
        <v>8</v>
      </c>
      <c r="H65" s="503"/>
      <c r="I65" s="503">
        <f>2*(0.22+0.13)+16*0.008</f>
        <v>0.82799999999999996</v>
      </c>
      <c r="J65" s="509"/>
      <c r="K65" s="509"/>
      <c r="L65" s="503">
        <f t="shared" si="18"/>
        <v>0.82799999999999996</v>
      </c>
      <c r="M65" s="503">
        <f t="shared" si="0"/>
        <v>52.99</v>
      </c>
      <c r="N65" s="503">
        <f t="shared" si="1"/>
        <v>0</v>
      </c>
      <c r="O65" s="503">
        <f t="shared" si="2"/>
        <v>0</v>
      </c>
      <c r="P65" s="503">
        <f t="shared" si="6"/>
        <v>0</v>
      </c>
      <c r="Q65" s="503">
        <f t="shared" si="3"/>
        <v>0</v>
      </c>
      <c r="R65" s="503">
        <f t="shared" si="4"/>
        <v>0</v>
      </c>
    </row>
    <row r="66" spans="1:19">
      <c r="A66" s="505"/>
      <c r="B66" s="511"/>
      <c r="C66" s="507">
        <v>8</v>
      </c>
      <c r="D66" s="508">
        <v>150</v>
      </c>
      <c r="E66" s="507">
        <f t="shared" si="29"/>
        <v>4</v>
      </c>
      <c r="F66" s="502">
        <v>2</v>
      </c>
      <c r="G66" s="502">
        <f t="shared" si="31"/>
        <v>8</v>
      </c>
      <c r="H66" s="503"/>
      <c r="I66" s="503">
        <f>+(0.168+0.168+0.22)+16*0.008</f>
        <v>0.68400000000000005</v>
      </c>
      <c r="J66" s="509"/>
      <c r="K66" s="509"/>
      <c r="L66" s="503">
        <f t="shared" si="18"/>
        <v>0.68400000000000005</v>
      </c>
      <c r="M66" s="503">
        <f t="shared" si="0"/>
        <v>43.78</v>
      </c>
      <c r="N66" s="503">
        <f t="shared" si="1"/>
        <v>0</v>
      </c>
      <c r="O66" s="503">
        <f t="shared" si="2"/>
        <v>0</v>
      </c>
      <c r="P66" s="503">
        <f t="shared" si="6"/>
        <v>0</v>
      </c>
      <c r="Q66" s="503">
        <f t="shared" si="3"/>
        <v>0</v>
      </c>
      <c r="R66" s="503">
        <f t="shared" si="4"/>
        <v>0</v>
      </c>
    </row>
    <row r="67" spans="1:19">
      <c r="A67" s="530">
        <f>+E67</f>
        <v>4</v>
      </c>
      <c r="B67" s="506" t="s">
        <v>795</v>
      </c>
      <c r="C67" s="507">
        <v>20</v>
      </c>
      <c r="D67" s="508"/>
      <c r="E67" s="507">
        <v>4</v>
      </c>
      <c r="F67" s="502">
        <v>1</v>
      </c>
      <c r="G67" s="502">
        <v>10</v>
      </c>
      <c r="H67" s="503"/>
      <c r="I67" s="503">
        <v>2.95</v>
      </c>
      <c r="J67" s="509"/>
      <c r="K67" s="509">
        <f t="shared" ref="K67:K68" si="32">1*36*C67/1000</f>
        <v>0.72</v>
      </c>
      <c r="L67" s="503">
        <f t="shared" si="18"/>
        <v>3.67</v>
      </c>
      <c r="M67" s="503">
        <f t="shared" si="0"/>
        <v>0</v>
      </c>
      <c r="N67" s="503">
        <f t="shared" si="1"/>
        <v>0</v>
      </c>
      <c r="O67" s="503">
        <f t="shared" si="2"/>
        <v>0</v>
      </c>
      <c r="P67" s="503">
        <f t="shared" si="6"/>
        <v>0</v>
      </c>
      <c r="Q67" s="503">
        <f t="shared" si="3"/>
        <v>146.80000000000001</v>
      </c>
      <c r="R67" s="503">
        <f t="shared" si="4"/>
        <v>0</v>
      </c>
      <c r="S67" s="221">
        <f>+G67*E67</f>
        <v>40</v>
      </c>
    </row>
    <row r="68" spans="1:19">
      <c r="A68" s="505"/>
      <c r="B68" s="506"/>
      <c r="C68" s="507">
        <v>16</v>
      </c>
      <c r="D68" s="508"/>
      <c r="E68" s="507">
        <v>4</v>
      </c>
      <c r="F68" s="502">
        <v>1</v>
      </c>
      <c r="G68" s="502">
        <v>4</v>
      </c>
      <c r="H68" s="503"/>
      <c r="I68" s="503">
        <v>2.95</v>
      </c>
      <c r="J68" s="509"/>
      <c r="K68" s="509">
        <f t="shared" si="32"/>
        <v>0.57599999999999996</v>
      </c>
      <c r="L68" s="503">
        <f t="shared" ref="L68" si="33">SUM(H68:J68)+K68</f>
        <v>3.5260000000000002</v>
      </c>
      <c r="M68" s="503">
        <f t="shared" si="0"/>
        <v>0</v>
      </c>
      <c r="N68" s="503">
        <f t="shared" si="1"/>
        <v>0</v>
      </c>
      <c r="O68" s="503">
        <f t="shared" si="2"/>
        <v>0</v>
      </c>
      <c r="P68" s="503">
        <f t="shared" si="6"/>
        <v>56.42</v>
      </c>
      <c r="Q68" s="503">
        <f t="shared" si="3"/>
        <v>0</v>
      </c>
      <c r="R68" s="503">
        <f t="shared" si="4"/>
        <v>0</v>
      </c>
      <c r="S68" s="221">
        <f>+G68*E68</f>
        <v>16</v>
      </c>
    </row>
    <row r="69" spans="1:19">
      <c r="A69" s="505"/>
      <c r="B69" s="511" t="s">
        <v>787</v>
      </c>
      <c r="C69" s="507">
        <v>10</v>
      </c>
      <c r="D69" s="508">
        <v>75</v>
      </c>
      <c r="E69" s="507">
        <f>+E67</f>
        <v>4</v>
      </c>
      <c r="F69" s="502">
        <v>2</v>
      </c>
      <c r="G69" s="502">
        <f>+ROUND(600/D69,0)+4</f>
        <v>12</v>
      </c>
      <c r="H69" s="503"/>
      <c r="I69" s="503">
        <f>2*(0.22+0.52)+16*0.01</f>
        <v>1.64</v>
      </c>
      <c r="J69" s="509"/>
      <c r="K69" s="509"/>
      <c r="L69" s="503">
        <f t="shared" si="18"/>
        <v>1.64</v>
      </c>
      <c r="M69" s="503">
        <f t="shared" si="0"/>
        <v>0</v>
      </c>
      <c r="N69" s="503">
        <f t="shared" si="1"/>
        <v>157.44</v>
      </c>
      <c r="O69" s="503">
        <f t="shared" si="2"/>
        <v>0</v>
      </c>
      <c r="P69" s="503">
        <f t="shared" si="6"/>
        <v>0</v>
      </c>
      <c r="Q69" s="503">
        <f t="shared" si="3"/>
        <v>0</v>
      </c>
      <c r="R69" s="503">
        <f t="shared" si="4"/>
        <v>0</v>
      </c>
    </row>
    <row r="70" spans="1:19">
      <c r="A70" s="505"/>
      <c r="B70" s="511"/>
      <c r="C70" s="507">
        <v>10</v>
      </c>
      <c r="D70" s="508">
        <v>75</v>
      </c>
      <c r="E70" s="507">
        <f t="shared" ref="E70:E74" si="34">+E69</f>
        <v>4</v>
      </c>
      <c r="F70" s="502">
        <v>2</v>
      </c>
      <c r="G70" s="502">
        <f t="shared" ref="G70:G71" si="35">+ROUND(600/D70,0)</f>
        <v>8</v>
      </c>
      <c r="H70" s="503"/>
      <c r="I70" s="503">
        <f>2*(0.22+0.135)+16*0.01</f>
        <v>0.87</v>
      </c>
      <c r="J70" s="509"/>
      <c r="K70" s="509"/>
      <c r="L70" s="503">
        <f t="shared" si="18"/>
        <v>0.87</v>
      </c>
      <c r="M70" s="503">
        <f t="shared" si="0"/>
        <v>0</v>
      </c>
      <c r="N70" s="503">
        <f t="shared" si="1"/>
        <v>55.68</v>
      </c>
      <c r="O70" s="503">
        <f t="shared" si="2"/>
        <v>0</v>
      </c>
      <c r="P70" s="503">
        <f t="shared" si="6"/>
        <v>0</v>
      </c>
      <c r="Q70" s="503">
        <f t="shared" si="3"/>
        <v>0</v>
      </c>
      <c r="R70" s="503">
        <f t="shared" si="4"/>
        <v>0</v>
      </c>
    </row>
    <row r="71" spans="1:19">
      <c r="A71" s="505"/>
      <c r="B71" s="511"/>
      <c r="C71" s="507">
        <v>10</v>
      </c>
      <c r="D71" s="508">
        <v>75</v>
      </c>
      <c r="E71" s="507">
        <f t="shared" si="34"/>
        <v>4</v>
      </c>
      <c r="F71" s="502">
        <f>2*2</f>
        <v>4</v>
      </c>
      <c r="G71" s="502">
        <f t="shared" si="35"/>
        <v>8</v>
      </c>
      <c r="H71" s="503"/>
      <c r="I71" s="503">
        <f>+(0.168+0.168+0.22)+16*0.01</f>
        <v>0.71600000000000008</v>
      </c>
      <c r="J71" s="509"/>
      <c r="K71" s="509"/>
      <c r="L71" s="503">
        <f t="shared" si="18"/>
        <v>0.71600000000000008</v>
      </c>
      <c r="M71" s="503">
        <f t="shared" si="0"/>
        <v>0</v>
      </c>
      <c r="N71" s="503">
        <f t="shared" si="1"/>
        <v>91.65</v>
      </c>
      <c r="O71" s="503">
        <f t="shared" si="2"/>
        <v>0</v>
      </c>
      <c r="P71" s="503">
        <f t="shared" si="6"/>
        <v>0</v>
      </c>
      <c r="Q71" s="503">
        <f t="shared" si="3"/>
        <v>0</v>
      </c>
      <c r="R71" s="503">
        <f t="shared" si="4"/>
        <v>0</v>
      </c>
    </row>
    <row r="72" spans="1:19">
      <c r="A72" s="505"/>
      <c r="B72" s="511" t="s">
        <v>788</v>
      </c>
      <c r="C72" s="507">
        <v>8</v>
      </c>
      <c r="D72" s="508">
        <v>150</v>
      </c>
      <c r="E72" s="507">
        <f t="shared" si="34"/>
        <v>4</v>
      </c>
      <c r="F72" s="502">
        <v>1</v>
      </c>
      <c r="G72" s="502">
        <f>+ROUND(1400/D72+1,0)</f>
        <v>10</v>
      </c>
      <c r="H72" s="503"/>
      <c r="I72" s="503">
        <f>2*(0.22+0.52)+16*0.008</f>
        <v>1.6080000000000001</v>
      </c>
      <c r="J72" s="509"/>
      <c r="K72" s="509"/>
      <c r="L72" s="503">
        <f t="shared" si="18"/>
        <v>1.6080000000000001</v>
      </c>
      <c r="M72" s="503">
        <f t="shared" si="0"/>
        <v>64.319999999999993</v>
      </c>
      <c r="N72" s="503">
        <f t="shared" si="1"/>
        <v>0</v>
      </c>
      <c r="O72" s="503">
        <f t="shared" si="2"/>
        <v>0</v>
      </c>
      <c r="P72" s="503">
        <f t="shared" si="6"/>
        <v>0</v>
      </c>
      <c r="Q72" s="503">
        <f t="shared" si="3"/>
        <v>0</v>
      </c>
      <c r="R72" s="503">
        <f t="shared" si="4"/>
        <v>0</v>
      </c>
    </row>
    <row r="73" spans="1:19">
      <c r="A73" s="505"/>
      <c r="B73" s="511"/>
      <c r="C73" s="507">
        <v>8</v>
      </c>
      <c r="D73" s="508">
        <v>150</v>
      </c>
      <c r="E73" s="507">
        <f t="shared" si="34"/>
        <v>4</v>
      </c>
      <c r="F73" s="502">
        <v>1</v>
      </c>
      <c r="G73" s="502">
        <f t="shared" ref="G73:G74" si="36">+ROUND(1400/D73+1,0)</f>
        <v>10</v>
      </c>
      <c r="H73" s="503"/>
      <c r="I73" s="503">
        <f>2*(0.22+0.13)+16*0.008</f>
        <v>0.82799999999999996</v>
      </c>
      <c r="J73" s="509"/>
      <c r="K73" s="509"/>
      <c r="L73" s="503">
        <f t="shared" si="18"/>
        <v>0.82799999999999996</v>
      </c>
      <c r="M73" s="503">
        <f t="shared" si="0"/>
        <v>33.119999999999997</v>
      </c>
      <c r="N73" s="503">
        <f t="shared" si="1"/>
        <v>0</v>
      </c>
      <c r="O73" s="503">
        <f t="shared" si="2"/>
        <v>0</v>
      </c>
      <c r="P73" s="503">
        <f t="shared" si="6"/>
        <v>0</v>
      </c>
      <c r="Q73" s="503">
        <f t="shared" si="3"/>
        <v>0</v>
      </c>
      <c r="R73" s="503">
        <f t="shared" si="4"/>
        <v>0</v>
      </c>
    </row>
    <row r="74" spans="1:19">
      <c r="A74" s="505"/>
      <c r="B74" s="511"/>
      <c r="C74" s="507">
        <v>8</v>
      </c>
      <c r="D74" s="508">
        <v>150</v>
      </c>
      <c r="E74" s="507">
        <f t="shared" si="34"/>
        <v>4</v>
      </c>
      <c r="F74" s="502">
        <v>2</v>
      </c>
      <c r="G74" s="502">
        <f t="shared" si="36"/>
        <v>10</v>
      </c>
      <c r="H74" s="503"/>
      <c r="I74" s="503">
        <f>+(0.168+0.168+0.22)+16*0.008</f>
        <v>0.68400000000000005</v>
      </c>
      <c r="J74" s="509"/>
      <c r="K74" s="509"/>
      <c r="L74" s="503">
        <f t="shared" si="18"/>
        <v>0.68400000000000005</v>
      </c>
      <c r="M74" s="503">
        <f t="shared" si="0"/>
        <v>54.72</v>
      </c>
      <c r="N74" s="503">
        <f t="shared" si="1"/>
        <v>0</v>
      </c>
      <c r="O74" s="503">
        <f t="shared" si="2"/>
        <v>0</v>
      </c>
      <c r="P74" s="503">
        <f t="shared" si="6"/>
        <v>0</v>
      </c>
      <c r="Q74" s="503">
        <f t="shared" si="3"/>
        <v>0</v>
      </c>
      <c r="R74" s="503">
        <f t="shared" si="4"/>
        <v>0</v>
      </c>
    </row>
    <row r="75" spans="1:19">
      <c r="A75" s="530">
        <f>+E75</f>
        <v>4</v>
      </c>
      <c r="B75" s="506" t="s">
        <v>924</v>
      </c>
      <c r="C75" s="507">
        <v>20</v>
      </c>
      <c r="D75" s="508"/>
      <c r="E75" s="507">
        <v>4</v>
      </c>
      <c r="F75" s="502">
        <v>1</v>
      </c>
      <c r="G75" s="502">
        <v>4</v>
      </c>
      <c r="H75" s="503"/>
      <c r="I75" s="503">
        <v>2.95</v>
      </c>
      <c r="J75" s="509"/>
      <c r="K75" s="509">
        <f t="shared" ref="K75:K77" si="37">1*36*C75/1000</f>
        <v>0.72</v>
      </c>
      <c r="L75" s="503">
        <f t="shared" ref="L75:L83" si="38">SUM(H75:J75)+K75</f>
        <v>3.67</v>
      </c>
      <c r="M75" s="503">
        <f t="shared" ref="M75:M83" si="39">+ROUND(IF(C75=8,PRODUCT(E75,F75,G75,L75),0),2)</f>
        <v>0</v>
      </c>
      <c r="N75" s="503">
        <f t="shared" ref="N75:N83" si="40">+ROUND(IF(C75=10,PRODUCT(E75,F75,G75,L75),0),2)</f>
        <v>0</v>
      </c>
      <c r="O75" s="503">
        <f t="shared" ref="O75:O83" si="41">+ROUND(IF(C75=12,PRODUCT(E75,F75,G75,L75),0),2)</f>
        <v>0</v>
      </c>
      <c r="P75" s="503">
        <f t="shared" ref="P75:P83" si="42">+ROUND(IF(C75=16,PRODUCT(E75,F75,G75,L75),0),2)</f>
        <v>0</v>
      </c>
      <c r="Q75" s="503">
        <f t="shared" ref="Q75:Q83" si="43">+ROUND(IF(C75=20,PRODUCT(E75,F75,G75,L75),0),2)</f>
        <v>58.72</v>
      </c>
      <c r="R75" s="503">
        <f t="shared" ref="R75:R83" si="44">+ROUND(IF(C75=25,PRODUCT(E75,F75,G75,L75),0),2)</f>
        <v>0</v>
      </c>
      <c r="S75" s="221">
        <f>+G75*E75</f>
        <v>16</v>
      </c>
    </row>
    <row r="76" spans="1:19">
      <c r="A76" s="505"/>
      <c r="B76" s="511"/>
      <c r="C76" s="507">
        <v>16</v>
      </c>
      <c r="D76" s="508"/>
      <c r="E76" s="507">
        <f>+E75</f>
        <v>4</v>
      </c>
      <c r="F76" s="502">
        <v>1</v>
      </c>
      <c r="G76" s="502">
        <v>8</v>
      </c>
      <c r="H76" s="503"/>
      <c r="I76" s="503">
        <v>2.95</v>
      </c>
      <c r="J76" s="509"/>
      <c r="K76" s="509">
        <f t="shared" si="37"/>
        <v>0.57599999999999996</v>
      </c>
      <c r="L76" s="503">
        <f t="shared" si="38"/>
        <v>3.5260000000000002</v>
      </c>
      <c r="M76" s="503">
        <f t="shared" si="39"/>
        <v>0</v>
      </c>
      <c r="N76" s="503">
        <f t="shared" si="40"/>
        <v>0</v>
      </c>
      <c r="O76" s="503">
        <f t="shared" si="41"/>
        <v>0</v>
      </c>
      <c r="P76" s="503">
        <f t="shared" si="42"/>
        <v>112.83</v>
      </c>
      <c r="Q76" s="503">
        <f t="shared" si="43"/>
        <v>0</v>
      </c>
      <c r="R76" s="503">
        <f t="shared" si="44"/>
        <v>0</v>
      </c>
      <c r="S76" s="221">
        <f>+G76*E76</f>
        <v>32</v>
      </c>
    </row>
    <row r="77" spans="1:19">
      <c r="A77" s="505"/>
      <c r="B77" s="511"/>
      <c r="C77" s="507">
        <v>12</v>
      </c>
      <c r="D77" s="508"/>
      <c r="E77" s="507">
        <f>+E76</f>
        <v>4</v>
      </c>
      <c r="F77" s="502">
        <v>1</v>
      </c>
      <c r="G77" s="502">
        <v>2</v>
      </c>
      <c r="H77" s="503"/>
      <c r="I77" s="503">
        <v>2.95</v>
      </c>
      <c r="J77" s="509"/>
      <c r="K77" s="509">
        <f t="shared" si="37"/>
        <v>0.432</v>
      </c>
      <c r="L77" s="503">
        <f t="shared" ref="L77" si="45">SUM(H77:J77)+K77</f>
        <v>3.3820000000000001</v>
      </c>
      <c r="M77" s="503">
        <f t="shared" ref="M77" si="46">+ROUND(IF(C77=8,PRODUCT(E77,F77,G77,L77),0),2)</f>
        <v>0</v>
      </c>
      <c r="N77" s="503">
        <f t="shared" ref="N77" si="47">+ROUND(IF(C77=10,PRODUCT(E77,F77,G77,L77),0),2)</f>
        <v>0</v>
      </c>
      <c r="O77" s="503">
        <f t="shared" ref="O77" si="48">+ROUND(IF(C77=12,PRODUCT(E77,F77,G77,L77),0),2)</f>
        <v>27.06</v>
      </c>
      <c r="P77" s="503">
        <f t="shared" ref="P77" si="49">+ROUND(IF(C77=16,PRODUCT(E77,F77,G77,L77),0),2)</f>
        <v>0</v>
      </c>
      <c r="Q77" s="503">
        <f t="shared" ref="Q77" si="50">+ROUND(IF(C77=20,PRODUCT(E77,F77,G77,L77),0),2)</f>
        <v>0</v>
      </c>
      <c r="R77" s="503">
        <f t="shared" ref="R77" si="51">+ROUND(IF(C77=25,PRODUCT(E77,F77,G77,L77),0),2)</f>
        <v>0</v>
      </c>
      <c r="S77" s="221">
        <f>+G77*E77</f>
        <v>8</v>
      </c>
    </row>
    <row r="78" spans="1:19">
      <c r="A78" s="505"/>
      <c r="B78" s="511" t="s">
        <v>787</v>
      </c>
      <c r="C78" s="507">
        <v>10</v>
      </c>
      <c r="D78" s="508">
        <v>75</v>
      </c>
      <c r="E78" s="507">
        <f>+E76</f>
        <v>4</v>
      </c>
      <c r="F78" s="502">
        <v>2</v>
      </c>
      <c r="G78" s="502">
        <f>+ROUND(600/D78,0)+4</f>
        <v>12</v>
      </c>
      <c r="H78" s="503"/>
      <c r="I78" s="503">
        <f>2*(0.22+0.52)+16*0.01</f>
        <v>1.64</v>
      </c>
      <c r="J78" s="509"/>
      <c r="K78" s="509"/>
      <c r="L78" s="503">
        <f t="shared" si="38"/>
        <v>1.64</v>
      </c>
      <c r="M78" s="503">
        <f t="shared" si="39"/>
        <v>0</v>
      </c>
      <c r="N78" s="503">
        <f t="shared" si="40"/>
        <v>157.44</v>
      </c>
      <c r="O78" s="503">
        <f t="shared" si="41"/>
        <v>0</v>
      </c>
      <c r="P78" s="503">
        <f t="shared" si="42"/>
        <v>0</v>
      </c>
      <c r="Q78" s="503">
        <f t="shared" si="43"/>
        <v>0</v>
      </c>
      <c r="R78" s="503">
        <f t="shared" si="44"/>
        <v>0</v>
      </c>
    </row>
    <row r="79" spans="1:19">
      <c r="A79" s="505"/>
      <c r="B79" s="511"/>
      <c r="C79" s="507">
        <v>10</v>
      </c>
      <c r="D79" s="508">
        <v>75</v>
      </c>
      <c r="E79" s="507">
        <f t="shared" ref="E79:E83" si="52">+E78</f>
        <v>4</v>
      </c>
      <c r="F79" s="502">
        <v>2</v>
      </c>
      <c r="G79" s="502">
        <f t="shared" ref="G79:G80" si="53">+ROUND(600/D79,0)</f>
        <v>8</v>
      </c>
      <c r="H79" s="503"/>
      <c r="I79" s="503">
        <f>2*(0.22+0.135)+16*0.01</f>
        <v>0.87</v>
      </c>
      <c r="J79" s="509"/>
      <c r="K79" s="509"/>
      <c r="L79" s="503">
        <f t="shared" si="38"/>
        <v>0.87</v>
      </c>
      <c r="M79" s="503">
        <f t="shared" si="39"/>
        <v>0</v>
      </c>
      <c r="N79" s="503">
        <f t="shared" si="40"/>
        <v>55.68</v>
      </c>
      <c r="O79" s="503">
        <f t="shared" si="41"/>
        <v>0</v>
      </c>
      <c r="P79" s="503">
        <f t="shared" si="42"/>
        <v>0</v>
      </c>
      <c r="Q79" s="503">
        <f t="shared" si="43"/>
        <v>0</v>
      </c>
      <c r="R79" s="503">
        <f t="shared" si="44"/>
        <v>0</v>
      </c>
    </row>
    <row r="80" spans="1:19">
      <c r="A80" s="505"/>
      <c r="B80" s="511"/>
      <c r="C80" s="507">
        <v>10</v>
      </c>
      <c r="D80" s="508">
        <v>75</v>
      </c>
      <c r="E80" s="507">
        <f t="shared" si="52"/>
        <v>4</v>
      </c>
      <c r="F80" s="502">
        <f>2*2</f>
        <v>4</v>
      </c>
      <c r="G80" s="502">
        <f t="shared" si="53"/>
        <v>8</v>
      </c>
      <c r="H80" s="503"/>
      <c r="I80" s="503">
        <f>+(0.168+0.168+0.22)+16*0.01</f>
        <v>0.71600000000000008</v>
      </c>
      <c r="J80" s="509"/>
      <c r="K80" s="509"/>
      <c r="L80" s="503">
        <f t="shared" si="38"/>
        <v>0.71600000000000008</v>
      </c>
      <c r="M80" s="503">
        <f t="shared" si="39"/>
        <v>0</v>
      </c>
      <c r="N80" s="503">
        <f t="shared" si="40"/>
        <v>91.65</v>
      </c>
      <c r="O80" s="503">
        <f t="shared" si="41"/>
        <v>0</v>
      </c>
      <c r="P80" s="503">
        <f t="shared" si="42"/>
        <v>0</v>
      </c>
      <c r="Q80" s="503">
        <f t="shared" si="43"/>
        <v>0</v>
      </c>
      <c r="R80" s="503">
        <f t="shared" si="44"/>
        <v>0</v>
      </c>
    </row>
    <row r="81" spans="1:19">
      <c r="A81" s="505"/>
      <c r="B81" s="511" t="s">
        <v>788</v>
      </c>
      <c r="C81" s="507">
        <v>8</v>
      </c>
      <c r="D81" s="508">
        <v>150</v>
      </c>
      <c r="E81" s="507">
        <f t="shared" si="52"/>
        <v>4</v>
      </c>
      <c r="F81" s="502">
        <v>1</v>
      </c>
      <c r="G81" s="502">
        <f t="shared" ref="G81:G83" si="54">+ROUND(1400/D81+1,0)</f>
        <v>10</v>
      </c>
      <c r="H81" s="503"/>
      <c r="I81" s="503">
        <f>2*(0.22+0.52)+16*0.008</f>
        <v>1.6080000000000001</v>
      </c>
      <c r="J81" s="509"/>
      <c r="K81" s="509"/>
      <c r="L81" s="503">
        <f t="shared" si="38"/>
        <v>1.6080000000000001</v>
      </c>
      <c r="M81" s="503">
        <f t="shared" si="39"/>
        <v>64.319999999999993</v>
      </c>
      <c r="N81" s="503">
        <f t="shared" si="40"/>
        <v>0</v>
      </c>
      <c r="O81" s="503">
        <f t="shared" si="41"/>
        <v>0</v>
      </c>
      <c r="P81" s="503">
        <f t="shared" si="42"/>
        <v>0</v>
      </c>
      <c r="Q81" s="503">
        <f t="shared" si="43"/>
        <v>0</v>
      </c>
      <c r="R81" s="503">
        <f t="shared" si="44"/>
        <v>0</v>
      </c>
    </row>
    <row r="82" spans="1:19">
      <c r="A82" s="505"/>
      <c r="B82" s="511"/>
      <c r="C82" s="507">
        <v>8</v>
      </c>
      <c r="D82" s="508">
        <v>150</v>
      </c>
      <c r="E82" s="507">
        <f t="shared" si="52"/>
        <v>4</v>
      </c>
      <c r="F82" s="502">
        <v>1</v>
      </c>
      <c r="G82" s="502">
        <f t="shared" si="54"/>
        <v>10</v>
      </c>
      <c r="H82" s="503"/>
      <c r="I82" s="503">
        <f>2*(0.22+0.13)+16*0.008</f>
        <v>0.82799999999999996</v>
      </c>
      <c r="J82" s="509"/>
      <c r="K82" s="509"/>
      <c r="L82" s="503">
        <f t="shared" si="38"/>
        <v>0.82799999999999996</v>
      </c>
      <c r="M82" s="503">
        <f t="shared" si="39"/>
        <v>33.119999999999997</v>
      </c>
      <c r="N82" s="503">
        <f t="shared" si="40"/>
        <v>0</v>
      </c>
      <c r="O82" s="503">
        <f t="shared" si="41"/>
        <v>0</v>
      </c>
      <c r="P82" s="503">
        <f t="shared" si="42"/>
        <v>0</v>
      </c>
      <c r="Q82" s="503">
        <f t="shared" si="43"/>
        <v>0</v>
      </c>
      <c r="R82" s="503">
        <f t="shared" si="44"/>
        <v>0</v>
      </c>
    </row>
    <row r="83" spans="1:19">
      <c r="A83" s="505"/>
      <c r="B83" s="511"/>
      <c r="C83" s="507">
        <v>8</v>
      </c>
      <c r="D83" s="508">
        <v>150</v>
      </c>
      <c r="E83" s="507">
        <f t="shared" si="52"/>
        <v>4</v>
      </c>
      <c r="F83" s="502">
        <v>2</v>
      </c>
      <c r="G83" s="502">
        <f t="shared" si="54"/>
        <v>10</v>
      </c>
      <c r="H83" s="503"/>
      <c r="I83" s="503">
        <f>+(0.168+0.168+0.22)+16*0.008</f>
        <v>0.68400000000000005</v>
      </c>
      <c r="J83" s="509"/>
      <c r="K83" s="509"/>
      <c r="L83" s="503">
        <f t="shared" si="38"/>
        <v>0.68400000000000005</v>
      </c>
      <c r="M83" s="503">
        <f t="shared" si="39"/>
        <v>54.72</v>
      </c>
      <c r="N83" s="503">
        <f t="shared" si="40"/>
        <v>0</v>
      </c>
      <c r="O83" s="503">
        <f t="shared" si="41"/>
        <v>0</v>
      </c>
      <c r="P83" s="503">
        <f t="shared" si="42"/>
        <v>0</v>
      </c>
      <c r="Q83" s="503">
        <f t="shared" si="43"/>
        <v>0</v>
      </c>
      <c r="R83" s="503">
        <f t="shared" si="44"/>
        <v>0</v>
      </c>
    </row>
    <row r="84" spans="1:19">
      <c r="A84" s="530">
        <f>+E84</f>
        <v>10</v>
      </c>
      <c r="B84" s="506" t="s">
        <v>925</v>
      </c>
      <c r="C84" s="507">
        <v>25</v>
      </c>
      <c r="D84" s="508"/>
      <c r="E84" s="507">
        <v>10</v>
      </c>
      <c r="F84" s="502">
        <v>1</v>
      </c>
      <c r="G84" s="502">
        <v>4</v>
      </c>
      <c r="H84" s="503"/>
      <c r="I84" s="503">
        <v>2.95</v>
      </c>
      <c r="J84" s="509"/>
      <c r="K84" s="509">
        <f t="shared" ref="K84:K85" si="55">1*36*C84/1000</f>
        <v>0.9</v>
      </c>
      <c r="L84" s="503">
        <f t="shared" ref="L84:L91" si="56">SUM(H84:J84)+K84</f>
        <v>3.85</v>
      </c>
      <c r="M84" s="503">
        <f t="shared" ref="M84:M101" si="57">+ROUND(IF(C84=8,PRODUCT(E84,F84,G84,L84),0),2)</f>
        <v>0</v>
      </c>
      <c r="N84" s="503">
        <f t="shared" ref="N84:N101" si="58">+ROUND(IF(C84=10,PRODUCT(E84,F84,G84,L84),0),2)</f>
        <v>0</v>
      </c>
      <c r="O84" s="503">
        <f t="shared" ref="O84:O101" si="59">+ROUND(IF(C84=12,PRODUCT(E84,F84,G84,L84),0),2)</f>
        <v>0</v>
      </c>
      <c r="P84" s="503">
        <f t="shared" ref="P84:P101" si="60">+ROUND(IF(C84=16,PRODUCT(E84,F84,G84,L84),0),2)</f>
        <v>0</v>
      </c>
      <c r="Q84" s="503">
        <f t="shared" ref="Q84:Q101" si="61">+ROUND(IF(C84=20,PRODUCT(E84,F84,G84,L84),0),2)</f>
        <v>0</v>
      </c>
      <c r="R84" s="503">
        <f t="shared" ref="R84:R101" si="62">+ROUND(IF(C84=25,PRODUCT(E84,F84,G84,L84),0),2)</f>
        <v>154</v>
      </c>
      <c r="S84" s="221">
        <f>+G84*E84</f>
        <v>40</v>
      </c>
    </row>
    <row r="85" spans="1:19">
      <c r="A85" s="505"/>
      <c r="B85" s="511"/>
      <c r="C85" s="507">
        <v>20</v>
      </c>
      <c r="D85" s="508"/>
      <c r="E85" s="507">
        <f>+E84</f>
        <v>10</v>
      </c>
      <c r="F85" s="502">
        <v>1</v>
      </c>
      <c r="G85" s="502">
        <v>10</v>
      </c>
      <c r="H85" s="503"/>
      <c r="I85" s="503">
        <v>2.95</v>
      </c>
      <c r="J85" s="509"/>
      <c r="K85" s="509">
        <f t="shared" si="55"/>
        <v>0.72</v>
      </c>
      <c r="L85" s="503">
        <f t="shared" si="56"/>
        <v>3.67</v>
      </c>
      <c r="M85" s="503">
        <f t="shared" si="57"/>
        <v>0</v>
      </c>
      <c r="N85" s="503">
        <f t="shared" si="58"/>
        <v>0</v>
      </c>
      <c r="O85" s="503">
        <f t="shared" si="59"/>
        <v>0</v>
      </c>
      <c r="P85" s="503">
        <f t="shared" si="60"/>
        <v>0</v>
      </c>
      <c r="Q85" s="503">
        <f t="shared" si="61"/>
        <v>367</v>
      </c>
      <c r="R85" s="503">
        <f t="shared" si="62"/>
        <v>0</v>
      </c>
      <c r="S85" s="221">
        <f>+G85*E85</f>
        <v>100</v>
      </c>
    </row>
    <row r="86" spans="1:19">
      <c r="A86" s="505"/>
      <c r="B86" s="511" t="s">
        <v>787</v>
      </c>
      <c r="C86" s="507">
        <v>10</v>
      </c>
      <c r="D86" s="508">
        <v>75</v>
      </c>
      <c r="E86" s="507">
        <f>+E85</f>
        <v>10</v>
      </c>
      <c r="F86" s="502">
        <v>2</v>
      </c>
      <c r="G86" s="502">
        <f>+ROUND(600/D86,0)+4</f>
        <v>12</v>
      </c>
      <c r="H86" s="503"/>
      <c r="I86" s="503">
        <f>2*(0.22+0.52)+16*0.01</f>
        <v>1.64</v>
      </c>
      <c r="J86" s="509"/>
      <c r="K86" s="509"/>
      <c r="L86" s="503">
        <f t="shared" si="56"/>
        <v>1.64</v>
      </c>
      <c r="M86" s="503">
        <f t="shared" si="57"/>
        <v>0</v>
      </c>
      <c r="N86" s="503">
        <f t="shared" si="58"/>
        <v>393.6</v>
      </c>
      <c r="O86" s="503">
        <f t="shared" si="59"/>
        <v>0</v>
      </c>
      <c r="P86" s="503">
        <f t="shared" si="60"/>
        <v>0</v>
      </c>
      <c r="Q86" s="503">
        <f t="shared" si="61"/>
        <v>0</v>
      </c>
      <c r="R86" s="503">
        <f t="shared" si="62"/>
        <v>0</v>
      </c>
    </row>
    <row r="87" spans="1:19">
      <c r="A87" s="505"/>
      <c r="B87" s="511"/>
      <c r="C87" s="507">
        <v>10</v>
      </c>
      <c r="D87" s="508">
        <v>75</v>
      </c>
      <c r="E87" s="507">
        <f t="shared" ref="E87:E91" si="63">+E86</f>
        <v>10</v>
      </c>
      <c r="F87" s="502">
        <v>2</v>
      </c>
      <c r="G87" s="502">
        <f t="shared" ref="G87:G88" si="64">+ROUND(600/D87,0)</f>
        <v>8</v>
      </c>
      <c r="H87" s="503"/>
      <c r="I87" s="503">
        <f>2*(0.22+0.135)+16*0.01</f>
        <v>0.87</v>
      </c>
      <c r="J87" s="509"/>
      <c r="K87" s="509"/>
      <c r="L87" s="503">
        <f t="shared" si="56"/>
        <v>0.87</v>
      </c>
      <c r="M87" s="503">
        <f t="shared" si="57"/>
        <v>0</v>
      </c>
      <c r="N87" s="503">
        <f t="shared" si="58"/>
        <v>139.19999999999999</v>
      </c>
      <c r="O87" s="503">
        <f t="shared" si="59"/>
        <v>0</v>
      </c>
      <c r="P87" s="503">
        <f t="shared" si="60"/>
        <v>0</v>
      </c>
      <c r="Q87" s="503">
        <f t="shared" si="61"/>
        <v>0</v>
      </c>
      <c r="R87" s="503">
        <f t="shared" si="62"/>
        <v>0</v>
      </c>
    </row>
    <row r="88" spans="1:19">
      <c r="A88" s="505"/>
      <c r="B88" s="511"/>
      <c r="C88" s="507">
        <v>10</v>
      </c>
      <c r="D88" s="508">
        <v>75</v>
      </c>
      <c r="E88" s="507">
        <f t="shared" si="63"/>
        <v>10</v>
      </c>
      <c r="F88" s="502">
        <f>2*2</f>
        <v>4</v>
      </c>
      <c r="G88" s="502">
        <f t="shared" si="64"/>
        <v>8</v>
      </c>
      <c r="H88" s="503"/>
      <c r="I88" s="503">
        <f>+(0.168+0.168+0.22)+16*0.01</f>
        <v>0.71600000000000008</v>
      </c>
      <c r="J88" s="509"/>
      <c r="K88" s="509"/>
      <c r="L88" s="503">
        <f t="shared" si="56"/>
        <v>0.71600000000000008</v>
      </c>
      <c r="M88" s="503">
        <f t="shared" si="57"/>
        <v>0</v>
      </c>
      <c r="N88" s="503">
        <f t="shared" si="58"/>
        <v>229.12</v>
      </c>
      <c r="O88" s="503">
        <f t="shared" si="59"/>
        <v>0</v>
      </c>
      <c r="P88" s="503">
        <f t="shared" si="60"/>
        <v>0</v>
      </c>
      <c r="Q88" s="503">
        <f t="shared" si="61"/>
        <v>0</v>
      </c>
      <c r="R88" s="503">
        <f t="shared" si="62"/>
        <v>0</v>
      </c>
    </row>
    <row r="89" spans="1:19">
      <c r="A89" s="505"/>
      <c r="B89" s="511" t="s">
        <v>788</v>
      </c>
      <c r="C89" s="507">
        <v>8</v>
      </c>
      <c r="D89" s="508">
        <v>150</v>
      </c>
      <c r="E89" s="507">
        <f t="shared" si="63"/>
        <v>10</v>
      </c>
      <c r="F89" s="502">
        <v>1</v>
      </c>
      <c r="G89" s="502">
        <f t="shared" ref="G89:G91" si="65">+ROUND(1400/D89+1,0)</f>
        <v>10</v>
      </c>
      <c r="H89" s="503"/>
      <c r="I89" s="503">
        <f>2*(0.22+0.52)+16*0.008</f>
        <v>1.6080000000000001</v>
      </c>
      <c r="J89" s="509"/>
      <c r="K89" s="509"/>
      <c r="L89" s="503">
        <f t="shared" si="56"/>
        <v>1.6080000000000001</v>
      </c>
      <c r="M89" s="503">
        <f t="shared" si="57"/>
        <v>160.80000000000001</v>
      </c>
      <c r="N89" s="503">
        <f t="shared" si="58"/>
        <v>0</v>
      </c>
      <c r="O89" s="503">
        <f t="shared" si="59"/>
        <v>0</v>
      </c>
      <c r="P89" s="503">
        <f t="shared" si="60"/>
        <v>0</v>
      </c>
      <c r="Q89" s="503">
        <f t="shared" si="61"/>
        <v>0</v>
      </c>
      <c r="R89" s="503">
        <f t="shared" si="62"/>
        <v>0</v>
      </c>
    </row>
    <row r="90" spans="1:19">
      <c r="A90" s="505"/>
      <c r="B90" s="511"/>
      <c r="C90" s="507">
        <v>8</v>
      </c>
      <c r="D90" s="508">
        <v>150</v>
      </c>
      <c r="E90" s="507">
        <f t="shared" si="63"/>
        <v>10</v>
      </c>
      <c r="F90" s="502">
        <v>1</v>
      </c>
      <c r="G90" s="502">
        <f t="shared" si="65"/>
        <v>10</v>
      </c>
      <c r="H90" s="503"/>
      <c r="I90" s="503">
        <f>2*(0.22+0.13)+16*0.008</f>
        <v>0.82799999999999996</v>
      </c>
      <c r="J90" s="509"/>
      <c r="K90" s="509"/>
      <c r="L90" s="503">
        <f t="shared" si="56"/>
        <v>0.82799999999999996</v>
      </c>
      <c r="M90" s="503">
        <f t="shared" si="57"/>
        <v>82.8</v>
      </c>
      <c r="N90" s="503">
        <f t="shared" si="58"/>
        <v>0</v>
      </c>
      <c r="O90" s="503">
        <f t="shared" si="59"/>
        <v>0</v>
      </c>
      <c r="P90" s="503">
        <f t="shared" si="60"/>
        <v>0</v>
      </c>
      <c r="Q90" s="503">
        <f t="shared" si="61"/>
        <v>0</v>
      </c>
      <c r="R90" s="503">
        <f t="shared" si="62"/>
        <v>0</v>
      </c>
    </row>
    <row r="91" spans="1:19">
      <c r="A91" s="505"/>
      <c r="B91" s="511"/>
      <c r="C91" s="507">
        <v>8</v>
      </c>
      <c r="D91" s="508">
        <v>150</v>
      </c>
      <c r="E91" s="507">
        <f t="shared" si="63"/>
        <v>10</v>
      </c>
      <c r="F91" s="502">
        <v>2</v>
      </c>
      <c r="G91" s="502">
        <f t="shared" si="65"/>
        <v>10</v>
      </c>
      <c r="H91" s="503"/>
      <c r="I91" s="503">
        <f>+(0.168+0.168+0.22)+16*0.008</f>
        <v>0.68400000000000005</v>
      </c>
      <c r="J91" s="509"/>
      <c r="K91" s="509"/>
      <c r="L91" s="503">
        <f t="shared" si="56"/>
        <v>0.68400000000000005</v>
      </c>
      <c r="M91" s="503">
        <f t="shared" si="57"/>
        <v>136.80000000000001</v>
      </c>
      <c r="N91" s="503">
        <f t="shared" si="58"/>
        <v>0</v>
      </c>
      <c r="O91" s="503">
        <f t="shared" si="59"/>
        <v>0</v>
      </c>
      <c r="P91" s="503">
        <f t="shared" si="60"/>
        <v>0</v>
      </c>
      <c r="Q91" s="503">
        <f t="shared" si="61"/>
        <v>0</v>
      </c>
      <c r="R91" s="503">
        <f t="shared" si="62"/>
        <v>0</v>
      </c>
    </row>
    <row r="92" spans="1:19">
      <c r="A92" s="530">
        <f>+E92</f>
        <v>4</v>
      </c>
      <c r="B92" s="506" t="s">
        <v>926</v>
      </c>
      <c r="C92" s="507">
        <v>16</v>
      </c>
      <c r="D92" s="508"/>
      <c r="E92" s="507">
        <v>4</v>
      </c>
      <c r="F92" s="502">
        <v>1</v>
      </c>
      <c r="G92" s="502">
        <v>14</v>
      </c>
      <c r="H92" s="503"/>
      <c r="I92" s="503">
        <v>2.95</v>
      </c>
      <c r="J92" s="509"/>
      <c r="K92" s="509">
        <f t="shared" ref="K92:K93" si="66">1*36*C92/1000</f>
        <v>0.57599999999999996</v>
      </c>
      <c r="L92" s="503">
        <f t="shared" ref="L92:L101" si="67">SUM(H92:J92)+K92</f>
        <v>3.5260000000000002</v>
      </c>
      <c r="M92" s="503">
        <f t="shared" si="57"/>
        <v>0</v>
      </c>
      <c r="N92" s="503">
        <f t="shared" si="58"/>
        <v>0</v>
      </c>
      <c r="O92" s="503">
        <f t="shared" si="59"/>
        <v>0</v>
      </c>
      <c r="P92" s="503">
        <f t="shared" si="60"/>
        <v>197.46</v>
      </c>
      <c r="Q92" s="503">
        <f t="shared" si="61"/>
        <v>0</v>
      </c>
      <c r="R92" s="503">
        <f t="shared" si="62"/>
        <v>0</v>
      </c>
      <c r="S92" s="221">
        <f>+G92*E92</f>
        <v>56</v>
      </c>
    </row>
    <row r="93" spans="1:19">
      <c r="A93" s="505"/>
      <c r="B93" s="511"/>
      <c r="C93" s="507">
        <v>12</v>
      </c>
      <c r="D93" s="508"/>
      <c r="E93" s="507">
        <f>+E92</f>
        <v>4</v>
      </c>
      <c r="F93" s="502">
        <v>1</v>
      </c>
      <c r="G93" s="502">
        <v>2</v>
      </c>
      <c r="H93" s="503"/>
      <c r="I93" s="503">
        <v>2.95</v>
      </c>
      <c r="J93" s="509"/>
      <c r="K93" s="509">
        <f t="shared" si="66"/>
        <v>0.432</v>
      </c>
      <c r="L93" s="503">
        <f t="shared" si="67"/>
        <v>3.3820000000000001</v>
      </c>
      <c r="M93" s="503">
        <f t="shared" si="57"/>
        <v>0</v>
      </c>
      <c r="N93" s="503">
        <f t="shared" si="58"/>
        <v>0</v>
      </c>
      <c r="O93" s="503">
        <f t="shared" si="59"/>
        <v>27.06</v>
      </c>
      <c r="P93" s="503">
        <f t="shared" si="60"/>
        <v>0</v>
      </c>
      <c r="Q93" s="503">
        <f t="shared" si="61"/>
        <v>0</v>
      </c>
      <c r="R93" s="503">
        <f t="shared" si="62"/>
        <v>0</v>
      </c>
      <c r="S93" s="221">
        <f>+G93*E93</f>
        <v>8</v>
      </c>
    </row>
    <row r="94" spans="1:19">
      <c r="A94" s="505"/>
      <c r="B94" s="511" t="s">
        <v>787</v>
      </c>
      <c r="C94" s="507">
        <v>10</v>
      </c>
      <c r="D94" s="508">
        <v>75</v>
      </c>
      <c r="E94" s="507">
        <f t="shared" ref="E94:E101" si="68">+E93</f>
        <v>4</v>
      </c>
      <c r="F94" s="502">
        <v>2</v>
      </c>
      <c r="G94" s="502">
        <f>+ROUND(715/D94,0)+4</f>
        <v>14</v>
      </c>
      <c r="H94" s="503"/>
      <c r="I94" s="503">
        <f>2*(0.22+0.635)+16*0.01</f>
        <v>1.8699999999999999</v>
      </c>
      <c r="J94" s="509"/>
      <c r="K94" s="509"/>
      <c r="L94" s="503">
        <f t="shared" si="67"/>
        <v>1.8699999999999999</v>
      </c>
      <c r="M94" s="503">
        <f t="shared" si="57"/>
        <v>0</v>
      </c>
      <c r="N94" s="503">
        <f t="shared" si="58"/>
        <v>209.44</v>
      </c>
      <c r="O94" s="503">
        <f t="shared" si="59"/>
        <v>0</v>
      </c>
      <c r="P94" s="503">
        <f t="shared" si="60"/>
        <v>0</v>
      </c>
      <c r="Q94" s="503">
        <f t="shared" si="61"/>
        <v>0</v>
      </c>
      <c r="R94" s="503">
        <f t="shared" si="62"/>
        <v>0</v>
      </c>
    </row>
    <row r="95" spans="1:19">
      <c r="A95" s="505"/>
      <c r="B95" s="511"/>
      <c r="C95" s="507">
        <v>10</v>
      </c>
      <c r="D95" s="508">
        <v>75</v>
      </c>
      <c r="E95" s="507">
        <f t="shared" si="68"/>
        <v>4</v>
      </c>
      <c r="F95" s="502">
        <v>2</v>
      </c>
      <c r="G95" s="502">
        <f t="shared" ref="G95:G97" si="69">+ROUND(715/D95,0)</f>
        <v>10</v>
      </c>
      <c r="H95" s="503"/>
      <c r="I95" s="503">
        <f>2*(0.22+0.235)+16*0.01</f>
        <v>1.0699999999999998</v>
      </c>
      <c r="J95" s="509"/>
      <c r="K95" s="509"/>
      <c r="L95" s="503">
        <f t="shared" si="67"/>
        <v>1.0699999999999998</v>
      </c>
      <c r="M95" s="503">
        <f t="shared" si="57"/>
        <v>0</v>
      </c>
      <c r="N95" s="503">
        <f t="shared" si="58"/>
        <v>85.6</v>
      </c>
      <c r="O95" s="503">
        <f t="shared" si="59"/>
        <v>0</v>
      </c>
      <c r="P95" s="503">
        <f t="shared" si="60"/>
        <v>0</v>
      </c>
      <c r="Q95" s="503">
        <f t="shared" si="61"/>
        <v>0</v>
      </c>
      <c r="R95" s="503">
        <f t="shared" si="62"/>
        <v>0</v>
      </c>
    </row>
    <row r="96" spans="1:19">
      <c r="A96" s="505"/>
      <c r="B96" s="511"/>
      <c r="C96" s="507">
        <v>10</v>
      </c>
      <c r="D96" s="508">
        <v>75</v>
      </c>
      <c r="E96" s="507">
        <f t="shared" si="68"/>
        <v>4</v>
      </c>
      <c r="F96" s="502">
        <f>2*2</f>
        <v>4</v>
      </c>
      <c r="G96" s="502">
        <f t="shared" si="69"/>
        <v>10</v>
      </c>
      <c r="H96" s="503"/>
      <c r="I96" s="503">
        <f>+(0.168+0.168+0.22)+16*0.01</f>
        <v>0.71600000000000008</v>
      </c>
      <c r="J96" s="509"/>
      <c r="K96" s="509"/>
      <c r="L96" s="503">
        <f t="shared" si="67"/>
        <v>0.71600000000000008</v>
      </c>
      <c r="M96" s="503">
        <f t="shared" si="57"/>
        <v>0</v>
      </c>
      <c r="N96" s="503">
        <f t="shared" si="58"/>
        <v>114.56</v>
      </c>
      <c r="O96" s="503">
        <f t="shared" si="59"/>
        <v>0</v>
      </c>
      <c r="P96" s="503">
        <f t="shared" si="60"/>
        <v>0</v>
      </c>
      <c r="Q96" s="503">
        <f t="shared" si="61"/>
        <v>0</v>
      </c>
      <c r="R96" s="503">
        <f t="shared" si="62"/>
        <v>0</v>
      </c>
    </row>
    <row r="97" spans="1:19">
      <c r="A97" s="505"/>
      <c r="B97" s="511"/>
      <c r="C97" s="507">
        <v>10</v>
      </c>
      <c r="D97" s="508">
        <v>75</v>
      </c>
      <c r="E97" s="507">
        <f t="shared" si="68"/>
        <v>4</v>
      </c>
      <c r="F97" s="502">
        <v>2</v>
      </c>
      <c r="G97" s="502">
        <f t="shared" si="69"/>
        <v>10</v>
      </c>
      <c r="H97" s="503"/>
      <c r="I97" s="503">
        <f>0.22+2*10*0.01</f>
        <v>0.42000000000000004</v>
      </c>
      <c r="J97" s="509"/>
      <c r="K97" s="509"/>
      <c r="L97" s="503">
        <f t="shared" si="67"/>
        <v>0.42000000000000004</v>
      </c>
      <c r="M97" s="503">
        <f t="shared" si="57"/>
        <v>0</v>
      </c>
      <c r="N97" s="503">
        <f t="shared" si="58"/>
        <v>33.6</v>
      </c>
      <c r="O97" s="503">
        <f t="shared" si="59"/>
        <v>0</v>
      </c>
      <c r="P97" s="503">
        <f t="shared" si="60"/>
        <v>0</v>
      </c>
      <c r="Q97" s="503">
        <f t="shared" si="61"/>
        <v>0</v>
      </c>
      <c r="R97" s="503">
        <f t="shared" si="62"/>
        <v>0</v>
      </c>
    </row>
    <row r="98" spans="1:19">
      <c r="A98" s="505"/>
      <c r="B98" s="511" t="s">
        <v>788</v>
      </c>
      <c r="C98" s="507">
        <v>8</v>
      </c>
      <c r="D98" s="508">
        <v>150</v>
      </c>
      <c r="E98" s="507">
        <f t="shared" si="68"/>
        <v>4</v>
      </c>
      <c r="F98" s="502">
        <v>1</v>
      </c>
      <c r="G98" s="502">
        <f>+ROUND(1170/D98+1,0)</f>
        <v>9</v>
      </c>
      <c r="H98" s="503"/>
      <c r="I98" s="503">
        <f>2*(0.22+0.635)+16*0.008</f>
        <v>1.8380000000000001</v>
      </c>
      <c r="J98" s="509"/>
      <c r="K98" s="509"/>
      <c r="L98" s="503">
        <f t="shared" si="67"/>
        <v>1.8380000000000001</v>
      </c>
      <c r="M98" s="503">
        <f t="shared" si="57"/>
        <v>66.17</v>
      </c>
      <c r="N98" s="503">
        <f t="shared" si="58"/>
        <v>0</v>
      </c>
      <c r="O98" s="503">
        <f t="shared" si="59"/>
        <v>0</v>
      </c>
      <c r="P98" s="503">
        <f t="shared" si="60"/>
        <v>0</v>
      </c>
      <c r="Q98" s="503">
        <f t="shared" si="61"/>
        <v>0</v>
      </c>
      <c r="R98" s="503">
        <f t="shared" si="62"/>
        <v>0</v>
      </c>
    </row>
    <row r="99" spans="1:19">
      <c r="A99" s="505"/>
      <c r="B99" s="511"/>
      <c r="C99" s="507">
        <v>8</v>
      </c>
      <c r="D99" s="508">
        <v>150</v>
      </c>
      <c r="E99" s="507">
        <f t="shared" si="68"/>
        <v>4</v>
      </c>
      <c r="F99" s="502">
        <v>1</v>
      </c>
      <c r="G99" s="502">
        <f t="shared" ref="G99:G101" si="70">+ROUND(1170/D99+1,0)</f>
        <v>9</v>
      </c>
      <c r="H99" s="503"/>
      <c r="I99" s="503">
        <f>2*(0.22+0.235)+24*0.008</f>
        <v>1.1019999999999999</v>
      </c>
      <c r="J99" s="509"/>
      <c r="K99" s="509"/>
      <c r="L99" s="503">
        <f t="shared" si="67"/>
        <v>1.1019999999999999</v>
      </c>
      <c r="M99" s="503">
        <f t="shared" si="57"/>
        <v>39.67</v>
      </c>
      <c r="N99" s="503">
        <f t="shared" si="58"/>
        <v>0</v>
      </c>
      <c r="O99" s="503">
        <f t="shared" si="59"/>
        <v>0</v>
      </c>
      <c r="P99" s="503">
        <f t="shared" si="60"/>
        <v>0</v>
      </c>
      <c r="Q99" s="503">
        <f t="shared" si="61"/>
        <v>0</v>
      </c>
      <c r="R99" s="503">
        <f t="shared" si="62"/>
        <v>0</v>
      </c>
    </row>
    <row r="100" spans="1:19">
      <c r="A100" s="505"/>
      <c r="B100" s="511"/>
      <c r="C100" s="507">
        <v>8</v>
      </c>
      <c r="D100" s="508">
        <v>150</v>
      </c>
      <c r="E100" s="507">
        <f t="shared" si="68"/>
        <v>4</v>
      </c>
      <c r="F100" s="502">
        <v>2</v>
      </c>
      <c r="G100" s="502">
        <f t="shared" si="70"/>
        <v>9</v>
      </c>
      <c r="H100" s="503"/>
      <c r="I100" s="503">
        <f>+(0.168+0.168+0.22)+16*0.008</f>
        <v>0.68400000000000005</v>
      </c>
      <c r="J100" s="509"/>
      <c r="K100" s="509"/>
      <c r="L100" s="503">
        <f t="shared" si="67"/>
        <v>0.68400000000000005</v>
      </c>
      <c r="M100" s="503">
        <f t="shared" si="57"/>
        <v>49.25</v>
      </c>
      <c r="N100" s="503">
        <f t="shared" si="58"/>
        <v>0</v>
      </c>
      <c r="O100" s="503">
        <f t="shared" si="59"/>
        <v>0</v>
      </c>
      <c r="P100" s="503">
        <f t="shared" si="60"/>
        <v>0</v>
      </c>
      <c r="Q100" s="503">
        <f t="shared" si="61"/>
        <v>0</v>
      </c>
      <c r="R100" s="503">
        <f t="shared" si="62"/>
        <v>0</v>
      </c>
    </row>
    <row r="101" spans="1:19">
      <c r="A101" s="505"/>
      <c r="B101" s="511"/>
      <c r="C101" s="507">
        <v>8</v>
      </c>
      <c r="D101" s="508">
        <v>150</v>
      </c>
      <c r="E101" s="507">
        <f t="shared" si="68"/>
        <v>4</v>
      </c>
      <c r="F101" s="502">
        <v>1</v>
      </c>
      <c r="G101" s="502">
        <f t="shared" si="70"/>
        <v>9</v>
      </c>
      <c r="H101" s="503"/>
      <c r="I101" s="503">
        <f>0.22+2*10*0.008</f>
        <v>0.38</v>
      </c>
      <c r="J101" s="509"/>
      <c r="K101" s="509"/>
      <c r="L101" s="503">
        <f t="shared" si="67"/>
        <v>0.38</v>
      </c>
      <c r="M101" s="503">
        <f t="shared" si="57"/>
        <v>13.68</v>
      </c>
      <c r="N101" s="503">
        <f t="shared" si="58"/>
        <v>0</v>
      </c>
      <c r="O101" s="503">
        <f t="shared" si="59"/>
        <v>0</v>
      </c>
      <c r="P101" s="503">
        <f t="shared" si="60"/>
        <v>0</v>
      </c>
      <c r="Q101" s="503">
        <f t="shared" si="61"/>
        <v>0</v>
      </c>
      <c r="R101" s="503">
        <f t="shared" si="62"/>
        <v>0</v>
      </c>
    </row>
    <row r="102" spans="1:19">
      <c r="A102" s="505"/>
      <c r="B102" s="506" t="s">
        <v>830</v>
      </c>
      <c r="C102" s="507"/>
      <c r="D102" s="508"/>
      <c r="E102" s="507"/>
      <c r="F102" s="502"/>
      <c r="G102" s="502"/>
      <c r="H102" s="503"/>
      <c r="I102" s="503"/>
      <c r="J102" s="509"/>
      <c r="K102" s="509"/>
      <c r="L102" s="503">
        <f t="shared" si="18"/>
        <v>0</v>
      </c>
      <c r="M102" s="503">
        <f t="shared" si="0"/>
        <v>0</v>
      </c>
      <c r="N102" s="503">
        <f t="shared" si="1"/>
        <v>0</v>
      </c>
      <c r="O102" s="503">
        <f t="shared" si="2"/>
        <v>0</v>
      </c>
      <c r="P102" s="503">
        <f t="shared" si="6"/>
        <v>0</v>
      </c>
      <c r="Q102" s="503">
        <f t="shared" si="3"/>
        <v>0</v>
      </c>
      <c r="R102" s="503">
        <f t="shared" si="4"/>
        <v>0</v>
      </c>
    </row>
    <row r="103" spans="1:19">
      <c r="A103" s="530">
        <f>+E103</f>
        <v>2</v>
      </c>
      <c r="B103" s="506" t="s">
        <v>796</v>
      </c>
      <c r="C103" s="507">
        <v>16</v>
      </c>
      <c r="D103" s="508"/>
      <c r="E103" s="507">
        <v>2</v>
      </c>
      <c r="F103" s="502">
        <v>1</v>
      </c>
      <c r="G103" s="502">
        <v>8</v>
      </c>
      <c r="H103" s="503"/>
      <c r="I103" s="503">
        <v>2.95</v>
      </c>
      <c r="J103" s="509"/>
      <c r="K103" s="509">
        <f t="shared" ref="K103:K105" si="71">1*36*C103/1000</f>
        <v>0.57599999999999996</v>
      </c>
      <c r="L103" s="503">
        <f t="shared" si="18"/>
        <v>3.5260000000000002</v>
      </c>
      <c r="M103" s="503">
        <f t="shared" si="0"/>
        <v>0</v>
      </c>
      <c r="N103" s="503">
        <f t="shared" si="1"/>
        <v>0</v>
      </c>
      <c r="O103" s="503">
        <f t="shared" si="2"/>
        <v>0</v>
      </c>
      <c r="P103" s="503">
        <f t="shared" si="6"/>
        <v>56.42</v>
      </c>
      <c r="Q103" s="503">
        <f t="shared" si="3"/>
        <v>0</v>
      </c>
      <c r="R103" s="503">
        <f t="shared" si="4"/>
        <v>0</v>
      </c>
      <c r="S103" s="221">
        <f>+G103*E103</f>
        <v>16</v>
      </c>
    </row>
    <row r="104" spans="1:19">
      <c r="A104" s="505"/>
      <c r="B104" s="511"/>
      <c r="C104" s="507">
        <v>12</v>
      </c>
      <c r="D104" s="508"/>
      <c r="E104" s="507">
        <v>2</v>
      </c>
      <c r="F104" s="502">
        <v>1</v>
      </c>
      <c r="G104" s="502">
        <v>16</v>
      </c>
      <c r="H104" s="503"/>
      <c r="I104" s="503">
        <v>2.95</v>
      </c>
      <c r="J104" s="509"/>
      <c r="K104" s="509">
        <f t="shared" si="71"/>
        <v>0.432</v>
      </c>
      <c r="L104" s="503">
        <f t="shared" si="18"/>
        <v>3.3820000000000001</v>
      </c>
      <c r="M104" s="503">
        <f t="shared" si="0"/>
        <v>0</v>
      </c>
      <c r="N104" s="503">
        <f t="shared" si="1"/>
        <v>0</v>
      </c>
      <c r="O104" s="503">
        <f t="shared" si="2"/>
        <v>108.22</v>
      </c>
      <c r="P104" s="503">
        <f t="shared" si="6"/>
        <v>0</v>
      </c>
      <c r="Q104" s="503">
        <f t="shared" si="3"/>
        <v>0</v>
      </c>
      <c r="R104" s="503">
        <f t="shared" si="4"/>
        <v>0</v>
      </c>
      <c r="S104" s="221">
        <f>+G104*E104</f>
        <v>32</v>
      </c>
    </row>
    <row r="105" spans="1:19">
      <c r="A105" s="505"/>
      <c r="B105" s="511"/>
      <c r="C105" s="507">
        <v>10</v>
      </c>
      <c r="D105" s="508"/>
      <c r="E105" s="507">
        <v>2</v>
      </c>
      <c r="F105" s="502">
        <v>1</v>
      </c>
      <c r="G105" s="502">
        <v>8</v>
      </c>
      <c r="H105" s="503"/>
      <c r="I105" s="503">
        <v>2.95</v>
      </c>
      <c r="J105" s="509"/>
      <c r="K105" s="509">
        <f t="shared" si="71"/>
        <v>0.36</v>
      </c>
      <c r="L105" s="503">
        <f t="shared" si="18"/>
        <v>3.31</v>
      </c>
      <c r="M105" s="503">
        <f t="shared" si="0"/>
        <v>0</v>
      </c>
      <c r="N105" s="503">
        <f t="shared" si="1"/>
        <v>52.96</v>
      </c>
      <c r="O105" s="503">
        <f t="shared" si="2"/>
        <v>0</v>
      </c>
      <c r="P105" s="503">
        <f t="shared" si="6"/>
        <v>0</v>
      </c>
      <c r="Q105" s="503">
        <f t="shared" si="3"/>
        <v>0</v>
      </c>
      <c r="R105" s="503">
        <f t="shared" si="4"/>
        <v>0</v>
      </c>
    </row>
    <row r="106" spans="1:19">
      <c r="A106" s="505"/>
      <c r="B106" s="511" t="s">
        <v>797</v>
      </c>
      <c r="C106" s="507"/>
      <c r="D106" s="508"/>
      <c r="E106" s="507"/>
      <c r="F106" s="502"/>
      <c r="G106" s="502"/>
      <c r="H106" s="503"/>
      <c r="I106" s="503"/>
      <c r="J106" s="509"/>
      <c r="K106" s="509"/>
      <c r="L106" s="503">
        <f t="shared" si="18"/>
        <v>0</v>
      </c>
      <c r="M106" s="503">
        <f t="shared" si="0"/>
        <v>0</v>
      </c>
      <c r="N106" s="503">
        <f t="shared" si="1"/>
        <v>0</v>
      </c>
      <c r="O106" s="503">
        <f t="shared" si="2"/>
        <v>0</v>
      </c>
      <c r="P106" s="503">
        <f t="shared" si="6"/>
        <v>0</v>
      </c>
      <c r="Q106" s="503">
        <f t="shared" si="3"/>
        <v>0</v>
      </c>
      <c r="R106" s="503">
        <f t="shared" si="4"/>
        <v>0</v>
      </c>
    </row>
    <row r="107" spans="1:19">
      <c r="A107" s="505"/>
      <c r="B107" s="511" t="s">
        <v>810</v>
      </c>
      <c r="C107" s="507">
        <v>8</v>
      </c>
      <c r="D107" s="508">
        <v>100</v>
      </c>
      <c r="E107" s="507">
        <v>2</v>
      </c>
      <c r="F107" s="502">
        <v>1</v>
      </c>
      <c r="G107" s="502">
        <f>+ROUND(2550/D107+1,0)+4</f>
        <v>31</v>
      </c>
      <c r="H107" s="503"/>
      <c r="I107" s="503">
        <f>2*(0.18+0.6)+16*C107/1000</f>
        <v>1.6880000000000002</v>
      </c>
      <c r="J107" s="509"/>
      <c r="K107" s="509"/>
      <c r="L107" s="503">
        <f t="shared" si="18"/>
        <v>1.6880000000000002</v>
      </c>
      <c r="M107" s="503">
        <f t="shared" si="0"/>
        <v>104.66</v>
      </c>
      <c r="N107" s="503">
        <f t="shared" si="1"/>
        <v>0</v>
      </c>
      <c r="O107" s="503">
        <f t="shared" si="2"/>
        <v>0</v>
      </c>
      <c r="P107" s="503">
        <f t="shared" si="6"/>
        <v>0</v>
      </c>
      <c r="Q107" s="503">
        <f t="shared" si="3"/>
        <v>0</v>
      </c>
      <c r="R107" s="503">
        <f t="shared" si="4"/>
        <v>0</v>
      </c>
    </row>
    <row r="108" spans="1:19">
      <c r="A108" s="505"/>
      <c r="B108" s="511" t="s">
        <v>928</v>
      </c>
      <c r="C108" s="507">
        <v>8</v>
      </c>
      <c r="D108" s="508">
        <v>100</v>
      </c>
      <c r="E108" s="507">
        <v>2</v>
      </c>
      <c r="F108" s="502">
        <v>1</v>
      </c>
      <c r="G108" s="502">
        <f t="shared" ref="G108:G114" si="72">+ROUND(2550/D108+1,0)</f>
        <v>27</v>
      </c>
      <c r="H108" s="503"/>
      <c r="I108" s="503">
        <f>2*(0.18+0.256)+16*C108/1000</f>
        <v>1</v>
      </c>
      <c r="J108" s="509"/>
      <c r="K108" s="509"/>
      <c r="L108" s="503">
        <f t="shared" si="18"/>
        <v>1</v>
      </c>
      <c r="M108" s="503">
        <f t="shared" si="0"/>
        <v>54</v>
      </c>
      <c r="N108" s="503">
        <f t="shared" si="1"/>
        <v>0</v>
      </c>
      <c r="O108" s="503">
        <f t="shared" si="2"/>
        <v>0</v>
      </c>
      <c r="P108" s="503">
        <f t="shared" si="6"/>
        <v>0</v>
      </c>
      <c r="Q108" s="503">
        <f t="shared" si="3"/>
        <v>0</v>
      </c>
      <c r="R108" s="503">
        <f t="shared" si="4"/>
        <v>0</v>
      </c>
    </row>
    <row r="109" spans="1:19">
      <c r="A109" s="505"/>
      <c r="B109" s="511" t="s">
        <v>798</v>
      </c>
      <c r="C109" s="507">
        <v>8</v>
      </c>
      <c r="D109" s="508">
        <v>100</v>
      </c>
      <c r="E109" s="507">
        <v>2</v>
      </c>
      <c r="F109" s="502">
        <v>1</v>
      </c>
      <c r="G109" s="502">
        <f t="shared" si="72"/>
        <v>27</v>
      </c>
      <c r="H109" s="503"/>
      <c r="I109" s="503">
        <f>0.18+(20*C109/1000)</f>
        <v>0.33999999999999997</v>
      </c>
      <c r="J109" s="509"/>
      <c r="K109" s="509"/>
      <c r="L109" s="503">
        <f t="shared" si="18"/>
        <v>0.33999999999999997</v>
      </c>
      <c r="M109" s="503">
        <f t="shared" si="0"/>
        <v>18.36</v>
      </c>
      <c r="N109" s="503">
        <f t="shared" si="1"/>
        <v>0</v>
      </c>
      <c r="O109" s="503">
        <f t="shared" si="2"/>
        <v>0</v>
      </c>
      <c r="P109" s="503">
        <f t="shared" si="6"/>
        <v>0</v>
      </c>
      <c r="Q109" s="503">
        <f t="shared" si="3"/>
        <v>0</v>
      </c>
      <c r="R109" s="503">
        <f t="shared" si="4"/>
        <v>0</v>
      </c>
    </row>
    <row r="110" spans="1:19">
      <c r="A110" s="505"/>
      <c r="B110" s="511" t="s">
        <v>812</v>
      </c>
      <c r="C110" s="507">
        <v>8</v>
      </c>
      <c r="D110" s="508">
        <v>100</v>
      </c>
      <c r="E110" s="507">
        <v>2</v>
      </c>
      <c r="F110" s="502">
        <v>2</v>
      </c>
      <c r="G110" s="502">
        <v>4</v>
      </c>
      <c r="H110" s="503"/>
      <c r="I110" s="503">
        <f>2*(0.18+0.385)+16*C110/1000</f>
        <v>1.258</v>
      </c>
      <c r="J110" s="509"/>
      <c r="K110" s="509"/>
      <c r="L110" s="503">
        <f t="shared" si="18"/>
        <v>1.258</v>
      </c>
      <c r="M110" s="503">
        <f t="shared" si="0"/>
        <v>20.13</v>
      </c>
      <c r="N110" s="503">
        <f t="shared" si="1"/>
        <v>0</v>
      </c>
      <c r="O110" s="503">
        <f t="shared" si="2"/>
        <v>0</v>
      </c>
      <c r="P110" s="503">
        <f t="shared" si="6"/>
        <v>0</v>
      </c>
      <c r="Q110" s="503">
        <f t="shared" si="3"/>
        <v>0</v>
      </c>
      <c r="R110" s="503">
        <f t="shared" si="4"/>
        <v>0</v>
      </c>
    </row>
    <row r="111" spans="1:19">
      <c r="A111" s="505"/>
      <c r="B111" s="511" t="s">
        <v>813</v>
      </c>
      <c r="C111" s="507">
        <v>8</v>
      </c>
      <c r="D111" s="508">
        <v>100</v>
      </c>
      <c r="E111" s="507">
        <v>2</v>
      </c>
      <c r="F111" s="502">
        <v>1</v>
      </c>
      <c r="G111" s="502">
        <f t="shared" si="72"/>
        <v>27</v>
      </c>
      <c r="H111" s="503"/>
      <c r="I111" s="503">
        <f>2*(0.18+0.268)+16*C111/1000</f>
        <v>1.024</v>
      </c>
      <c r="J111" s="509"/>
      <c r="K111" s="509"/>
      <c r="L111" s="503">
        <f t="shared" si="18"/>
        <v>1.024</v>
      </c>
      <c r="M111" s="503">
        <f t="shared" si="0"/>
        <v>55.3</v>
      </c>
      <c r="N111" s="503">
        <f t="shared" si="1"/>
        <v>0</v>
      </c>
      <c r="O111" s="503">
        <f t="shared" si="2"/>
        <v>0</v>
      </c>
      <c r="P111" s="503">
        <f t="shared" si="6"/>
        <v>0</v>
      </c>
      <c r="Q111" s="503">
        <f t="shared" si="3"/>
        <v>0</v>
      </c>
      <c r="R111" s="503">
        <f t="shared" si="4"/>
        <v>0</v>
      </c>
    </row>
    <row r="112" spans="1:19">
      <c r="A112" s="505"/>
      <c r="B112" s="511" t="s">
        <v>798</v>
      </c>
      <c r="C112" s="507">
        <v>8</v>
      </c>
      <c r="D112" s="508">
        <v>100</v>
      </c>
      <c r="E112" s="507">
        <v>2</v>
      </c>
      <c r="F112" s="502">
        <v>1</v>
      </c>
      <c r="G112" s="502">
        <f t="shared" si="72"/>
        <v>27</v>
      </c>
      <c r="H112" s="503"/>
      <c r="I112" s="503">
        <f>0.18+(20*C112/1000)</f>
        <v>0.33999999999999997</v>
      </c>
      <c r="J112" s="509"/>
      <c r="K112" s="509"/>
      <c r="L112" s="503">
        <f t="shared" si="18"/>
        <v>0.33999999999999997</v>
      </c>
      <c r="M112" s="503">
        <f t="shared" si="0"/>
        <v>18.36</v>
      </c>
      <c r="N112" s="503">
        <f t="shared" si="1"/>
        <v>0</v>
      </c>
      <c r="O112" s="503">
        <f t="shared" si="2"/>
        <v>0</v>
      </c>
      <c r="P112" s="503">
        <f t="shared" si="6"/>
        <v>0</v>
      </c>
      <c r="Q112" s="503">
        <f t="shared" si="3"/>
        <v>0</v>
      </c>
      <c r="R112" s="503">
        <f t="shared" si="4"/>
        <v>0</v>
      </c>
    </row>
    <row r="113" spans="1:19">
      <c r="A113" s="505"/>
      <c r="B113" s="511" t="s">
        <v>831</v>
      </c>
      <c r="C113" s="507">
        <v>8</v>
      </c>
      <c r="D113" s="508">
        <v>200</v>
      </c>
      <c r="E113" s="507">
        <v>2</v>
      </c>
      <c r="F113" s="502">
        <v>1</v>
      </c>
      <c r="G113" s="502">
        <f>+ROUND(2550/D113+1,0)+4</f>
        <v>18</v>
      </c>
      <c r="H113" s="503"/>
      <c r="I113" s="503">
        <f>2*(0.18+0.866)+16*C113/1000</f>
        <v>2.2200000000000002</v>
      </c>
      <c r="J113" s="509"/>
      <c r="K113" s="509"/>
      <c r="L113" s="503">
        <f t="shared" si="18"/>
        <v>2.2200000000000002</v>
      </c>
      <c r="M113" s="503">
        <f t="shared" si="0"/>
        <v>79.92</v>
      </c>
      <c r="N113" s="503">
        <f t="shared" si="1"/>
        <v>0</v>
      </c>
      <c r="O113" s="503">
        <f t="shared" si="2"/>
        <v>0</v>
      </c>
      <c r="P113" s="503">
        <f t="shared" si="6"/>
        <v>0</v>
      </c>
      <c r="Q113" s="503">
        <f t="shared" si="3"/>
        <v>0</v>
      </c>
      <c r="R113" s="503">
        <f t="shared" si="4"/>
        <v>0</v>
      </c>
    </row>
    <row r="114" spans="1:19">
      <c r="A114" s="505"/>
      <c r="B114" s="511" t="s">
        <v>799</v>
      </c>
      <c r="C114" s="507">
        <v>8</v>
      </c>
      <c r="D114" s="508">
        <v>400</v>
      </c>
      <c r="E114" s="507">
        <v>2</v>
      </c>
      <c r="F114" s="502">
        <v>2</v>
      </c>
      <c r="G114" s="502">
        <f t="shared" si="72"/>
        <v>7</v>
      </c>
      <c r="H114" s="503"/>
      <c r="I114" s="503">
        <f>0.18+(20*C114/1000)</f>
        <v>0.33999999999999997</v>
      </c>
      <c r="J114" s="509"/>
      <c r="K114" s="509"/>
      <c r="L114" s="503">
        <f t="shared" si="18"/>
        <v>0.33999999999999997</v>
      </c>
      <c r="M114" s="503">
        <f t="shared" si="0"/>
        <v>9.52</v>
      </c>
      <c r="N114" s="503">
        <f t="shared" si="1"/>
        <v>0</v>
      </c>
      <c r="O114" s="503">
        <f t="shared" si="2"/>
        <v>0</v>
      </c>
      <c r="P114" s="503">
        <f t="shared" si="6"/>
        <v>0</v>
      </c>
      <c r="Q114" s="503">
        <f t="shared" si="3"/>
        <v>0</v>
      </c>
      <c r="R114" s="503">
        <f t="shared" si="4"/>
        <v>0</v>
      </c>
    </row>
    <row r="115" spans="1:19">
      <c r="A115" s="530">
        <f>+E115</f>
        <v>2</v>
      </c>
      <c r="B115" s="506" t="s">
        <v>800</v>
      </c>
      <c r="C115" s="507">
        <v>16</v>
      </c>
      <c r="D115" s="508"/>
      <c r="E115" s="507">
        <v>2</v>
      </c>
      <c r="F115" s="502">
        <v>1</v>
      </c>
      <c r="G115" s="502">
        <v>8</v>
      </c>
      <c r="H115" s="503"/>
      <c r="I115" s="503">
        <v>2.95</v>
      </c>
      <c r="J115" s="509"/>
      <c r="K115" s="509">
        <f t="shared" ref="K115:K117" si="73">1*36*C115/1000</f>
        <v>0.57599999999999996</v>
      </c>
      <c r="L115" s="503">
        <f t="shared" si="18"/>
        <v>3.5260000000000002</v>
      </c>
      <c r="M115" s="503">
        <f t="shared" si="0"/>
        <v>0</v>
      </c>
      <c r="N115" s="503">
        <f t="shared" si="1"/>
        <v>0</v>
      </c>
      <c r="O115" s="503">
        <f t="shared" si="2"/>
        <v>0</v>
      </c>
      <c r="P115" s="503">
        <f t="shared" si="6"/>
        <v>56.42</v>
      </c>
      <c r="Q115" s="503">
        <f t="shared" si="3"/>
        <v>0</v>
      </c>
      <c r="R115" s="503">
        <f t="shared" si="4"/>
        <v>0</v>
      </c>
      <c r="S115" s="221">
        <f>+G115*E115</f>
        <v>16</v>
      </c>
    </row>
    <row r="116" spans="1:19">
      <c r="A116" s="505"/>
      <c r="B116" s="511"/>
      <c r="C116" s="507">
        <v>12</v>
      </c>
      <c r="D116" s="508"/>
      <c r="E116" s="507">
        <v>2</v>
      </c>
      <c r="F116" s="502">
        <v>1</v>
      </c>
      <c r="G116" s="502">
        <v>16</v>
      </c>
      <c r="H116" s="503"/>
      <c r="I116" s="503">
        <v>2.95</v>
      </c>
      <c r="J116" s="509"/>
      <c r="K116" s="509">
        <f t="shared" si="73"/>
        <v>0.432</v>
      </c>
      <c r="L116" s="503">
        <f t="shared" si="18"/>
        <v>3.3820000000000001</v>
      </c>
      <c r="M116" s="503">
        <f t="shared" si="0"/>
        <v>0</v>
      </c>
      <c r="N116" s="503">
        <f t="shared" si="1"/>
        <v>0</v>
      </c>
      <c r="O116" s="503">
        <f t="shared" si="2"/>
        <v>108.22</v>
      </c>
      <c r="P116" s="503">
        <f t="shared" si="6"/>
        <v>0</v>
      </c>
      <c r="Q116" s="503">
        <f t="shared" si="3"/>
        <v>0</v>
      </c>
      <c r="R116" s="503">
        <f t="shared" si="4"/>
        <v>0</v>
      </c>
      <c r="S116" s="221">
        <f>+G116*E116</f>
        <v>32</v>
      </c>
    </row>
    <row r="117" spans="1:19">
      <c r="A117" s="505"/>
      <c r="B117" s="511"/>
      <c r="C117" s="507">
        <v>10</v>
      </c>
      <c r="D117" s="508"/>
      <c r="E117" s="507">
        <v>2</v>
      </c>
      <c r="F117" s="502">
        <v>1</v>
      </c>
      <c r="G117" s="502">
        <v>10</v>
      </c>
      <c r="H117" s="503"/>
      <c r="I117" s="503">
        <v>2.95</v>
      </c>
      <c r="J117" s="509"/>
      <c r="K117" s="509">
        <f t="shared" si="73"/>
        <v>0.36</v>
      </c>
      <c r="L117" s="503">
        <f t="shared" si="18"/>
        <v>3.31</v>
      </c>
      <c r="M117" s="503">
        <f t="shared" si="0"/>
        <v>0</v>
      </c>
      <c r="N117" s="503">
        <f t="shared" si="1"/>
        <v>66.2</v>
      </c>
      <c r="O117" s="503">
        <f t="shared" si="2"/>
        <v>0</v>
      </c>
      <c r="P117" s="503">
        <f t="shared" si="6"/>
        <v>0</v>
      </c>
      <c r="Q117" s="503">
        <f t="shared" si="3"/>
        <v>0</v>
      </c>
      <c r="R117" s="503">
        <f t="shared" si="4"/>
        <v>0</v>
      </c>
    </row>
    <row r="118" spans="1:19">
      <c r="A118" s="505"/>
      <c r="B118" s="511" t="s">
        <v>797</v>
      </c>
      <c r="C118" s="507"/>
      <c r="D118" s="508"/>
      <c r="E118" s="507"/>
      <c r="F118" s="502"/>
      <c r="G118" s="502"/>
      <c r="H118" s="503"/>
      <c r="I118" s="503"/>
      <c r="J118" s="509"/>
      <c r="K118" s="509"/>
      <c r="L118" s="503">
        <f t="shared" si="18"/>
        <v>0</v>
      </c>
      <c r="M118" s="503">
        <f t="shared" si="0"/>
        <v>0</v>
      </c>
      <c r="N118" s="503">
        <f t="shared" si="1"/>
        <v>0</v>
      </c>
      <c r="O118" s="503">
        <f t="shared" si="2"/>
        <v>0</v>
      </c>
      <c r="P118" s="503">
        <f t="shared" si="6"/>
        <v>0</v>
      </c>
      <c r="Q118" s="503">
        <f t="shared" si="3"/>
        <v>0</v>
      </c>
      <c r="R118" s="503">
        <f t="shared" si="4"/>
        <v>0</v>
      </c>
    </row>
    <row r="119" spans="1:19">
      <c r="A119" s="505"/>
      <c r="B119" s="511" t="s">
        <v>810</v>
      </c>
      <c r="C119" s="507">
        <v>8</v>
      </c>
      <c r="D119" s="508">
        <v>100</v>
      </c>
      <c r="E119" s="507">
        <v>2</v>
      </c>
      <c r="F119" s="502">
        <v>1</v>
      </c>
      <c r="G119" s="502">
        <f>+ROUND(2550/D119+1,0)+4</f>
        <v>31</v>
      </c>
      <c r="H119" s="503"/>
      <c r="I119" s="503">
        <f>2*(0.18+0.6)+16*C119/1000</f>
        <v>1.6880000000000002</v>
      </c>
      <c r="J119" s="509"/>
      <c r="K119" s="509"/>
      <c r="L119" s="503">
        <f t="shared" si="18"/>
        <v>1.6880000000000002</v>
      </c>
      <c r="M119" s="503">
        <f t="shared" si="0"/>
        <v>104.66</v>
      </c>
      <c r="N119" s="503">
        <f t="shared" si="1"/>
        <v>0</v>
      </c>
      <c r="O119" s="503">
        <f t="shared" si="2"/>
        <v>0</v>
      </c>
      <c r="P119" s="503">
        <f t="shared" si="6"/>
        <v>0</v>
      </c>
      <c r="Q119" s="503">
        <f t="shared" si="3"/>
        <v>0</v>
      </c>
      <c r="R119" s="503">
        <f t="shared" si="4"/>
        <v>0</v>
      </c>
    </row>
    <row r="120" spans="1:19">
      <c r="A120" s="505"/>
      <c r="B120" s="511" t="s">
        <v>928</v>
      </c>
      <c r="C120" s="507">
        <v>8</v>
      </c>
      <c r="D120" s="508">
        <v>100</v>
      </c>
      <c r="E120" s="507">
        <v>2</v>
      </c>
      <c r="F120" s="502">
        <v>1</v>
      </c>
      <c r="G120" s="502">
        <f t="shared" ref="G120:G126" si="74">+ROUND(2550/D120+1,0)</f>
        <v>27</v>
      </c>
      <c r="H120" s="503"/>
      <c r="I120" s="503">
        <f>2*(0.18+0.256)+16*C120/1000</f>
        <v>1</v>
      </c>
      <c r="J120" s="509"/>
      <c r="K120" s="509"/>
      <c r="L120" s="503">
        <f t="shared" si="18"/>
        <v>1</v>
      </c>
      <c r="M120" s="503">
        <f t="shared" si="0"/>
        <v>54</v>
      </c>
      <c r="N120" s="503">
        <f t="shared" si="1"/>
        <v>0</v>
      </c>
      <c r="O120" s="503">
        <f t="shared" si="2"/>
        <v>0</v>
      </c>
      <c r="P120" s="503">
        <f t="shared" si="6"/>
        <v>0</v>
      </c>
      <c r="Q120" s="503">
        <f t="shared" si="3"/>
        <v>0</v>
      </c>
      <c r="R120" s="503">
        <f t="shared" si="4"/>
        <v>0</v>
      </c>
    </row>
    <row r="121" spans="1:19">
      <c r="A121" s="505"/>
      <c r="B121" s="511" t="s">
        <v>798</v>
      </c>
      <c r="C121" s="507">
        <v>8</v>
      </c>
      <c r="D121" s="508">
        <v>100</v>
      </c>
      <c r="E121" s="507">
        <v>2</v>
      </c>
      <c r="F121" s="502">
        <v>1</v>
      </c>
      <c r="G121" s="502">
        <f t="shared" si="74"/>
        <v>27</v>
      </c>
      <c r="H121" s="503"/>
      <c r="I121" s="503">
        <f>0.18+(20*C121/1000)</f>
        <v>0.33999999999999997</v>
      </c>
      <c r="J121" s="509"/>
      <c r="K121" s="509"/>
      <c r="L121" s="503">
        <f t="shared" si="18"/>
        <v>0.33999999999999997</v>
      </c>
      <c r="M121" s="503">
        <f t="shared" si="0"/>
        <v>18.36</v>
      </c>
      <c r="N121" s="503">
        <f t="shared" si="1"/>
        <v>0</v>
      </c>
      <c r="O121" s="503">
        <f t="shared" si="2"/>
        <v>0</v>
      </c>
      <c r="P121" s="503">
        <f t="shared" si="6"/>
        <v>0</v>
      </c>
      <c r="Q121" s="503">
        <f t="shared" si="3"/>
        <v>0</v>
      </c>
      <c r="R121" s="503">
        <f t="shared" si="4"/>
        <v>0</v>
      </c>
    </row>
    <row r="122" spans="1:19">
      <c r="A122" s="505"/>
      <c r="B122" s="511" t="s">
        <v>812</v>
      </c>
      <c r="C122" s="507">
        <v>8</v>
      </c>
      <c r="D122" s="508">
        <v>100</v>
      </c>
      <c r="E122" s="507">
        <v>2</v>
      </c>
      <c r="F122" s="502">
        <v>2</v>
      </c>
      <c r="G122" s="502">
        <f>+ROUND(2550/D122+1,0)+4</f>
        <v>31</v>
      </c>
      <c r="H122" s="503"/>
      <c r="I122" s="503">
        <f>2*(0.18+0.385)+16*C122/1000</f>
        <v>1.258</v>
      </c>
      <c r="J122" s="509"/>
      <c r="K122" s="509"/>
      <c r="L122" s="503">
        <f t="shared" si="18"/>
        <v>1.258</v>
      </c>
      <c r="M122" s="503">
        <f t="shared" si="0"/>
        <v>155.99</v>
      </c>
      <c r="N122" s="503">
        <f t="shared" si="1"/>
        <v>0</v>
      </c>
      <c r="O122" s="503">
        <f t="shared" si="2"/>
        <v>0</v>
      </c>
      <c r="P122" s="503">
        <f t="shared" si="6"/>
        <v>0</v>
      </c>
      <c r="Q122" s="503">
        <f t="shared" si="3"/>
        <v>0</v>
      </c>
      <c r="R122" s="503">
        <f t="shared" si="4"/>
        <v>0</v>
      </c>
    </row>
    <row r="123" spans="1:19">
      <c r="A123" s="505"/>
      <c r="B123" s="511" t="s">
        <v>813</v>
      </c>
      <c r="C123" s="507">
        <v>8</v>
      </c>
      <c r="D123" s="508">
        <v>100</v>
      </c>
      <c r="E123" s="507">
        <v>2</v>
      </c>
      <c r="F123" s="502">
        <v>1</v>
      </c>
      <c r="G123" s="502">
        <f t="shared" si="74"/>
        <v>27</v>
      </c>
      <c r="H123" s="503"/>
      <c r="I123" s="503">
        <f>2*(0.18+0.268)+16*C123/1000</f>
        <v>1.024</v>
      </c>
      <c r="J123" s="509"/>
      <c r="K123" s="509"/>
      <c r="L123" s="503">
        <f t="shared" si="18"/>
        <v>1.024</v>
      </c>
      <c r="M123" s="503">
        <f t="shared" si="0"/>
        <v>55.3</v>
      </c>
      <c r="N123" s="503">
        <f t="shared" si="1"/>
        <v>0</v>
      </c>
      <c r="O123" s="503">
        <f t="shared" si="2"/>
        <v>0</v>
      </c>
      <c r="P123" s="503">
        <f t="shared" si="6"/>
        <v>0</v>
      </c>
      <c r="Q123" s="503">
        <f t="shared" si="3"/>
        <v>0</v>
      </c>
      <c r="R123" s="503">
        <f t="shared" si="4"/>
        <v>0</v>
      </c>
    </row>
    <row r="124" spans="1:19">
      <c r="A124" s="505"/>
      <c r="B124" s="511" t="s">
        <v>798</v>
      </c>
      <c r="C124" s="507">
        <v>8</v>
      </c>
      <c r="D124" s="508">
        <v>100</v>
      </c>
      <c r="E124" s="507">
        <v>2</v>
      </c>
      <c r="F124" s="502">
        <v>1</v>
      </c>
      <c r="G124" s="502">
        <f t="shared" si="74"/>
        <v>27</v>
      </c>
      <c r="H124" s="503"/>
      <c r="I124" s="503">
        <f>0.18+(20*C124/1000)</f>
        <v>0.33999999999999997</v>
      </c>
      <c r="J124" s="509"/>
      <c r="K124" s="509"/>
      <c r="L124" s="503">
        <f t="shared" si="18"/>
        <v>0.33999999999999997</v>
      </c>
      <c r="M124" s="503">
        <f t="shared" si="0"/>
        <v>18.36</v>
      </c>
      <c r="N124" s="503">
        <f t="shared" si="1"/>
        <v>0</v>
      </c>
      <c r="O124" s="503">
        <f t="shared" si="2"/>
        <v>0</v>
      </c>
      <c r="P124" s="503">
        <f t="shared" si="6"/>
        <v>0</v>
      </c>
      <c r="Q124" s="503">
        <f t="shared" si="3"/>
        <v>0</v>
      </c>
      <c r="R124" s="503">
        <f t="shared" si="4"/>
        <v>0</v>
      </c>
    </row>
    <row r="125" spans="1:19">
      <c r="A125" s="505"/>
      <c r="B125" s="511" t="s">
        <v>814</v>
      </c>
      <c r="C125" s="507">
        <v>8</v>
      </c>
      <c r="D125" s="508">
        <v>200</v>
      </c>
      <c r="E125" s="507">
        <v>2</v>
      </c>
      <c r="F125" s="502">
        <v>1</v>
      </c>
      <c r="G125" s="502">
        <f>+ROUND(2550/D125+1,0)+4</f>
        <v>18</v>
      </c>
      <c r="H125" s="503"/>
      <c r="I125" s="503">
        <f>2*(0.18+1.066)+16*C125/1000</f>
        <v>2.62</v>
      </c>
      <c r="J125" s="509"/>
      <c r="K125" s="509"/>
      <c r="L125" s="503">
        <f t="shared" si="18"/>
        <v>2.62</v>
      </c>
      <c r="M125" s="503">
        <f t="shared" si="0"/>
        <v>94.32</v>
      </c>
      <c r="N125" s="503">
        <f t="shared" si="1"/>
        <v>0</v>
      </c>
      <c r="O125" s="503">
        <f t="shared" si="2"/>
        <v>0</v>
      </c>
      <c r="P125" s="503">
        <f t="shared" si="6"/>
        <v>0</v>
      </c>
      <c r="Q125" s="503">
        <f t="shared" si="3"/>
        <v>0</v>
      </c>
      <c r="R125" s="503">
        <f t="shared" si="4"/>
        <v>0</v>
      </c>
    </row>
    <row r="126" spans="1:19">
      <c r="A126" s="505"/>
      <c r="B126" s="511" t="s">
        <v>799</v>
      </c>
      <c r="C126" s="507">
        <v>8</v>
      </c>
      <c r="D126" s="508">
        <v>400</v>
      </c>
      <c r="E126" s="507">
        <v>2</v>
      </c>
      <c r="F126" s="502">
        <v>2</v>
      </c>
      <c r="G126" s="502">
        <f t="shared" si="74"/>
        <v>7</v>
      </c>
      <c r="H126" s="503"/>
      <c r="I126" s="503">
        <f>0.18+(20*C126/1000)</f>
        <v>0.33999999999999997</v>
      </c>
      <c r="J126" s="509"/>
      <c r="K126" s="509"/>
      <c r="L126" s="503">
        <f t="shared" ref="L126:L131" si="75">SUM(H126:J126)+K126</f>
        <v>0.33999999999999997</v>
      </c>
      <c r="M126" s="503">
        <f t="shared" si="0"/>
        <v>9.52</v>
      </c>
      <c r="N126" s="503">
        <f t="shared" si="1"/>
        <v>0</v>
      </c>
      <c r="O126" s="503">
        <f t="shared" si="2"/>
        <v>0</v>
      </c>
      <c r="P126" s="503">
        <f t="shared" si="6"/>
        <v>0</v>
      </c>
      <c r="Q126" s="503">
        <f t="shared" si="3"/>
        <v>0</v>
      </c>
      <c r="R126" s="503">
        <f t="shared" si="4"/>
        <v>0</v>
      </c>
    </row>
    <row r="127" spans="1:19">
      <c r="A127" s="530">
        <f>+E127</f>
        <v>2</v>
      </c>
      <c r="B127" s="506" t="s">
        <v>801</v>
      </c>
      <c r="C127" s="507">
        <v>16</v>
      </c>
      <c r="D127" s="508"/>
      <c r="E127" s="507">
        <v>2</v>
      </c>
      <c r="F127" s="502">
        <v>1</v>
      </c>
      <c r="G127" s="502">
        <v>4</v>
      </c>
      <c r="H127" s="503"/>
      <c r="I127" s="503">
        <v>2.95</v>
      </c>
      <c r="J127" s="509"/>
      <c r="K127" s="509">
        <f t="shared" ref="K127:K128" si="76">1*36*C127/1000</f>
        <v>0.57599999999999996</v>
      </c>
      <c r="L127" s="503">
        <f t="shared" si="75"/>
        <v>3.5260000000000002</v>
      </c>
      <c r="M127" s="503">
        <f t="shared" si="0"/>
        <v>0</v>
      </c>
      <c r="N127" s="503">
        <f t="shared" si="1"/>
        <v>0</v>
      </c>
      <c r="O127" s="503">
        <f t="shared" si="2"/>
        <v>0</v>
      </c>
      <c r="P127" s="503">
        <f t="shared" si="6"/>
        <v>28.21</v>
      </c>
      <c r="Q127" s="503">
        <f t="shared" si="3"/>
        <v>0</v>
      </c>
      <c r="R127" s="503">
        <f t="shared" si="4"/>
        <v>0</v>
      </c>
      <c r="S127" s="221">
        <f>+G127*E127</f>
        <v>8</v>
      </c>
    </row>
    <row r="128" spans="1:19">
      <c r="A128" s="505"/>
      <c r="B128" s="511"/>
      <c r="C128" s="507">
        <v>12</v>
      </c>
      <c r="D128" s="508"/>
      <c r="E128" s="507">
        <v>2</v>
      </c>
      <c r="F128" s="502">
        <v>1</v>
      </c>
      <c r="G128" s="502">
        <v>16</v>
      </c>
      <c r="H128" s="503"/>
      <c r="I128" s="503">
        <v>2.95</v>
      </c>
      <c r="J128" s="509"/>
      <c r="K128" s="509">
        <f t="shared" si="76"/>
        <v>0.432</v>
      </c>
      <c r="L128" s="503">
        <f t="shared" si="75"/>
        <v>3.3820000000000001</v>
      </c>
      <c r="M128" s="503">
        <f t="shared" si="0"/>
        <v>0</v>
      </c>
      <c r="N128" s="503">
        <f t="shared" si="1"/>
        <v>0</v>
      </c>
      <c r="O128" s="503">
        <f t="shared" si="2"/>
        <v>108.22</v>
      </c>
      <c r="P128" s="503">
        <f t="shared" si="6"/>
        <v>0</v>
      </c>
      <c r="Q128" s="503">
        <f t="shared" si="3"/>
        <v>0</v>
      </c>
      <c r="R128" s="503">
        <f t="shared" si="4"/>
        <v>0</v>
      </c>
      <c r="S128" s="221">
        <f>+G128*E128</f>
        <v>32</v>
      </c>
    </row>
    <row r="129" spans="1:19">
      <c r="A129" s="505"/>
      <c r="B129" s="511" t="s">
        <v>797</v>
      </c>
      <c r="C129" s="507"/>
      <c r="D129" s="508"/>
      <c r="E129" s="507"/>
      <c r="F129" s="502"/>
      <c r="G129" s="502"/>
      <c r="H129" s="503"/>
      <c r="I129" s="503"/>
      <c r="J129" s="509"/>
      <c r="K129" s="509"/>
      <c r="L129" s="503">
        <f t="shared" si="75"/>
        <v>0</v>
      </c>
      <c r="M129" s="503">
        <f t="shared" si="0"/>
        <v>0</v>
      </c>
      <c r="N129" s="503">
        <f t="shared" si="1"/>
        <v>0</v>
      </c>
      <c r="O129" s="503">
        <f t="shared" si="2"/>
        <v>0</v>
      </c>
      <c r="P129" s="503">
        <f t="shared" si="6"/>
        <v>0</v>
      </c>
      <c r="Q129" s="503">
        <f t="shared" si="3"/>
        <v>0</v>
      </c>
      <c r="R129" s="503">
        <f t="shared" si="4"/>
        <v>0</v>
      </c>
    </row>
    <row r="130" spans="1:19">
      <c r="A130" s="505"/>
      <c r="B130" s="511" t="s">
        <v>832</v>
      </c>
      <c r="C130" s="507">
        <v>8</v>
      </c>
      <c r="D130" s="508">
        <v>100</v>
      </c>
      <c r="E130" s="507">
        <v>2</v>
      </c>
      <c r="F130" s="502">
        <v>1</v>
      </c>
      <c r="G130" s="502">
        <f>+ROUND(2550/D130+1,0)+4</f>
        <v>31</v>
      </c>
      <c r="H130" s="503"/>
      <c r="I130" s="503">
        <f>2*(0.18+0.95)+16*C130/1000</f>
        <v>2.3879999999999999</v>
      </c>
      <c r="J130" s="509"/>
      <c r="K130" s="509"/>
      <c r="L130" s="503">
        <f t="shared" si="75"/>
        <v>2.3879999999999999</v>
      </c>
      <c r="M130" s="503">
        <f t="shared" si="0"/>
        <v>148.06</v>
      </c>
      <c r="N130" s="503">
        <f t="shared" si="1"/>
        <v>0</v>
      </c>
      <c r="O130" s="503">
        <f t="shared" si="2"/>
        <v>0</v>
      </c>
      <c r="P130" s="503">
        <f t="shared" si="6"/>
        <v>0</v>
      </c>
      <c r="Q130" s="503">
        <f t="shared" si="3"/>
        <v>0</v>
      </c>
      <c r="R130" s="503">
        <f t="shared" si="4"/>
        <v>0</v>
      </c>
    </row>
    <row r="131" spans="1:19">
      <c r="A131" s="505"/>
      <c r="B131" s="511" t="s">
        <v>833</v>
      </c>
      <c r="C131" s="507">
        <v>8</v>
      </c>
      <c r="D131" s="508">
        <v>100</v>
      </c>
      <c r="E131" s="507">
        <v>2</v>
      </c>
      <c r="F131" s="502">
        <v>4</v>
      </c>
      <c r="G131" s="502">
        <f>+ROUND(2550/D131+1,0)</f>
        <v>27</v>
      </c>
      <c r="H131" s="503"/>
      <c r="I131" s="503">
        <f>2*(0.18+0.12)+16*C131/1000</f>
        <v>0.72799999999999998</v>
      </c>
      <c r="J131" s="509"/>
      <c r="K131" s="509"/>
      <c r="L131" s="503">
        <f t="shared" si="75"/>
        <v>0.72799999999999998</v>
      </c>
      <c r="M131" s="503">
        <f t="shared" si="0"/>
        <v>157.25</v>
      </c>
      <c r="N131" s="503">
        <f t="shared" si="1"/>
        <v>0</v>
      </c>
      <c r="O131" s="503">
        <f t="shared" si="2"/>
        <v>0</v>
      </c>
      <c r="P131" s="503">
        <f t="shared" si="6"/>
        <v>0</v>
      </c>
      <c r="Q131" s="503">
        <f t="shared" si="3"/>
        <v>0</v>
      </c>
      <c r="R131" s="503">
        <f t="shared" si="4"/>
        <v>0</v>
      </c>
    </row>
    <row r="132" spans="1:19">
      <c r="A132" s="530">
        <f>+E132</f>
        <v>2</v>
      </c>
      <c r="B132" s="506" t="s">
        <v>802</v>
      </c>
      <c r="C132" s="507">
        <v>16</v>
      </c>
      <c r="D132" s="508"/>
      <c r="E132" s="507">
        <v>2</v>
      </c>
      <c r="F132" s="502">
        <v>1</v>
      </c>
      <c r="G132" s="502">
        <v>4</v>
      </c>
      <c r="H132" s="503"/>
      <c r="I132" s="503">
        <v>2.95</v>
      </c>
      <c r="J132" s="509"/>
      <c r="K132" s="509">
        <f t="shared" ref="K132:K133" si="77">1*36*C132/1000</f>
        <v>0.57599999999999996</v>
      </c>
      <c r="L132" s="503">
        <f t="shared" ref="L132" si="78">SUM(H132:J132)+K132</f>
        <v>3.5260000000000002</v>
      </c>
      <c r="M132" s="503">
        <f t="shared" si="0"/>
        <v>0</v>
      </c>
      <c r="N132" s="503">
        <f t="shared" si="1"/>
        <v>0</v>
      </c>
      <c r="O132" s="503">
        <f t="shared" si="2"/>
        <v>0</v>
      </c>
      <c r="P132" s="503">
        <f t="shared" si="6"/>
        <v>28.21</v>
      </c>
      <c r="Q132" s="503">
        <f t="shared" si="3"/>
        <v>0</v>
      </c>
      <c r="R132" s="503">
        <f t="shared" si="4"/>
        <v>0</v>
      </c>
      <c r="S132" s="221">
        <f>+G132*E132</f>
        <v>8</v>
      </c>
    </row>
    <row r="133" spans="1:19">
      <c r="A133" s="505"/>
      <c r="B133" s="511"/>
      <c r="C133" s="507">
        <v>12</v>
      </c>
      <c r="D133" s="508"/>
      <c r="E133" s="507">
        <v>2</v>
      </c>
      <c r="F133" s="502">
        <v>1</v>
      </c>
      <c r="G133" s="502">
        <v>18</v>
      </c>
      <c r="H133" s="503"/>
      <c r="I133" s="503">
        <v>2.95</v>
      </c>
      <c r="J133" s="509"/>
      <c r="K133" s="509">
        <f t="shared" si="77"/>
        <v>0.432</v>
      </c>
      <c r="L133" s="503">
        <f>SUM(H133:J133)+K133</f>
        <v>3.3820000000000001</v>
      </c>
      <c r="M133" s="503">
        <f>+ROUND(IF(C133=8,PRODUCT(E133,F133,G133,L133),0),2)</f>
        <v>0</v>
      </c>
      <c r="N133" s="503">
        <f t="shared" si="1"/>
        <v>0</v>
      </c>
      <c r="O133" s="503">
        <f t="shared" si="2"/>
        <v>121.75</v>
      </c>
      <c r="P133" s="503">
        <f t="shared" si="6"/>
        <v>0</v>
      </c>
      <c r="Q133" s="503">
        <f t="shared" si="3"/>
        <v>0</v>
      </c>
      <c r="R133" s="503">
        <f t="shared" si="4"/>
        <v>0</v>
      </c>
      <c r="S133" s="221">
        <f>+G133*E133</f>
        <v>36</v>
      </c>
    </row>
    <row r="134" spans="1:19">
      <c r="A134" s="505"/>
      <c r="B134" s="511" t="s">
        <v>797</v>
      </c>
      <c r="C134" s="507"/>
      <c r="D134" s="508"/>
      <c r="E134" s="507"/>
      <c r="F134" s="502"/>
      <c r="G134" s="502"/>
      <c r="H134" s="503"/>
      <c r="I134" s="503"/>
      <c r="J134" s="509"/>
      <c r="K134" s="509"/>
      <c r="L134" s="503">
        <f t="shared" ref="L134:L136" si="79">SUM(H134:J134)+K134</f>
        <v>0</v>
      </c>
      <c r="M134" s="503">
        <f t="shared" ref="M134:M138" si="80">+ROUND(IF(C134=8,PRODUCT(E134,F134,G134,L134),0),2)</f>
        <v>0</v>
      </c>
      <c r="N134" s="503">
        <f t="shared" si="1"/>
        <v>0</v>
      </c>
      <c r="O134" s="503">
        <f t="shared" si="2"/>
        <v>0</v>
      </c>
      <c r="P134" s="503">
        <f t="shared" si="6"/>
        <v>0</v>
      </c>
      <c r="Q134" s="503">
        <f t="shared" si="3"/>
        <v>0</v>
      </c>
      <c r="R134" s="503">
        <f t="shared" si="4"/>
        <v>0</v>
      </c>
    </row>
    <row r="135" spans="1:19">
      <c r="A135" s="505"/>
      <c r="B135" s="511" t="s">
        <v>834</v>
      </c>
      <c r="C135" s="507">
        <v>8</v>
      </c>
      <c r="D135" s="508">
        <v>100</v>
      </c>
      <c r="E135" s="507">
        <v>2</v>
      </c>
      <c r="F135" s="502">
        <v>1</v>
      </c>
      <c r="G135" s="502">
        <f>+ROUND(2550/D135+1,0)+4</f>
        <v>31</v>
      </c>
      <c r="H135" s="503"/>
      <c r="I135" s="503">
        <f>2*(0.18+1.1)+16*C135/1000</f>
        <v>2.6880000000000002</v>
      </c>
      <c r="J135" s="509"/>
      <c r="K135" s="509"/>
      <c r="L135" s="503">
        <f t="shared" si="79"/>
        <v>2.6880000000000002</v>
      </c>
      <c r="M135" s="503">
        <f t="shared" si="80"/>
        <v>166.66</v>
      </c>
      <c r="N135" s="503">
        <f t="shared" si="1"/>
        <v>0</v>
      </c>
      <c r="O135" s="503">
        <f t="shared" si="2"/>
        <v>0</v>
      </c>
      <c r="P135" s="503">
        <f t="shared" si="6"/>
        <v>0</v>
      </c>
      <c r="Q135" s="503">
        <f t="shared" si="3"/>
        <v>0</v>
      </c>
      <c r="R135" s="503">
        <f t="shared" si="4"/>
        <v>0</v>
      </c>
    </row>
    <row r="136" spans="1:19">
      <c r="A136" s="505"/>
      <c r="B136" s="511" t="s">
        <v>835</v>
      </c>
      <c r="C136" s="507">
        <v>8</v>
      </c>
      <c r="D136" s="508">
        <v>100</v>
      </c>
      <c r="E136" s="507">
        <v>2</v>
      </c>
      <c r="F136" s="502">
        <v>4</v>
      </c>
      <c r="G136" s="502">
        <f t="shared" ref="G136:G137" si="81">+ROUND(2550/D136+1,0)</f>
        <v>27</v>
      </c>
      <c r="H136" s="503"/>
      <c r="I136" s="503">
        <f>2*(0.18+0.125)+16*C136/1000</f>
        <v>0.73799999999999999</v>
      </c>
      <c r="J136" s="509"/>
      <c r="K136" s="509"/>
      <c r="L136" s="503">
        <f t="shared" si="79"/>
        <v>0.73799999999999999</v>
      </c>
      <c r="M136" s="503">
        <f t="shared" si="80"/>
        <v>159.41</v>
      </c>
      <c r="N136" s="503">
        <f t="shared" si="1"/>
        <v>0</v>
      </c>
      <c r="O136" s="503">
        <f t="shared" si="2"/>
        <v>0</v>
      </c>
      <c r="P136" s="503">
        <f t="shared" si="6"/>
        <v>0</v>
      </c>
      <c r="Q136" s="503">
        <f t="shared" si="3"/>
        <v>0</v>
      </c>
      <c r="R136" s="503">
        <f t="shared" si="4"/>
        <v>0</v>
      </c>
    </row>
    <row r="137" spans="1:19">
      <c r="A137" s="505"/>
      <c r="B137" s="511" t="s">
        <v>803</v>
      </c>
      <c r="C137" s="507">
        <v>8</v>
      </c>
      <c r="D137" s="508">
        <v>100</v>
      </c>
      <c r="E137" s="507">
        <v>2</v>
      </c>
      <c r="F137" s="502">
        <v>1</v>
      </c>
      <c r="G137" s="502">
        <f t="shared" si="81"/>
        <v>27</v>
      </c>
      <c r="H137" s="503"/>
      <c r="I137" s="503">
        <f>0.18+(20*C137/1000)</f>
        <v>0.33999999999999997</v>
      </c>
      <c r="J137" s="509"/>
      <c r="K137" s="509"/>
      <c r="L137" s="503">
        <f t="shared" ref="L137:L138" si="82">SUM(H137:J137)+K137</f>
        <v>0.33999999999999997</v>
      </c>
      <c r="M137" s="503">
        <f t="shared" si="80"/>
        <v>18.36</v>
      </c>
      <c r="N137" s="503">
        <f t="shared" si="1"/>
        <v>0</v>
      </c>
      <c r="O137" s="503">
        <f t="shared" si="2"/>
        <v>0</v>
      </c>
      <c r="P137" s="503">
        <f t="shared" si="6"/>
        <v>0</v>
      </c>
      <c r="Q137" s="503">
        <f t="shared" si="3"/>
        <v>0</v>
      </c>
      <c r="R137" s="503">
        <f t="shared" si="4"/>
        <v>0</v>
      </c>
    </row>
    <row r="138" spans="1:19">
      <c r="A138" s="530">
        <f>+E138</f>
        <v>4</v>
      </c>
      <c r="B138" s="506" t="s">
        <v>836</v>
      </c>
      <c r="C138" s="507">
        <v>16</v>
      </c>
      <c r="D138" s="508"/>
      <c r="E138" s="507">
        <v>4</v>
      </c>
      <c r="F138" s="502">
        <v>1</v>
      </c>
      <c r="G138" s="502">
        <v>24</v>
      </c>
      <c r="H138" s="503"/>
      <c r="I138" s="503">
        <v>2.95</v>
      </c>
      <c r="J138" s="509"/>
      <c r="K138" s="509">
        <f t="shared" ref="K138:K139" si="83">1*36*C138/1000</f>
        <v>0.57599999999999996</v>
      </c>
      <c r="L138" s="503">
        <f t="shared" si="82"/>
        <v>3.5260000000000002</v>
      </c>
      <c r="M138" s="503">
        <f t="shared" si="80"/>
        <v>0</v>
      </c>
      <c r="N138" s="503">
        <f t="shared" si="1"/>
        <v>0</v>
      </c>
      <c r="O138" s="503">
        <f t="shared" si="2"/>
        <v>0</v>
      </c>
      <c r="P138" s="503">
        <f t="shared" si="6"/>
        <v>338.5</v>
      </c>
      <c r="Q138" s="503">
        <f t="shared" si="3"/>
        <v>0</v>
      </c>
      <c r="R138" s="503">
        <f t="shared" si="4"/>
        <v>0</v>
      </c>
      <c r="S138" s="221">
        <f>+G138*E138</f>
        <v>96</v>
      </c>
    </row>
    <row r="139" spans="1:19">
      <c r="A139" s="505"/>
      <c r="B139" s="511"/>
      <c r="C139" s="507">
        <v>12</v>
      </c>
      <c r="D139" s="508"/>
      <c r="E139" s="507">
        <f>+E138</f>
        <v>4</v>
      </c>
      <c r="F139" s="502">
        <v>1</v>
      </c>
      <c r="G139" s="502">
        <v>4</v>
      </c>
      <c r="H139" s="503"/>
      <c r="I139" s="503">
        <v>2.95</v>
      </c>
      <c r="J139" s="509"/>
      <c r="K139" s="509">
        <f t="shared" si="83"/>
        <v>0.432</v>
      </c>
      <c r="L139" s="503">
        <f>SUM(H139:J139)+K139</f>
        <v>3.3820000000000001</v>
      </c>
      <c r="M139" s="503">
        <f>+ROUND(IF(C139=8,PRODUCT(E139,F139,G139,L139),0),2)</f>
        <v>0</v>
      </c>
      <c r="N139" s="503">
        <f t="shared" si="1"/>
        <v>0</v>
      </c>
      <c r="O139" s="503">
        <f t="shared" si="2"/>
        <v>54.11</v>
      </c>
      <c r="P139" s="503">
        <f t="shared" si="6"/>
        <v>0</v>
      </c>
      <c r="Q139" s="503">
        <f t="shared" si="3"/>
        <v>0</v>
      </c>
      <c r="R139" s="503">
        <f t="shared" si="4"/>
        <v>0</v>
      </c>
      <c r="S139" s="221">
        <f>+G139*E139</f>
        <v>16</v>
      </c>
    </row>
    <row r="140" spans="1:19">
      <c r="A140" s="505"/>
      <c r="B140" s="511" t="s">
        <v>797</v>
      </c>
      <c r="C140" s="507"/>
      <c r="D140" s="508"/>
      <c r="E140" s="507"/>
      <c r="F140" s="502"/>
      <c r="G140" s="502"/>
      <c r="H140" s="503"/>
      <c r="I140" s="503"/>
      <c r="J140" s="509"/>
      <c r="K140" s="509"/>
      <c r="L140" s="503">
        <f t="shared" ref="L140:L142" si="84">SUM(H140:J140)+K140</f>
        <v>0</v>
      </c>
      <c r="M140" s="503">
        <f t="shared" ref="M140:M145" si="85">+ROUND(IF(C140=8,PRODUCT(E140,F140,G140,L140),0),2)</f>
        <v>0</v>
      </c>
      <c r="N140" s="503">
        <f t="shared" si="1"/>
        <v>0</v>
      </c>
      <c r="O140" s="503">
        <f t="shared" si="2"/>
        <v>0</v>
      </c>
      <c r="P140" s="503">
        <f t="shared" si="6"/>
        <v>0</v>
      </c>
      <c r="Q140" s="503">
        <f t="shared" si="3"/>
        <v>0</v>
      </c>
      <c r="R140" s="503">
        <f t="shared" si="4"/>
        <v>0</v>
      </c>
    </row>
    <row r="141" spans="1:19">
      <c r="A141" s="505"/>
      <c r="B141" s="511" t="s">
        <v>837</v>
      </c>
      <c r="C141" s="507">
        <v>8</v>
      </c>
      <c r="D141" s="508">
        <v>100</v>
      </c>
      <c r="E141" s="507">
        <v>4</v>
      </c>
      <c r="F141" s="502">
        <v>2</v>
      </c>
      <c r="G141" s="502">
        <f>+ROUND(2550/D141+1,0)+4</f>
        <v>31</v>
      </c>
      <c r="H141" s="503"/>
      <c r="I141" s="503">
        <f>2*(0.18+0.583)+16*C141/1000</f>
        <v>1.6539999999999999</v>
      </c>
      <c r="J141" s="509"/>
      <c r="K141" s="509"/>
      <c r="L141" s="503">
        <f t="shared" si="84"/>
        <v>1.6539999999999999</v>
      </c>
      <c r="M141" s="503">
        <f t="shared" si="85"/>
        <v>410.19</v>
      </c>
      <c r="N141" s="503">
        <f t="shared" si="1"/>
        <v>0</v>
      </c>
      <c r="O141" s="503">
        <f t="shared" si="2"/>
        <v>0</v>
      </c>
      <c r="P141" s="503">
        <f t="shared" si="6"/>
        <v>0</v>
      </c>
      <c r="Q141" s="503">
        <f t="shared" si="3"/>
        <v>0</v>
      </c>
      <c r="R141" s="503">
        <f t="shared" si="4"/>
        <v>0</v>
      </c>
    </row>
    <row r="142" spans="1:19">
      <c r="A142" s="505"/>
      <c r="B142" s="511" t="s">
        <v>833</v>
      </c>
      <c r="C142" s="507">
        <v>8</v>
      </c>
      <c r="D142" s="508">
        <v>100</v>
      </c>
      <c r="E142" s="507">
        <v>4</v>
      </c>
      <c r="F142" s="502">
        <v>4</v>
      </c>
      <c r="G142" s="502">
        <f t="shared" ref="G142:G144" si="86">+ROUND(2550/D142+1,0)</f>
        <v>27</v>
      </c>
      <c r="H142" s="503"/>
      <c r="I142" s="503">
        <f>2*(0.18+0.12)+16*C142/1000</f>
        <v>0.72799999999999998</v>
      </c>
      <c r="J142" s="509"/>
      <c r="K142" s="509"/>
      <c r="L142" s="503">
        <f t="shared" si="84"/>
        <v>0.72799999999999998</v>
      </c>
      <c r="M142" s="503">
        <f t="shared" si="85"/>
        <v>314.5</v>
      </c>
      <c r="N142" s="503">
        <f t="shared" si="1"/>
        <v>0</v>
      </c>
      <c r="O142" s="503">
        <f t="shared" si="2"/>
        <v>0</v>
      </c>
      <c r="P142" s="503">
        <f t="shared" si="6"/>
        <v>0</v>
      </c>
      <c r="Q142" s="503">
        <f t="shared" si="3"/>
        <v>0</v>
      </c>
      <c r="R142" s="503">
        <f t="shared" si="4"/>
        <v>0</v>
      </c>
    </row>
    <row r="143" spans="1:19">
      <c r="A143" s="505"/>
      <c r="B143" s="511" t="s">
        <v>838</v>
      </c>
      <c r="C143" s="507">
        <v>8</v>
      </c>
      <c r="D143" s="508">
        <v>200</v>
      </c>
      <c r="E143" s="507">
        <v>4</v>
      </c>
      <c r="F143" s="502">
        <v>1</v>
      </c>
      <c r="G143" s="502">
        <f>+ROUND(2550/D143+1,0)+4</f>
        <v>18</v>
      </c>
      <c r="H143" s="503"/>
      <c r="I143" s="503">
        <f>2*(0.18+0.516)+16*C143/1000</f>
        <v>1.52</v>
      </c>
      <c r="J143" s="509"/>
      <c r="K143" s="509"/>
      <c r="L143" s="503">
        <f t="shared" ref="L143" si="87">SUM(H143:J143)+K143</f>
        <v>1.52</v>
      </c>
      <c r="M143" s="503">
        <f t="shared" si="85"/>
        <v>109.44</v>
      </c>
      <c r="N143" s="503">
        <f t="shared" si="1"/>
        <v>0</v>
      </c>
      <c r="O143" s="503">
        <f t="shared" si="2"/>
        <v>0</v>
      </c>
      <c r="P143" s="503">
        <f t="shared" si="6"/>
        <v>0</v>
      </c>
      <c r="Q143" s="503">
        <f t="shared" si="3"/>
        <v>0</v>
      </c>
      <c r="R143" s="503">
        <f t="shared" si="4"/>
        <v>0</v>
      </c>
    </row>
    <row r="144" spans="1:19">
      <c r="A144" s="505"/>
      <c r="B144" s="511" t="s">
        <v>799</v>
      </c>
      <c r="C144" s="507">
        <v>8</v>
      </c>
      <c r="D144" s="508">
        <v>400</v>
      </c>
      <c r="E144" s="507">
        <v>4</v>
      </c>
      <c r="F144" s="502">
        <v>2</v>
      </c>
      <c r="G144" s="502">
        <f t="shared" si="86"/>
        <v>7</v>
      </c>
      <c r="H144" s="503"/>
      <c r="I144" s="503">
        <f>0.18+(20*C144/1000)</f>
        <v>0.33999999999999997</v>
      </c>
      <c r="J144" s="509"/>
      <c r="K144" s="509"/>
      <c r="L144" s="503">
        <f t="shared" ref="L144" si="88">SUM(H144:J144)+K144</f>
        <v>0.33999999999999997</v>
      </c>
      <c r="M144" s="503">
        <f t="shared" si="85"/>
        <v>19.04</v>
      </c>
      <c r="N144" s="503">
        <f t="shared" si="1"/>
        <v>0</v>
      </c>
      <c r="O144" s="503">
        <f t="shared" si="2"/>
        <v>0</v>
      </c>
      <c r="P144" s="503">
        <f t="shared" si="6"/>
        <v>0</v>
      </c>
      <c r="Q144" s="503">
        <f t="shared" si="3"/>
        <v>0</v>
      </c>
      <c r="R144" s="503">
        <f t="shared" si="4"/>
        <v>0</v>
      </c>
    </row>
    <row r="145" spans="1:19">
      <c r="A145" s="530">
        <f>+E145</f>
        <v>4</v>
      </c>
      <c r="B145" s="506" t="s">
        <v>804</v>
      </c>
      <c r="C145" s="507">
        <v>16</v>
      </c>
      <c r="D145" s="508"/>
      <c r="E145" s="507">
        <v>4</v>
      </c>
      <c r="F145" s="502">
        <v>1</v>
      </c>
      <c r="G145" s="502">
        <v>8</v>
      </c>
      <c r="H145" s="503"/>
      <c r="I145" s="503">
        <v>2.95</v>
      </c>
      <c r="J145" s="509"/>
      <c r="K145" s="509">
        <f t="shared" ref="K145:K146" si="89">1*36*C145/1000</f>
        <v>0.57599999999999996</v>
      </c>
      <c r="L145" s="503">
        <f t="shared" ref="L145" si="90">SUM(H145:J145)+K145</f>
        <v>3.5260000000000002</v>
      </c>
      <c r="M145" s="503">
        <f t="shared" si="85"/>
        <v>0</v>
      </c>
      <c r="N145" s="503">
        <f t="shared" si="1"/>
        <v>0</v>
      </c>
      <c r="O145" s="503">
        <f t="shared" si="2"/>
        <v>0</v>
      </c>
      <c r="P145" s="503">
        <f t="shared" si="6"/>
        <v>112.83</v>
      </c>
      <c r="Q145" s="503">
        <f t="shared" si="3"/>
        <v>0</v>
      </c>
      <c r="R145" s="503">
        <f t="shared" si="4"/>
        <v>0</v>
      </c>
      <c r="S145" s="221">
        <f>+G145*E145</f>
        <v>32</v>
      </c>
    </row>
    <row r="146" spans="1:19">
      <c r="A146" s="505"/>
      <c r="B146" s="511"/>
      <c r="C146" s="507">
        <v>12</v>
      </c>
      <c r="D146" s="508"/>
      <c r="E146" s="507">
        <f>+E145</f>
        <v>4</v>
      </c>
      <c r="F146" s="502">
        <v>1</v>
      </c>
      <c r="G146" s="502">
        <v>16</v>
      </c>
      <c r="H146" s="503"/>
      <c r="I146" s="503">
        <v>2.95</v>
      </c>
      <c r="J146" s="509"/>
      <c r="K146" s="509">
        <f t="shared" si="89"/>
        <v>0.432</v>
      </c>
      <c r="L146" s="503">
        <f>SUM(H146:J146)+K146</f>
        <v>3.3820000000000001</v>
      </c>
      <c r="M146" s="503">
        <f>+ROUND(IF(C146=8,PRODUCT(E146,F146,G146,L146),0),2)</f>
        <v>0</v>
      </c>
      <c r="N146" s="503">
        <f t="shared" si="1"/>
        <v>0</v>
      </c>
      <c r="O146" s="503">
        <f t="shared" si="2"/>
        <v>216.45</v>
      </c>
      <c r="P146" s="503">
        <f t="shared" si="6"/>
        <v>0</v>
      </c>
      <c r="Q146" s="503">
        <f t="shared" si="3"/>
        <v>0</v>
      </c>
      <c r="R146" s="503">
        <f t="shared" si="4"/>
        <v>0</v>
      </c>
      <c r="S146" s="221">
        <f>+G146*E146</f>
        <v>64</v>
      </c>
    </row>
    <row r="147" spans="1:19">
      <c r="A147" s="505"/>
      <c r="B147" s="511" t="s">
        <v>797</v>
      </c>
      <c r="C147" s="507"/>
      <c r="D147" s="508"/>
      <c r="E147" s="507"/>
      <c r="F147" s="502"/>
      <c r="G147" s="502"/>
      <c r="H147" s="503"/>
      <c r="I147" s="503"/>
      <c r="J147" s="509"/>
      <c r="K147" s="509"/>
      <c r="L147" s="503">
        <f t="shared" ref="L147:L150" si="91">SUM(H147:J147)+K147</f>
        <v>0</v>
      </c>
      <c r="M147" s="503">
        <f t="shared" ref="M147:M212" si="92">+ROUND(IF(C147=8,PRODUCT(E147,F147,G147,L147),0),2)</f>
        <v>0</v>
      </c>
      <c r="N147" s="503">
        <f t="shared" si="1"/>
        <v>0</v>
      </c>
      <c r="O147" s="503">
        <f t="shared" si="2"/>
        <v>0</v>
      </c>
      <c r="P147" s="503">
        <f t="shared" si="6"/>
        <v>0</v>
      </c>
      <c r="Q147" s="503">
        <f t="shared" si="3"/>
        <v>0</v>
      </c>
      <c r="R147" s="503">
        <f t="shared" si="4"/>
        <v>0</v>
      </c>
    </row>
    <row r="148" spans="1:19">
      <c r="A148" s="505"/>
      <c r="B148" s="511" t="s">
        <v>839</v>
      </c>
      <c r="C148" s="507">
        <v>8</v>
      </c>
      <c r="D148" s="508">
        <v>100</v>
      </c>
      <c r="E148" s="507">
        <v>4</v>
      </c>
      <c r="F148" s="502">
        <v>1</v>
      </c>
      <c r="G148" s="502">
        <f>+ROUND(2550/D148+1,0)+4</f>
        <v>31</v>
      </c>
      <c r="H148" s="503"/>
      <c r="I148" s="503">
        <f>2*(0.18+1.135)+16*C148/1000</f>
        <v>2.758</v>
      </c>
      <c r="J148" s="509"/>
      <c r="K148" s="509"/>
      <c r="L148" s="503">
        <f t="shared" si="91"/>
        <v>2.758</v>
      </c>
      <c r="M148" s="503">
        <f t="shared" si="92"/>
        <v>341.99</v>
      </c>
      <c r="N148" s="503">
        <f t="shared" si="1"/>
        <v>0</v>
      </c>
      <c r="O148" s="503">
        <f t="shared" si="2"/>
        <v>0</v>
      </c>
      <c r="P148" s="503">
        <f t="shared" si="6"/>
        <v>0</v>
      </c>
      <c r="Q148" s="503">
        <f t="shared" si="3"/>
        <v>0</v>
      </c>
      <c r="R148" s="503">
        <f t="shared" si="4"/>
        <v>0</v>
      </c>
    </row>
    <row r="149" spans="1:19">
      <c r="A149" s="505"/>
      <c r="B149" s="511" t="s">
        <v>840</v>
      </c>
      <c r="C149" s="507">
        <v>8</v>
      </c>
      <c r="D149" s="508">
        <v>100</v>
      </c>
      <c r="E149" s="507">
        <v>4</v>
      </c>
      <c r="F149" s="502">
        <v>5</v>
      </c>
      <c r="G149" s="502">
        <f>+ROUND(2550/D149+1,0)</f>
        <v>27</v>
      </c>
      <c r="H149" s="503"/>
      <c r="I149" s="503">
        <f>2*(0.18+0.118)+16*C149/1000</f>
        <v>0.72399999999999998</v>
      </c>
      <c r="J149" s="509"/>
      <c r="K149" s="509"/>
      <c r="L149" s="503">
        <f t="shared" si="91"/>
        <v>0.72399999999999998</v>
      </c>
      <c r="M149" s="503">
        <f t="shared" si="92"/>
        <v>390.96</v>
      </c>
      <c r="N149" s="503">
        <f t="shared" si="1"/>
        <v>0</v>
      </c>
      <c r="O149" s="503">
        <f t="shared" si="2"/>
        <v>0</v>
      </c>
      <c r="P149" s="503">
        <f t="shared" si="6"/>
        <v>0</v>
      </c>
      <c r="Q149" s="503">
        <f t="shared" si="3"/>
        <v>0</v>
      </c>
      <c r="R149" s="503">
        <f t="shared" si="4"/>
        <v>0</v>
      </c>
    </row>
    <row r="150" spans="1:19">
      <c r="A150" s="530">
        <f>+E150</f>
        <v>2</v>
      </c>
      <c r="B150" s="506" t="s">
        <v>841</v>
      </c>
      <c r="C150" s="507">
        <v>16</v>
      </c>
      <c r="D150" s="508"/>
      <c r="E150" s="507">
        <v>2</v>
      </c>
      <c r="F150" s="502">
        <v>1</v>
      </c>
      <c r="G150" s="502">
        <v>24</v>
      </c>
      <c r="H150" s="503"/>
      <c r="I150" s="503">
        <v>2.95</v>
      </c>
      <c r="J150" s="509"/>
      <c r="K150" s="509">
        <f t="shared" ref="K150:K151" si="93">1*36*C150/1000</f>
        <v>0.57599999999999996</v>
      </c>
      <c r="L150" s="503">
        <f t="shared" si="91"/>
        <v>3.5260000000000002</v>
      </c>
      <c r="M150" s="503">
        <f t="shared" si="92"/>
        <v>0</v>
      </c>
      <c r="N150" s="503">
        <f t="shared" si="1"/>
        <v>0</v>
      </c>
      <c r="O150" s="503">
        <f t="shared" si="2"/>
        <v>0</v>
      </c>
      <c r="P150" s="503">
        <f t="shared" si="6"/>
        <v>169.25</v>
      </c>
      <c r="Q150" s="503">
        <f t="shared" si="3"/>
        <v>0</v>
      </c>
      <c r="R150" s="503">
        <f t="shared" si="4"/>
        <v>0</v>
      </c>
      <c r="S150" s="221">
        <f>+G150*E150</f>
        <v>48</v>
      </c>
    </row>
    <row r="151" spans="1:19">
      <c r="A151" s="505"/>
      <c r="B151" s="506"/>
      <c r="C151" s="507">
        <v>12</v>
      </c>
      <c r="D151" s="508"/>
      <c r="E151" s="507">
        <v>2</v>
      </c>
      <c r="F151" s="502">
        <v>1</v>
      </c>
      <c r="G151" s="502">
        <v>6</v>
      </c>
      <c r="H151" s="503"/>
      <c r="I151" s="503">
        <v>2.95</v>
      </c>
      <c r="J151" s="509"/>
      <c r="K151" s="509">
        <f t="shared" si="93"/>
        <v>0.432</v>
      </c>
      <c r="L151" s="503">
        <f t="shared" ref="L151" si="94">SUM(H151:J151)+K151</f>
        <v>3.3820000000000001</v>
      </c>
      <c r="M151" s="503">
        <f t="shared" si="92"/>
        <v>0</v>
      </c>
      <c r="N151" s="503">
        <f t="shared" si="1"/>
        <v>0</v>
      </c>
      <c r="O151" s="503">
        <f t="shared" si="2"/>
        <v>40.58</v>
      </c>
      <c r="P151" s="503">
        <f t="shared" si="6"/>
        <v>0</v>
      </c>
      <c r="Q151" s="503">
        <f t="shared" si="3"/>
        <v>0</v>
      </c>
      <c r="R151" s="503">
        <f t="shared" si="4"/>
        <v>0</v>
      </c>
      <c r="S151" s="221">
        <f>+G151*E151</f>
        <v>12</v>
      </c>
    </row>
    <row r="152" spans="1:19">
      <c r="A152" s="505"/>
      <c r="B152" s="511" t="s">
        <v>797</v>
      </c>
      <c r="C152" s="507"/>
      <c r="D152" s="508"/>
      <c r="E152" s="507"/>
      <c r="F152" s="502"/>
      <c r="G152" s="502"/>
      <c r="H152" s="503"/>
      <c r="I152" s="503"/>
      <c r="J152" s="509"/>
      <c r="K152" s="509"/>
      <c r="L152" s="503">
        <f t="shared" ref="L152:L158" si="95">SUM(H152:J152)+K152</f>
        <v>0</v>
      </c>
      <c r="M152" s="503">
        <f t="shared" si="92"/>
        <v>0</v>
      </c>
      <c r="N152" s="503">
        <f t="shared" si="1"/>
        <v>0</v>
      </c>
      <c r="O152" s="503">
        <f t="shared" si="2"/>
        <v>0</v>
      </c>
      <c r="P152" s="503">
        <f t="shared" si="6"/>
        <v>0</v>
      </c>
      <c r="Q152" s="503">
        <f t="shared" si="3"/>
        <v>0</v>
      </c>
      <c r="R152" s="503">
        <f t="shared" si="4"/>
        <v>0</v>
      </c>
    </row>
    <row r="153" spans="1:19">
      <c r="A153" s="505"/>
      <c r="B153" s="511" t="s">
        <v>837</v>
      </c>
      <c r="C153" s="507">
        <v>8</v>
      </c>
      <c r="D153" s="508">
        <v>100</v>
      </c>
      <c r="E153" s="507">
        <v>2</v>
      </c>
      <c r="F153" s="502">
        <v>2</v>
      </c>
      <c r="G153" s="502">
        <f>+ROUND(2550/D153+1,0)+4</f>
        <v>31</v>
      </c>
      <c r="H153" s="503"/>
      <c r="I153" s="503">
        <f>2*(0.18+0.583)+16*C153/1000</f>
        <v>1.6539999999999999</v>
      </c>
      <c r="J153" s="509"/>
      <c r="K153" s="509"/>
      <c r="L153" s="503">
        <f t="shared" si="95"/>
        <v>1.6539999999999999</v>
      </c>
      <c r="M153" s="503">
        <f t="shared" si="92"/>
        <v>205.1</v>
      </c>
      <c r="N153" s="503">
        <f t="shared" si="1"/>
        <v>0</v>
      </c>
      <c r="O153" s="503">
        <f t="shared" si="2"/>
        <v>0</v>
      </c>
      <c r="P153" s="503">
        <f t="shared" si="6"/>
        <v>0</v>
      </c>
      <c r="Q153" s="503">
        <f t="shared" si="3"/>
        <v>0</v>
      </c>
      <c r="R153" s="503">
        <f t="shared" si="4"/>
        <v>0</v>
      </c>
    </row>
    <row r="154" spans="1:19">
      <c r="A154" s="505"/>
      <c r="B154" s="511" t="s">
        <v>807</v>
      </c>
      <c r="C154" s="507">
        <v>8</v>
      </c>
      <c r="D154" s="508">
        <v>100</v>
      </c>
      <c r="E154" s="507">
        <v>2</v>
      </c>
      <c r="F154" s="502">
        <v>4</v>
      </c>
      <c r="G154" s="502">
        <f t="shared" ref="G154:G156" si="96">+ROUND(2550/D154+1,0)</f>
        <v>27</v>
      </c>
      <c r="H154" s="503"/>
      <c r="I154" s="503">
        <f>2*(0.18+0.122)+16*C154/1000</f>
        <v>0.73199999999999998</v>
      </c>
      <c r="J154" s="509"/>
      <c r="K154" s="509"/>
      <c r="L154" s="503">
        <f t="shared" si="95"/>
        <v>0.73199999999999998</v>
      </c>
      <c r="M154" s="503">
        <f t="shared" si="92"/>
        <v>158.11000000000001</v>
      </c>
      <c r="N154" s="503">
        <f t="shared" si="1"/>
        <v>0</v>
      </c>
      <c r="O154" s="503">
        <f t="shared" si="2"/>
        <v>0</v>
      </c>
      <c r="P154" s="503">
        <f t="shared" si="6"/>
        <v>0</v>
      </c>
      <c r="Q154" s="503">
        <f t="shared" si="3"/>
        <v>0</v>
      </c>
      <c r="R154" s="503">
        <f t="shared" si="4"/>
        <v>0</v>
      </c>
    </row>
    <row r="155" spans="1:19">
      <c r="A155" s="505"/>
      <c r="B155" s="511" t="s">
        <v>842</v>
      </c>
      <c r="C155" s="507">
        <v>8</v>
      </c>
      <c r="D155" s="508">
        <v>200</v>
      </c>
      <c r="E155" s="507">
        <v>2</v>
      </c>
      <c r="F155" s="502">
        <v>1</v>
      </c>
      <c r="G155" s="502">
        <f>+ROUND(2550/D155+1,0)+4</f>
        <v>18</v>
      </c>
      <c r="H155" s="503"/>
      <c r="I155" s="503">
        <f>2*(0.18+0.671)+16*C155/1000</f>
        <v>1.83</v>
      </c>
      <c r="J155" s="509"/>
      <c r="K155" s="509"/>
      <c r="L155" s="503">
        <f t="shared" ref="L155" si="97">SUM(H155:J155)+K155</f>
        <v>1.83</v>
      </c>
      <c r="M155" s="503">
        <f t="shared" si="92"/>
        <v>65.88</v>
      </c>
      <c r="N155" s="503">
        <f t="shared" si="1"/>
        <v>0</v>
      </c>
      <c r="O155" s="503">
        <f t="shared" si="2"/>
        <v>0</v>
      </c>
      <c r="P155" s="503">
        <f t="shared" si="6"/>
        <v>0</v>
      </c>
      <c r="Q155" s="503">
        <f t="shared" si="3"/>
        <v>0</v>
      </c>
      <c r="R155" s="503">
        <f t="shared" si="4"/>
        <v>0</v>
      </c>
    </row>
    <row r="156" spans="1:19">
      <c r="A156" s="505"/>
      <c r="B156" s="511" t="s">
        <v>799</v>
      </c>
      <c r="C156" s="507">
        <v>8</v>
      </c>
      <c r="D156" s="508">
        <v>400</v>
      </c>
      <c r="E156" s="507">
        <v>2</v>
      </c>
      <c r="F156" s="502">
        <v>1</v>
      </c>
      <c r="G156" s="502">
        <f t="shared" si="96"/>
        <v>7</v>
      </c>
      <c r="H156" s="503"/>
      <c r="I156" s="503">
        <f>0.18+(20*C156/1000)</f>
        <v>0.33999999999999997</v>
      </c>
      <c r="J156" s="509"/>
      <c r="K156" s="509"/>
      <c r="L156" s="503">
        <f t="shared" ref="L156" si="98">SUM(H156:J156)+K156</f>
        <v>0.33999999999999997</v>
      </c>
      <c r="M156" s="503">
        <f t="shared" si="92"/>
        <v>4.76</v>
      </c>
      <c r="N156" s="503">
        <f t="shared" si="1"/>
        <v>0</v>
      </c>
      <c r="O156" s="503">
        <f t="shared" si="2"/>
        <v>0</v>
      </c>
      <c r="P156" s="503">
        <f t="shared" si="6"/>
        <v>0</v>
      </c>
      <c r="Q156" s="503">
        <f t="shared" si="3"/>
        <v>0</v>
      </c>
      <c r="R156" s="503">
        <f t="shared" si="4"/>
        <v>0</v>
      </c>
    </row>
    <row r="157" spans="1:19">
      <c r="A157" s="530">
        <f>+E157</f>
        <v>1</v>
      </c>
      <c r="B157" s="506" t="s">
        <v>805</v>
      </c>
      <c r="C157" s="507">
        <v>16</v>
      </c>
      <c r="D157" s="508"/>
      <c r="E157" s="507">
        <v>1</v>
      </c>
      <c r="F157" s="502">
        <v>1</v>
      </c>
      <c r="G157" s="502">
        <v>40</v>
      </c>
      <c r="H157" s="503"/>
      <c r="I157" s="503">
        <v>2.95</v>
      </c>
      <c r="J157" s="509"/>
      <c r="K157" s="509">
        <f t="shared" ref="K157:K158" si="99">1*36*C157/1000</f>
        <v>0.57599999999999996</v>
      </c>
      <c r="L157" s="503">
        <f t="shared" si="95"/>
        <v>3.5260000000000002</v>
      </c>
      <c r="M157" s="503">
        <f t="shared" si="92"/>
        <v>0</v>
      </c>
      <c r="N157" s="503">
        <f t="shared" si="1"/>
        <v>0</v>
      </c>
      <c r="O157" s="503">
        <f t="shared" si="2"/>
        <v>0</v>
      </c>
      <c r="P157" s="503">
        <f t="shared" si="6"/>
        <v>141.04</v>
      </c>
      <c r="Q157" s="503">
        <f t="shared" si="3"/>
        <v>0</v>
      </c>
      <c r="R157" s="503">
        <f t="shared" si="4"/>
        <v>0</v>
      </c>
      <c r="S157" s="221">
        <f>+G157*E157</f>
        <v>40</v>
      </c>
    </row>
    <row r="158" spans="1:19">
      <c r="A158" s="505"/>
      <c r="B158" s="506"/>
      <c r="C158" s="507">
        <v>12</v>
      </c>
      <c r="D158" s="508"/>
      <c r="E158" s="507">
        <v>1</v>
      </c>
      <c r="F158" s="502">
        <v>1</v>
      </c>
      <c r="G158" s="502">
        <v>20</v>
      </c>
      <c r="H158" s="503"/>
      <c r="I158" s="503">
        <v>2.95</v>
      </c>
      <c r="J158" s="509"/>
      <c r="K158" s="509">
        <f t="shared" si="99"/>
        <v>0.432</v>
      </c>
      <c r="L158" s="503">
        <f t="shared" si="95"/>
        <v>3.3820000000000001</v>
      </c>
      <c r="M158" s="503">
        <f t="shared" si="92"/>
        <v>0</v>
      </c>
      <c r="N158" s="503">
        <f t="shared" si="1"/>
        <v>0</v>
      </c>
      <c r="O158" s="503">
        <f t="shared" si="2"/>
        <v>67.64</v>
      </c>
      <c r="P158" s="503">
        <f t="shared" si="6"/>
        <v>0</v>
      </c>
      <c r="Q158" s="503">
        <f t="shared" si="3"/>
        <v>0</v>
      </c>
      <c r="R158" s="503">
        <f t="shared" si="4"/>
        <v>0</v>
      </c>
      <c r="S158" s="221">
        <f>+G158*E158</f>
        <v>20</v>
      </c>
    </row>
    <row r="159" spans="1:19">
      <c r="A159" s="505"/>
      <c r="B159" s="511" t="s">
        <v>797</v>
      </c>
      <c r="C159" s="507"/>
      <c r="D159" s="508"/>
      <c r="E159" s="507"/>
      <c r="F159" s="502"/>
      <c r="G159" s="502"/>
      <c r="H159" s="503"/>
      <c r="I159" s="503"/>
      <c r="J159" s="509"/>
      <c r="K159" s="509"/>
      <c r="L159" s="503">
        <f t="shared" ref="L159:L161" si="100">SUM(H159:J159)+K159</f>
        <v>0</v>
      </c>
      <c r="M159" s="503">
        <f t="shared" si="92"/>
        <v>0</v>
      </c>
      <c r="N159" s="503">
        <f t="shared" si="1"/>
        <v>0</v>
      </c>
      <c r="O159" s="503">
        <f t="shared" si="2"/>
        <v>0</v>
      </c>
      <c r="P159" s="503">
        <f t="shared" si="6"/>
        <v>0</v>
      </c>
      <c r="Q159" s="503">
        <f t="shared" si="3"/>
        <v>0</v>
      </c>
      <c r="R159" s="503">
        <f t="shared" si="4"/>
        <v>0</v>
      </c>
    </row>
    <row r="160" spans="1:19">
      <c r="A160" s="505"/>
      <c r="B160" s="511" t="s">
        <v>806</v>
      </c>
      <c r="C160" s="507">
        <v>8</v>
      </c>
      <c r="D160" s="508">
        <v>100</v>
      </c>
      <c r="E160" s="507">
        <v>1</v>
      </c>
      <c r="F160" s="502">
        <v>2</v>
      </c>
      <c r="G160" s="502">
        <f>+ROUND(2550/D160+1,0)+4</f>
        <v>31</v>
      </c>
      <c r="H160" s="503"/>
      <c r="I160" s="503">
        <f>2*(0.18+1.183)+16*C160/1000</f>
        <v>2.8540000000000001</v>
      </c>
      <c r="J160" s="509"/>
      <c r="K160" s="509"/>
      <c r="L160" s="503">
        <f t="shared" si="100"/>
        <v>2.8540000000000001</v>
      </c>
      <c r="M160" s="503">
        <f t="shared" si="92"/>
        <v>176.95</v>
      </c>
      <c r="N160" s="503">
        <f t="shared" si="1"/>
        <v>0</v>
      </c>
      <c r="O160" s="503">
        <f t="shared" si="2"/>
        <v>0</v>
      </c>
      <c r="P160" s="503">
        <f t="shared" si="6"/>
        <v>0</v>
      </c>
      <c r="Q160" s="503">
        <f t="shared" si="3"/>
        <v>0</v>
      </c>
      <c r="R160" s="503">
        <f t="shared" si="4"/>
        <v>0</v>
      </c>
    </row>
    <row r="161" spans="1:19">
      <c r="A161" s="505"/>
      <c r="B161" s="511" t="s">
        <v>807</v>
      </c>
      <c r="C161" s="507">
        <v>8</v>
      </c>
      <c r="D161" s="508">
        <v>100</v>
      </c>
      <c r="E161" s="507">
        <v>1</v>
      </c>
      <c r="F161" s="502">
        <f>2*5</f>
        <v>10</v>
      </c>
      <c r="G161" s="502">
        <f>+ROUND(2550/D161+1,0)</f>
        <v>27</v>
      </c>
      <c r="H161" s="503"/>
      <c r="I161" s="503">
        <f>2*(0.18+0.122)+16*C161/1000</f>
        <v>0.73199999999999998</v>
      </c>
      <c r="J161" s="509"/>
      <c r="K161" s="509"/>
      <c r="L161" s="503">
        <f t="shared" si="100"/>
        <v>0.73199999999999998</v>
      </c>
      <c r="M161" s="503">
        <f t="shared" si="92"/>
        <v>197.64</v>
      </c>
      <c r="N161" s="503">
        <f t="shared" si="1"/>
        <v>0</v>
      </c>
      <c r="O161" s="503">
        <f t="shared" si="2"/>
        <v>0</v>
      </c>
      <c r="P161" s="503">
        <f t="shared" si="6"/>
        <v>0</v>
      </c>
      <c r="Q161" s="503">
        <f t="shared" si="3"/>
        <v>0</v>
      </c>
      <c r="R161" s="503">
        <f t="shared" si="4"/>
        <v>0</v>
      </c>
    </row>
    <row r="162" spans="1:19">
      <c r="A162" s="505"/>
      <c r="B162" s="511" t="s">
        <v>808</v>
      </c>
      <c r="C162" s="507">
        <v>8</v>
      </c>
      <c r="D162" s="508">
        <v>200</v>
      </c>
      <c r="E162" s="507">
        <v>1</v>
      </c>
      <c r="F162" s="502">
        <v>1</v>
      </c>
      <c r="G162" s="502">
        <f>+ROUND(2550/D162+1,0)+4</f>
        <v>18</v>
      </c>
      <c r="H162" s="503"/>
      <c r="I162" s="503">
        <f>2*(0.18+1.216)+16*C162/1000</f>
        <v>2.92</v>
      </c>
      <c r="J162" s="509"/>
      <c r="K162" s="509"/>
      <c r="L162" s="503">
        <f t="shared" ref="L162:L163" si="101">SUM(H162:J162)+K162</f>
        <v>2.92</v>
      </c>
      <c r="M162" s="503">
        <f t="shared" si="92"/>
        <v>52.56</v>
      </c>
      <c r="N162" s="503">
        <f t="shared" si="1"/>
        <v>0</v>
      </c>
      <c r="O162" s="503">
        <f t="shared" si="2"/>
        <v>0</v>
      </c>
      <c r="P162" s="503">
        <f t="shared" si="6"/>
        <v>0</v>
      </c>
      <c r="Q162" s="503">
        <f t="shared" si="3"/>
        <v>0</v>
      </c>
      <c r="R162" s="503">
        <f t="shared" si="4"/>
        <v>0</v>
      </c>
    </row>
    <row r="163" spans="1:19">
      <c r="A163" s="505"/>
      <c r="B163" s="511" t="s">
        <v>799</v>
      </c>
      <c r="C163" s="507">
        <v>8</v>
      </c>
      <c r="D163" s="508">
        <v>400</v>
      </c>
      <c r="E163" s="507">
        <v>1</v>
      </c>
      <c r="F163" s="502">
        <v>3</v>
      </c>
      <c r="G163" s="502">
        <f>+ROUND(2550/D163+1,0)</f>
        <v>7</v>
      </c>
      <c r="H163" s="503"/>
      <c r="I163" s="503">
        <f>0.18+(20*C163/1000)</f>
        <v>0.33999999999999997</v>
      </c>
      <c r="J163" s="509"/>
      <c r="K163" s="509"/>
      <c r="L163" s="503">
        <f t="shared" si="101"/>
        <v>0.33999999999999997</v>
      </c>
      <c r="M163" s="503">
        <f t="shared" si="92"/>
        <v>7.14</v>
      </c>
      <c r="N163" s="503">
        <f t="shared" si="1"/>
        <v>0</v>
      </c>
      <c r="O163" s="503">
        <f t="shared" si="2"/>
        <v>0</v>
      </c>
      <c r="P163" s="503">
        <f t="shared" si="6"/>
        <v>0</v>
      </c>
      <c r="Q163" s="503">
        <f t="shared" si="3"/>
        <v>0</v>
      </c>
      <c r="R163" s="503">
        <f t="shared" si="4"/>
        <v>0</v>
      </c>
    </row>
    <row r="164" spans="1:19">
      <c r="A164" s="530">
        <f>+E164</f>
        <v>6</v>
      </c>
      <c r="B164" s="506" t="s">
        <v>809</v>
      </c>
      <c r="C164" s="507">
        <v>16</v>
      </c>
      <c r="D164" s="508"/>
      <c r="E164" s="507">
        <v>6</v>
      </c>
      <c r="F164" s="502">
        <v>1</v>
      </c>
      <c r="G164" s="502">
        <v>8</v>
      </c>
      <c r="H164" s="503"/>
      <c r="I164" s="503">
        <v>2.95</v>
      </c>
      <c r="J164" s="509"/>
      <c r="K164" s="509">
        <f t="shared" ref="K164:K166" si="102">1*36*C164/1000</f>
        <v>0.57599999999999996</v>
      </c>
      <c r="L164" s="503">
        <f t="shared" ref="L164:L174" si="103">SUM(H164:J164)+K164</f>
        <v>3.5260000000000002</v>
      </c>
      <c r="M164" s="503">
        <f t="shared" si="92"/>
        <v>0</v>
      </c>
      <c r="N164" s="503">
        <f t="shared" si="1"/>
        <v>0</v>
      </c>
      <c r="O164" s="503">
        <f t="shared" si="2"/>
        <v>0</v>
      </c>
      <c r="P164" s="503">
        <f t="shared" si="6"/>
        <v>169.25</v>
      </c>
      <c r="Q164" s="503">
        <f t="shared" si="3"/>
        <v>0</v>
      </c>
      <c r="R164" s="503">
        <f t="shared" si="4"/>
        <v>0</v>
      </c>
      <c r="S164" s="221">
        <f>+G164*E164</f>
        <v>48</v>
      </c>
    </row>
    <row r="165" spans="1:19">
      <c r="A165" s="505"/>
      <c r="B165" s="511"/>
      <c r="C165" s="507">
        <v>12</v>
      </c>
      <c r="D165" s="508"/>
      <c r="E165" s="507">
        <v>6</v>
      </c>
      <c r="F165" s="502">
        <v>1</v>
      </c>
      <c r="G165" s="502">
        <v>16</v>
      </c>
      <c r="H165" s="503"/>
      <c r="I165" s="503">
        <v>2.95</v>
      </c>
      <c r="J165" s="509"/>
      <c r="K165" s="509">
        <f t="shared" si="102"/>
        <v>0.432</v>
      </c>
      <c r="L165" s="503">
        <f t="shared" si="103"/>
        <v>3.3820000000000001</v>
      </c>
      <c r="M165" s="503">
        <f t="shared" si="92"/>
        <v>0</v>
      </c>
      <c r="N165" s="503">
        <f t="shared" si="1"/>
        <v>0</v>
      </c>
      <c r="O165" s="503">
        <f t="shared" si="2"/>
        <v>324.67</v>
      </c>
      <c r="P165" s="503">
        <f t="shared" si="6"/>
        <v>0</v>
      </c>
      <c r="Q165" s="503">
        <f t="shared" si="3"/>
        <v>0</v>
      </c>
      <c r="R165" s="503">
        <f t="shared" si="4"/>
        <v>0</v>
      </c>
      <c r="S165" s="221">
        <f>+G165*E165</f>
        <v>96</v>
      </c>
    </row>
    <row r="166" spans="1:19">
      <c r="A166" s="505"/>
      <c r="B166" s="511"/>
      <c r="C166" s="507">
        <v>10</v>
      </c>
      <c r="D166" s="508"/>
      <c r="E166" s="507">
        <v>6</v>
      </c>
      <c r="F166" s="502">
        <v>1</v>
      </c>
      <c r="G166" s="502">
        <v>10</v>
      </c>
      <c r="H166" s="503"/>
      <c r="I166" s="503">
        <v>2.95</v>
      </c>
      <c r="J166" s="509"/>
      <c r="K166" s="509">
        <f t="shared" si="102"/>
        <v>0.36</v>
      </c>
      <c r="L166" s="503">
        <f t="shared" ref="L166" si="104">SUM(H166:J166)+K166</f>
        <v>3.31</v>
      </c>
      <c r="M166" s="503">
        <f t="shared" si="92"/>
        <v>0</v>
      </c>
      <c r="N166" s="503">
        <f t="shared" si="1"/>
        <v>198.6</v>
      </c>
      <c r="O166" s="503">
        <f t="shared" si="2"/>
        <v>0</v>
      </c>
      <c r="P166" s="503">
        <f t="shared" si="6"/>
        <v>0</v>
      </c>
      <c r="Q166" s="503">
        <f t="shared" si="3"/>
        <v>0</v>
      </c>
      <c r="R166" s="503">
        <f t="shared" si="4"/>
        <v>0</v>
      </c>
    </row>
    <row r="167" spans="1:19">
      <c r="A167" s="505"/>
      <c r="B167" s="511" t="s">
        <v>797</v>
      </c>
      <c r="C167" s="507"/>
      <c r="D167" s="508"/>
      <c r="E167" s="507"/>
      <c r="F167" s="502"/>
      <c r="G167" s="502"/>
      <c r="H167" s="503"/>
      <c r="I167" s="503"/>
      <c r="J167" s="509"/>
      <c r="K167" s="509"/>
      <c r="L167" s="503">
        <f t="shared" si="103"/>
        <v>0</v>
      </c>
      <c r="M167" s="503">
        <f t="shared" si="92"/>
        <v>0</v>
      </c>
      <c r="N167" s="503">
        <f t="shared" si="1"/>
        <v>0</v>
      </c>
      <c r="O167" s="503">
        <f t="shared" si="2"/>
        <v>0</v>
      </c>
      <c r="P167" s="503">
        <f t="shared" si="6"/>
        <v>0</v>
      </c>
      <c r="Q167" s="503">
        <f t="shared" si="3"/>
        <v>0</v>
      </c>
      <c r="R167" s="503">
        <f t="shared" si="4"/>
        <v>0</v>
      </c>
    </row>
    <row r="168" spans="1:19">
      <c r="A168" s="505"/>
      <c r="B168" s="511" t="s">
        <v>810</v>
      </c>
      <c r="C168" s="507">
        <v>8</v>
      </c>
      <c r="D168" s="508">
        <v>100</v>
      </c>
      <c r="E168" s="507">
        <v>6</v>
      </c>
      <c r="F168" s="502">
        <v>1</v>
      </c>
      <c r="G168" s="502">
        <f>+ROUND(2550/D168+1,0)+4</f>
        <v>31</v>
      </c>
      <c r="H168" s="503"/>
      <c r="I168" s="503">
        <f>2*(0.18+0.6)+16*C168/1000</f>
        <v>1.6880000000000002</v>
      </c>
      <c r="J168" s="509"/>
      <c r="K168" s="509"/>
      <c r="L168" s="503">
        <f t="shared" si="103"/>
        <v>1.6880000000000002</v>
      </c>
      <c r="M168" s="503">
        <f t="shared" si="92"/>
        <v>313.97000000000003</v>
      </c>
      <c r="N168" s="503">
        <f t="shared" si="1"/>
        <v>0</v>
      </c>
      <c r="O168" s="503">
        <f t="shared" si="2"/>
        <v>0</v>
      </c>
      <c r="P168" s="503">
        <f t="shared" si="6"/>
        <v>0</v>
      </c>
      <c r="Q168" s="503">
        <f t="shared" si="3"/>
        <v>0</v>
      </c>
      <c r="R168" s="503">
        <f t="shared" si="4"/>
        <v>0</v>
      </c>
    </row>
    <row r="169" spans="1:19">
      <c r="A169" s="505"/>
      <c r="B169" s="511" t="s">
        <v>811</v>
      </c>
      <c r="C169" s="507">
        <v>8</v>
      </c>
      <c r="D169" s="508">
        <v>100</v>
      </c>
      <c r="E169" s="507">
        <v>6</v>
      </c>
      <c r="F169" s="502">
        <v>1</v>
      </c>
      <c r="G169" s="502">
        <f t="shared" ref="G169:G175" si="105">+ROUND(2550/D169+1,0)</f>
        <v>27</v>
      </c>
      <c r="H169" s="503"/>
      <c r="I169" s="503">
        <f>2*(0.18+0.248)+16*C169/1000</f>
        <v>0.98399999999999999</v>
      </c>
      <c r="J169" s="509"/>
      <c r="K169" s="509"/>
      <c r="L169" s="503">
        <f t="shared" si="103"/>
        <v>0.98399999999999999</v>
      </c>
      <c r="M169" s="503">
        <f t="shared" si="92"/>
        <v>159.41</v>
      </c>
      <c r="N169" s="503">
        <f t="shared" si="1"/>
        <v>0</v>
      </c>
      <c r="O169" s="503">
        <f t="shared" si="2"/>
        <v>0</v>
      </c>
      <c r="P169" s="503">
        <f t="shared" si="6"/>
        <v>0</v>
      </c>
      <c r="Q169" s="503">
        <f t="shared" si="3"/>
        <v>0</v>
      </c>
      <c r="R169" s="503">
        <f t="shared" si="4"/>
        <v>0</v>
      </c>
    </row>
    <row r="170" spans="1:19">
      <c r="A170" s="505"/>
      <c r="B170" s="511" t="s">
        <v>798</v>
      </c>
      <c r="C170" s="507">
        <v>8</v>
      </c>
      <c r="D170" s="508">
        <v>100</v>
      </c>
      <c r="E170" s="507">
        <v>6</v>
      </c>
      <c r="F170" s="502">
        <v>1</v>
      </c>
      <c r="G170" s="502">
        <f t="shared" si="105"/>
        <v>27</v>
      </c>
      <c r="H170" s="503"/>
      <c r="I170" s="503">
        <f>0.18+(20*C170/1000)</f>
        <v>0.33999999999999997</v>
      </c>
      <c r="J170" s="509"/>
      <c r="K170" s="509"/>
      <c r="L170" s="503">
        <f t="shared" si="103"/>
        <v>0.33999999999999997</v>
      </c>
      <c r="M170" s="503">
        <f t="shared" si="92"/>
        <v>55.08</v>
      </c>
      <c r="N170" s="503">
        <f t="shared" si="1"/>
        <v>0</v>
      </c>
      <c r="O170" s="503">
        <f t="shared" si="2"/>
        <v>0</v>
      </c>
      <c r="P170" s="503">
        <f t="shared" si="6"/>
        <v>0</v>
      </c>
      <c r="Q170" s="503">
        <f t="shared" si="3"/>
        <v>0</v>
      </c>
      <c r="R170" s="503">
        <f t="shared" si="4"/>
        <v>0</v>
      </c>
    </row>
    <row r="171" spans="1:19">
      <c r="A171" s="505"/>
      <c r="B171" s="511" t="s">
        <v>812</v>
      </c>
      <c r="C171" s="507">
        <v>8</v>
      </c>
      <c r="D171" s="508">
        <v>100</v>
      </c>
      <c r="E171" s="507">
        <v>6</v>
      </c>
      <c r="F171" s="502">
        <v>2</v>
      </c>
      <c r="G171" s="502">
        <f>+ROUND(2550/D171+1,0)+4</f>
        <v>31</v>
      </c>
      <c r="H171" s="503"/>
      <c r="I171" s="503">
        <f>2*(0.18+0.385)+16*C171/1000</f>
        <v>1.258</v>
      </c>
      <c r="J171" s="509"/>
      <c r="K171" s="509"/>
      <c r="L171" s="503">
        <f t="shared" si="103"/>
        <v>1.258</v>
      </c>
      <c r="M171" s="503">
        <f t="shared" si="92"/>
        <v>467.98</v>
      </c>
      <c r="N171" s="503">
        <f t="shared" si="1"/>
        <v>0</v>
      </c>
      <c r="O171" s="503">
        <f t="shared" si="2"/>
        <v>0</v>
      </c>
      <c r="P171" s="503">
        <f t="shared" si="6"/>
        <v>0</v>
      </c>
      <c r="Q171" s="503">
        <f t="shared" si="3"/>
        <v>0</v>
      </c>
      <c r="R171" s="503">
        <f t="shared" si="4"/>
        <v>0</v>
      </c>
    </row>
    <row r="172" spans="1:19">
      <c r="A172" s="505"/>
      <c r="B172" s="511" t="s">
        <v>813</v>
      </c>
      <c r="C172" s="507">
        <v>8</v>
      </c>
      <c r="D172" s="508">
        <v>100</v>
      </c>
      <c r="E172" s="507">
        <v>6</v>
      </c>
      <c r="F172" s="502">
        <v>1</v>
      </c>
      <c r="G172" s="502">
        <f t="shared" si="105"/>
        <v>27</v>
      </c>
      <c r="H172" s="503"/>
      <c r="I172" s="503">
        <f>2*(0.18+0.268)+16*C172/1000</f>
        <v>1.024</v>
      </c>
      <c r="J172" s="509"/>
      <c r="K172" s="509"/>
      <c r="L172" s="503">
        <f t="shared" si="103"/>
        <v>1.024</v>
      </c>
      <c r="M172" s="503">
        <f t="shared" si="92"/>
        <v>165.89</v>
      </c>
      <c r="N172" s="503">
        <f t="shared" si="1"/>
        <v>0</v>
      </c>
      <c r="O172" s="503">
        <f t="shared" si="2"/>
        <v>0</v>
      </c>
      <c r="P172" s="503">
        <f t="shared" si="6"/>
        <v>0</v>
      </c>
      <c r="Q172" s="503">
        <f t="shared" si="3"/>
        <v>0</v>
      </c>
      <c r="R172" s="503">
        <f t="shared" si="4"/>
        <v>0</v>
      </c>
    </row>
    <row r="173" spans="1:19">
      <c r="A173" s="505"/>
      <c r="B173" s="511" t="s">
        <v>798</v>
      </c>
      <c r="C173" s="507">
        <v>8</v>
      </c>
      <c r="D173" s="508">
        <v>100</v>
      </c>
      <c r="E173" s="507">
        <v>6</v>
      </c>
      <c r="F173" s="502">
        <v>1</v>
      </c>
      <c r="G173" s="502">
        <f t="shared" si="105"/>
        <v>27</v>
      </c>
      <c r="H173" s="503"/>
      <c r="I173" s="503">
        <f>0.18+(20*C173/1000)</f>
        <v>0.33999999999999997</v>
      </c>
      <c r="J173" s="509"/>
      <c r="K173" s="509"/>
      <c r="L173" s="503">
        <f t="shared" si="103"/>
        <v>0.33999999999999997</v>
      </c>
      <c r="M173" s="503">
        <f t="shared" si="92"/>
        <v>55.08</v>
      </c>
      <c r="N173" s="503">
        <f t="shared" si="1"/>
        <v>0</v>
      </c>
      <c r="O173" s="503">
        <f t="shared" si="2"/>
        <v>0</v>
      </c>
      <c r="P173" s="503">
        <f t="shared" si="6"/>
        <v>0</v>
      </c>
      <c r="Q173" s="503">
        <f t="shared" si="3"/>
        <v>0</v>
      </c>
      <c r="R173" s="503">
        <f t="shared" si="4"/>
        <v>0</v>
      </c>
    </row>
    <row r="174" spans="1:19">
      <c r="A174" s="505"/>
      <c r="B174" s="511" t="s">
        <v>814</v>
      </c>
      <c r="C174" s="507">
        <v>8</v>
      </c>
      <c r="D174" s="508">
        <v>200</v>
      </c>
      <c r="E174" s="507">
        <v>6</v>
      </c>
      <c r="F174" s="502">
        <v>1</v>
      </c>
      <c r="G174" s="502">
        <f>+ROUND(2550/D174+1,0)+4</f>
        <v>18</v>
      </c>
      <c r="H174" s="503"/>
      <c r="I174" s="503">
        <f>2*(0.18+1.066)+16*C174/1000</f>
        <v>2.62</v>
      </c>
      <c r="J174" s="509"/>
      <c r="K174" s="509"/>
      <c r="L174" s="503">
        <f t="shared" si="103"/>
        <v>2.62</v>
      </c>
      <c r="M174" s="503">
        <f t="shared" si="92"/>
        <v>282.95999999999998</v>
      </c>
      <c r="N174" s="503">
        <f t="shared" si="1"/>
        <v>0</v>
      </c>
      <c r="O174" s="503">
        <f t="shared" si="2"/>
        <v>0</v>
      </c>
      <c r="P174" s="503">
        <f t="shared" si="6"/>
        <v>0</v>
      </c>
      <c r="Q174" s="503">
        <f t="shared" si="3"/>
        <v>0</v>
      </c>
      <c r="R174" s="503">
        <f t="shared" si="4"/>
        <v>0</v>
      </c>
    </row>
    <row r="175" spans="1:19">
      <c r="A175" s="505"/>
      <c r="B175" s="511" t="s">
        <v>799</v>
      </c>
      <c r="C175" s="507">
        <v>8</v>
      </c>
      <c r="D175" s="508">
        <v>400</v>
      </c>
      <c r="E175" s="507">
        <v>6</v>
      </c>
      <c r="F175" s="502">
        <v>2</v>
      </c>
      <c r="G175" s="502">
        <f t="shared" si="105"/>
        <v>7</v>
      </c>
      <c r="H175" s="503"/>
      <c r="I175" s="503">
        <f>0.18+(20*C175/1000)</f>
        <v>0.33999999999999997</v>
      </c>
      <c r="J175" s="509"/>
      <c r="K175" s="509"/>
      <c r="L175" s="503">
        <f t="shared" ref="L175" si="106">SUM(H175:J175)+K175</f>
        <v>0.33999999999999997</v>
      </c>
      <c r="M175" s="503">
        <f t="shared" si="92"/>
        <v>28.56</v>
      </c>
      <c r="N175" s="503">
        <f t="shared" si="1"/>
        <v>0</v>
      </c>
      <c r="O175" s="503">
        <f t="shared" si="2"/>
        <v>0</v>
      </c>
      <c r="P175" s="503">
        <f t="shared" si="6"/>
        <v>0</v>
      </c>
      <c r="Q175" s="503">
        <f t="shared" si="3"/>
        <v>0</v>
      </c>
      <c r="R175" s="503">
        <f t="shared" si="4"/>
        <v>0</v>
      </c>
    </row>
    <row r="176" spans="1:19">
      <c r="A176" s="530">
        <f>+E176</f>
        <v>2</v>
      </c>
      <c r="B176" s="506" t="s">
        <v>815</v>
      </c>
      <c r="C176" s="507">
        <v>16</v>
      </c>
      <c r="D176" s="508"/>
      <c r="E176" s="507">
        <v>2</v>
      </c>
      <c r="F176" s="502">
        <v>1</v>
      </c>
      <c r="G176" s="502">
        <v>8</v>
      </c>
      <c r="H176" s="503"/>
      <c r="I176" s="503">
        <v>2.95</v>
      </c>
      <c r="J176" s="509"/>
      <c r="K176" s="509">
        <f t="shared" ref="K176:K178" si="107">1*36*C176/1000</f>
        <v>0.57599999999999996</v>
      </c>
      <c r="L176" s="503">
        <f t="shared" ref="L176:L183" si="108">SUM(H176:J176)+K176</f>
        <v>3.5260000000000002</v>
      </c>
      <c r="M176" s="503">
        <f t="shared" si="92"/>
        <v>0</v>
      </c>
      <c r="N176" s="503">
        <f t="shared" si="1"/>
        <v>0</v>
      </c>
      <c r="O176" s="503">
        <f t="shared" si="2"/>
        <v>0</v>
      </c>
      <c r="P176" s="503">
        <f t="shared" si="6"/>
        <v>56.42</v>
      </c>
      <c r="Q176" s="503">
        <f t="shared" si="3"/>
        <v>0</v>
      </c>
      <c r="R176" s="503">
        <f t="shared" si="4"/>
        <v>0</v>
      </c>
      <c r="S176" s="221">
        <f>+G176*E176</f>
        <v>16</v>
      </c>
    </row>
    <row r="177" spans="1:19">
      <c r="A177" s="505"/>
      <c r="B177" s="506"/>
      <c r="C177" s="507">
        <v>12</v>
      </c>
      <c r="D177" s="508"/>
      <c r="E177" s="507">
        <v>2</v>
      </c>
      <c r="F177" s="502">
        <v>1</v>
      </c>
      <c r="G177" s="502">
        <v>20</v>
      </c>
      <c r="H177" s="503"/>
      <c r="I177" s="503">
        <v>2.95</v>
      </c>
      <c r="J177" s="509"/>
      <c r="K177" s="509">
        <f t="shared" si="107"/>
        <v>0.432</v>
      </c>
      <c r="L177" s="503">
        <f t="shared" si="108"/>
        <v>3.3820000000000001</v>
      </c>
      <c r="M177" s="503">
        <f t="shared" si="92"/>
        <v>0</v>
      </c>
      <c r="N177" s="503">
        <f t="shared" si="1"/>
        <v>0</v>
      </c>
      <c r="O177" s="503">
        <f t="shared" si="2"/>
        <v>135.28</v>
      </c>
      <c r="P177" s="503">
        <f t="shared" si="6"/>
        <v>0</v>
      </c>
      <c r="Q177" s="503">
        <f t="shared" si="3"/>
        <v>0</v>
      </c>
      <c r="R177" s="503">
        <f t="shared" si="4"/>
        <v>0</v>
      </c>
      <c r="S177" s="221">
        <f>+G177*E177</f>
        <v>40</v>
      </c>
    </row>
    <row r="178" spans="1:19">
      <c r="A178" s="505"/>
      <c r="B178" s="506"/>
      <c r="C178" s="507">
        <v>10</v>
      </c>
      <c r="D178" s="508"/>
      <c r="E178" s="507">
        <v>2</v>
      </c>
      <c r="F178" s="502">
        <v>1</v>
      </c>
      <c r="G178" s="502">
        <v>20</v>
      </c>
      <c r="H178" s="503"/>
      <c r="I178" s="503">
        <v>2.95</v>
      </c>
      <c r="J178" s="509"/>
      <c r="K178" s="509">
        <f t="shared" si="107"/>
        <v>0.36</v>
      </c>
      <c r="L178" s="503">
        <f t="shared" ref="L178" si="109">SUM(H178:J178)+K178</f>
        <v>3.31</v>
      </c>
      <c r="M178" s="503">
        <f t="shared" si="92"/>
        <v>0</v>
      </c>
      <c r="N178" s="503">
        <f t="shared" si="1"/>
        <v>132.4</v>
      </c>
      <c r="O178" s="503">
        <f t="shared" si="2"/>
        <v>0</v>
      </c>
      <c r="P178" s="503">
        <f t="shared" si="6"/>
        <v>0</v>
      </c>
      <c r="Q178" s="503">
        <f t="shared" si="3"/>
        <v>0</v>
      </c>
      <c r="R178" s="503">
        <f t="shared" si="4"/>
        <v>0</v>
      </c>
    </row>
    <row r="179" spans="1:19">
      <c r="A179" s="505"/>
      <c r="B179" s="511" t="s">
        <v>797</v>
      </c>
      <c r="C179" s="507"/>
      <c r="D179" s="508"/>
      <c r="E179" s="507"/>
      <c r="F179" s="502"/>
      <c r="G179" s="502"/>
      <c r="H179" s="503"/>
      <c r="I179" s="503"/>
      <c r="J179" s="509"/>
      <c r="K179" s="509"/>
      <c r="L179" s="503">
        <f t="shared" si="108"/>
        <v>0</v>
      </c>
      <c r="M179" s="503">
        <f t="shared" si="92"/>
        <v>0</v>
      </c>
      <c r="N179" s="503">
        <f t="shared" si="1"/>
        <v>0</v>
      </c>
      <c r="O179" s="503">
        <f t="shared" si="2"/>
        <v>0</v>
      </c>
      <c r="P179" s="503">
        <f t="shared" si="6"/>
        <v>0</v>
      </c>
      <c r="Q179" s="503">
        <f t="shared" si="3"/>
        <v>0</v>
      </c>
      <c r="R179" s="503">
        <f t="shared" si="4"/>
        <v>0</v>
      </c>
    </row>
    <row r="180" spans="1:19">
      <c r="A180" s="505"/>
      <c r="B180" s="511" t="s">
        <v>816</v>
      </c>
      <c r="C180" s="507">
        <v>8</v>
      </c>
      <c r="D180" s="508">
        <v>100</v>
      </c>
      <c r="E180" s="507">
        <v>2</v>
      </c>
      <c r="F180" s="502">
        <v>2</v>
      </c>
      <c r="G180" s="502">
        <f>+ROUND(2550/D180+1,0)+4</f>
        <v>31</v>
      </c>
      <c r="H180" s="503"/>
      <c r="I180" s="503">
        <f>2*(0.18+0.683)+16*C180/1000</f>
        <v>1.8540000000000001</v>
      </c>
      <c r="J180" s="509"/>
      <c r="K180" s="509"/>
      <c r="L180" s="503">
        <f t="shared" si="108"/>
        <v>1.8540000000000001</v>
      </c>
      <c r="M180" s="503">
        <f t="shared" si="92"/>
        <v>229.9</v>
      </c>
      <c r="N180" s="503">
        <f t="shared" si="1"/>
        <v>0</v>
      </c>
      <c r="O180" s="503">
        <f t="shared" si="2"/>
        <v>0</v>
      </c>
      <c r="P180" s="503">
        <f t="shared" si="6"/>
        <v>0</v>
      </c>
      <c r="Q180" s="503">
        <f t="shared" si="3"/>
        <v>0</v>
      </c>
      <c r="R180" s="503">
        <f t="shared" si="4"/>
        <v>0</v>
      </c>
    </row>
    <row r="181" spans="1:19">
      <c r="A181" s="505"/>
      <c r="B181" s="511" t="s">
        <v>817</v>
      </c>
      <c r="C181" s="507">
        <v>8</v>
      </c>
      <c r="D181" s="508">
        <v>100</v>
      </c>
      <c r="E181" s="507">
        <v>2</v>
      </c>
      <c r="F181" s="502">
        <f>2*2</f>
        <v>4</v>
      </c>
      <c r="G181" s="502">
        <f t="shared" ref="G181:G184" si="110">+ROUND(2550/D181+1,0)</f>
        <v>27</v>
      </c>
      <c r="H181" s="503"/>
      <c r="I181" s="503">
        <f>2*(0.18+0.128)+16*C181/1000</f>
        <v>0.74399999999999999</v>
      </c>
      <c r="J181" s="509"/>
      <c r="K181" s="509"/>
      <c r="L181" s="503">
        <f t="shared" si="108"/>
        <v>0.74399999999999999</v>
      </c>
      <c r="M181" s="503">
        <f t="shared" si="92"/>
        <v>160.69999999999999</v>
      </c>
      <c r="N181" s="503">
        <f t="shared" si="1"/>
        <v>0</v>
      </c>
      <c r="O181" s="503">
        <f t="shared" si="2"/>
        <v>0</v>
      </c>
      <c r="P181" s="503">
        <f t="shared" si="6"/>
        <v>0</v>
      </c>
      <c r="Q181" s="503">
        <f t="shared" si="3"/>
        <v>0</v>
      </c>
      <c r="R181" s="503">
        <f t="shared" si="4"/>
        <v>0</v>
      </c>
    </row>
    <row r="182" spans="1:19">
      <c r="A182" s="505"/>
      <c r="B182" s="511" t="s">
        <v>798</v>
      </c>
      <c r="C182" s="507">
        <v>8</v>
      </c>
      <c r="D182" s="508">
        <v>100</v>
      </c>
      <c r="E182" s="507">
        <v>2</v>
      </c>
      <c r="F182" s="502">
        <v>2</v>
      </c>
      <c r="G182" s="502">
        <f t="shared" si="110"/>
        <v>27</v>
      </c>
      <c r="H182" s="503"/>
      <c r="I182" s="503">
        <f>0.18+(20*C182/1000)</f>
        <v>0.33999999999999997</v>
      </c>
      <c r="J182" s="509"/>
      <c r="K182" s="509"/>
      <c r="L182" s="503">
        <f t="shared" si="108"/>
        <v>0.33999999999999997</v>
      </c>
      <c r="M182" s="503">
        <f t="shared" si="92"/>
        <v>36.72</v>
      </c>
      <c r="N182" s="503">
        <f t="shared" si="1"/>
        <v>0</v>
      </c>
      <c r="O182" s="503">
        <f t="shared" si="2"/>
        <v>0</v>
      </c>
      <c r="P182" s="503">
        <f t="shared" si="6"/>
        <v>0</v>
      </c>
      <c r="Q182" s="503">
        <f t="shared" si="3"/>
        <v>0</v>
      </c>
      <c r="R182" s="503">
        <f t="shared" si="4"/>
        <v>0</v>
      </c>
    </row>
    <row r="183" spans="1:19">
      <c r="A183" s="505"/>
      <c r="B183" s="511" t="s">
        <v>818</v>
      </c>
      <c r="C183" s="507">
        <v>8</v>
      </c>
      <c r="D183" s="508">
        <v>200</v>
      </c>
      <c r="E183" s="507">
        <v>2</v>
      </c>
      <c r="F183" s="502">
        <v>1</v>
      </c>
      <c r="G183" s="502">
        <f>+ROUND(2550/D183+1,0)+4</f>
        <v>18</v>
      </c>
      <c r="H183" s="503"/>
      <c r="I183" s="503">
        <f>2*(0.18+2.061)+16*C183/1000</f>
        <v>4.6100000000000003</v>
      </c>
      <c r="J183" s="509"/>
      <c r="K183" s="509"/>
      <c r="L183" s="503">
        <f t="shared" si="108"/>
        <v>4.6100000000000003</v>
      </c>
      <c r="M183" s="503">
        <f t="shared" si="92"/>
        <v>165.96</v>
      </c>
      <c r="N183" s="503">
        <f t="shared" si="1"/>
        <v>0</v>
      </c>
      <c r="O183" s="503">
        <f t="shared" si="2"/>
        <v>0</v>
      </c>
      <c r="P183" s="503">
        <f t="shared" si="6"/>
        <v>0</v>
      </c>
      <c r="Q183" s="503">
        <f t="shared" si="3"/>
        <v>0</v>
      </c>
      <c r="R183" s="503">
        <f t="shared" si="4"/>
        <v>0</v>
      </c>
    </row>
    <row r="184" spans="1:19">
      <c r="A184" s="505"/>
      <c r="B184" s="511" t="s">
        <v>799</v>
      </c>
      <c r="C184" s="507">
        <v>8</v>
      </c>
      <c r="D184" s="508">
        <v>400</v>
      </c>
      <c r="E184" s="507">
        <v>2</v>
      </c>
      <c r="F184" s="502">
        <v>5</v>
      </c>
      <c r="G184" s="502">
        <f t="shared" si="110"/>
        <v>7</v>
      </c>
      <c r="H184" s="503"/>
      <c r="I184" s="503">
        <f>0.18+(20*C184/1000)</f>
        <v>0.33999999999999997</v>
      </c>
      <c r="J184" s="509"/>
      <c r="K184" s="509"/>
      <c r="L184" s="503">
        <f t="shared" ref="L184" si="111">SUM(H184:J184)+K184</f>
        <v>0.33999999999999997</v>
      </c>
      <c r="M184" s="503">
        <f t="shared" si="92"/>
        <v>23.8</v>
      </c>
      <c r="N184" s="503">
        <f t="shared" si="1"/>
        <v>0</v>
      </c>
      <c r="O184" s="503">
        <f t="shared" si="2"/>
        <v>0</v>
      </c>
      <c r="P184" s="503">
        <f t="shared" si="6"/>
        <v>0</v>
      </c>
      <c r="Q184" s="503">
        <f t="shared" si="3"/>
        <v>0</v>
      </c>
      <c r="R184" s="503">
        <f t="shared" si="4"/>
        <v>0</v>
      </c>
    </row>
    <row r="185" spans="1:19">
      <c r="A185" s="530">
        <f>+E185</f>
        <v>2</v>
      </c>
      <c r="B185" s="506" t="s">
        <v>819</v>
      </c>
      <c r="C185" s="507">
        <v>16</v>
      </c>
      <c r="D185" s="508"/>
      <c r="E185" s="507">
        <v>2</v>
      </c>
      <c r="F185" s="502">
        <v>1</v>
      </c>
      <c r="G185" s="502">
        <v>16</v>
      </c>
      <c r="H185" s="503"/>
      <c r="I185" s="503">
        <v>2.95</v>
      </c>
      <c r="J185" s="509"/>
      <c r="K185" s="509">
        <f t="shared" ref="K185:K187" si="112">1*36*C185/1000</f>
        <v>0.57599999999999996</v>
      </c>
      <c r="L185" s="503">
        <f t="shared" ref="L185:L191" si="113">SUM(H185:J185)+K185</f>
        <v>3.5260000000000002</v>
      </c>
      <c r="M185" s="503">
        <f t="shared" si="92"/>
        <v>0</v>
      </c>
      <c r="N185" s="503">
        <f t="shared" si="1"/>
        <v>0</v>
      </c>
      <c r="O185" s="503">
        <f t="shared" si="2"/>
        <v>0</v>
      </c>
      <c r="P185" s="503">
        <f t="shared" si="6"/>
        <v>112.83</v>
      </c>
      <c r="Q185" s="503">
        <f t="shared" si="3"/>
        <v>0</v>
      </c>
      <c r="R185" s="503">
        <f t="shared" si="4"/>
        <v>0</v>
      </c>
      <c r="S185" s="221">
        <f>+G185*E185</f>
        <v>32</v>
      </c>
    </row>
    <row r="186" spans="1:19">
      <c r="A186" s="505"/>
      <c r="B186" s="506"/>
      <c r="C186" s="507">
        <v>12</v>
      </c>
      <c r="D186" s="508"/>
      <c r="E186" s="507">
        <v>2</v>
      </c>
      <c r="F186" s="502">
        <v>1</v>
      </c>
      <c r="G186" s="502">
        <v>24</v>
      </c>
      <c r="H186" s="503"/>
      <c r="I186" s="503">
        <v>2.95</v>
      </c>
      <c r="J186" s="509"/>
      <c r="K186" s="509">
        <f t="shared" si="112"/>
        <v>0.432</v>
      </c>
      <c r="L186" s="503">
        <f t="shared" si="113"/>
        <v>3.3820000000000001</v>
      </c>
      <c r="M186" s="503">
        <f t="shared" si="92"/>
        <v>0</v>
      </c>
      <c r="N186" s="503">
        <f t="shared" si="1"/>
        <v>0</v>
      </c>
      <c r="O186" s="503">
        <f t="shared" si="2"/>
        <v>162.34</v>
      </c>
      <c r="P186" s="503">
        <f t="shared" si="6"/>
        <v>0</v>
      </c>
      <c r="Q186" s="503">
        <f t="shared" si="3"/>
        <v>0</v>
      </c>
      <c r="R186" s="503">
        <f t="shared" si="4"/>
        <v>0</v>
      </c>
      <c r="S186" s="221">
        <f>+G186*E186</f>
        <v>48</v>
      </c>
    </row>
    <row r="187" spans="1:19">
      <c r="A187" s="505"/>
      <c r="B187" s="506"/>
      <c r="C187" s="507">
        <v>10</v>
      </c>
      <c r="D187" s="508"/>
      <c r="E187" s="507">
        <v>2</v>
      </c>
      <c r="F187" s="502">
        <v>1</v>
      </c>
      <c r="G187" s="502">
        <v>20</v>
      </c>
      <c r="H187" s="503"/>
      <c r="I187" s="503">
        <v>2.95</v>
      </c>
      <c r="J187" s="509"/>
      <c r="K187" s="509">
        <f t="shared" si="112"/>
        <v>0.36</v>
      </c>
      <c r="L187" s="503">
        <f t="shared" si="113"/>
        <v>3.31</v>
      </c>
      <c r="M187" s="503">
        <f t="shared" si="92"/>
        <v>0</v>
      </c>
      <c r="N187" s="503">
        <f t="shared" si="1"/>
        <v>132.4</v>
      </c>
      <c r="O187" s="503">
        <f t="shared" si="2"/>
        <v>0</v>
      </c>
      <c r="P187" s="503">
        <f t="shared" si="6"/>
        <v>0</v>
      </c>
      <c r="Q187" s="503">
        <f t="shared" si="3"/>
        <v>0</v>
      </c>
      <c r="R187" s="503">
        <f t="shared" si="4"/>
        <v>0</v>
      </c>
    </row>
    <row r="188" spans="1:19">
      <c r="A188" s="505"/>
      <c r="B188" s="511" t="s">
        <v>797</v>
      </c>
      <c r="C188" s="507"/>
      <c r="D188" s="508"/>
      <c r="E188" s="507"/>
      <c r="F188" s="502"/>
      <c r="G188" s="502"/>
      <c r="H188" s="503"/>
      <c r="I188" s="503"/>
      <c r="J188" s="509"/>
      <c r="K188" s="509"/>
      <c r="L188" s="503">
        <f t="shared" si="113"/>
        <v>0</v>
      </c>
      <c r="M188" s="503">
        <f t="shared" si="92"/>
        <v>0</v>
      </c>
      <c r="N188" s="503">
        <f t="shared" si="1"/>
        <v>0</v>
      </c>
      <c r="O188" s="503">
        <f t="shared" si="2"/>
        <v>0</v>
      </c>
      <c r="P188" s="503">
        <f t="shared" si="6"/>
        <v>0</v>
      </c>
      <c r="Q188" s="503">
        <f t="shared" si="3"/>
        <v>0</v>
      </c>
      <c r="R188" s="503">
        <f t="shared" si="4"/>
        <v>0</v>
      </c>
    </row>
    <row r="189" spans="1:19">
      <c r="A189" s="505"/>
      <c r="B189" s="511" t="s">
        <v>820</v>
      </c>
      <c r="C189" s="507">
        <v>8</v>
      </c>
      <c r="D189" s="508">
        <v>100</v>
      </c>
      <c r="E189" s="507">
        <v>2</v>
      </c>
      <c r="F189" s="502">
        <v>2</v>
      </c>
      <c r="G189" s="502">
        <f>+ROUND(2550/D189+1,0)+4</f>
        <v>31</v>
      </c>
      <c r="H189" s="503"/>
      <c r="I189" s="503">
        <f>2*(0.18+0.983)+16*C189/1000</f>
        <v>2.4540000000000002</v>
      </c>
      <c r="J189" s="509"/>
      <c r="K189" s="509"/>
      <c r="L189" s="503">
        <f t="shared" si="113"/>
        <v>2.4540000000000002</v>
      </c>
      <c r="M189" s="503">
        <f t="shared" si="92"/>
        <v>304.3</v>
      </c>
      <c r="N189" s="503">
        <f t="shared" si="1"/>
        <v>0</v>
      </c>
      <c r="O189" s="503">
        <f t="shared" si="2"/>
        <v>0</v>
      </c>
      <c r="P189" s="503">
        <f t="shared" si="6"/>
        <v>0</v>
      </c>
      <c r="Q189" s="503">
        <f t="shared" si="3"/>
        <v>0</v>
      </c>
      <c r="R189" s="503">
        <f t="shared" si="4"/>
        <v>0</v>
      </c>
    </row>
    <row r="190" spans="1:19">
      <c r="A190" s="505"/>
      <c r="B190" s="511" t="s">
        <v>821</v>
      </c>
      <c r="C190" s="507">
        <v>8</v>
      </c>
      <c r="D190" s="508">
        <v>100</v>
      </c>
      <c r="E190" s="507">
        <v>2</v>
      </c>
      <c r="F190" s="502">
        <f>2*4</f>
        <v>8</v>
      </c>
      <c r="G190" s="502">
        <f t="shared" ref="G190:G192" si="114">+ROUND(2550/D190+1,0)</f>
        <v>27</v>
      </c>
      <c r="H190" s="503"/>
      <c r="I190" s="503">
        <f>2*(0.18+0.124)+16*C190/1000</f>
        <v>0.73599999999999999</v>
      </c>
      <c r="J190" s="509"/>
      <c r="K190" s="509"/>
      <c r="L190" s="503">
        <f t="shared" si="113"/>
        <v>0.73599999999999999</v>
      </c>
      <c r="M190" s="503">
        <f t="shared" si="92"/>
        <v>317.95</v>
      </c>
      <c r="N190" s="503">
        <f t="shared" si="1"/>
        <v>0</v>
      </c>
      <c r="O190" s="503">
        <f t="shared" si="2"/>
        <v>0</v>
      </c>
      <c r="P190" s="503">
        <f t="shared" si="6"/>
        <v>0</v>
      </c>
      <c r="Q190" s="503">
        <f t="shared" si="3"/>
        <v>0</v>
      </c>
      <c r="R190" s="503">
        <f t="shared" si="4"/>
        <v>0</v>
      </c>
    </row>
    <row r="191" spans="1:19">
      <c r="A191" s="505"/>
      <c r="B191" s="511" t="s">
        <v>822</v>
      </c>
      <c r="C191" s="507">
        <v>8</v>
      </c>
      <c r="D191" s="508">
        <v>200</v>
      </c>
      <c r="E191" s="507">
        <v>2</v>
      </c>
      <c r="F191" s="502">
        <v>1</v>
      </c>
      <c r="G191" s="502">
        <f>+ROUND(2550/D191+1,0)+4</f>
        <v>18</v>
      </c>
      <c r="H191" s="503"/>
      <c r="I191" s="503">
        <f>2*(0.18+2.081)+16*C191/1000</f>
        <v>4.6500000000000004</v>
      </c>
      <c r="J191" s="509"/>
      <c r="K191" s="509"/>
      <c r="L191" s="503">
        <f t="shared" si="113"/>
        <v>4.6500000000000004</v>
      </c>
      <c r="M191" s="503">
        <f t="shared" si="92"/>
        <v>167.4</v>
      </c>
      <c r="N191" s="503">
        <f t="shared" si="1"/>
        <v>0</v>
      </c>
      <c r="O191" s="503">
        <f t="shared" si="2"/>
        <v>0</v>
      </c>
      <c r="P191" s="503">
        <f t="shared" si="6"/>
        <v>0</v>
      </c>
      <c r="Q191" s="503">
        <f t="shared" si="3"/>
        <v>0</v>
      </c>
      <c r="R191" s="503">
        <f t="shared" si="4"/>
        <v>0</v>
      </c>
    </row>
    <row r="192" spans="1:19">
      <c r="A192" s="505"/>
      <c r="B192" s="511" t="s">
        <v>799</v>
      </c>
      <c r="C192" s="507">
        <v>8</v>
      </c>
      <c r="D192" s="508">
        <v>400</v>
      </c>
      <c r="E192" s="507">
        <v>2</v>
      </c>
      <c r="F192" s="502">
        <v>5</v>
      </c>
      <c r="G192" s="502">
        <f t="shared" si="114"/>
        <v>7</v>
      </c>
      <c r="H192" s="503"/>
      <c r="I192" s="503">
        <f>0.18+(20*C192/1000)</f>
        <v>0.33999999999999997</v>
      </c>
      <c r="J192" s="509"/>
      <c r="K192" s="509"/>
      <c r="L192" s="503">
        <f t="shared" ref="L192" si="115">SUM(H192:J192)+K192</f>
        <v>0.33999999999999997</v>
      </c>
      <c r="M192" s="503">
        <f t="shared" si="92"/>
        <v>23.8</v>
      </c>
      <c r="N192" s="503">
        <f t="shared" si="1"/>
        <v>0</v>
      </c>
      <c r="O192" s="503">
        <f t="shared" si="2"/>
        <v>0</v>
      </c>
      <c r="P192" s="503">
        <f t="shared" si="6"/>
        <v>0</v>
      </c>
      <c r="Q192" s="503">
        <f t="shared" si="3"/>
        <v>0</v>
      </c>
      <c r="R192" s="503">
        <f t="shared" si="4"/>
        <v>0</v>
      </c>
    </row>
    <row r="193" spans="1:19">
      <c r="A193" s="530">
        <f>+E193</f>
        <v>2</v>
      </c>
      <c r="B193" s="506" t="s">
        <v>823</v>
      </c>
      <c r="C193" s="507">
        <v>16</v>
      </c>
      <c r="D193" s="508"/>
      <c r="E193" s="507">
        <v>2</v>
      </c>
      <c r="F193" s="502">
        <v>1</v>
      </c>
      <c r="G193" s="502">
        <v>8</v>
      </c>
      <c r="H193" s="503"/>
      <c r="I193" s="503">
        <v>2.95</v>
      </c>
      <c r="J193" s="509"/>
      <c r="K193" s="509">
        <f t="shared" ref="K193:K195" si="116">1*36*C193/1000</f>
        <v>0.57599999999999996</v>
      </c>
      <c r="L193" s="503">
        <f t="shared" ref="L193:L210" si="117">SUM(H193:J193)+K193</f>
        <v>3.5260000000000002</v>
      </c>
      <c r="M193" s="503">
        <f t="shared" si="92"/>
        <v>0</v>
      </c>
      <c r="N193" s="503">
        <f t="shared" si="1"/>
        <v>0</v>
      </c>
      <c r="O193" s="503">
        <f t="shared" si="2"/>
        <v>0</v>
      </c>
      <c r="P193" s="503">
        <f t="shared" si="6"/>
        <v>56.42</v>
      </c>
      <c r="Q193" s="503">
        <f t="shared" si="3"/>
        <v>0</v>
      </c>
      <c r="R193" s="503">
        <f t="shared" si="4"/>
        <v>0</v>
      </c>
      <c r="S193" s="221">
        <f>+G193*E193</f>
        <v>16</v>
      </c>
    </row>
    <row r="194" spans="1:19">
      <c r="A194" s="505"/>
      <c r="B194" s="511"/>
      <c r="C194" s="507">
        <v>12</v>
      </c>
      <c r="D194" s="508"/>
      <c r="E194" s="507">
        <v>2</v>
      </c>
      <c r="F194" s="502">
        <v>1</v>
      </c>
      <c r="G194" s="502">
        <v>16</v>
      </c>
      <c r="H194" s="503"/>
      <c r="I194" s="503">
        <v>2.95</v>
      </c>
      <c r="J194" s="509"/>
      <c r="K194" s="509">
        <f t="shared" si="116"/>
        <v>0.432</v>
      </c>
      <c r="L194" s="503">
        <f t="shared" si="117"/>
        <v>3.3820000000000001</v>
      </c>
      <c r="M194" s="503">
        <f t="shared" si="92"/>
        <v>0</v>
      </c>
      <c r="N194" s="503">
        <f t="shared" si="1"/>
        <v>0</v>
      </c>
      <c r="O194" s="503">
        <f t="shared" si="2"/>
        <v>108.22</v>
      </c>
      <c r="P194" s="503">
        <f t="shared" si="6"/>
        <v>0</v>
      </c>
      <c r="Q194" s="503">
        <f t="shared" si="3"/>
        <v>0</v>
      </c>
      <c r="R194" s="503">
        <f t="shared" si="4"/>
        <v>0</v>
      </c>
      <c r="S194" s="221">
        <f>+G194*E194</f>
        <v>32</v>
      </c>
    </row>
    <row r="195" spans="1:19">
      <c r="A195" s="505"/>
      <c r="B195" s="511"/>
      <c r="C195" s="507">
        <v>10</v>
      </c>
      <c r="D195" s="508"/>
      <c r="E195" s="507">
        <v>2</v>
      </c>
      <c r="F195" s="502">
        <v>1</v>
      </c>
      <c r="G195" s="502">
        <v>6</v>
      </c>
      <c r="H195" s="503"/>
      <c r="I195" s="503">
        <v>2.95</v>
      </c>
      <c r="J195" s="509"/>
      <c r="K195" s="509">
        <f t="shared" si="116"/>
        <v>0.36</v>
      </c>
      <c r="L195" s="503">
        <f t="shared" si="117"/>
        <v>3.31</v>
      </c>
      <c r="M195" s="503">
        <f t="shared" si="92"/>
        <v>0</v>
      </c>
      <c r="N195" s="503">
        <f t="shared" si="1"/>
        <v>39.72</v>
      </c>
      <c r="O195" s="503">
        <f t="shared" si="2"/>
        <v>0</v>
      </c>
      <c r="P195" s="503">
        <f t="shared" si="6"/>
        <v>0</v>
      </c>
      <c r="Q195" s="503">
        <f t="shared" si="3"/>
        <v>0</v>
      </c>
      <c r="R195" s="503">
        <f t="shared" si="4"/>
        <v>0</v>
      </c>
    </row>
    <row r="196" spans="1:19">
      <c r="A196" s="505"/>
      <c r="B196" s="511" t="s">
        <v>797</v>
      </c>
      <c r="C196" s="507"/>
      <c r="D196" s="508"/>
      <c r="E196" s="507"/>
      <c r="F196" s="502"/>
      <c r="G196" s="502"/>
      <c r="H196" s="503"/>
      <c r="I196" s="503"/>
      <c r="J196" s="509"/>
      <c r="K196" s="509"/>
      <c r="L196" s="503">
        <f t="shared" si="117"/>
        <v>0</v>
      </c>
      <c r="M196" s="503">
        <f t="shared" si="92"/>
        <v>0</v>
      </c>
      <c r="N196" s="503">
        <f t="shared" si="1"/>
        <v>0</v>
      </c>
      <c r="O196" s="503">
        <f t="shared" si="2"/>
        <v>0</v>
      </c>
      <c r="P196" s="503">
        <f t="shared" si="6"/>
        <v>0</v>
      </c>
      <c r="Q196" s="503">
        <f t="shared" si="3"/>
        <v>0</v>
      </c>
      <c r="R196" s="503">
        <f t="shared" si="4"/>
        <v>0</v>
      </c>
    </row>
    <row r="197" spans="1:19">
      <c r="A197" s="505"/>
      <c r="B197" s="511" t="s">
        <v>810</v>
      </c>
      <c r="C197" s="507">
        <v>8</v>
      </c>
      <c r="D197" s="508">
        <v>100</v>
      </c>
      <c r="E197" s="507">
        <v>2</v>
      </c>
      <c r="F197" s="502">
        <v>1</v>
      </c>
      <c r="G197" s="502">
        <f>+ROUND(2550/D197+1,0)+4</f>
        <v>31</v>
      </c>
      <c r="H197" s="503"/>
      <c r="I197" s="503">
        <f>2*(0.18+0.6)+16*C197/1000</f>
        <v>1.6880000000000002</v>
      </c>
      <c r="J197" s="509"/>
      <c r="K197" s="509"/>
      <c r="L197" s="503">
        <f t="shared" si="117"/>
        <v>1.6880000000000002</v>
      </c>
      <c r="M197" s="503">
        <f t="shared" si="92"/>
        <v>104.66</v>
      </c>
      <c r="N197" s="503">
        <f t="shared" si="1"/>
        <v>0</v>
      </c>
      <c r="O197" s="503">
        <f t="shared" si="2"/>
        <v>0</v>
      </c>
      <c r="P197" s="503">
        <f t="shared" si="6"/>
        <v>0</v>
      </c>
      <c r="Q197" s="503">
        <f t="shared" si="3"/>
        <v>0</v>
      </c>
      <c r="R197" s="503">
        <f t="shared" si="4"/>
        <v>0</v>
      </c>
    </row>
    <row r="198" spans="1:19">
      <c r="A198" s="505"/>
      <c r="B198" s="511" t="s">
        <v>811</v>
      </c>
      <c r="C198" s="507">
        <v>8</v>
      </c>
      <c r="D198" s="508">
        <v>100</v>
      </c>
      <c r="E198" s="507">
        <v>2</v>
      </c>
      <c r="F198" s="502">
        <v>1</v>
      </c>
      <c r="G198" s="502">
        <f t="shared" ref="G198:G204" si="118">+ROUND(2550/D198+1,0)</f>
        <v>27</v>
      </c>
      <c r="H198" s="503"/>
      <c r="I198" s="503">
        <f>2*(0.18+0.248)+16*C198/1000</f>
        <v>0.98399999999999999</v>
      </c>
      <c r="J198" s="509"/>
      <c r="K198" s="509"/>
      <c r="L198" s="503">
        <f t="shared" si="117"/>
        <v>0.98399999999999999</v>
      </c>
      <c r="M198" s="503">
        <f t="shared" si="92"/>
        <v>53.14</v>
      </c>
      <c r="N198" s="503">
        <f t="shared" si="1"/>
        <v>0</v>
      </c>
      <c r="O198" s="503">
        <f t="shared" si="2"/>
        <v>0</v>
      </c>
      <c r="P198" s="503">
        <f t="shared" si="6"/>
        <v>0</v>
      </c>
      <c r="Q198" s="503">
        <f t="shared" si="3"/>
        <v>0</v>
      </c>
      <c r="R198" s="503">
        <f t="shared" si="4"/>
        <v>0</v>
      </c>
    </row>
    <row r="199" spans="1:19">
      <c r="A199" s="505"/>
      <c r="B199" s="511" t="s">
        <v>798</v>
      </c>
      <c r="C199" s="507">
        <v>8</v>
      </c>
      <c r="D199" s="508">
        <v>100</v>
      </c>
      <c r="E199" s="507">
        <v>2</v>
      </c>
      <c r="F199" s="502">
        <v>1</v>
      </c>
      <c r="G199" s="502">
        <f t="shared" si="118"/>
        <v>27</v>
      </c>
      <c r="H199" s="503"/>
      <c r="I199" s="503">
        <f>0.18+(20*C199/1000)</f>
        <v>0.33999999999999997</v>
      </c>
      <c r="J199" s="509"/>
      <c r="K199" s="509"/>
      <c r="L199" s="503">
        <f t="shared" si="117"/>
        <v>0.33999999999999997</v>
      </c>
      <c r="M199" s="503">
        <f t="shared" si="92"/>
        <v>18.36</v>
      </c>
      <c r="N199" s="503">
        <f t="shared" si="1"/>
        <v>0</v>
      </c>
      <c r="O199" s="503">
        <f t="shared" si="2"/>
        <v>0</v>
      </c>
      <c r="P199" s="503">
        <f t="shared" si="6"/>
        <v>0</v>
      </c>
      <c r="Q199" s="503">
        <f t="shared" si="3"/>
        <v>0</v>
      </c>
      <c r="R199" s="503">
        <f t="shared" si="4"/>
        <v>0</v>
      </c>
    </row>
    <row r="200" spans="1:19">
      <c r="A200" s="505"/>
      <c r="B200" s="511" t="s">
        <v>812</v>
      </c>
      <c r="C200" s="507">
        <v>8</v>
      </c>
      <c r="D200" s="508">
        <v>100</v>
      </c>
      <c r="E200" s="507">
        <v>2</v>
      </c>
      <c r="F200" s="502">
        <v>2</v>
      </c>
      <c r="G200" s="502">
        <f>+ROUND(2550/D200+1,0)+4</f>
        <v>31</v>
      </c>
      <c r="H200" s="503"/>
      <c r="I200" s="503">
        <f>2*(0.18+0.385)+16*C200/1000</f>
        <v>1.258</v>
      </c>
      <c r="J200" s="509"/>
      <c r="K200" s="509"/>
      <c r="L200" s="503">
        <f t="shared" si="117"/>
        <v>1.258</v>
      </c>
      <c r="M200" s="503">
        <f t="shared" si="92"/>
        <v>155.99</v>
      </c>
      <c r="N200" s="503">
        <f t="shared" si="1"/>
        <v>0</v>
      </c>
      <c r="O200" s="503">
        <f t="shared" si="2"/>
        <v>0</v>
      </c>
      <c r="P200" s="503">
        <f t="shared" si="6"/>
        <v>0</v>
      </c>
      <c r="Q200" s="503">
        <f t="shared" si="3"/>
        <v>0</v>
      </c>
      <c r="R200" s="503">
        <f t="shared" si="4"/>
        <v>0</v>
      </c>
    </row>
    <row r="201" spans="1:19">
      <c r="A201" s="505"/>
      <c r="B201" s="511" t="s">
        <v>813</v>
      </c>
      <c r="C201" s="507">
        <v>8</v>
      </c>
      <c r="D201" s="508">
        <v>100</v>
      </c>
      <c r="E201" s="507">
        <v>2</v>
      </c>
      <c r="F201" s="502">
        <v>1</v>
      </c>
      <c r="G201" s="502">
        <f t="shared" si="118"/>
        <v>27</v>
      </c>
      <c r="H201" s="503"/>
      <c r="I201" s="503">
        <f>2*(0.18+0.268)+16*C201/1000</f>
        <v>1.024</v>
      </c>
      <c r="J201" s="509"/>
      <c r="K201" s="509"/>
      <c r="L201" s="503">
        <f t="shared" si="117"/>
        <v>1.024</v>
      </c>
      <c r="M201" s="503">
        <f t="shared" si="92"/>
        <v>55.3</v>
      </c>
      <c r="N201" s="503">
        <f t="shared" si="1"/>
        <v>0</v>
      </c>
      <c r="O201" s="503">
        <f t="shared" si="2"/>
        <v>0</v>
      </c>
      <c r="P201" s="503">
        <f t="shared" si="6"/>
        <v>0</v>
      </c>
      <c r="Q201" s="503">
        <f t="shared" si="3"/>
        <v>0</v>
      </c>
      <c r="R201" s="503">
        <f t="shared" si="4"/>
        <v>0</v>
      </c>
    </row>
    <row r="202" spans="1:19">
      <c r="A202" s="505"/>
      <c r="B202" s="511" t="s">
        <v>798</v>
      </c>
      <c r="C202" s="507">
        <v>8</v>
      </c>
      <c r="D202" s="508">
        <v>100</v>
      </c>
      <c r="E202" s="507">
        <v>2</v>
      </c>
      <c r="F202" s="502">
        <v>1</v>
      </c>
      <c r="G202" s="502">
        <f t="shared" si="118"/>
        <v>27</v>
      </c>
      <c r="H202" s="503"/>
      <c r="I202" s="503">
        <f>0.18+(20*C202/1000)</f>
        <v>0.33999999999999997</v>
      </c>
      <c r="J202" s="509"/>
      <c r="K202" s="509"/>
      <c r="L202" s="503">
        <f t="shared" si="117"/>
        <v>0.33999999999999997</v>
      </c>
      <c r="M202" s="503">
        <f t="shared" si="92"/>
        <v>18.36</v>
      </c>
      <c r="N202" s="503">
        <f t="shared" si="1"/>
        <v>0</v>
      </c>
      <c r="O202" s="503">
        <f t="shared" si="2"/>
        <v>0</v>
      </c>
      <c r="P202" s="503">
        <f t="shared" si="6"/>
        <v>0</v>
      </c>
      <c r="Q202" s="503">
        <f t="shared" si="3"/>
        <v>0</v>
      </c>
      <c r="R202" s="503">
        <f t="shared" si="4"/>
        <v>0</v>
      </c>
    </row>
    <row r="203" spans="1:19">
      <c r="A203" s="505"/>
      <c r="B203" s="511" t="s">
        <v>824</v>
      </c>
      <c r="C203" s="507">
        <v>8</v>
      </c>
      <c r="D203" s="508">
        <v>200</v>
      </c>
      <c r="E203" s="507">
        <v>2</v>
      </c>
      <c r="F203" s="502">
        <v>1</v>
      </c>
      <c r="G203" s="502">
        <f>+ROUND(2550/D203+1,0)+4</f>
        <v>18</v>
      </c>
      <c r="H203" s="503"/>
      <c r="I203" s="503">
        <f>2*(0.18+0.751)+16*C203/1000</f>
        <v>1.9900000000000002</v>
      </c>
      <c r="J203" s="509"/>
      <c r="K203" s="509"/>
      <c r="L203" s="503">
        <f t="shared" si="117"/>
        <v>1.9900000000000002</v>
      </c>
      <c r="M203" s="503">
        <f t="shared" si="92"/>
        <v>71.64</v>
      </c>
      <c r="N203" s="503">
        <f t="shared" si="1"/>
        <v>0</v>
      </c>
      <c r="O203" s="503">
        <f t="shared" si="2"/>
        <v>0</v>
      </c>
      <c r="P203" s="503">
        <f t="shared" si="6"/>
        <v>0</v>
      </c>
      <c r="Q203" s="503">
        <f t="shared" si="3"/>
        <v>0</v>
      </c>
      <c r="R203" s="503">
        <f t="shared" si="4"/>
        <v>0</v>
      </c>
    </row>
    <row r="204" spans="1:19">
      <c r="A204" s="505"/>
      <c r="B204" s="511" t="s">
        <v>799</v>
      </c>
      <c r="C204" s="507">
        <v>8</v>
      </c>
      <c r="D204" s="508">
        <v>400</v>
      </c>
      <c r="E204" s="507">
        <v>2</v>
      </c>
      <c r="F204" s="502">
        <v>1</v>
      </c>
      <c r="G204" s="502">
        <f t="shared" si="118"/>
        <v>7</v>
      </c>
      <c r="H204" s="503"/>
      <c r="I204" s="503">
        <f>0.18+(20*C204/1000)</f>
        <v>0.33999999999999997</v>
      </c>
      <c r="J204" s="509"/>
      <c r="K204" s="509"/>
      <c r="L204" s="503">
        <f t="shared" si="117"/>
        <v>0.33999999999999997</v>
      </c>
      <c r="M204" s="503">
        <f t="shared" si="92"/>
        <v>4.76</v>
      </c>
      <c r="N204" s="503">
        <f t="shared" si="1"/>
        <v>0</v>
      </c>
      <c r="O204" s="503">
        <f t="shared" si="2"/>
        <v>0</v>
      </c>
      <c r="P204" s="503">
        <f t="shared" si="6"/>
        <v>0</v>
      </c>
      <c r="Q204" s="503">
        <f t="shared" si="3"/>
        <v>0</v>
      </c>
      <c r="R204" s="503">
        <f t="shared" si="4"/>
        <v>0</v>
      </c>
    </row>
    <row r="205" spans="1:19">
      <c r="A205" s="530">
        <f>+E205</f>
        <v>2</v>
      </c>
      <c r="B205" s="506" t="s">
        <v>825</v>
      </c>
      <c r="C205" s="507">
        <v>16</v>
      </c>
      <c r="D205" s="508"/>
      <c r="E205" s="507">
        <v>2</v>
      </c>
      <c r="F205" s="502">
        <v>1</v>
      </c>
      <c r="G205" s="502">
        <v>8</v>
      </c>
      <c r="H205" s="503"/>
      <c r="I205" s="503">
        <v>2.95</v>
      </c>
      <c r="J205" s="509"/>
      <c r="K205" s="509">
        <f t="shared" ref="K205:K207" si="119">1*36*C205/1000</f>
        <v>0.57599999999999996</v>
      </c>
      <c r="L205" s="503">
        <f t="shared" si="117"/>
        <v>3.5260000000000002</v>
      </c>
      <c r="M205" s="503">
        <f t="shared" si="92"/>
        <v>0</v>
      </c>
      <c r="N205" s="503">
        <f t="shared" si="1"/>
        <v>0</v>
      </c>
      <c r="O205" s="503">
        <f t="shared" si="2"/>
        <v>0</v>
      </c>
      <c r="P205" s="503">
        <f t="shared" si="6"/>
        <v>56.42</v>
      </c>
      <c r="Q205" s="503">
        <f t="shared" si="3"/>
        <v>0</v>
      </c>
      <c r="R205" s="503">
        <f t="shared" si="4"/>
        <v>0</v>
      </c>
      <c r="S205" s="221">
        <f>+G205*E205</f>
        <v>16</v>
      </c>
    </row>
    <row r="206" spans="1:19">
      <c r="A206" s="505"/>
      <c r="B206" s="506"/>
      <c r="C206" s="507">
        <v>12</v>
      </c>
      <c r="D206" s="508"/>
      <c r="E206" s="507">
        <v>2</v>
      </c>
      <c r="F206" s="502">
        <v>1</v>
      </c>
      <c r="G206" s="502">
        <v>16</v>
      </c>
      <c r="H206" s="503"/>
      <c r="I206" s="503">
        <v>2.95</v>
      </c>
      <c r="J206" s="509"/>
      <c r="K206" s="509">
        <f t="shared" si="119"/>
        <v>0.432</v>
      </c>
      <c r="L206" s="503">
        <f t="shared" si="117"/>
        <v>3.3820000000000001</v>
      </c>
      <c r="M206" s="503">
        <f t="shared" si="92"/>
        <v>0</v>
      </c>
      <c r="N206" s="503">
        <f t="shared" si="1"/>
        <v>0</v>
      </c>
      <c r="O206" s="503">
        <f t="shared" si="2"/>
        <v>108.22</v>
      </c>
      <c r="P206" s="503">
        <f t="shared" si="6"/>
        <v>0</v>
      </c>
      <c r="Q206" s="503">
        <f t="shared" si="3"/>
        <v>0</v>
      </c>
      <c r="R206" s="503">
        <f t="shared" si="4"/>
        <v>0</v>
      </c>
      <c r="S206" s="221">
        <f>+G206*E206</f>
        <v>32</v>
      </c>
    </row>
    <row r="207" spans="1:19">
      <c r="A207" s="505"/>
      <c r="B207" s="506"/>
      <c r="C207" s="507">
        <v>10</v>
      </c>
      <c r="D207" s="508"/>
      <c r="E207" s="507">
        <v>2</v>
      </c>
      <c r="F207" s="502">
        <v>1</v>
      </c>
      <c r="G207" s="502">
        <v>22</v>
      </c>
      <c r="H207" s="503"/>
      <c r="I207" s="503">
        <v>2.95</v>
      </c>
      <c r="J207" s="509"/>
      <c r="K207" s="509">
        <f t="shared" si="119"/>
        <v>0.36</v>
      </c>
      <c r="L207" s="503">
        <f t="shared" si="117"/>
        <v>3.31</v>
      </c>
      <c r="M207" s="503">
        <f t="shared" si="92"/>
        <v>0</v>
      </c>
      <c r="N207" s="503">
        <f t="shared" si="1"/>
        <v>145.63999999999999</v>
      </c>
      <c r="O207" s="503">
        <f t="shared" si="2"/>
        <v>0</v>
      </c>
      <c r="P207" s="503">
        <f t="shared" si="6"/>
        <v>0</v>
      </c>
      <c r="Q207" s="503">
        <f t="shared" si="3"/>
        <v>0</v>
      </c>
      <c r="R207" s="503">
        <f t="shared" si="4"/>
        <v>0</v>
      </c>
    </row>
    <row r="208" spans="1:19">
      <c r="A208" s="505"/>
      <c r="B208" s="511" t="s">
        <v>797</v>
      </c>
      <c r="C208" s="507"/>
      <c r="D208" s="508"/>
      <c r="E208" s="507"/>
      <c r="F208" s="502"/>
      <c r="G208" s="502"/>
      <c r="H208" s="503"/>
      <c r="I208" s="503"/>
      <c r="J208" s="509"/>
      <c r="K208" s="509"/>
      <c r="L208" s="503">
        <f t="shared" si="117"/>
        <v>0</v>
      </c>
      <c r="M208" s="503">
        <f t="shared" si="92"/>
        <v>0</v>
      </c>
      <c r="N208" s="503">
        <f t="shared" si="1"/>
        <v>0</v>
      </c>
      <c r="O208" s="503">
        <f t="shared" si="2"/>
        <v>0</v>
      </c>
      <c r="P208" s="503">
        <f t="shared" si="6"/>
        <v>0</v>
      </c>
      <c r="Q208" s="503">
        <f t="shared" si="3"/>
        <v>0</v>
      </c>
      <c r="R208" s="503">
        <f t="shared" si="4"/>
        <v>0</v>
      </c>
    </row>
    <row r="209" spans="1:19">
      <c r="A209" s="505"/>
      <c r="B209" s="511" t="s">
        <v>826</v>
      </c>
      <c r="C209" s="507">
        <v>8</v>
      </c>
      <c r="D209" s="508">
        <v>100</v>
      </c>
      <c r="E209" s="507">
        <v>2</v>
      </c>
      <c r="F209" s="502">
        <v>2</v>
      </c>
      <c r="G209" s="502">
        <f>+ROUND(2550/D209+1,0)+4</f>
        <v>31</v>
      </c>
      <c r="H209" s="503"/>
      <c r="I209" s="503">
        <f>2*(0.15+0.59)+16*C209/1000</f>
        <v>1.6080000000000001</v>
      </c>
      <c r="J209" s="509"/>
      <c r="K209" s="509"/>
      <c r="L209" s="503">
        <f t="shared" si="117"/>
        <v>1.6080000000000001</v>
      </c>
      <c r="M209" s="503">
        <f t="shared" si="92"/>
        <v>199.39</v>
      </c>
      <c r="N209" s="503">
        <f t="shared" si="1"/>
        <v>0</v>
      </c>
      <c r="O209" s="503">
        <f t="shared" si="2"/>
        <v>0</v>
      </c>
      <c r="P209" s="503">
        <f t="shared" si="6"/>
        <v>0</v>
      </c>
      <c r="Q209" s="503">
        <f t="shared" si="3"/>
        <v>0</v>
      </c>
      <c r="R209" s="503">
        <f t="shared" si="4"/>
        <v>0</v>
      </c>
    </row>
    <row r="210" spans="1:19">
      <c r="A210" s="505"/>
      <c r="B210" s="511" t="s">
        <v>827</v>
      </c>
      <c r="C210" s="507">
        <v>8</v>
      </c>
      <c r="D210" s="508">
        <v>100</v>
      </c>
      <c r="E210" s="507">
        <v>2</v>
      </c>
      <c r="F210" s="502">
        <f>2*2</f>
        <v>4</v>
      </c>
      <c r="G210" s="502">
        <f>+ROUND(2550/D210+1,0)</f>
        <v>27</v>
      </c>
      <c r="H210" s="503"/>
      <c r="I210" s="503">
        <f>2*(0.14+0.133)+16*C210/1000</f>
        <v>0.67400000000000004</v>
      </c>
      <c r="J210" s="509"/>
      <c r="K210" s="509"/>
      <c r="L210" s="503">
        <f t="shared" si="117"/>
        <v>0.67400000000000004</v>
      </c>
      <c r="M210" s="503">
        <f t="shared" si="92"/>
        <v>145.58000000000001</v>
      </c>
      <c r="N210" s="503">
        <f t="shared" si="1"/>
        <v>0</v>
      </c>
      <c r="O210" s="503">
        <f t="shared" si="2"/>
        <v>0</v>
      </c>
      <c r="P210" s="503">
        <f t="shared" si="6"/>
        <v>0</v>
      </c>
      <c r="Q210" s="503">
        <f t="shared" si="3"/>
        <v>0</v>
      </c>
      <c r="R210" s="503">
        <f t="shared" si="4"/>
        <v>0</v>
      </c>
    </row>
    <row r="211" spans="1:19">
      <c r="A211" s="505"/>
      <c r="B211" s="511" t="s">
        <v>828</v>
      </c>
      <c r="C211" s="507">
        <v>8</v>
      </c>
      <c r="D211" s="508">
        <v>200</v>
      </c>
      <c r="E211" s="507">
        <v>2</v>
      </c>
      <c r="F211" s="502">
        <v>1</v>
      </c>
      <c r="G211" s="502">
        <f>+ROUND(2550/D211+1,0)+4</f>
        <v>18</v>
      </c>
      <c r="H211" s="503"/>
      <c r="I211" s="503">
        <f>2*(0.14+2.261)+16*C211/1000</f>
        <v>4.9300000000000006</v>
      </c>
      <c r="J211" s="509"/>
      <c r="K211" s="509"/>
      <c r="L211" s="503">
        <f t="shared" ref="L211:L212" si="120">SUM(H211:J211)+K211</f>
        <v>4.9300000000000006</v>
      </c>
      <c r="M211" s="503">
        <f t="shared" si="92"/>
        <v>177.48</v>
      </c>
      <c r="N211" s="503">
        <f t="shared" si="1"/>
        <v>0</v>
      </c>
      <c r="O211" s="503">
        <f t="shared" si="2"/>
        <v>0</v>
      </c>
      <c r="P211" s="503">
        <f t="shared" si="6"/>
        <v>0</v>
      </c>
      <c r="Q211" s="503">
        <f t="shared" si="3"/>
        <v>0</v>
      </c>
      <c r="R211" s="503">
        <f t="shared" si="4"/>
        <v>0</v>
      </c>
    </row>
    <row r="212" spans="1:19">
      <c r="A212" s="505"/>
      <c r="B212" s="511" t="s">
        <v>799</v>
      </c>
      <c r="C212" s="507">
        <v>8</v>
      </c>
      <c r="D212" s="508">
        <v>400</v>
      </c>
      <c r="E212" s="507">
        <v>2</v>
      </c>
      <c r="F212" s="502">
        <v>5</v>
      </c>
      <c r="G212" s="502">
        <f>+ROUND(2550/D212+1,0)</f>
        <v>7</v>
      </c>
      <c r="H212" s="503"/>
      <c r="I212" s="503">
        <f>0.14+(20*C212/1000)</f>
        <v>0.30000000000000004</v>
      </c>
      <c r="J212" s="509"/>
      <c r="K212" s="509"/>
      <c r="L212" s="503">
        <f t="shared" si="120"/>
        <v>0.30000000000000004</v>
      </c>
      <c r="M212" s="503">
        <f t="shared" si="92"/>
        <v>21</v>
      </c>
      <c r="N212" s="503">
        <f t="shared" si="1"/>
        <v>0</v>
      </c>
      <c r="O212" s="503">
        <f t="shared" si="2"/>
        <v>0</v>
      </c>
      <c r="P212" s="503">
        <f t="shared" si="6"/>
        <v>0</v>
      </c>
      <c r="Q212" s="503">
        <f t="shared" si="3"/>
        <v>0</v>
      </c>
      <c r="R212" s="503">
        <f t="shared" si="4"/>
        <v>0</v>
      </c>
    </row>
    <row r="213" spans="1:19">
      <c r="A213" s="505"/>
      <c r="B213" s="511"/>
      <c r="C213" s="507"/>
      <c r="D213" s="508"/>
      <c r="E213" s="507"/>
      <c r="F213" s="502"/>
      <c r="G213" s="502"/>
      <c r="H213" s="503"/>
      <c r="I213" s="503"/>
      <c r="J213" s="509"/>
      <c r="K213" s="509"/>
      <c r="L213" s="503">
        <f t="shared" ref="L213" si="121">SUM(H213:J213)+K213</f>
        <v>0</v>
      </c>
      <c r="M213" s="503">
        <f t="shared" si="0"/>
        <v>0</v>
      </c>
      <c r="N213" s="503">
        <f t="shared" si="1"/>
        <v>0</v>
      </c>
      <c r="O213" s="503">
        <f t="shared" si="2"/>
        <v>0</v>
      </c>
      <c r="P213" s="503">
        <f t="shared" si="6"/>
        <v>0</v>
      </c>
      <c r="Q213" s="503">
        <f t="shared" si="3"/>
        <v>0</v>
      </c>
      <c r="R213" s="503">
        <f t="shared" si="4"/>
        <v>0</v>
      </c>
    </row>
    <row r="214" spans="1:19">
      <c r="A214" s="505"/>
      <c r="B214" s="511"/>
      <c r="C214" s="507"/>
      <c r="D214" s="508"/>
      <c r="E214" s="507"/>
      <c r="F214" s="502"/>
      <c r="G214" s="502"/>
      <c r="H214" s="503"/>
      <c r="I214" s="503"/>
      <c r="J214" s="509"/>
      <c r="K214" s="509"/>
      <c r="L214" s="503">
        <f t="shared" ref="L214" si="122">SUM(H214:J214)+K214</f>
        <v>0</v>
      </c>
      <c r="M214" s="503">
        <f t="shared" ref="M214" si="123">+ROUND(IF(C214=8,PRODUCT(E214,F214,G214,L214),0),2)</f>
        <v>0</v>
      </c>
      <c r="N214" s="503">
        <f t="shared" ref="N214" si="124">+ROUND(IF(C214=10,PRODUCT(E214,F214,G214,L214),0),2)</f>
        <v>0</v>
      </c>
      <c r="O214" s="503">
        <f t="shared" ref="O214" si="125">+ROUND(IF(C214=12,PRODUCT(E214,F214,G214,L214),0),2)</f>
        <v>0</v>
      </c>
      <c r="P214" s="503">
        <f t="shared" ref="P214" si="126">+ROUND(IF(C214=16,PRODUCT(E214,F214,G214,L214),0),2)</f>
        <v>0</v>
      </c>
      <c r="Q214" s="503">
        <f t="shared" ref="Q214" si="127">+ROUND(IF(C214=20,PRODUCT(E214,F214,G214,L214),0),2)</f>
        <v>0</v>
      </c>
      <c r="R214" s="503">
        <f t="shared" ref="R214" si="128">+ROUND(IF(C214=25,PRODUCT(E214,F214,G214,L214),0),2)</f>
        <v>0</v>
      </c>
    </row>
    <row r="215" spans="1:19">
      <c r="A215" s="531"/>
      <c r="B215" s="532" t="s">
        <v>843</v>
      </c>
      <c r="C215" s="521"/>
      <c r="D215" s="522"/>
      <c r="E215" s="521"/>
      <c r="F215" s="523"/>
      <c r="G215" s="523"/>
      <c r="H215" s="524"/>
      <c r="I215" s="524"/>
      <c r="J215" s="524"/>
      <c r="K215" s="524"/>
      <c r="L215" s="524"/>
      <c r="M215" s="526">
        <f>SUM(M7:M214)*0.395</f>
        <v>4818.3995999999961</v>
      </c>
      <c r="N215" s="526">
        <f>SUM(N7:N214)*0.617</f>
        <v>6767.1140900000028</v>
      </c>
      <c r="O215" s="526">
        <f>SUM(O7:O214)*0.889</f>
        <v>2814.1650599999998</v>
      </c>
      <c r="P215" s="526">
        <f>SUM(P7:P214)*1.58</f>
        <v>5637.9930000000004</v>
      </c>
      <c r="Q215" s="526">
        <f>SUM(Q7:Q214)*2.46</f>
        <v>4369.6487999999999</v>
      </c>
      <c r="R215" s="526">
        <f>SUM(R7:R214)*3.85</f>
        <v>1422.96</v>
      </c>
      <c r="S215" s="527">
        <f>SUM(M215:R215)</f>
        <v>25830.280549999999</v>
      </c>
    </row>
    <row r="216" spans="1:19">
      <c r="A216" s="498"/>
      <c r="B216" s="509"/>
      <c r="C216" s="533"/>
      <c r="D216" s="251"/>
      <c r="E216" s="533"/>
      <c r="F216" s="502"/>
      <c r="G216" s="502"/>
      <c r="H216" s="498"/>
      <c r="I216" s="498"/>
      <c r="J216" s="498"/>
      <c r="K216" s="498"/>
      <c r="L216" s="498"/>
      <c r="M216" s="534"/>
      <c r="N216" s="498"/>
      <c r="O216" s="498"/>
      <c r="P216" s="498"/>
      <c r="Q216" s="498"/>
      <c r="R216" s="509"/>
    </row>
    <row r="217" spans="1:19">
      <c r="A217" s="505"/>
      <c r="B217" s="506" t="s">
        <v>844</v>
      </c>
      <c r="C217" s="507"/>
      <c r="D217" s="508"/>
      <c r="E217" s="507"/>
      <c r="F217" s="502"/>
      <c r="G217" s="502"/>
      <c r="H217" s="503"/>
      <c r="I217" s="503"/>
      <c r="J217" s="509"/>
      <c r="K217" s="481"/>
      <c r="L217" s="503"/>
      <c r="M217" s="503"/>
      <c r="N217" s="503"/>
      <c r="O217" s="503"/>
      <c r="P217" s="503"/>
      <c r="Q217" s="503"/>
      <c r="R217" s="503"/>
    </row>
    <row r="218" spans="1:19">
      <c r="A218" s="505"/>
      <c r="B218" s="506" t="s">
        <v>786</v>
      </c>
      <c r="C218" s="507">
        <v>16</v>
      </c>
      <c r="D218" s="508"/>
      <c r="E218" s="507">
        <v>28</v>
      </c>
      <c r="F218" s="502">
        <v>1</v>
      </c>
      <c r="G218" s="502">
        <v>4</v>
      </c>
      <c r="H218" s="503"/>
      <c r="I218" s="503">
        <f>106.2-103.25</f>
        <v>2.9500000000000028</v>
      </c>
      <c r="J218" s="509"/>
      <c r="K218" s="509">
        <f>1*36*C218/1000</f>
        <v>0.57599999999999996</v>
      </c>
      <c r="L218" s="503">
        <f>SUM(H218:J218)+K218</f>
        <v>3.5260000000000029</v>
      </c>
      <c r="M218" s="503">
        <f t="shared" ref="M218:M342" si="129">+ROUND(IF(C218=8,PRODUCT(E218,F218,G218,L218),0),2)</f>
        <v>0</v>
      </c>
      <c r="N218" s="503">
        <f t="shared" ref="N218:N423" si="130">+ROUND(IF(C218=10,PRODUCT(E218,F218,G218,L218),0),2)</f>
        <v>0</v>
      </c>
      <c r="O218" s="503">
        <f t="shared" ref="O218:O423" si="131">+ROUND(IF(C218=12,PRODUCT(E218,F218,G218,L218),0),2)</f>
        <v>0</v>
      </c>
      <c r="P218" s="503">
        <f t="shared" ref="P218:P423" si="132">+ROUND(IF(C218=16,PRODUCT(E218,F218,G218,L218),0),2)</f>
        <v>394.91</v>
      </c>
      <c r="Q218" s="503">
        <f t="shared" ref="Q218:Q423" si="133">+ROUND(IF(C218=20,PRODUCT(E218,F218,G218,L218),0),2)</f>
        <v>0</v>
      </c>
      <c r="R218" s="503">
        <f t="shared" ref="R218:R423" si="134">+ROUND(IF(C218=25,PRODUCT(E218,F218,G218,L218),0),2)</f>
        <v>0</v>
      </c>
    </row>
    <row r="219" spans="1:19">
      <c r="A219" s="505"/>
      <c r="B219" s="511"/>
      <c r="C219" s="507">
        <v>12</v>
      </c>
      <c r="D219" s="508"/>
      <c r="E219" s="507">
        <f>+E218</f>
        <v>28</v>
      </c>
      <c r="F219" s="502">
        <v>1</v>
      </c>
      <c r="G219" s="502">
        <v>10</v>
      </c>
      <c r="H219" s="503"/>
      <c r="I219" s="503">
        <f>106.2-103.25</f>
        <v>2.9500000000000028</v>
      </c>
      <c r="J219" s="509"/>
      <c r="K219" s="509">
        <f>1*36*C219/1000</f>
        <v>0.432</v>
      </c>
      <c r="L219" s="503">
        <f t="shared" ref="L219:L245" si="135">SUM(H219:J219)+K219</f>
        <v>3.3820000000000028</v>
      </c>
      <c r="M219" s="503">
        <f t="shared" si="129"/>
        <v>0</v>
      </c>
      <c r="N219" s="503">
        <f t="shared" si="130"/>
        <v>0</v>
      </c>
      <c r="O219" s="503">
        <f t="shared" si="131"/>
        <v>946.96</v>
      </c>
      <c r="P219" s="503">
        <f t="shared" si="132"/>
        <v>0</v>
      </c>
      <c r="Q219" s="503">
        <f t="shared" si="133"/>
        <v>0</v>
      </c>
      <c r="R219" s="503">
        <f t="shared" si="134"/>
        <v>0</v>
      </c>
    </row>
    <row r="220" spans="1:19">
      <c r="A220" s="505"/>
      <c r="B220" s="511" t="s">
        <v>787</v>
      </c>
      <c r="C220" s="507">
        <v>10</v>
      </c>
      <c r="D220" s="508">
        <v>75</v>
      </c>
      <c r="E220" s="507">
        <f>+E219</f>
        <v>28</v>
      </c>
      <c r="F220" s="502">
        <v>2</v>
      </c>
      <c r="G220" s="502">
        <f>+ROUND(600/D220,0)</f>
        <v>8</v>
      </c>
      <c r="H220" s="503"/>
      <c r="I220" s="503">
        <f>2*(0.22+0.52)+24*0.01</f>
        <v>1.72</v>
      </c>
      <c r="J220" s="509"/>
      <c r="K220" s="509"/>
      <c r="L220" s="503">
        <f t="shared" si="135"/>
        <v>1.72</v>
      </c>
      <c r="M220" s="503">
        <f t="shared" si="129"/>
        <v>0</v>
      </c>
      <c r="N220" s="503">
        <f t="shared" si="130"/>
        <v>770.56</v>
      </c>
      <c r="O220" s="503">
        <f t="shared" si="131"/>
        <v>0</v>
      </c>
      <c r="P220" s="503">
        <f t="shared" si="132"/>
        <v>0</v>
      </c>
      <c r="Q220" s="503">
        <f t="shared" si="133"/>
        <v>0</v>
      </c>
      <c r="R220" s="503">
        <f t="shared" si="134"/>
        <v>0</v>
      </c>
    </row>
    <row r="221" spans="1:19">
      <c r="A221" s="505"/>
      <c r="B221" s="511"/>
      <c r="C221" s="507">
        <v>10</v>
      </c>
      <c r="D221" s="508">
        <v>75</v>
      </c>
      <c r="E221" s="507">
        <f t="shared" ref="E221:E225" si="136">+E220</f>
        <v>28</v>
      </c>
      <c r="F221" s="502">
        <v>2</v>
      </c>
      <c r="G221" s="502">
        <f t="shared" ref="G221:G222" si="137">+ROUND(600/D221,0)</f>
        <v>8</v>
      </c>
      <c r="H221" s="503"/>
      <c r="I221" s="503">
        <f>2*(0.22+0.115)+24*0.01</f>
        <v>0.91</v>
      </c>
      <c r="J221" s="509"/>
      <c r="K221" s="509"/>
      <c r="L221" s="503">
        <f t="shared" si="135"/>
        <v>0.91</v>
      </c>
      <c r="M221" s="503">
        <f t="shared" si="129"/>
        <v>0</v>
      </c>
      <c r="N221" s="503">
        <f t="shared" si="130"/>
        <v>407.68</v>
      </c>
      <c r="O221" s="503">
        <f t="shared" si="131"/>
        <v>0</v>
      </c>
      <c r="P221" s="503">
        <f t="shared" si="132"/>
        <v>0</v>
      </c>
      <c r="Q221" s="503">
        <f t="shared" si="133"/>
        <v>0</v>
      </c>
      <c r="R221" s="503">
        <f t="shared" si="134"/>
        <v>0</v>
      </c>
    </row>
    <row r="222" spans="1:19">
      <c r="A222" s="505"/>
      <c r="B222" s="511"/>
      <c r="C222" s="507">
        <v>10</v>
      </c>
      <c r="D222" s="508">
        <v>75</v>
      </c>
      <c r="E222" s="507">
        <f t="shared" si="136"/>
        <v>28</v>
      </c>
      <c r="F222" s="502">
        <f>2*2</f>
        <v>4</v>
      </c>
      <c r="G222" s="502">
        <f t="shared" si="137"/>
        <v>8</v>
      </c>
      <c r="H222" s="503"/>
      <c r="I222" s="503">
        <f>+(0.16+0.16+0.22)+0.24*0.01</f>
        <v>0.54239999999999999</v>
      </c>
      <c r="J222" s="509"/>
      <c r="K222" s="509"/>
      <c r="L222" s="503">
        <f t="shared" si="135"/>
        <v>0.54239999999999999</v>
      </c>
      <c r="M222" s="503">
        <f t="shared" si="129"/>
        <v>0</v>
      </c>
      <c r="N222" s="503">
        <f t="shared" si="130"/>
        <v>485.99</v>
      </c>
      <c r="O222" s="503">
        <f t="shared" si="131"/>
        <v>0</v>
      </c>
      <c r="P222" s="503">
        <f t="shared" si="132"/>
        <v>0</v>
      </c>
      <c r="Q222" s="503">
        <f t="shared" si="133"/>
        <v>0</v>
      </c>
      <c r="R222" s="503">
        <f t="shared" si="134"/>
        <v>0</v>
      </c>
    </row>
    <row r="223" spans="1:19">
      <c r="A223" s="505"/>
      <c r="B223" s="511" t="s">
        <v>788</v>
      </c>
      <c r="C223" s="507">
        <v>8</v>
      </c>
      <c r="D223" s="508">
        <v>150</v>
      </c>
      <c r="E223" s="507">
        <f t="shared" si="136"/>
        <v>28</v>
      </c>
      <c r="F223" s="502">
        <v>1</v>
      </c>
      <c r="G223" s="502">
        <f>+ROUND(1250/D223+1,0)</f>
        <v>9</v>
      </c>
      <c r="H223" s="503"/>
      <c r="I223" s="503">
        <f>2*(0.22+0.52)+24*0.008</f>
        <v>1.6719999999999999</v>
      </c>
      <c r="J223" s="509"/>
      <c r="K223" s="509"/>
      <c r="L223" s="503">
        <f t="shared" si="135"/>
        <v>1.6719999999999999</v>
      </c>
      <c r="M223" s="503">
        <f t="shared" si="129"/>
        <v>421.34</v>
      </c>
      <c r="N223" s="503">
        <f t="shared" si="130"/>
        <v>0</v>
      </c>
      <c r="O223" s="503">
        <f t="shared" si="131"/>
        <v>0</v>
      </c>
      <c r="P223" s="503">
        <f t="shared" si="132"/>
        <v>0</v>
      </c>
      <c r="Q223" s="503">
        <f t="shared" si="133"/>
        <v>0</v>
      </c>
      <c r="R223" s="503">
        <f t="shared" si="134"/>
        <v>0</v>
      </c>
    </row>
    <row r="224" spans="1:19">
      <c r="A224" s="505"/>
      <c r="B224" s="511"/>
      <c r="C224" s="507">
        <v>8</v>
      </c>
      <c r="D224" s="508">
        <v>150</v>
      </c>
      <c r="E224" s="507">
        <f t="shared" si="136"/>
        <v>28</v>
      </c>
      <c r="F224" s="502">
        <v>1</v>
      </c>
      <c r="G224" s="502">
        <f t="shared" ref="G224:G225" si="138">+ROUND(1250/D224+1,0)</f>
        <v>9</v>
      </c>
      <c r="H224" s="503"/>
      <c r="I224" s="503">
        <f>2*(0.22+0.115)+24*0.008</f>
        <v>0.8620000000000001</v>
      </c>
      <c r="J224" s="509"/>
      <c r="K224" s="509"/>
      <c r="L224" s="503">
        <f t="shared" si="135"/>
        <v>0.8620000000000001</v>
      </c>
      <c r="M224" s="503">
        <f t="shared" si="129"/>
        <v>217.22</v>
      </c>
      <c r="N224" s="503">
        <f t="shared" si="130"/>
        <v>0</v>
      </c>
      <c r="O224" s="503">
        <f t="shared" si="131"/>
        <v>0</v>
      </c>
      <c r="P224" s="503">
        <f t="shared" si="132"/>
        <v>0</v>
      </c>
      <c r="Q224" s="503">
        <f t="shared" si="133"/>
        <v>0</v>
      </c>
      <c r="R224" s="503">
        <f t="shared" si="134"/>
        <v>0</v>
      </c>
    </row>
    <row r="225" spans="1:18">
      <c r="A225" s="505"/>
      <c r="B225" s="511"/>
      <c r="C225" s="507">
        <v>8</v>
      </c>
      <c r="D225" s="508">
        <v>150</v>
      </c>
      <c r="E225" s="507">
        <f t="shared" si="136"/>
        <v>28</v>
      </c>
      <c r="F225" s="502">
        <v>2</v>
      </c>
      <c r="G225" s="502">
        <f t="shared" si="138"/>
        <v>9</v>
      </c>
      <c r="H225" s="503"/>
      <c r="I225" s="503">
        <f>+(0.16+0.16+0.22)+0.2*0.008</f>
        <v>0.54160000000000008</v>
      </c>
      <c r="J225" s="509"/>
      <c r="K225" s="509"/>
      <c r="L225" s="503">
        <f t="shared" si="135"/>
        <v>0.54160000000000008</v>
      </c>
      <c r="M225" s="503">
        <f t="shared" si="129"/>
        <v>272.97000000000003</v>
      </c>
      <c r="N225" s="503">
        <f t="shared" si="130"/>
        <v>0</v>
      </c>
      <c r="O225" s="503">
        <f t="shared" si="131"/>
        <v>0</v>
      </c>
      <c r="P225" s="503">
        <f t="shared" si="132"/>
        <v>0</v>
      </c>
      <c r="Q225" s="503">
        <f t="shared" si="133"/>
        <v>0</v>
      </c>
      <c r="R225" s="503">
        <f t="shared" si="134"/>
        <v>0</v>
      </c>
    </row>
    <row r="226" spans="1:18">
      <c r="A226" s="505"/>
      <c r="B226" s="506" t="s">
        <v>789</v>
      </c>
      <c r="C226" s="507">
        <v>16</v>
      </c>
      <c r="D226" s="508"/>
      <c r="E226" s="507">
        <v>12</v>
      </c>
      <c r="F226" s="502">
        <v>1</v>
      </c>
      <c r="G226" s="502">
        <v>14</v>
      </c>
      <c r="H226" s="503"/>
      <c r="I226" s="503">
        <f t="shared" ref="I226" si="139">106.2-103.25</f>
        <v>2.9500000000000028</v>
      </c>
      <c r="J226" s="509"/>
      <c r="K226" s="509">
        <f>1*36*C226/1000</f>
        <v>0.57599999999999996</v>
      </c>
      <c r="L226" s="503">
        <f t="shared" si="135"/>
        <v>3.5260000000000029</v>
      </c>
      <c r="M226" s="503">
        <f t="shared" si="129"/>
        <v>0</v>
      </c>
      <c r="N226" s="503">
        <f t="shared" si="130"/>
        <v>0</v>
      </c>
      <c r="O226" s="503">
        <f t="shared" si="131"/>
        <v>0</v>
      </c>
      <c r="P226" s="503">
        <f t="shared" si="132"/>
        <v>592.37</v>
      </c>
      <c r="Q226" s="503">
        <f t="shared" si="133"/>
        <v>0</v>
      </c>
      <c r="R226" s="503">
        <f t="shared" si="134"/>
        <v>0</v>
      </c>
    </row>
    <row r="227" spans="1:18">
      <c r="A227" s="505"/>
      <c r="B227" s="511" t="s">
        <v>787</v>
      </c>
      <c r="C227" s="507">
        <v>10</v>
      </c>
      <c r="D227" s="508">
        <v>75</v>
      </c>
      <c r="E227" s="507">
        <f>+E226</f>
        <v>12</v>
      </c>
      <c r="F227" s="502">
        <v>2</v>
      </c>
      <c r="G227" s="502">
        <f>+ROUND(600/D227,0)</f>
        <v>8</v>
      </c>
      <c r="H227" s="503"/>
      <c r="I227" s="503">
        <f>2*(0.22+0.52)+24*0.01</f>
        <v>1.72</v>
      </c>
      <c r="J227" s="509"/>
      <c r="K227" s="509"/>
      <c r="L227" s="503">
        <f t="shared" si="135"/>
        <v>1.72</v>
      </c>
      <c r="M227" s="503">
        <f t="shared" si="129"/>
        <v>0</v>
      </c>
      <c r="N227" s="503">
        <f t="shared" si="130"/>
        <v>330.24</v>
      </c>
      <c r="O227" s="503">
        <f t="shared" si="131"/>
        <v>0</v>
      </c>
      <c r="P227" s="503">
        <f t="shared" si="132"/>
        <v>0</v>
      </c>
      <c r="Q227" s="503">
        <f t="shared" si="133"/>
        <v>0</v>
      </c>
      <c r="R227" s="503">
        <f t="shared" si="134"/>
        <v>0</v>
      </c>
    </row>
    <row r="228" spans="1:18">
      <c r="A228" s="505"/>
      <c r="B228" s="511"/>
      <c r="C228" s="507">
        <v>10</v>
      </c>
      <c r="D228" s="508">
        <v>75</v>
      </c>
      <c r="E228" s="507">
        <f t="shared" ref="E228:E232" si="140">+E227</f>
        <v>12</v>
      </c>
      <c r="F228" s="502">
        <v>2</v>
      </c>
      <c r="G228" s="502">
        <f t="shared" ref="G228:G229" si="141">+ROUND(600/D228,0)</f>
        <v>8</v>
      </c>
      <c r="H228" s="503"/>
      <c r="I228" s="503">
        <f>2*(0.22+0.115)+24*0.01</f>
        <v>0.91</v>
      </c>
      <c r="J228" s="509"/>
      <c r="K228" s="509"/>
      <c r="L228" s="503">
        <f t="shared" si="135"/>
        <v>0.91</v>
      </c>
      <c r="M228" s="503">
        <f t="shared" si="129"/>
        <v>0</v>
      </c>
      <c r="N228" s="503">
        <f t="shared" si="130"/>
        <v>174.72</v>
      </c>
      <c r="O228" s="503">
        <f t="shared" si="131"/>
        <v>0</v>
      </c>
      <c r="P228" s="503">
        <f t="shared" si="132"/>
        <v>0</v>
      </c>
      <c r="Q228" s="503">
        <f t="shared" si="133"/>
        <v>0</v>
      </c>
      <c r="R228" s="503">
        <f t="shared" si="134"/>
        <v>0</v>
      </c>
    </row>
    <row r="229" spans="1:18">
      <c r="A229" s="505"/>
      <c r="B229" s="511"/>
      <c r="C229" s="507">
        <v>10</v>
      </c>
      <c r="D229" s="508">
        <v>75</v>
      </c>
      <c r="E229" s="507">
        <f t="shared" si="140"/>
        <v>12</v>
      </c>
      <c r="F229" s="502">
        <f>2*2</f>
        <v>4</v>
      </c>
      <c r="G229" s="502">
        <f t="shared" si="141"/>
        <v>8</v>
      </c>
      <c r="H229" s="503"/>
      <c r="I229" s="503">
        <f>+(0.16+0.16+0.22)+0.24*0.01</f>
        <v>0.54239999999999999</v>
      </c>
      <c r="J229" s="509"/>
      <c r="K229" s="509"/>
      <c r="L229" s="503">
        <f t="shared" si="135"/>
        <v>0.54239999999999999</v>
      </c>
      <c r="M229" s="503">
        <f t="shared" si="129"/>
        <v>0</v>
      </c>
      <c r="N229" s="503">
        <f t="shared" si="130"/>
        <v>208.28</v>
      </c>
      <c r="O229" s="503">
        <f t="shared" si="131"/>
        <v>0</v>
      </c>
      <c r="P229" s="503">
        <f t="shared" si="132"/>
        <v>0</v>
      </c>
      <c r="Q229" s="503">
        <f t="shared" si="133"/>
        <v>0</v>
      </c>
      <c r="R229" s="503">
        <f t="shared" si="134"/>
        <v>0</v>
      </c>
    </row>
    <row r="230" spans="1:18">
      <c r="A230" s="505"/>
      <c r="B230" s="511" t="s">
        <v>788</v>
      </c>
      <c r="C230" s="507">
        <v>8</v>
      </c>
      <c r="D230" s="508">
        <v>150</v>
      </c>
      <c r="E230" s="507">
        <f t="shared" si="140"/>
        <v>12</v>
      </c>
      <c r="F230" s="502">
        <v>1</v>
      </c>
      <c r="G230" s="502">
        <f t="shared" ref="G230:G232" si="142">+ROUND(1250/D230+1,0)</f>
        <v>9</v>
      </c>
      <c r="H230" s="503"/>
      <c r="I230" s="503">
        <f>2*(0.22+0.52)+24*0.008</f>
        <v>1.6719999999999999</v>
      </c>
      <c r="J230" s="509"/>
      <c r="K230" s="509"/>
      <c r="L230" s="503">
        <f t="shared" si="135"/>
        <v>1.6719999999999999</v>
      </c>
      <c r="M230" s="503">
        <f t="shared" si="129"/>
        <v>180.58</v>
      </c>
      <c r="N230" s="503">
        <f t="shared" si="130"/>
        <v>0</v>
      </c>
      <c r="O230" s="503">
        <f t="shared" si="131"/>
        <v>0</v>
      </c>
      <c r="P230" s="503">
        <f t="shared" si="132"/>
        <v>0</v>
      </c>
      <c r="Q230" s="503">
        <f t="shared" si="133"/>
        <v>0</v>
      </c>
      <c r="R230" s="503">
        <f t="shared" si="134"/>
        <v>0</v>
      </c>
    </row>
    <row r="231" spans="1:18">
      <c r="A231" s="505"/>
      <c r="B231" s="511"/>
      <c r="C231" s="507">
        <v>8</v>
      </c>
      <c r="D231" s="508">
        <v>150</v>
      </c>
      <c r="E231" s="507">
        <f t="shared" si="140"/>
        <v>12</v>
      </c>
      <c r="F231" s="502">
        <v>1</v>
      </c>
      <c r="G231" s="502">
        <f t="shared" si="142"/>
        <v>9</v>
      </c>
      <c r="H231" s="503"/>
      <c r="I231" s="503">
        <f>2*(0.22+0.115)+24*0.008</f>
        <v>0.8620000000000001</v>
      </c>
      <c r="J231" s="509"/>
      <c r="K231" s="509"/>
      <c r="L231" s="503">
        <f t="shared" si="135"/>
        <v>0.8620000000000001</v>
      </c>
      <c r="M231" s="503">
        <f t="shared" si="129"/>
        <v>93.1</v>
      </c>
      <c r="N231" s="503">
        <f t="shared" si="130"/>
        <v>0</v>
      </c>
      <c r="O231" s="503">
        <f t="shared" si="131"/>
        <v>0</v>
      </c>
      <c r="P231" s="503">
        <f t="shared" si="132"/>
        <v>0</v>
      </c>
      <c r="Q231" s="503">
        <f t="shared" si="133"/>
        <v>0</v>
      </c>
      <c r="R231" s="503">
        <f t="shared" si="134"/>
        <v>0</v>
      </c>
    </row>
    <row r="232" spans="1:18">
      <c r="A232" s="505"/>
      <c r="B232" s="511"/>
      <c r="C232" s="507">
        <v>8</v>
      </c>
      <c r="D232" s="508">
        <v>150</v>
      </c>
      <c r="E232" s="507">
        <f t="shared" si="140"/>
        <v>12</v>
      </c>
      <c r="F232" s="502">
        <v>2</v>
      </c>
      <c r="G232" s="502">
        <f t="shared" si="142"/>
        <v>9</v>
      </c>
      <c r="H232" s="503"/>
      <c r="I232" s="503">
        <f>+(0.16+0.16+0.22)+0.2*0.008</f>
        <v>0.54160000000000008</v>
      </c>
      <c r="J232" s="509"/>
      <c r="K232" s="509"/>
      <c r="L232" s="503">
        <f t="shared" si="135"/>
        <v>0.54160000000000008</v>
      </c>
      <c r="M232" s="503">
        <f t="shared" si="129"/>
        <v>116.99</v>
      </c>
      <c r="N232" s="503">
        <f t="shared" si="130"/>
        <v>0</v>
      </c>
      <c r="O232" s="503">
        <f t="shared" si="131"/>
        <v>0</v>
      </c>
      <c r="P232" s="503">
        <f t="shared" si="132"/>
        <v>0</v>
      </c>
      <c r="Q232" s="503">
        <f t="shared" si="133"/>
        <v>0</v>
      </c>
      <c r="R232" s="503">
        <f t="shared" si="134"/>
        <v>0</v>
      </c>
    </row>
    <row r="233" spans="1:18">
      <c r="A233" s="505"/>
      <c r="B233" s="506" t="s">
        <v>790</v>
      </c>
      <c r="C233" s="507">
        <v>25</v>
      </c>
      <c r="D233" s="508"/>
      <c r="E233" s="507">
        <v>4</v>
      </c>
      <c r="F233" s="502">
        <v>1</v>
      </c>
      <c r="G233" s="502">
        <v>12</v>
      </c>
      <c r="H233" s="503"/>
      <c r="I233" s="503">
        <f t="shared" ref="I233:I234" si="143">106.2-103.25</f>
        <v>2.9500000000000028</v>
      </c>
      <c r="J233" s="509"/>
      <c r="K233" s="509"/>
      <c r="L233" s="503">
        <f t="shared" si="135"/>
        <v>2.9500000000000028</v>
      </c>
      <c r="M233" s="503">
        <f t="shared" si="129"/>
        <v>0</v>
      </c>
      <c r="N233" s="503">
        <f t="shared" si="130"/>
        <v>0</v>
      </c>
      <c r="O233" s="503">
        <f t="shared" si="131"/>
        <v>0</v>
      </c>
      <c r="P233" s="503">
        <f t="shared" si="132"/>
        <v>0</v>
      </c>
      <c r="Q233" s="503">
        <f t="shared" si="133"/>
        <v>0</v>
      </c>
      <c r="R233" s="503">
        <f t="shared" si="134"/>
        <v>141.6</v>
      </c>
    </row>
    <row r="234" spans="1:18">
      <c r="A234" s="505"/>
      <c r="B234" s="511"/>
      <c r="C234" s="507">
        <v>20</v>
      </c>
      <c r="D234" s="508"/>
      <c r="E234" s="507">
        <f>+E233</f>
        <v>4</v>
      </c>
      <c r="F234" s="502">
        <v>1</v>
      </c>
      <c r="G234" s="502">
        <v>2</v>
      </c>
      <c r="H234" s="503"/>
      <c r="I234" s="503">
        <f t="shared" si="143"/>
        <v>2.9500000000000028</v>
      </c>
      <c r="J234" s="509"/>
      <c r="K234" s="509">
        <f>1*36*C234/1000</f>
        <v>0.72</v>
      </c>
      <c r="L234" s="503">
        <f t="shared" si="135"/>
        <v>3.6700000000000026</v>
      </c>
      <c r="M234" s="503">
        <f t="shared" si="129"/>
        <v>0</v>
      </c>
      <c r="N234" s="503">
        <f t="shared" si="130"/>
        <v>0</v>
      </c>
      <c r="O234" s="503">
        <f t="shared" si="131"/>
        <v>0</v>
      </c>
      <c r="P234" s="503">
        <f t="shared" si="132"/>
        <v>0</v>
      </c>
      <c r="Q234" s="503">
        <f t="shared" si="133"/>
        <v>29.36</v>
      </c>
      <c r="R234" s="503">
        <f t="shared" si="134"/>
        <v>0</v>
      </c>
    </row>
    <row r="235" spans="1:18">
      <c r="A235" s="505"/>
      <c r="B235" s="511" t="s">
        <v>787</v>
      </c>
      <c r="C235" s="507">
        <v>10</v>
      </c>
      <c r="D235" s="508">
        <v>75</v>
      </c>
      <c r="E235" s="507">
        <f>+E234</f>
        <v>4</v>
      </c>
      <c r="F235" s="502">
        <v>2</v>
      </c>
      <c r="G235" s="502">
        <f>+ROUND(600/D235,0)</f>
        <v>8</v>
      </c>
      <c r="H235" s="503"/>
      <c r="I235" s="503">
        <f>2*(0.22+0.52)+24*0.01</f>
        <v>1.72</v>
      </c>
      <c r="J235" s="509"/>
      <c r="K235" s="509">
        <f>1*36*C235/1000</f>
        <v>0.36</v>
      </c>
      <c r="L235" s="503">
        <f t="shared" si="135"/>
        <v>2.08</v>
      </c>
      <c r="M235" s="503">
        <f t="shared" si="129"/>
        <v>0</v>
      </c>
      <c r="N235" s="503">
        <f t="shared" si="130"/>
        <v>133.12</v>
      </c>
      <c r="O235" s="503">
        <f t="shared" si="131"/>
        <v>0</v>
      </c>
      <c r="P235" s="503">
        <f t="shared" si="132"/>
        <v>0</v>
      </c>
      <c r="Q235" s="503">
        <f t="shared" si="133"/>
        <v>0</v>
      </c>
      <c r="R235" s="503">
        <f t="shared" si="134"/>
        <v>0</v>
      </c>
    </row>
    <row r="236" spans="1:18">
      <c r="A236" s="505"/>
      <c r="B236" s="511"/>
      <c r="C236" s="507">
        <v>10</v>
      </c>
      <c r="D236" s="508">
        <v>75</v>
      </c>
      <c r="E236" s="507">
        <f t="shared" ref="E236:E240" si="144">+E235</f>
        <v>4</v>
      </c>
      <c r="F236" s="502">
        <v>2</v>
      </c>
      <c r="G236" s="502">
        <f t="shared" ref="G236:G237" si="145">+ROUND(600/D236,0)</f>
        <v>8</v>
      </c>
      <c r="H236" s="503"/>
      <c r="I236" s="503">
        <f>2*(0.22+0.115)+24*0.01</f>
        <v>0.91</v>
      </c>
      <c r="J236" s="509"/>
      <c r="K236" s="509"/>
      <c r="L236" s="503">
        <f t="shared" si="135"/>
        <v>0.91</v>
      </c>
      <c r="M236" s="503">
        <f t="shared" si="129"/>
        <v>0</v>
      </c>
      <c r="N236" s="503">
        <f t="shared" si="130"/>
        <v>58.24</v>
      </c>
      <c r="O236" s="503">
        <f t="shared" si="131"/>
        <v>0</v>
      </c>
      <c r="P236" s="503">
        <f t="shared" si="132"/>
        <v>0</v>
      </c>
      <c r="Q236" s="503">
        <f t="shared" si="133"/>
        <v>0</v>
      </c>
      <c r="R236" s="503">
        <f t="shared" si="134"/>
        <v>0</v>
      </c>
    </row>
    <row r="237" spans="1:18">
      <c r="A237" s="505"/>
      <c r="B237" s="511"/>
      <c r="C237" s="507">
        <v>10</v>
      </c>
      <c r="D237" s="508">
        <v>75</v>
      </c>
      <c r="E237" s="507">
        <f t="shared" si="144"/>
        <v>4</v>
      </c>
      <c r="F237" s="502">
        <f>2*2</f>
        <v>4</v>
      </c>
      <c r="G237" s="502">
        <f t="shared" si="145"/>
        <v>8</v>
      </c>
      <c r="H237" s="503"/>
      <c r="I237" s="503">
        <f>+(0.16+0.16+0.22)+0.24*0.01</f>
        <v>0.54239999999999999</v>
      </c>
      <c r="J237" s="509"/>
      <c r="K237" s="509"/>
      <c r="L237" s="503">
        <f t="shared" si="135"/>
        <v>0.54239999999999999</v>
      </c>
      <c r="M237" s="503">
        <f t="shared" si="129"/>
        <v>0</v>
      </c>
      <c r="N237" s="503">
        <f t="shared" si="130"/>
        <v>69.430000000000007</v>
      </c>
      <c r="O237" s="503">
        <f t="shared" si="131"/>
        <v>0</v>
      </c>
      <c r="P237" s="503">
        <f t="shared" si="132"/>
        <v>0</v>
      </c>
      <c r="Q237" s="503">
        <f t="shared" si="133"/>
        <v>0</v>
      </c>
      <c r="R237" s="503">
        <f t="shared" si="134"/>
        <v>0</v>
      </c>
    </row>
    <row r="238" spans="1:18">
      <c r="A238" s="505"/>
      <c r="B238" s="511" t="s">
        <v>788</v>
      </c>
      <c r="C238" s="507">
        <v>8</v>
      </c>
      <c r="D238" s="508">
        <v>150</v>
      </c>
      <c r="E238" s="507">
        <f t="shared" si="144"/>
        <v>4</v>
      </c>
      <c r="F238" s="502">
        <v>1</v>
      </c>
      <c r="G238" s="502">
        <f t="shared" ref="G238:G240" si="146">+ROUND(1250/D238+1,0)</f>
        <v>9</v>
      </c>
      <c r="H238" s="503"/>
      <c r="I238" s="503">
        <f>2*(0.22+0.52)+24*0.008</f>
        <v>1.6719999999999999</v>
      </c>
      <c r="J238" s="509"/>
      <c r="K238" s="509"/>
      <c r="L238" s="503">
        <f t="shared" si="135"/>
        <v>1.6719999999999999</v>
      </c>
      <c r="M238" s="503">
        <f t="shared" si="129"/>
        <v>60.19</v>
      </c>
      <c r="N238" s="503">
        <f t="shared" si="130"/>
        <v>0</v>
      </c>
      <c r="O238" s="503">
        <f t="shared" si="131"/>
        <v>0</v>
      </c>
      <c r="P238" s="503">
        <f t="shared" si="132"/>
        <v>0</v>
      </c>
      <c r="Q238" s="503">
        <f t="shared" si="133"/>
        <v>0</v>
      </c>
      <c r="R238" s="503">
        <f t="shared" si="134"/>
        <v>0</v>
      </c>
    </row>
    <row r="239" spans="1:18">
      <c r="A239" s="505"/>
      <c r="B239" s="511"/>
      <c r="C239" s="507">
        <v>8</v>
      </c>
      <c r="D239" s="508">
        <v>150</v>
      </c>
      <c r="E239" s="507">
        <f t="shared" si="144"/>
        <v>4</v>
      </c>
      <c r="F239" s="502">
        <v>1</v>
      </c>
      <c r="G239" s="502">
        <f t="shared" si="146"/>
        <v>9</v>
      </c>
      <c r="H239" s="503"/>
      <c r="I239" s="503">
        <f>2*(0.22+0.115)+24*0.008</f>
        <v>0.8620000000000001</v>
      </c>
      <c r="J239" s="509"/>
      <c r="K239" s="509"/>
      <c r="L239" s="503">
        <f t="shared" si="135"/>
        <v>0.8620000000000001</v>
      </c>
      <c r="M239" s="503">
        <f t="shared" si="129"/>
        <v>31.03</v>
      </c>
      <c r="N239" s="503">
        <f t="shared" si="130"/>
        <v>0</v>
      </c>
      <c r="O239" s="503">
        <f t="shared" si="131"/>
        <v>0</v>
      </c>
      <c r="P239" s="503">
        <f t="shared" si="132"/>
        <v>0</v>
      </c>
      <c r="Q239" s="503">
        <f t="shared" si="133"/>
        <v>0</v>
      </c>
      <c r="R239" s="503">
        <f t="shared" si="134"/>
        <v>0</v>
      </c>
    </row>
    <row r="240" spans="1:18">
      <c r="A240" s="505"/>
      <c r="B240" s="511"/>
      <c r="C240" s="507">
        <v>8</v>
      </c>
      <c r="D240" s="508">
        <v>150</v>
      </c>
      <c r="E240" s="507">
        <f t="shared" si="144"/>
        <v>4</v>
      </c>
      <c r="F240" s="502">
        <v>2</v>
      </c>
      <c r="G240" s="502">
        <f t="shared" si="146"/>
        <v>9</v>
      </c>
      <c r="H240" s="503"/>
      <c r="I240" s="503">
        <f>+(0.16+0.16+0.22)+0.2*0.008</f>
        <v>0.54160000000000008</v>
      </c>
      <c r="J240" s="509"/>
      <c r="K240" s="509"/>
      <c r="L240" s="503">
        <f t="shared" si="135"/>
        <v>0.54160000000000008</v>
      </c>
      <c r="M240" s="503">
        <f t="shared" si="129"/>
        <v>39</v>
      </c>
      <c r="N240" s="503">
        <f t="shared" si="130"/>
        <v>0</v>
      </c>
      <c r="O240" s="503">
        <f t="shared" si="131"/>
        <v>0</v>
      </c>
      <c r="P240" s="503">
        <f t="shared" si="132"/>
        <v>0</v>
      </c>
      <c r="Q240" s="503">
        <f t="shared" si="133"/>
        <v>0</v>
      </c>
      <c r="R240" s="503">
        <f t="shared" si="134"/>
        <v>0</v>
      </c>
    </row>
    <row r="241" spans="1:18">
      <c r="A241" s="505"/>
      <c r="B241" s="506" t="s">
        <v>791</v>
      </c>
      <c r="C241" s="507">
        <v>20</v>
      </c>
      <c r="D241" s="508"/>
      <c r="E241" s="507">
        <v>16</v>
      </c>
      <c r="F241" s="502">
        <v>1</v>
      </c>
      <c r="G241" s="502">
        <v>10</v>
      </c>
      <c r="H241" s="503"/>
      <c r="I241" s="503">
        <f>106.2-103.25</f>
        <v>2.9500000000000028</v>
      </c>
      <c r="J241" s="509"/>
      <c r="K241" s="509">
        <f>1*36*C241/1000</f>
        <v>0.72</v>
      </c>
      <c r="L241" s="503">
        <f t="shared" si="135"/>
        <v>3.6700000000000026</v>
      </c>
      <c r="M241" s="503">
        <f t="shared" si="129"/>
        <v>0</v>
      </c>
      <c r="N241" s="503">
        <f t="shared" si="130"/>
        <v>0</v>
      </c>
      <c r="O241" s="503">
        <f t="shared" si="131"/>
        <v>0</v>
      </c>
      <c r="P241" s="503">
        <f t="shared" si="132"/>
        <v>0</v>
      </c>
      <c r="Q241" s="503">
        <f t="shared" si="133"/>
        <v>587.20000000000005</v>
      </c>
      <c r="R241" s="503">
        <f t="shared" si="134"/>
        <v>0</v>
      </c>
    </row>
    <row r="242" spans="1:18">
      <c r="A242" s="505"/>
      <c r="B242" s="506"/>
      <c r="C242" s="507">
        <v>16</v>
      </c>
      <c r="D242" s="508"/>
      <c r="E242" s="507">
        <v>16</v>
      </c>
      <c r="F242" s="502">
        <v>1</v>
      </c>
      <c r="G242" s="502">
        <v>6</v>
      </c>
      <c r="H242" s="503"/>
      <c r="I242" s="503">
        <f>106.2-103.25</f>
        <v>2.9500000000000028</v>
      </c>
      <c r="J242" s="509"/>
      <c r="K242" s="509">
        <f>1*36*C242/1000</f>
        <v>0.57599999999999996</v>
      </c>
      <c r="L242" s="503">
        <f t="shared" si="135"/>
        <v>3.5260000000000029</v>
      </c>
      <c r="M242" s="503">
        <f t="shared" si="129"/>
        <v>0</v>
      </c>
      <c r="N242" s="503">
        <f t="shared" si="130"/>
        <v>0</v>
      </c>
      <c r="O242" s="503">
        <f t="shared" si="131"/>
        <v>0</v>
      </c>
      <c r="P242" s="503">
        <f t="shared" si="132"/>
        <v>338.5</v>
      </c>
      <c r="Q242" s="503">
        <f t="shared" si="133"/>
        <v>0</v>
      </c>
      <c r="R242" s="503">
        <f t="shared" si="134"/>
        <v>0</v>
      </c>
    </row>
    <row r="243" spans="1:18">
      <c r="A243" s="505"/>
      <c r="B243" s="511" t="s">
        <v>787</v>
      </c>
      <c r="C243" s="507">
        <v>10</v>
      </c>
      <c r="D243" s="508">
        <v>75</v>
      </c>
      <c r="E243" s="507">
        <f>+E241</f>
        <v>16</v>
      </c>
      <c r="F243" s="502">
        <v>2</v>
      </c>
      <c r="G243" s="502">
        <f>+ROUND(750/D243,0)</f>
        <v>10</v>
      </c>
      <c r="H243" s="503"/>
      <c r="I243" s="503">
        <f>2*(0.22+0.67)+24*0.01</f>
        <v>2.02</v>
      </c>
      <c r="J243" s="509"/>
      <c r="K243" s="509"/>
      <c r="L243" s="503">
        <f t="shared" si="135"/>
        <v>2.02</v>
      </c>
      <c r="M243" s="503">
        <f t="shared" si="129"/>
        <v>0</v>
      </c>
      <c r="N243" s="503">
        <f t="shared" si="130"/>
        <v>646.4</v>
      </c>
      <c r="O243" s="503">
        <f t="shared" si="131"/>
        <v>0</v>
      </c>
      <c r="P243" s="503">
        <f t="shared" si="132"/>
        <v>0</v>
      </c>
      <c r="Q243" s="503">
        <f t="shared" si="133"/>
        <v>0</v>
      </c>
      <c r="R243" s="503">
        <f t="shared" si="134"/>
        <v>0</v>
      </c>
    </row>
    <row r="244" spans="1:18">
      <c r="A244" s="505"/>
      <c r="B244" s="511"/>
      <c r="C244" s="507">
        <v>10</v>
      </c>
      <c r="D244" s="508">
        <v>75</v>
      </c>
      <c r="E244" s="507">
        <f t="shared" ref="E244:E250" si="147">+E243</f>
        <v>16</v>
      </c>
      <c r="F244" s="502">
        <v>2</v>
      </c>
      <c r="G244" s="502">
        <f t="shared" ref="G244:G246" si="148">+ROUND(750/D244,0)</f>
        <v>10</v>
      </c>
      <c r="H244" s="503"/>
      <c r="I244" s="503">
        <f>2*(0.22+0.132)+24*0.01</f>
        <v>0.94399999999999995</v>
      </c>
      <c r="J244" s="509"/>
      <c r="K244" s="509"/>
      <c r="L244" s="503">
        <f t="shared" si="135"/>
        <v>0.94399999999999995</v>
      </c>
      <c r="M244" s="503">
        <f t="shared" si="129"/>
        <v>0</v>
      </c>
      <c r="N244" s="503">
        <f t="shared" si="130"/>
        <v>302.08</v>
      </c>
      <c r="O244" s="503">
        <f t="shared" si="131"/>
        <v>0</v>
      </c>
      <c r="P244" s="503">
        <f t="shared" si="132"/>
        <v>0</v>
      </c>
      <c r="Q244" s="503">
        <f t="shared" si="133"/>
        <v>0</v>
      </c>
      <c r="R244" s="503">
        <f t="shared" si="134"/>
        <v>0</v>
      </c>
    </row>
    <row r="245" spans="1:18">
      <c r="A245" s="505"/>
      <c r="B245" s="511"/>
      <c r="C245" s="507">
        <v>10</v>
      </c>
      <c r="D245" s="508">
        <v>75</v>
      </c>
      <c r="E245" s="507">
        <f t="shared" si="147"/>
        <v>16</v>
      </c>
      <c r="F245" s="502">
        <f>2*2</f>
        <v>4</v>
      </c>
      <c r="G245" s="502">
        <f t="shared" si="148"/>
        <v>10</v>
      </c>
      <c r="H245" s="503"/>
      <c r="I245" s="503">
        <f>+(0.165+0.165+0.22)+0.2*0.01</f>
        <v>0.55200000000000005</v>
      </c>
      <c r="J245" s="509"/>
      <c r="K245" s="509"/>
      <c r="L245" s="503">
        <f t="shared" si="135"/>
        <v>0.55200000000000005</v>
      </c>
      <c r="M245" s="503">
        <f t="shared" si="129"/>
        <v>0</v>
      </c>
      <c r="N245" s="503">
        <f t="shared" si="130"/>
        <v>353.28</v>
      </c>
      <c r="O245" s="503">
        <f t="shared" si="131"/>
        <v>0</v>
      </c>
      <c r="P245" s="503">
        <f t="shared" si="132"/>
        <v>0</v>
      </c>
      <c r="Q245" s="503">
        <f t="shared" si="133"/>
        <v>0</v>
      </c>
      <c r="R245" s="503">
        <f t="shared" si="134"/>
        <v>0</v>
      </c>
    </row>
    <row r="246" spans="1:18">
      <c r="A246" s="505"/>
      <c r="B246" s="511"/>
      <c r="C246" s="507">
        <v>10</v>
      </c>
      <c r="D246" s="508">
        <v>75</v>
      </c>
      <c r="E246" s="507">
        <f t="shared" si="147"/>
        <v>16</v>
      </c>
      <c r="F246" s="502">
        <v>2</v>
      </c>
      <c r="G246" s="502">
        <f t="shared" si="148"/>
        <v>10</v>
      </c>
      <c r="H246" s="503"/>
      <c r="I246" s="503">
        <f>0.22+2*10*0.01</f>
        <v>0.42000000000000004</v>
      </c>
      <c r="J246" s="509"/>
      <c r="K246" s="509"/>
      <c r="L246" s="503">
        <f t="shared" ref="L246:L335" si="149">SUM(H246:J246)+K246</f>
        <v>0.42000000000000004</v>
      </c>
      <c r="M246" s="503">
        <f t="shared" si="129"/>
        <v>0</v>
      </c>
      <c r="N246" s="503">
        <f t="shared" si="130"/>
        <v>134.4</v>
      </c>
      <c r="O246" s="503">
        <f t="shared" si="131"/>
        <v>0</v>
      </c>
      <c r="P246" s="503">
        <f t="shared" si="132"/>
        <v>0</v>
      </c>
      <c r="Q246" s="503">
        <f t="shared" si="133"/>
        <v>0</v>
      </c>
      <c r="R246" s="503">
        <f t="shared" si="134"/>
        <v>0</v>
      </c>
    </row>
    <row r="247" spans="1:18">
      <c r="A247" s="505"/>
      <c r="B247" s="511" t="s">
        <v>788</v>
      </c>
      <c r="C247" s="507">
        <v>8</v>
      </c>
      <c r="D247" s="508">
        <v>150</v>
      </c>
      <c r="E247" s="507">
        <f t="shared" si="147"/>
        <v>16</v>
      </c>
      <c r="F247" s="502">
        <v>1</v>
      </c>
      <c r="G247" s="502">
        <f>+ROUND(950/D247+1,0)</f>
        <v>7</v>
      </c>
      <c r="H247" s="503"/>
      <c r="I247" s="503">
        <f>2*(0.22+0.67)+24*0.008</f>
        <v>1.972</v>
      </c>
      <c r="J247" s="509"/>
      <c r="K247" s="509"/>
      <c r="L247" s="503">
        <f t="shared" si="149"/>
        <v>1.972</v>
      </c>
      <c r="M247" s="503">
        <f t="shared" si="129"/>
        <v>220.86</v>
      </c>
      <c r="N247" s="503">
        <f t="shared" si="130"/>
        <v>0</v>
      </c>
      <c r="O247" s="503">
        <f t="shared" si="131"/>
        <v>0</v>
      </c>
      <c r="P247" s="503">
        <f t="shared" si="132"/>
        <v>0</v>
      </c>
      <c r="Q247" s="503">
        <f t="shared" si="133"/>
        <v>0</v>
      </c>
      <c r="R247" s="503">
        <f t="shared" si="134"/>
        <v>0</v>
      </c>
    </row>
    <row r="248" spans="1:18">
      <c r="A248" s="505"/>
      <c r="B248" s="511"/>
      <c r="C248" s="507">
        <v>8</v>
      </c>
      <c r="D248" s="508">
        <v>150</v>
      </c>
      <c r="E248" s="507">
        <f t="shared" si="147"/>
        <v>16</v>
      </c>
      <c r="F248" s="502">
        <v>1</v>
      </c>
      <c r="G248" s="502">
        <f t="shared" ref="G248:G250" si="150">+ROUND(950/D248+1,0)</f>
        <v>7</v>
      </c>
      <c r="H248" s="503"/>
      <c r="I248" s="503">
        <f>2*(0.22+0.132)+24*0.008</f>
        <v>0.89599999999999991</v>
      </c>
      <c r="J248" s="509"/>
      <c r="K248" s="509"/>
      <c r="L248" s="503">
        <f t="shared" si="149"/>
        <v>0.89599999999999991</v>
      </c>
      <c r="M248" s="503">
        <f t="shared" si="129"/>
        <v>100.35</v>
      </c>
      <c r="N248" s="503">
        <f t="shared" si="130"/>
        <v>0</v>
      </c>
      <c r="O248" s="503">
        <f t="shared" si="131"/>
        <v>0</v>
      </c>
      <c r="P248" s="503">
        <f t="shared" si="132"/>
        <v>0</v>
      </c>
      <c r="Q248" s="503">
        <f t="shared" si="133"/>
        <v>0</v>
      </c>
      <c r="R248" s="503">
        <f t="shared" si="134"/>
        <v>0</v>
      </c>
    </row>
    <row r="249" spans="1:18">
      <c r="A249" s="505"/>
      <c r="B249" s="511"/>
      <c r="C249" s="507">
        <v>8</v>
      </c>
      <c r="D249" s="508">
        <v>150</v>
      </c>
      <c r="E249" s="507">
        <f t="shared" si="147"/>
        <v>16</v>
      </c>
      <c r="F249" s="502">
        <v>2</v>
      </c>
      <c r="G249" s="502">
        <f t="shared" si="150"/>
        <v>7</v>
      </c>
      <c r="H249" s="503"/>
      <c r="I249" s="503">
        <f>+(0.165+0.165+0.22)+0.2*0.008</f>
        <v>0.55160000000000009</v>
      </c>
      <c r="J249" s="509"/>
      <c r="K249" s="509"/>
      <c r="L249" s="503">
        <f t="shared" si="149"/>
        <v>0.55160000000000009</v>
      </c>
      <c r="M249" s="503">
        <f t="shared" si="129"/>
        <v>123.56</v>
      </c>
      <c r="N249" s="503">
        <f t="shared" si="130"/>
        <v>0</v>
      </c>
      <c r="O249" s="503">
        <f t="shared" si="131"/>
        <v>0</v>
      </c>
      <c r="P249" s="503">
        <f t="shared" si="132"/>
        <v>0</v>
      </c>
      <c r="Q249" s="503">
        <f t="shared" si="133"/>
        <v>0</v>
      </c>
      <c r="R249" s="503">
        <f t="shared" si="134"/>
        <v>0</v>
      </c>
    </row>
    <row r="250" spans="1:18">
      <c r="A250" s="505"/>
      <c r="B250" s="511"/>
      <c r="C250" s="507">
        <v>8</v>
      </c>
      <c r="D250" s="508">
        <v>150</v>
      </c>
      <c r="E250" s="507">
        <f t="shared" si="147"/>
        <v>16</v>
      </c>
      <c r="F250" s="502">
        <v>1</v>
      </c>
      <c r="G250" s="502">
        <f t="shared" si="150"/>
        <v>7</v>
      </c>
      <c r="H250" s="503"/>
      <c r="I250" s="503">
        <f>0.22+2*10*0.008</f>
        <v>0.38</v>
      </c>
      <c r="J250" s="509"/>
      <c r="K250" s="509"/>
      <c r="L250" s="503">
        <f t="shared" si="149"/>
        <v>0.38</v>
      </c>
      <c r="M250" s="503">
        <f t="shared" si="129"/>
        <v>42.56</v>
      </c>
      <c r="N250" s="503">
        <f t="shared" si="130"/>
        <v>0</v>
      </c>
      <c r="O250" s="503">
        <f t="shared" si="131"/>
        <v>0</v>
      </c>
      <c r="P250" s="503">
        <f t="shared" si="132"/>
        <v>0</v>
      </c>
      <c r="Q250" s="503">
        <f t="shared" si="133"/>
        <v>0</v>
      </c>
      <c r="R250" s="503">
        <f t="shared" si="134"/>
        <v>0</v>
      </c>
    </row>
    <row r="251" spans="1:18">
      <c r="A251" s="505"/>
      <c r="B251" s="506" t="s">
        <v>792</v>
      </c>
      <c r="C251" s="507">
        <v>16</v>
      </c>
      <c r="D251" s="508"/>
      <c r="E251" s="507">
        <v>14</v>
      </c>
      <c r="F251" s="502">
        <v>1</v>
      </c>
      <c r="G251" s="502">
        <v>4</v>
      </c>
      <c r="H251" s="503"/>
      <c r="I251" s="503">
        <f t="shared" ref="I251:I252" si="151">106.2-103.25</f>
        <v>2.9500000000000028</v>
      </c>
      <c r="J251" s="509"/>
      <c r="K251" s="509">
        <f t="shared" ref="K251:K252" si="152">1*36*C251/1000</f>
        <v>0.57599999999999996</v>
      </c>
      <c r="L251" s="503">
        <f t="shared" si="149"/>
        <v>3.5260000000000029</v>
      </c>
      <c r="M251" s="503">
        <f t="shared" si="129"/>
        <v>0</v>
      </c>
      <c r="N251" s="503">
        <f t="shared" si="130"/>
        <v>0</v>
      </c>
      <c r="O251" s="503">
        <f t="shared" si="131"/>
        <v>0</v>
      </c>
      <c r="P251" s="503">
        <f t="shared" si="132"/>
        <v>197.46</v>
      </c>
      <c r="Q251" s="503">
        <f t="shared" si="133"/>
        <v>0</v>
      </c>
      <c r="R251" s="503">
        <f t="shared" si="134"/>
        <v>0</v>
      </c>
    </row>
    <row r="252" spans="1:18">
      <c r="A252" s="505"/>
      <c r="B252" s="511"/>
      <c r="C252" s="507">
        <v>12</v>
      </c>
      <c r="D252" s="508"/>
      <c r="E252" s="507">
        <f>+E251</f>
        <v>14</v>
      </c>
      <c r="F252" s="502">
        <v>1</v>
      </c>
      <c r="G252" s="502">
        <v>12</v>
      </c>
      <c r="H252" s="503"/>
      <c r="I252" s="503">
        <f t="shared" si="151"/>
        <v>2.9500000000000028</v>
      </c>
      <c r="J252" s="509"/>
      <c r="K252" s="509">
        <f t="shared" si="152"/>
        <v>0.432</v>
      </c>
      <c r="L252" s="503">
        <f t="shared" si="149"/>
        <v>3.3820000000000028</v>
      </c>
      <c r="M252" s="503">
        <f t="shared" si="129"/>
        <v>0</v>
      </c>
      <c r="N252" s="503">
        <f t="shared" si="130"/>
        <v>0</v>
      </c>
      <c r="O252" s="503">
        <f t="shared" si="131"/>
        <v>568.17999999999995</v>
      </c>
      <c r="P252" s="503">
        <f t="shared" si="132"/>
        <v>0</v>
      </c>
      <c r="Q252" s="503">
        <f t="shared" si="133"/>
        <v>0</v>
      </c>
      <c r="R252" s="503">
        <f t="shared" si="134"/>
        <v>0</v>
      </c>
    </row>
    <row r="253" spans="1:18">
      <c r="A253" s="505"/>
      <c r="B253" s="511" t="s">
        <v>787</v>
      </c>
      <c r="C253" s="507">
        <v>10</v>
      </c>
      <c r="D253" s="508">
        <v>75</v>
      </c>
      <c r="E253" s="507">
        <f t="shared" ref="E253:E260" si="153">+E252</f>
        <v>14</v>
      </c>
      <c r="F253" s="502">
        <v>2</v>
      </c>
      <c r="G253" s="502">
        <f>+ROUND(750/D253,0)</f>
        <v>10</v>
      </c>
      <c r="H253" s="503"/>
      <c r="I253" s="503">
        <f>2*(0.22+0.67)+24*0.01</f>
        <v>2.02</v>
      </c>
      <c r="J253" s="509"/>
      <c r="K253" s="509"/>
      <c r="L253" s="503">
        <f t="shared" si="149"/>
        <v>2.02</v>
      </c>
      <c r="M253" s="503">
        <f t="shared" si="129"/>
        <v>0</v>
      </c>
      <c r="N253" s="503">
        <f t="shared" si="130"/>
        <v>565.6</v>
      </c>
      <c r="O253" s="503">
        <f t="shared" si="131"/>
        <v>0</v>
      </c>
      <c r="P253" s="503">
        <f t="shared" si="132"/>
        <v>0</v>
      </c>
      <c r="Q253" s="503">
        <f t="shared" si="133"/>
        <v>0</v>
      </c>
      <c r="R253" s="503">
        <f t="shared" si="134"/>
        <v>0</v>
      </c>
    </row>
    <row r="254" spans="1:18">
      <c r="A254" s="505"/>
      <c r="B254" s="511"/>
      <c r="C254" s="507">
        <v>10</v>
      </c>
      <c r="D254" s="508">
        <v>75</v>
      </c>
      <c r="E254" s="507">
        <f t="shared" si="153"/>
        <v>14</v>
      </c>
      <c r="F254" s="502">
        <v>2</v>
      </c>
      <c r="G254" s="502">
        <f t="shared" ref="G254:G256" si="154">+ROUND(750/D254,0)</f>
        <v>10</v>
      </c>
      <c r="H254" s="503"/>
      <c r="I254" s="503">
        <f>2*(0.22+0.132)+24*0.01</f>
        <v>0.94399999999999995</v>
      </c>
      <c r="J254" s="509"/>
      <c r="K254" s="509"/>
      <c r="L254" s="503">
        <f t="shared" si="149"/>
        <v>0.94399999999999995</v>
      </c>
      <c r="M254" s="503">
        <f t="shared" si="129"/>
        <v>0</v>
      </c>
      <c r="N254" s="503">
        <f t="shared" si="130"/>
        <v>264.32</v>
      </c>
      <c r="O254" s="503">
        <f t="shared" si="131"/>
        <v>0</v>
      </c>
      <c r="P254" s="503">
        <f t="shared" si="132"/>
        <v>0</v>
      </c>
      <c r="Q254" s="503">
        <f t="shared" si="133"/>
        <v>0</v>
      </c>
      <c r="R254" s="503">
        <f t="shared" si="134"/>
        <v>0</v>
      </c>
    </row>
    <row r="255" spans="1:18">
      <c r="A255" s="505"/>
      <c r="B255" s="511"/>
      <c r="C255" s="507">
        <v>10</v>
      </c>
      <c r="D255" s="508">
        <v>75</v>
      </c>
      <c r="E255" s="507">
        <f t="shared" si="153"/>
        <v>14</v>
      </c>
      <c r="F255" s="502">
        <f>2*2</f>
        <v>4</v>
      </c>
      <c r="G255" s="502">
        <f t="shared" si="154"/>
        <v>10</v>
      </c>
      <c r="H255" s="503"/>
      <c r="I255" s="503">
        <f>+(0.165+0.165+0.22)+0.2*0.01</f>
        <v>0.55200000000000005</v>
      </c>
      <c r="J255" s="509"/>
      <c r="K255" s="509"/>
      <c r="L255" s="503">
        <f t="shared" si="149"/>
        <v>0.55200000000000005</v>
      </c>
      <c r="M255" s="503">
        <f t="shared" si="129"/>
        <v>0</v>
      </c>
      <c r="N255" s="503">
        <f t="shared" si="130"/>
        <v>309.12</v>
      </c>
      <c r="O255" s="503">
        <f t="shared" si="131"/>
        <v>0</v>
      </c>
      <c r="P255" s="503">
        <f t="shared" si="132"/>
        <v>0</v>
      </c>
      <c r="Q255" s="503">
        <f t="shared" si="133"/>
        <v>0</v>
      </c>
      <c r="R255" s="503">
        <f t="shared" si="134"/>
        <v>0</v>
      </c>
    </row>
    <row r="256" spans="1:18">
      <c r="A256" s="505"/>
      <c r="B256" s="511"/>
      <c r="C256" s="507">
        <v>10</v>
      </c>
      <c r="D256" s="508">
        <v>75</v>
      </c>
      <c r="E256" s="507">
        <f t="shared" si="153"/>
        <v>14</v>
      </c>
      <c r="F256" s="502">
        <v>2</v>
      </c>
      <c r="G256" s="502">
        <f t="shared" si="154"/>
        <v>10</v>
      </c>
      <c r="H256" s="503"/>
      <c r="I256" s="503">
        <f>0.22+2*10*0.01</f>
        <v>0.42000000000000004</v>
      </c>
      <c r="J256" s="509"/>
      <c r="K256" s="509"/>
      <c r="L256" s="503">
        <f t="shared" si="149"/>
        <v>0.42000000000000004</v>
      </c>
      <c r="M256" s="503">
        <f t="shared" si="129"/>
        <v>0</v>
      </c>
      <c r="N256" s="503">
        <f t="shared" si="130"/>
        <v>117.6</v>
      </c>
      <c r="O256" s="503">
        <f t="shared" si="131"/>
        <v>0</v>
      </c>
      <c r="P256" s="503">
        <f t="shared" si="132"/>
        <v>0</v>
      </c>
      <c r="Q256" s="503">
        <f t="shared" si="133"/>
        <v>0</v>
      </c>
      <c r="R256" s="503">
        <f t="shared" si="134"/>
        <v>0</v>
      </c>
    </row>
    <row r="257" spans="1:18">
      <c r="A257" s="505"/>
      <c r="B257" s="511" t="s">
        <v>788</v>
      </c>
      <c r="C257" s="507">
        <v>8</v>
      </c>
      <c r="D257" s="508">
        <v>150</v>
      </c>
      <c r="E257" s="507">
        <f t="shared" si="153"/>
        <v>14</v>
      </c>
      <c r="F257" s="502">
        <v>1</v>
      </c>
      <c r="G257" s="502">
        <f t="shared" ref="G257:G260" si="155">+ROUND(950/D257+1,0)</f>
        <v>7</v>
      </c>
      <c r="H257" s="503"/>
      <c r="I257" s="503">
        <f>2*(0.22+0.67)+24*0.008</f>
        <v>1.972</v>
      </c>
      <c r="J257" s="509"/>
      <c r="K257" s="509"/>
      <c r="L257" s="503">
        <f t="shared" si="149"/>
        <v>1.972</v>
      </c>
      <c r="M257" s="503">
        <f t="shared" si="129"/>
        <v>193.26</v>
      </c>
      <c r="N257" s="503">
        <f t="shared" si="130"/>
        <v>0</v>
      </c>
      <c r="O257" s="503">
        <f t="shared" si="131"/>
        <v>0</v>
      </c>
      <c r="P257" s="503">
        <f t="shared" si="132"/>
        <v>0</v>
      </c>
      <c r="Q257" s="503">
        <f t="shared" si="133"/>
        <v>0</v>
      </c>
      <c r="R257" s="503">
        <f t="shared" si="134"/>
        <v>0</v>
      </c>
    </row>
    <row r="258" spans="1:18">
      <c r="A258" s="505"/>
      <c r="B258" s="511"/>
      <c r="C258" s="507">
        <v>8</v>
      </c>
      <c r="D258" s="508">
        <v>150</v>
      </c>
      <c r="E258" s="507">
        <f t="shared" si="153"/>
        <v>14</v>
      </c>
      <c r="F258" s="502">
        <v>1</v>
      </c>
      <c r="G258" s="502">
        <f t="shared" si="155"/>
        <v>7</v>
      </c>
      <c r="H258" s="503"/>
      <c r="I258" s="503">
        <f>2*(0.22+0.132)+24*0.008</f>
        <v>0.89599999999999991</v>
      </c>
      <c r="J258" s="509"/>
      <c r="K258" s="509"/>
      <c r="L258" s="503">
        <f t="shared" si="149"/>
        <v>0.89599999999999991</v>
      </c>
      <c r="M258" s="503">
        <f t="shared" si="129"/>
        <v>87.81</v>
      </c>
      <c r="N258" s="503">
        <f t="shared" si="130"/>
        <v>0</v>
      </c>
      <c r="O258" s="503">
        <f t="shared" si="131"/>
        <v>0</v>
      </c>
      <c r="P258" s="503">
        <f t="shared" si="132"/>
        <v>0</v>
      </c>
      <c r="Q258" s="503">
        <f t="shared" si="133"/>
        <v>0</v>
      </c>
      <c r="R258" s="503">
        <f t="shared" si="134"/>
        <v>0</v>
      </c>
    </row>
    <row r="259" spans="1:18">
      <c r="A259" s="505"/>
      <c r="B259" s="511"/>
      <c r="C259" s="507">
        <v>8</v>
      </c>
      <c r="D259" s="508">
        <v>150</v>
      </c>
      <c r="E259" s="507">
        <f t="shared" si="153"/>
        <v>14</v>
      </c>
      <c r="F259" s="502">
        <v>2</v>
      </c>
      <c r="G259" s="502">
        <f t="shared" si="155"/>
        <v>7</v>
      </c>
      <c r="H259" s="503"/>
      <c r="I259" s="503">
        <f>+(0.165+0.165+0.22)+0.2*0.008</f>
        <v>0.55160000000000009</v>
      </c>
      <c r="J259" s="509"/>
      <c r="K259" s="509"/>
      <c r="L259" s="503">
        <f t="shared" si="149"/>
        <v>0.55160000000000009</v>
      </c>
      <c r="M259" s="503">
        <f t="shared" si="129"/>
        <v>108.11</v>
      </c>
      <c r="N259" s="503">
        <f t="shared" si="130"/>
        <v>0</v>
      </c>
      <c r="O259" s="503">
        <f t="shared" si="131"/>
        <v>0</v>
      </c>
      <c r="P259" s="503">
        <f t="shared" si="132"/>
        <v>0</v>
      </c>
      <c r="Q259" s="503">
        <f t="shared" si="133"/>
        <v>0</v>
      </c>
      <c r="R259" s="503">
        <f t="shared" si="134"/>
        <v>0</v>
      </c>
    </row>
    <row r="260" spans="1:18">
      <c r="A260" s="505"/>
      <c r="B260" s="511"/>
      <c r="C260" s="507">
        <v>8</v>
      </c>
      <c r="D260" s="508">
        <v>150</v>
      </c>
      <c r="E260" s="507">
        <f t="shared" si="153"/>
        <v>14</v>
      </c>
      <c r="F260" s="502">
        <v>1</v>
      </c>
      <c r="G260" s="502">
        <f t="shared" si="155"/>
        <v>7</v>
      </c>
      <c r="H260" s="503"/>
      <c r="I260" s="503">
        <f>0.22+2*10*0.008</f>
        <v>0.38</v>
      </c>
      <c r="J260" s="509"/>
      <c r="K260" s="509"/>
      <c r="L260" s="503">
        <f t="shared" si="149"/>
        <v>0.38</v>
      </c>
      <c r="M260" s="503">
        <f t="shared" si="129"/>
        <v>37.24</v>
      </c>
      <c r="N260" s="503">
        <f t="shared" si="130"/>
        <v>0</v>
      </c>
      <c r="O260" s="503">
        <f t="shared" si="131"/>
        <v>0</v>
      </c>
      <c r="P260" s="503">
        <f t="shared" si="132"/>
        <v>0</v>
      </c>
      <c r="Q260" s="503">
        <f t="shared" si="133"/>
        <v>0</v>
      </c>
      <c r="R260" s="503">
        <f t="shared" si="134"/>
        <v>0</v>
      </c>
    </row>
    <row r="261" spans="1:18">
      <c r="A261" s="505"/>
      <c r="B261" s="506" t="s">
        <v>793</v>
      </c>
      <c r="C261" s="507">
        <v>16</v>
      </c>
      <c r="D261" s="508"/>
      <c r="E261" s="507">
        <v>10</v>
      </c>
      <c r="F261" s="502">
        <v>1</v>
      </c>
      <c r="G261" s="502">
        <v>4</v>
      </c>
      <c r="H261" s="503"/>
      <c r="I261" s="503">
        <f t="shared" ref="I261:I262" si="156">106.2-103.25</f>
        <v>2.9500000000000028</v>
      </c>
      <c r="J261" s="509"/>
      <c r="K261" s="509">
        <f t="shared" ref="K261:K262" si="157">1*36*C261/1000</f>
        <v>0.57599999999999996</v>
      </c>
      <c r="L261" s="503">
        <f t="shared" si="149"/>
        <v>3.5260000000000029</v>
      </c>
      <c r="M261" s="503">
        <f t="shared" si="129"/>
        <v>0</v>
      </c>
      <c r="N261" s="503">
        <f t="shared" si="130"/>
        <v>0</v>
      </c>
      <c r="O261" s="503">
        <f t="shared" si="131"/>
        <v>0</v>
      </c>
      <c r="P261" s="503">
        <f t="shared" si="132"/>
        <v>141.04</v>
      </c>
      <c r="Q261" s="503">
        <f t="shared" si="133"/>
        <v>0</v>
      </c>
      <c r="R261" s="503">
        <f t="shared" si="134"/>
        <v>0</v>
      </c>
    </row>
    <row r="262" spans="1:18">
      <c r="A262" s="505"/>
      <c r="B262" s="511"/>
      <c r="C262" s="507">
        <v>12</v>
      </c>
      <c r="D262" s="508"/>
      <c r="E262" s="507">
        <f>+E261</f>
        <v>10</v>
      </c>
      <c r="F262" s="502">
        <v>1</v>
      </c>
      <c r="G262" s="502">
        <v>12</v>
      </c>
      <c r="H262" s="503"/>
      <c r="I262" s="503">
        <f t="shared" si="156"/>
        <v>2.9500000000000028</v>
      </c>
      <c r="J262" s="509"/>
      <c r="K262" s="509">
        <f t="shared" si="157"/>
        <v>0.432</v>
      </c>
      <c r="L262" s="503">
        <f t="shared" si="149"/>
        <v>3.3820000000000028</v>
      </c>
      <c r="M262" s="503">
        <f t="shared" si="129"/>
        <v>0</v>
      </c>
      <c r="N262" s="503">
        <f t="shared" si="130"/>
        <v>0</v>
      </c>
      <c r="O262" s="503">
        <f t="shared" si="131"/>
        <v>405.84</v>
      </c>
      <c r="P262" s="503">
        <f t="shared" si="132"/>
        <v>0</v>
      </c>
      <c r="Q262" s="503">
        <f t="shared" si="133"/>
        <v>0</v>
      </c>
      <c r="R262" s="503">
        <f t="shared" si="134"/>
        <v>0</v>
      </c>
    </row>
    <row r="263" spans="1:18">
      <c r="A263" s="505"/>
      <c r="B263" s="511" t="s">
        <v>787</v>
      </c>
      <c r="C263" s="507">
        <v>10</v>
      </c>
      <c r="D263" s="508">
        <v>75</v>
      </c>
      <c r="E263" s="507">
        <f t="shared" ref="E263:E270" si="158">+E262</f>
        <v>10</v>
      </c>
      <c r="F263" s="502">
        <v>2</v>
      </c>
      <c r="G263" s="502">
        <f>+ROUND(715/D263,0)</f>
        <v>10</v>
      </c>
      <c r="H263" s="503"/>
      <c r="I263" s="503">
        <f>2*(0.22+0.635)+24*0.01</f>
        <v>1.95</v>
      </c>
      <c r="J263" s="509"/>
      <c r="K263" s="509"/>
      <c r="L263" s="503">
        <f t="shared" si="149"/>
        <v>1.95</v>
      </c>
      <c r="M263" s="503">
        <f t="shared" si="129"/>
        <v>0</v>
      </c>
      <c r="N263" s="503">
        <f t="shared" si="130"/>
        <v>390</v>
      </c>
      <c r="O263" s="503">
        <f t="shared" si="131"/>
        <v>0</v>
      </c>
      <c r="P263" s="503">
        <f t="shared" si="132"/>
        <v>0</v>
      </c>
      <c r="Q263" s="503">
        <f t="shared" si="133"/>
        <v>0</v>
      </c>
      <c r="R263" s="503">
        <f t="shared" si="134"/>
        <v>0</v>
      </c>
    </row>
    <row r="264" spans="1:18">
      <c r="A264" s="505"/>
      <c r="B264" s="511"/>
      <c r="C264" s="507">
        <v>10</v>
      </c>
      <c r="D264" s="508">
        <v>75</v>
      </c>
      <c r="E264" s="507">
        <f t="shared" si="158"/>
        <v>10</v>
      </c>
      <c r="F264" s="502">
        <v>2</v>
      </c>
      <c r="G264" s="502">
        <f t="shared" ref="G264:G266" si="159">+ROUND(715/D264,0)</f>
        <v>10</v>
      </c>
      <c r="H264" s="503"/>
      <c r="I264" s="503">
        <f>2*(0.22+0.132)+24*0.01</f>
        <v>0.94399999999999995</v>
      </c>
      <c r="J264" s="509"/>
      <c r="K264" s="509"/>
      <c r="L264" s="503">
        <f t="shared" si="149"/>
        <v>0.94399999999999995</v>
      </c>
      <c r="M264" s="503">
        <f t="shared" si="129"/>
        <v>0</v>
      </c>
      <c r="N264" s="503">
        <f t="shared" si="130"/>
        <v>188.8</v>
      </c>
      <c r="O264" s="503">
        <f t="shared" si="131"/>
        <v>0</v>
      </c>
      <c r="P264" s="503">
        <f t="shared" si="132"/>
        <v>0</v>
      </c>
      <c r="Q264" s="503">
        <f t="shared" si="133"/>
        <v>0</v>
      </c>
      <c r="R264" s="503">
        <f t="shared" si="134"/>
        <v>0</v>
      </c>
    </row>
    <row r="265" spans="1:18">
      <c r="A265" s="505"/>
      <c r="B265" s="511"/>
      <c r="C265" s="507">
        <v>10</v>
      </c>
      <c r="D265" s="508">
        <v>75</v>
      </c>
      <c r="E265" s="507">
        <f t="shared" si="158"/>
        <v>10</v>
      </c>
      <c r="F265" s="502">
        <f>2*2</f>
        <v>4</v>
      </c>
      <c r="G265" s="502">
        <f t="shared" si="159"/>
        <v>10</v>
      </c>
      <c r="H265" s="503"/>
      <c r="I265" s="503">
        <f>+(0.165+0.165+0.22)+0.2*0.01</f>
        <v>0.55200000000000005</v>
      </c>
      <c r="J265" s="509"/>
      <c r="K265" s="509"/>
      <c r="L265" s="503">
        <f t="shared" si="149"/>
        <v>0.55200000000000005</v>
      </c>
      <c r="M265" s="503">
        <f t="shared" si="129"/>
        <v>0</v>
      </c>
      <c r="N265" s="503">
        <f t="shared" si="130"/>
        <v>220.8</v>
      </c>
      <c r="O265" s="503">
        <f t="shared" si="131"/>
        <v>0</v>
      </c>
      <c r="P265" s="503">
        <f t="shared" si="132"/>
        <v>0</v>
      </c>
      <c r="Q265" s="503">
        <f t="shared" si="133"/>
        <v>0</v>
      </c>
      <c r="R265" s="503">
        <f t="shared" si="134"/>
        <v>0</v>
      </c>
    </row>
    <row r="266" spans="1:18">
      <c r="A266" s="505"/>
      <c r="B266" s="511"/>
      <c r="C266" s="507">
        <v>10</v>
      </c>
      <c r="D266" s="508">
        <v>75</v>
      </c>
      <c r="E266" s="507">
        <f t="shared" si="158"/>
        <v>10</v>
      </c>
      <c r="F266" s="502">
        <v>2</v>
      </c>
      <c r="G266" s="502">
        <f t="shared" si="159"/>
        <v>10</v>
      </c>
      <c r="H266" s="503"/>
      <c r="I266" s="503">
        <f>0.22+2*10*0.01</f>
        <v>0.42000000000000004</v>
      </c>
      <c r="J266" s="509"/>
      <c r="K266" s="509"/>
      <c r="L266" s="503">
        <f t="shared" si="149"/>
        <v>0.42000000000000004</v>
      </c>
      <c r="M266" s="503">
        <f t="shared" si="129"/>
        <v>0</v>
      </c>
      <c r="N266" s="503">
        <f t="shared" si="130"/>
        <v>84</v>
      </c>
      <c r="O266" s="503">
        <f t="shared" si="131"/>
        <v>0</v>
      </c>
      <c r="P266" s="503">
        <f t="shared" si="132"/>
        <v>0</v>
      </c>
      <c r="Q266" s="503">
        <f t="shared" si="133"/>
        <v>0</v>
      </c>
      <c r="R266" s="503">
        <f t="shared" si="134"/>
        <v>0</v>
      </c>
    </row>
    <row r="267" spans="1:18">
      <c r="A267" s="505"/>
      <c r="B267" s="511" t="s">
        <v>788</v>
      </c>
      <c r="C267" s="507">
        <v>8</v>
      </c>
      <c r="D267" s="508">
        <v>150</v>
      </c>
      <c r="E267" s="507">
        <f t="shared" si="158"/>
        <v>10</v>
      </c>
      <c r="F267" s="502">
        <v>1</v>
      </c>
      <c r="G267" s="502">
        <f>+ROUND(1020/D267+1,0)</f>
        <v>8</v>
      </c>
      <c r="H267" s="503"/>
      <c r="I267" s="503">
        <f>2*(0.22+0.635)+24*0.008</f>
        <v>1.9019999999999999</v>
      </c>
      <c r="J267" s="509"/>
      <c r="K267" s="509"/>
      <c r="L267" s="503">
        <f t="shared" si="149"/>
        <v>1.9019999999999999</v>
      </c>
      <c r="M267" s="503">
        <f t="shared" si="129"/>
        <v>152.16</v>
      </c>
      <c r="N267" s="503">
        <f t="shared" si="130"/>
        <v>0</v>
      </c>
      <c r="O267" s="503">
        <f t="shared" si="131"/>
        <v>0</v>
      </c>
      <c r="P267" s="503">
        <f t="shared" si="132"/>
        <v>0</v>
      </c>
      <c r="Q267" s="503">
        <f t="shared" si="133"/>
        <v>0</v>
      </c>
      <c r="R267" s="503">
        <f t="shared" si="134"/>
        <v>0</v>
      </c>
    </row>
    <row r="268" spans="1:18">
      <c r="A268" s="505"/>
      <c r="B268" s="511"/>
      <c r="C268" s="507">
        <v>8</v>
      </c>
      <c r="D268" s="508">
        <v>150</v>
      </c>
      <c r="E268" s="507">
        <f t="shared" si="158"/>
        <v>10</v>
      </c>
      <c r="F268" s="502">
        <v>1</v>
      </c>
      <c r="G268" s="502">
        <f>+ROUND(1020/D268+1,0)</f>
        <v>8</v>
      </c>
      <c r="H268" s="503"/>
      <c r="I268" s="503">
        <f>2*(0.22+0.132)+24*0.008</f>
        <v>0.89599999999999991</v>
      </c>
      <c r="J268" s="509"/>
      <c r="K268" s="509"/>
      <c r="L268" s="503">
        <f t="shared" si="149"/>
        <v>0.89599999999999991</v>
      </c>
      <c r="M268" s="503">
        <f t="shared" si="129"/>
        <v>71.680000000000007</v>
      </c>
      <c r="N268" s="503">
        <f t="shared" si="130"/>
        <v>0</v>
      </c>
      <c r="O268" s="503">
        <f t="shared" si="131"/>
        <v>0</v>
      </c>
      <c r="P268" s="503">
        <f t="shared" si="132"/>
        <v>0</v>
      </c>
      <c r="Q268" s="503">
        <f t="shared" si="133"/>
        <v>0</v>
      </c>
      <c r="R268" s="503">
        <f t="shared" si="134"/>
        <v>0</v>
      </c>
    </row>
    <row r="269" spans="1:18">
      <c r="A269" s="505"/>
      <c r="B269" s="511"/>
      <c r="C269" s="507">
        <v>8</v>
      </c>
      <c r="D269" s="508">
        <v>150</v>
      </c>
      <c r="E269" s="507">
        <f t="shared" si="158"/>
        <v>10</v>
      </c>
      <c r="F269" s="502">
        <v>2</v>
      </c>
      <c r="G269" s="502">
        <f t="shared" ref="G269:G270" si="160">+ROUND(1020/D269+1,0)</f>
        <v>8</v>
      </c>
      <c r="H269" s="503"/>
      <c r="I269" s="503">
        <f>+(0.165+0.165+0.22)+0.2*0.008</f>
        <v>0.55160000000000009</v>
      </c>
      <c r="J269" s="509"/>
      <c r="K269" s="509"/>
      <c r="L269" s="503">
        <f t="shared" si="149"/>
        <v>0.55160000000000009</v>
      </c>
      <c r="M269" s="503">
        <f t="shared" si="129"/>
        <v>88.26</v>
      </c>
      <c r="N269" s="503">
        <f t="shared" si="130"/>
        <v>0</v>
      </c>
      <c r="O269" s="503">
        <f t="shared" si="131"/>
        <v>0</v>
      </c>
      <c r="P269" s="503">
        <f t="shared" si="132"/>
        <v>0</v>
      </c>
      <c r="Q269" s="503">
        <f t="shared" si="133"/>
        <v>0</v>
      </c>
      <c r="R269" s="503">
        <f t="shared" si="134"/>
        <v>0</v>
      </c>
    </row>
    <row r="270" spans="1:18">
      <c r="A270" s="505"/>
      <c r="B270" s="511"/>
      <c r="C270" s="507">
        <v>8</v>
      </c>
      <c r="D270" s="508">
        <v>150</v>
      </c>
      <c r="E270" s="507">
        <f t="shared" si="158"/>
        <v>10</v>
      </c>
      <c r="F270" s="502">
        <v>1</v>
      </c>
      <c r="G270" s="502">
        <f t="shared" si="160"/>
        <v>8</v>
      </c>
      <c r="H270" s="503"/>
      <c r="I270" s="503">
        <f>0.22+2*10*0.008</f>
        <v>0.38</v>
      </c>
      <c r="J270" s="509"/>
      <c r="K270" s="509"/>
      <c r="L270" s="503">
        <f t="shared" si="149"/>
        <v>0.38</v>
      </c>
      <c r="M270" s="503">
        <f t="shared" si="129"/>
        <v>30.4</v>
      </c>
      <c r="N270" s="503">
        <f t="shared" si="130"/>
        <v>0</v>
      </c>
      <c r="O270" s="503">
        <f t="shared" si="131"/>
        <v>0</v>
      </c>
      <c r="P270" s="503">
        <f t="shared" si="132"/>
        <v>0</v>
      </c>
      <c r="Q270" s="503">
        <f t="shared" si="133"/>
        <v>0</v>
      </c>
      <c r="R270" s="503">
        <f t="shared" si="134"/>
        <v>0</v>
      </c>
    </row>
    <row r="271" spans="1:18">
      <c r="A271" s="505"/>
      <c r="B271" s="506" t="s">
        <v>794</v>
      </c>
      <c r="C271" s="507">
        <v>16</v>
      </c>
      <c r="D271" s="508"/>
      <c r="E271" s="507">
        <v>4</v>
      </c>
      <c r="F271" s="502">
        <v>1</v>
      </c>
      <c r="G271" s="502">
        <v>4</v>
      </c>
      <c r="H271" s="503"/>
      <c r="I271" s="503">
        <f t="shared" ref="I271:I272" si="161">106.2-103.25</f>
        <v>2.9500000000000028</v>
      </c>
      <c r="J271" s="509"/>
      <c r="K271" s="509">
        <f t="shared" ref="K271:K272" si="162">1*36*C271/1000</f>
        <v>0.57599999999999996</v>
      </c>
      <c r="L271" s="503">
        <f t="shared" si="149"/>
        <v>3.5260000000000029</v>
      </c>
      <c r="M271" s="503">
        <f t="shared" si="129"/>
        <v>0</v>
      </c>
      <c r="N271" s="503">
        <f t="shared" si="130"/>
        <v>0</v>
      </c>
      <c r="O271" s="503">
        <f t="shared" si="131"/>
        <v>0</v>
      </c>
      <c r="P271" s="503">
        <f t="shared" si="132"/>
        <v>56.42</v>
      </c>
      <c r="Q271" s="503">
        <f t="shared" si="133"/>
        <v>0</v>
      </c>
      <c r="R271" s="503">
        <f t="shared" si="134"/>
        <v>0</v>
      </c>
    </row>
    <row r="272" spans="1:18">
      <c r="A272" s="505"/>
      <c r="B272" s="511"/>
      <c r="C272" s="507">
        <v>12</v>
      </c>
      <c r="D272" s="508"/>
      <c r="E272" s="507">
        <f>+E271</f>
        <v>4</v>
      </c>
      <c r="F272" s="502">
        <v>1</v>
      </c>
      <c r="G272" s="502">
        <v>14</v>
      </c>
      <c r="H272" s="503"/>
      <c r="I272" s="503">
        <f t="shared" si="161"/>
        <v>2.9500000000000028</v>
      </c>
      <c r="J272" s="509"/>
      <c r="K272" s="509">
        <f t="shared" si="162"/>
        <v>0.432</v>
      </c>
      <c r="L272" s="503">
        <f t="shared" si="149"/>
        <v>3.3820000000000028</v>
      </c>
      <c r="M272" s="503">
        <f t="shared" si="129"/>
        <v>0</v>
      </c>
      <c r="N272" s="503">
        <f t="shared" si="130"/>
        <v>0</v>
      </c>
      <c r="O272" s="503">
        <f t="shared" si="131"/>
        <v>189.39</v>
      </c>
      <c r="P272" s="503">
        <f t="shared" si="132"/>
        <v>0</v>
      </c>
      <c r="Q272" s="503">
        <f t="shared" si="133"/>
        <v>0</v>
      </c>
      <c r="R272" s="503">
        <f t="shared" si="134"/>
        <v>0</v>
      </c>
    </row>
    <row r="273" spans="1:19">
      <c r="A273" s="505"/>
      <c r="B273" s="511" t="s">
        <v>787</v>
      </c>
      <c r="C273" s="507">
        <v>10</v>
      </c>
      <c r="D273" s="508">
        <v>75</v>
      </c>
      <c r="E273" s="507">
        <f t="shared" ref="E273:E278" si="163">+E272</f>
        <v>4</v>
      </c>
      <c r="F273" s="502">
        <v>2</v>
      </c>
      <c r="G273" s="502">
        <f>+ROUND(800/D273,0)</f>
        <v>11</v>
      </c>
      <c r="H273" s="503"/>
      <c r="I273" s="503">
        <f>2*(0.22+0.72)+24*0.01</f>
        <v>2.12</v>
      </c>
      <c r="J273" s="509"/>
      <c r="K273" s="509"/>
      <c r="L273" s="503">
        <f t="shared" si="149"/>
        <v>2.12</v>
      </c>
      <c r="M273" s="503">
        <f t="shared" si="129"/>
        <v>0</v>
      </c>
      <c r="N273" s="503">
        <f t="shared" si="130"/>
        <v>186.56</v>
      </c>
      <c r="O273" s="503">
        <f t="shared" si="131"/>
        <v>0</v>
      </c>
      <c r="P273" s="503">
        <f t="shared" si="132"/>
        <v>0</v>
      </c>
      <c r="Q273" s="503">
        <f t="shared" si="133"/>
        <v>0</v>
      </c>
      <c r="R273" s="503">
        <f t="shared" si="134"/>
        <v>0</v>
      </c>
    </row>
    <row r="274" spans="1:19">
      <c r="A274" s="505"/>
      <c r="B274" s="511"/>
      <c r="C274" s="507">
        <v>10</v>
      </c>
      <c r="D274" s="508">
        <v>75</v>
      </c>
      <c r="E274" s="507">
        <f t="shared" si="163"/>
        <v>4</v>
      </c>
      <c r="F274" s="502">
        <f>2*2</f>
        <v>4</v>
      </c>
      <c r="G274" s="502">
        <f t="shared" ref="G274:G275" si="164">+ROUND(800/D274,0)</f>
        <v>11</v>
      </c>
      <c r="H274" s="503"/>
      <c r="I274" s="503">
        <f>2*(0.22+0.115)+24*0.01</f>
        <v>0.91</v>
      </c>
      <c r="J274" s="509"/>
      <c r="K274" s="509"/>
      <c r="L274" s="503">
        <f t="shared" si="149"/>
        <v>0.91</v>
      </c>
      <c r="M274" s="503">
        <f t="shared" si="129"/>
        <v>0</v>
      </c>
      <c r="N274" s="503">
        <f t="shared" si="130"/>
        <v>160.16</v>
      </c>
      <c r="O274" s="503">
        <f t="shared" si="131"/>
        <v>0</v>
      </c>
      <c r="P274" s="503">
        <f t="shared" si="132"/>
        <v>0</v>
      </c>
      <c r="Q274" s="503">
        <f t="shared" si="133"/>
        <v>0</v>
      </c>
      <c r="R274" s="503">
        <f t="shared" si="134"/>
        <v>0</v>
      </c>
    </row>
    <row r="275" spans="1:19">
      <c r="A275" s="505"/>
      <c r="B275" s="511"/>
      <c r="C275" s="507">
        <v>10</v>
      </c>
      <c r="D275" s="508">
        <v>75</v>
      </c>
      <c r="E275" s="507">
        <f t="shared" si="163"/>
        <v>4</v>
      </c>
      <c r="F275" s="502">
        <f>2*2</f>
        <v>4</v>
      </c>
      <c r="G275" s="502">
        <f t="shared" si="164"/>
        <v>11</v>
      </c>
      <c r="H275" s="503"/>
      <c r="I275" s="503">
        <f>+(0.165+0.165+0.22)+0.2*0.01</f>
        <v>0.55200000000000005</v>
      </c>
      <c r="J275" s="509"/>
      <c r="K275" s="509"/>
      <c r="L275" s="503">
        <f t="shared" si="149"/>
        <v>0.55200000000000005</v>
      </c>
      <c r="M275" s="503">
        <f t="shared" si="129"/>
        <v>0</v>
      </c>
      <c r="N275" s="503">
        <f t="shared" si="130"/>
        <v>97.15</v>
      </c>
      <c r="O275" s="503">
        <f t="shared" si="131"/>
        <v>0</v>
      </c>
      <c r="P275" s="503">
        <f t="shared" si="132"/>
        <v>0</v>
      </c>
      <c r="Q275" s="503">
        <f t="shared" si="133"/>
        <v>0</v>
      </c>
      <c r="R275" s="503">
        <f t="shared" si="134"/>
        <v>0</v>
      </c>
    </row>
    <row r="276" spans="1:19">
      <c r="A276" s="505"/>
      <c r="B276" s="511" t="s">
        <v>788</v>
      </c>
      <c r="C276" s="507">
        <v>8</v>
      </c>
      <c r="D276" s="508">
        <v>150</v>
      </c>
      <c r="E276" s="507">
        <f t="shared" si="163"/>
        <v>4</v>
      </c>
      <c r="F276" s="502">
        <v>1</v>
      </c>
      <c r="G276" s="502">
        <f>+ROUND(800/D276+1,0)</f>
        <v>6</v>
      </c>
      <c r="H276" s="503"/>
      <c r="I276" s="503">
        <f>2*(0.22+0.72)+24*0.008</f>
        <v>2.0720000000000001</v>
      </c>
      <c r="J276" s="509"/>
      <c r="K276" s="509"/>
      <c r="L276" s="503">
        <f t="shared" si="149"/>
        <v>2.0720000000000001</v>
      </c>
      <c r="M276" s="503">
        <f t="shared" si="129"/>
        <v>49.73</v>
      </c>
      <c r="N276" s="503">
        <f t="shared" si="130"/>
        <v>0</v>
      </c>
      <c r="O276" s="503">
        <f t="shared" si="131"/>
        <v>0</v>
      </c>
      <c r="P276" s="503">
        <f t="shared" si="132"/>
        <v>0</v>
      </c>
      <c r="Q276" s="503">
        <f t="shared" si="133"/>
        <v>0</v>
      </c>
      <c r="R276" s="503">
        <f t="shared" si="134"/>
        <v>0</v>
      </c>
    </row>
    <row r="277" spans="1:19">
      <c r="A277" s="505"/>
      <c r="B277" s="511"/>
      <c r="C277" s="507">
        <v>8</v>
      </c>
      <c r="D277" s="508">
        <v>150</v>
      </c>
      <c r="E277" s="507">
        <f t="shared" si="163"/>
        <v>4</v>
      </c>
      <c r="F277" s="502">
        <v>2</v>
      </c>
      <c r="G277" s="502">
        <f t="shared" ref="G277:G278" si="165">+ROUND(800/D277+1,0)</f>
        <v>6</v>
      </c>
      <c r="H277" s="503"/>
      <c r="I277" s="503">
        <f>2*(0.22+0.115)+24*0.008</f>
        <v>0.8620000000000001</v>
      </c>
      <c r="J277" s="509"/>
      <c r="K277" s="509"/>
      <c r="L277" s="503">
        <f t="shared" si="149"/>
        <v>0.8620000000000001</v>
      </c>
      <c r="M277" s="503">
        <f t="shared" si="129"/>
        <v>41.38</v>
      </c>
      <c r="N277" s="503">
        <f t="shared" si="130"/>
        <v>0</v>
      </c>
      <c r="O277" s="503">
        <f t="shared" si="131"/>
        <v>0</v>
      </c>
      <c r="P277" s="503">
        <f t="shared" si="132"/>
        <v>0</v>
      </c>
      <c r="Q277" s="503">
        <f t="shared" si="133"/>
        <v>0</v>
      </c>
      <c r="R277" s="503">
        <f t="shared" si="134"/>
        <v>0</v>
      </c>
    </row>
    <row r="278" spans="1:19">
      <c r="A278" s="505"/>
      <c r="B278" s="511"/>
      <c r="C278" s="507">
        <v>8</v>
      </c>
      <c r="D278" s="508">
        <v>150</v>
      </c>
      <c r="E278" s="507">
        <f t="shared" si="163"/>
        <v>4</v>
      </c>
      <c r="F278" s="502">
        <v>2</v>
      </c>
      <c r="G278" s="502">
        <f t="shared" si="165"/>
        <v>6</v>
      </c>
      <c r="H278" s="503"/>
      <c r="I278" s="503">
        <f>+(0.165+0.165+0.22)+0.2*0.008</f>
        <v>0.55160000000000009</v>
      </c>
      <c r="J278" s="509"/>
      <c r="K278" s="509"/>
      <c r="L278" s="503">
        <f t="shared" si="149"/>
        <v>0.55160000000000009</v>
      </c>
      <c r="M278" s="503">
        <f t="shared" si="129"/>
        <v>26.48</v>
      </c>
      <c r="N278" s="503">
        <f t="shared" si="130"/>
        <v>0</v>
      </c>
      <c r="O278" s="503">
        <f t="shared" si="131"/>
        <v>0</v>
      </c>
      <c r="P278" s="503">
        <f t="shared" si="132"/>
        <v>0</v>
      </c>
      <c r="Q278" s="503">
        <f t="shared" si="133"/>
        <v>0</v>
      </c>
      <c r="R278" s="503">
        <f t="shared" si="134"/>
        <v>0</v>
      </c>
    </row>
    <row r="279" spans="1:19">
      <c r="A279" s="505"/>
      <c r="B279" s="506" t="s">
        <v>795</v>
      </c>
      <c r="C279" s="507">
        <v>20</v>
      </c>
      <c r="D279" s="508"/>
      <c r="E279" s="507">
        <v>4</v>
      </c>
      <c r="F279" s="502">
        <v>1</v>
      </c>
      <c r="G279" s="502">
        <v>4</v>
      </c>
      <c r="H279" s="503"/>
      <c r="I279" s="503">
        <f t="shared" ref="I279:I280" si="166">106.2-103.25</f>
        <v>2.9500000000000028</v>
      </c>
      <c r="J279" s="509"/>
      <c r="K279" s="509">
        <f t="shared" ref="K279:K280" si="167">1*36*C279/1000</f>
        <v>0.72</v>
      </c>
      <c r="L279" s="503">
        <f t="shared" si="149"/>
        <v>3.6700000000000026</v>
      </c>
      <c r="M279" s="503">
        <f t="shared" si="129"/>
        <v>0</v>
      </c>
      <c r="N279" s="503">
        <f t="shared" si="130"/>
        <v>0</v>
      </c>
      <c r="O279" s="503">
        <f t="shared" si="131"/>
        <v>0</v>
      </c>
      <c r="P279" s="503">
        <f t="shared" si="132"/>
        <v>0</v>
      </c>
      <c r="Q279" s="503">
        <f t="shared" si="133"/>
        <v>58.72</v>
      </c>
      <c r="R279" s="503">
        <f t="shared" si="134"/>
        <v>0</v>
      </c>
    </row>
    <row r="280" spans="1:19">
      <c r="A280" s="505"/>
      <c r="B280" s="506"/>
      <c r="C280" s="507">
        <v>16</v>
      </c>
      <c r="D280" s="508"/>
      <c r="E280" s="507">
        <v>4</v>
      </c>
      <c r="F280" s="502">
        <v>1</v>
      </c>
      <c r="G280" s="502">
        <v>10</v>
      </c>
      <c r="H280" s="503"/>
      <c r="I280" s="503">
        <f t="shared" si="166"/>
        <v>2.9500000000000028</v>
      </c>
      <c r="J280" s="509"/>
      <c r="K280" s="509">
        <f t="shared" si="167"/>
        <v>0.57599999999999996</v>
      </c>
      <c r="L280" s="503">
        <f t="shared" si="149"/>
        <v>3.5260000000000029</v>
      </c>
      <c r="M280" s="503">
        <f t="shared" si="129"/>
        <v>0</v>
      </c>
      <c r="N280" s="503">
        <f t="shared" si="130"/>
        <v>0</v>
      </c>
      <c r="O280" s="503">
        <f t="shared" si="131"/>
        <v>0</v>
      </c>
      <c r="P280" s="503">
        <f t="shared" si="132"/>
        <v>141.04</v>
      </c>
      <c r="Q280" s="503">
        <f t="shared" si="133"/>
        <v>0</v>
      </c>
      <c r="R280" s="503">
        <f t="shared" si="134"/>
        <v>0</v>
      </c>
    </row>
    <row r="281" spans="1:19">
      <c r="A281" s="505"/>
      <c r="B281" s="511" t="s">
        <v>787</v>
      </c>
      <c r="C281" s="507">
        <v>10</v>
      </c>
      <c r="D281" s="508">
        <v>75</v>
      </c>
      <c r="E281" s="507">
        <f>+E279</f>
        <v>4</v>
      </c>
      <c r="F281" s="502">
        <v>2</v>
      </c>
      <c r="G281" s="502">
        <f>+ROUND(600/D281,0)</f>
        <v>8</v>
      </c>
      <c r="H281" s="503"/>
      <c r="I281" s="503">
        <f>2*(0.22+0.52)+24*0.01</f>
        <v>1.72</v>
      </c>
      <c r="J281" s="509"/>
      <c r="K281" s="509"/>
      <c r="L281" s="503">
        <f t="shared" si="149"/>
        <v>1.72</v>
      </c>
      <c r="M281" s="503">
        <f t="shared" si="129"/>
        <v>0</v>
      </c>
      <c r="N281" s="503">
        <f t="shared" si="130"/>
        <v>110.08</v>
      </c>
      <c r="O281" s="503">
        <f t="shared" si="131"/>
        <v>0</v>
      </c>
      <c r="P281" s="503">
        <f t="shared" si="132"/>
        <v>0</v>
      </c>
      <c r="Q281" s="503">
        <f t="shared" si="133"/>
        <v>0</v>
      </c>
      <c r="R281" s="503">
        <f t="shared" si="134"/>
        <v>0</v>
      </c>
    </row>
    <row r="282" spans="1:19">
      <c r="A282" s="505"/>
      <c r="B282" s="511"/>
      <c r="C282" s="507">
        <v>10</v>
      </c>
      <c r="D282" s="508">
        <v>75</v>
      </c>
      <c r="E282" s="507">
        <f t="shared" ref="E282:E286" si="168">+E281</f>
        <v>4</v>
      </c>
      <c r="F282" s="502">
        <v>2</v>
      </c>
      <c r="G282" s="502">
        <f t="shared" ref="G282:G283" si="169">+ROUND(600/D282,0)</f>
        <v>8</v>
      </c>
      <c r="H282" s="503"/>
      <c r="I282" s="503">
        <f>2*(0.22+0.115)+24*0.01</f>
        <v>0.91</v>
      </c>
      <c r="J282" s="509"/>
      <c r="K282" s="509"/>
      <c r="L282" s="503">
        <f t="shared" si="149"/>
        <v>0.91</v>
      </c>
      <c r="M282" s="503">
        <f t="shared" si="129"/>
        <v>0</v>
      </c>
      <c r="N282" s="503">
        <f t="shared" si="130"/>
        <v>58.24</v>
      </c>
      <c r="O282" s="503">
        <f t="shared" si="131"/>
        <v>0</v>
      </c>
      <c r="P282" s="503">
        <f t="shared" si="132"/>
        <v>0</v>
      </c>
      <c r="Q282" s="503">
        <f t="shared" si="133"/>
        <v>0</v>
      </c>
      <c r="R282" s="503">
        <f t="shared" si="134"/>
        <v>0</v>
      </c>
    </row>
    <row r="283" spans="1:19">
      <c r="A283" s="505"/>
      <c r="B283" s="511"/>
      <c r="C283" s="507">
        <v>10</v>
      </c>
      <c r="D283" s="508">
        <v>75</v>
      </c>
      <c r="E283" s="507">
        <f t="shared" si="168"/>
        <v>4</v>
      </c>
      <c r="F283" s="502">
        <f>2*2</f>
        <v>4</v>
      </c>
      <c r="G283" s="502">
        <f t="shared" si="169"/>
        <v>8</v>
      </c>
      <c r="H283" s="503"/>
      <c r="I283" s="503">
        <f>+(0.16+0.16+0.22)+0.24*0.01</f>
        <v>0.54239999999999999</v>
      </c>
      <c r="J283" s="509"/>
      <c r="K283" s="509"/>
      <c r="L283" s="503">
        <f t="shared" si="149"/>
        <v>0.54239999999999999</v>
      </c>
      <c r="M283" s="503">
        <f t="shared" si="129"/>
        <v>0</v>
      </c>
      <c r="N283" s="503">
        <f t="shared" si="130"/>
        <v>69.430000000000007</v>
      </c>
      <c r="O283" s="503">
        <f t="shared" si="131"/>
        <v>0</v>
      </c>
      <c r="P283" s="503">
        <f t="shared" si="132"/>
        <v>0</v>
      </c>
      <c r="Q283" s="503">
        <f t="shared" si="133"/>
        <v>0</v>
      </c>
      <c r="R283" s="503">
        <f t="shared" si="134"/>
        <v>0</v>
      </c>
    </row>
    <row r="284" spans="1:19">
      <c r="A284" s="505"/>
      <c r="B284" s="511" t="s">
        <v>788</v>
      </c>
      <c r="C284" s="507">
        <v>8</v>
      </c>
      <c r="D284" s="508">
        <v>150</v>
      </c>
      <c r="E284" s="507">
        <f t="shared" si="168"/>
        <v>4</v>
      </c>
      <c r="F284" s="502">
        <v>1</v>
      </c>
      <c r="G284" s="502">
        <f>+ROUND(1250/D284+1,0)</f>
        <v>9</v>
      </c>
      <c r="H284" s="503"/>
      <c r="I284" s="503">
        <f>2*(0.22+0.52)+24*0.008</f>
        <v>1.6719999999999999</v>
      </c>
      <c r="J284" s="509"/>
      <c r="K284" s="509"/>
      <c r="L284" s="503">
        <f t="shared" si="149"/>
        <v>1.6719999999999999</v>
      </c>
      <c r="M284" s="503">
        <f t="shared" si="129"/>
        <v>60.19</v>
      </c>
      <c r="N284" s="503">
        <f t="shared" si="130"/>
        <v>0</v>
      </c>
      <c r="O284" s="503">
        <f t="shared" si="131"/>
        <v>0</v>
      </c>
      <c r="P284" s="503">
        <f t="shared" si="132"/>
        <v>0</v>
      </c>
      <c r="Q284" s="503">
        <f t="shared" si="133"/>
        <v>0</v>
      </c>
      <c r="R284" s="503">
        <f t="shared" si="134"/>
        <v>0</v>
      </c>
    </row>
    <row r="285" spans="1:19">
      <c r="A285" s="505"/>
      <c r="B285" s="511"/>
      <c r="C285" s="507">
        <v>8</v>
      </c>
      <c r="D285" s="508">
        <v>150</v>
      </c>
      <c r="E285" s="507">
        <f t="shared" si="168"/>
        <v>4</v>
      </c>
      <c r="F285" s="502">
        <v>1</v>
      </c>
      <c r="G285" s="502">
        <f t="shared" ref="G285:G286" si="170">+ROUND(1250/D285+1,0)</f>
        <v>9</v>
      </c>
      <c r="H285" s="503"/>
      <c r="I285" s="503">
        <f>2*(0.22+0.115)+24*0.008</f>
        <v>0.8620000000000001</v>
      </c>
      <c r="J285" s="509"/>
      <c r="K285" s="509"/>
      <c r="L285" s="503">
        <f t="shared" si="149"/>
        <v>0.8620000000000001</v>
      </c>
      <c r="M285" s="503">
        <f t="shared" si="129"/>
        <v>31.03</v>
      </c>
      <c r="N285" s="503">
        <f t="shared" si="130"/>
        <v>0</v>
      </c>
      <c r="O285" s="503">
        <f t="shared" si="131"/>
        <v>0</v>
      </c>
      <c r="P285" s="503">
        <f t="shared" si="132"/>
        <v>0</v>
      </c>
      <c r="Q285" s="503">
        <f t="shared" si="133"/>
        <v>0</v>
      </c>
      <c r="R285" s="503">
        <f t="shared" si="134"/>
        <v>0</v>
      </c>
    </row>
    <row r="286" spans="1:19">
      <c r="A286" s="505"/>
      <c r="B286" s="511"/>
      <c r="C286" s="507">
        <v>8</v>
      </c>
      <c r="D286" s="508">
        <v>150</v>
      </c>
      <c r="E286" s="507">
        <f t="shared" si="168"/>
        <v>4</v>
      </c>
      <c r="F286" s="502">
        <v>2</v>
      </c>
      <c r="G286" s="502">
        <f t="shared" si="170"/>
        <v>9</v>
      </c>
      <c r="H286" s="503"/>
      <c r="I286" s="503">
        <f>+(0.16+0.16+0.22)+0.2*0.008</f>
        <v>0.54160000000000008</v>
      </c>
      <c r="J286" s="509"/>
      <c r="K286" s="509"/>
      <c r="L286" s="503">
        <f t="shared" si="149"/>
        <v>0.54160000000000008</v>
      </c>
      <c r="M286" s="503">
        <f t="shared" si="129"/>
        <v>39</v>
      </c>
      <c r="N286" s="503">
        <f t="shared" si="130"/>
        <v>0</v>
      </c>
      <c r="O286" s="503">
        <f t="shared" si="131"/>
        <v>0</v>
      </c>
      <c r="P286" s="503">
        <f t="shared" si="132"/>
        <v>0</v>
      </c>
      <c r="Q286" s="503">
        <f t="shared" si="133"/>
        <v>0</v>
      </c>
      <c r="R286" s="503">
        <f t="shared" si="134"/>
        <v>0</v>
      </c>
    </row>
    <row r="287" spans="1:19">
      <c r="A287" s="530"/>
      <c r="B287" s="506" t="s">
        <v>924</v>
      </c>
      <c r="C287" s="507">
        <v>16</v>
      </c>
      <c r="D287" s="508"/>
      <c r="E287" s="507">
        <v>4</v>
      </c>
      <c r="F287" s="502">
        <v>1</v>
      </c>
      <c r="G287" s="502">
        <v>8</v>
      </c>
      <c r="H287" s="503"/>
      <c r="I287" s="503">
        <v>2.95</v>
      </c>
      <c r="J287" s="509"/>
      <c r="K287" s="509">
        <f t="shared" ref="K287:K288" si="171">1*36*C287/1000</f>
        <v>0.57599999999999996</v>
      </c>
      <c r="L287" s="503">
        <f t="shared" ref="L287:L301" si="172">SUM(H287:J287)+K287</f>
        <v>3.5260000000000002</v>
      </c>
      <c r="M287" s="503">
        <f t="shared" si="129"/>
        <v>0</v>
      </c>
      <c r="N287" s="503">
        <f t="shared" si="130"/>
        <v>0</v>
      </c>
      <c r="O287" s="503">
        <f t="shared" si="131"/>
        <v>0</v>
      </c>
      <c r="P287" s="503">
        <f t="shared" si="132"/>
        <v>112.83</v>
      </c>
      <c r="Q287" s="503">
        <f t="shared" si="133"/>
        <v>0</v>
      </c>
      <c r="R287" s="503">
        <f t="shared" si="134"/>
        <v>0</v>
      </c>
      <c r="S287" s="221">
        <f>+G287*E287</f>
        <v>32</v>
      </c>
    </row>
    <row r="288" spans="1:19">
      <c r="A288" s="505"/>
      <c r="B288" s="511"/>
      <c r="C288" s="507">
        <v>12</v>
      </c>
      <c r="D288" s="508"/>
      <c r="E288" s="507">
        <f>+E287</f>
        <v>4</v>
      </c>
      <c r="F288" s="502">
        <v>1</v>
      </c>
      <c r="G288" s="502">
        <v>6</v>
      </c>
      <c r="H288" s="503"/>
      <c r="I288" s="503">
        <v>2.95</v>
      </c>
      <c r="J288" s="509"/>
      <c r="K288" s="509">
        <f t="shared" si="171"/>
        <v>0.432</v>
      </c>
      <c r="L288" s="503">
        <f t="shared" si="172"/>
        <v>3.3820000000000001</v>
      </c>
      <c r="M288" s="503">
        <f t="shared" si="129"/>
        <v>0</v>
      </c>
      <c r="N288" s="503">
        <f t="shared" si="130"/>
        <v>0</v>
      </c>
      <c r="O288" s="503">
        <f t="shared" si="131"/>
        <v>81.17</v>
      </c>
      <c r="P288" s="503">
        <f t="shared" si="132"/>
        <v>0</v>
      </c>
      <c r="Q288" s="503">
        <f t="shared" si="133"/>
        <v>0</v>
      </c>
      <c r="R288" s="503">
        <f t="shared" si="134"/>
        <v>0</v>
      </c>
      <c r="S288" s="221">
        <f>+G288*E288</f>
        <v>24</v>
      </c>
    </row>
    <row r="289" spans="1:19">
      <c r="A289" s="505"/>
      <c r="B289" s="511" t="s">
        <v>787</v>
      </c>
      <c r="C289" s="507">
        <v>10</v>
      </c>
      <c r="D289" s="508">
        <v>75</v>
      </c>
      <c r="E289" s="507">
        <f>+E288</f>
        <v>4</v>
      </c>
      <c r="F289" s="502">
        <v>2</v>
      </c>
      <c r="G289" s="502">
        <f>+ROUND(600/D289,0)</f>
        <v>8</v>
      </c>
      <c r="H289" s="503"/>
      <c r="I289" s="503">
        <f>2*(0.2+0.5)+24*0.01</f>
        <v>1.64</v>
      </c>
      <c r="J289" s="509"/>
      <c r="K289" s="509"/>
      <c r="L289" s="503">
        <f t="shared" si="172"/>
        <v>1.64</v>
      </c>
      <c r="M289" s="503">
        <f t="shared" si="129"/>
        <v>0</v>
      </c>
      <c r="N289" s="503">
        <f t="shared" si="130"/>
        <v>104.96</v>
      </c>
      <c r="O289" s="503">
        <f t="shared" si="131"/>
        <v>0</v>
      </c>
      <c r="P289" s="503">
        <f t="shared" si="132"/>
        <v>0</v>
      </c>
      <c r="Q289" s="503">
        <f t="shared" si="133"/>
        <v>0</v>
      </c>
      <c r="R289" s="503">
        <f t="shared" si="134"/>
        <v>0</v>
      </c>
    </row>
    <row r="290" spans="1:19">
      <c r="A290" s="505"/>
      <c r="B290" s="511"/>
      <c r="C290" s="507">
        <v>10</v>
      </c>
      <c r="D290" s="508">
        <v>75</v>
      </c>
      <c r="E290" s="507">
        <f t="shared" ref="E290:E294" si="173">+E289</f>
        <v>4</v>
      </c>
      <c r="F290" s="502">
        <v>2</v>
      </c>
      <c r="G290" s="502">
        <f t="shared" ref="G290:G291" si="174">+ROUND(600/D290,0)</f>
        <v>8</v>
      </c>
      <c r="H290" s="503"/>
      <c r="I290" s="503">
        <f>2*(0.2+0.115)+24*0.01</f>
        <v>0.87</v>
      </c>
      <c r="J290" s="509"/>
      <c r="K290" s="509"/>
      <c r="L290" s="503">
        <f t="shared" si="172"/>
        <v>0.87</v>
      </c>
      <c r="M290" s="503">
        <f t="shared" si="129"/>
        <v>0</v>
      </c>
      <c r="N290" s="503">
        <f t="shared" si="130"/>
        <v>55.68</v>
      </c>
      <c r="O290" s="503">
        <f t="shared" si="131"/>
        <v>0</v>
      </c>
      <c r="P290" s="503">
        <f t="shared" si="132"/>
        <v>0</v>
      </c>
      <c r="Q290" s="503">
        <f t="shared" si="133"/>
        <v>0</v>
      </c>
      <c r="R290" s="503">
        <f t="shared" si="134"/>
        <v>0</v>
      </c>
    </row>
    <row r="291" spans="1:19">
      <c r="A291" s="505"/>
      <c r="B291" s="511"/>
      <c r="C291" s="507">
        <v>10</v>
      </c>
      <c r="D291" s="508">
        <v>75</v>
      </c>
      <c r="E291" s="507">
        <f t="shared" si="173"/>
        <v>4</v>
      </c>
      <c r="F291" s="502">
        <f>2*2</f>
        <v>4</v>
      </c>
      <c r="G291" s="502">
        <f t="shared" si="174"/>
        <v>8</v>
      </c>
      <c r="H291" s="503"/>
      <c r="I291" s="503">
        <f>+(0.168+0.168+0.2)+20*0.01</f>
        <v>0.73599999999999999</v>
      </c>
      <c r="J291" s="509"/>
      <c r="K291" s="509"/>
      <c r="L291" s="503">
        <f t="shared" si="172"/>
        <v>0.73599999999999999</v>
      </c>
      <c r="M291" s="503">
        <f t="shared" si="129"/>
        <v>0</v>
      </c>
      <c r="N291" s="503">
        <f t="shared" si="130"/>
        <v>94.21</v>
      </c>
      <c r="O291" s="503">
        <f t="shared" si="131"/>
        <v>0</v>
      </c>
      <c r="P291" s="503">
        <f t="shared" si="132"/>
        <v>0</v>
      </c>
      <c r="Q291" s="503">
        <f t="shared" si="133"/>
        <v>0</v>
      </c>
      <c r="R291" s="503">
        <f t="shared" si="134"/>
        <v>0</v>
      </c>
    </row>
    <row r="292" spans="1:19">
      <c r="A292" s="505"/>
      <c r="B292" s="511" t="s">
        <v>788</v>
      </c>
      <c r="C292" s="507">
        <v>8</v>
      </c>
      <c r="D292" s="508">
        <v>150</v>
      </c>
      <c r="E292" s="507">
        <f t="shared" si="173"/>
        <v>4</v>
      </c>
      <c r="F292" s="502">
        <v>1</v>
      </c>
      <c r="G292" s="502">
        <f t="shared" ref="G292:G294" si="175">+ROUND(1400/D292+1,0)</f>
        <v>10</v>
      </c>
      <c r="H292" s="503"/>
      <c r="I292" s="503">
        <f>2*(0.204+0.504)+24*0.008</f>
        <v>1.6079999999999999</v>
      </c>
      <c r="J292" s="509"/>
      <c r="K292" s="509"/>
      <c r="L292" s="503">
        <f t="shared" si="172"/>
        <v>1.6079999999999999</v>
      </c>
      <c r="M292" s="503">
        <f t="shared" si="129"/>
        <v>64.319999999999993</v>
      </c>
      <c r="N292" s="503">
        <f t="shared" si="130"/>
        <v>0</v>
      </c>
      <c r="O292" s="503">
        <f t="shared" si="131"/>
        <v>0</v>
      </c>
      <c r="P292" s="503">
        <f t="shared" si="132"/>
        <v>0</v>
      </c>
      <c r="Q292" s="503">
        <f t="shared" si="133"/>
        <v>0</v>
      </c>
      <c r="R292" s="503">
        <f t="shared" si="134"/>
        <v>0</v>
      </c>
    </row>
    <row r="293" spans="1:19">
      <c r="A293" s="505"/>
      <c r="B293" s="511"/>
      <c r="C293" s="507">
        <v>8</v>
      </c>
      <c r="D293" s="508">
        <v>150</v>
      </c>
      <c r="E293" s="507">
        <f t="shared" si="173"/>
        <v>4</v>
      </c>
      <c r="F293" s="502">
        <v>1</v>
      </c>
      <c r="G293" s="502">
        <f t="shared" si="175"/>
        <v>10</v>
      </c>
      <c r="H293" s="503"/>
      <c r="I293" s="503">
        <f>2*(0.204+0.115)+24*0.008</f>
        <v>0.83000000000000007</v>
      </c>
      <c r="J293" s="509"/>
      <c r="K293" s="509"/>
      <c r="L293" s="503">
        <f t="shared" si="172"/>
        <v>0.83000000000000007</v>
      </c>
      <c r="M293" s="503">
        <f t="shared" si="129"/>
        <v>33.200000000000003</v>
      </c>
      <c r="N293" s="503">
        <f t="shared" si="130"/>
        <v>0</v>
      </c>
      <c r="O293" s="503">
        <f t="shared" si="131"/>
        <v>0</v>
      </c>
      <c r="P293" s="503">
        <f t="shared" si="132"/>
        <v>0</v>
      </c>
      <c r="Q293" s="503">
        <f t="shared" si="133"/>
        <v>0</v>
      </c>
      <c r="R293" s="503">
        <f t="shared" si="134"/>
        <v>0</v>
      </c>
    </row>
    <row r="294" spans="1:19">
      <c r="A294" s="505"/>
      <c r="B294" s="511"/>
      <c r="C294" s="507">
        <v>8</v>
      </c>
      <c r="D294" s="508">
        <v>150</v>
      </c>
      <c r="E294" s="507">
        <f t="shared" si="173"/>
        <v>4</v>
      </c>
      <c r="F294" s="502">
        <v>2</v>
      </c>
      <c r="G294" s="502">
        <f t="shared" si="175"/>
        <v>10</v>
      </c>
      <c r="H294" s="503"/>
      <c r="I294" s="503">
        <f>+(0.168+0.168+0.204)+20*0.008</f>
        <v>0.70000000000000007</v>
      </c>
      <c r="J294" s="509"/>
      <c r="K294" s="509"/>
      <c r="L294" s="503">
        <f t="shared" si="172"/>
        <v>0.70000000000000007</v>
      </c>
      <c r="M294" s="503">
        <f t="shared" si="129"/>
        <v>56</v>
      </c>
      <c r="N294" s="503">
        <f t="shared" si="130"/>
        <v>0</v>
      </c>
      <c r="O294" s="503">
        <f t="shared" si="131"/>
        <v>0</v>
      </c>
      <c r="P294" s="503">
        <f t="shared" si="132"/>
        <v>0</v>
      </c>
      <c r="Q294" s="503">
        <f t="shared" si="133"/>
        <v>0</v>
      </c>
      <c r="R294" s="503">
        <f t="shared" si="134"/>
        <v>0</v>
      </c>
    </row>
    <row r="295" spans="1:19">
      <c r="A295" s="530"/>
      <c r="B295" s="506" t="s">
        <v>925</v>
      </c>
      <c r="C295" s="507">
        <v>20</v>
      </c>
      <c r="D295" s="508"/>
      <c r="E295" s="507">
        <v>10</v>
      </c>
      <c r="F295" s="502">
        <v>1</v>
      </c>
      <c r="G295" s="502">
        <v>14</v>
      </c>
      <c r="H295" s="503"/>
      <c r="I295" s="503">
        <v>2.95</v>
      </c>
      <c r="J295" s="509"/>
      <c r="K295" s="509">
        <f t="shared" ref="K295" si="176">1*36*C295/1000</f>
        <v>0.72</v>
      </c>
      <c r="L295" s="503">
        <f t="shared" si="172"/>
        <v>3.67</v>
      </c>
      <c r="M295" s="503">
        <f t="shared" si="129"/>
        <v>0</v>
      </c>
      <c r="N295" s="503">
        <f t="shared" si="130"/>
        <v>0</v>
      </c>
      <c r="O295" s="503">
        <f t="shared" si="131"/>
        <v>0</v>
      </c>
      <c r="P295" s="503">
        <f t="shared" si="132"/>
        <v>0</v>
      </c>
      <c r="Q295" s="503">
        <f t="shared" si="133"/>
        <v>513.79999999999995</v>
      </c>
      <c r="R295" s="503">
        <f t="shared" si="134"/>
        <v>0</v>
      </c>
      <c r="S295" s="221">
        <f>+G295*E295</f>
        <v>140</v>
      </c>
    </row>
    <row r="296" spans="1:19">
      <c r="A296" s="505"/>
      <c r="B296" s="511" t="s">
        <v>787</v>
      </c>
      <c r="C296" s="507">
        <v>10</v>
      </c>
      <c r="D296" s="508">
        <v>75</v>
      </c>
      <c r="E296" s="507">
        <f>+E295</f>
        <v>10</v>
      </c>
      <c r="F296" s="502">
        <v>2</v>
      </c>
      <c r="G296" s="502">
        <f>+ROUND(600/D296,0)</f>
        <v>8</v>
      </c>
      <c r="H296" s="503"/>
      <c r="I296" s="503">
        <f>2*(0.2+0.5)+24*0.01</f>
        <v>1.64</v>
      </c>
      <c r="J296" s="509"/>
      <c r="K296" s="509"/>
      <c r="L296" s="503">
        <f t="shared" si="172"/>
        <v>1.64</v>
      </c>
      <c r="M296" s="503">
        <f t="shared" si="129"/>
        <v>0</v>
      </c>
      <c r="N296" s="503">
        <f t="shared" si="130"/>
        <v>262.39999999999998</v>
      </c>
      <c r="O296" s="503">
        <f t="shared" si="131"/>
        <v>0</v>
      </c>
      <c r="P296" s="503">
        <f t="shared" si="132"/>
        <v>0</v>
      </c>
      <c r="Q296" s="503">
        <f t="shared" si="133"/>
        <v>0</v>
      </c>
      <c r="R296" s="503">
        <f t="shared" si="134"/>
        <v>0</v>
      </c>
    </row>
    <row r="297" spans="1:19">
      <c r="A297" s="505"/>
      <c r="B297" s="511"/>
      <c r="C297" s="507">
        <v>10</v>
      </c>
      <c r="D297" s="508">
        <v>75</v>
      </c>
      <c r="E297" s="507">
        <f t="shared" ref="E297:E301" si="177">+E296</f>
        <v>10</v>
      </c>
      <c r="F297" s="502">
        <v>2</v>
      </c>
      <c r="G297" s="502">
        <f t="shared" ref="G297:G298" si="178">+ROUND(600/D297,0)</f>
        <v>8</v>
      </c>
      <c r="H297" s="503"/>
      <c r="I297" s="503">
        <f>2*(0.2+0.115)+24*0.01</f>
        <v>0.87</v>
      </c>
      <c r="J297" s="509"/>
      <c r="K297" s="509"/>
      <c r="L297" s="503">
        <f t="shared" si="172"/>
        <v>0.87</v>
      </c>
      <c r="M297" s="503">
        <f t="shared" si="129"/>
        <v>0</v>
      </c>
      <c r="N297" s="503">
        <f t="shared" si="130"/>
        <v>139.19999999999999</v>
      </c>
      <c r="O297" s="503">
        <f t="shared" si="131"/>
        <v>0</v>
      </c>
      <c r="P297" s="503">
        <f t="shared" si="132"/>
        <v>0</v>
      </c>
      <c r="Q297" s="503">
        <f t="shared" si="133"/>
        <v>0</v>
      </c>
      <c r="R297" s="503">
        <f t="shared" si="134"/>
        <v>0</v>
      </c>
    </row>
    <row r="298" spans="1:19">
      <c r="A298" s="505"/>
      <c r="B298" s="511"/>
      <c r="C298" s="507">
        <v>10</v>
      </c>
      <c r="D298" s="508">
        <v>75</v>
      </c>
      <c r="E298" s="507">
        <f t="shared" si="177"/>
        <v>10</v>
      </c>
      <c r="F298" s="502">
        <f>2*2</f>
        <v>4</v>
      </c>
      <c r="G298" s="502">
        <f t="shared" si="178"/>
        <v>8</v>
      </c>
      <c r="H298" s="503"/>
      <c r="I298" s="503">
        <f>+(0.168+0.168+0.2)+20*0.01</f>
        <v>0.73599999999999999</v>
      </c>
      <c r="J298" s="509"/>
      <c r="K298" s="509"/>
      <c r="L298" s="503">
        <f t="shared" si="172"/>
        <v>0.73599999999999999</v>
      </c>
      <c r="M298" s="503">
        <f t="shared" si="129"/>
        <v>0</v>
      </c>
      <c r="N298" s="503">
        <f t="shared" si="130"/>
        <v>235.52</v>
      </c>
      <c r="O298" s="503">
        <f t="shared" si="131"/>
        <v>0</v>
      </c>
      <c r="P298" s="503">
        <f t="shared" si="132"/>
        <v>0</v>
      </c>
      <c r="Q298" s="503">
        <f t="shared" si="133"/>
        <v>0</v>
      </c>
      <c r="R298" s="503">
        <f t="shared" si="134"/>
        <v>0</v>
      </c>
    </row>
    <row r="299" spans="1:19">
      <c r="A299" s="505"/>
      <c r="B299" s="511" t="s">
        <v>788</v>
      </c>
      <c r="C299" s="507">
        <v>8</v>
      </c>
      <c r="D299" s="508">
        <v>150</v>
      </c>
      <c r="E299" s="507">
        <f t="shared" si="177"/>
        <v>10</v>
      </c>
      <c r="F299" s="502">
        <v>1</v>
      </c>
      <c r="G299" s="502">
        <f t="shared" ref="G299:G301" si="179">+ROUND(1400/D299+1,0)</f>
        <v>10</v>
      </c>
      <c r="H299" s="503"/>
      <c r="I299" s="503">
        <f>2*(0.204+0.504)+24*0.008</f>
        <v>1.6079999999999999</v>
      </c>
      <c r="J299" s="509"/>
      <c r="K299" s="509"/>
      <c r="L299" s="503">
        <f t="shared" si="172"/>
        <v>1.6079999999999999</v>
      </c>
      <c r="M299" s="503">
        <f t="shared" si="129"/>
        <v>160.80000000000001</v>
      </c>
      <c r="N299" s="503">
        <f t="shared" si="130"/>
        <v>0</v>
      </c>
      <c r="O299" s="503">
        <f t="shared" si="131"/>
        <v>0</v>
      </c>
      <c r="P299" s="503">
        <f t="shared" si="132"/>
        <v>0</v>
      </c>
      <c r="Q299" s="503">
        <f t="shared" si="133"/>
        <v>0</v>
      </c>
      <c r="R299" s="503">
        <f t="shared" si="134"/>
        <v>0</v>
      </c>
    </row>
    <row r="300" spans="1:19">
      <c r="A300" s="505"/>
      <c r="B300" s="511"/>
      <c r="C300" s="507">
        <v>8</v>
      </c>
      <c r="D300" s="508">
        <v>150</v>
      </c>
      <c r="E300" s="507">
        <f t="shared" si="177"/>
        <v>10</v>
      </c>
      <c r="F300" s="502">
        <v>1</v>
      </c>
      <c r="G300" s="502">
        <f t="shared" si="179"/>
        <v>10</v>
      </c>
      <c r="H300" s="503"/>
      <c r="I300" s="503">
        <f>2*(0.204+0.115)+24*0.008</f>
        <v>0.83000000000000007</v>
      </c>
      <c r="J300" s="509"/>
      <c r="K300" s="509"/>
      <c r="L300" s="503">
        <f t="shared" si="172"/>
        <v>0.83000000000000007</v>
      </c>
      <c r="M300" s="503">
        <f t="shared" si="129"/>
        <v>83</v>
      </c>
      <c r="N300" s="503">
        <f t="shared" si="130"/>
        <v>0</v>
      </c>
      <c r="O300" s="503">
        <f t="shared" si="131"/>
        <v>0</v>
      </c>
      <c r="P300" s="503">
        <f t="shared" si="132"/>
        <v>0</v>
      </c>
      <c r="Q300" s="503">
        <f t="shared" si="133"/>
        <v>0</v>
      </c>
      <c r="R300" s="503">
        <f t="shared" si="134"/>
        <v>0</v>
      </c>
    </row>
    <row r="301" spans="1:19">
      <c r="A301" s="505"/>
      <c r="B301" s="511"/>
      <c r="C301" s="507">
        <v>8</v>
      </c>
      <c r="D301" s="508">
        <v>150</v>
      </c>
      <c r="E301" s="507">
        <f t="shared" si="177"/>
        <v>10</v>
      </c>
      <c r="F301" s="502">
        <v>2</v>
      </c>
      <c r="G301" s="502">
        <f t="shared" si="179"/>
        <v>10</v>
      </c>
      <c r="H301" s="503"/>
      <c r="I301" s="503">
        <f>+(0.168+0.168+0.204)+20*0.008</f>
        <v>0.70000000000000007</v>
      </c>
      <c r="J301" s="509"/>
      <c r="K301" s="509"/>
      <c r="L301" s="503">
        <f t="shared" si="172"/>
        <v>0.70000000000000007</v>
      </c>
      <c r="M301" s="503">
        <f t="shared" si="129"/>
        <v>140</v>
      </c>
      <c r="N301" s="503">
        <f t="shared" si="130"/>
        <v>0</v>
      </c>
      <c r="O301" s="503">
        <f t="shared" si="131"/>
        <v>0</v>
      </c>
      <c r="P301" s="503">
        <f t="shared" si="132"/>
        <v>0</v>
      </c>
      <c r="Q301" s="503">
        <f t="shared" si="133"/>
        <v>0</v>
      </c>
      <c r="R301" s="503">
        <f t="shared" si="134"/>
        <v>0</v>
      </c>
    </row>
    <row r="302" spans="1:19">
      <c r="A302" s="530"/>
      <c r="B302" s="506" t="s">
        <v>926</v>
      </c>
      <c r="C302" s="507">
        <v>16</v>
      </c>
      <c r="D302" s="508"/>
      <c r="E302" s="507">
        <v>4</v>
      </c>
      <c r="F302" s="502">
        <v>1</v>
      </c>
      <c r="G302" s="502">
        <v>12</v>
      </c>
      <c r="H302" s="503"/>
      <c r="I302" s="503">
        <v>2.95</v>
      </c>
      <c r="J302" s="509"/>
      <c r="K302" s="509">
        <f t="shared" ref="K302:K303" si="180">1*36*C302/1000</f>
        <v>0.57599999999999996</v>
      </c>
      <c r="L302" s="503">
        <f t="shared" ref="L302:L311" si="181">SUM(H302:J302)+K302</f>
        <v>3.5260000000000002</v>
      </c>
      <c r="M302" s="503">
        <f t="shared" si="129"/>
        <v>0</v>
      </c>
      <c r="N302" s="503">
        <f t="shared" si="130"/>
        <v>0</v>
      </c>
      <c r="O302" s="503">
        <f t="shared" si="131"/>
        <v>0</v>
      </c>
      <c r="P302" s="503">
        <f t="shared" si="132"/>
        <v>169.25</v>
      </c>
      <c r="Q302" s="503">
        <f t="shared" si="133"/>
        <v>0</v>
      </c>
      <c r="R302" s="503">
        <f t="shared" si="134"/>
        <v>0</v>
      </c>
      <c r="S302" s="221">
        <f>+G302*E302</f>
        <v>48</v>
      </c>
    </row>
    <row r="303" spans="1:19">
      <c r="A303" s="505"/>
      <c r="B303" s="511"/>
      <c r="C303" s="507">
        <v>12</v>
      </c>
      <c r="D303" s="508"/>
      <c r="E303" s="507">
        <f>+E302</f>
        <v>4</v>
      </c>
      <c r="F303" s="502">
        <v>1</v>
      </c>
      <c r="G303" s="502">
        <v>4</v>
      </c>
      <c r="H303" s="503"/>
      <c r="I303" s="503">
        <v>2.95</v>
      </c>
      <c r="J303" s="509"/>
      <c r="K303" s="509">
        <f t="shared" si="180"/>
        <v>0.432</v>
      </c>
      <c r="L303" s="503">
        <f t="shared" si="181"/>
        <v>3.3820000000000001</v>
      </c>
      <c r="M303" s="503">
        <f t="shared" si="129"/>
        <v>0</v>
      </c>
      <c r="N303" s="503">
        <f t="shared" si="130"/>
        <v>0</v>
      </c>
      <c r="O303" s="503">
        <f t="shared" si="131"/>
        <v>54.11</v>
      </c>
      <c r="P303" s="503">
        <f t="shared" si="132"/>
        <v>0</v>
      </c>
      <c r="Q303" s="503">
        <f t="shared" si="133"/>
        <v>0</v>
      </c>
      <c r="R303" s="503">
        <f t="shared" si="134"/>
        <v>0</v>
      </c>
      <c r="S303" s="221">
        <f>+G303*E303</f>
        <v>16</v>
      </c>
    </row>
    <row r="304" spans="1:19">
      <c r="A304" s="505"/>
      <c r="B304" s="511" t="s">
        <v>787</v>
      </c>
      <c r="C304" s="507">
        <v>10</v>
      </c>
      <c r="D304" s="508">
        <v>75</v>
      </c>
      <c r="E304" s="507">
        <f t="shared" ref="E304:E311" si="182">+E303</f>
        <v>4</v>
      </c>
      <c r="F304" s="502">
        <v>2</v>
      </c>
      <c r="G304" s="502">
        <f>+ROUND(715/D304,0)</f>
        <v>10</v>
      </c>
      <c r="H304" s="503"/>
      <c r="I304" s="503">
        <f>2*(0.2+0.615)+24*0.01</f>
        <v>1.8699999999999999</v>
      </c>
      <c r="J304" s="509"/>
      <c r="K304" s="509"/>
      <c r="L304" s="503">
        <f t="shared" si="181"/>
        <v>1.8699999999999999</v>
      </c>
      <c r="M304" s="503">
        <f t="shared" si="129"/>
        <v>0</v>
      </c>
      <c r="N304" s="503">
        <f t="shared" si="130"/>
        <v>149.6</v>
      </c>
      <c r="O304" s="503">
        <f t="shared" si="131"/>
        <v>0</v>
      </c>
      <c r="P304" s="503">
        <f t="shared" si="132"/>
        <v>0</v>
      </c>
      <c r="Q304" s="503">
        <f t="shared" si="133"/>
        <v>0</v>
      </c>
      <c r="R304" s="503">
        <f t="shared" si="134"/>
        <v>0</v>
      </c>
    </row>
    <row r="305" spans="1:18">
      <c r="A305" s="505"/>
      <c r="B305" s="511"/>
      <c r="C305" s="507">
        <v>10</v>
      </c>
      <c r="D305" s="508">
        <v>75</v>
      </c>
      <c r="E305" s="507">
        <f t="shared" si="182"/>
        <v>4</v>
      </c>
      <c r="F305" s="502">
        <v>2</v>
      </c>
      <c r="G305" s="502">
        <f t="shared" ref="G305:G307" si="183">+ROUND(715/D305,0)</f>
        <v>10</v>
      </c>
      <c r="H305" s="503"/>
      <c r="I305" s="503">
        <f>2*(0.2+0.216)+24*0.01</f>
        <v>1.0720000000000001</v>
      </c>
      <c r="J305" s="509"/>
      <c r="K305" s="509"/>
      <c r="L305" s="503">
        <f t="shared" si="181"/>
        <v>1.0720000000000001</v>
      </c>
      <c r="M305" s="503">
        <f t="shared" si="129"/>
        <v>0</v>
      </c>
      <c r="N305" s="503">
        <f t="shared" si="130"/>
        <v>85.76</v>
      </c>
      <c r="O305" s="503">
        <f t="shared" si="131"/>
        <v>0</v>
      </c>
      <c r="P305" s="503">
        <f t="shared" si="132"/>
        <v>0</v>
      </c>
      <c r="Q305" s="503">
        <f t="shared" si="133"/>
        <v>0</v>
      </c>
      <c r="R305" s="503">
        <f t="shared" si="134"/>
        <v>0</v>
      </c>
    </row>
    <row r="306" spans="1:18">
      <c r="A306" s="505"/>
      <c r="B306" s="511"/>
      <c r="C306" s="507">
        <v>10</v>
      </c>
      <c r="D306" s="508">
        <v>75</v>
      </c>
      <c r="E306" s="507">
        <f t="shared" si="182"/>
        <v>4</v>
      </c>
      <c r="F306" s="502">
        <f>2*2</f>
        <v>4</v>
      </c>
      <c r="G306" s="502">
        <f t="shared" si="183"/>
        <v>10</v>
      </c>
      <c r="H306" s="503"/>
      <c r="I306" s="503">
        <f>+(0.168+0.168+0.2)+20*0.01</f>
        <v>0.73599999999999999</v>
      </c>
      <c r="J306" s="509"/>
      <c r="K306" s="509"/>
      <c r="L306" s="503">
        <f t="shared" si="181"/>
        <v>0.73599999999999999</v>
      </c>
      <c r="M306" s="503">
        <f t="shared" si="129"/>
        <v>0</v>
      </c>
      <c r="N306" s="503">
        <f t="shared" si="130"/>
        <v>117.76</v>
      </c>
      <c r="O306" s="503">
        <f t="shared" si="131"/>
        <v>0</v>
      </c>
      <c r="P306" s="503">
        <f t="shared" si="132"/>
        <v>0</v>
      </c>
      <c r="Q306" s="503">
        <f t="shared" si="133"/>
        <v>0</v>
      </c>
      <c r="R306" s="503">
        <f t="shared" si="134"/>
        <v>0</v>
      </c>
    </row>
    <row r="307" spans="1:18">
      <c r="A307" s="505"/>
      <c r="B307" s="511"/>
      <c r="C307" s="507">
        <v>10</v>
      </c>
      <c r="D307" s="508">
        <v>75</v>
      </c>
      <c r="E307" s="507">
        <f t="shared" si="182"/>
        <v>4</v>
      </c>
      <c r="F307" s="502">
        <v>2</v>
      </c>
      <c r="G307" s="502">
        <f t="shared" si="183"/>
        <v>10</v>
      </c>
      <c r="H307" s="503"/>
      <c r="I307" s="503">
        <f>0.2+2*10*0.01</f>
        <v>0.4</v>
      </c>
      <c r="J307" s="509"/>
      <c r="K307" s="509"/>
      <c r="L307" s="503">
        <f t="shared" si="181"/>
        <v>0.4</v>
      </c>
      <c r="M307" s="503">
        <f t="shared" si="129"/>
        <v>0</v>
      </c>
      <c r="N307" s="503">
        <f t="shared" si="130"/>
        <v>32</v>
      </c>
      <c r="O307" s="503">
        <f t="shared" si="131"/>
        <v>0</v>
      </c>
      <c r="P307" s="503">
        <f t="shared" si="132"/>
        <v>0</v>
      </c>
      <c r="Q307" s="503">
        <f t="shared" si="133"/>
        <v>0</v>
      </c>
      <c r="R307" s="503">
        <f t="shared" si="134"/>
        <v>0</v>
      </c>
    </row>
    <row r="308" spans="1:18">
      <c r="A308" s="505"/>
      <c r="B308" s="511" t="s">
        <v>788</v>
      </c>
      <c r="C308" s="507">
        <v>8</v>
      </c>
      <c r="D308" s="508">
        <v>150</v>
      </c>
      <c r="E308" s="507">
        <f t="shared" si="182"/>
        <v>4</v>
      </c>
      <c r="F308" s="502">
        <v>1</v>
      </c>
      <c r="G308" s="502">
        <f>+ROUND(1170/D308+1,0)</f>
        <v>9</v>
      </c>
      <c r="H308" s="503"/>
      <c r="I308" s="503">
        <f>2*(0.204+0.619)+24*0.01</f>
        <v>1.8859999999999999</v>
      </c>
      <c r="J308" s="509"/>
      <c r="K308" s="509"/>
      <c r="L308" s="503">
        <f t="shared" si="181"/>
        <v>1.8859999999999999</v>
      </c>
      <c r="M308" s="503">
        <f t="shared" si="129"/>
        <v>67.900000000000006</v>
      </c>
      <c r="N308" s="503">
        <f t="shared" si="130"/>
        <v>0</v>
      </c>
      <c r="O308" s="503">
        <f t="shared" si="131"/>
        <v>0</v>
      </c>
      <c r="P308" s="503">
        <f t="shared" si="132"/>
        <v>0</v>
      </c>
      <c r="Q308" s="503">
        <f t="shared" si="133"/>
        <v>0</v>
      </c>
      <c r="R308" s="503">
        <f t="shared" si="134"/>
        <v>0</v>
      </c>
    </row>
    <row r="309" spans="1:18">
      <c r="A309" s="505"/>
      <c r="B309" s="511"/>
      <c r="C309" s="507">
        <v>8</v>
      </c>
      <c r="D309" s="508">
        <v>150</v>
      </c>
      <c r="E309" s="507">
        <f t="shared" si="182"/>
        <v>4</v>
      </c>
      <c r="F309" s="502">
        <v>1</v>
      </c>
      <c r="G309" s="502">
        <f t="shared" ref="G309:G311" si="184">+ROUND(1170/D309+1,0)</f>
        <v>9</v>
      </c>
      <c r="H309" s="503"/>
      <c r="I309" s="503">
        <f>2*(0.204+0.217)+24*0.01</f>
        <v>1.0819999999999999</v>
      </c>
      <c r="J309" s="509"/>
      <c r="K309" s="509"/>
      <c r="L309" s="503">
        <f t="shared" si="181"/>
        <v>1.0819999999999999</v>
      </c>
      <c r="M309" s="503">
        <f t="shared" si="129"/>
        <v>38.950000000000003</v>
      </c>
      <c r="N309" s="503">
        <f t="shared" si="130"/>
        <v>0</v>
      </c>
      <c r="O309" s="503">
        <f t="shared" si="131"/>
        <v>0</v>
      </c>
      <c r="P309" s="503">
        <f t="shared" si="132"/>
        <v>0</v>
      </c>
      <c r="Q309" s="503">
        <f t="shared" si="133"/>
        <v>0</v>
      </c>
      <c r="R309" s="503">
        <f t="shared" si="134"/>
        <v>0</v>
      </c>
    </row>
    <row r="310" spans="1:18">
      <c r="A310" s="505"/>
      <c r="B310" s="511"/>
      <c r="C310" s="507">
        <v>8</v>
      </c>
      <c r="D310" s="508">
        <v>150</v>
      </c>
      <c r="E310" s="507">
        <f t="shared" si="182"/>
        <v>4</v>
      </c>
      <c r="F310" s="502">
        <v>2</v>
      </c>
      <c r="G310" s="502">
        <f t="shared" si="184"/>
        <v>9</v>
      </c>
      <c r="H310" s="503"/>
      <c r="I310" s="503">
        <f>+(0.168+0.168+0.204)+20*0.01</f>
        <v>0.74</v>
      </c>
      <c r="J310" s="509"/>
      <c r="K310" s="509"/>
      <c r="L310" s="503">
        <f t="shared" si="181"/>
        <v>0.74</v>
      </c>
      <c r="M310" s="503">
        <f t="shared" si="129"/>
        <v>53.28</v>
      </c>
      <c r="N310" s="503">
        <f t="shared" si="130"/>
        <v>0</v>
      </c>
      <c r="O310" s="503">
        <f t="shared" si="131"/>
        <v>0</v>
      </c>
      <c r="P310" s="503">
        <f t="shared" si="132"/>
        <v>0</v>
      </c>
      <c r="Q310" s="503">
        <f t="shared" si="133"/>
        <v>0</v>
      </c>
      <c r="R310" s="503">
        <f t="shared" si="134"/>
        <v>0</v>
      </c>
    </row>
    <row r="311" spans="1:18">
      <c r="A311" s="505"/>
      <c r="B311" s="511"/>
      <c r="C311" s="507">
        <v>8</v>
      </c>
      <c r="D311" s="508">
        <v>150</v>
      </c>
      <c r="E311" s="507">
        <f t="shared" si="182"/>
        <v>4</v>
      </c>
      <c r="F311" s="502">
        <v>1</v>
      </c>
      <c r="G311" s="502">
        <f t="shared" si="184"/>
        <v>9</v>
      </c>
      <c r="H311" s="503"/>
      <c r="I311" s="503">
        <f>0.204+2*10*0.01</f>
        <v>0.40400000000000003</v>
      </c>
      <c r="J311" s="509"/>
      <c r="K311" s="509"/>
      <c r="L311" s="503">
        <f t="shared" si="181"/>
        <v>0.40400000000000003</v>
      </c>
      <c r="M311" s="503">
        <f t="shared" si="129"/>
        <v>14.54</v>
      </c>
      <c r="N311" s="503">
        <f t="shared" si="130"/>
        <v>0</v>
      </c>
      <c r="O311" s="503">
        <f t="shared" si="131"/>
        <v>0</v>
      </c>
      <c r="P311" s="503">
        <f t="shared" si="132"/>
        <v>0</v>
      </c>
      <c r="Q311" s="503">
        <f t="shared" si="133"/>
        <v>0</v>
      </c>
      <c r="R311" s="503">
        <f t="shared" si="134"/>
        <v>0</v>
      </c>
    </row>
    <row r="312" spans="1:18">
      <c r="A312" s="505"/>
      <c r="B312" s="506" t="s">
        <v>845</v>
      </c>
      <c r="C312" s="507"/>
      <c r="D312" s="508"/>
      <c r="E312" s="507"/>
      <c r="F312" s="502"/>
      <c r="G312" s="502"/>
      <c r="H312" s="503"/>
      <c r="I312" s="503"/>
      <c r="J312" s="509"/>
      <c r="K312" s="509"/>
      <c r="L312" s="503">
        <f t="shared" si="149"/>
        <v>0</v>
      </c>
      <c r="M312" s="503">
        <f t="shared" si="129"/>
        <v>0</v>
      </c>
      <c r="N312" s="503">
        <f t="shared" si="130"/>
        <v>0</v>
      </c>
      <c r="O312" s="503">
        <f t="shared" si="131"/>
        <v>0</v>
      </c>
      <c r="P312" s="503">
        <f t="shared" si="132"/>
        <v>0</v>
      </c>
      <c r="Q312" s="503">
        <f t="shared" si="133"/>
        <v>0</v>
      </c>
      <c r="R312" s="503">
        <f t="shared" si="134"/>
        <v>0</v>
      </c>
    </row>
    <row r="313" spans="1:18">
      <c r="A313" s="505"/>
      <c r="B313" s="506" t="s">
        <v>796</v>
      </c>
      <c r="C313" s="507">
        <v>16</v>
      </c>
      <c r="D313" s="508"/>
      <c r="E313" s="507">
        <v>2</v>
      </c>
      <c r="F313" s="502">
        <v>1</v>
      </c>
      <c r="G313" s="502">
        <v>8</v>
      </c>
      <c r="H313" s="503"/>
      <c r="I313" s="503">
        <f t="shared" ref="I313:I315" si="185">106.2-103.25</f>
        <v>2.9500000000000028</v>
      </c>
      <c r="J313" s="509"/>
      <c r="K313" s="509">
        <f t="shared" ref="K313:K315" si="186">1*36*C313/1000</f>
        <v>0.57599999999999996</v>
      </c>
      <c r="L313" s="503">
        <f t="shared" si="149"/>
        <v>3.5260000000000029</v>
      </c>
      <c r="M313" s="503">
        <f t="shared" si="129"/>
        <v>0</v>
      </c>
      <c r="N313" s="503">
        <f t="shared" si="130"/>
        <v>0</v>
      </c>
      <c r="O313" s="503">
        <f t="shared" si="131"/>
        <v>0</v>
      </c>
      <c r="P313" s="503">
        <f t="shared" si="132"/>
        <v>56.42</v>
      </c>
      <c r="Q313" s="503">
        <f t="shared" si="133"/>
        <v>0</v>
      </c>
      <c r="R313" s="503">
        <f t="shared" si="134"/>
        <v>0</v>
      </c>
    </row>
    <row r="314" spans="1:18">
      <c r="A314" s="505"/>
      <c r="B314" s="511"/>
      <c r="C314" s="507">
        <v>12</v>
      </c>
      <c r="D314" s="508"/>
      <c r="E314" s="507">
        <v>2</v>
      </c>
      <c r="F314" s="502">
        <v>1</v>
      </c>
      <c r="G314" s="502">
        <v>16</v>
      </c>
      <c r="H314" s="503"/>
      <c r="I314" s="503">
        <f t="shared" si="185"/>
        <v>2.9500000000000028</v>
      </c>
      <c r="J314" s="509"/>
      <c r="K314" s="509">
        <f t="shared" si="186"/>
        <v>0.432</v>
      </c>
      <c r="L314" s="503">
        <f t="shared" si="149"/>
        <v>3.3820000000000028</v>
      </c>
      <c r="M314" s="503">
        <f t="shared" si="129"/>
        <v>0</v>
      </c>
      <c r="N314" s="503">
        <f t="shared" si="130"/>
        <v>0</v>
      </c>
      <c r="O314" s="503">
        <f t="shared" si="131"/>
        <v>108.22</v>
      </c>
      <c r="P314" s="503">
        <f t="shared" si="132"/>
        <v>0</v>
      </c>
      <c r="Q314" s="503">
        <f t="shared" si="133"/>
        <v>0</v>
      </c>
      <c r="R314" s="503">
        <f t="shared" si="134"/>
        <v>0</v>
      </c>
    </row>
    <row r="315" spans="1:18">
      <c r="A315" s="505"/>
      <c r="B315" s="511"/>
      <c r="C315" s="507">
        <v>10</v>
      </c>
      <c r="D315" s="508"/>
      <c r="E315" s="507">
        <v>2</v>
      </c>
      <c r="F315" s="502">
        <v>1</v>
      </c>
      <c r="G315" s="502">
        <v>8</v>
      </c>
      <c r="H315" s="503"/>
      <c r="I315" s="503">
        <f t="shared" si="185"/>
        <v>2.9500000000000028</v>
      </c>
      <c r="J315" s="509"/>
      <c r="K315" s="509">
        <f t="shared" si="186"/>
        <v>0.36</v>
      </c>
      <c r="L315" s="503">
        <f t="shared" si="149"/>
        <v>3.3100000000000027</v>
      </c>
      <c r="M315" s="503">
        <f t="shared" si="129"/>
        <v>0</v>
      </c>
      <c r="N315" s="503">
        <f t="shared" si="130"/>
        <v>52.96</v>
      </c>
      <c r="O315" s="503">
        <f t="shared" si="131"/>
        <v>0</v>
      </c>
      <c r="P315" s="503">
        <f t="shared" si="132"/>
        <v>0</v>
      </c>
      <c r="Q315" s="503">
        <f t="shared" si="133"/>
        <v>0</v>
      </c>
      <c r="R315" s="503">
        <f t="shared" si="134"/>
        <v>0</v>
      </c>
    </row>
    <row r="316" spans="1:18">
      <c r="A316" s="505"/>
      <c r="B316" s="511" t="s">
        <v>797</v>
      </c>
      <c r="C316" s="507"/>
      <c r="D316" s="508"/>
      <c r="E316" s="507"/>
      <c r="F316" s="502"/>
      <c r="G316" s="502"/>
      <c r="H316" s="503"/>
      <c r="I316" s="503"/>
      <c r="J316" s="509"/>
      <c r="K316" s="509"/>
      <c r="L316" s="503">
        <f t="shared" si="149"/>
        <v>0</v>
      </c>
      <c r="M316" s="503">
        <f t="shared" si="129"/>
        <v>0</v>
      </c>
      <c r="N316" s="503">
        <f t="shared" si="130"/>
        <v>0</v>
      </c>
      <c r="O316" s="503">
        <f t="shared" si="131"/>
        <v>0</v>
      </c>
      <c r="P316" s="503">
        <f t="shared" si="132"/>
        <v>0</v>
      </c>
      <c r="Q316" s="503">
        <f t="shared" si="133"/>
        <v>0</v>
      </c>
      <c r="R316" s="503">
        <f t="shared" si="134"/>
        <v>0</v>
      </c>
    </row>
    <row r="317" spans="1:18">
      <c r="A317" s="505"/>
      <c r="B317" s="511" t="s">
        <v>810</v>
      </c>
      <c r="C317" s="507">
        <v>8</v>
      </c>
      <c r="D317" s="508">
        <v>100</v>
      </c>
      <c r="E317" s="507">
        <v>2</v>
      </c>
      <c r="F317" s="502">
        <v>1</v>
      </c>
      <c r="G317" s="502">
        <f>+ROUND(2450/D317+1,0)</f>
        <v>26</v>
      </c>
      <c r="H317" s="503"/>
      <c r="I317" s="503">
        <f>2*(0.18+0.6)+24*C317/1000</f>
        <v>1.752</v>
      </c>
      <c r="J317" s="509"/>
      <c r="K317" s="509"/>
      <c r="L317" s="503">
        <f t="shared" si="149"/>
        <v>1.752</v>
      </c>
      <c r="M317" s="503">
        <f t="shared" si="129"/>
        <v>91.1</v>
      </c>
      <c r="N317" s="503">
        <f t="shared" si="130"/>
        <v>0</v>
      </c>
      <c r="O317" s="503">
        <f t="shared" si="131"/>
        <v>0</v>
      </c>
      <c r="P317" s="503">
        <f t="shared" si="132"/>
        <v>0</v>
      </c>
      <c r="Q317" s="503">
        <f t="shared" si="133"/>
        <v>0</v>
      </c>
      <c r="R317" s="503">
        <f t="shared" si="134"/>
        <v>0</v>
      </c>
    </row>
    <row r="318" spans="1:18">
      <c r="A318" s="505"/>
      <c r="B318" s="511" t="s">
        <v>811</v>
      </c>
      <c r="C318" s="507">
        <v>8</v>
      </c>
      <c r="D318" s="508">
        <v>100</v>
      </c>
      <c r="E318" s="507">
        <v>2</v>
      </c>
      <c r="F318" s="502">
        <v>1</v>
      </c>
      <c r="G318" s="502">
        <f t="shared" ref="G318:G324" si="187">+ROUND(2450/D318+1,0)</f>
        <v>26</v>
      </c>
      <c r="H318" s="503"/>
      <c r="I318" s="503">
        <f>2*(0.18+0.248)+24*C318/1000</f>
        <v>1.048</v>
      </c>
      <c r="J318" s="509"/>
      <c r="K318" s="509"/>
      <c r="L318" s="503">
        <f t="shared" si="149"/>
        <v>1.048</v>
      </c>
      <c r="M318" s="503">
        <f t="shared" si="129"/>
        <v>54.5</v>
      </c>
      <c r="N318" s="503">
        <f t="shared" si="130"/>
        <v>0</v>
      </c>
      <c r="O318" s="503">
        <f t="shared" si="131"/>
        <v>0</v>
      </c>
      <c r="P318" s="503">
        <f t="shared" si="132"/>
        <v>0</v>
      </c>
      <c r="Q318" s="503">
        <f t="shared" si="133"/>
        <v>0</v>
      </c>
      <c r="R318" s="503">
        <f t="shared" si="134"/>
        <v>0</v>
      </c>
    </row>
    <row r="319" spans="1:18">
      <c r="A319" s="505"/>
      <c r="B319" s="511" t="s">
        <v>798</v>
      </c>
      <c r="C319" s="507">
        <v>8</v>
      </c>
      <c r="D319" s="508">
        <v>100</v>
      </c>
      <c r="E319" s="507">
        <v>2</v>
      </c>
      <c r="F319" s="502">
        <v>1</v>
      </c>
      <c r="G319" s="502">
        <f t="shared" si="187"/>
        <v>26</v>
      </c>
      <c r="H319" s="503"/>
      <c r="I319" s="503">
        <f>0.18+(20*C319/1000)</f>
        <v>0.33999999999999997</v>
      </c>
      <c r="J319" s="509"/>
      <c r="K319" s="509"/>
      <c r="L319" s="503">
        <f t="shared" si="149"/>
        <v>0.33999999999999997</v>
      </c>
      <c r="M319" s="503">
        <f t="shared" si="129"/>
        <v>17.68</v>
      </c>
      <c r="N319" s="503">
        <f t="shared" si="130"/>
        <v>0</v>
      </c>
      <c r="O319" s="503">
        <f t="shared" si="131"/>
        <v>0</v>
      </c>
      <c r="P319" s="503">
        <f t="shared" si="132"/>
        <v>0</v>
      </c>
      <c r="Q319" s="503">
        <f t="shared" si="133"/>
        <v>0</v>
      </c>
      <c r="R319" s="503">
        <f t="shared" si="134"/>
        <v>0</v>
      </c>
    </row>
    <row r="320" spans="1:18">
      <c r="A320" s="505"/>
      <c r="B320" s="511" t="s">
        <v>812</v>
      </c>
      <c r="C320" s="507">
        <v>8</v>
      </c>
      <c r="D320" s="508">
        <v>100</v>
      </c>
      <c r="E320" s="507">
        <v>2</v>
      </c>
      <c r="F320" s="502">
        <v>2</v>
      </c>
      <c r="G320" s="502">
        <f t="shared" si="187"/>
        <v>26</v>
      </c>
      <c r="H320" s="503"/>
      <c r="I320" s="503">
        <f>2*(0.18+0.385)+24*C320/1000</f>
        <v>1.3219999999999998</v>
      </c>
      <c r="J320" s="509"/>
      <c r="K320" s="509"/>
      <c r="L320" s="503">
        <f t="shared" si="149"/>
        <v>1.3219999999999998</v>
      </c>
      <c r="M320" s="503">
        <f t="shared" si="129"/>
        <v>137.49</v>
      </c>
      <c r="N320" s="503">
        <f t="shared" si="130"/>
        <v>0</v>
      </c>
      <c r="O320" s="503">
        <f t="shared" si="131"/>
        <v>0</v>
      </c>
      <c r="P320" s="503">
        <f t="shared" si="132"/>
        <v>0</v>
      </c>
      <c r="Q320" s="503">
        <f t="shared" si="133"/>
        <v>0</v>
      </c>
      <c r="R320" s="503">
        <f t="shared" si="134"/>
        <v>0</v>
      </c>
    </row>
    <row r="321" spans="1:18">
      <c r="A321" s="505"/>
      <c r="B321" s="511" t="s">
        <v>813</v>
      </c>
      <c r="C321" s="507">
        <v>8</v>
      </c>
      <c r="D321" s="508">
        <v>100</v>
      </c>
      <c r="E321" s="507">
        <v>2</v>
      </c>
      <c r="F321" s="502">
        <v>1</v>
      </c>
      <c r="G321" s="502">
        <f t="shared" si="187"/>
        <v>26</v>
      </c>
      <c r="H321" s="503"/>
      <c r="I321" s="503">
        <f>2*(0.18+0.268)+24*C321/1000</f>
        <v>1.0880000000000001</v>
      </c>
      <c r="J321" s="509"/>
      <c r="K321" s="509"/>
      <c r="L321" s="503">
        <f t="shared" si="149"/>
        <v>1.0880000000000001</v>
      </c>
      <c r="M321" s="503">
        <f t="shared" si="129"/>
        <v>56.58</v>
      </c>
      <c r="N321" s="503">
        <f t="shared" si="130"/>
        <v>0</v>
      </c>
      <c r="O321" s="503">
        <f t="shared" si="131"/>
        <v>0</v>
      </c>
      <c r="P321" s="503">
        <f t="shared" si="132"/>
        <v>0</v>
      </c>
      <c r="Q321" s="503">
        <f t="shared" si="133"/>
        <v>0</v>
      </c>
      <c r="R321" s="503">
        <f t="shared" si="134"/>
        <v>0</v>
      </c>
    </row>
    <row r="322" spans="1:18">
      <c r="A322" s="505"/>
      <c r="B322" s="511" t="s">
        <v>798</v>
      </c>
      <c r="C322" s="507">
        <v>8</v>
      </c>
      <c r="D322" s="508">
        <v>100</v>
      </c>
      <c r="E322" s="507">
        <v>2</v>
      </c>
      <c r="F322" s="502">
        <v>1</v>
      </c>
      <c r="G322" s="502">
        <f t="shared" si="187"/>
        <v>26</v>
      </c>
      <c r="H322" s="503"/>
      <c r="I322" s="503">
        <f>0.18+(20*C322/1000)</f>
        <v>0.33999999999999997</v>
      </c>
      <c r="J322" s="509"/>
      <c r="K322" s="509"/>
      <c r="L322" s="503">
        <f t="shared" si="149"/>
        <v>0.33999999999999997</v>
      </c>
      <c r="M322" s="503">
        <f t="shared" si="129"/>
        <v>17.68</v>
      </c>
      <c r="N322" s="503">
        <f t="shared" si="130"/>
        <v>0</v>
      </c>
      <c r="O322" s="503">
        <f t="shared" si="131"/>
        <v>0</v>
      </c>
      <c r="P322" s="503">
        <f t="shared" si="132"/>
        <v>0</v>
      </c>
      <c r="Q322" s="503">
        <f t="shared" si="133"/>
        <v>0</v>
      </c>
      <c r="R322" s="503">
        <f t="shared" si="134"/>
        <v>0</v>
      </c>
    </row>
    <row r="323" spans="1:18">
      <c r="A323" s="505"/>
      <c r="B323" s="511" t="s">
        <v>831</v>
      </c>
      <c r="C323" s="507">
        <v>8</v>
      </c>
      <c r="D323" s="508">
        <v>200</v>
      </c>
      <c r="E323" s="507">
        <v>2</v>
      </c>
      <c r="F323" s="502">
        <v>1</v>
      </c>
      <c r="G323" s="502">
        <f t="shared" si="187"/>
        <v>13</v>
      </c>
      <c r="H323" s="503"/>
      <c r="I323" s="503">
        <f>2*(0.18+0.866)+24*C323/1000</f>
        <v>2.2840000000000003</v>
      </c>
      <c r="J323" s="509"/>
      <c r="K323" s="509"/>
      <c r="L323" s="503">
        <f t="shared" si="149"/>
        <v>2.2840000000000003</v>
      </c>
      <c r="M323" s="503">
        <f t="shared" si="129"/>
        <v>59.38</v>
      </c>
      <c r="N323" s="503">
        <f t="shared" si="130"/>
        <v>0</v>
      </c>
      <c r="O323" s="503">
        <f t="shared" si="131"/>
        <v>0</v>
      </c>
      <c r="P323" s="503">
        <f t="shared" si="132"/>
        <v>0</v>
      </c>
      <c r="Q323" s="503">
        <f t="shared" si="133"/>
        <v>0</v>
      </c>
      <c r="R323" s="503">
        <f t="shared" si="134"/>
        <v>0</v>
      </c>
    </row>
    <row r="324" spans="1:18">
      <c r="A324" s="505"/>
      <c r="B324" s="511" t="s">
        <v>799</v>
      </c>
      <c r="C324" s="507">
        <v>8</v>
      </c>
      <c r="D324" s="508">
        <v>400</v>
      </c>
      <c r="E324" s="507">
        <v>2</v>
      </c>
      <c r="F324" s="502">
        <v>2</v>
      </c>
      <c r="G324" s="502">
        <f t="shared" si="187"/>
        <v>7</v>
      </c>
      <c r="H324" s="503"/>
      <c r="I324" s="503">
        <f>0.18+(20*C324/1000)</f>
        <v>0.33999999999999997</v>
      </c>
      <c r="J324" s="509"/>
      <c r="K324" s="509"/>
      <c r="L324" s="503">
        <f t="shared" si="149"/>
        <v>0.33999999999999997</v>
      </c>
      <c r="M324" s="503">
        <f t="shared" si="129"/>
        <v>9.52</v>
      </c>
      <c r="N324" s="503">
        <f t="shared" si="130"/>
        <v>0</v>
      </c>
      <c r="O324" s="503">
        <f t="shared" si="131"/>
        <v>0</v>
      </c>
      <c r="P324" s="503">
        <f t="shared" si="132"/>
        <v>0</v>
      </c>
      <c r="Q324" s="503">
        <f t="shared" si="133"/>
        <v>0</v>
      </c>
      <c r="R324" s="503">
        <f t="shared" si="134"/>
        <v>0</v>
      </c>
    </row>
    <row r="325" spans="1:18">
      <c r="A325" s="505"/>
      <c r="B325" s="506" t="s">
        <v>800</v>
      </c>
      <c r="C325" s="507">
        <v>16</v>
      </c>
      <c r="D325" s="508"/>
      <c r="E325" s="507">
        <v>2</v>
      </c>
      <c r="F325" s="502">
        <v>1</v>
      </c>
      <c r="G325" s="502">
        <v>8</v>
      </c>
      <c r="H325" s="503"/>
      <c r="I325" s="503">
        <f t="shared" ref="I325:I327" si="188">106.2-103.25</f>
        <v>2.9500000000000028</v>
      </c>
      <c r="J325" s="509"/>
      <c r="K325" s="509">
        <f t="shared" ref="K325:K327" si="189">1*36*C325/1000</f>
        <v>0.57599999999999996</v>
      </c>
      <c r="L325" s="503">
        <f t="shared" si="149"/>
        <v>3.5260000000000029</v>
      </c>
      <c r="M325" s="503">
        <f t="shared" si="129"/>
        <v>0</v>
      </c>
      <c r="N325" s="503">
        <f t="shared" si="130"/>
        <v>0</v>
      </c>
      <c r="O325" s="503">
        <f t="shared" si="131"/>
        <v>0</v>
      </c>
      <c r="P325" s="503">
        <f t="shared" si="132"/>
        <v>56.42</v>
      </c>
      <c r="Q325" s="503">
        <f t="shared" si="133"/>
        <v>0</v>
      </c>
      <c r="R325" s="503">
        <f t="shared" si="134"/>
        <v>0</v>
      </c>
    </row>
    <row r="326" spans="1:18">
      <c r="A326" s="505"/>
      <c r="B326" s="511"/>
      <c r="C326" s="507">
        <v>12</v>
      </c>
      <c r="D326" s="508"/>
      <c r="E326" s="507">
        <v>2</v>
      </c>
      <c r="F326" s="502">
        <v>1</v>
      </c>
      <c r="G326" s="502">
        <v>16</v>
      </c>
      <c r="H326" s="503"/>
      <c r="I326" s="503">
        <f t="shared" si="188"/>
        <v>2.9500000000000028</v>
      </c>
      <c r="J326" s="509"/>
      <c r="K326" s="509">
        <f t="shared" si="189"/>
        <v>0.432</v>
      </c>
      <c r="L326" s="503">
        <f t="shared" si="149"/>
        <v>3.3820000000000028</v>
      </c>
      <c r="M326" s="503">
        <f t="shared" si="129"/>
        <v>0</v>
      </c>
      <c r="N326" s="503">
        <f t="shared" si="130"/>
        <v>0</v>
      </c>
      <c r="O326" s="503">
        <f t="shared" si="131"/>
        <v>108.22</v>
      </c>
      <c r="P326" s="503">
        <f t="shared" si="132"/>
        <v>0</v>
      </c>
      <c r="Q326" s="503">
        <f t="shared" si="133"/>
        <v>0</v>
      </c>
      <c r="R326" s="503">
        <f t="shared" si="134"/>
        <v>0</v>
      </c>
    </row>
    <row r="327" spans="1:18">
      <c r="A327" s="505"/>
      <c r="B327" s="511"/>
      <c r="C327" s="507">
        <v>10</v>
      </c>
      <c r="D327" s="508"/>
      <c r="E327" s="507">
        <v>2</v>
      </c>
      <c r="F327" s="502">
        <v>1</v>
      </c>
      <c r="G327" s="502">
        <v>10</v>
      </c>
      <c r="H327" s="503"/>
      <c r="I327" s="503">
        <f t="shared" si="188"/>
        <v>2.9500000000000028</v>
      </c>
      <c r="J327" s="509"/>
      <c r="K327" s="509">
        <f t="shared" si="189"/>
        <v>0.36</v>
      </c>
      <c r="L327" s="503">
        <f t="shared" si="149"/>
        <v>3.3100000000000027</v>
      </c>
      <c r="M327" s="503">
        <f t="shared" si="129"/>
        <v>0</v>
      </c>
      <c r="N327" s="503">
        <f t="shared" si="130"/>
        <v>66.2</v>
      </c>
      <c r="O327" s="503">
        <f t="shared" si="131"/>
        <v>0</v>
      </c>
      <c r="P327" s="503">
        <f t="shared" si="132"/>
        <v>0</v>
      </c>
      <c r="Q327" s="503">
        <f t="shared" si="133"/>
        <v>0</v>
      </c>
      <c r="R327" s="503">
        <f t="shared" si="134"/>
        <v>0</v>
      </c>
    </row>
    <row r="328" spans="1:18">
      <c r="A328" s="505"/>
      <c r="B328" s="511" t="s">
        <v>797</v>
      </c>
      <c r="C328" s="507"/>
      <c r="D328" s="508"/>
      <c r="E328" s="507"/>
      <c r="F328" s="502"/>
      <c r="G328" s="502"/>
      <c r="H328" s="503"/>
      <c r="I328" s="503"/>
      <c r="J328" s="509"/>
      <c r="K328" s="509"/>
      <c r="L328" s="503">
        <f t="shared" si="149"/>
        <v>0</v>
      </c>
      <c r="M328" s="503">
        <f t="shared" si="129"/>
        <v>0</v>
      </c>
      <c r="N328" s="503">
        <f t="shared" si="130"/>
        <v>0</v>
      </c>
      <c r="O328" s="503">
        <f t="shared" si="131"/>
        <v>0</v>
      </c>
      <c r="P328" s="503">
        <f t="shared" si="132"/>
        <v>0</v>
      </c>
      <c r="Q328" s="503">
        <f t="shared" si="133"/>
        <v>0</v>
      </c>
      <c r="R328" s="503">
        <f t="shared" si="134"/>
        <v>0</v>
      </c>
    </row>
    <row r="329" spans="1:18">
      <c r="A329" s="505"/>
      <c r="B329" s="511" t="s">
        <v>810</v>
      </c>
      <c r="C329" s="507">
        <v>8</v>
      </c>
      <c r="D329" s="508">
        <v>100</v>
      </c>
      <c r="E329" s="507">
        <v>2</v>
      </c>
      <c r="F329" s="502">
        <v>1</v>
      </c>
      <c r="G329" s="502">
        <f t="shared" ref="G329:G336" si="190">+ROUND(2450/D329+1,0)</f>
        <v>26</v>
      </c>
      <c r="H329" s="503"/>
      <c r="I329" s="503">
        <f>2*(0.18+0.6)+24*C329/1000</f>
        <v>1.752</v>
      </c>
      <c r="J329" s="509"/>
      <c r="K329" s="509"/>
      <c r="L329" s="503">
        <f t="shared" si="149"/>
        <v>1.752</v>
      </c>
      <c r="M329" s="503">
        <f t="shared" si="129"/>
        <v>91.1</v>
      </c>
      <c r="N329" s="503">
        <f t="shared" si="130"/>
        <v>0</v>
      </c>
      <c r="O329" s="503">
        <f t="shared" si="131"/>
        <v>0</v>
      </c>
      <c r="P329" s="503">
        <f t="shared" si="132"/>
        <v>0</v>
      </c>
      <c r="Q329" s="503">
        <f t="shared" si="133"/>
        <v>0</v>
      </c>
      <c r="R329" s="503">
        <f t="shared" si="134"/>
        <v>0</v>
      </c>
    </row>
    <row r="330" spans="1:18">
      <c r="A330" s="505"/>
      <c r="B330" s="511" t="s">
        <v>811</v>
      </c>
      <c r="C330" s="507">
        <v>8</v>
      </c>
      <c r="D330" s="508">
        <v>100</v>
      </c>
      <c r="E330" s="507">
        <v>2</v>
      </c>
      <c r="F330" s="502">
        <v>1</v>
      </c>
      <c r="G330" s="502">
        <f t="shared" si="190"/>
        <v>26</v>
      </c>
      <c r="H330" s="503"/>
      <c r="I330" s="503">
        <f>2*(0.18+0.248)+24*C330/1000</f>
        <v>1.048</v>
      </c>
      <c r="J330" s="509"/>
      <c r="K330" s="509"/>
      <c r="L330" s="503">
        <f t="shared" si="149"/>
        <v>1.048</v>
      </c>
      <c r="M330" s="503">
        <f t="shared" si="129"/>
        <v>54.5</v>
      </c>
      <c r="N330" s="503">
        <f t="shared" si="130"/>
        <v>0</v>
      </c>
      <c r="O330" s="503">
        <f t="shared" si="131"/>
        <v>0</v>
      </c>
      <c r="P330" s="503">
        <f t="shared" si="132"/>
        <v>0</v>
      </c>
      <c r="Q330" s="503">
        <f t="shared" si="133"/>
        <v>0</v>
      </c>
      <c r="R330" s="503">
        <f t="shared" si="134"/>
        <v>0</v>
      </c>
    </row>
    <row r="331" spans="1:18">
      <c r="A331" s="505"/>
      <c r="B331" s="511" t="s">
        <v>798</v>
      </c>
      <c r="C331" s="507">
        <v>8</v>
      </c>
      <c r="D331" s="508">
        <v>100</v>
      </c>
      <c r="E331" s="507">
        <v>2</v>
      </c>
      <c r="F331" s="502">
        <v>1</v>
      </c>
      <c r="G331" s="502">
        <f t="shared" si="190"/>
        <v>26</v>
      </c>
      <c r="H331" s="503"/>
      <c r="I331" s="503">
        <f>0.18+(20*C331/1000)</f>
        <v>0.33999999999999997</v>
      </c>
      <c r="J331" s="509"/>
      <c r="K331" s="509"/>
      <c r="L331" s="503">
        <f t="shared" si="149"/>
        <v>0.33999999999999997</v>
      </c>
      <c r="M331" s="503">
        <f t="shared" si="129"/>
        <v>17.68</v>
      </c>
      <c r="N331" s="503">
        <f t="shared" si="130"/>
        <v>0</v>
      </c>
      <c r="O331" s="503">
        <f t="shared" si="131"/>
        <v>0</v>
      </c>
      <c r="P331" s="503">
        <f t="shared" si="132"/>
        <v>0</v>
      </c>
      <c r="Q331" s="503">
        <f t="shared" si="133"/>
        <v>0</v>
      </c>
      <c r="R331" s="503">
        <f t="shared" si="134"/>
        <v>0</v>
      </c>
    </row>
    <row r="332" spans="1:18">
      <c r="A332" s="505"/>
      <c r="B332" s="511" t="s">
        <v>812</v>
      </c>
      <c r="C332" s="507">
        <v>8</v>
      </c>
      <c r="D332" s="508">
        <v>100</v>
      </c>
      <c r="E332" s="507">
        <v>2</v>
      </c>
      <c r="F332" s="502">
        <v>2</v>
      </c>
      <c r="G332" s="502">
        <f t="shared" si="190"/>
        <v>26</v>
      </c>
      <c r="H332" s="503"/>
      <c r="I332" s="503">
        <f>2*(0.18+0.385)+24*C332/1000</f>
        <v>1.3219999999999998</v>
      </c>
      <c r="J332" s="509"/>
      <c r="K332" s="509"/>
      <c r="L332" s="503">
        <f t="shared" si="149"/>
        <v>1.3219999999999998</v>
      </c>
      <c r="M332" s="503">
        <f t="shared" si="129"/>
        <v>137.49</v>
      </c>
      <c r="N332" s="503">
        <f t="shared" si="130"/>
        <v>0</v>
      </c>
      <c r="O332" s="503">
        <f t="shared" si="131"/>
        <v>0</v>
      </c>
      <c r="P332" s="503">
        <f t="shared" si="132"/>
        <v>0</v>
      </c>
      <c r="Q332" s="503">
        <f t="shared" si="133"/>
        <v>0</v>
      </c>
      <c r="R332" s="503">
        <f t="shared" si="134"/>
        <v>0</v>
      </c>
    </row>
    <row r="333" spans="1:18">
      <c r="A333" s="505"/>
      <c r="B333" s="511" t="s">
        <v>813</v>
      </c>
      <c r="C333" s="507">
        <v>8</v>
      </c>
      <c r="D333" s="508">
        <v>100</v>
      </c>
      <c r="E333" s="507">
        <v>2</v>
      </c>
      <c r="F333" s="502">
        <v>1</v>
      </c>
      <c r="G333" s="502">
        <f t="shared" si="190"/>
        <v>26</v>
      </c>
      <c r="H333" s="503"/>
      <c r="I333" s="503">
        <f>2*(0.18+0.268)+24*C333/1000</f>
        <v>1.0880000000000001</v>
      </c>
      <c r="J333" s="509"/>
      <c r="K333" s="509"/>
      <c r="L333" s="503">
        <f t="shared" si="149"/>
        <v>1.0880000000000001</v>
      </c>
      <c r="M333" s="503">
        <f t="shared" si="129"/>
        <v>56.58</v>
      </c>
      <c r="N333" s="503">
        <f t="shared" si="130"/>
        <v>0</v>
      </c>
      <c r="O333" s="503">
        <f t="shared" si="131"/>
        <v>0</v>
      </c>
      <c r="P333" s="503">
        <f t="shared" si="132"/>
        <v>0</v>
      </c>
      <c r="Q333" s="503">
        <f t="shared" si="133"/>
        <v>0</v>
      </c>
      <c r="R333" s="503">
        <f t="shared" si="134"/>
        <v>0</v>
      </c>
    </row>
    <row r="334" spans="1:18">
      <c r="A334" s="505"/>
      <c r="B334" s="511" t="s">
        <v>798</v>
      </c>
      <c r="C334" s="507">
        <v>8</v>
      </c>
      <c r="D334" s="508">
        <v>100</v>
      </c>
      <c r="E334" s="507">
        <v>2</v>
      </c>
      <c r="F334" s="502">
        <v>1</v>
      </c>
      <c r="G334" s="502">
        <f t="shared" si="190"/>
        <v>26</v>
      </c>
      <c r="H334" s="503"/>
      <c r="I334" s="503">
        <f>0.18+(20*C334/1000)</f>
        <v>0.33999999999999997</v>
      </c>
      <c r="J334" s="509"/>
      <c r="K334" s="509"/>
      <c r="L334" s="503">
        <f t="shared" si="149"/>
        <v>0.33999999999999997</v>
      </c>
      <c r="M334" s="503">
        <f t="shared" si="129"/>
        <v>17.68</v>
      </c>
      <c r="N334" s="503">
        <f t="shared" si="130"/>
        <v>0</v>
      </c>
      <c r="O334" s="503">
        <f t="shared" si="131"/>
        <v>0</v>
      </c>
      <c r="P334" s="503">
        <f t="shared" si="132"/>
        <v>0</v>
      </c>
      <c r="Q334" s="503">
        <f t="shared" si="133"/>
        <v>0</v>
      </c>
      <c r="R334" s="503">
        <f t="shared" si="134"/>
        <v>0</v>
      </c>
    </row>
    <row r="335" spans="1:18">
      <c r="A335" s="505"/>
      <c r="B335" s="511" t="s">
        <v>814</v>
      </c>
      <c r="C335" s="507">
        <v>8</v>
      </c>
      <c r="D335" s="508">
        <v>200</v>
      </c>
      <c r="E335" s="507">
        <v>2</v>
      </c>
      <c r="F335" s="502">
        <v>1</v>
      </c>
      <c r="G335" s="502">
        <f t="shared" si="190"/>
        <v>13</v>
      </c>
      <c r="H335" s="503"/>
      <c r="I335" s="503">
        <f>2*(0.18+1.066)+24*C335/1000</f>
        <v>2.6840000000000002</v>
      </c>
      <c r="J335" s="509"/>
      <c r="K335" s="509"/>
      <c r="L335" s="503">
        <f t="shared" si="149"/>
        <v>2.6840000000000002</v>
      </c>
      <c r="M335" s="503">
        <f t="shared" si="129"/>
        <v>69.78</v>
      </c>
      <c r="N335" s="503">
        <f t="shared" si="130"/>
        <v>0</v>
      </c>
      <c r="O335" s="503">
        <f t="shared" si="131"/>
        <v>0</v>
      </c>
      <c r="P335" s="503">
        <f t="shared" si="132"/>
        <v>0</v>
      </c>
      <c r="Q335" s="503">
        <f t="shared" si="133"/>
        <v>0</v>
      </c>
      <c r="R335" s="503">
        <f t="shared" si="134"/>
        <v>0</v>
      </c>
    </row>
    <row r="336" spans="1:18">
      <c r="A336" s="505"/>
      <c r="B336" s="511" t="s">
        <v>799</v>
      </c>
      <c r="C336" s="507">
        <v>8</v>
      </c>
      <c r="D336" s="508">
        <v>400</v>
      </c>
      <c r="E336" s="507">
        <v>2</v>
      </c>
      <c r="F336" s="502">
        <v>2</v>
      </c>
      <c r="G336" s="502">
        <f t="shared" si="190"/>
        <v>7</v>
      </c>
      <c r="H336" s="503"/>
      <c r="I336" s="503">
        <f>0.18+(20*C336/1000)</f>
        <v>0.33999999999999997</v>
      </c>
      <c r="J336" s="509"/>
      <c r="K336" s="509"/>
      <c r="L336" s="503">
        <f t="shared" ref="L336:L341" si="191">SUM(H336:J336)+K336</f>
        <v>0.33999999999999997</v>
      </c>
      <c r="M336" s="503">
        <f t="shared" si="129"/>
        <v>9.52</v>
      </c>
      <c r="N336" s="503">
        <f t="shared" si="130"/>
        <v>0</v>
      </c>
      <c r="O336" s="503">
        <f t="shared" si="131"/>
        <v>0</v>
      </c>
      <c r="P336" s="503">
        <f t="shared" si="132"/>
        <v>0</v>
      </c>
      <c r="Q336" s="503">
        <f t="shared" si="133"/>
        <v>0</v>
      </c>
      <c r="R336" s="503">
        <f t="shared" si="134"/>
        <v>0</v>
      </c>
    </row>
    <row r="337" spans="1:18">
      <c r="A337" s="505"/>
      <c r="B337" s="506" t="s">
        <v>801</v>
      </c>
      <c r="C337" s="507">
        <v>16</v>
      </c>
      <c r="D337" s="508"/>
      <c r="E337" s="507">
        <v>2</v>
      </c>
      <c r="F337" s="502">
        <v>1</v>
      </c>
      <c r="G337" s="502">
        <v>4</v>
      </c>
      <c r="H337" s="503"/>
      <c r="I337" s="503">
        <f t="shared" ref="I337:I338" si="192">106.2-103.25</f>
        <v>2.9500000000000028</v>
      </c>
      <c r="J337" s="509"/>
      <c r="K337" s="509">
        <f t="shared" ref="K337:K338" si="193">1*36*C337/1000</f>
        <v>0.57599999999999996</v>
      </c>
      <c r="L337" s="503">
        <f t="shared" si="191"/>
        <v>3.5260000000000029</v>
      </c>
      <c r="M337" s="503">
        <f t="shared" si="129"/>
        <v>0</v>
      </c>
      <c r="N337" s="503">
        <f t="shared" si="130"/>
        <v>0</v>
      </c>
      <c r="O337" s="503">
        <f t="shared" si="131"/>
        <v>0</v>
      </c>
      <c r="P337" s="503">
        <f t="shared" si="132"/>
        <v>28.21</v>
      </c>
      <c r="Q337" s="503">
        <f t="shared" si="133"/>
        <v>0</v>
      </c>
      <c r="R337" s="503">
        <f t="shared" si="134"/>
        <v>0</v>
      </c>
    </row>
    <row r="338" spans="1:18">
      <c r="A338" s="505"/>
      <c r="B338" s="511"/>
      <c r="C338" s="507">
        <v>12</v>
      </c>
      <c r="D338" s="508"/>
      <c r="E338" s="507">
        <v>2</v>
      </c>
      <c r="F338" s="502">
        <v>1</v>
      </c>
      <c r="G338" s="502">
        <v>16</v>
      </c>
      <c r="H338" s="503"/>
      <c r="I338" s="503">
        <f t="shared" si="192"/>
        <v>2.9500000000000028</v>
      </c>
      <c r="J338" s="509"/>
      <c r="K338" s="509">
        <f t="shared" si="193"/>
        <v>0.432</v>
      </c>
      <c r="L338" s="503">
        <f t="shared" si="191"/>
        <v>3.3820000000000028</v>
      </c>
      <c r="M338" s="503">
        <f t="shared" si="129"/>
        <v>0</v>
      </c>
      <c r="N338" s="503">
        <f t="shared" si="130"/>
        <v>0</v>
      </c>
      <c r="O338" s="503">
        <f t="shared" si="131"/>
        <v>108.22</v>
      </c>
      <c r="P338" s="503">
        <f t="shared" si="132"/>
        <v>0</v>
      </c>
      <c r="Q338" s="503">
        <f t="shared" si="133"/>
        <v>0</v>
      </c>
      <c r="R338" s="503">
        <f t="shared" si="134"/>
        <v>0</v>
      </c>
    </row>
    <row r="339" spans="1:18">
      <c r="A339" s="505"/>
      <c r="B339" s="511" t="s">
        <v>797</v>
      </c>
      <c r="C339" s="507"/>
      <c r="D339" s="508"/>
      <c r="E339" s="507"/>
      <c r="F339" s="502"/>
      <c r="G339" s="502"/>
      <c r="H339" s="503"/>
      <c r="I339" s="503"/>
      <c r="J339" s="509"/>
      <c r="K339" s="509"/>
      <c r="L339" s="503">
        <f t="shared" si="191"/>
        <v>0</v>
      </c>
      <c r="M339" s="503">
        <f t="shared" si="129"/>
        <v>0</v>
      </c>
      <c r="N339" s="503">
        <f t="shared" si="130"/>
        <v>0</v>
      </c>
      <c r="O339" s="503">
        <f t="shared" si="131"/>
        <v>0</v>
      </c>
      <c r="P339" s="503">
        <f t="shared" si="132"/>
        <v>0</v>
      </c>
      <c r="Q339" s="503">
        <f t="shared" si="133"/>
        <v>0</v>
      </c>
      <c r="R339" s="503">
        <f t="shared" si="134"/>
        <v>0</v>
      </c>
    </row>
    <row r="340" spans="1:18">
      <c r="A340" s="505"/>
      <c r="B340" s="511" t="s">
        <v>832</v>
      </c>
      <c r="C340" s="507">
        <v>8</v>
      </c>
      <c r="D340" s="508">
        <v>100</v>
      </c>
      <c r="E340" s="507">
        <v>2</v>
      </c>
      <c r="F340" s="502">
        <v>1</v>
      </c>
      <c r="G340" s="502">
        <f t="shared" ref="G340:G341" si="194">+ROUND(2450/D340+1,0)</f>
        <v>26</v>
      </c>
      <c r="H340" s="503"/>
      <c r="I340" s="503">
        <f>2*(0.18+0.95)+24*C340/1000</f>
        <v>2.452</v>
      </c>
      <c r="J340" s="509"/>
      <c r="K340" s="509"/>
      <c r="L340" s="503">
        <f t="shared" si="191"/>
        <v>2.452</v>
      </c>
      <c r="M340" s="503">
        <f t="shared" si="129"/>
        <v>127.5</v>
      </c>
      <c r="N340" s="503">
        <f t="shared" si="130"/>
        <v>0</v>
      </c>
      <c r="O340" s="503">
        <f t="shared" si="131"/>
        <v>0</v>
      </c>
      <c r="P340" s="503">
        <f t="shared" si="132"/>
        <v>0</v>
      </c>
      <c r="Q340" s="503">
        <f t="shared" si="133"/>
        <v>0</v>
      </c>
      <c r="R340" s="503">
        <f t="shared" si="134"/>
        <v>0</v>
      </c>
    </row>
    <row r="341" spans="1:18">
      <c r="A341" s="505"/>
      <c r="B341" s="511" t="s">
        <v>833</v>
      </c>
      <c r="C341" s="507">
        <v>8</v>
      </c>
      <c r="D341" s="508">
        <v>100</v>
      </c>
      <c r="E341" s="507">
        <v>2</v>
      </c>
      <c r="F341" s="502">
        <v>4</v>
      </c>
      <c r="G341" s="502">
        <f t="shared" si="194"/>
        <v>26</v>
      </c>
      <c r="H341" s="503"/>
      <c r="I341" s="503">
        <f>2*(0.18+0.12)+24*C341/1000</f>
        <v>0.79200000000000004</v>
      </c>
      <c r="J341" s="509"/>
      <c r="K341" s="509"/>
      <c r="L341" s="503">
        <f t="shared" si="191"/>
        <v>0.79200000000000004</v>
      </c>
      <c r="M341" s="503">
        <f t="shared" si="129"/>
        <v>164.74</v>
      </c>
      <c r="N341" s="503">
        <f t="shared" si="130"/>
        <v>0</v>
      </c>
      <c r="O341" s="503">
        <f t="shared" si="131"/>
        <v>0</v>
      </c>
      <c r="P341" s="503">
        <f t="shared" si="132"/>
        <v>0</v>
      </c>
      <c r="Q341" s="503">
        <f t="shared" si="133"/>
        <v>0</v>
      </c>
      <c r="R341" s="503">
        <f t="shared" si="134"/>
        <v>0</v>
      </c>
    </row>
    <row r="342" spans="1:18">
      <c r="A342" s="505"/>
      <c r="B342" s="506" t="s">
        <v>802</v>
      </c>
      <c r="C342" s="507">
        <v>16</v>
      </c>
      <c r="D342" s="508"/>
      <c r="E342" s="507">
        <v>2</v>
      </c>
      <c r="F342" s="502">
        <v>1</v>
      </c>
      <c r="G342" s="502">
        <v>4</v>
      </c>
      <c r="H342" s="503"/>
      <c r="I342" s="503">
        <f t="shared" ref="I342:I343" si="195">106.2-103.25</f>
        <v>2.9500000000000028</v>
      </c>
      <c r="J342" s="509"/>
      <c r="K342" s="509">
        <f t="shared" ref="K342:K343" si="196">1*36*C342/1000</f>
        <v>0.57599999999999996</v>
      </c>
      <c r="L342" s="503">
        <f t="shared" ref="L342" si="197">SUM(H342:J342)+K342</f>
        <v>3.5260000000000029</v>
      </c>
      <c r="M342" s="503">
        <f t="shared" si="129"/>
        <v>0</v>
      </c>
      <c r="N342" s="503">
        <f t="shared" si="130"/>
        <v>0</v>
      </c>
      <c r="O342" s="503">
        <f t="shared" si="131"/>
        <v>0</v>
      </c>
      <c r="P342" s="503">
        <f t="shared" si="132"/>
        <v>28.21</v>
      </c>
      <c r="Q342" s="503">
        <f t="shared" si="133"/>
        <v>0</v>
      </c>
      <c r="R342" s="503">
        <f t="shared" si="134"/>
        <v>0</v>
      </c>
    </row>
    <row r="343" spans="1:18">
      <c r="A343" s="505"/>
      <c r="B343" s="511"/>
      <c r="C343" s="507">
        <v>12</v>
      </c>
      <c r="D343" s="508"/>
      <c r="E343" s="507">
        <v>2</v>
      </c>
      <c r="F343" s="502">
        <v>1</v>
      </c>
      <c r="G343" s="502">
        <v>18</v>
      </c>
      <c r="H343" s="503"/>
      <c r="I343" s="503">
        <f t="shared" si="195"/>
        <v>2.9500000000000028</v>
      </c>
      <c r="J343" s="509"/>
      <c r="K343" s="509">
        <f t="shared" si="196"/>
        <v>0.432</v>
      </c>
      <c r="L343" s="503">
        <f>SUM(H343:J343)+K343</f>
        <v>3.3820000000000028</v>
      </c>
      <c r="M343" s="503">
        <f>+ROUND(IF(C343=8,PRODUCT(E343,F343,G343,L343),0),2)</f>
        <v>0</v>
      </c>
      <c r="N343" s="503">
        <f t="shared" si="130"/>
        <v>0</v>
      </c>
      <c r="O343" s="503">
        <f t="shared" si="131"/>
        <v>121.75</v>
      </c>
      <c r="P343" s="503">
        <f t="shared" si="132"/>
        <v>0</v>
      </c>
      <c r="Q343" s="503">
        <f t="shared" si="133"/>
        <v>0</v>
      </c>
      <c r="R343" s="503">
        <f t="shared" si="134"/>
        <v>0</v>
      </c>
    </row>
    <row r="344" spans="1:18">
      <c r="A344" s="505"/>
      <c r="B344" s="511" t="s">
        <v>797</v>
      </c>
      <c r="C344" s="507"/>
      <c r="D344" s="508"/>
      <c r="E344" s="507"/>
      <c r="F344" s="502"/>
      <c r="G344" s="502"/>
      <c r="H344" s="503"/>
      <c r="I344" s="503"/>
      <c r="J344" s="509"/>
      <c r="K344" s="509"/>
      <c r="L344" s="503">
        <f t="shared" ref="L344:L346" si="198">SUM(H344:J344)+K344</f>
        <v>0</v>
      </c>
      <c r="M344" s="503">
        <f t="shared" ref="M344:M348" si="199">+ROUND(IF(C344=8,PRODUCT(E344,F344,G344,L344),0),2)</f>
        <v>0</v>
      </c>
      <c r="N344" s="503">
        <f t="shared" si="130"/>
        <v>0</v>
      </c>
      <c r="O344" s="503">
        <f t="shared" si="131"/>
        <v>0</v>
      </c>
      <c r="P344" s="503">
        <f t="shared" si="132"/>
        <v>0</v>
      </c>
      <c r="Q344" s="503">
        <f t="shared" si="133"/>
        <v>0</v>
      </c>
      <c r="R344" s="503">
        <f t="shared" si="134"/>
        <v>0</v>
      </c>
    </row>
    <row r="345" spans="1:18">
      <c r="A345" s="505"/>
      <c r="B345" s="511" t="s">
        <v>834</v>
      </c>
      <c r="C345" s="507">
        <v>8</v>
      </c>
      <c r="D345" s="508">
        <v>100</v>
      </c>
      <c r="E345" s="507">
        <v>2</v>
      </c>
      <c r="F345" s="502">
        <v>1</v>
      </c>
      <c r="G345" s="502">
        <f t="shared" ref="G345:G347" si="200">+ROUND(2450/D345+1,0)</f>
        <v>26</v>
      </c>
      <c r="H345" s="503"/>
      <c r="I345" s="503">
        <f>2*(0.18+1.1)+24*C345/1000</f>
        <v>2.7520000000000002</v>
      </c>
      <c r="J345" s="509"/>
      <c r="K345" s="509"/>
      <c r="L345" s="503">
        <f t="shared" si="198"/>
        <v>2.7520000000000002</v>
      </c>
      <c r="M345" s="503">
        <f t="shared" si="199"/>
        <v>143.1</v>
      </c>
      <c r="N345" s="503">
        <f t="shared" si="130"/>
        <v>0</v>
      </c>
      <c r="O345" s="503">
        <f t="shared" si="131"/>
        <v>0</v>
      </c>
      <c r="P345" s="503">
        <f t="shared" si="132"/>
        <v>0</v>
      </c>
      <c r="Q345" s="503">
        <f t="shared" si="133"/>
        <v>0</v>
      </c>
      <c r="R345" s="503">
        <f t="shared" si="134"/>
        <v>0</v>
      </c>
    </row>
    <row r="346" spans="1:18">
      <c r="A346" s="505"/>
      <c r="B346" s="511" t="s">
        <v>835</v>
      </c>
      <c r="C346" s="507">
        <v>8</v>
      </c>
      <c r="D346" s="508">
        <v>100</v>
      </c>
      <c r="E346" s="507">
        <v>2</v>
      </c>
      <c r="F346" s="502">
        <v>4</v>
      </c>
      <c r="G346" s="502">
        <f t="shared" si="200"/>
        <v>26</v>
      </c>
      <c r="H346" s="503"/>
      <c r="I346" s="503">
        <f>2*(0.18+0.125)+24*C346/1000</f>
        <v>0.80200000000000005</v>
      </c>
      <c r="J346" s="509"/>
      <c r="K346" s="509"/>
      <c r="L346" s="503">
        <f t="shared" si="198"/>
        <v>0.80200000000000005</v>
      </c>
      <c r="M346" s="503">
        <f t="shared" si="199"/>
        <v>166.82</v>
      </c>
      <c r="N346" s="503">
        <f t="shared" si="130"/>
        <v>0</v>
      </c>
      <c r="O346" s="503">
        <f t="shared" si="131"/>
        <v>0</v>
      </c>
      <c r="P346" s="503">
        <f t="shared" si="132"/>
        <v>0</v>
      </c>
      <c r="Q346" s="503">
        <f t="shared" si="133"/>
        <v>0</v>
      </c>
      <c r="R346" s="503">
        <f t="shared" si="134"/>
        <v>0</v>
      </c>
    </row>
    <row r="347" spans="1:18">
      <c r="A347" s="505"/>
      <c r="B347" s="511" t="s">
        <v>803</v>
      </c>
      <c r="C347" s="507">
        <v>8</v>
      </c>
      <c r="D347" s="508">
        <v>100</v>
      </c>
      <c r="E347" s="507">
        <v>2</v>
      </c>
      <c r="F347" s="502">
        <v>1</v>
      </c>
      <c r="G347" s="502">
        <f t="shared" si="200"/>
        <v>26</v>
      </c>
      <c r="H347" s="503"/>
      <c r="I347" s="503">
        <f>0.18+(20*C347/1000)</f>
        <v>0.33999999999999997</v>
      </c>
      <c r="J347" s="509"/>
      <c r="K347" s="509"/>
      <c r="L347" s="503">
        <f t="shared" ref="L347:L348" si="201">SUM(H347:J347)+K347</f>
        <v>0.33999999999999997</v>
      </c>
      <c r="M347" s="503">
        <f t="shared" si="199"/>
        <v>17.68</v>
      </c>
      <c r="N347" s="503">
        <f t="shared" si="130"/>
        <v>0</v>
      </c>
      <c r="O347" s="503">
        <f t="shared" si="131"/>
        <v>0</v>
      </c>
      <c r="P347" s="503">
        <f t="shared" si="132"/>
        <v>0</v>
      </c>
      <c r="Q347" s="503">
        <f t="shared" si="133"/>
        <v>0</v>
      </c>
      <c r="R347" s="503">
        <f t="shared" si="134"/>
        <v>0</v>
      </c>
    </row>
    <row r="348" spans="1:18">
      <c r="A348" s="505"/>
      <c r="B348" s="506" t="s">
        <v>836</v>
      </c>
      <c r="C348" s="507">
        <v>16</v>
      </c>
      <c r="D348" s="508"/>
      <c r="E348" s="507">
        <v>4</v>
      </c>
      <c r="F348" s="502">
        <v>1</v>
      </c>
      <c r="G348" s="502">
        <v>8</v>
      </c>
      <c r="H348" s="503"/>
      <c r="I348" s="503">
        <f t="shared" ref="I348:I349" si="202">106.2-103.25</f>
        <v>2.9500000000000028</v>
      </c>
      <c r="J348" s="509"/>
      <c r="K348" s="509">
        <f t="shared" ref="K348:K349" si="203">1*36*C348/1000</f>
        <v>0.57599999999999996</v>
      </c>
      <c r="L348" s="503">
        <f t="shared" si="201"/>
        <v>3.5260000000000029</v>
      </c>
      <c r="M348" s="503">
        <f t="shared" si="199"/>
        <v>0</v>
      </c>
      <c r="N348" s="503">
        <f t="shared" si="130"/>
        <v>0</v>
      </c>
      <c r="O348" s="503">
        <f t="shared" si="131"/>
        <v>0</v>
      </c>
      <c r="P348" s="503">
        <f t="shared" si="132"/>
        <v>112.83</v>
      </c>
      <c r="Q348" s="503">
        <f t="shared" si="133"/>
        <v>0</v>
      </c>
      <c r="R348" s="503">
        <f t="shared" si="134"/>
        <v>0</v>
      </c>
    </row>
    <row r="349" spans="1:18">
      <c r="A349" s="505"/>
      <c r="B349" s="511"/>
      <c r="C349" s="507">
        <v>12</v>
      </c>
      <c r="D349" s="508"/>
      <c r="E349" s="507">
        <f>+E348</f>
        <v>4</v>
      </c>
      <c r="F349" s="502">
        <v>1</v>
      </c>
      <c r="G349" s="502">
        <v>20</v>
      </c>
      <c r="H349" s="503"/>
      <c r="I349" s="503">
        <f t="shared" si="202"/>
        <v>2.9500000000000028</v>
      </c>
      <c r="J349" s="509"/>
      <c r="K349" s="509">
        <f t="shared" si="203"/>
        <v>0.432</v>
      </c>
      <c r="L349" s="503">
        <f>SUM(H349:J349)+K349</f>
        <v>3.3820000000000028</v>
      </c>
      <c r="M349" s="503">
        <f>+ROUND(IF(C349=8,PRODUCT(E349,F349,G349,L349),0),2)</f>
        <v>0</v>
      </c>
      <c r="N349" s="503">
        <f t="shared" si="130"/>
        <v>0</v>
      </c>
      <c r="O349" s="503">
        <f t="shared" si="131"/>
        <v>270.56</v>
      </c>
      <c r="P349" s="503">
        <f t="shared" si="132"/>
        <v>0</v>
      </c>
      <c r="Q349" s="503">
        <f t="shared" si="133"/>
        <v>0</v>
      </c>
      <c r="R349" s="503">
        <f t="shared" si="134"/>
        <v>0</v>
      </c>
    </row>
    <row r="350" spans="1:18">
      <c r="A350" s="505"/>
      <c r="B350" s="511" t="s">
        <v>797</v>
      </c>
      <c r="C350" s="507"/>
      <c r="D350" s="508"/>
      <c r="E350" s="507"/>
      <c r="F350" s="502"/>
      <c r="G350" s="502"/>
      <c r="H350" s="503"/>
      <c r="I350" s="503"/>
      <c r="J350" s="509"/>
      <c r="K350" s="509"/>
      <c r="L350" s="503">
        <f t="shared" ref="L350:L352" si="204">SUM(H350:J350)+K350</f>
        <v>0</v>
      </c>
      <c r="M350" s="503">
        <f t="shared" ref="M350:M355" si="205">+ROUND(IF(C350=8,PRODUCT(E350,F350,G350,L350),0),2)</f>
        <v>0</v>
      </c>
      <c r="N350" s="503">
        <f t="shared" si="130"/>
        <v>0</v>
      </c>
      <c r="O350" s="503">
        <f t="shared" si="131"/>
        <v>0</v>
      </c>
      <c r="P350" s="503">
        <f t="shared" si="132"/>
        <v>0</v>
      </c>
      <c r="Q350" s="503">
        <f t="shared" si="133"/>
        <v>0</v>
      </c>
      <c r="R350" s="503">
        <f t="shared" si="134"/>
        <v>0</v>
      </c>
    </row>
    <row r="351" spans="1:18">
      <c r="A351" s="505"/>
      <c r="B351" s="511" t="s">
        <v>837</v>
      </c>
      <c r="C351" s="507">
        <v>8</v>
      </c>
      <c r="D351" s="508">
        <v>100</v>
      </c>
      <c r="E351" s="507">
        <v>4</v>
      </c>
      <c r="F351" s="502">
        <v>2</v>
      </c>
      <c r="G351" s="502">
        <f t="shared" ref="G351:G354" si="206">+ROUND(2450/D351+1,0)</f>
        <v>26</v>
      </c>
      <c r="H351" s="503"/>
      <c r="I351" s="503">
        <f>2*(0.18+0.583)+24*C351/1000</f>
        <v>1.7179999999999997</v>
      </c>
      <c r="J351" s="509"/>
      <c r="K351" s="509"/>
      <c r="L351" s="503">
        <f t="shared" si="204"/>
        <v>1.7179999999999997</v>
      </c>
      <c r="M351" s="503">
        <f t="shared" si="205"/>
        <v>357.34</v>
      </c>
      <c r="N351" s="503">
        <f t="shared" si="130"/>
        <v>0</v>
      </c>
      <c r="O351" s="503">
        <f t="shared" si="131"/>
        <v>0</v>
      </c>
      <c r="P351" s="503">
        <f t="shared" si="132"/>
        <v>0</v>
      </c>
      <c r="Q351" s="503">
        <f t="shared" si="133"/>
        <v>0</v>
      </c>
      <c r="R351" s="503">
        <f t="shared" si="134"/>
        <v>0</v>
      </c>
    </row>
    <row r="352" spans="1:18">
      <c r="A352" s="505"/>
      <c r="B352" s="511" t="s">
        <v>833</v>
      </c>
      <c r="C352" s="507">
        <v>8</v>
      </c>
      <c r="D352" s="508">
        <v>100</v>
      </c>
      <c r="E352" s="507">
        <v>4</v>
      </c>
      <c r="F352" s="502">
        <v>4</v>
      </c>
      <c r="G352" s="502">
        <f t="shared" si="206"/>
        <v>26</v>
      </c>
      <c r="H352" s="503"/>
      <c r="I352" s="503">
        <f>2*(0.18+0.12)+24*C352/1000</f>
        <v>0.79200000000000004</v>
      </c>
      <c r="J352" s="509"/>
      <c r="K352" s="509"/>
      <c r="L352" s="503">
        <f t="shared" si="204"/>
        <v>0.79200000000000004</v>
      </c>
      <c r="M352" s="503">
        <f t="shared" si="205"/>
        <v>329.47</v>
      </c>
      <c r="N352" s="503">
        <f t="shared" si="130"/>
        <v>0</v>
      </c>
      <c r="O352" s="503">
        <f t="shared" si="131"/>
        <v>0</v>
      </c>
      <c r="P352" s="503">
        <f t="shared" si="132"/>
        <v>0</v>
      </c>
      <c r="Q352" s="503">
        <f t="shared" si="133"/>
        <v>0</v>
      </c>
      <c r="R352" s="503">
        <f t="shared" si="134"/>
        <v>0</v>
      </c>
    </row>
    <row r="353" spans="1:18">
      <c r="A353" s="505"/>
      <c r="B353" s="511" t="s">
        <v>838</v>
      </c>
      <c r="C353" s="507">
        <v>8</v>
      </c>
      <c r="D353" s="508">
        <v>200</v>
      </c>
      <c r="E353" s="507">
        <v>4</v>
      </c>
      <c r="F353" s="502">
        <v>1</v>
      </c>
      <c r="G353" s="502">
        <f t="shared" si="206"/>
        <v>13</v>
      </c>
      <c r="H353" s="503"/>
      <c r="I353" s="503">
        <f>2*(0.18+0.516)+24*C353/1000</f>
        <v>1.5839999999999999</v>
      </c>
      <c r="J353" s="509"/>
      <c r="K353" s="509"/>
      <c r="L353" s="503">
        <f t="shared" ref="L353" si="207">SUM(H353:J353)+K353</f>
        <v>1.5839999999999999</v>
      </c>
      <c r="M353" s="503">
        <f t="shared" si="205"/>
        <v>82.37</v>
      </c>
      <c r="N353" s="503">
        <f t="shared" si="130"/>
        <v>0</v>
      </c>
      <c r="O353" s="503">
        <f t="shared" si="131"/>
        <v>0</v>
      </c>
      <c r="P353" s="503">
        <f t="shared" si="132"/>
        <v>0</v>
      </c>
      <c r="Q353" s="503">
        <f t="shared" si="133"/>
        <v>0</v>
      </c>
      <c r="R353" s="503">
        <f t="shared" si="134"/>
        <v>0</v>
      </c>
    </row>
    <row r="354" spans="1:18">
      <c r="A354" s="505"/>
      <c r="B354" s="511" t="s">
        <v>799</v>
      </c>
      <c r="C354" s="507">
        <v>8</v>
      </c>
      <c r="D354" s="508">
        <v>400</v>
      </c>
      <c r="E354" s="507">
        <v>4</v>
      </c>
      <c r="F354" s="502">
        <v>2</v>
      </c>
      <c r="G354" s="502">
        <f t="shared" si="206"/>
        <v>7</v>
      </c>
      <c r="H354" s="503"/>
      <c r="I354" s="503">
        <f>0.18+(20*C354/1000)</f>
        <v>0.33999999999999997</v>
      </c>
      <c r="J354" s="509"/>
      <c r="K354" s="509"/>
      <c r="L354" s="503">
        <f t="shared" ref="L354" si="208">SUM(H354:J354)+K354</f>
        <v>0.33999999999999997</v>
      </c>
      <c r="M354" s="503">
        <f t="shared" si="205"/>
        <v>19.04</v>
      </c>
      <c r="N354" s="503">
        <f t="shared" si="130"/>
        <v>0</v>
      </c>
      <c r="O354" s="503">
        <f t="shared" si="131"/>
        <v>0</v>
      </c>
      <c r="P354" s="503">
        <f t="shared" si="132"/>
        <v>0</v>
      </c>
      <c r="Q354" s="503">
        <f t="shared" si="133"/>
        <v>0</v>
      </c>
      <c r="R354" s="503">
        <f t="shared" si="134"/>
        <v>0</v>
      </c>
    </row>
    <row r="355" spans="1:18">
      <c r="A355" s="505"/>
      <c r="B355" s="506" t="s">
        <v>804</v>
      </c>
      <c r="C355" s="507">
        <v>16</v>
      </c>
      <c r="D355" s="508"/>
      <c r="E355" s="507">
        <v>4</v>
      </c>
      <c r="F355" s="502">
        <v>1</v>
      </c>
      <c r="G355" s="502">
        <v>4</v>
      </c>
      <c r="H355" s="503"/>
      <c r="I355" s="503">
        <f t="shared" ref="I355:I356" si="209">106.2-103.25</f>
        <v>2.9500000000000028</v>
      </c>
      <c r="J355" s="509"/>
      <c r="K355" s="509">
        <f t="shared" ref="K355:K356" si="210">1*36*C355/1000</f>
        <v>0.57599999999999996</v>
      </c>
      <c r="L355" s="503">
        <f t="shared" ref="L355" si="211">SUM(H355:J355)+K355</f>
        <v>3.5260000000000029</v>
      </c>
      <c r="M355" s="503">
        <f t="shared" si="205"/>
        <v>0</v>
      </c>
      <c r="N355" s="503">
        <f t="shared" si="130"/>
        <v>0</v>
      </c>
      <c r="O355" s="503">
        <f t="shared" si="131"/>
        <v>0</v>
      </c>
      <c r="P355" s="503">
        <f t="shared" si="132"/>
        <v>56.42</v>
      </c>
      <c r="Q355" s="503">
        <f t="shared" si="133"/>
        <v>0</v>
      </c>
      <c r="R355" s="503">
        <f t="shared" si="134"/>
        <v>0</v>
      </c>
    </row>
    <row r="356" spans="1:18">
      <c r="A356" s="505"/>
      <c r="B356" s="511"/>
      <c r="C356" s="507">
        <v>12</v>
      </c>
      <c r="D356" s="508"/>
      <c r="E356" s="507">
        <f>+E355</f>
        <v>4</v>
      </c>
      <c r="F356" s="502">
        <v>1</v>
      </c>
      <c r="G356" s="502">
        <v>20</v>
      </c>
      <c r="H356" s="503"/>
      <c r="I356" s="503">
        <f t="shared" si="209"/>
        <v>2.9500000000000028</v>
      </c>
      <c r="J356" s="509"/>
      <c r="K356" s="509">
        <f t="shared" si="210"/>
        <v>0.432</v>
      </c>
      <c r="L356" s="503">
        <f>SUM(H356:J356)+K356</f>
        <v>3.3820000000000028</v>
      </c>
      <c r="M356" s="503">
        <f>+ROUND(IF(C356=8,PRODUCT(E356,F356,G356,L356),0),2)</f>
        <v>0</v>
      </c>
      <c r="N356" s="503">
        <f t="shared" si="130"/>
        <v>0</v>
      </c>
      <c r="O356" s="503">
        <f t="shared" si="131"/>
        <v>270.56</v>
      </c>
      <c r="P356" s="503">
        <f t="shared" si="132"/>
        <v>0</v>
      </c>
      <c r="Q356" s="503">
        <f t="shared" si="133"/>
        <v>0</v>
      </c>
      <c r="R356" s="503">
        <f t="shared" si="134"/>
        <v>0</v>
      </c>
    </row>
    <row r="357" spans="1:18">
      <c r="A357" s="505"/>
      <c r="B357" s="511" t="s">
        <v>797</v>
      </c>
      <c r="C357" s="507"/>
      <c r="D357" s="508"/>
      <c r="E357" s="507"/>
      <c r="F357" s="502"/>
      <c r="G357" s="502"/>
      <c r="H357" s="503"/>
      <c r="I357" s="503"/>
      <c r="J357" s="509"/>
      <c r="K357" s="509"/>
      <c r="L357" s="503">
        <f t="shared" ref="L357:L361" si="212">SUM(H357:J357)+K357</f>
        <v>0</v>
      </c>
      <c r="M357" s="503">
        <f t="shared" ref="M357:M422" si="213">+ROUND(IF(C357=8,PRODUCT(E357,F357,G357,L357),0),2)</f>
        <v>0</v>
      </c>
      <c r="N357" s="503">
        <f t="shared" si="130"/>
        <v>0</v>
      </c>
      <c r="O357" s="503">
        <f t="shared" si="131"/>
        <v>0</v>
      </c>
      <c r="P357" s="503">
        <f t="shared" si="132"/>
        <v>0</v>
      </c>
      <c r="Q357" s="503">
        <f t="shared" si="133"/>
        <v>0</v>
      </c>
      <c r="R357" s="503">
        <f t="shared" si="134"/>
        <v>0</v>
      </c>
    </row>
    <row r="358" spans="1:18">
      <c r="A358" s="505"/>
      <c r="B358" s="511" t="s">
        <v>839</v>
      </c>
      <c r="C358" s="507">
        <v>8</v>
      </c>
      <c r="D358" s="508">
        <v>100</v>
      </c>
      <c r="E358" s="507">
        <v>4</v>
      </c>
      <c r="F358" s="502">
        <v>1</v>
      </c>
      <c r="G358" s="502">
        <f t="shared" ref="G358:G359" si="214">+ROUND(2450/D358+1,0)</f>
        <v>26</v>
      </c>
      <c r="H358" s="503"/>
      <c r="I358" s="503">
        <f>2*(0.18+1.135)+24*C358/1000</f>
        <v>2.8220000000000001</v>
      </c>
      <c r="J358" s="509"/>
      <c r="K358" s="509"/>
      <c r="L358" s="503">
        <f t="shared" si="212"/>
        <v>2.8220000000000001</v>
      </c>
      <c r="M358" s="503">
        <f t="shared" si="213"/>
        <v>293.49</v>
      </c>
      <c r="N358" s="503">
        <f t="shared" si="130"/>
        <v>0</v>
      </c>
      <c r="O358" s="503">
        <f t="shared" si="131"/>
        <v>0</v>
      </c>
      <c r="P358" s="503">
        <f t="shared" si="132"/>
        <v>0</v>
      </c>
      <c r="Q358" s="503">
        <f t="shared" si="133"/>
        <v>0</v>
      </c>
      <c r="R358" s="503">
        <f t="shared" si="134"/>
        <v>0</v>
      </c>
    </row>
    <row r="359" spans="1:18">
      <c r="A359" s="505"/>
      <c r="B359" s="511" t="s">
        <v>840</v>
      </c>
      <c r="C359" s="507">
        <v>8</v>
      </c>
      <c r="D359" s="508">
        <v>100</v>
      </c>
      <c r="E359" s="507">
        <v>4</v>
      </c>
      <c r="F359" s="502">
        <v>5</v>
      </c>
      <c r="G359" s="502">
        <f t="shared" si="214"/>
        <v>26</v>
      </c>
      <c r="H359" s="503"/>
      <c r="I359" s="503">
        <f>2*(0.18+0.118)+24*C359/1000</f>
        <v>0.78800000000000003</v>
      </c>
      <c r="J359" s="509"/>
      <c r="K359" s="509"/>
      <c r="L359" s="503">
        <f t="shared" si="212"/>
        <v>0.78800000000000003</v>
      </c>
      <c r="M359" s="503">
        <f t="shared" si="213"/>
        <v>409.76</v>
      </c>
      <c r="N359" s="503">
        <f t="shared" si="130"/>
        <v>0</v>
      </c>
      <c r="O359" s="503">
        <f t="shared" si="131"/>
        <v>0</v>
      </c>
      <c r="P359" s="503">
        <f t="shared" si="132"/>
        <v>0</v>
      </c>
      <c r="Q359" s="503">
        <f t="shared" si="133"/>
        <v>0</v>
      </c>
      <c r="R359" s="503">
        <f t="shared" si="134"/>
        <v>0</v>
      </c>
    </row>
    <row r="360" spans="1:18">
      <c r="A360" s="505"/>
      <c r="B360" s="506" t="s">
        <v>841</v>
      </c>
      <c r="C360" s="507">
        <v>16</v>
      </c>
      <c r="D360" s="508"/>
      <c r="E360" s="507">
        <v>2</v>
      </c>
      <c r="F360" s="502">
        <v>1</v>
      </c>
      <c r="G360" s="502">
        <v>8</v>
      </c>
      <c r="H360" s="503"/>
      <c r="I360" s="503">
        <f t="shared" ref="I360:I361" si="215">106.2-103.25</f>
        <v>2.9500000000000028</v>
      </c>
      <c r="J360" s="509"/>
      <c r="K360" s="509">
        <f t="shared" ref="K360:K361" si="216">1*36*C360/1000</f>
        <v>0.57599999999999996</v>
      </c>
      <c r="L360" s="503">
        <f t="shared" si="212"/>
        <v>3.5260000000000029</v>
      </c>
      <c r="M360" s="503">
        <f t="shared" si="213"/>
        <v>0</v>
      </c>
      <c r="N360" s="503">
        <f t="shared" si="130"/>
        <v>0</v>
      </c>
      <c r="O360" s="503">
        <f t="shared" si="131"/>
        <v>0</v>
      </c>
      <c r="P360" s="503">
        <f t="shared" si="132"/>
        <v>56.42</v>
      </c>
      <c r="Q360" s="503">
        <f t="shared" si="133"/>
        <v>0</v>
      </c>
      <c r="R360" s="503">
        <f t="shared" si="134"/>
        <v>0</v>
      </c>
    </row>
    <row r="361" spans="1:18">
      <c r="A361" s="505"/>
      <c r="B361" s="506"/>
      <c r="C361" s="507">
        <v>12</v>
      </c>
      <c r="D361" s="508"/>
      <c r="E361" s="507">
        <v>2</v>
      </c>
      <c r="F361" s="502">
        <v>1</v>
      </c>
      <c r="G361" s="502">
        <v>22</v>
      </c>
      <c r="H361" s="503"/>
      <c r="I361" s="503">
        <f t="shared" si="215"/>
        <v>2.9500000000000028</v>
      </c>
      <c r="J361" s="509"/>
      <c r="K361" s="509">
        <f t="shared" si="216"/>
        <v>0.432</v>
      </c>
      <c r="L361" s="503">
        <f t="shared" si="212"/>
        <v>3.3820000000000028</v>
      </c>
      <c r="M361" s="503">
        <f t="shared" si="213"/>
        <v>0</v>
      </c>
      <c r="N361" s="503">
        <f t="shared" si="130"/>
        <v>0</v>
      </c>
      <c r="O361" s="503">
        <f t="shared" si="131"/>
        <v>148.81</v>
      </c>
      <c r="P361" s="503">
        <f t="shared" si="132"/>
        <v>0</v>
      </c>
      <c r="Q361" s="503">
        <f t="shared" si="133"/>
        <v>0</v>
      </c>
      <c r="R361" s="503">
        <f t="shared" si="134"/>
        <v>0</v>
      </c>
    </row>
    <row r="362" spans="1:18">
      <c r="A362" s="505"/>
      <c r="B362" s="511" t="s">
        <v>797</v>
      </c>
      <c r="C362" s="507"/>
      <c r="D362" s="508"/>
      <c r="E362" s="507"/>
      <c r="F362" s="502"/>
      <c r="G362" s="502"/>
      <c r="H362" s="503"/>
      <c r="I362" s="503"/>
      <c r="J362" s="509"/>
      <c r="K362" s="509"/>
      <c r="L362" s="503">
        <f t="shared" ref="L362:L364" si="217">SUM(H362:J362)+K362</f>
        <v>0</v>
      </c>
      <c r="M362" s="503">
        <f t="shared" si="213"/>
        <v>0</v>
      </c>
      <c r="N362" s="503">
        <f t="shared" si="130"/>
        <v>0</v>
      </c>
      <c r="O362" s="503">
        <f t="shared" si="131"/>
        <v>0</v>
      </c>
      <c r="P362" s="503">
        <f t="shared" si="132"/>
        <v>0</v>
      </c>
      <c r="Q362" s="503">
        <f t="shared" si="133"/>
        <v>0</v>
      </c>
      <c r="R362" s="503">
        <f t="shared" si="134"/>
        <v>0</v>
      </c>
    </row>
    <row r="363" spans="1:18">
      <c r="A363" s="505"/>
      <c r="B363" s="511" t="s">
        <v>837</v>
      </c>
      <c r="C363" s="507">
        <v>8</v>
      </c>
      <c r="D363" s="508">
        <v>100</v>
      </c>
      <c r="E363" s="507">
        <v>2</v>
      </c>
      <c r="F363" s="502">
        <v>2</v>
      </c>
      <c r="G363" s="502">
        <f t="shared" ref="G363:G366" si="218">+ROUND(2450/D363+1,0)</f>
        <v>26</v>
      </c>
      <c r="H363" s="503"/>
      <c r="I363" s="503">
        <f>2*(0.18+0.583)+24*C363/1000</f>
        <v>1.7179999999999997</v>
      </c>
      <c r="J363" s="509"/>
      <c r="K363" s="509"/>
      <c r="L363" s="503">
        <f t="shared" si="217"/>
        <v>1.7179999999999997</v>
      </c>
      <c r="M363" s="503">
        <f t="shared" si="213"/>
        <v>178.67</v>
      </c>
      <c r="N363" s="503">
        <f t="shared" si="130"/>
        <v>0</v>
      </c>
      <c r="O363" s="503">
        <f t="shared" si="131"/>
        <v>0</v>
      </c>
      <c r="P363" s="503">
        <f t="shared" si="132"/>
        <v>0</v>
      </c>
      <c r="Q363" s="503">
        <f t="shared" si="133"/>
        <v>0</v>
      </c>
      <c r="R363" s="503">
        <f t="shared" si="134"/>
        <v>0</v>
      </c>
    </row>
    <row r="364" spans="1:18">
      <c r="A364" s="505"/>
      <c r="B364" s="511" t="s">
        <v>807</v>
      </c>
      <c r="C364" s="507">
        <v>8</v>
      </c>
      <c r="D364" s="508">
        <v>100</v>
      </c>
      <c r="E364" s="507">
        <v>2</v>
      </c>
      <c r="F364" s="502">
        <v>4</v>
      </c>
      <c r="G364" s="502">
        <f t="shared" si="218"/>
        <v>26</v>
      </c>
      <c r="H364" s="503"/>
      <c r="I364" s="503">
        <f>2*(0.18+0.122)+24*C364/1000</f>
        <v>0.79600000000000004</v>
      </c>
      <c r="J364" s="509"/>
      <c r="K364" s="509"/>
      <c r="L364" s="503">
        <f t="shared" si="217"/>
        <v>0.79600000000000004</v>
      </c>
      <c r="M364" s="503">
        <f t="shared" si="213"/>
        <v>165.57</v>
      </c>
      <c r="N364" s="503">
        <f t="shared" si="130"/>
        <v>0</v>
      </c>
      <c r="O364" s="503">
        <f t="shared" si="131"/>
        <v>0</v>
      </c>
      <c r="P364" s="503">
        <f t="shared" si="132"/>
        <v>0</v>
      </c>
      <c r="Q364" s="503">
        <f t="shared" si="133"/>
        <v>0</v>
      </c>
      <c r="R364" s="503">
        <f t="shared" si="134"/>
        <v>0</v>
      </c>
    </row>
    <row r="365" spans="1:18">
      <c r="A365" s="505"/>
      <c r="B365" s="511" t="s">
        <v>842</v>
      </c>
      <c r="C365" s="507">
        <v>8</v>
      </c>
      <c r="D365" s="508">
        <v>200</v>
      </c>
      <c r="E365" s="507">
        <v>2</v>
      </c>
      <c r="F365" s="502">
        <v>1</v>
      </c>
      <c r="G365" s="502">
        <f t="shared" si="218"/>
        <v>13</v>
      </c>
      <c r="H365" s="503"/>
      <c r="I365" s="503">
        <f>2*(0.18+0.671)+24*C365/1000</f>
        <v>1.8939999999999999</v>
      </c>
      <c r="J365" s="509"/>
      <c r="K365" s="509"/>
      <c r="L365" s="503">
        <f t="shared" ref="L365" si="219">SUM(H365:J365)+K365</f>
        <v>1.8939999999999999</v>
      </c>
      <c r="M365" s="503">
        <f t="shared" si="213"/>
        <v>49.24</v>
      </c>
      <c r="N365" s="503">
        <f t="shared" si="130"/>
        <v>0</v>
      </c>
      <c r="O365" s="503">
        <f t="shared" si="131"/>
        <v>0</v>
      </c>
      <c r="P365" s="503">
        <f t="shared" si="132"/>
        <v>0</v>
      </c>
      <c r="Q365" s="503">
        <f t="shared" si="133"/>
        <v>0</v>
      </c>
      <c r="R365" s="503">
        <f t="shared" si="134"/>
        <v>0</v>
      </c>
    </row>
    <row r="366" spans="1:18">
      <c r="A366" s="505"/>
      <c r="B366" s="511" t="s">
        <v>799</v>
      </c>
      <c r="C366" s="507">
        <v>8</v>
      </c>
      <c r="D366" s="508">
        <v>400</v>
      </c>
      <c r="E366" s="507">
        <v>2</v>
      </c>
      <c r="F366" s="502">
        <v>1</v>
      </c>
      <c r="G366" s="502">
        <f t="shared" si="218"/>
        <v>7</v>
      </c>
      <c r="H366" s="503"/>
      <c r="I366" s="503">
        <f>0.18+(20*C366/1000)</f>
        <v>0.33999999999999997</v>
      </c>
      <c r="J366" s="509"/>
      <c r="K366" s="509"/>
      <c r="L366" s="503">
        <f t="shared" ref="L366" si="220">SUM(H366:J366)+K366</f>
        <v>0.33999999999999997</v>
      </c>
      <c r="M366" s="503">
        <f t="shared" si="213"/>
        <v>4.76</v>
      </c>
      <c r="N366" s="503">
        <f t="shared" si="130"/>
        <v>0</v>
      </c>
      <c r="O366" s="503">
        <f t="shared" si="131"/>
        <v>0</v>
      </c>
      <c r="P366" s="503">
        <f t="shared" si="132"/>
        <v>0</v>
      </c>
      <c r="Q366" s="503">
        <f t="shared" si="133"/>
        <v>0</v>
      </c>
      <c r="R366" s="503">
        <f t="shared" si="134"/>
        <v>0</v>
      </c>
    </row>
    <row r="367" spans="1:18">
      <c r="A367" s="505"/>
      <c r="B367" s="506" t="s">
        <v>846</v>
      </c>
      <c r="C367" s="507">
        <v>16</v>
      </c>
      <c r="D367" s="508"/>
      <c r="E367" s="507">
        <v>1</v>
      </c>
      <c r="F367" s="502">
        <v>1</v>
      </c>
      <c r="G367" s="502">
        <v>16</v>
      </c>
      <c r="H367" s="503"/>
      <c r="I367" s="503">
        <f t="shared" ref="I367:I368" si="221">106.2-103.25</f>
        <v>2.9500000000000028</v>
      </c>
      <c r="J367" s="509"/>
      <c r="K367" s="509">
        <f t="shared" ref="K367:K368" si="222">1*36*C367/1000</f>
        <v>0.57599999999999996</v>
      </c>
      <c r="L367" s="503">
        <f t="shared" ref="L367:L368" si="223">SUM(H367:J367)+K367</f>
        <v>3.5260000000000029</v>
      </c>
      <c r="M367" s="503">
        <f t="shared" si="213"/>
        <v>0</v>
      </c>
      <c r="N367" s="503">
        <f t="shared" si="130"/>
        <v>0</v>
      </c>
      <c r="O367" s="503">
        <f t="shared" si="131"/>
        <v>0</v>
      </c>
      <c r="P367" s="503">
        <f t="shared" si="132"/>
        <v>56.42</v>
      </c>
      <c r="Q367" s="503">
        <f t="shared" si="133"/>
        <v>0</v>
      </c>
      <c r="R367" s="503">
        <f t="shared" si="134"/>
        <v>0</v>
      </c>
    </row>
    <row r="368" spans="1:18">
      <c r="A368" s="505"/>
      <c r="B368" s="506"/>
      <c r="C368" s="507">
        <v>12</v>
      </c>
      <c r="D368" s="508"/>
      <c r="E368" s="507">
        <v>1</v>
      </c>
      <c r="F368" s="502">
        <v>1</v>
      </c>
      <c r="G368" s="502">
        <v>40</v>
      </c>
      <c r="H368" s="503"/>
      <c r="I368" s="503">
        <f t="shared" si="221"/>
        <v>2.9500000000000028</v>
      </c>
      <c r="J368" s="509"/>
      <c r="K368" s="509">
        <f t="shared" si="222"/>
        <v>0.432</v>
      </c>
      <c r="L368" s="503">
        <f t="shared" si="223"/>
        <v>3.3820000000000028</v>
      </c>
      <c r="M368" s="503">
        <f t="shared" si="213"/>
        <v>0</v>
      </c>
      <c r="N368" s="503">
        <f t="shared" si="130"/>
        <v>0</v>
      </c>
      <c r="O368" s="503">
        <f t="shared" si="131"/>
        <v>135.28</v>
      </c>
      <c r="P368" s="503">
        <f t="shared" si="132"/>
        <v>0</v>
      </c>
      <c r="Q368" s="503">
        <f t="shared" si="133"/>
        <v>0</v>
      </c>
      <c r="R368" s="503">
        <f t="shared" si="134"/>
        <v>0</v>
      </c>
    </row>
    <row r="369" spans="1:18">
      <c r="A369" s="505"/>
      <c r="B369" s="511" t="s">
        <v>797</v>
      </c>
      <c r="C369" s="507"/>
      <c r="D369" s="508"/>
      <c r="E369" s="507"/>
      <c r="F369" s="502"/>
      <c r="G369" s="502"/>
      <c r="H369" s="503"/>
      <c r="I369" s="503"/>
      <c r="J369" s="509"/>
      <c r="K369" s="509"/>
      <c r="L369" s="503">
        <f t="shared" ref="L369:L371" si="224">SUM(H369:J369)+K369</f>
        <v>0</v>
      </c>
      <c r="M369" s="503">
        <f t="shared" si="213"/>
        <v>0</v>
      </c>
      <c r="N369" s="503">
        <f t="shared" si="130"/>
        <v>0</v>
      </c>
      <c r="O369" s="503">
        <f t="shared" si="131"/>
        <v>0</v>
      </c>
      <c r="P369" s="503">
        <f t="shared" si="132"/>
        <v>0</v>
      </c>
      <c r="Q369" s="503">
        <f t="shared" si="133"/>
        <v>0</v>
      </c>
      <c r="R369" s="503">
        <f t="shared" si="134"/>
        <v>0</v>
      </c>
    </row>
    <row r="370" spans="1:18">
      <c r="A370" s="505"/>
      <c r="B370" s="511" t="s">
        <v>820</v>
      </c>
      <c r="C370" s="507">
        <v>8</v>
      </c>
      <c r="D370" s="508">
        <v>100</v>
      </c>
      <c r="E370" s="507">
        <v>1</v>
      </c>
      <c r="F370" s="502">
        <v>2</v>
      </c>
      <c r="G370" s="502">
        <f t="shared" ref="G370:G373" si="225">+ROUND(2450/D370+1,0)</f>
        <v>26</v>
      </c>
      <c r="H370" s="503"/>
      <c r="I370" s="503">
        <f>2*(0.18+0.983)+24*C370/1000</f>
        <v>2.5180000000000002</v>
      </c>
      <c r="J370" s="509"/>
      <c r="K370" s="509"/>
      <c r="L370" s="503">
        <f t="shared" si="224"/>
        <v>2.5180000000000002</v>
      </c>
      <c r="M370" s="503">
        <f t="shared" si="213"/>
        <v>130.94</v>
      </c>
      <c r="N370" s="503">
        <f t="shared" si="130"/>
        <v>0</v>
      </c>
      <c r="O370" s="503">
        <f t="shared" si="131"/>
        <v>0</v>
      </c>
      <c r="P370" s="503">
        <f t="shared" si="132"/>
        <v>0</v>
      </c>
      <c r="Q370" s="503">
        <f t="shared" si="133"/>
        <v>0</v>
      </c>
      <c r="R370" s="503">
        <f t="shared" si="134"/>
        <v>0</v>
      </c>
    </row>
    <row r="371" spans="1:18">
      <c r="A371" s="505"/>
      <c r="B371" s="511" t="s">
        <v>807</v>
      </c>
      <c r="C371" s="507">
        <v>8</v>
      </c>
      <c r="D371" s="508">
        <v>100</v>
      </c>
      <c r="E371" s="507">
        <v>1</v>
      </c>
      <c r="F371" s="502">
        <v>8</v>
      </c>
      <c r="G371" s="502">
        <f t="shared" si="225"/>
        <v>26</v>
      </c>
      <c r="H371" s="503"/>
      <c r="I371" s="503">
        <f>2*(0.18+0.122)+24*C371/1000</f>
        <v>0.79600000000000004</v>
      </c>
      <c r="J371" s="509"/>
      <c r="K371" s="509"/>
      <c r="L371" s="503">
        <f t="shared" si="224"/>
        <v>0.79600000000000004</v>
      </c>
      <c r="M371" s="503">
        <f t="shared" si="213"/>
        <v>165.57</v>
      </c>
      <c r="N371" s="503">
        <f t="shared" si="130"/>
        <v>0</v>
      </c>
      <c r="O371" s="503">
        <f t="shared" si="131"/>
        <v>0</v>
      </c>
      <c r="P371" s="503">
        <f t="shared" si="132"/>
        <v>0</v>
      </c>
      <c r="Q371" s="503">
        <f t="shared" si="133"/>
        <v>0</v>
      </c>
      <c r="R371" s="503">
        <f t="shared" si="134"/>
        <v>0</v>
      </c>
    </row>
    <row r="372" spans="1:18">
      <c r="A372" s="505"/>
      <c r="B372" s="511" t="s">
        <v>847</v>
      </c>
      <c r="C372" s="507">
        <v>8</v>
      </c>
      <c r="D372" s="508">
        <v>200</v>
      </c>
      <c r="E372" s="507">
        <v>1</v>
      </c>
      <c r="F372" s="502">
        <v>1</v>
      </c>
      <c r="G372" s="502">
        <f t="shared" si="225"/>
        <v>13</v>
      </c>
      <c r="H372" s="503"/>
      <c r="I372" s="503">
        <f>2*(0.18+1.616)+24*C372/1000</f>
        <v>3.7840000000000003</v>
      </c>
      <c r="J372" s="509"/>
      <c r="K372" s="509"/>
      <c r="L372" s="503">
        <f t="shared" ref="L372:L373" si="226">SUM(H372:J372)+K372</f>
        <v>3.7840000000000003</v>
      </c>
      <c r="M372" s="503">
        <f t="shared" si="213"/>
        <v>49.19</v>
      </c>
      <c r="N372" s="503">
        <f t="shared" si="130"/>
        <v>0</v>
      </c>
      <c r="O372" s="503">
        <f t="shared" si="131"/>
        <v>0</v>
      </c>
      <c r="P372" s="503">
        <f t="shared" si="132"/>
        <v>0</v>
      </c>
      <c r="Q372" s="503">
        <f t="shared" si="133"/>
        <v>0</v>
      </c>
      <c r="R372" s="503">
        <f t="shared" si="134"/>
        <v>0</v>
      </c>
    </row>
    <row r="373" spans="1:18">
      <c r="A373" s="505"/>
      <c r="B373" s="511" t="s">
        <v>799</v>
      </c>
      <c r="C373" s="507">
        <v>8</v>
      </c>
      <c r="D373" s="508">
        <v>400</v>
      </c>
      <c r="E373" s="507">
        <v>1</v>
      </c>
      <c r="F373" s="502">
        <v>4</v>
      </c>
      <c r="G373" s="502">
        <f t="shared" si="225"/>
        <v>7</v>
      </c>
      <c r="H373" s="503"/>
      <c r="I373" s="503">
        <f>0.18+(20*C373/1000)</f>
        <v>0.33999999999999997</v>
      </c>
      <c r="J373" s="509"/>
      <c r="K373" s="509"/>
      <c r="L373" s="503">
        <f t="shared" si="226"/>
        <v>0.33999999999999997</v>
      </c>
      <c r="M373" s="503">
        <f t="shared" si="213"/>
        <v>9.52</v>
      </c>
      <c r="N373" s="503">
        <f t="shared" si="130"/>
        <v>0</v>
      </c>
      <c r="O373" s="503">
        <f t="shared" si="131"/>
        <v>0</v>
      </c>
      <c r="P373" s="503">
        <f t="shared" si="132"/>
        <v>0</v>
      </c>
      <c r="Q373" s="503">
        <f t="shared" si="133"/>
        <v>0</v>
      </c>
      <c r="R373" s="503">
        <f t="shared" si="134"/>
        <v>0</v>
      </c>
    </row>
    <row r="374" spans="1:18">
      <c r="A374" s="505"/>
      <c r="B374" s="506" t="s">
        <v>809</v>
      </c>
      <c r="C374" s="507">
        <v>16</v>
      </c>
      <c r="D374" s="508"/>
      <c r="E374" s="507">
        <v>6</v>
      </c>
      <c r="F374" s="502">
        <v>1</v>
      </c>
      <c r="G374" s="502">
        <v>8</v>
      </c>
      <c r="H374" s="503"/>
      <c r="I374" s="503">
        <f t="shared" ref="I374:I376" si="227">106.2-103.25</f>
        <v>2.9500000000000028</v>
      </c>
      <c r="J374" s="509"/>
      <c r="K374" s="509">
        <f t="shared" ref="K374:K376" si="228">1*36*C374/1000</f>
        <v>0.57599999999999996</v>
      </c>
      <c r="L374" s="503">
        <f t="shared" ref="L374:L384" si="229">SUM(H374:J374)+K374</f>
        <v>3.5260000000000029</v>
      </c>
      <c r="M374" s="503">
        <f t="shared" si="213"/>
        <v>0</v>
      </c>
      <c r="N374" s="503">
        <f t="shared" si="130"/>
        <v>0</v>
      </c>
      <c r="O374" s="503">
        <f t="shared" si="131"/>
        <v>0</v>
      </c>
      <c r="P374" s="503">
        <f t="shared" si="132"/>
        <v>169.25</v>
      </c>
      <c r="Q374" s="503">
        <f t="shared" si="133"/>
        <v>0</v>
      </c>
      <c r="R374" s="503">
        <f t="shared" si="134"/>
        <v>0</v>
      </c>
    </row>
    <row r="375" spans="1:18">
      <c r="A375" s="505"/>
      <c r="B375" s="511"/>
      <c r="C375" s="507">
        <v>12</v>
      </c>
      <c r="D375" s="508"/>
      <c r="E375" s="507">
        <v>6</v>
      </c>
      <c r="F375" s="502">
        <v>1</v>
      </c>
      <c r="G375" s="502">
        <v>16</v>
      </c>
      <c r="H375" s="503"/>
      <c r="I375" s="503">
        <f t="shared" si="227"/>
        <v>2.9500000000000028</v>
      </c>
      <c r="J375" s="509"/>
      <c r="K375" s="509">
        <f t="shared" si="228"/>
        <v>0.432</v>
      </c>
      <c r="L375" s="503">
        <f t="shared" si="229"/>
        <v>3.3820000000000028</v>
      </c>
      <c r="M375" s="503">
        <f t="shared" si="213"/>
        <v>0</v>
      </c>
      <c r="N375" s="503">
        <f t="shared" si="130"/>
        <v>0</v>
      </c>
      <c r="O375" s="503">
        <f t="shared" si="131"/>
        <v>324.67</v>
      </c>
      <c r="P375" s="503">
        <f t="shared" si="132"/>
        <v>0</v>
      </c>
      <c r="Q375" s="503">
        <f t="shared" si="133"/>
        <v>0</v>
      </c>
      <c r="R375" s="503">
        <f t="shared" si="134"/>
        <v>0</v>
      </c>
    </row>
    <row r="376" spans="1:18">
      <c r="A376" s="505"/>
      <c r="B376" s="511"/>
      <c r="C376" s="507">
        <v>10</v>
      </c>
      <c r="D376" s="508"/>
      <c r="E376" s="507">
        <v>6</v>
      </c>
      <c r="F376" s="502">
        <v>1</v>
      </c>
      <c r="G376" s="502">
        <v>10</v>
      </c>
      <c r="H376" s="503"/>
      <c r="I376" s="503">
        <f t="shared" si="227"/>
        <v>2.9500000000000028</v>
      </c>
      <c r="J376" s="509"/>
      <c r="K376" s="509">
        <f t="shared" si="228"/>
        <v>0.36</v>
      </c>
      <c r="L376" s="503">
        <f t="shared" si="229"/>
        <v>3.3100000000000027</v>
      </c>
      <c r="M376" s="503">
        <f t="shared" si="213"/>
        <v>0</v>
      </c>
      <c r="N376" s="503">
        <f t="shared" si="130"/>
        <v>198.6</v>
      </c>
      <c r="O376" s="503">
        <f t="shared" si="131"/>
        <v>0</v>
      </c>
      <c r="P376" s="503">
        <f t="shared" si="132"/>
        <v>0</v>
      </c>
      <c r="Q376" s="503">
        <f t="shared" si="133"/>
        <v>0</v>
      </c>
      <c r="R376" s="503">
        <f t="shared" si="134"/>
        <v>0</v>
      </c>
    </row>
    <row r="377" spans="1:18">
      <c r="A377" s="505"/>
      <c r="B377" s="511" t="s">
        <v>797</v>
      </c>
      <c r="C377" s="507"/>
      <c r="D377" s="508"/>
      <c r="E377" s="507"/>
      <c r="F377" s="502"/>
      <c r="G377" s="502"/>
      <c r="H377" s="503"/>
      <c r="I377" s="503"/>
      <c r="J377" s="509"/>
      <c r="K377" s="509"/>
      <c r="L377" s="503">
        <f t="shared" si="229"/>
        <v>0</v>
      </c>
      <c r="M377" s="503">
        <f t="shared" si="213"/>
        <v>0</v>
      </c>
      <c r="N377" s="503">
        <f t="shared" si="130"/>
        <v>0</v>
      </c>
      <c r="O377" s="503">
        <f t="shared" si="131"/>
        <v>0</v>
      </c>
      <c r="P377" s="503">
        <f t="shared" si="132"/>
        <v>0</v>
      </c>
      <c r="Q377" s="503">
        <f t="shared" si="133"/>
        <v>0</v>
      </c>
      <c r="R377" s="503">
        <f t="shared" si="134"/>
        <v>0</v>
      </c>
    </row>
    <row r="378" spans="1:18">
      <c r="A378" s="505"/>
      <c r="B378" s="511" t="s">
        <v>810</v>
      </c>
      <c r="C378" s="507">
        <v>8</v>
      </c>
      <c r="D378" s="508">
        <v>100</v>
      </c>
      <c r="E378" s="507">
        <v>6</v>
      </c>
      <c r="F378" s="502">
        <v>1</v>
      </c>
      <c r="G378" s="502">
        <f t="shared" ref="G378:G385" si="230">+ROUND(2450/D378+1,0)</f>
        <v>26</v>
      </c>
      <c r="H378" s="503"/>
      <c r="I378" s="503">
        <f>2*(0.18+0.6)+24*C378/1000</f>
        <v>1.752</v>
      </c>
      <c r="J378" s="509"/>
      <c r="K378" s="509"/>
      <c r="L378" s="503">
        <f t="shared" si="229"/>
        <v>1.752</v>
      </c>
      <c r="M378" s="503">
        <f t="shared" si="213"/>
        <v>273.31</v>
      </c>
      <c r="N378" s="503">
        <f t="shared" si="130"/>
        <v>0</v>
      </c>
      <c r="O378" s="503">
        <f t="shared" si="131"/>
        <v>0</v>
      </c>
      <c r="P378" s="503">
        <f t="shared" si="132"/>
        <v>0</v>
      </c>
      <c r="Q378" s="503">
        <f t="shared" si="133"/>
        <v>0</v>
      </c>
      <c r="R378" s="503">
        <f t="shared" si="134"/>
        <v>0</v>
      </c>
    </row>
    <row r="379" spans="1:18">
      <c r="A379" s="505"/>
      <c r="B379" s="511" t="s">
        <v>811</v>
      </c>
      <c r="C379" s="507">
        <v>8</v>
      </c>
      <c r="D379" s="508">
        <v>100</v>
      </c>
      <c r="E379" s="507">
        <v>6</v>
      </c>
      <c r="F379" s="502">
        <v>1</v>
      </c>
      <c r="G379" s="502">
        <f t="shared" si="230"/>
        <v>26</v>
      </c>
      <c r="H379" s="503"/>
      <c r="I379" s="503">
        <f>2*(0.18+0.248)+24*C379/1000</f>
        <v>1.048</v>
      </c>
      <c r="J379" s="509"/>
      <c r="K379" s="509"/>
      <c r="L379" s="503">
        <f t="shared" si="229"/>
        <v>1.048</v>
      </c>
      <c r="M379" s="503">
        <f t="shared" si="213"/>
        <v>163.49</v>
      </c>
      <c r="N379" s="503">
        <f t="shared" si="130"/>
        <v>0</v>
      </c>
      <c r="O379" s="503">
        <f t="shared" si="131"/>
        <v>0</v>
      </c>
      <c r="P379" s="503">
        <f t="shared" si="132"/>
        <v>0</v>
      </c>
      <c r="Q379" s="503">
        <f t="shared" si="133"/>
        <v>0</v>
      </c>
      <c r="R379" s="503">
        <f t="shared" si="134"/>
        <v>0</v>
      </c>
    </row>
    <row r="380" spans="1:18">
      <c r="A380" s="505"/>
      <c r="B380" s="511" t="s">
        <v>798</v>
      </c>
      <c r="C380" s="507">
        <v>8</v>
      </c>
      <c r="D380" s="508">
        <v>100</v>
      </c>
      <c r="E380" s="507">
        <v>6</v>
      </c>
      <c r="F380" s="502">
        <v>1</v>
      </c>
      <c r="G380" s="502">
        <f t="shared" si="230"/>
        <v>26</v>
      </c>
      <c r="H380" s="503"/>
      <c r="I380" s="503">
        <f>0.18+(20*C380/1000)</f>
        <v>0.33999999999999997</v>
      </c>
      <c r="J380" s="509"/>
      <c r="K380" s="509"/>
      <c r="L380" s="503">
        <f t="shared" si="229"/>
        <v>0.33999999999999997</v>
      </c>
      <c r="M380" s="503">
        <f t="shared" si="213"/>
        <v>53.04</v>
      </c>
      <c r="N380" s="503">
        <f t="shared" si="130"/>
        <v>0</v>
      </c>
      <c r="O380" s="503">
        <f t="shared" si="131"/>
        <v>0</v>
      </c>
      <c r="P380" s="503">
        <f t="shared" si="132"/>
        <v>0</v>
      </c>
      <c r="Q380" s="503">
        <f t="shared" si="133"/>
        <v>0</v>
      </c>
      <c r="R380" s="503">
        <f t="shared" si="134"/>
        <v>0</v>
      </c>
    </row>
    <row r="381" spans="1:18">
      <c r="A381" s="505"/>
      <c r="B381" s="511" t="s">
        <v>812</v>
      </c>
      <c r="C381" s="507">
        <v>8</v>
      </c>
      <c r="D381" s="508">
        <v>100</v>
      </c>
      <c r="E381" s="507">
        <v>6</v>
      </c>
      <c r="F381" s="502">
        <v>2</v>
      </c>
      <c r="G381" s="502">
        <f t="shared" si="230"/>
        <v>26</v>
      </c>
      <c r="H381" s="503"/>
      <c r="I381" s="503">
        <f>2*(0.18+0.385)+24*C381/1000</f>
        <v>1.3219999999999998</v>
      </c>
      <c r="J381" s="509"/>
      <c r="K381" s="509"/>
      <c r="L381" s="503">
        <f t="shared" si="229"/>
        <v>1.3219999999999998</v>
      </c>
      <c r="M381" s="503">
        <f t="shared" si="213"/>
        <v>412.46</v>
      </c>
      <c r="N381" s="503">
        <f t="shared" si="130"/>
        <v>0</v>
      </c>
      <c r="O381" s="503">
        <f t="shared" si="131"/>
        <v>0</v>
      </c>
      <c r="P381" s="503">
        <f t="shared" si="132"/>
        <v>0</v>
      </c>
      <c r="Q381" s="503">
        <f t="shared" si="133"/>
        <v>0</v>
      </c>
      <c r="R381" s="503">
        <f t="shared" si="134"/>
        <v>0</v>
      </c>
    </row>
    <row r="382" spans="1:18">
      <c r="A382" s="505"/>
      <c r="B382" s="511" t="s">
        <v>813</v>
      </c>
      <c r="C382" s="507">
        <v>8</v>
      </c>
      <c r="D382" s="508">
        <v>100</v>
      </c>
      <c r="E382" s="507">
        <v>6</v>
      </c>
      <c r="F382" s="502">
        <v>1</v>
      </c>
      <c r="G382" s="502">
        <f t="shared" si="230"/>
        <v>26</v>
      </c>
      <c r="H382" s="503"/>
      <c r="I382" s="503">
        <f>2*(0.18+0.268)+24*C382/1000</f>
        <v>1.0880000000000001</v>
      </c>
      <c r="J382" s="509"/>
      <c r="K382" s="509"/>
      <c r="L382" s="503">
        <f t="shared" si="229"/>
        <v>1.0880000000000001</v>
      </c>
      <c r="M382" s="503">
        <f t="shared" si="213"/>
        <v>169.73</v>
      </c>
      <c r="N382" s="503">
        <f t="shared" si="130"/>
        <v>0</v>
      </c>
      <c r="O382" s="503">
        <f t="shared" si="131"/>
        <v>0</v>
      </c>
      <c r="P382" s="503">
        <f t="shared" si="132"/>
        <v>0</v>
      </c>
      <c r="Q382" s="503">
        <f t="shared" si="133"/>
        <v>0</v>
      </c>
      <c r="R382" s="503">
        <f t="shared" si="134"/>
        <v>0</v>
      </c>
    </row>
    <row r="383" spans="1:18">
      <c r="A383" s="505"/>
      <c r="B383" s="511" t="s">
        <v>798</v>
      </c>
      <c r="C383" s="507">
        <v>8</v>
      </c>
      <c r="D383" s="508">
        <v>100</v>
      </c>
      <c r="E383" s="507">
        <v>6</v>
      </c>
      <c r="F383" s="502">
        <v>1</v>
      </c>
      <c r="G383" s="502">
        <f t="shared" si="230"/>
        <v>26</v>
      </c>
      <c r="H383" s="503"/>
      <c r="I383" s="503">
        <f>0.18+(20*C383/1000)</f>
        <v>0.33999999999999997</v>
      </c>
      <c r="J383" s="509"/>
      <c r="K383" s="509"/>
      <c r="L383" s="503">
        <f t="shared" si="229"/>
        <v>0.33999999999999997</v>
      </c>
      <c r="M383" s="503">
        <f t="shared" si="213"/>
        <v>53.04</v>
      </c>
      <c r="N383" s="503">
        <f t="shared" si="130"/>
        <v>0</v>
      </c>
      <c r="O383" s="503">
        <f t="shared" si="131"/>
        <v>0</v>
      </c>
      <c r="P383" s="503">
        <f t="shared" si="132"/>
        <v>0</v>
      </c>
      <c r="Q383" s="503">
        <f t="shared" si="133"/>
        <v>0</v>
      </c>
      <c r="R383" s="503">
        <f t="shared" si="134"/>
        <v>0</v>
      </c>
    </row>
    <row r="384" spans="1:18">
      <c r="A384" s="505"/>
      <c r="B384" s="511" t="s">
        <v>814</v>
      </c>
      <c r="C384" s="507">
        <v>8</v>
      </c>
      <c r="D384" s="508">
        <v>200</v>
      </c>
      <c r="E384" s="507">
        <v>6</v>
      </c>
      <c r="F384" s="502">
        <v>1</v>
      </c>
      <c r="G384" s="502">
        <f t="shared" si="230"/>
        <v>13</v>
      </c>
      <c r="H384" s="503"/>
      <c r="I384" s="503">
        <f>2*(0.18+1.066)+24*C384/1000</f>
        <v>2.6840000000000002</v>
      </c>
      <c r="J384" s="509"/>
      <c r="K384" s="509"/>
      <c r="L384" s="503">
        <f t="shared" si="229"/>
        <v>2.6840000000000002</v>
      </c>
      <c r="M384" s="503">
        <f t="shared" si="213"/>
        <v>209.35</v>
      </c>
      <c r="N384" s="503">
        <f t="shared" si="130"/>
        <v>0</v>
      </c>
      <c r="O384" s="503">
        <f t="shared" si="131"/>
        <v>0</v>
      </c>
      <c r="P384" s="503">
        <f t="shared" si="132"/>
        <v>0</v>
      </c>
      <c r="Q384" s="503">
        <f t="shared" si="133"/>
        <v>0</v>
      </c>
      <c r="R384" s="503">
        <f t="shared" si="134"/>
        <v>0</v>
      </c>
    </row>
    <row r="385" spans="1:18">
      <c r="A385" s="505"/>
      <c r="B385" s="511" t="s">
        <v>799</v>
      </c>
      <c r="C385" s="507">
        <v>8</v>
      </c>
      <c r="D385" s="508">
        <v>400</v>
      </c>
      <c r="E385" s="507">
        <v>6</v>
      </c>
      <c r="F385" s="502">
        <v>2</v>
      </c>
      <c r="G385" s="502">
        <f t="shared" si="230"/>
        <v>7</v>
      </c>
      <c r="H385" s="503"/>
      <c r="I385" s="503">
        <f>0.18+(20*C385/1000)</f>
        <v>0.33999999999999997</v>
      </c>
      <c r="J385" s="509"/>
      <c r="K385" s="509"/>
      <c r="L385" s="503">
        <f t="shared" ref="L385" si="231">SUM(H385:J385)+K385</f>
        <v>0.33999999999999997</v>
      </c>
      <c r="M385" s="503">
        <f t="shared" si="213"/>
        <v>28.56</v>
      </c>
      <c r="N385" s="503">
        <f t="shared" si="130"/>
        <v>0</v>
      </c>
      <c r="O385" s="503">
        <f t="shared" si="131"/>
        <v>0</v>
      </c>
      <c r="P385" s="503">
        <f t="shared" si="132"/>
        <v>0</v>
      </c>
      <c r="Q385" s="503">
        <f t="shared" si="133"/>
        <v>0</v>
      </c>
      <c r="R385" s="503">
        <f t="shared" si="134"/>
        <v>0</v>
      </c>
    </row>
    <row r="386" spans="1:18">
      <c r="A386" s="505"/>
      <c r="B386" s="506" t="s">
        <v>815</v>
      </c>
      <c r="C386" s="507">
        <v>16</v>
      </c>
      <c r="D386" s="508"/>
      <c r="E386" s="507">
        <v>2</v>
      </c>
      <c r="F386" s="502">
        <v>1</v>
      </c>
      <c r="G386" s="502">
        <v>8</v>
      </c>
      <c r="H386" s="503"/>
      <c r="I386" s="503">
        <f t="shared" ref="I386:I388" si="232">106.2-103.25</f>
        <v>2.9500000000000028</v>
      </c>
      <c r="J386" s="509"/>
      <c r="K386" s="509">
        <f t="shared" ref="K386:K388" si="233">1*36*C386/1000</f>
        <v>0.57599999999999996</v>
      </c>
      <c r="L386" s="503">
        <f t="shared" ref="L386:L393" si="234">SUM(H386:J386)+K386</f>
        <v>3.5260000000000029</v>
      </c>
      <c r="M386" s="503">
        <f t="shared" si="213"/>
        <v>0</v>
      </c>
      <c r="N386" s="503">
        <f t="shared" si="130"/>
        <v>0</v>
      </c>
      <c r="O386" s="503">
        <f t="shared" si="131"/>
        <v>0</v>
      </c>
      <c r="P386" s="503">
        <f t="shared" si="132"/>
        <v>56.42</v>
      </c>
      <c r="Q386" s="503">
        <f t="shared" si="133"/>
        <v>0</v>
      </c>
      <c r="R386" s="503">
        <f t="shared" si="134"/>
        <v>0</v>
      </c>
    </row>
    <row r="387" spans="1:18">
      <c r="A387" s="505"/>
      <c r="B387" s="506"/>
      <c r="C387" s="507">
        <v>12</v>
      </c>
      <c r="D387" s="508"/>
      <c r="E387" s="507">
        <v>2</v>
      </c>
      <c r="F387" s="502">
        <v>1</v>
      </c>
      <c r="G387" s="502">
        <v>20</v>
      </c>
      <c r="H387" s="503"/>
      <c r="I387" s="503">
        <f t="shared" si="232"/>
        <v>2.9500000000000028</v>
      </c>
      <c r="J387" s="509"/>
      <c r="K387" s="509">
        <f t="shared" si="233"/>
        <v>0.432</v>
      </c>
      <c r="L387" s="503">
        <f t="shared" si="234"/>
        <v>3.3820000000000028</v>
      </c>
      <c r="M387" s="503">
        <f t="shared" si="213"/>
        <v>0</v>
      </c>
      <c r="N387" s="503">
        <f t="shared" si="130"/>
        <v>0</v>
      </c>
      <c r="O387" s="503">
        <f t="shared" si="131"/>
        <v>135.28</v>
      </c>
      <c r="P387" s="503">
        <f t="shared" si="132"/>
        <v>0</v>
      </c>
      <c r="Q387" s="503">
        <f t="shared" si="133"/>
        <v>0</v>
      </c>
      <c r="R387" s="503">
        <f t="shared" si="134"/>
        <v>0</v>
      </c>
    </row>
    <row r="388" spans="1:18">
      <c r="A388" s="505"/>
      <c r="B388" s="506"/>
      <c r="C388" s="507">
        <v>10</v>
      </c>
      <c r="D388" s="508"/>
      <c r="E388" s="507">
        <v>2</v>
      </c>
      <c r="F388" s="502">
        <v>1</v>
      </c>
      <c r="G388" s="502">
        <v>20</v>
      </c>
      <c r="H388" s="503"/>
      <c r="I388" s="503">
        <f t="shared" si="232"/>
        <v>2.9500000000000028</v>
      </c>
      <c r="J388" s="509"/>
      <c r="K388" s="509">
        <f t="shared" si="233"/>
        <v>0.36</v>
      </c>
      <c r="L388" s="503">
        <f t="shared" si="234"/>
        <v>3.3100000000000027</v>
      </c>
      <c r="M388" s="503">
        <f t="shared" si="213"/>
        <v>0</v>
      </c>
      <c r="N388" s="503">
        <f t="shared" si="130"/>
        <v>132.4</v>
      </c>
      <c r="O388" s="503">
        <f t="shared" si="131"/>
        <v>0</v>
      </c>
      <c r="P388" s="503">
        <f t="shared" si="132"/>
        <v>0</v>
      </c>
      <c r="Q388" s="503">
        <f t="shared" si="133"/>
        <v>0</v>
      </c>
      <c r="R388" s="503">
        <f t="shared" si="134"/>
        <v>0</v>
      </c>
    </row>
    <row r="389" spans="1:18">
      <c r="A389" s="505"/>
      <c r="B389" s="511" t="s">
        <v>797</v>
      </c>
      <c r="C389" s="507"/>
      <c r="D389" s="508"/>
      <c r="E389" s="507"/>
      <c r="F389" s="502"/>
      <c r="G389" s="502"/>
      <c r="H389" s="503"/>
      <c r="I389" s="503"/>
      <c r="J389" s="509"/>
      <c r="K389" s="509"/>
      <c r="L389" s="503">
        <f t="shared" si="234"/>
        <v>0</v>
      </c>
      <c r="M389" s="503">
        <f t="shared" si="213"/>
        <v>0</v>
      </c>
      <c r="N389" s="503">
        <f t="shared" si="130"/>
        <v>0</v>
      </c>
      <c r="O389" s="503">
        <f t="shared" si="131"/>
        <v>0</v>
      </c>
      <c r="P389" s="503">
        <f t="shared" si="132"/>
        <v>0</v>
      </c>
      <c r="Q389" s="503">
        <f t="shared" si="133"/>
        <v>0</v>
      </c>
      <c r="R389" s="503">
        <f t="shared" si="134"/>
        <v>0</v>
      </c>
    </row>
    <row r="390" spans="1:18">
      <c r="A390" s="505"/>
      <c r="B390" s="511" t="s">
        <v>816</v>
      </c>
      <c r="C390" s="507">
        <v>8</v>
      </c>
      <c r="D390" s="508">
        <v>100</v>
      </c>
      <c r="E390" s="507">
        <v>2</v>
      </c>
      <c r="F390" s="502">
        <v>2</v>
      </c>
      <c r="G390" s="502">
        <f t="shared" ref="G390:G394" si="235">+ROUND(2450/D390+1,0)</f>
        <v>26</v>
      </c>
      <c r="H390" s="503"/>
      <c r="I390" s="503">
        <f>2*(0.18+0.683)+24*C390/1000</f>
        <v>1.9179999999999999</v>
      </c>
      <c r="J390" s="509"/>
      <c r="K390" s="509"/>
      <c r="L390" s="503">
        <f t="shared" si="234"/>
        <v>1.9179999999999999</v>
      </c>
      <c r="M390" s="503">
        <f t="shared" si="213"/>
        <v>199.47</v>
      </c>
      <c r="N390" s="503">
        <f t="shared" si="130"/>
        <v>0</v>
      </c>
      <c r="O390" s="503">
        <f t="shared" si="131"/>
        <v>0</v>
      </c>
      <c r="P390" s="503">
        <f t="shared" si="132"/>
        <v>0</v>
      </c>
      <c r="Q390" s="503">
        <f t="shared" si="133"/>
        <v>0</v>
      </c>
      <c r="R390" s="503">
        <f t="shared" si="134"/>
        <v>0</v>
      </c>
    </row>
    <row r="391" spans="1:18">
      <c r="A391" s="505"/>
      <c r="B391" s="511" t="s">
        <v>817</v>
      </c>
      <c r="C391" s="507">
        <v>8</v>
      </c>
      <c r="D391" s="508">
        <v>100</v>
      </c>
      <c r="E391" s="507">
        <v>2</v>
      </c>
      <c r="F391" s="502">
        <f>2*2</f>
        <v>4</v>
      </c>
      <c r="G391" s="502">
        <f t="shared" si="235"/>
        <v>26</v>
      </c>
      <c r="H391" s="503"/>
      <c r="I391" s="503">
        <f>2*(0.18+0.128)+24*C391/1000</f>
        <v>0.80800000000000005</v>
      </c>
      <c r="J391" s="509"/>
      <c r="K391" s="509"/>
      <c r="L391" s="503">
        <f t="shared" si="234"/>
        <v>0.80800000000000005</v>
      </c>
      <c r="M391" s="503">
        <f t="shared" si="213"/>
        <v>168.06</v>
      </c>
      <c r="N391" s="503">
        <f t="shared" si="130"/>
        <v>0</v>
      </c>
      <c r="O391" s="503">
        <f t="shared" si="131"/>
        <v>0</v>
      </c>
      <c r="P391" s="503">
        <f t="shared" si="132"/>
        <v>0</v>
      </c>
      <c r="Q391" s="503">
        <f t="shared" si="133"/>
        <v>0</v>
      </c>
      <c r="R391" s="503">
        <f t="shared" si="134"/>
        <v>0</v>
      </c>
    </row>
    <row r="392" spans="1:18">
      <c r="A392" s="505"/>
      <c r="B392" s="511" t="s">
        <v>798</v>
      </c>
      <c r="C392" s="507">
        <v>8</v>
      </c>
      <c r="D392" s="508">
        <v>100</v>
      </c>
      <c r="E392" s="507">
        <v>2</v>
      </c>
      <c r="F392" s="502">
        <v>2</v>
      </c>
      <c r="G392" s="502">
        <f t="shared" si="235"/>
        <v>26</v>
      </c>
      <c r="H392" s="503"/>
      <c r="I392" s="503">
        <f>0.18+(20*C392/1000)</f>
        <v>0.33999999999999997</v>
      </c>
      <c r="J392" s="509"/>
      <c r="K392" s="509"/>
      <c r="L392" s="503">
        <f t="shared" si="234"/>
        <v>0.33999999999999997</v>
      </c>
      <c r="M392" s="503">
        <f t="shared" si="213"/>
        <v>35.36</v>
      </c>
      <c r="N392" s="503">
        <f t="shared" si="130"/>
        <v>0</v>
      </c>
      <c r="O392" s="503">
        <f t="shared" si="131"/>
        <v>0</v>
      </c>
      <c r="P392" s="503">
        <f t="shared" si="132"/>
        <v>0</v>
      </c>
      <c r="Q392" s="503">
        <f t="shared" si="133"/>
        <v>0</v>
      </c>
      <c r="R392" s="503">
        <f t="shared" si="134"/>
        <v>0</v>
      </c>
    </row>
    <row r="393" spans="1:18">
      <c r="A393" s="505"/>
      <c r="B393" s="511" t="s">
        <v>818</v>
      </c>
      <c r="C393" s="507">
        <v>8</v>
      </c>
      <c r="D393" s="508">
        <v>200</v>
      </c>
      <c r="E393" s="507">
        <v>2</v>
      </c>
      <c r="F393" s="502">
        <v>1</v>
      </c>
      <c r="G393" s="502">
        <f t="shared" si="235"/>
        <v>13</v>
      </c>
      <c r="H393" s="503"/>
      <c r="I393" s="503">
        <f>2*(0.18+2.061)+24*C393/1000</f>
        <v>4.6740000000000004</v>
      </c>
      <c r="J393" s="509"/>
      <c r="K393" s="509"/>
      <c r="L393" s="503">
        <f t="shared" si="234"/>
        <v>4.6740000000000004</v>
      </c>
      <c r="M393" s="503">
        <f t="shared" si="213"/>
        <v>121.52</v>
      </c>
      <c r="N393" s="503">
        <f t="shared" si="130"/>
        <v>0</v>
      </c>
      <c r="O393" s="503">
        <f t="shared" si="131"/>
        <v>0</v>
      </c>
      <c r="P393" s="503">
        <f t="shared" si="132"/>
        <v>0</v>
      </c>
      <c r="Q393" s="503">
        <f t="shared" si="133"/>
        <v>0</v>
      </c>
      <c r="R393" s="503">
        <f t="shared" si="134"/>
        <v>0</v>
      </c>
    </row>
    <row r="394" spans="1:18">
      <c r="A394" s="505"/>
      <c r="B394" s="511" t="s">
        <v>799</v>
      </c>
      <c r="C394" s="507">
        <v>8</v>
      </c>
      <c r="D394" s="508">
        <v>400</v>
      </c>
      <c r="E394" s="507">
        <v>2</v>
      </c>
      <c r="F394" s="502">
        <v>5</v>
      </c>
      <c r="G394" s="502">
        <f t="shared" si="235"/>
        <v>7</v>
      </c>
      <c r="H394" s="503"/>
      <c r="I394" s="503">
        <f>0.18+(20*C394/1000)</f>
        <v>0.33999999999999997</v>
      </c>
      <c r="J394" s="509"/>
      <c r="K394" s="509"/>
      <c r="L394" s="503">
        <f t="shared" ref="L394" si="236">SUM(H394:J394)+K394</f>
        <v>0.33999999999999997</v>
      </c>
      <c r="M394" s="503">
        <f t="shared" si="213"/>
        <v>23.8</v>
      </c>
      <c r="N394" s="503">
        <f t="shared" si="130"/>
        <v>0</v>
      </c>
      <c r="O394" s="503">
        <f t="shared" si="131"/>
        <v>0</v>
      </c>
      <c r="P394" s="503">
        <f t="shared" si="132"/>
        <v>0</v>
      </c>
      <c r="Q394" s="503">
        <f t="shared" si="133"/>
        <v>0</v>
      </c>
      <c r="R394" s="503">
        <f t="shared" si="134"/>
        <v>0</v>
      </c>
    </row>
    <row r="395" spans="1:18">
      <c r="A395" s="505"/>
      <c r="B395" s="506" t="s">
        <v>819</v>
      </c>
      <c r="C395" s="507">
        <v>16</v>
      </c>
      <c r="D395" s="508"/>
      <c r="E395" s="507">
        <v>2</v>
      </c>
      <c r="F395" s="502">
        <v>1</v>
      </c>
      <c r="G395" s="502">
        <v>16</v>
      </c>
      <c r="H395" s="503"/>
      <c r="I395" s="503">
        <f t="shared" ref="I395:I397" si="237">106.2-103.25</f>
        <v>2.9500000000000028</v>
      </c>
      <c r="J395" s="509"/>
      <c r="K395" s="509">
        <f t="shared" ref="K395:K397" si="238">1*36*C395/1000</f>
        <v>0.57599999999999996</v>
      </c>
      <c r="L395" s="503">
        <f t="shared" ref="L395:L401" si="239">SUM(H395:J395)+K395</f>
        <v>3.5260000000000029</v>
      </c>
      <c r="M395" s="503">
        <f t="shared" si="213"/>
        <v>0</v>
      </c>
      <c r="N395" s="503">
        <f t="shared" si="130"/>
        <v>0</v>
      </c>
      <c r="O395" s="503">
        <f t="shared" si="131"/>
        <v>0</v>
      </c>
      <c r="P395" s="503">
        <f t="shared" si="132"/>
        <v>112.83</v>
      </c>
      <c r="Q395" s="503">
        <f t="shared" si="133"/>
        <v>0</v>
      </c>
      <c r="R395" s="503">
        <f t="shared" si="134"/>
        <v>0</v>
      </c>
    </row>
    <row r="396" spans="1:18">
      <c r="A396" s="505"/>
      <c r="B396" s="506"/>
      <c r="C396" s="507">
        <v>12</v>
      </c>
      <c r="D396" s="508"/>
      <c r="E396" s="507">
        <v>2</v>
      </c>
      <c r="F396" s="502">
        <v>1</v>
      </c>
      <c r="G396" s="502">
        <v>24</v>
      </c>
      <c r="H396" s="503"/>
      <c r="I396" s="503">
        <f t="shared" si="237"/>
        <v>2.9500000000000028</v>
      </c>
      <c r="J396" s="509"/>
      <c r="K396" s="509">
        <f t="shared" si="238"/>
        <v>0.432</v>
      </c>
      <c r="L396" s="503">
        <f t="shared" si="239"/>
        <v>3.3820000000000028</v>
      </c>
      <c r="M396" s="503">
        <f t="shared" si="213"/>
        <v>0</v>
      </c>
      <c r="N396" s="503">
        <f t="shared" si="130"/>
        <v>0</v>
      </c>
      <c r="O396" s="503">
        <f t="shared" si="131"/>
        <v>162.34</v>
      </c>
      <c r="P396" s="503">
        <f t="shared" si="132"/>
        <v>0</v>
      </c>
      <c r="Q396" s="503">
        <f t="shared" si="133"/>
        <v>0</v>
      </c>
      <c r="R396" s="503">
        <f t="shared" si="134"/>
        <v>0</v>
      </c>
    </row>
    <row r="397" spans="1:18">
      <c r="A397" s="505"/>
      <c r="B397" s="506"/>
      <c r="C397" s="507">
        <v>10</v>
      </c>
      <c r="D397" s="508"/>
      <c r="E397" s="507">
        <v>2</v>
      </c>
      <c r="F397" s="502">
        <v>1</v>
      </c>
      <c r="G397" s="502">
        <v>20</v>
      </c>
      <c r="H397" s="503"/>
      <c r="I397" s="503">
        <f t="shared" si="237"/>
        <v>2.9500000000000028</v>
      </c>
      <c r="J397" s="509"/>
      <c r="K397" s="509">
        <f t="shared" si="238"/>
        <v>0.36</v>
      </c>
      <c r="L397" s="503">
        <f t="shared" si="239"/>
        <v>3.3100000000000027</v>
      </c>
      <c r="M397" s="503">
        <f t="shared" si="213"/>
        <v>0</v>
      </c>
      <c r="N397" s="503">
        <f t="shared" si="130"/>
        <v>132.4</v>
      </c>
      <c r="O397" s="503">
        <f t="shared" si="131"/>
        <v>0</v>
      </c>
      <c r="P397" s="503">
        <f t="shared" si="132"/>
        <v>0</v>
      </c>
      <c r="Q397" s="503">
        <f t="shared" si="133"/>
        <v>0</v>
      </c>
      <c r="R397" s="503">
        <f t="shared" si="134"/>
        <v>0</v>
      </c>
    </row>
    <row r="398" spans="1:18">
      <c r="A398" s="505"/>
      <c r="B398" s="511" t="s">
        <v>797</v>
      </c>
      <c r="C398" s="507"/>
      <c r="D398" s="508"/>
      <c r="E398" s="507"/>
      <c r="F398" s="502"/>
      <c r="G398" s="502"/>
      <c r="H398" s="503"/>
      <c r="I398" s="503"/>
      <c r="J398" s="509"/>
      <c r="K398" s="509"/>
      <c r="L398" s="503">
        <f t="shared" si="239"/>
        <v>0</v>
      </c>
      <c r="M398" s="503">
        <f t="shared" si="213"/>
        <v>0</v>
      </c>
      <c r="N398" s="503">
        <f t="shared" si="130"/>
        <v>0</v>
      </c>
      <c r="O398" s="503">
        <f t="shared" si="131"/>
        <v>0</v>
      </c>
      <c r="P398" s="503">
        <f t="shared" si="132"/>
        <v>0</v>
      </c>
      <c r="Q398" s="503">
        <f t="shared" si="133"/>
        <v>0</v>
      </c>
      <c r="R398" s="503">
        <f t="shared" si="134"/>
        <v>0</v>
      </c>
    </row>
    <row r="399" spans="1:18">
      <c r="A399" s="505"/>
      <c r="B399" s="511" t="s">
        <v>820</v>
      </c>
      <c r="C399" s="507">
        <v>8</v>
      </c>
      <c r="D399" s="508">
        <v>100</v>
      </c>
      <c r="E399" s="507">
        <v>2</v>
      </c>
      <c r="F399" s="502">
        <v>2</v>
      </c>
      <c r="G399" s="502">
        <f t="shared" ref="G399:G402" si="240">+ROUND(2450/D399+1,0)</f>
        <v>26</v>
      </c>
      <c r="H399" s="503"/>
      <c r="I399" s="503">
        <f>2*(0.18+0.983)+24*C399/1000</f>
        <v>2.5180000000000002</v>
      </c>
      <c r="J399" s="509"/>
      <c r="K399" s="509"/>
      <c r="L399" s="503">
        <f t="shared" si="239"/>
        <v>2.5180000000000002</v>
      </c>
      <c r="M399" s="503">
        <f t="shared" si="213"/>
        <v>261.87</v>
      </c>
      <c r="N399" s="503">
        <f t="shared" si="130"/>
        <v>0</v>
      </c>
      <c r="O399" s="503">
        <f t="shared" si="131"/>
        <v>0</v>
      </c>
      <c r="P399" s="503">
        <f t="shared" si="132"/>
        <v>0</v>
      </c>
      <c r="Q399" s="503">
        <f t="shared" si="133"/>
        <v>0</v>
      </c>
      <c r="R399" s="503">
        <f t="shared" si="134"/>
        <v>0</v>
      </c>
    </row>
    <row r="400" spans="1:18">
      <c r="A400" s="505"/>
      <c r="B400" s="511" t="s">
        <v>821</v>
      </c>
      <c r="C400" s="507">
        <v>8</v>
      </c>
      <c r="D400" s="508">
        <v>100</v>
      </c>
      <c r="E400" s="507">
        <v>2</v>
      </c>
      <c r="F400" s="502">
        <f>4*2</f>
        <v>8</v>
      </c>
      <c r="G400" s="502">
        <f t="shared" si="240"/>
        <v>26</v>
      </c>
      <c r="H400" s="503"/>
      <c r="I400" s="503">
        <f>2*(0.18+0.124)+24*C400/1000</f>
        <v>0.8</v>
      </c>
      <c r="J400" s="509"/>
      <c r="K400" s="509"/>
      <c r="L400" s="503">
        <f t="shared" si="239"/>
        <v>0.8</v>
      </c>
      <c r="M400" s="503">
        <f t="shared" si="213"/>
        <v>332.8</v>
      </c>
      <c r="N400" s="503">
        <f t="shared" si="130"/>
        <v>0</v>
      </c>
      <c r="O400" s="503">
        <f t="shared" si="131"/>
        <v>0</v>
      </c>
      <c r="P400" s="503">
        <f t="shared" si="132"/>
        <v>0</v>
      </c>
      <c r="Q400" s="503">
        <f t="shared" si="133"/>
        <v>0</v>
      </c>
      <c r="R400" s="503">
        <f t="shared" si="134"/>
        <v>0</v>
      </c>
    </row>
    <row r="401" spans="1:18">
      <c r="A401" s="505"/>
      <c r="B401" s="511" t="s">
        <v>822</v>
      </c>
      <c r="C401" s="507">
        <v>8</v>
      </c>
      <c r="D401" s="508">
        <v>200</v>
      </c>
      <c r="E401" s="507">
        <v>2</v>
      </c>
      <c r="F401" s="502">
        <v>1</v>
      </c>
      <c r="G401" s="502">
        <f t="shared" si="240"/>
        <v>13</v>
      </c>
      <c r="H401" s="503"/>
      <c r="I401" s="503">
        <f>2*(0.18+2.081)+24*C401/1000</f>
        <v>4.7140000000000004</v>
      </c>
      <c r="J401" s="509"/>
      <c r="K401" s="509"/>
      <c r="L401" s="503">
        <f t="shared" si="239"/>
        <v>4.7140000000000004</v>
      </c>
      <c r="M401" s="503">
        <f t="shared" si="213"/>
        <v>122.56</v>
      </c>
      <c r="N401" s="503">
        <f t="shared" si="130"/>
        <v>0</v>
      </c>
      <c r="O401" s="503">
        <f t="shared" si="131"/>
        <v>0</v>
      </c>
      <c r="P401" s="503">
        <f t="shared" si="132"/>
        <v>0</v>
      </c>
      <c r="Q401" s="503">
        <f t="shared" si="133"/>
        <v>0</v>
      </c>
      <c r="R401" s="503">
        <f t="shared" si="134"/>
        <v>0</v>
      </c>
    </row>
    <row r="402" spans="1:18">
      <c r="A402" s="505"/>
      <c r="B402" s="511" t="s">
        <v>799</v>
      </c>
      <c r="C402" s="507">
        <v>8</v>
      </c>
      <c r="D402" s="508">
        <v>400</v>
      </c>
      <c r="E402" s="507">
        <v>2</v>
      </c>
      <c r="F402" s="502">
        <v>5</v>
      </c>
      <c r="G402" s="502">
        <f t="shared" si="240"/>
        <v>7</v>
      </c>
      <c r="H402" s="503"/>
      <c r="I402" s="503">
        <f>0.18+(20*C402/1000)</f>
        <v>0.33999999999999997</v>
      </c>
      <c r="J402" s="509"/>
      <c r="K402" s="509"/>
      <c r="L402" s="503">
        <f t="shared" ref="L402" si="241">SUM(H402:J402)+K402</f>
        <v>0.33999999999999997</v>
      </c>
      <c r="M402" s="503">
        <f t="shared" si="213"/>
        <v>23.8</v>
      </c>
      <c r="N402" s="503">
        <f t="shared" si="130"/>
        <v>0</v>
      </c>
      <c r="O402" s="503">
        <f t="shared" si="131"/>
        <v>0</v>
      </c>
      <c r="P402" s="503">
        <f t="shared" si="132"/>
        <v>0</v>
      </c>
      <c r="Q402" s="503">
        <f t="shared" si="133"/>
        <v>0</v>
      </c>
      <c r="R402" s="503">
        <f t="shared" si="134"/>
        <v>0</v>
      </c>
    </row>
    <row r="403" spans="1:18">
      <c r="A403" s="505"/>
      <c r="B403" s="506" t="s">
        <v>823</v>
      </c>
      <c r="C403" s="507">
        <v>16</v>
      </c>
      <c r="D403" s="508"/>
      <c r="E403" s="507">
        <v>2</v>
      </c>
      <c r="F403" s="502">
        <v>1</v>
      </c>
      <c r="G403" s="502">
        <v>8</v>
      </c>
      <c r="H403" s="503"/>
      <c r="I403" s="503">
        <f t="shared" ref="I403:I405" si="242">106.2-103.25</f>
        <v>2.9500000000000028</v>
      </c>
      <c r="J403" s="509"/>
      <c r="K403" s="509">
        <f t="shared" ref="K403:K405" si="243">1*36*C403/1000</f>
        <v>0.57599999999999996</v>
      </c>
      <c r="L403" s="503">
        <f t="shared" ref="L403:L420" si="244">SUM(H403:J403)+K403</f>
        <v>3.5260000000000029</v>
      </c>
      <c r="M403" s="503">
        <f t="shared" si="213"/>
        <v>0</v>
      </c>
      <c r="N403" s="503">
        <f t="shared" si="130"/>
        <v>0</v>
      </c>
      <c r="O403" s="503">
        <f t="shared" si="131"/>
        <v>0</v>
      </c>
      <c r="P403" s="503">
        <f t="shared" si="132"/>
        <v>56.42</v>
      </c>
      <c r="Q403" s="503">
        <f t="shared" si="133"/>
        <v>0</v>
      </c>
      <c r="R403" s="503">
        <f t="shared" si="134"/>
        <v>0</v>
      </c>
    </row>
    <row r="404" spans="1:18">
      <c r="A404" s="505"/>
      <c r="B404" s="511"/>
      <c r="C404" s="507">
        <v>12</v>
      </c>
      <c r="D404" s="508"/>
      <c r="E404" s="507">
        <v>2</v>
      </c>
      <c r="F404" s="502">
        <v>1</v>
      </c>
      <c r="G404" s="502">
        <v>16</v>
      </c>
      <c r="H404" s="503"/>
      <c r="I404" s="503">
        <f t="shared" si="242"/>
        <v>2.9500000000000028</v>
      </c>
      <c r="J404" s="509"/>
      <c r="K404" s="509">
        <f t="shared" si="243"/>
        <v>0.432</v>
      </c>
      <c r="L404" s="503">
        <f t="shared" si="244"/>
        <v>3.3820000000000028</v>
      </c>
      <c r="M404" s="503">
        <f t="shared" si="213"/>
        <v>0</v>
      </c>
      <c r="N404" s="503">
        <f t="shared" si="130"/>
        <v>0</v>
      </c>
      <c r="O404" s="503">
        <f t="shared" si="131"/>
        <v>108.22</v>
      </c>
      <c r="P404" s="503">
        <f t="shared" si="132"/>
        <v>0</v>
      </c>
      <c r="Q404" s="503">
        <f t="shared" si="133"/>
        <v>0</v>
      </c>
      <c r="R404" s="503">
        <f t="shared" si="134"/>
        <v>0</v>
      </c>
    </row>
    <row r="405" spans="1:18">
      <c r="A405" s="505"/>
      <c r="B405" s="511"/>
      <c r="C405" s="507">
        <v>10</v>
      </c>
      <c r="D405" s="508"/>
      <c r="E405" s="507">
        <v>2</v>
      </c>
      <c r="F405" s="502">
        <v>1</v>
      </c>
      <c r="G405" s="502">
        <v>6</v>
      </c>
      <c r="H405" s="503"/>
      <c r="I405" s="503">
        <f t="shared" si="242"/>
        <v>2.9500000000000028</v>
      </c>
      <c r="J405" s="509"/>
      <c r="K405" s="509">
        <f t="shared" si="243"/>
        <v>0.36</v>
      </c>
      <c r="L405" s="503">
        <f t="shared" si="244"/>
        <v>3.3100000000000027</v>
      </c>
      <c r="M405" s="503">
        <f t="shared" si="213"/>
        <v>0</v>
      </c>
      <c r="N405" s="503">
        <f t="shared" si="130"/>
        <v>39.72</v>
      </c>
      <c r="O405" s="503">
        <f t="shared" si="131"/>
        <v>0</v>
      </c>
      <c r="P405" s="503">
        <f t="shared" si="132"/>
        <v>0</v>
      </c>
      <c r="Q405" s="503">
        <f t="shared" si="133"/>
        <v>0</v>
      </c>
      <c r="R405" s="503">
        <f t="shared" si="134"/>
        <v>0</v>
      </c>
    </row>
    <row r="406" spans="1:18">
      <c r="A406" s="505"/>
      <c r="B406" s="511" t="s">
        <v>797</v>
      </c>
      <c r="C406" s="507"/>
      <c r="D406" s="508"/>
      <c r="E406" s="507"/>
      <c r="F406" s="502"/>
      <c r="G406" s="502"/>
      <c r="H406" s="503"/>
      <c r="I406" s="503"/>
      <c r="J406" s="509"/>
      <c r="K406" s="509"/>
      <c r="L406" s="503">
        <f t="shared" si="244"/>
        <v>0</v>
      </c>
      <c r="M406" s="503">
        <f t="shared" si="213"/>
        <v>0</v>
      </c>
      <c r="N406" s="503">
        <f t="shared" si="130"/>
        <v>0</v>
      </c>
      <c r="O406" s="503">
        <f t="shared" si="131"/>
        <v>0</v>
      </c>
      <c r="P406" s="503">
        <f t="shared" si="132"/>
        <v>0</v>
      </c>
      <c r="Q406" s="503">
        <f t="shared" si="133"/>
        <v>0</v>
      </c>
      <c r="R406" s="503">
        <f t="shared" si="134"/>
        <v>0</v>
      </c>
    </row>
    <row r="407" spans="1:18">
      <c r="A407" s="505"/>
      <c r="B407" s="511" t="s">
        <v>810</v>
      </c>
      <c r="C407" s="507">
        <v>8</v>
      </c>
      <c r="D407" s="508">
        <v>100</v>
      </c>
      <c r="E407" s="507">
        <v>2</v>
      </c>
      <c r="F407" s="502">
        <v>1</v>
      </c>
      <c r="G407" s="502">
        <f t="shared" ref="G407:G414" si="245">+ROUND(2450/D407+1,0)</f>
        <v>26</v>
      </c>
      <c r="H407" s="503"/>
      <c r="I407" s="503">
        <f>2*(0.18+0.6)+24*C407/1000</f>
        <v>1.752</v>
      </c>
      <c r="J407" s="509"/>
      <c r="K407" s="509"/>
      <c r="L407" s="503">
        <f t="shared" si="244"/>
        <v>1.752</v>
      </c>
      <c r="M407" s="503">
        <f t="shared" si="213"/>
        <v>91.1</v>
      </c>
      <c r="N407" s="503">
        <f t="shared" si="130"/>
        <v>0</v>
      </c>
      <c r="O407" s="503">
        <f t="shared" si="131"/>
        <v>0</v>
      </c>
      <c r="P407" s="503">
        <f t="shared" si="132"/>
        <v>0</v>
      </c>
      <c r="Q407" s="503">
        <f t="shared" si="133"/>
        <v>0</v>
      </c>
      <c r="R407" s="503">
        <f t="shared" si="134"/>
        <v>0</v>
      </c>
    </row>
    <row r="408" spans="1:18">
      <c r="A408" s="505"/>
      <c r="B408" s="511" t="s">
        <v>811</v>
      </c>
      <c r="C408" s="507">
        <v>8</v>
      </c>
      <c r="D408" s="508">
        <v>100</v>
      </c>
      <c r="E408" s="507">
        <v>2</v>
      </c>
      <c r="F408" s="502">
        <v>1</v>
      </c>
      <c r="G408" s="502">
        <f t="shared" si="245"/>
        <v>26</v>
      </c>
      <c r="H408" s="503"/>
      <c r="I408" s="503">
        <f>2*(0.18+0.248)+24*C408/1000</f>
        <v>1.048</v>
      </c>
      <c r="J408" s="509"/>
      <c r="K408" s="509"/>
      <c r="L408" s="503">
        <f t="shared" si="244"/>
        <v>1.048</v>
      </c>
      <c r="M408" s="503">
        <f t="shared" si="213"/>
        <v>54.5</v>
      </c>
      <c r="N408" s="503">
        <f t="shared" si="130"/>
        <v>0</v>
      </c>
      <c r="O408" s="503">
        <f t="shared" si="131"/>
        <v>0</v>
      </c>
      <c r="P408" s="503">
        <f t="shared" si="132"/>
        <v>0</v>
      </c>
      <c r="Q408" s="503">
        <f t="shared" si="133"/>
        <v>0</v>
      </c>
      <c r="R408" s="503">
        <f t="shared" si="134"/>
        <v>0</v>
      </c>
    </row>
    <row r="409" spans="1:18">
      <c r="A409" s="505"/>
      <c r="B409" s="511" t="s">
        <v>798</v>
      </c>
      <c r="C409" s="507">
        <v>8</v>
      </c>
      <c r="D409" s="508">
        <v>100</v>
      </c>
      <c r="E409" s="507">
        <v>2</v>
      </c>
      <c r="F409" s="502">
        <v>1</v>
      </c>
      <c r="G409" s="502">
        <f t="shared" si="245"/>
        <v>26</v>
      </c>
      <c r="H409" s="503"/>
      <c r="I409" s="503">
        <f>0.18+(20*C409/1000)</f>
        <v>0.33999999999999997</v>
      </c>
      <c r="J409" s="509"/>
      <c r="K409" s="509"/>
      <c r="L409" s="503">
        <f t="shared" si="244"/>
        <v>0.33999999999999997</v>
      </c>
      <c r="M409" s="503">
        <f t="shared" si="213"/>
        <v>17.68</v>
      </c>
      <c r="N409" s="503">
        <f t="shared" si="130"/>
        <v>0</v>
      </c>
      <c r="O409" s="503">
        <f t="shared" si="131"/>
        <v>0</v>
      </c>
      <c r="P409" s="503">
        <f t="shared" si="132"/>
        <v>0</v>
      </c>
      <c r="Q409" s="503">
        <f t="shared" si="133"/>
        <v>0</v>
      </c>
      <c r="R409" s="503">
        <f t="shared" si="134"/>
        <v>0</v>
      </c>
    </row>
    <row r="410" spans="1:18">
      <c r="A410" s="505"/>
      <c r="B410" s="511" t="s">
        <v>812</v>
      </c>
      <c r="C410" s="507">
        <v>8</v>
      </c>
      <c r="D410" s="508">
        <v>100</v>
      </c>
      <c r="E410" s="507">
        <v>2</v>
      </c>
      <c r="F410" s="502">
        <v>2</v>
      </c>
      <c r="G410" s="502">
        <f t="shared" si="245"/>
        <v>26</v>
      </c>
      <c r="H410" s="503"/>
      <c r="I410" s="503">
        <f>2*(0.18+0.385)+24*C410/1000</f>
        <v>1.3219999999999998</v>
      </c>
      <c r="J410" s="509"/>
      <c r="K410" s="509"/>
      <c r="L410" s="503">
        <f t="shared" si="244"/>
        <v>1.3219999999999998</v>
      </c>
      <c r="M410" s="503">
        <f t="shared" si="213"/>
        <v>137.49</v>
      </c>
      <c r="N410" s="503">
        <f t="shared" si="130"/>
        <v>0</v>
      </c>
      <c r="O410" s="503">
        <f t="shared" si="131"/>
        <v>0</v>
      </c>
      <c r="P410" s="503">
        <f t="shared" si="132"/>
        <v>0</v>
      </c>
      <c r="Q410" s="503">
        <f t="shared" si="133"/>
        <v>0</v>
      </c>
      <c r="R410" s="503">
        <f t="shared" si="134"/>
        <v>0</v>
      </c>
    </row>
    <row r="411" spans="1:18">
      <c r="A411" s="505"/>
      <c r="B411" s="511" t="s">
        <v>813</v>
      </c>
      <c r="C411" s="507">
        <v>8</v>
      </c>
      <c r="D411" s="508">
        <v>100</v>
      </c>
      <c r="E411" s="507">
        <v>2</v>
      </c>
      <c r="F411" s="502">
        <v>1</v>
      </c>
      <c r="G411" s="502">
        <f t="shared" si="245"/>
        <v>26</v>
      </c>
      <c r="H411" s="503"/>
      <c r="I411" s="503">
        <f>2*(0.18+0.268)+24*C411/1000</f>
        <v>1.0880000000000001</v>
      </c>
      <c r="J411" s="509"/>
      <c r="K411" s="509"/>
      <c r="L411" s="503">
        <f t="shared" si="244"/>
        <v>1.0880000000000001</v>
      </c>
      <c r="M411" s="503">
        <f t="shared" si="213"/>
        <v>56.58</v>
      </c>
      <c r="N411" s="503">
        <f t="shared" si="130"/>
        <v>0</v>
      </c>
      <c r="O411" s="503">
        <f t="shared" si="131"/>
        <v>0</v>
      </c>
      <c r="P411" s="503">
        <f t="shared" si="132"/>
        <v>0</v>
      </c>
      <c r="Q411" s="503">
        <f t="shared" si="133"/>
        <v>0</v>
      </c>
      <c r="R411" s="503">
        <f t="shared" si="134"/>
        <v>0</v>
      </c>
    </row>
    <row r="412" spans="1:18">
      <c r="A412" s="505"/>
      <c r="B412" s="511" t="s">
        <v>798</v>
      </c>
      <c r="C412" s="507">
        <v>8</v>
      </c>
      <c r="D412" s="508">
        <v>100</v>
      </c>
      <c r="E412" s="507">
        <v>2</v>
      </c>
      <c r="F412" s="502">
        <v>1</v>
      </c>
      <c r="G412" s="502">
        <f t="shared" si="245"/>
        <v>26</v>
      </c>
      <c r="H412" s="503"/>
      <c r="I412" s="503">
        <f>0.18+(20*C412/1000)</f>
        <v>0.33999999999999997</v>
      </c>
      <c r="J412" s="509"/>
      <c r="K412" s="509"/>
      <c r="L412" s="503">
        <f t="shared" si="244"/>
        <v>0.33999999999999997</v>
      </c>
      <c r="M412" s="503">
        <f t="shared" si="213"/>
        <v>17.68</v>
      </c>
      <c r="N412" s="503">
        <f t="shared" si="130"/>
        <v>0</v>
      </c>
      <c r="O412" s="503">
        <f t="shared" si="131"/>
        <v>0</v>
      </c>
      <c r="P412" s="503">
        <f t="shared" si="132"/>
        <v>0</v>
      </c>
      <c r="Q412" s="503">
        <f t="shared" si="133"/>
        <v>0</v>
      </c>
      <c r="R412" s="503">
        <f t="shared" si="134"/>
        <v>0</v>
      </c>
    </row>
    <row r="413" spans="1:18">
      <c r="A413" s="505"/>
      <c r="B413" s="511" t="s">
        <v>824</v>
      </c>
      <c r="C413" s="507">
        <v>8</v>
      </c>
      <c r="D413" s="508">
        <v>200</v>
      </c>
      <c r="E413" s="507">
        <v>2</v>
      </c>
      <c r="F413" s="502">
        <v>1</v>
      </c>
      <c r="G413" s="502">
        <f t="shared" si="245"/>
        <v>13</v>
      </c>
      <c r="H413" s="503"/>
      <c r="I413" s="503">
        <f>2*(0.18+0.751)+24*C413/1000</f>
        <v>2.0540000000000003</v>
      </c>
      <c r="J413" s="509"/>
      <c r="K413" s="509"/>
      <c r="L413" s="503">
        <f t="shared" si="244"/>
        <v>2.0540000000000003</v>
      </c>
      <c r="M413" s="503">
        <f t="shared" si="213"/>
        <v>53.4</v>
      </c>
      <c r="N413" s="503">
        <f t="shared" si="130"/>
        <v>0</v>
      </c>
      <c r="O413" s="503">
        <f t="shared" si="131"/>
        <v>0</v>
      </c>
      <c r="P413" s="503">
        <f t="shared" si="132"/>
        <v>0</v>
      </c>
      <c r="Q413" s="503">
        <f t="shared" si="133"/>
        <v>0</v>
      </c>
      <c r="R413" s="503">
        <f t="shared" si="134"/>
        <v>0</v>
      </c>
    </row>
    <row r="414" spans="1:18">
      <c r="A414" s="505"/>
      <c r="B414" s="511" t="s">
        <v>799</v>
      </c>
      <c r="C414" s="507">
        <v>8</v>
      </c>
      <c r="D414" s="508">
        <v>400</v>
      </c>
      <c r="E414" s="507">
        <v>2</v>
      </c>
      <c r="F414" s="502">
        <v>1</v>
      </c>
      <c r="G414" s="502">
        <f t="shared" si="245"/>
        <v>7</v>
      </c>
      <c r="H414" s="503"/>
      <c r="I414" s="503">
        <f>0.18+(20*C414/1000)</f>
        <v>0.33999999999999997</v>
      </c>
      <c r="J414" s="509"/>
      <c r="K414" s="509"/>
      <c r="L414" s="503">
        <f t="shared" si="244"/>
        <v>0.33999999999999997</v>
      </c>
      <c r="M414" s="503">
        <f t="shared" si="213"/>
        <v>4.76</v>
      </c>
      <c r="N414" s="503">
        <f t="shared" si="130"/>
        <v>0</v>
      </c>
      <c r="O414" s="503">
        <f t="shared" si="131"/>
        <v>0</v>
      </c>
      <c r="P414" s="503">
        <f t="shared" si="132"/>
        <v>0</v>
      </c>
      <c r="Q414" s="503">
        <f t="shared" si="133"/>
        <v>0</v>
      </c>
      <c r="R414" s="503">
        <f t="shared" si="134"/>
        <v>0</v>
      </c>
    </row>
    <row r="415" spans="1:18">
      <c r="A415" s="505"/>
      <c r="B415" s="506" t="s">
        <v>825</v>
      </c>
      <c r="C415" s="507">
        <v>16</v>
      </c>
      <c r="D415" s="508"/>
      <c r="E415" s="507">
        <v>2</v>
      </c>
      <c r="F415" s="502">
        <v>1</v>
      </c>
      <c r="G415" s="502">
        <v>8</v>
      </c>
      <c r="H415" s="503"/>
      <c r="I415" s="503">
        <f t="shared" ref="I415:I417" si="246">106.2-103.25</f>
        <v>2.9500000000000028</v>
      </c>
      <c r="J415" s="509"/>
      <c r="K415" s="509">
        <f t="shared" ref="K415:K417" si="247">1*36*C415/1000</f>
        <v>0.57599999999999996</v>
      </c>
      <c r="L415" s="503">
        <f t="shared" si="244"/>
        <v>3.5260000000000029</v>
      </c>
      <c r="M415" s="503">
        <f t="shared" si="213"/>
        <v>0</v>
      </c>
      <c r="N415" s="503">
        <f t="shared" si="130"/>
        <v>0</v>
      </c>
      <c r="O415" s="503">
        <f t="shared" si="131"/>
        <v>0</v>
      </c>
      <c r="P415" s="503">
        <f t="shared" si="132"/>
        <v>56.42</v>
      </c>
      <c r="Q415" s="503">
        <f t="shared" si="133"/>
        <v>0</v>
      </c>
      <c r="R415" s="503">
        <f t="shared" si="134"/>
        <v>0</v>
      </c>
    </row>
    <row r="416" spans="1:18">
      <c r="A416" s="505"/>
      <c r="B416" s="506"/>
      <c r="C416" s="507">
        <v>12</v>
      </c>
      <c r="D416" s="508"/>
      <c r="E416" s="507">
        <v>2</v>
      </c>
      <c r="F416" s="502">
        <v>1</v>
      </c>
      <c r="G416" s="502">
        <v>16</v>
      </c>
      <c r="H416" s="503"/>
      <c r="I416" s="503">
        <f t="shared" si="246"/>
        <v>2.9500000000000028</v>
      </c>
      <c r="J416" s="509"/>
      <c r="K416" s="509">
        <f t="shared" si="247"/>
        <v>0.432</v>
      </c>
      <c r="L416" s="503">
        <f t="shared" si="244"/>
        <v>3.3820000000000028</v>
      </c>
      <c r="M416" s="503">
        <f t="shared" si="213"/>
        <v>0</v>
      </c>
      <c r="N416" s="503">
        <f t="shared" si="130"/>
        <v>0</v>
      </c>
      <c r="O416" s="503">
        <f t="shared" si="131"/>
        <v>108.22</v>
      </c>
      <c r="P416" s="503">
        <f t="shared" si="132"/>
        <v>0</v>
      </c>
      <c r="Q416" s="503">
        <f t="shared" si="133"/>
        <v>0</v>
      </c>
      <c r="R416" s="503">
        <f t="shared" si="134"/>
        <v>0</v>
      </c>
    </row>
    <row r="417" spans="1:19">
      <c r="A417" s="505"/>
      <c r="B417" s="506"/>
      <c r="C417" s="507">
        <v>10</v>
      </c>
      <c r="D417" s="508"/>
      <c r="E417" s="507">
        <v>2</v>
      </c>
      <c r="F417" s="502">
        <v>1</v>
      </c>
      <c r="G417" s="502">
        <v>22</v>
      </c>
      <c r="H417" s="503"/>
      <c r="I417" s="503">
        <f t="shared" si="246"/>
        <v>2.9500000000000028</v>
      </c>
      <c r="J417" s="509"/>
      <c r="K417" s="509">
        <f t="shared" si="247"/>
        <v>0.36</v>
      </c>
      <c r="L417" s="503">
        <f t="shared" si="244"/>
        <v>3.3100000000000027</v>
      </c>
      <c r="M417" s="503">
        <f t="shared" si="213"/>
        <v>0</v>
      </c>
      <c r="N417" s="503">
        <f t="shared" si="130"/>
        <v>145.63999999999999</v>
      </c>
      <c r="O417" s="503">
        <f t="shared" si="131"/>
        <v>0</v>
      </c>
      <c r="P417" s="503">
        <f t="shared" si="132"/>
        <v>0</v>
      </c>
      <c r="Q417" s="503">
        <f t="shared" si="133"/>
        <v>0</v>
      </c>
      <c r="R417" s="503">
        <f t="shared" si="134"/>
        <v>0</v>
      </c>
    </row>
    <row r="418" spans="1:19">
      <c r="A418" s="505"/>
      <c r="B418" s="511" t="s">
        <v>797</v>
      </c>
      <c r="C418" s="507"/>
      <c r="D418" s="508"/>
      <c r="E418" s="507"/>
      <c r="F418" s="502"/>
      <c r="G418" s="502"/>
      <c r="H418" s="503"/>
      <c r="I418" s="503"/>
      <c r="J418" s="509"/>
      <c r="K418" s="509"/>
      <c r="L418" s="503">
        <f t="shared" si="244"/>
        <v>0</v>
      </c>
      <c r="M418" s="503">
        <f t="shared" si="213"/>
        <v>0</v>
      </c>
      <c r="N418" s="503">
        <f t="shared" si="130"/>
        <v>0</v>
      </c>
      <c r="O418" s="503">
        <f t="shared" si="131"/>
        <v>0</v>
      </c>
      <c r="P418" s="503">
        <f t="shared" si="132"/>
        <v>0</v>
      </c>
      <c r="Q418" s="503">
        <f t="shared" si="133"/>
        <v>0</v>
      </c>
      <c r="R418" s="503">
        <f t="shared" si="134"/>
        <v>0</v>
      </c>
    </row>
    <row r="419" spans="1:19">
      <c r="A419" s="505"/>
      <c r="B419" s="511" t="s">
        <v>826</v>
      </c>
      <c r="C419" s="507">
        <v>8</v>
      </c>
      <c r="D419" s="508">
        <v>100</v>
      </c>
      <c r="E419" s="507">
        <v>2</v>
      </c>
      <c r="F419" s="502">
        <v>2</v>
      </c>
      <c r="G419" s="502">
        <f t="shared" ref="G419:G422" si="248">+ROUND(2450/D419+1,0)</f>
        <v>26</v>
      </c>
      <c r="H419" s="503"/>
      <c r="I419" s="503">
        <f>2*(0.14+0.583)+24*C419/1000</f>
        <v>1.6379999999999999</v>
      </c>
      <c r="J419" s="509"/>
      <c r="K419" s="509"/>
      <c r="L419" s="503">
        <f t="shared" si="244"/>
        <v>1.6379999999999999</v>
      </c>
      <c r="M419" s="503">
        <f t="shared" si="213"/>
        <v>170.35</v>
      </c>
      <c r="N419" s="503">
        <f t="shared" si="130"/>
        <v>0</v>
      </c>
      <c r="O419" s="503">
        <f t="shared" si="131"/>
        <v>0</v>
      </c>
      <c r="P419" s="503">
        <f t="shared" si="132"/>
        <v>0</v>
      </c>
      <c r="Q419" s="503">
        <f t="shared" si="133"/>
        <v>0</v>
      </c>
      <c r="R419" s="503">
        <f t="shared" si="134"/>
        <v>0</v>
      </c>
    </row>
    <row r="420" spans="1:19">
      <c r="A420" s="505"/>
      <c r="B420" s="511" t="s">
        <v>827</v>
      </c>
      <c r="C420" s="507">
        <v>8</v>
      </c>
      <c r="D420" s="508">
        <v>100</v>
      </c>
      <c r="E420" s="507">
        <v>2</v>
      </c>
      <c r="F420" s="502">
        <f>2*2</f>
        <v>4</v>
      </c>
      <c r="G420" s="502">
        <f t="shared" si="248"/>
        <v>26</v>
      </c>
      <c r="H420" s="503"/>
      <c r="I420" s="503">
        <f>2*(0.14+0.133)+24*C420/1000</f>
        <v>0.73799999999999999</v>
      </c>
      <c r="J420" s="509"/>
      <c r="K420" s="509"/>
      <c r="L420" s="503">
        <f t="shared" si="244"/>
        <v>0.73799999999999999</v>
      </c>
      <c r="M420" s="503">
        <f t="shared" si="213"/>
        <v>153.5</v>
      </c>
      <c r="N420" s="503">
        <f t="shared" si="130"/>
        <v>0</v>
      </c>
      <c r="O420" s="503">
        <f t="shared" si="131"/>
        <v>0</v>
      </c>
      <c r="P420" s="503">
        <f t="shared" si="132"/>
        <v>0</v>
      </c>
      <c r="Q420" s="503">
        <f t="shared" si="133"/>
        <v>0</v>
      </c>
      <c r="R420" s="503">
        <f t="shared" si="134"/>
        <v>0</v>
      </c>
    </row>
    <row r="421" spans="1:19">
      <c r="A421" s="505"/>
      <c r="B421" s="511" t="s">
        <v>828</v>
      </c>
      <c r="C421" s="507">
        <v>8</v>
      </c>
      <c r="D421" s="508">
        <v>200</v>
      </c>
      <c r="E421" s="507">
        <v>2</v>
      </c>
      <c r="F421" s="502">
        <v>1</v>
      </c>
      <c r="G421" s="502">
        <f t="shared" si="248"/>
        <v>13</v>
      </c>
      <c r="H421" s="503"/>
      <c r="I421" s="503">
        <f>2*(0.14+2.261)+24*C421/1000</f>
        <v>4.9940000000000007</v>
      </c>
      <c r="J421" s="509"/>
      <c r="K421" s="509"/>
      <c r="L421" s="503">
        <f t="shared" ref="L421:L422" si="249">SUM(H421:J421)+K421</f>
        <v>4.9940000000000007</v>
      </c>
      <c r="M421" s="503">
        <f t="shared" si="213"/>
        <v>129.84</v>
      </c>
      <c r="N421" s="503">
        <f t="shared" si="130"/>
        <v>0</v>
      </c>
      <c r="O421" s="503">
        <f t="shared" si="131"/>
        <v>0</v>
      </c>
      <c r="P421" s="503">
        <f t="shared" si="132"/>
        <v>0</v>
      </c>
      <c r="Q421" s="503">
        <f t="shared" si="133"/>
        <v>0</v>
      </c>
      <c r="R421" s="503">
        <f t="shared" si="134"/>
        <v>0</v>
      </c>
    </row>
    <row r="422" spans="1:19">
      <c r="A422" s="505"/>
      <c r="B422" s="511" t="s">
        <v>799</v>
      </c>
      <c r="C422" s="507">
        <v>8</v>
      </c>
      <c r="D422" s="508">
        <v>400</v>
      </c>
      <c r="E422" s="507">
        <v>2</v>
      </c>
      <c r="F422" s="502">
        <v>5</v>
      </c>
      <c r="G422" s="502">
        <f t="shared" si="248"/>
        <v>7</v>
      </c>
      <c r="H422" s="503"/>
      <c r="I422" s="503">
        <f>0.14+(20*C422/1000)</f>
        <v>0.30000000000000004</v>
      </c>
      <c r="J422" s="509"/>
      <c r="K422" s="509"/>
      <c r="L422" s="503">
        <f t="shared" si="249"/>
        <v>0.30000000000000004</v>
      </c>
      <c r="M422" s="503">
        <f t="shared" si="213"/>
        <v>21</v>
      </c>
      <c r="N422" s="503">
        <f t="shared" si="130"/>
        <v>0</v>
      </c>
      <c r="O422" s="503">
        <f t="shared" si="131"/>
        <v>0</v>
      </c>
      <c r="P422" s="503">
        <f t="shared" si="132"/>
        <v>0</v>
      </c>
      <c r="Q422" s="503">
        <f t="shared" si="133"/>
        <v>0</v>
      </c>
      <c r="R422" s="503">
        <f t="shared" si="134"/>
        <v>0</v>
      </c>
    </row>
    <row r="423" spans="1:19">
      <c r="A423" s="505"/>
      <c r="B423" s="511"/>
      <c r="C423" s="507"/>
      <c r="D423" s="508"/>
      <c r="E423" s="507"/>
      <c r="F423" s="502"/>
      <c r="G423" s="502"/>
      <c r="H423" s="503"/>
      <c r="I423" s="503"/>
      <c r="J423" s="509"/>
      <c r="K423" s="509"/>
      <c r="L423" s="503">
        <f t="shared" ref="L423" si="250">SUM(H423:J423)+K423</f>
        <v>0</v>
      </c>
      <c r="M423" s="503">
        <f t="shared" ref="M423" si="251">+ROUND(IF(C423=8,PRODUCT(E423,F423,G423,L423),0),2)</f>
        <v>0</v>
      </c>
      <c r="N423" s="503">
        <f t="shared" si="130"/>
        <v>0</v>
      </c>
      <c r="O423" s="503">
        <f t="shared" si="131"/>
        <v>0</v>
      </c>
      <c r="P423" s="503">
        <f t="shared" si="132"/>
        <v>0</v>
      </c>
      <c r="Q423" s="503">
        <f t="shared" si="133"/>
        <v>0</v>
      </c>
      <c r="R423" s="503">
        <f t="shared" si="134"/>
        <v>0</v>
      </c>
    </row>
    <row r="424" spans="1:19">
      <c r="A424" s="531"/>
      <c r="B424" s="532" t="s">
        <v>848</v>
      </c>
      <c r="C424" s="521"/>
      <c r="D424" s="522"/>
      <c r="E424" s="521"/>
      <c r="F424" s="523"/>
      <c r="G424" s="523"/>
      <c r="H424" s="524"/>
      <c r="I424" s="524"/>
      <c r="J424" s="524"/>
      <c r="K424" s="509"/>
      <c r="L424" s="524"/>
      <c r="M424" s="526">
        <f>SUM(M218:M423)*0.395</f>
        <v>4333.7819999999992</v>
      </c>
      <c r="N424" s="526">
        <f>SUM(N218:N423)*0.617</f>
        <v>5516.7759299999998</v>
      </c>
      <c r="O424" s="526">
        <f>SUM(O218:O423)*0.889</f>
        <v>3872.4839999999999</v>
      </c>
      <c r="P424" s="526">
        <f>SUM(P218:P423)*1.58</f>
        <v>4813.4858000000004</v>
      </c>
      <c r="Q424" s="526">
        <f>SUM(Q218:Q423)*2.46</f>
        <v>2925.1367999999998</v>
      </c>
      <c r="R424" s="526">
        <f>SUM(R218:R423)*3.85</f>
        <v>545.16</v>
      </c>
      <c r="S424" s="527">
        <f>SUM(M424:R424)</f>
        <v>22006.824530000002</v>
      </c>
    </row>
    <row r="425" spans="1:19">
      <c r="A425" s="505"/>
      <c r="B425" s="506" t="s">
        <v>849</v>
      </c>
      <c r="C425" s="507"/>
      <c r="D425" s="508"/>
      <c r="E425" s="507"/>
      <c r="F425" s="502"/>
      <c r="G425" s="502"/>
      <c r="H425" s="503"/>
      <c r="I425" s="503"/>
      <c r="J425" s="509"/>
      <c r="K425" s="481"/>
      <c r="L425" s="503"/>
      <c r="M425" s="503"/>
      <c r="N425" s="503"/>
      <c r="O425" s="503"/>
      <c r="P425" s="503"/>
      <c r="Q425" s="503"/>
      <c r="R425" s="503"/>
    </row>
    <row r="426" spans="1:19">
      <c r="A426" s="505"/>
      <c r="B426" s="506" t="s">
        <v>786</v>
      </c>
      <c r="C426" s="507">
        <v>16</v>
      </c>
      <c r="D426" s="508"/>
      <c r="E426" s="507">
        <v>28</v>
      </c>
      <c r="F426" s="502">
        <v>1</v>
      </c>
      <c r="G426" s="502">
        <v>4</v>
      </c>
      <c r="H426" s="503"/>
      <c r="I426" s="503">
        <f>106.2-103.25</f>
        <v>2.9500000000000028</v>
      </c>
      <c r="J426" s="509"/>
      <c r="K426" s="509">
        <f t="shared" ref="K426:K427" si="252">1*36*C426/1000</f>
        <v>0.57599999999999996</v>
      </c>
      <c r="L426" s="503">
        <f>SUM(H426:J426)+K426</f>
        <v>3.5260000000000029</v>
      </c>
      <c r="M426" s="503">
        <f t="shared" ref="M426:M551" si="253">+ROUND(IF(C426=8,PRODUCT(E426,F426,G426,L426),0),2)</f>
        <v>0</v>
      </c>
      <c r="N426" s="503">
        <f t="shared" ref="N426:N636" si="254">+ROUND(IF(C426=10,PRODUCT(E426,F426,G426,L426),0),2)</f>
        <v>0</v>
      </c>
      <c r="O426" s="503">
        <f t="shared" ref="O426:O636" si="255">+ROUND(IF(C426=12,PRODUCT(E426,F426,G426,L426),0),2)</f>
        <v>0</v>
      </c>
      <c r="P426" s="503">
        <f t="shared" ref="P426:P636" si="256">+ROUND(IF(C426=16,PRODUCT(E426,F426,G426,L426),0),2)</f>
        <v>394.91</v>
      </c>
      <c r="Q426" s="503">
        <f t="shared" ref="Q426:Q636" si="257">+ROUND(IF(C426=20,PRODUCT(E426,F426,G426,L426),0),2)</f>
        <v>0</v>
      </c>
      <c r="R426" s="503">
        <f t="shared" ref="R426:R636" si="258">+ROUND(IF(C426=25,PRODUCT(E426,F426,G426,L426),0),2)</f>
        <v>0</v>
      </c>
    </row>
    <row r="427" spans="1:19">
      <c r="A427" s="505"/>
      <c r="B427" s="511"/>
      <c r="C427" s="507">
        <v>12</v>
      </c>
      <c r="D427" s="508"/>
      <c r="E427" s="507">
        <f>+E426</f>
        <v>28</v>
      </c>
      <c r="F427" s="502">
        <v>1</v>
      </c>
      <c r="G427" s="502">
        <v>10</v>
      </c>
      <c r="H427" s="503"/>
      <c r="I427" s="503">
        <f>106.2-103.25</f>
        <v>2.9500000000000028</v>
      </c>
      <c r="J427" s="509"/>
      <c r="K427" s="509">
        <f t="shared" si="252"/>
        <v>0.432</v>
      </c>
      <c r="L427" s="503">
        <f t="shared" ref="L427:L454" si="259">SUM(H427:J427)+K427</f>
        <v>3.3820000000000028</v>
      </c>
      <c r="M427" s="503">
        <f t="shared" si="253"/>
        <v>0</v>
      </c>
      <c r="N427" s="503">
        <f t="shared" si="254"/>
        <v>0</v>
      </c>
      <c r="O427" s="503">
        <f t="shared" si="255"/>
        <v>946.96</v>
      </c>
      <c r="P427" s="503">
        <f t="shared" si="256"/>
        <v>0</v>
      </c>
      <c r="Q427" s="503">
        <f t="shared" si="257"/>
        <v>0</v>
      </c>
      <c r="R427" s="503">
        <f t="shared" si="258"/>
        <v>0</v>
      </c>
    </row>
    <row r="428" spans="1:19">
      <c r="A428" s="505"/>
      <c r="B428" s="511" t="s">
        <v>787</v>
      </c>
      <c r="C428" s="507">
        <v>10</v>
      </c>
      <c r="D428" s="508">
        <v>75</v>
      </c>
      <c r="E428" s="507">
        <f>+E427</f>
        <v>28</v>
      </c>
      <c r="F428" s="502">
        <v>2</v>
      </c>
      <c r="G428" s="502">
        <f>+ROUND(600/D428,0)</f>
        <v>8</v>
      </c>
      <c r="H428" s="503"/>
      <c r="I428" s="503">
        <f>2*(0.22+0.52)+24*0.01</f>
        <v>1.72</v>
      </c>
      <c r="J428" s="509"/>
      <c r="K428" s="509"/>
      <c r="L428" s="503">
        <f t="shared" si="259"/>
        <v>1.72</v>
      </c>
      <c r="M428" s="503">
        <f t="shared" si="253"/>
        <v>0</v>
      </c>
      <c r="N428" s="503">
        <f t="shared" si="254"/>
        <v>770.56</v>
      </c>
      <c r="O428" s="503">
        <f t="shared" si="255"/>
        <v>0</v>
      </c>
      <c r="P428" s="503">
        <f t="shared" si="256"/>
        <v>0</v>
      </c>
      <c r="Q428" s="503">
        <f t="shared" si="257"/>
        <v>0</v>
      </c>
      <c r="R428" s="503">
        <f t="shared" si="258"/>
        <v>0</v>
      </c>
    </row>
    <row r="429" spans="1:19">
      <c r="A429" s="505"/>
      <c r="B429" s="511"/>
      <c r="C429" s="507">
        <v>10</v>
      </c>
      <c r="D429" s="508">
        <v>75</v>
      </c>
      <c r="E429" s="507">
        <f t="shared" ref="E429:E433" si="260">+E428</f>
        <v>28</v>
      </c>
      <c r="F429" s="502">
        <v>2</v>
      </c>
      <c r="G429" s="502">
        <f t="shared" ref="G429:G430" si="261">+ROUND(600/D429,0)</f>
        <v>8</v>
      </c>
      <c r="H429" s="503"/>
      <c r="I429" s="503">
        <f>2*(0.22+0.115)+24*0.01</f>
        <v>0.91</v>
      </c>
      <c r="J429" s="509"/>
      <c r="K429" s="509"/>
      <c r="L429" s="503">
        <f t="shared" si="259"/>
        <v>0.91</v>
      </c>
      <c r="M429" s="503">
        <f t="shared" si="253"/>
        <v>0</v>
      </c>
      <c r="N429" s="503">
        <f t="shared" si="254"/>
        <v>407.68</v>
      </c>
      <c r="O429" s="503">
        <f t="shared" si="255"/>
        <v>0</v>
      </c>
      <c r="P429" s="503">
        <f t="shared" si="256"/>
        <v>0</v>
      </c>
      <c r="Q429" s="503">
        <f t="shared" si="257"/>
        <v>0</v>
      </c>
      <c r="R429" s="503">
        <f t="shared" si="258"/>
        <v>0</v>
      </c>
    </row>
    <row r="430" spans="1:19">
      <c r="A430" s="505"/>
      <c r="B430" s="511"/>
      <c r="C430" s="507">
        <v>10</v>
      </c>
      <c r="D430" s="508">
        <v>75</v>
      </c>
      <c r="E430" s="507">
        <f t="shared" si="260"/>
        <v>28</v>
      </c>
      <c r="F430" s="502">
        <f>2*2</f>
        <v>4</v>
      </c>
      <c r="G430" s="502">
        <f t="shared" si="261"/>
        <v>8</v>
      </c>
      <c r="H430" s="503"/>
      <c r="I430" s="503">
        <f>+(0.16+0.16+0.22)+0.24*0.01</f>
        <v>0.54239999999999999</v>
      </c>
      <c r="J430" s="509"/>
      <c r="K430" s="509"/>
      <c r="L430" s="503">
        <f t="shared" si="259"/>
        <v>0.54239999999999999</v>
      </c>
      <c r="M430" s="503">
        <f t="shared" si="253"/>
        <v>0</v>
      </c>
      <c r="N430" s="503">
        <f t="shared" si="254"/>
        <v>485.99</v>
      </c>
      <c r="O430" s="503">
        <f t="shared" si="255"/>
        <v>0</v>
      </c>
      <c r="P430" s="503">
        <f t="shared" si="256"/>
        <v>0</v>
      </c>
      <c r="Q430" s="503">
        <f t="shared" si="257"/>
        <v>0</v>
      </c>
      <c r="R430" s="503">
        <f t="shared" si="258"/>
        <v>0</v>
      </c>
    </row>
    <row r="431" spans="1:19">
      <c r="A431" s="505"/>
      <c r="B431" s="511" t="s">
        <v>788</v>
      </c>
      <c r="C431" s="507">
        <v>8</v>
      </c>
      <c r="D431" s="508">
        <v>150</v>
      </c>
      <c r="E431" s="507">
        <f t="shared" si="260"/>
        <v>28</v>
      </c>
      <c r="F431" s="502">
        <v>1</v>
      </c>
      <c r="G431" s="502">
        <f>+ROUND(1250/D431+1,0)</f>
        <v>9</v>
      </c>
      <c r="H431" s="503"/>
      <c r="I431" s="503">
        <f>2*(0.22+0.52)+24*0.008</f>
        <v>1.6719999999999999</v>
      </c>
      <c r="J431" s="509"/>
      <c r="K431" s="509"/>
      <c r="L431" s="503">
        <f t="shared" si="259"/>
        <v>1.6719999999999999</v>
      </c>
      <c r="M431" s="503">
        <f t="shared" si="253"/>
        <v>421.34</v>
      </c>
      <c r="N431" s="503">
        <f t="shared" si="254"/>
        <v>0</v>
      </c>
      <c r="O431" s="503">
        <f t="shared" si="255"/>
        <v>0</v>
      </c>
      <c r="P431" s="503">
        <f t="shared" si="256"/>
        <v>0</v>
      </c>
      <c r="Q431" s="503">
        <f t="shared" si="257"/>
        <v>0</v>
      </c>
      <c r="R431" s="503">
        <f t="shared" si="258"/>
        <v>0</v>
      </c>
    </row>
    <row r="432" spans="1:19">
      <c r="A432" s="505"/>
      <c r="B432" s="511"/>
      <c r="C432" s="507">
        <v>8</v>
      </c>
      <c r="D432" s="508">
        <v>150</v>
      </c>
      <c r="E432" s="507">
        <f t="shared" si="260"/>
        <v>28</v>
      </c>
      <c r="F432" s="502">
        <v>1</v>
      </c>
      <c r="G432" s="502">
        <f t="shared" ref="G432:G433" si="262">+ROUND(1250/D432+1,0)</f>
        <v>9</v>
      </c>
      <c r="H432" s="503"/>
      <c r="I432" s="503">
        <f>2*(0.22+0.115)+24*0.008</f>
        <v>0.8620000000000001</v>
      </c>
      <c r="J432" s="509"/>
      <c r="K432" s="509"/>
      <c r="L432" s="503">
        <f t="shared" si="259"/>
        <v>0.8620000000000001</v>
      </c>
      <c r="M432" s="503">
        <f t="shared" si="253"/>
        <v>217.22</v>
      </c>
      <c r="N432" s="503">
        <f t="shared" si="254"/>
        <v>0</v>
      </c>
      <c r="O432" s="503">
        <f t="shared" si="255"/>
        <v>0</v>
      </c>
      <c r="P432" s="503">
        <f t="shared" si="256"/>
        <v>0</v>
      </c>
      <c r="Q432" s="503">
        <f t="shared" si="257"/>
        <v>0</v>
      </c>
      <c r="R432" s="503">
        <f t="shared" si="258"/>
        <v>0</v>
      </c>
    </row>
    <row r="433" spans="1:18">
      <c r="A433" s="505"/>
      <c r="B433" s="511"/>
      <c r="C433" s="507">
        <v>8</v>
      </c>
      <c r="D433" s="508">
        <v>150</v>
      </c>
      <c r="E433" s="507">
        <f t="shared" si="260"/>
        <v>28</v>
      </c>
      <c r="F433" s="502">
        <v>2</v>
      </c>
      <c r="G433" s="502">
        <f t="shared" si="262"/>
        <v>9</v>
      </c>
      <c r="H433" s="503"/>
      <c r="I433" s="503">
        <f>+(0.16+0.16+0.22)+0.2*0.008</f>
        <v>0.54160000000000008</v>
      </c>
      <c r="J433" s="509"/>
      <c r="K433" s="509"/>
      <c r="L433" s="503">
        <f t="shared" si="259"/>
        <v>0.54160000000000008</v>
      </c>
      <c r="M433" s="503">
        <f t="shared" si="253"/>
        <v>272.97000000000003</v>
      </c>
      <c r="N433" s="503">
        <f t="shared" si="254"/>
        <v>0</v>
      </c>
      <c r="O433" s="503">
        <f t="shared" si="255"/>
        <v>0</v>
      </c>
      <c r="P433" s="503">
        <f t="shared" si="256"/>
        <v>0</v>
      </c>
      <c r="Q433" s="503">
        <f t="shared" si="257"/>
        <v>0</v>
      </c>
      <c r="R433" s="503">
        <f t="shared" si="258"/>
        <v>0</v>
      </c>
    </row>
    <row r="434" spans="1:18">
      <c r="A434" s="505"/>
      <c r="B434" s="506" t="s">
        <v>789</v>
      </c>
      <c r="C434" s="507">
        <v>16</v>
      </c>
      <c r="D434" s="508"/>
      <c r="E434" s="507">
        <v>12</v>
      </c>
      <c r="F434" s="502">
        <v>1</v>
      </c>
      <c r="G434" s="502">
        <v>10</v>
      </c>
      <c r="H434" s="503"/>
      <c r="I434" s="503">
        <f t="shared" ref="I434:I435" si="263">106.2-103.25</f>
        <v>2.9500000000000028</v>
      </c>
      <c r="J434" s="509"/>
      <c r="K434" s="509">
        <f t="shared" ref="K434:K435" si="264">1*36*C434/1000</f>
        <v>0.57599999999999996</v>
      </c>
      <c r="L434" s="503">
        <f t="shared" si="259"/>
        <v>3.5260000000000029</v>
      </c>
      <c r="M434" s="503">
        <f t="shared" si="253"/>
        <v>0</v>
      </c>
      <c r="N434" s="503">
        <f t="shared" si="254"/>
        <v>0</v>
      </c>
      <c r="O434" s="503">
        <f t="shared" si="255"/>
        <v>0</v>
      </c>
      <c r="P434" s="503">
        <f t="shared" si="256"/>
        <v>423.12</v>
      </c>
      <c r="Q434" s="503">
        <f t="shared" si="257"/>
        <v>0</v>
      </c>
      <c r="R434" s="503">
        <f t="shared" si="258"/>
        <v>0</v>
      </c>
    </row>
    <row r="435" spans="1:18">
      <c r="A435" s="505"/>
      <c r="B435" s="506"/>
      <c r="C435" s="507">
        <v>12</v>
      </c>
      <c r="D435" s="508"/>
      <c r="E435" s="507">
        <v>12</v>
      </c>
      <c r="F435" s="502">
        <v>1</v>
      </c>
      <c r="G435" s="502">
        <v>4</v>
      </c>
      <c r="H435" s="503"/>
      <c r="I435" s="503">
        <f t="shared" si="263"/>
        <v>2.9500000000000028</v>
      </c>
      <c r="J435" s="509"/>
      <c r="K435" s="509">
        <f t="shared" si="264"/>
        <v>0.432</v>
      </c>
      <c r="L435" s="503">
        <f t="shared" si="259"/>
        <v>3.3820000000000028</v>
      </c>
      <c r="M435" s="503">
        <f t="shared" si="253"/>
        <v>0</v>
      </c>
      <c r="N435" s="503">
        <f t="shared" si="254"/>
        <v>0</v>
      </c>
      <c r="O435" s="503">
        <f t="shared" si="255"/>
        <v>162.34</v>
      </c>
      <c r="P435" s="503">
        <f t="shared" si="256"/>
        <v>0</v>
      </c>
      <c r="Q435" s="503">
        <f t="shared" si="257"/>
        <v>0</v>
      </c>
      <c r="R435" s="503">
        <f t="shared" si="258"/>
        <v>0</v>
      </c>
    </row>
    <row r="436" spans="1:18">
      <c r="A436" s="505"/>
      <c r="B436" s="511" t="s">
        <v>787</v>
      </c>
      <c r="C436" s="507">
        <v>10</v>
      </c>
      <c r="D436" s="508">
        <v>75</v>
      </c>
      <c r="E436" s="507">
        <v>12</v>
      </c>
      <c r="F436" s="502">
        <v>2</v>
      </c>
      <c r="G436" s="502">
        <f>+ROUND(600/D436,0)</f>
        <v>8</v>
      </c>
      <c r="H436" s="503"/>
      <c r="I436" s="503">
        <f>2*(0.22+0.52)+24*0.01</f>
        <v>1.72</v>
      </c>
      <c r="J436" s="509"/>
      <c r="K436" s="509"/>
      <c r="L436" s="503">
        <f t="shared" si="259"/>
        <v>1.72</v>
      </c>
      <c r="M436" s="503">
        <f t="shared" si="253"/>
        <v>0</v>
      </c>
      <c r="N436" s="503">
        <f t="shared" si="254"/>
        <v>330.24</v>
      </c>
      <c r="O436" s="503">
        <f t="shared" si="255"/>
        <v>0</v>
      </c>
      <c r="P436" s="503">
        <f t="shared" si="256"/>
        <v>0</v>
      </c>
      <c r="Q436" s="503">
        <f t="shared" si="257"/>
        <v>0</v>
      </c>
      <c r="R436" s="503">
        <f t="shared" si="258"/>
        <v>0</v>
      </c>
    </row>
    <row r="437" spans="1:18">
      <c r="A437" s="505"/>
      <c r="B437" s="511"/>
      <c r="C437" s="507">
        <v>10</v>
      </c>
      <c r="D437" s="508">
        <v>75</v>
      </c>
      <c r="E437" s="507">
        <v>12</v>
      </c>
      <c r="F437" s="502">
        <v>2</v>
      </c>
      <c r="G437" s="502">
        <f t="shared" ref="G437:G438" si="265">+ROUND(600/D437,0)</f>
        <v>8</v>
      </c>
      <c r="H437" s="503"/>
      <c r="I437" s="503">
        <f>2*(0.22+0.115)+24*0.01</f>
        <v>0.91</v>
      </c>
      <c r="J437" s="509"/>
      <c r="K437" s="509"/>
      <c r="L437" s="503">
        <f t="shared" si="259"/>
        <v>0.91</v>
      </c>
      <c r="M437" s="503">
        <f t="shared" si="253"/>
        <v>0</v>
      </c>
      <c r="N437" s="503">
        <f t="shared" si="254"/>
        <v>174.72</v>
      </c>
      <c r="O437" s="503">
        <f t="shared" si="255"/>
        <v>0</v>
      </c>
      <c r="P437" s="503">
        <f t="shared" si="256"/>
        <v>0</v>
      </c>
      <c r="Q437" s="503">
        <f t="shared" si="257"/>
        <v>0</v>
      </c>
      <c r="R437" s="503">
        <f t="shared" si="258"/>
        <v>0</v>
      </c>
    </row>
    <row r="438" spans="1:18">
      <c r="A438" s="505"/>
      <c r="B438" s="511"/>
      <c r="C438" s="507">
        <v>10</v>
      </c>
      <c r="D438" s="508">
        <v>75</v>
      </c>
      <c r="E438" s="507">
        <v>12</v>
      </c>
      <c r="F438" s="502">
        <f>2*2</f>
        <v>4</v>
      </c>
      <c r="G438" s="502">
        <f t="shared" si="265"/>
        <v>8</v>
      </c>
      <c r="H438" s="503"/>
      <c r="I438" s="503">
        <f>+(0.16+0.16+0.22)+0.24*0.01</f>
        <v>0.54239999999999999</v>
      </c>
      <c r="J438" s="509"/>
      <c r="K438" s="509"/>
      <c r="L438" s="503">
        <f t="shared" si="259"/>
        <v>0.54239999999999999</v>
      </c>
      <c r="M438" s="503">
        <f t="shared" si="253"/>
        <v>0</v>
      </c>
      <c r="N438" s="503">
        <f t="shared" si="254"/>
        <v>208.28</v>
      </c>
      <c r="O438" s="503">
        <f t="shared" si="255"/>
        <v>0</v>
      </c>
      <c r="P438" s="503">
        <f t="shared" si="256"/>
        <v>0</v>
      </c>
      <c r="Q438" s="503">
        <f t="shared" si="257"/>
        <v>0</v>
      </c>
      <c r="R438" s="503">
        <f t="shared" si="258"/>
        <v>0</v>
      </c>
    </row>
    <row r="439" spans="1:18">
      <c r="A439" s="505"/>
      <c r="B439" s="511" t="s">
        <v>788</v>
      </c>
      <c r="C439" s="507">
        <v>8</v>
      </c>
      <c r="D439" s="508">
        <v>150</v>
      </c>
      <c r="E439" s="507">
        <v>12</v>
      </c>
      <c r="F439" s="502">
        <v>1</v>
      </c>
      <c r="G439" s="502">
        <f t="shared" ref="G439:G441" si="266">+ROUND(1250/D439+1,0)</f>
        <v>9</v>
      </c>
      <c r="H439" s="503"/>
      <c r="I439" s="503">
        <f>2*(0.22+0.52)+24*0.008</f>
        <v>1.6719999999999999</v>
      </c>
      <c r="J439" s="509"/>
      <c r="K439" s="509"/>
      <c r="L439" s="503">
        <f t="shared" si="259"/>
        <v>1.6719999999999999</v>
      </c>
      <c r="M439" s="503">
        <f t="shared" si="253"/>
        <v>180.58</v>
      </c>
      <c r="N439" s="503">
        <f t="shared" si="254"/>
        <v>0</v>
      </c>
      <c r="O439" s="503">
        <f t="shared" si="255"/>
        <v>0</v>
      </c>
      <c r="P439" s="503">
        <f t="shared" si="256"/>
        <v>0</v>
      </c>
      <c r="Q439" s="503">
        <f t="shared" si="257"/>
        <v>0</v>
      </c>
      <c r="R439" s="503">
        <f t="shared" si="258"/>
        <v>0</v>
      </c>
    </row>
    <row r="440" spans="1:18">
      <c r="A440" s="505"/>
      <c r="B440" s="511"/>
      <c r="C440" s="507">
        <v>8</v>
      </c>
      <c r="D440" s="508">
        <v>150</v>
      </c>
      <c r="E440" s="507">
        <v>12</v>
      </c>
      <c r="F440" s="502">
        <v>1</v>
      </c>
      <c r="G440" s="502">
        <f t="shared" si="266"/>
        <v>9</v>
      </c>
      <c r="H440" s="503"/>
      <c r="I440" s="503">
        <f>2*(0.22+0.115)+24*0.008</f>
        <v>0.8620000000000001</v>
      </c>
      <c r="J440" s="509"/>
      <c r="K440" s="509"/>
      <c r="L440" s="503">
        <f t="shared" si="259"/>
        <v>0.8620000000000001</v>
      </c>
      <c r="M440" s="503">
        <f t="shared" si="253"/>
        <v>93.1</v>
      </c>
      <c r="N440" s="503">
        <f t="shared" si="254"/>
        <v>0</v>
      </c>
      <c r="O440" s="503">
        <f t="shared" si="255"/>
        <v>0</v>
      </c>
      <c r="P440" s="503">
        <f t="shared" si="256"/>
        <v>0</v>
      </c>
      <c r="Q440" s="503">
        <f t="shared" si="257"/>
        <v>0</v>
      </c>
      <c r="R440" s="503">
        <f t="shared" si="258"/>
        <v>0</v>
      </c>
    </row>
    <row r="441" spans="1:18">
      <c r="A441" s="505"/>
      <c r="B441" s="511"/>
      <c r="C441" s="507">
        <v>8</v>
      </c>
      <c r="D441" s="508">
        <v>150</v>
      </c>
      <c r="E441" s="507">
        <v>12</v>
      </c>
      <c r="F441" s="502">
        <v>2</v>
      </c>
      <c r="G441" s="502">
        <f t="shared" si="266"/>
        <v>9</v>
      </c>
      <c r="H441" s="503"/>
      <c r="I441" s="503">
        <f>+(0.16+0.16+0.22)+0.2*0.008</f>
        <v>0.54160000000000008</v>
      </c>
      <c r="J441" s="509"/>
      <c r="K441" s="509"/>
      <c r="L441" s="503">
        <f t="shared" si="259"/>
        <v>0.54160000000000008</v>
      </c>
      <c r="M441" s="503">
        <f t="shared" si="253"/>
        <v>116.99</v>
      </c>
      <c r="N441" s="503">
        <f t="shared" si="254"/>
        <v>0</v>
      </c>
      <c r="O441" s="503">
        <f t="shared" si="255"/>
        <v>0</v>
      </c>
      <c r="P441" s="503">
        <f t="shared" si="256"/>
        <v>0</v>
      </c>
      <c r="Q441" s="503">
        <f t="shared" si="257"/>
        <v>0</v>
      </c>
      <c r="R441" s="503">
        <f t="shared" si="258"/>
        <v>0</v>
      </c>
    </row>
    <row r="442" spans="1:18">
      <c r="A442" s="505"/>
      <c r="B442" s="506" t="s">
        <v>790</v>
      </c>
      <c r="C442" s="507">
        <v>25</v>
      </c>
      <c r="D442" s="508"/>
      <c r="E442" s="507">
        <v>4</v>
      </c>
      <c r="F442" s="502">
        <v>1</v>
      </c>
      <c r="G442" s="502">
        <v>4</v>
      </c>
      <c r="H442" s="503"/>
      <c r="I442" s="503">
        <f t="shared" ref="I442:I443" si="267">106.2-103.25</f>
        <v>2.9500000000000028</v>
      </c>
      <c r="J442" s="509"/>
      <c r="K442" s="509">
        <f t="shared" ref="K442:K443" si="268">1*36*C442/1000</f>
        <v>0.9</v>
      </c>
      <c r="L442" s="503">
        <f t="shared" si="259"/>
        <v>3.8500000000000028</v>
      </c>
      <c r="M442" s="503">
        <f t="shared" si="253"/>
        <v>0</v>
      </c>
      <c r="N442" s="503">
        <f t="shared" si="254"/>
        <v>0</v>
      </c>
      <c r="O442" s="503">
        <f t="shared" si="255"/>
        <v>0</v>
      </c>
      <c r="P442" s="503">
        <f t="shared" si="256"/>
        <v>0</v>
      </c>
      <c r="Q442" s="503">
        <f t="shared" si="257"/>
        <v>0</v>
      </c>
      <c r="R442" s="503">
        <f t="shared" si="258"/>
        <v>61.6</v>
      </c>
    </row>
    <row r="443" spans="1:18">
      <c r="A443" s="505"/>
      <c r="B443" s="511"/>
      <c r="C443" s="507">
        <v>20</v>
      </c>
      <c r="D443" s="508"/>
      <c r="E443" s="507">
        <f>+E442</f>
        <v>4</v>
      </c>
      <c r="F443" s="502">
        <v>1</v>
      </c>
      <c r="G443" s="502">
        <v>10</v>
      </c>
      <c r="H443" s="503"/>
      <c r="I443" s="503">
        <f t="shared" si="267"/>
        <v>2.9500000000000028</v>
      </c>
      <c r="J443" s="509"/>
      <c r="K443" s="509">
        <f t="shared" si="268"/>
        <v>0.72</v>
      </c>
      <c r="L443" s="503">
        <f t="shared" si="259"/>
        <v>3.6700000000000026</v>
      </c>
      <c r="M443" s="503">
        <f t="shared" si="253"/>
        <v>0</v>
      </c>
      <c r="N443" s="503">
        <f t="shared" si="254"/>
        <v>0</v>
      </c>
      <c r="O443" s="503">
        <f t="shared" si="255"/>
        <v>0</v>
      </c>
      <c r="P443" s="503">
        <f t="shared" si="256"/>
        <v>0</v>
      </c>
      <c r="Q443" s="503">
        <f t="shared" si="257"/>
        <v>146.80000000000001</v>
      </c>
      <c r="R443" s="503">
        <f t="shared" si="258"/>
        <v>0</v>
      </c>
    </row>
    <row r="444" spans="1:18">
      <c r="A444" s="505"/>
      <c r="B444" s="511" t="s">
        <v>787</v>
      </c>
      <c r="C444" s="507">
        <v>10</v>
      </c>
      <c r="D444" s="508">
        <v>75</v>
      </c>
      <c r="E444" s="507">
        <f>+E443</f>
        <v>4</v>
      </c>
      <c r="F444" s="502">
        <v>2</v>
      </c>
      <c r="G444" s="502">
        <f>+ROUND(600/D444,0)</f>
        <v>8</v>
      </c>
      <c r="H444" s="503"/>
      <c r="I444" s="503">
        <f>2*(0.22+0.52)+24*0.01</f>
        <v>1.72</v>
      </c>
      <c r="J444" s="509"/>
      <c r="K444" s="509"/>
      <c r="L444" s="503">
        <f t="shared" si="259"/>
        <v>1.72</v>
      </c>
      <c r="M444" s="503">
        <f t="shared" si="253"/>
        <v>0</v>
      </c>
      <c r="N444" s="503">
        <f t="shared" si="254"/>
        <v>110.08</v>
      </c>
      <c r="O444" s="503">
        <f t="shared" si="255"/>
        <v>0</v>
      </c>
      <c r="P444" s="503">
        <f t="shared" si="256"/>
        <v>0</v>
      </c>
      <c r="Q444" s="503">
        <f t="shared" si="257"/>
        <v>0</v>
      </c>
      <c r="R444" s="503">
        <f t="shared" si="258"/>
        <v>0</v>
      </c>
    </row>
    <row r="445" spans="1:18">
      <c r="A445" s="505"/>
      <c r="B445" s="511"/>
      <c r="C445" s="507">
        <v>10</v>
      </c>
      <c r="D445" s="508">
        <v>75</v>
      </c>
      <c r="E445" s="507">
        <f t="shared" ref="E445:E449" si="269">+E444</f>
        <v>4</v>
      </c>
      <c r="F445" s="502">
        <v>2</v>
      </c>
      <c r="G445" s="502">
        <f t="shared" ref="G445:G446" si="270">+ROUND(600/D445,0)</f>
        <v>8</v>
      </c>
      <c r="H445" s="503"/>
      <c r="I445" s="503">
        <f>2*(0.22+0.115)+24*0.01</f>
        <v>0.91</v>
      </c>
      <c r="J445" s="509"/>
      <c r="K445" s="509"/>
      <c r="L445" s="503">
        <f t="shared" si="259"/>
        <v>0.91</v>
      </c>
      <c r="M445" s="503">
        <f t="shared" si="253"/>
        <v>0</v>
      </c>
      <c r="N445" s="503">
        <f t="shared" si="254"/>
        <v>58.24</v>
      </c>
      <c r="O445" s="503">
        <f t="shared" si="255"/>
        <v>0</v>
      </c>
      <c r="P445" s="503">
        <f t="shared" si="256"/>
        <v>0</v>
      </c>
      <c r="Q445" s="503">
        <f t="shared" si="257"/>
        <v>0</v>
      </c>
      <c r="R445" s="503">
        <f t="shared" si="258"/>
        <v>0</v>
      </c>
    </row>
    <row r="446" spans="1:18">
      <c r="A446" s="505"/>
      <c r="B446" s="511"/>
      <c r="C446" s="507">
        <v>10</v>
      </c>
      <c r="D446" s="508">
        <v>75</v>
      </c>
      <c r="E446" s="507">
        <f t="shared" si="269"/>
        <v>4</v>
      </c>
      <c r="F446" s="502">
        <f>2*2</f>
        <v>4</v>
      </c>
      <c r="G446" s="502">
        <f t="shared" si="270"/>
        <v>8</v>
      </c>
      <c r="H446" s="503"/>
      <c r="I446" s="503">
        <f>+(0.16+0.16+0.22)+0.24*0.01</f>
        <v>0.54239999999999999</v>
      </c>
      <c r="J446" s="509"/>
      <c r="K446" s="509"/>
      <c r="L446" s="503">
        <f t="shared" si="259"/>
        <v>0.54239999999999999</v>
      </c>
      <c r="M446" s="503">
        <f t="shared" si="253"/>
        <v>0</v>
      </c>
      <c r="N446" s="503">
        <f t="shared" si="254"/>
        <v>69.430000000000007</v>
      </c>
      <c r="O446" s="503">
        <f t="shared" si="255"/>
        <v>0</v>
      </c>
      <c r="P446" s="503">
        <f t="shared" si="256"/>
        <v>0</v>
      </c>
      <c r="Q446" s="503">
        <f t="shared" si="257"/>
        <v>0</v>
      </c>
      <c r="R446" s="503">
        <f t="shared" si="258"/>
        <v>0</v>
      </c>
    </row>
    <row r="447" spans="1:18">
      <c r="A447" s="505"/>
      <c r="B447" s="511" t="s">
        <v>788</v>
      </c>
      <c r="C447" s="507">
        <v>8</v>
      </c>
      <c r="D447" s="508">
        <v>150</v>
      </c>
      <c r="E447" s="507">
        <f t="shared" si="269"/>
        <v>4</v>
      </c>
      <c r="F447" s="502">
        <v>1</v>
      </c>
      <c r="G447" s="502">
        <f t="shared" ref="G447:G449" si="271">+ROUND(1250/D447+1,0)</f>
        <v>9</v>
      </c>
      <c r="H447" s="503"/>
      <c r="I447" s="503">
        <f>2*(0.22+0.52)+24*0.008</f>
        <v>1.6719999999999999</v>
      </c>
      <c r="J447" s="509"/>
      <c r="K447" s="509"/>
      <c r="L447" s="503">
        <f t="shared" si="259"/>
        <v>1.6719999999999999</v>
      </c>
      <c r="M447" s="503">
        <f t="shared" si="253"/>
        <v>60.19</v>
      </c>
      <c r="N447" s="503">
        <f t="shared" si="254"/>
        <v>0</v>
      </c>
      <c r="O447" s="503">
        <f t="shared" si="255"/>
        <v>0</v>
      </c>
      <c r="P447" s="503">
        <f t="shared" si="256"/>
        <v>0</v>
      </c>
      <c r="Q447" s="503">
        <f t="shared" si="257"/>
        <v>0</v>
      </c>
      <c r="R447" s="503">
        <f t="shared" si="258"/>
        <v>0</v>
      </c>
    </row>
    <row r="448" spans="1:18">
      <c r="A448" s="505"/>
      <c r="B448" s="511"/>
      <c r="C448" s="507">
        <v>8</v>
      </c>
      <c r="D448" s="508">
        <v>150</v>
      </c>
      <c r="E448" s="507">
        <f t="shared" si="269"/>
        <v>4</v>
      </c>
      <c r="F448" s="502">
        <v>1</v>
      </c>
      <c r="G448" s="502">
        <f t="shared" si="271"/>
        <v>9</v>
      </c>
      <c r="H448" s="503"/>
      <c r="I448" s="503">
        <f>2*(0.22+0.115)+24*0.008</f>
        <v>0.8620000000000001</v>
      </c>
      <c r="J448" s="509"/>
      <c r="K448" s="509"/>
      <c r="L448" s="503">
        <f t="shared" si="259"/>
        <v>0.8620000000000001</v>
      </c>
      <c r="M448" s="503">
        <f t="shared" si="253"/>
        <v>31.03</v>
      </c>
      <c r="N448" s="503">
        <f t="shared" si="254"/>
        <v>0</v>
      </c>
      <c r="O448" s="503">
        <f t="shared" si="255"/>
        <v>0</v>
      </c>
      <c r="P448" s="503">
        <f t="shared" si="256"/>
        <v>0</v>
      </c>
      <c r="Q448" s="503">
        <f t="shared" si="257"/>
        <v>0</v>
      </c>
      <c r="R448" s="503">
        <f t="shared" si="258"/>
        <v>0</v>
      </c>
    </row>
    <row r="449" spans="1:18">
      <c r="A449" s="505"/>
      <c r="B449" s="511"/>
      <c r="C449" s="507">
        <v>8</v>
      </c>
      <c r="D449" s="508">
        <v>150</v>
      </c>
      <c r="E449" s="507">
        <f t="shared" si="269"/>
        <v>4</v>
      </c>
      <c r="F449" s="502">
        <v>2</v>
      </c>
      <c r="G449" s="502">
        <f t="shared" si="271"/>
        <v>9</v>
      </c>
      <c r="H449" s="503"/>
      <c r="I449" s="503">
        <f>+(0.16+0.16+0.22)+0.2*0.008</f>
        <v>0.54160000000000008</v>
      </c>
      <c r="J449" s="509"/>
      <c r="K449" s="509"/>
      <c r="L449" s="503">
        <f t="shared" si="259"/>
        <v>0.54160000000000008</v>
      </c>
      <c r="M449" s="503">
        <f t="shared" si="253"/>
        <v>39</v>
      </c>
      <c r="N449" s="503">
        <f t="shared" si="254"/>
        <v>0</v>
      </c>
      <c r="O449" s="503">
        <f t="shared" si="255"/>
        <v>0</v>
      </c>
      <c r="P449" s="503">
        <f t="shared" si="256"/>
        <v>0</v>
      </c>
      <c r="Q449" s="503">
        <f t="shared" si="257"/>
        <v>0</v>
      </c>
      <c r="R449" s="503">
        <f t="shared" si="258"/>
        <v>0</v>
      </c>
    </row>
    <row r="450" spans="1:18">
      <c r="A450" s="505"/>
      <c r="B450" s="506" t="s">
        <v>791</v>
      </c>
      <c r="C450" s="507">
        <v>20</v>
      </c>
      <c r="D450" s="508"/>
      <c r="E450" s="507">
        <v>16</v>
      </c>
      <c r="F450" s="502">
        <v>1</v>
      </c>
      <c r="G450" s="502">
        <v>4</v>
      </c>
      <c r="H450" s="503"/>
      <c r="I450" s="503">
        <f>106.2-103.25</f>
        <v>2.9500000000000028</v>
      </c>
      <c r="J450" s="509"/>
      <c r="K450" s="509">
        <f t="shared" ref="K450:K451" si="272">1*36*C450/1000</f>
        <v>0.72</v>
      </c>
      <c r="L450" s="503">
        <f t="shared" si="259"/>
        <v>3.6700000000000026</v>
      </c>
      <c r="M450" s="503">
        <f t="shared" si="253"/>
        <v>0</v>
      </c>
      <c r="N450" s="503">
        <f t="shared" si="254"/>
        <v>0</v>
      </c>
      <c r="O450" s="503">
        <f t="shared" si="255"/>
        <v>0</v>
      </c>
      <c r="P450" s="503">
        <f t="shared" si="256"/>
        <v>0</v>
      </c>
      <c r="Q450" s="503">
        <f t="shared" si="257"/>
        <v>234.88</v>
      </c>
      <c r="R450" s="503">
        <f t="shared" si="258"/>
        <v>0</v>
      </c>
    </row>
    <row r="451" spans="1:18">
      <c r="A451" s="505"/>
      <c r="B451" s="506"/>
      <c r="C451" s="507">
        <v>16</v>
      </c>
      <c r="D451" s="508"/>
      <c r="E451" s="507">
        <v>16</v>
      </c>
      <c r="F451" s="502">
        <v>1</v>
      </c>
      <c r="G451" s="502">
        <v>12</v>
      </c>
      <c r="H451" s="503"/>
      <c r="I451" s="503">
        <f>106.2-103.25</f>
        <v>2.9500000000000028</v>
      </c>
      <c r="J451" s="509"/>
      <c r="K451" s="509">
        <f t="shared" si="272"/>
        <v>0.57599999999999996</v>
      </c>
      <c r="L451" s="503">
        <f t="shared" si="259"/>
        <v>3.5260000000000029</v>
      </c>
      <c r="M451" s="503">
        <f t="shared" si="253"/>
        <v>0</v>
      </c>
      <c r="N451" s="503">
        <f t="shared" si="254"/>
        <v>0</v>
      </c>
      <c r="O451" s="503">
        <f t="shared" si="255"/>
        <v>0</v>
      </c>
      <c r="P451" s="503">
        <f t="shared" si="256"/>
        <v>676.99</v>
      </c>
      <c r="Q451" s="503">
        <f t="shared" si="257"/>
        <v>0</v>
      </c>
      <c r="R451" s="503">
        <f t="shared" si="258"/>
        <v>0</v>
      </c>
    </row>
    <row r="452" spans="1:18">
      <c r="A452" s="505"/>
      <c r="B452" s="511" t="s">
        <v>787</v>
      </c>
      <c r="C452" s="507">
        <v>10</v>
      </c>
      <c r="D452" s="508">
        <v>75</v>
      </c>
      <c r="E452" s="507">
        <f>+E450</f>
        <v>16</v>
      </c>
      <c r="F452" s="502">
        <v>2</v>
      </c>
      <c r="G452" s="502">
        <f>+ROUND(750/D452,0)</f>
        <v>10</v>
      </c>
      <c r="H452" s="503"/>
      <c r="I452" s="503">
        <f>2*(0.22+0.67)+24*0.01</f>
        <v>2.02</v>
      </c>
      <c r="J452" s="509"/>
      <c r="K452" s="509"/>
      <c r="L452" s="503">
        <f t="shared" si="259"/>
        <v>2.02</v>
      </c>
      <c r="M452" s="503">
        <f t="shared" si="253"/>
        <v>0</v>
      </c>
      <c r="N452" s="503">
        <f t="shared" si="254"/>
        <v>646.4</v>
      </c>
      <c r="O452" s="503">
        <f t="shared" si="255"/>
        <v>0</v>
      </c>
      <c r="P452" s="503">
        <f t="shared" si="256"/>
        <v>0</v>
      </c>
      <c r="Q452" s="503">
        <f t="shared" si="257"/>
        <v>0</v>
      </c>
      <c r="R452" s="503">
        <f t="shared" si="258"/>
        <v>0</v>
      </c>
    </row>
    <row r="453" spans="1:18">
      <c r="A453" s="505"/>
      <c r="B453" s="511"/>
      <c r="C453" s="507">
        <v>10</v>
      </c>
      <c r="D453" s="508">
        <v>75</v>
      </c>
      <c r="E453" s="507">
        <f t="shared" ref="E453:E459" si="273">+E452</f>
        <v>16</v>
      </c>
      <c r="F453" s="502">
        <v>2</v>
      </c>
      <c r="G453" s="502">
        <f t="shared" ref="G453:G455" si="274">+ROUND(750/D453,0)</f>
        <v>10</v>
      </c>
      <c r="H453" s="503"/>
      <c r="I453" s="503">
        <f>2*(0.22+0.132)+24*0.01</f>
        <v>0.94399999999999995</v>
      </c>
      <c r="J453" s="509"/>
      <c r="K453" s="509"/>
      <c r="L453" s="503">
        <f t="shared" si="259"/>
        <v>0.94399999999999995</v>
      </c>
      <c r="M453" s="503">
        <f t="shared" si="253"/>
        <v>0</v>
      </c>
      <c r="N453" s="503">
        <f t="shared" si="254"/>
        <v>302.08</v>
      </c>
      <c r="O453" s="503">
        <f t="shared" si="255"/>
        <v>0</v>
      </c>
      <c r="P453" s="503">
        <f t="shared" si="256"/>
        <v>0</v>
      </c>
      <c r="Q453" s="503">
        <f t="shared" si="257"/>
        <v>0</v>
      </c>
      <c r="R453" s="503">
        <f t="shared" si="258"/>
        <v>0</v>
      </c>
    </row>
    <row r="454" spans="1:18">
      <c r="A454" s="505"/>
      <c r="B454" s="511"/>
      <c r="C454" s="507">
        <v>10</v>
      </c>
      <c r="D454" s="508">
        <v>75</v>
      </c>
      <c r="E454" s="507">
        <f t="shared" si="273"/>
        <v>16</v>
      </c>
      <c r="F454" s="502">
        <f>2*2</f>
        <v>4</v>
      </c>
      <c r="G454" s="502">
        <f t="shared" si="274"/>
        <v>10</v>
      </c>
      <c r="H454" s="503"/>
      <c r="I454" s="503">
        <f>+(0.165+0.165+0.22)+0.2*0.01</f>
        <v>0.55200000000000005</v>
      </c>
      <c r="J454" s="509"/>
      <c r="K454" s="509"/>
      <c r="L454" s="503">
        <f t="shared" si="259"/>
        <v>0.55200000000000005</v>
      </c>
      <c r="M454" s="503">
        <f t="shared" si="253"/>
        <v>0</v>
      </c>
      <c r="N454" s="503">
        <f t="shared" si="254"/>
        <v>353.28</v>
      </c>
      <c r="O454" s="503">
        <f t="shared" si="255"/>
        <v>0</v>
      </c>
      <c r="P454" s="503">
        <f t="shared" si="256"/>
        <v>0</v>
      </c>
      <c r="Q454" s="503">
        <f t="shared" si="257"/>
        <v>0</v>
      </c>
      <c r="R454" s="503">
        <f t="shared" si="258"/>
        <v>0</v>
      </c>
    </row>
    <row r="455" spans="1:18">
      <c r="A455" s="505"/>
      <c r="B455" s="511"/>
      <c r="C455" s="507">
        <v>10</v>
      </c>
      <c r="D455" s="508">
        <v>75</v>
      </c>
      <c r="E455" s="507">
        <f t="shared" si="273"/>
        <v>16</v>
      </c>
      <c r="F455" s="502">
        <v>2</v>
      </c>
      <c r="G455" s="502">
        <f t="shared" si="274"/>
        <v>10</v>
      </c>
      <c r="H455" s="503"/>
      <c r="I455" s="503">
        <f>0.22+2*10*0.01</f>
        <v>0.42000000000000004</v>
      </c>
      <c r="J455" s="509"/>
      <c r="K455" s="509"/>
      <c r="L455" s="503">
        <f t="shared" ref="L455:L544" si="275">SUM(H455:J455)+K455</f>
        <v>0.42000000000000004</v>
      </c>
      <c r="M455" s="503">
        <f t="shared" si="253"/>
        <v>0</v>
      </c>
      <c r="N455" s="503">
        <f t="shared" si="254"/>
        <v>134.4</v>
      </c>
      <c r="O455" s="503">
        <f t="shared" si="255"/>
        <v>0</v>
      </c>
      <c r="P455" s="503">
        <f t="shared" si="256"/>
        <v>0</v>
      </c>
      <c r="Q455" s="503">
        <f t="shared" si="257"/>
        <v>0</v>
      </c>
      <c r="R455" s="503">
        <f t="shared" si="258"/>
        <v>0</v>
      </c>
    </row>
    <row r="456" spans="1:18">
      <c r="A456" s="505"/>
      <c r="B456" s="511" t="s">
        <v>788</v>
      </c>
      <c r="C456" s="507">
        <v>8</v>
      </c>
      <c r="D456" s="508">
        <v>150</v>
      </c>
      <c r="E456" s="507">
        <f t="shared" si="273"/>
        <v>16</v>
      </c>
      <c r="F456" s="502">
        <v>1</v>
      </c>
      <c r="G456" s="502">
        <f>+ROUND(950/D456+1,0)</f>
        <v>7</v>
      </c>
      <c r="H456" s="503"/>
      <c r="I456" s="503">
        <f>2*(0.22+0.67)+24*0.008</f>
        <v>1.972</v>
      </c>
      <c r="J456" s="509"/>
      <c r="K456" s="509"/>
      <c r="L456" s="503">
        <f t="shared" si="275"/>
        <v>1.972</v>
      </c>
      <c r="M456" s="503">
        <f t="shared" si="253"/>
        <v>220.86</v>
      </c>
      <c r="N456" s="503">
        <f t="shared" si="254"/>
        <v>0</v>
      </c>
      <c r="O456" s="503">
        <f t="shared" si="255"/>
        <v>0</v>
      </c>
      <c r="P456" s="503">
        <f t="shared" si="256"/>
        <v>0</v>
      </c>
      <c r="Q456" s="503">
        <f t="shared" si="257"/>
        <v>0</v>
      </c>
      <c r="R456" s="503">
        <f t="shared" si="258"/>
        <v>0</v>
      </c>
    </row>
    <row r="457" spans="1:18">
      <c r="A457" s="505"/>
      <c r="B457" s="511"/>
      <c r="C457" s="507">
        <v>8</v>
      </c>
      <c r="D457" s="508">
        <v>150</v>
      </c>
      <c r="E457" s="507">
        <f t="shared" si="273"/>
        <v>16</v>
      </c>
      <c r="F457" s="502">
        <v>1</v>
      </c>
      <c r="G457" s="502">
        <f t="shared" ref="G457:G459" si="276">+ROUND(950/D457+1,0)</f>
        <v>7</v>
      </c>
      <c r="H457" s="503"/>
      <c r="I457" s="503">
        <f>2*(0.22+0.132)+24*0.008</f>
        <v>0.89599999999999991</v>
      </c>
      <c r="J457" s="509"/>
      <c r="K457" s="509"/>
      <c r="L457" s="503">
        <f t="shared" si="275"/>
        <v>0.89599999999999991</v>
      </c>
      <c r="M457" s="503">
        <f t="shared" si="253"/>
        <v>100.35</v>
      </c>
      <c r="N457" s="503">
        <f t="shared" si="254"/>
        <v>0</v>
      </c>
      <c r="O457" s="503">
        <f t="shared" si="255"/>
        <v>0</v>
      </c>
      <c r="P457" s="503">
        <f t="shared" si="256"/>
        <v>0</v>
      </c>
      <c r="Q457" s="503">
        <f t="shared" si="257"/>
        <v>0</v>
      </c>
      <c r="R457" s="503">
        <f t="shared" si="258"/>
        <v>0</v>
      </c>
    </row>
    <row r="458" spans="1:18">
      <c r="A458" s="505"/>
      <c r="B458" s="511"/>
      <c r="C458" s="507">
        <v>8</v>
      </c>
      <c r="D458" s="508">
        <v>150</v>
      </c>
      <c r="E458" s="507">
        <f t="shared" si="273"/>
        <v>16</v>
      </c>
      <c r="F458" s="502">
        <v>2</v>
      </c>
      <c r="G458" s="502">
        <f t="shared" si="276"/>
        <v>7</v>
      </c>
      <c r="H458" s="503"/>
      <c r="I458" s="503">
        <f>+(0.165+0.165+0.22)+0.2*0.008</f>
        <v>0.55160000000000009</v>
      </c>
      <c r="J458" s="509"/>
      <c r="K458" s="509"/>
      <c r="L458" s="503">
        <f t="shared" si="275"/>
        <v>0.55160000000000009</v>
      </c>
      <c r="M458" s="503">
        <f t="shared" si="253"/>
        <v>123.56</v>
      </c>
      <c r="N458" s="503">
        <f t="shared" si="254"/>
        <v>0</v>
      </c>
      <c r="O458" s="503">
        <f t="shared" si="255"/>
        <v>0</v>
      </c>
      <c r="P458" s="503">
        <f t="shared" si="256"/>
        <v>0</v>
      </c>
      <c r="Q458" s="503">
        <f t="shared" si="257"/>
        <v>0</v>
      </c>
      <c r="R458" s="503">
        <f t="shared" si="258"/>
        <v>0</v>
      </c>
    </row>
    <row r="459" spans="1:18">
      <c r="A459" s="505"/>
      <c r="B459" s="511"/>
      <c r="C459" s="507">
        <v>8</v>
      </c>
      <c r="D459" s="508">
        <v>150</v>
      </c>
      <c r="E459" s="507">
        <f t="shared" si="273"/>
        <v>16</v>
      </c>
      <c r="F459" s="502">
        <v>1</v>
      </c>
      <c r="G459" s="502">
        <f t="shared" si="276"/>
        <v>7</v>
      </c>
      <c r="H459" s="503"/>
      <c r="I459" s="503">
        <f>0.22+2*10*0.008</f>
        <v>0.38</v>
      </c>
      <c r="J459" s="509"/>
      <c r="K459" s="509"/>
      <c r="L459" s="503">
        <f t="shared" si="275"/>
        <v>0.38</v>
      </c>
      <c r="M459" s="503">
        <f t="shared" si="253"/>
        <v>42.56</v>
      </c>
      <c r="N459" s="503">
        <f t="shared" si="254"/>
        <v>0</v>
      </c>
      <c r="O459" s="503">
        <f t="shared" si="255"/>
        <v>0</v>
      </c>
      <c r="P459" s="503">
        <f t="shared" si="256"/>
        <v>0</v>
      </c>
      <c r="Q459" s="503">
        <f t="shared" si="257"/>
        <v>0</v>
      </c>
      <c r="R459" s="503">
        <f t="shared" si="258"/>
        <v>0</v>
      </c>
    </row>
    <row r="460" spans="1:18">
      <c r="A460" s="505"/>
      <c r="B460" s="506" t="s">
        <v>792</v>
      </c>
      <c r="C460" s="507">
        <v>16</v>
      </c>
      <c r="D460" s="508"/>
      <c r="E460" s="507">
        <v>14</v>
      </c>
      <c r="F460" s="502">
        <v>1</v>
      </c>
      <c r="G460" s="502">
        <v>4</v>
      </c>
      <c r="H460" s="503"/>
      <c r="I460" s="503">
        <f t="shared" ref="I460:I461" si="277">106.2-103.25</f>
        <v>2.9500000000000028</v>
      </c>
      <c r="J460" s="509"/>
      <c r="K460" s="509">
        <f t="shared" ref="K460:K461" si="278">1*36*C460/1000</f>
        <v>0.57599999999999996</v>
      </c>
      <c r="L460" s="503">
        <f t="shared" si="275"/>
        <v>3.5260000000000029</v>
      </c>
      <c r="M460" s="503">
        <f t="shared" si="253"/>
        <v>0</v>
      </c>
      <c r="N460" s="503">
        <f t="shared" si="254"/>
        <v>0</v>
      </c>
      <c r="O460" s="503">
        <f t="shared" si="255"/>
        <v>0</v>
      </c>
      <c r="P460" s="503">
        <f t="shared" si="256"/>
        <v>197.46</v>
      </c>
      <c r="Q460" s="503">
        <f t="shared" si="257"/>
        <v>0</v>
      </c>
      <c r="R460" s="503">
        <f t="shared" si="258"/>
        <v>0</v>
      </c>
    </row>
    <row r="461" spans="1:18">
      <c r="A461" s="505"/>
      <c r="B461" s="511"/>
      <c r="C461" s="507">
        <v>12</v>
      </c>
      <c r="D461" s="508"/>
      <c r="E461" s="507">
        <f>+E460</f>
        <v>14</v>
      </c>
      <c r="F461" s="502">
        <v>1</v>
      </c>
      <c r="G461" s="502">
        <v>12</v>
      </c>
      <c r="H461" s="503"/>
      <c r="I461" s="503">
        <f t="shared" si="277"/>
        <v>2.9500000000000028</v>
      </c>
      <c r="J461" s="509"/>
      <c r="K461" s="509">
        <f t="shared" si="278"/>
        <v>0.432</v>
      </c>
      <c r="L461" s="503">
        <f t="shared" si="275"/>
        <v>3.3820000000000028</v>
      </c>
      <c r="M461" s="503">
        <f t="shared" si="253"/>
        <v>0</v>
      </c>
      <c r="N461" s="503">
        <f t="shared" si="254"/>
        <v>0</v>
      </c>
      <c r="O461" s="503">
        <f t="shared" si="255"/>
        <v>568.17999999999995</v>
      </c>
      <c r="P461" s="503">
        <f t="shared" si="256"/>
        <v>0</v>
      </c>
      <c r="Q461" s="503">
        <f t="shared" si="257"/>
        <v>0</v>
      </c>
      <c r="R461" s="503">
        <f t="shared" si="258"/>
        <v>0</v>
      </c>
    </row>
    <row r="462" spans="1:18">
      <c r="A462" s="505"/>
      <c r="B462" s="511" t="s">
        <v>787</v>
      </c>
      <c r="C462" s="507">
        <v>10</v>
      </c>
      <c r="D462" s="508">
        <v>75</v>
      </c>
      <c r="E462" s="507">
        <f t="shared" ref="E462:E469" si="279">+E461</f>
        <v>14</v>
      </c>
      <c r="F462" s="502">
        <v>2</v>
      </c>
      <c r="G462" s="502">
        <f>+ROUND(750/D462,0)</f>
        <v>10</v>
      </c>
      <c r="H462" s="503"/>
      <c r="I462" s="503">
        <f>2*(0.22+0.67)+24*0.01</f>
        <v>2.02</v>
      </c>
      <c r="J462" s="509"/>
      <c r="K462" s="509"/>
      <c r="L462" s="503">
        <f t="shared" si="275"/>
        <v>2.02</v>
      </c>
      <c r="M462" s="503">
        <f t="shared" si="253"/>
        <v>0</v>
      </c>
      <c r="N462" s="503">
        <f t="shared" si="254"/>
        <v>565.6</v>
      </c>
      <c r="O462" s="503">
        <f t="shared" si="255"/>
        <v>0</v>
      </c>
      <c r="P462" s="503">
        <f t="shared" si="256"/>
        <v>0</v>
      </c>
      <c r="Q462" s="503">
        <f t="shared" si="257"/>
        <v>0</v>
      </c>
      <c r="R462" s="503">
        <f t="shared" si="258"/>
        <v>0</v>
      </c>
    </row>
    <row r="463" spans="1:18">
      <c r="A463" s="505"/>
      <c r="B463" s="511"/>
      <c r="C463" s="507">
        <v>10</v>
      </c>
      <c r="D463" s="508">
        <v>75</v>
      </c>
      <c r="E463" s="507">
        <f t="shared" si="279"/>
        <v>14</v>
      </c>
      <c r="F463" s="502">
        <v>2</v>
      </c>
      <c r="G463" s="502">
        <f t="shared" ref="G463:G465" si="280">+ROUND(750/D463,0)</f>
        <v>10</v>
      </c>
      <c r="H463" s="503"/>
      <c r="I463" s="503">
        <f>2*(0.22+0.132)+24*0.01</f>
        <v>0.94399999999999995</v>
      </c>
      <c r="J463" s="509"/>
      <c r="K463" s="509"/>
      <c r="L463" s="503">
        <f t="shared" si="275"/>
        <v>0.94399999999999995</v>
      </c>
      <c r="M463" s="503">
        <f t="shared" si="253"/>
        <v>0</v>
      </c>
      <c r="N463" s="503">
        <f t="shared" si="254"/>
        <v>264.32</v>
      </c>
      <c r="O463" s="503">
        <f t="shared" si="255"/>
        <v>0</v>
      </c>
      <c r="P463" s="503">
        <f t="shared" si="256"/>
        <v>0</v>
      </c>
      <c r="Q463" s="503">
        <f t="shared" si="257"/>
        <v>0</v>
      </c>
      <c r="R463" s="503">
        <f t="shared" si="258"/>
        <v>0</v>
      </c>
    </row>
    <row r="464" spans="1:18">
      <c r="A464" s="505"/>
      <c r="B464" s="511"/>
      <c r="C464" s="507">
        <v>10</v>
      </c>
      <c r="D464" s="508">
        <v>75</v>
      </c>
      <c r="E464" s="507">
        <f t="shared" si="279"/>
        <v>14</v>
      </c>
      <c r="F464" s="502">
        <f>2*2</f>
        <v>4</v>
      </c>
      <c r="G464" s="502">
        <f t="shared" si="280"/>
        <v>10</v>
      </c>
      <c r="H464" s="503"/>
      <c r="I464" s="503">
        <f>+(0.165+0.165+0.22)+0.2*0.01</f>
        <v>0.55200000000000005</v>
      </c>
      <c r="J464" s="509"/>
      <c r="K464" s="509"/>
      <c r="L464" s="503">
        <f t="shared" si="275"/>
        <v>0.55200000000000005</v>
      </c>
      <c r="M464" s="503">
        <f t="shared" si="253"/>
        <v>0</v>
      </c>
      <c r="N464" s="503">
        <f t="shared" si="254"/>
        <v>309.12</v>
      </c>
      <c r="O464" s="503">
        <f t="shared" si="255"/>
        <v>0</v>
      </c>
      <c r="P464" s="503">
        <f t="shared" si="256"/>
        <v>0</v>
      </c>
      <c r="Q464" s="503">
        <f t="shared" si="257"/>
        <v>0</v>
      </c>
      <c r="R464" s="503">
        <f t="shared" si="258"/>
        <v>0</v>
      </c>
    </row>
    <row r="465" spans="1:18">
      <c r="A465" s="505"/>
      <c r="B465" s="511"/>
      <c r="C465" s="507">
        <v>10</v>
      </c>
      <c r="D465" s="508">
        <v>75</v>
      </c>
      <c r="E465" s="507">
        <f t="shared" si="279"/>
        <v>14</v>
      </c>
      <c r="F465" s="502">
        <v>2</v>
      </c>
      <c r="G465" s="502">
        <f t="shared" si="280"/>
        <v>10</v>
      </c>
      <c r="H465" s="503"/>
      <c r="I465" s="503">
        <f>0.22+2*10*0.01</f>
        <v>0.42000000000000004</v>
      </c>
      <c r="J465" s="509"/>
      <c r="K465" s="509"/>
      <c r="L465" s="503">
        <f t="shared" si="275"/>
        <v>0.42000000000000004</v>
      </c>
      <c r="M465" s="503">
        <f t="shared" si="253"/>
        <v>0</v>
      </c>
      <c r="N465" s="503">
        <f t="shared" si="254"/>
        <v>117.6</v>
      </c>
      <c r="O465" s="503">
        <f t="shared" si="255"/>
        <v>0</v>
      </c>
      <c r="P465" s="503">
        <f t="shared" si="256"/>
        <v>0</v>
      </c>
      <c r="Q465" s="503">
        <f t="shared" si="257"/>
        <v>0</v>
      </c>
      <c r="R465" s="503">
        <f t="shared" si="258"/>
        <v>0</v>
      </c>
    </row>
    <row r="466" spans="1:18">
      <c r="A466" s="505"/>
      <c r="B466" s="511" t="s">
        <v>788</v>
      </c>
      <c r="C466" s="507">
        <v>8</v>
      </c>
      <c r="D466" s="508">
        <v>150</v>
      </c>
      <c r="E466" s="507">
        <f t="shared" si="279"/>
        <v>14</v>
      </c>
      <c r="F466" s="502">
        <v>1</v>
      </c>
      <c r="G466" s="502">
        <f t="shared" ref="G466:G469" si="281">+ROUND(950/D466+1,0)</f>
        <v>7</v>
      </c>
      <c r="H466" s="503"/>
      <c r="I466" s="503">
        <f>2*(0.22+0.67)+24*0.008</f>
        <v>1.972</v>
      </c>
      <c r="J466" s="509"/>
      <c r="K466" s="509"/>
      <c r="L466" s="503">
        <f t="shared" si="275"/>
        <v>1.972</v>
      </c>
      <c r="M466" s="503">
        <f t="shared" si="253"/>
        <v>193.26</v>
      </c>
      <c r="N466" s="503">
        <f t="shared" si="254"/>
        <v>0</v>
      </c>
      <c r="O466" s="503">
        <f t="shared" si="255"/>
        <v>0</v>
      </c>
      <c r="P466" s="503">
        <f t="shared" si="256"/>
        <v>0</v>
      </c>
      <c r="Q466" s="503">
        <f t="shared" si="257"/>
        <v>0</v>
      </c>
      <c r="R466" s="503">
        <f t="shared" si="258"/>
        <v>0</v>
      </c>
    </row>
    <row r="467" spans="1:18">
      <c r="A467" s="505"/>
      <c r="B467" s="511"/>
      <c r="C467" s="507">
        <v>8</v>
      </c>
      <c r="D467" s="508">
        <v>150</v>
      </c>
      <c r="E467" s="507">
        <f t="shared" si="279"/>
        <v>14</v>
      </c>
      <c r="F467" s="502">
        <v>1</v>
      </c>
      <c r="G467" s="502">
        <f t="shared" si="281"/>
        <v>7</v>
      </c>
      <c r="H467" s="503"/>
      <c r="I467" s="503">
        <f>2*(0.22+0.132)+24*0.008</f>
        <v>0.89599999999999991</v>
      </c>
      <c r="J467" s="509"/>
      <c r="K467" s="509"/>
      <c r="L467" s="503">
        <f t="shared" si="275"/>
        <v>0.89599999999999991</v>
      </c>
      <c r="M467" s="503">
        <f t="shared" si="253"/>
        <v>87.81</v>
      </c>
      <c r="N467" s="503">
        <f t="shared" si="254"/>
        <v>0</v>
      </c>
      <c r="O467" s="503">
        <f t="shared" si="255"/>
        <v>0</v>
      </c>
      <c r="P467" s="503">
        <f t="shared" si="256"/>
        <v>0</v>
      </c>
      <c r="Q467" s="503">
        <f t="shared" si="257"/>
        <v>0</v>
      </c>
      <c r="R467" s="503">
        <f t="shared" si="258"/>
        <v>0</v>
      </c>
    </row>
    <row r="468" spans="1:18">
      <c r="A468" s="505"/>
      <c r="B468" s="511"/>
      <c r="C468" s="507">
        <v>8</v>
      </c>
      <c r="D468" s="508">
        <v>150</v>
      </c>
      <c r="E468" s="507">
        <f t="shared" si="279"/>
        <v>14</v>
      </c>
      <c r="F468" s="502">
        <v>2</v>
      </c>
      <c r="G468" s="502">
        <f t="shared" si="281"/>
        <v>7</v>
      </c>
      <c r="H468" s="503"/>
      <c r="I468" s="503">
        <f>+(0.165+0.165+0.22)+0.2*0.008</f>
        <v>0.55160000000000009</v>
      </c>
      <c r="J468" s="509"/>
      <c r="K468" s="509"/>
      <c r="L468" s="503">
        <f t="shared" si="275"/>
        <v>0.55160000000000009</v>
      </c>
      <c r="M468" s="503">
        <f t="shared" si="253"/>
        <v>108.11</v>
      </c>
      <c r="N468" s="503">
        <f t="shared" si="254"/>
        <v>0</v>
      </c>
      <c r="O468" s="503">
        <f t="shared" si="255"/>
        <v>0</v>
      </c>
      <c r="P468" s="503">
        <f t="shared" si="256"/>
        <v>0</v>
      </c>
      <c r="Q468" s="503">
        <f t="shared" si="257"/>
        <v>0</v>
      </c>
      <c r="R468" s="503">
        <f t="shared" si="258"/>
        <v>0</v>
      </c>
    </row>
    <row r="469" spans="1:18">
      <c r="A469" s="505"/>
      <c r="B469" s="511"/>
      <c r="C469" s="507">
        <v>8</v>
      </c>
      <c r="D469" s="508">
        <v>150</v>
      </c>
      <c r="E469" s="507">
        <f t="shared" si="279"/>
        <v>14</v>
      </c>
      <c r="F469" s="502">
        <v>1</v>
      </c>
      <c r="G469" s="502">
        <f t="shared" si="281"/>
        <v>7</v>
      </c>
      <c r="H469" s="503"/>
      <c r="I469" s="503">
        <f>0.22+2*10*0.008</f>
        <v>0.38</v>
      </c>
      <c r="J469" s="509"/>
      <c r="K469" s="509"/>
      <c r="L469" s="503">
        <f t="shared" si="275"/>
        <v>0.38</v>
      </c>
      <c r="M469" s="503">
        <f t="shared" si="253"/>
        <v>37.24</v>
      </c>
      <c r="N469" s="503">
        <f t="shared" si="254"/>
        <v>0</v>
      </c>
      <c r="O469" s="503">
        <f t="shared" si="255"/>
        <v>0</v>
      </c>
      <c r="P469" s="503">
        <f t="shared" si="256"/>
        <v>0</v>
      </c>
      <c r="Q469" s="503">
        <f t="shared" si="257"/>
        <v>0</v>
      </c>
      <c r="R469" s="503">
        <f t="shared" si="258"/>
        <v>0</v>
      </c>
    </row>
    <row r="470" spans="1:18">
      <c r="A470" s="505"/>
      <c r="B470" s="506" t="s">
        <v>793</v>
      </c>
      <c r="C470" s="507">
        <v>16</v>
      </c>
      <c r="D470" s="508"/>
      <c r="E470" s="507">
        <v>10</v>
      </c>
      <c r="F470" s="502">
        <v>1</v>
      </c>
      <c r="G470" s="502">
        <v>4</v>
      </c>
      <c r="H470" s="503"/>
      <c r="I470" s="503">
        <f t="shared" ref="I470:I471" si="282">106.2-103.25</f>
        <v>2.9500000000000028</v>
      </c>
      <c r="J470" s="509"/>
      <c r="K470" s="509">
        <f t="shared" ref="K470:K471" si="283">1*36*C470/1000</f>
        <v>0.57599999999999996</v>
      </c>
      <c r="L470" s="503">
        <f t="shared" si="275"/>
        <v>3.5260000000000029</v>
      </c>
      <c r="M470" s="503">
        <f t="shared" si="253"/>
        <v>0</v>
      </c>
      <c r="N470" s="503">
        <f t="shared" si="254"/>
        <v>0</v>
      </c>
      <c r="O470" s="503">
        <f t="shared" si="255"/>
        <v>0</v>
      </c>
      <c r="P470" s="503">
        <f t="shared" si="256"/>
        <v>141.04</v>
      </c>
      <c r="Q470" s="503">
        <f t="shared" si="257"/>
        <v>0</v>
      </c>
      <c r="R470" s="503">
        <f t="shared" si="258"/>
        <v>0</v>
      </c>
    </row>
    <row r="471" spans="1:18">
      <c r="A471" s="505"/>
      <c r="B471" s="511"/>
      <c r="C471" s="507">
        <v>12</v>
      </c>
      <c r="D471" s="508"/>
      <c r="E471" s="507">
        <f>+E470</f>
        <v>10</v>
      </c>
      <c r="F471" s="502">
        <v>1</v>
      </c>
      <c r="G471" s="502">
        <v>12</v>
      </c>
      <c r="H471" s="503"/>
      <c r="I471" s="503">
        <f t="shared" si="282"/>
        <v>2.9500000000000028</v>
      </c>
      <c r="J471" s="509"/>
      <c r="K471" s="509">
        <f t="shared" si="283"/>
        <v>0.432</v>
      </c>
      <c r="L471" s="503">
        <f t="shared" si="275"/>
        <v>3.3820000000000028</v>
      </c>
      <c r="M471" s="503">
        <f t="shared" si="253"/>
        <v>0</v>
      </c>
      <c r="N471" s="503">
        <f t="shared" si="254"/>
        <v>0</v>
      </c>
      <c r="O471" s="503">
        <f t="shared" si="255"/>
        <v>405.84</v>
      </c>
      <c r="P471" s="503">
        <f t="shared" si="256"/>
        <v>0</v>
      </c>
      <c r="Q471" s="503">
        <f t="shared" si="257"/>
        <v>0</v>
      </c>
      <c r="R471" s="503">
        <f t="shared" si="258"/>
        <v>0</v>
      </c>
    </row>
    <row r="472" spans="1:18">
      <c r="A472" s="505"/>
      <c r="B472" s="511" t="s">
        <v>787</v>
      </c>
      <c r="C472" s="507">
        <v>10</v>
      </c>
      <c r="D472" s="508">
        <v>75</v>
      </c>
      <c r="E472" s="507">
        <f t="shared" ref="E472:E479" si="284">+E471</f>
        <v>10</v>
      </c>
      <c r="F472" s="502">
        <v>2</v>
      </c>
      <c r="G472" s="502">
        <f>+ROUND(715/D472,0)</f>
        <v>10</v>
      </c>
      <c r="H472" s="503"/>
      <c r="I472" s="503">
        <f>2*(0.22+0.635)+24*0.01</f>
        <v>1.95</v>
      </c>
      <c r="J472" s="509"/>
      <c r="K472" s="509"/>
      <c r="L472" s="503">
        <f t="shared" si="275"/>
        <v>1.95</v>
      </c>
      <c r="M472" s="503">
        <f t="shared" si="253"/>
        <v>0</v>
      </c>
      <c r="N472" s="503">
        <f t="shared" si="254"/>
        <v>390</v>
      </c>
      <c r="O472" s="503">
        <f t="shared" si="255"/>
        <v>0</v>
      </c>
      <c r="P472" s="503">
        <f t="shared" si="256"/>
        <v>0</v>
      </c>
      <c r="Q472" s="503">
        <f t="shared" si="257"/>
        <v>0</v>
      </c>
      <c r="R472" s="503">
        <f t="shared" si="258"/>
        <v>0</v>
      </c>
    </row>
    <row r="473" spans="1:18">
      <c r="A473" s="505"/>
      <c r="B473" s="511"/>
      <c r="C473" s="507">
        <v>10</v>
      </c>
      <c r="D473" s="508">
        <v>75</v>
      </c>
      <c r="E473" s="507">
        <f t="shared" si="284"/>
        <v>10</v>
      </c>
      <c r="F473" s="502">
        <v>2</v>
      </c>
      <c r="G473" s="502">
        <f t="shared" ref="G473:G475" si="285">+ROUND(715/D473,0)</f>
        <v>10</v>
      </c>
      <c r="H473" s="503"/>
      <c r="I473" s="503">
        <f>2*(0.22+0.132)+24*0.01</f>
        <v>0.94399999999999995</v>
      </c>
      <c r="J473" s="509"/>
      <c r="K473" s="509"/>
      <c r="L473" s="503">
        <f t="shared" si="275"/>
        <v>0.94399999999999995</v>
      </c>
      <c r="M473" s="503">
        <f t="shared" si="253"/>
        <v>0</v>
      </c>
      <c r="N473" s="503">
        <f t="shared" si="254"/>
        <v>188.8</v>
      </c>
      <c r="O473" s="503">
        <f t="shared" si="255"/>
        <v>0</v>
      </c>
      <c r="P473" s="503">
        <f t="shared" si="256"/>
        <v>0</v>
      </c>
      <c r="Q473" s="503">
        <f t="shared" si="257"/>
        <v>0</v>
      </c>
      <c r="R473" s="503">
        <f t="shared" si="258"/>
        <v>0</v>
      </c>
    </row>
    <row r="474" spans="1:18">
      <c r="A474" s="505"/>
      <c r="B474" s="511"/>
      <c r="C474" s="507">
        <v>10</v>
      </c>
      <c r="D474" s="508">
        <v>75</v>
      </c>
      <c r="E474" s="507">
        <f t="shared" si="284"/>
        <v>10</v>
      </c>
      <c r="F474" s="502">
        <f>2*2</f>
        <v>4</v>
      </c>
      <c r="G474" s="502">
        <f t="shared" si="285"/>
        <v>10</v>
      </c>
      <c r="H474" s="503"/>
      <c r="I474" s="503">
        <f>+(0.165+0.165+0.22)+0.2*0.01</f>
        <v>0.55200000000000005</v>
      </c>
      <c r="J474" s="509"/>
      <c r="K474" s="509"/>
      <c r="L474" s="503">
        <f t="shared" si="275"/>
        <v>0.55200000000000005</v>
      </c>
      <c r="M474" s="503">
        <f t="shared" si="253"/>
        <v>0</v>
      </c>
      <c r="N474" s="503">
        <f t="shared" si="254"/>
        <v>220.8</v>
      </c>
      <c r="O474" s="503">
        <f t="shared" si="255"/>
        <v>0</v>
      </c>
      <c r="P474" s="503">
        <f t="shared" si="256"/>
        <v>0</v>
      </c>
      <c r="Q474" s="503">
        <f t="shared" si="257"/>
        <v>0</v>
      </c>
      <c r="R474" s="503">
        <f t="shared" si="258"/>
        <v>0</v>
      </c>
    </row>
    <row r="475" spans="1:18">
      <c r="A475" s="505"/>
      <c r="B475" s="511"/>
      <c r="C475" s="507">
        <v>10</v>
      </c>
      <c r="D475" s="508">
        <v>75</v>
      </c>
      <c r="E475" s="507">
        <f t="shared" si="284"/>
        <v>10</v>
      </c>
      <c r="F475" s="502">
        <v>2</v>
      </c>
      <c r="G475" s="502">
        <f t="shared" si="285"/>
        <v>10</v>
      </c>
      <c r="H475" s="503"/>
      <c r="I475" s="503">
        <f>0.22+2*10*0.01</f>
        <v>0.42000000000000004</v>
      </c>
      <c r="J475" s="509"/>
      <c r="K475" s="509"/>
      <c r="L475" s="503">
        <f t="shared" si="275"/>
        <v>0.42000000000000004</v>
      </c>
      <c r="M475" s="503">
        <f t="shared" si="253"/>
        <v>0</v>
      </c>
      <c r="N475" s="503">
        <f t="shared" si="254"/>
        <v>84</v>
      </c>
      <c r="O475" s="503">
        <f t="shared" si="255"/>
        <v>0</v>
      </c>
      <c r="P475" s="503">
        <f t="shared" si="256"/>
        <v>0</v>
      </c>
      <c r="Q475" s="503">
        <f t="shared" si="257"/>
        <v>0</v>
      </c>
      <c r="R475" s="503">
        <f t="shared" si="258"/>
        <v>0</v>
      </c>
    </row>
    <row r="476" spans="1:18">
      <c r="A476" s="505"/>
      <c r="B476" s="511" t="s">
        <v>788</v>
      </c>
      <c r="C476" s="507">
        <v>8</v>
      </c>
      <c r="D476" s="508">
        <v>150</v>
      </c>
      <c r="E476" s="507">
        <f t="shared" si="284"/>
        <v>10</v>
      </c>
      <c r="F476" s="502">
        <v>1</v>
      </c>
      <c r="G476" s="502">
        <f>+ROUND(1020/D476+1,0)</f>
        <v>8</v>
      </c>
      <c r="H476" s="503"/>
      <c r="I476" s="503">
        <f>2*(0.22+0.635)+24*0.008</f>
        <v>1.9019999999999999</v>
      </c>
      <c r="J476" s="509"/>
      <c r="K476" s="509"/>
      <c r="L476" s="503">
        <f t="shared" si="275"/>
        <v>1.9019999999999999</v>
      </c>
      <c r="M476" s="503">
        <f t="shared" si="253"/>
        <v>152.16</v>
      </c>
      <c r="N476" s="503">
        <f t="shared" si="254"/>
        <v>0</v>
      </c>
      <c r="O476" s="503">
        <f t="shared" si="255"/>
        <v>0</v>
      </c>
      <c r="P476" s="503">
        <f t="shared" si="256"/>
        <v>0</v>
      </c>
      <c r="Q476" s="503">
        <f t="shared" si="257"/>
        <v>0</v>
      </c>
      <c r="R476" s="503">
        <f t="shared" si="258"/>
        <v>0</v>
      </c>
    </row>
    <row r="477" spans="1:18">
      <c r="A477" s="505"/>
      <c r="B477" s="511"/>
      <c r="C477" s="507">
        <v>8</v>
      </c>
      <c r="D477" s="508">
        <v>150</v>
      </c>
      <c r="E477" s="507">
        <f t="shared" si="284"/>
        <v>10</v>
      </c>
      <c r="F477" s="502">
        <v>1</v>
      </c>
      <c r="G477" s="502">
        <f>+ROUND(1020/D477+1,0)</f>
        <v>8</v>
      </c>
      <c r="H477" s="503"/>
      <c r="I477" s="503">
        <f>2*(0.22+0.132)+24*0.008</f>
        <v>0.89599999999999991</v>
      </c>
      <c r="J477" s="509"/>
      <c r="K477" s="509"/>
      <c r="L477" s="503">
        <f t="shared" si="275"/>
        <v>0.89599999999999991</v>
      </c>
      <c r="M477" s="503">
        <f t="shared" si="253"/>
        <v>71.680000000000007</v>
      </c>
      <c r="N477" s="503">
        <f t="shared" si="254"/>
        <v>0</v>
      </c>
      <c r="O477" s="503">
        <f t="shared" si="255"/>
        <v>0</v>
      </c>
      <c r="P477" s="503">
        <f t="shared" si="256"/>
        <v>0</v>
      </c>
      <c r="Q477" s="503">
        <f t="shared" si="257"/>
        <v>0</v>
      </c>
      <c r="R477" s="503">
        <f t="shared" si="258"/>
        <v>0</v>
      </c>
    </row>
    <row r="478" spans="1:18">
      <c r="A478" s="505"/>
      <c r="B478" s="511"/>
      <c r="C478" s="507">
        <v>8</v>
      </c>
      <c r="D478" s="508">
        <v>150</v>
      </c>
      <c r="E478" s="507">
        <f t="shared" si="284"/>
        <v>10</v>
      </c>
      <c r="F478" s="502">
        <v>2</v>
      </c>
      <c r="G478" s="502">
        <f t="shared" ref="G478:G479" si="286">+ROUND(1020/D478+1,0)</f>
        <v>8</v>
      </c>
      <c r="H478" s="503"/>
      <c r="I478" s="503">
        <f>+(0.165+0.165+0.22)+0.2*0.008</f>
        <v>0.55160000000000009</v>
      </c>
      <c r="J478" s="509"/>
      <c r="K478" s="509"/>
      <c r="L478" s="503">
        <f t="shared" si="275"/>
        <v>0.55160000000000009</v>
      </c>
      <c r="M478" s="503">
        <f t="shared" si="253"/>
        <v>88.26</v>
      </c>
      <c r="N478" s="503">
        <f t="shared" si="254"/>
        <v>0</v>
      </c>
      <c r="O478" s="503">
        <f t="shared" si="255"/>
        <v>0</v>
      </c>
      <c r="P478" s="503">
        <f t="shared" si="256"/>
        <v>0</v>
      </c>
      <c r="Q478" s="503">
        <f t="shared" si="257"/>
        <v>0</v>
      </c>
      <c r="R478" s="503">
        <f t="shared" si="258"/>
        <v>0</v>
      </c>
    </row>
    <row r="479" spans="1:18">
      <c r="A479" s="505"/>
      <c r="B479" s="511"/>
      <c r="C479" s="507">
        <v>8</v>
      </c>
      <c r="D479" s="508">
        <v>150</v>
      </c>
      <c r="E479" s="507">
        <f t="shared" si="284"/>
        <v>10</v>
      </c>
      <c r="F479" s="502">
        <v>1</v>
      </c>
      <c r="G479" s="502">
        <f t="shared" si="286"/>
        <v>8</v>
      </c>
      <c r="H479" s="503"/>
      <c r="I479" s="503">
        <f>0.22+2*10*0.008</f>
        <v>0.38</v>
      </c>
      <c r="J479" s="509"/>
      <c r="K479" s="509"/>
      <c r="L479" s="503">
        <f t="shared" si="275"/>
        <v>0.38</v>
      </c>
      <c r="M479" s="503">
        <f t="shared" si="253"/>
        <v>30.4</v>
      </c>
      <c r="N479" s="503">
        <f t="shared" si="254"/>
        <v>0</v>
      </c>
      <c r="O479" s="503">
        <f t="shared" si="255"/>
        <v>0</v>
      </c>
      <c r="P479" s="503">
        <f t="shared" si="256"/>
        <v>0</v>
      </c>
      <c r="Q479" s="503">
        <f t="shared" si="257"/>
        <v>0</v>
      </c>
      <c r="R479" s="503">
        <f t="shared" si="258"/>
        <v>0</v>
      </c>
    </row>
    <row r="480" spans="1:18">
      <c r="A480" s="505"/>
      <c r="B480" s="506" t="s">
        <v>794</v>
      </c>
      <c r="C480" s="507">
        <v>16</v>
      </c>
      <c r="D480" s="508"/>
      <c r="E480" s="507">
        <v>4</v>
      </c>
      <c r="F480" s="502">
        <v>1</v>
      </c>
      <c r="G480" s="502">
        <v>4</v>
      </c>
      <c r="H480" s="503"/>
      <c r="I480" s="503">
        <f t="shared" ref="I480:I481" si="287">106.2-103.25</f>
        <v>2.9500000000000028</v>
      </c>
      <c r="J480" s="509"/>
      <c r="K480" s="509">
        <f t="shared" ref="K480:K481" si="288">1*36*C480/1000</f>
        <v>0.57599999999999996</v>
      </c>
      <c r="L480" s="503">
        <f t="shared" si="275"/>
        <v>3.5260000000000029</v>
      </c>
      <c r="M480" s="503">
        <f t="shared" si="253"/>
        <v>0</v>
      </c>
      <c r="N480" s="503">
        <f t="shared" si="254"/>
        <v>0</v>
      </c>
      <c r="O480" s="503">
        <f t="shared" si="255"/>
        <v>0</v>
      </c>
      <c r="P480" s="503">
        <f t="shared" si="256"/>
        <v>56.42</v>
      </c>
      <c r="Q480" s="503">
        <f t="shared" si="257"/>
        <v>0</v>
      </c>
      <c r="R480" s="503">
        <f t="shared" si="258"/>
        <v>0</v>
      </c>
    </row>
    <row r="481" spans="1:19">
      <c r="A481" s="505"/>
      <c r="B481" s="511"/>
      <c r="C481" s="507">
        <v>12</v>
      </c>
      <c r="D481" s="508"/>
      <c r="E481" s="507">
        <f>+E480</f>
        <v>4</v>
      </c>
      <c r="F481" s="502">
        <v>1</v>
      </c>
      <c r="G481" s="502">
        <v>14</v>
      </c>
      <c r="H481" s="503"/>
      <c r="I481" s="503">
        <f t="shared" si="287"/>
        <v>2.9500000000000028</v>
      </c>
      <c r="J481" s="509"/>
      <c r="K481" s="509">
        <f t="shared" si="288"/>
        <v>0.432</v>
      </c>
      <c r="L481" s="503">
        <f t="shared" si="275"/>
        <v>3.3820000000000028</v>
      </c>
      <c r="M481" s="503">
        <f t="shared" si="253"/>
        <v>0</v>
      </c>
      <c r="N481" s="503">
        <f t="shared" si="254"/>
        <v>0</v>
      </c>
      <c r="O481" s="503">
        <f t="shared" si="255"/>
        <v>189.39</v>
      </c>
      <c r="P481" s="503">
        <f t="shared" si="256"/>
        <v>0</v>
      </c>
      <c r="Q481" s="503">
        <f t="shared" si="257"/>
        <v>0</v>
      </c>
      <c r="R481" s="503">
        <f t="shared" si="258"/>
        <v>0</v>
      </c>
    </row>
    <row r="482" spans="1:19">
      <c r="A482" s="505"/>
      <c r="B482" s="511" t="s">
        <v>787</v>
      </c>
      <c r="C482" s="507">
        <v>10</v>
      </c>
      <c r="D482" s="508">
        <v>75</v>
      </c>
      <c r="E482" s="507">
        <f t="shared" ref="E482:E487" si="289">+E481</f>
        <v>4</v>
      </c>
      <c r="F482" s="502">
        <v>2</v>
      </c>
      <c r="G482" s="502">
        <f>+ROUND(800/D482,0)</f>
        <v>11</v>
      </c>
      <c r="H482" s="503"/>
      <c r="I482" s="503">
        <f>2*(0.22+0.72)+24*0.01</f>
        <v>2.12</v>
      </c>
      <c r="J482" s="509"/>
      <c r="K482" s="509"/>
      <c r="L482" s="503">
        <f t="shared" si="275"/>
        <v>2.12</v>
      </c>
      <c r="M482" s="503">
        <f t="shared" si="253"/>
        <v>0</v>
      </c>
      <c r="N482" s="503">
        <f t="shared" si="254"/>
        <v>186.56</v>
      </c>
      <c r="O482" s="503">
        <f t="shared" si="255"/>
        <v>0</v>
      </c>
      <c r="P482" s="503">
        <f t="shared" si="256"/>
        <v>0</v>
      </c>
      <c r="Q482" s="503">
        <f t="shared" si="257"/>
        <v>0</v>
      </c>
      <c r="R482" s="503">
        <f t="shared" si="258"/>
        <v>0</v>
      </c>
    </row>
    <row r="483" spans="1:19">
      <c r="A483" s="505"/>
      <c r="B483" s="511"/>
      <c r="C483" s="507">
        <v>10</v>
      </c>
      <c r="D483" s="508">
        <v>75</v>
      </c>
      <c r="E483" s="507">
        <f t="shared" si="289"/>
        <v>4</v>
      </c>
      <c r="F483" s="502">
        <f>2*2</f>
        <v>4</v>
      </c>
      <c r="G483" s="502">
        <f t="shared" ref="G483:G484" si="290">+ROUND(800/D483,0)</f>
        <v>11</v>
      </c>
      <c r="H483" s="503"/>
      <c r="I483" s="503">
        <f>2*(0.22+0.115)+24*0.01</f>
        <v>0.91</v>
      </c>
      <c r="J483" s="509"/>
      <c r="K483" s="509"/>
      <c r="L483" s="503">
        <f t="shared" si="275"/>
        <v>0.91</v>
      </c>
      <c r="M483" s="503">
        <f t="shared" si="253"/>
        <v>0</v>
      </c>
      <c r="N483" s="503">
        <f t="shared" si="254"/>
        <v>160.16</v>
      </c>
      <c r="O483" s="503">
        <f t="shared" si="255"/>
        <v>0</v>
      </c>
      <c r="P483" s="503">
        <f t="shared" si="256"/>
        <v>0</v>
      </c>
      <c r="Q483" s="503">
        <f t="shared" si="257"/>
        <v>0</v>
      </c>
      <c r="R483" s="503">
        <f t="shared" si="258"/>
        <v>0</v>
      </c>
    </row>
    <row r="484" spans="1:19">
      <c r="A484" s="505"/>
      <c r="B484" s="511"/>
      <c r="C484" s="507">
        <v>10</v>
      </c>
      <c r="D484" s="508">
        <v>75</v>
      </c>
      <c r="E484" s="507">
        <f t="shared" si="289"/>
        <v>4</v>
      </c>
      <c r="F484" s="502">
        <f>2*2</f>
        <v>4</v>
      </c>
      <c r="G484" s="502">
        <f t="shared" si="290"/>
        <v>11</v>
      </c>
      <c r="H484" s="503"/>
      <c r="I484" s="503">
        <f>+(0.165+0.165+0.22)+0.2*0.01</f>
        <v>0.55200000000000005</v>
      </c>
      <c r="J484" s="509"/>
      <c r="K484" s="509"/>
      <c r="L484" s="503">
        <f t="shared" si="275"/>
        <v>0.55200000000000005</v>
      </c>
      <c r="M484" s="503">
        <f t="shared" si="253"/>
        <v>0</v>
      </c>
      <c r="N484" s="503">
        <f t="shared" si="254"/>
        <v>97.15</v>
      </c>
      <c r="O484" s="503">
        <f t="shared" si="255"/>
        <v>0</v>
      </c>
      <c r="P484" s="503">
        <f t="shared" si="256"/>
        <v>0</v>
      </c>
      <c r="Q484" s="503">
        <f t="shared" si="257"/>
        <v>0</v>
      </c>
      <c r="R484" s="503">
        <f t="shared" si="258"/>
        <v>0</v>
      </c>
    </row>
    <row r="485" spans="1:19">
      <c r="A485" s="505"/>
      <c r="B485" s="511" t="s">
        <v>788</v>
      </c>
      <c r="C485" s="507">
        <v>8</v>
      </c>
      <c r="D485" s="508">
        <v>150</v>
      </c>
      <c r="E485" s="507">
        <f t="shared" si="289"/>
        <v>4</v>
      </c>
      <c r="F485" s="502">
        <v>1</v>
      </c>
      <c r="G485" s="502">
        <f>+ROUND(800/D485+1,0)</f>
        <v>6</v>
      </c>
      <c r="H485" s="503"/>
      <c r="I485" s="503">
        <f>2*(0.22+0.72)+24*0.008</f>
        <v>2.0720000000000001</v>
      </c>
      <c r="J485" s="509"/>
      <c r="K485" s="509"/>
      <c r="L485" s="503">
        <f t="shared" si="275"/>
        <v>2.0720000000000001</v>
      </c>
      <c r="M485" s="503">
        <f t="shared" si="253"/>
        <v>49.73</v>
      </c>
      <c r="N485" s="503">
        <f t="shared" si="254"/>
        <v>0</v>
      </c>
      <c r="O485" s="503">
        <f t="shared" si="255"/>
        <v>0</v>
      </c>
      <c r="P485" s="503">
        <f t="shared" si="256"/>
        <v>0</v>
      </c>
      <c r="Q485" s="503">
        <f t="shared" si="257"/>
        <v>0</v>
      </c>
      <c r="R485" s="503">
        <f t="shared" si="258"/>
        <v>0</v>
      </c>
    </row>
    <row r="486" spans="1:19">
      <c r="A486" s="505"/>
      <c r="B486" s="511"/>
      <c r="C486" s="507">
        <v>8</v>
      </c>
      <c r="D486" s="508">
        <v>150</v>
      </c>
      <c r="E486" s="507">
        <f t="shared" si="289"/>
        <v>4</v>
      </c>
      <c r="F486" s="502">
        <v>2</v>
      </c>
      <c r="G486" s="502">
        <f t="shared" ref="G486:G487" si="291">+ROUND(800/D486+1,0)</f>
        <v>6</v>
      </c>
      <c r="H486" s="503"/>
      <c r="I486" s="503">
        <f>2*(0.22+0.115)+24*0.008</f>
        <v>0.8620000000000001</v>
      </c>
      <c r="J486" s="509"/>
      <c r="K486" s="509"/>
      <c r="L486" s="503">
        <f t="shared" si="275"/>
        <v>0.8620000000000001</v>
      </c>
      <c r="M486" s="503">
        <f t="shared" si="253"/>
        <v>41.38</v>
      </c>
      <c r="N486" s="503">
        <f t="shared" si="254"/>
        <v>0</v>
      </c>
      <c r="O486" s="503">
        <f t="shared" si="255"/>
        <v>0</v>
      </c>
      <c r="P486" s="503">
        <f t="shared" si="256"/>
        <v>0</v>
      </c>
      <c r="Q486" s="503">
        <f t="shared" si="257"/>
        <v>0</v>
      </c>
      <c r="R486" s="503">
        <f t="shared" si="258"/>
        <v>0</v>
      </c>
    </row>
    <row r="487" spans="1:19">
      <c r="A487" s="505"/>
      <c r="B487" s="511"/>
      <c r="C487" s="507">
        <v>8</v>
      </c>
      <c r="D487" s="508">
        <v>150</v>
      </c>
      <c r="E487" s="507">
        <f t="shared" si="289"/>
        <v>4</v>
      </c>
      <c r="F487" s="502">
        <v>2</v>
      </c>
      <c r="G487" s="502">
        <f t="shared" si="291"/>
        <v>6</v>
      </c>
      <c r="H487" s="503"/>
      <c r="I487" s="503">
        <f>+(0.165+0.165+0.22)+0.2*0.008</f>
        <v>0.55160000000000009</v>
      </c>
      <c r="J487" s="509"/>
      <c r="K487" s="509"/>
      <c r="L487" s="503">
        <f t="shared" si="275"/>
        <v>0.55160000000000009</v>
      </c>
      <c r="M487" s="503">
        <f t="shared" si="253"/>
        <v>26.48</v>
      </c>
      <c r="N487" s="503">
        <f t="shared" si="254"/>
        <v>0</v>
      </c>
      <c r="O487" s="503">
        <f t="shared" si="255"/>
        <v>0</v>
      </c>
      <c r="P487" s="503">
        <f t="shared" si="256"/>
        <v>0</v>
      </c>
      <c r="Q487" s="503">
        <f t="shared" si="257"/>
        <v>0</v>
      </c>
      <c r="R487" s="503">
        <f t="shared" si="258"/>
        <v>0</v>
      </c>
    </row>
    <row r="488" spans="1:19">
      <c r="A488" s="505"/>
      <c r="B488" s="506" t="s">
        <v>795</v>
      </c>
      <c r="C488" s="507">
        <v>16</v>
      </c>
      <c r="D488" s="508"/>
      <c r="E488" s="507">
        <v>4</v>
      </c>
      <c r="F488" s="502">
        <v>1</v>
      </c>
      <c r="G488" s="502">
        <v>14</v>
      </c>
      <c r="H488" s="503"/>
      <c r="I488" s="503">
        <f t="shared" ref="I488" si="292">106.2-103.25</f>
        <v>2.9500000000000028</v>
      </c>
      <c r="J488" s="509"/>
      <c r="K488" s="509">
        <f t="shared" ref="K488" si="293">1*36*C488/1000</f>
        <v>0.57599999999999996</v>
      </c>
      <c r="L488" s="503">
        <f t="shared" si="275"/>
        <v>3.5260000000000029</v>
      </c>
      <c r="M488" s="503">
        <f t="shared" si="253"/>
        <v>0</v>
      </c>
      <c r="N488" s="503">
        <f t="shared" si="254"/>
        <v>0</v>
      </c>
      <c r="O488" s="503">
        <f t="shared" si="255"/>
        <v>0</v>
      </c>
      <c r="P488" s="503">
        <f t="shared" si="256"/>
        <v>197.46</v>
      </c>
      <c r="Q488" s="503">
        <f t="shared" si="257"/>
        <v>0</v>
      </c>
      <c r="R488" s="503">
        <f t="shared" si="258"/>
        <v>0</v>
      </c>
    </row>
    <row r="489" spans="1:19">
      <c r="A489" s="505"/>
      <c r="B489" s="511" t="s">
        <v>787</v>
      </c>
      <c r="C489" s="507">
        <v>10</v>
      </c>
      <c r="D489" s="508">
        <v>75</v>
      </c>
      <c r="E489" s="507">
        <f>+E488</f>
        <v>4</v>
      </c>
      <c r="F489" s="502">
        <v>2</v>
      </c>
      <c r="G489" s="502">
        <f>+ROUND(600/D489,0)</f>
        <v>8</v>
      </c>
      <c r="H489" s="503"/>
      <c r="I489" s="503">
        <f>2*(0.22+0.52)+24*0.01</f>
        <v>1.72</v>
      </c>
      <c r="J489" s="509"/>
      <c r="K489" s="509"/>
      <c r="L489" s="503">
        <f t="shared" si="275"/>
        <v>1.72</v>
      </c>
      <c r="M489" s="503">
        <f t="shared" si="253"/>
        <v>0</v>
      </c>
      <c r="N489" s="503">
        <f t="shared" si="254"/>
        <v>110.08</v>
      </c>
      <c r="O489" s="503">
        <f t="shared" si="255"/>
        <v>0</v>
      </c>
      <c r="P489" s="503">
        <f t="shared" si="256"/>
        <v>0</v>
      </c>
      <c r="Q489" s="503">
        <f t="shared" si="257"/>
        <v>0</v>
      </c>
      <c r="R489" s="503">
        <f t="shared" si="258"/>
        <v>0</v>
      </c>
    </row>
    <row r="490" spans="1:19">
      <c r="A490" s="505"/>
      <c r="B490" s="511"/>
      <c r="C490" s="507">
        <v>10</v>
      </c>
      <c r="D490" s="508">
        <v>75</v>
      </c>
      <c r="E490" s="507">
        <f t="shared" ref="E490:E494" si="294">+E489</f>
        <v>4</v>
      </c>
      <c r="F490" s="502">
        <v>2</v>
      </c>
      <c r="G490" s="502">
        <f t="shared" ref="G490:G491" si="295">+ROUND(600/D490,0)</f>
        <v>8</v>
      </c>
      <c r="H490" s="503"/>
      <c r="I490" s="503">
        <f>2*(0.22+0.115)+24*0.01</f>
        <v>0.91</v>
      </c>
      <c r="J490" s="509"/>
      <c r="K490" s="509"/>
      <c r="L490" s="503">
        <f t="shared" si="275"/>
        <v>0.91</v>
      </c>
      <c r="M490" s="503">
        <f t="shared" si="253"/>
        <v>0</v>
      </c>
      <c r="N490" s="503">
        <f t="shared" si="254"/>
        <v>58.24</v>
      </c>
      <c r="O490" s="503">
        <f t="shared" si="255"/>
        <v>0</v>
      </c>
      <c r="P490" s="503">
        <f t="shared" si="256"/>
        <v>0</v>
      </c>
      <c r="Q490" s="503">
        <f t="shared" si="257"/>
        <v>0</v>
      </c>
      <c r="R490" s="503">
        <f t="shared" si="258"/>
        <v>0</v>
      </c>
    </row>
    <row r="491" spans="1:19">
      <c r="A491" s="505"/>
      <c r="B491" s="511"/>
      <c r="C491" s="507">
        <v>10</v>
      </c>
      <c r="D491" s="508">
        <v>75</v>
      </c>
      <c r="E491" s="507">
        <f t="shared" si="294"/>
        <v>4</v>
      </c>
      <c r="F491" s="502">
        <f>2*2</f>
        <v>4</v>
      </c>
      <c r="G491" s="502">
        <f t="shared" si="295"/>
        <v>8</v>
      </c>
      <c r="H491" s="503"/>
      <c r="I491" s="503">
        <f>+(0.16+0.16+0.22)+0.24*0.01</f>
        <v>0.54239999999999999</v>
      </c>
      <c r="J491" s="509"/>
      <c r="K491" s="509"/>
      <c r="L491" s="503">
        <f t="shared" si="275"/>
        <v>0.54239999999999999</v>
      </c>
      <c r="M491" s="503">
        <f t="shared" si="253"/>
        <v>0</v>
      </c>
      <c r="N491" s="503">
        <f t="shared" si="254"/>
        <v>69.430000000000007</v>
      </c>
      <c r="O491" s="503">
        <f t="shared" si="255"/>
        <v>0</v>
      </c>
      <c r="P491" s="503">
        <f t="shared" si="256"/>
        <v>0</v>
      </c>
      <c r="Q491" s="503">
        <f t="shared" si="257"/>
        <v>0</v>
      </c>
      <c r="R491" s="503">
        <f t="shared" si="258"/>
        <v>0</v>
      </c>
    </row>
    <row r="492" spans="1:19">
      <c r="A492" s="505"/>
      <c r="B492" s="511" t="s">
        <v>788</v>
      </c>
      <c r="C492" s="507">
        <v>8</v>
      </c>
      <c r="D492" s="508">
        <v>150</v>
      </c>
      <c r="E492" s="507">
        <f t="shared" si="294"/>
        <v>4</v>
      </c>
      <c r="F492" s="502">
        <v>1</v>
      </c>
      <c r="G492" s="502">
        <f>+ROUND(1250/D492+1,0)</f>
        <v>9</v>
      </c>
      <c r="H492" s="503"/>
      <c r="I492" s="503">
        <f>2*(0.22+0.52)+24*0.008</f>
        <v>1.6719999999999999</v>
      </c>
      <c r="J492" s="509"/>
      <c r="K492" s="509"/>
      <c r="L492" s="503">
        <f t="shared" si="275"/>
        <v>1.6719999999999999</v>
      </c>
      <c r="M492" s="503">
        <f t="shared" si="253"/>
        <v>60.19</v>
      </c>
      <c r="N492" s="503">
        <f t="shared" si="254"/>
        <v>0</v>
      </c>
      <c r="O492" s="503">
        <f t="shared" si="255"/>
        <v>0</v>
      </c>
      <c r="P492" s="503">
        <f t="shared" si="256"/>
        <v>0</v>
      </c>
      <c r="Q492" s="503">
        <f t="shared" si="257"/>
        <v>0</v>
      </c>
      <c r="R492" s="503">
        <f t="shared" si="258"/>
        <v>0</v>
      </c>
    </row>
    <row r="493" spans="1:19">
      <c r="A493" s="505"/>
      <c r="B493" s="511"/>
      <c r="C493" s="507">
        <v>8</v>
      </c>
      <c r="D493" s="508">
        <v>150</v>
      </c>
      <c r="E493" s="507">
        <f t="shared" si="294"/>
        <v>4</v>
      </c>
      <c r="F493" s="502">
        <v>1</v>
      </c>
      <c r="G493" s="502">
        <f t="shared" ref="G493:G494" si="296">+ROUND(1250/D493+1,0)</f>
        <v>9</v>
      </c>
      <c r="H493" s="503"/>
      <c r="I493" s="503">
        <f>2*(0.22+0.115)+24*0.008</f>
        <v>0.8620000000000001</v>
      </c>
      <c r="J493" s="509"/>
      <c r="K493" s="509"/>
      <c r="L493" s="503">
        <f t="shared" si="275"/>
        <v>0.8620000000000001</v>
      </c>
      <c r="M493" s="503">
        <f t="shared" si="253"/>
        <v>31.03</v>
      </c>
      <c r="N493" s="503">
        <f t="shared" si="254"/>
        <v>0</v>
      </c>
      <c r="O493" s="503">
        <f t="shared" si="255"/>
        <v>0</v>
      </c>
      <c r="P493" s="503">
        <f t="shared" si="256"/>
        <v>0</v>
      </c>
      <c r="Q493" s="503">
        <f t="shared" si="257"/>
        <v>0</v>
      </c>
      <c r="R493" s="503">
        <f t="shared" si="258"/>
        <v>0</v>
      </c>
    </row>
    <row r="494" spans="1:19">
      <c r="A494" s="505"/>
      <c r="B494" s="511"/>
      <c r="C494" s="507">
        <v>8</v>
      </c>
      <c r="D494" s="508">
        <v>150</v>
      </c>
      <c r="E494" s="507">
        <f t="shared" si="294"/>
        <v>4</v>
      </c>
      <c r="F494" s="502">
        <v>2</v>
      </c>
      <c r="G494" s="502">
        <f t="shared" si="296"/>
        <v>9</v>
      </c>
      <c r="H494" s="503"/>
      <c r="I494" s="503">
        <f>+(0.16+0.16+0.22)+0.2*0.008</f>
        <v>0.54160000000000008</v>
      </c>
      <c r="J494" s="509"/>
      <c r="K494" s="509"/>
      <c r="L494" s="503">
        <f t="shared" si="275"/>
        <v>0.54160000000000008</v>
      </c>
      <c r="M494" s="503">
        <f t="shared" si="253"/>
        <v>39</v>
      </c>
      <c r="N494" s="503">
        <f t="shared" si="254"/>
        <v>0</v>
      </c>
      <c r="O494" s="503">
        <f t="shared" si="255"/>
        <v>0</v>
      </c>
      <c r="P494" s="503">
        <f t="shared" si="256"/>
        <v>0</v>
      </c>
      <c r="Q494" s="503">
        <f t="shared" si="257"/>
        <v>0</v>
      </c>
      <c r="R494" s="503">
        <f t="shared" si="258"/>
        <v>0</v>
      </c>
    </row>
    <row r="495" spans="1:19">
      <c r="A495" s="530"/>
      <c r="B495" s="506" t="s">
        <v>924</v>
      </c>
      <c r="C495" s="507">
        <v>16</v>
      </c>
      <c r="D495" s="508"/>
      <c r="E495" s="507">
        <v>4</v>
      </c>
      <c r="F495" s="502">
        <v>1</v>
      </c>
      <c r="G495" s="502">
        <v>8</v>
      </c>
      <c r="H495" s="503"/>
      <c r="I495" s="503">
        <v>2.95</v>
      </c>
      <c r="J495" s="509"/>
      <c r="K495" s="509">
        <f t="shared" ref="K495:K496" si="297">1*36*C495/1000</f>
        <v>0.57599999999999996</v>
      </c>
      <c r="L495" s="503">
        <f t="shared" ref="L495:L510" si="298">SUM(H495:J495)+K495</f>
        <v>3.5260000000000002</v>
      </c>
      <c r="M495" s="503">
        <f t="shared" si="253"/>
        <v>0</v>
      </c>
      <c r="N495" s="503">
        <f t="shared" si="254"/>
        <v>0</v>
      </c>
      <c r="O495" s="503">
        <f t="shared" si="255"/>
        <v>0</v>
      </c>
      <c r="P495" s="503">
        <f t="shared" si="256"/>
        <v>112.83</v>
      </c>
      <c r="Q495" s="503">
        <f t="shared" si="257"/>
        <v>0</v>
      </c>
      <c r="R495" s="503">
        <f t="shared" si="258"/>
        <v>0</v>
      </c>
      <c r="S495" s="221">
        <f>+G495*E495</f>
        <v>32</v>
      </c>
    </row>
    <row r="496" spans="1:19">
      <c r="A496" s="505"/>
      <c r="B496" s="511"/>
      <c r="C496" s="507">
        <v>12</v>
      </c>
      <c r="D496" s="508"/>
      <c r="E496" s="507">
        <f>+E495</f>
        <v>4</v>
      </c>
      <c r="F496" s="502">
        <v>1</v>
      </c>
      <c r="G496" s="502">
        <v>6</v>
      </c>
      <c r="H496" s="503"/>
      <c r="I496" s="503">
        <v>2.95</v>
      </c>
      <c r="J496" s="509"/>
      <c r="K496" s="509">
        <f t="shared" si="297"/>
        <v>0.432</v>
      </c>
      <c r="L496" s="503">
        <f t="shared" si="298"/>
        <v>3.3820000000000001</v>
      </c>
      <c r="M496" s="503">
        <f t="shared" si="253"/>
        <v>0</v>
      </c>
      <c r="N496" s="503">
        <f t="shared" si="254"/>
        <v>0</v>
      </c>
      <c r="O496" s="503">
        <f t="shared" si="255"/>
        <v>81.17</v>
      </c>
      <c r="P496" s="503">
        <f t="shared" si="256"/>
        <v>0</v>
      </c>
      <c r="Q496" s="503">
        <f t="shared" si="257"/>
        <v>0</v>
      </c>
      <c r="R496" s="503">
        <f t="shared" si="258"/>
        <v>0</v>
      </c>
      <c r="S496" s="221">
        <f>+G496*E496</f>
        <v>24</v>
      </c>
    </row>
    <row r="497" spans="1:19">
      <c r="A497" s="505"/>
      <c r="B497" s="511" t="s">
        <v>787</v>
      </c>
      <c r="C497" s="507">
        <v>10</v>
      </c>
      <c r="D497" s="508">
        <v>75</v>
      </c>
      <c r="E497" s="507">
        <f>+E496</f>
        <v>4</v>
      </c>
      <c r="F497" s="502">
        <v>2</v>
      </c>
      <c r="G497" s="502">
        <f>+ROUND(600/D497,0)</f>
        <v>8</v>
      </c>
      <c r="H497" s="503"/>
      <c r="I497" s="503">
        <f>2*(0.2+0.5)+24*0.01</f>
        <v>1.64</v>
      </c>
      <c r="J497" s="509"/>
      <c r="K497" s="509"/>
      <c r="L497" s="503">
        <f t="shared" si="298"/>
        <v>1.64</v>
      </c>
      <c r="M497" s="503">
        <f t="shared" si="253"/>
        <v>0</v>
      </c>
      <c r="N497" s="503">
        <f t="shared" si="254"/>
        <v>104.96</v>
      </c>
      <c r="O497" s="503">
        <f t="shared" si="255"/>
        <v>0</v>
      </c>
      <c r="P497" s="503">
        <f t="shared" si="256"/>
        <v>0</v>
      </c>
      <c r="Q497" s="503">
        <f t="shared" si="257"/>
        <v>0</v>
      </c>
      <c r="R497" s="503">
        <f t="shared" si="258"/>
        <v>0</v>
      </c>
    </row>
    <row r="498" spans="1:19">
      <c r="A498" s="505"/>
      <c r="B498" s="511"/>
      <c r="C498" s="507">
        <v>10</v>
      </c>
      <c r="D498" s="508">
        <v>75</v>
      </c>
      <c r="E498" s="507">
        <f t="shared" ref="E498:E502" si="299">+E497</f>
        <v>4</v>
      </c>
      <c r="F498" s="502">
        <v>2</v>
      </c>
      <c r="G498" s="502">
        <f t="shared" ref="G498:G499" si="300">+ROUND(600/D498,0)</f>
        <v>8</v>
      </c>
      <c r="H498" s="503"/>
      <c r="I498" s="503">
        <f>2*(0.2+0.115)+24*0.01</f>
        <v>0.87</v>
      </c>
      <c r="J498" s="509"/>
      <c r="K498" s="509"/>
      <c r="L498" s="503">
        <f t="shared" si="298"/>
        <v>0.87</v>
      </c>
      <c r="M498" s="503">
        <f t="shared" si="253"/>
        <v>0</v>
      </c>
      <c r="N498" s="503">
        <f t="shared" si="254"/>
        <v>55.68</v>
      </c>
      <c r="O498" s="503">
        <f t="shared" si="255"/>
        <v>0</v>
      </c>
      <c r="P498" s="503">
        <f t="shared" si="256"/>
        <v>0</v>
      </c>
      <c r="Q498" s="503">
        <f t="shared" si="257"/>
        <v>0</v>
      </c>
      <c r="R498" s="503">
        <f t="shared" si="258"/>
        <v>0</v>
      </c>
    </row>
    <row r="499" spans="1:19">
      <c r="A499" s="505"/>
      <c r="B499" s="511"/>
      <c r="C499" s="507">
        <v>10</v>
      </c>
      <c r="D499" s="508">
        <v>75</v>
      </c>
      <c r="E499" s="507">
        <f t="shared" si="299"/>
        <v>4</v>
      </c>
      <c r="F499" s="502">
        <f>2*2</f>
        <v>4</v>
      </c>
      <c r="G499" s="502">
        <f t="shared" si="300"/>
        <v>8</v>
      </c>
      <c r="H499" s="503"/>
      <c r="I499" s="503">
        <f>+(0.168+0.168+0.2)+20*0.01</f>
        <v>0.73599999999999999</v>
      </c>
      <c r="J499" s="509"/>
      <c r="K499" s="509"/>
      <c r="L499" s="503">
        <f t="shared" si="298"/>
        <v>0.73599999999999999</v>
      </c>
      <c r="M499" s="503">
        <f t="shared" si="253"/>
        <v>0</v>
      </c>
      <c r="N499" s="503">
        <f t="shared" si="254"/>
        <v>94.21</v>
      </c>
      <c r="O499" s="503">
        <f t="shared" si="255"/>
        <v>0</v>
      </c>
      <c r="P499" s="503">
        <f t="shared" si="256"/>
        <v>0</v>
      </c>
      <c r="Q499" s="503">
        <f t="shared" si="257"/>
        <v>0</v>
      </c>
      <c r="R499" s="503">
        <f t="shared" si="258"/>
        <v>0</v>
      </c>
    </row>
    <row r="500" spans="1:19">
      <c r="A500" s="505"/>
      <c r="B500" s="511" t="s">
        <v>788</v>
      </c>
      <c r="C500" s="507">
        <v>8</v>
      </c>
      <c r="D500" s="508">
        <v>150</v>
      </c>
      <c r="E500" s="507">
        <f t="shared" si="299"/>
        <v>4</v>
      </c>
      <c r="F500" s="502">
        <v>1</v>
      </c>
      <c r="G500" s="502">
        <f t="shared" ref="G500:G502" si="301">+ROUND(1400/D500+1,0)</f>
        <v>10</v>
      </c>
      <c r="H500" s="503"/>
      <c r="I500" s="503">
        <f>2*(0.204+0.504)+24*0.008</f>
        <v>1.6079999999999999</v>
      </c>
      <c r="J500" s="509"/>
      <c r="K500" s="509"/>
      <c r="L500" s="503">
        <f t="shared" si="298"/>
        <v>1.6079999999999999</v>
      </c>
      <c r="M500" s="503">
        <f t="shared" si="253"/>
        <v>64.319999999999993</v>
      </c>
      <c r="N500" s="503">
        <f t="shared" si="254"/>
        <v>0</v>
      </c>
      <c r="O500" s="503">
        <f t="shared" si="255"/>
        <v>0</v>
      </c>
      <c r="P500" s="503">
        <f t="shared" si="256"/>
        <v>0</v>
      </c>
      <c r="Q500" s="503">
        <f t="shared" si="257"/>
        <v>0</v>
      </c>
      <c r="R500" s="503">
        <f t="shared" si="258"/>
        <v>0</v>
      </c>
    </row>
    <row r="501" spans="1:19">
      <c r="A501" s="505"/>
      <c r="B501" s="511"/>
      <c r="C501" s="507">
        <v>8</v>
      </c>
      <c r="D501" s="508">
        <v>150</v>
      </c>
      <c r="E501" s="507">
        <f t="shared" si="299"/>
        <v>4</v>
      </c>
      <c r="F501" s="502">
        <v>1</v>
      </c>
      <c r="G501" s="502">
        <f t="shared" si="301"/>
        <v>10</v>
      </c>
      <c r="H501" s="503"/>
      <c r="I501" s="503">
        <f>2*(0.204+0.115)+24*0.008</f>
        <v>0.83000000000000007</v>
      </c>
      <c r="J501" s="509"/>
      <c r="K501" s="509"/>
      <c r="L501" s="503">
        <f t="shared" si="298"/>
        <v>0.83000000000000007</v>
      </c>
      <c r="M501" s="503">
        <f t="shared" si="253"/>
        <v>33.200000000000003</v>
      </c>
      <c r="N501" s="503">
        <f t="shared" si="254"/>
        <v>0</v>
      </c>
      <c r="O501" s="503">
        <f t="shared" si="255"/>
        <v>0</v>
      </c>
      <c r="P501" s="503">
        <f t="shared" si="256"/>
        <v>0</v>
      </c>
      <c r="Q501" s="503">
        <f t="shared" si="257"/>
        <v>0</v>
      </c>
      <c r="R501" s="503">
        <f t="shared" si="258"/>
        <v>0</v>
      </c>
    </row>
    <row r="502" spans="1:19">
      <c r="A502" s="505"/>
      <c r="B502" s="511"/>
      <c r="C502" s="507">
        <v>8</v>
      </c>
      <c r="D502" s="508">
        <v>150</v>
      </c>
      <c r="E502" s="507">
        <f t="shared" si="299"/>
        <v>4</v>
      </c>
      <c r="F502" s="502">
        <v>2</v>
      </c>
      <c r="G502" s="502">
        <f t="shared" si="301"/>
        <v>10</v>
      </c>
      <c r="H502" s="503"/>
      <c r="I502" s="503">
        <f>+(0.168+0.168+0.204)+20*0.008</f>
        <v>0.70000000000000007</v>
      </c>
      <c r="J502" s="509"/>
      <c r="K502" s="509"/>
      <c r="L502" s="503">
        <f t="shared" si="298"/>
        <v>0.70000000000000007</v>
      </c>
      <c r="M502" s="503">
        <f t="shared" si="253"/>
        <v>56</v>
      </c>
      <c r="N502" s="503">
        <f t="shared" si="254"/>
        <v>0</v>
      </c>
      <c r="O502" s="503">
        <f t="shared" si="255"/>
        <v>0</v>
      </c>
      <c r="P502" s="503">
        <f t="shared" si="256"/>
        <v>0</v>
      </c>
      <c r="Q502" s="503">
        <f t="shared" si="257"/>
        <v>0</v>
      </c>
      <c r="R502" s="503">
        <f t="shared" si="258"/>
        <v>0</v>
      </c>
    </row>
    <row r="503" spans="1:19">
      <c r="A503" s="530"/>
      <c r="B503" s="506" t="s">
        <v>925</v>
      </c>
      <c r="C503" s="507">
        <v>20</v>
      </c>
      <c r="D503" s="508"/>
      <c r="E503" s="507">
        <v>10</v>
      </c>
      <c r="F503" s="502">
        <v>1</v>
      </c>
      <c r="G503" s="502">
        <v>8</v>
      </c>
      <c r="H503" s="503"/>
      <c r="I503" s="503">
        <v>2.95</v>
      </c>
      <c r="J503" s="509"/>
      <c r="K503" s="509">
        <f t="shared" ref="K503:K504" si="302">1*36*C503/1000</f>
        <v>0.72</v>
      </c>
      <c r="L503" s="503">
        <f t="shared" si="298"/>
        <v>3.67</v>
      </c>
      <c r="M503" s="503">
        <f t="shared" si="253"/>
        <v>0</v>
      </c>
      <c r="N503" s="503">
        <f t="shared" si="254"/>
        <v>0</v>
      </c>
      <c r="O503" s="503">
        <f t="shared" si="255"/>
        <v>0</v>
      </c>
      <c r="P503" s="503">
        <f t="shared" si="256"/>
        <v>0</v>
      </c>
      <c r="Q503" s="503">
        <f t="shared" si="257"/>
        <v>293.60000000000002</v>
      </c>
      <c r="R503" s="503">
        <f t="shared" si="258"/>
        <v>0</v>
      </c>
      <c r="S503" s="221">
        <f>+G503*E503</f>
        <v>80</v>
      </c>
    </row>
    <row r="504" spans="1:19">
      <c r="A504" s="530"/>
      <c r="B504" s="506"/>
      <c r="C504" s="507">
        <v>16</v>
      </c>
      <c r="D504" s="508"/>
      <c r="E504" s="507">
        <v>10</v>
      </c>
      <c r="F504" s="502">
        <v>1</v>
      </c>
      <c r="G504" s="502">
        <v>6</v>
      </c>
      <c r="H504" s="503"/>
      <c r="I504" s="503">
        <v>2.95</v>
      </c>
      <c r="J504" s="509"/>
      <c r="K504" s="509">
        <f t="shared" si="302"/>
        <v>0.57599999999999996</v>
      </c>
      <c r="L504" s="503">
        <f t="shared" ref="L504" si="303">SUM(H504:J504)+K504</f>
        <v>3.5260000000000002</v>
      </c>
      <c r="M504" s="503">
        <f t="shared" ref="M504" si="304">+ROUND(IF(C504=8,PRODUCT(E504,F504,G504,L504),0),2)</f>
        <v>0</v>
      </c>
      <c r="N504" s="503">
        <f t="shared" ref="N504" si="305">+ROUND(IF(C504=10,PRODUCT(E504,F504,G504,L504),0),2)</f>
        <v>0</v>
      </c>
      <c r="O504" s="503">
        <f t="shared" ref="O504" si="306">+ROUND(IF(C504=12,PRODUCT(E504,F504,G504,L504),0),2)</f>
        <v>0</v>
      </c>
      <c r="P504" s="503">
        <f t="shared" ref="P504" si="307">+ROUND(IF(C504=16,PRODUCT(E504,F504,G504,L504),0),2)</f>
        <v>211.56</v>
      </c>
      <c r="Q504" s="503">
        <f t="shared" ref="Q504" si="308">+ROUND(IF(C504=20,PRODUCT(E504,F504,G504,L504),0),2)</f>
        <v>0</v>
      </c>
      <c r="R504" s="503">
        <f t="shared" ref="R504" si="309">+ROUND(IF(C504=25,PRODUCT(E504,F504,G504,L504),0),2)</f>
        <v>0</v>
      </c>
      <c r="S504" s="221">
        <f>+G504*E504</f>
        <v>60</v>
      </c>
    </row>
    <row r="505" spans="1:19">
      <c r="A505" s="505"/>
      <c r="B505" s="511" t="s">
        <v>787</v>
      </c>
      <c r="C505" s="507">
        <v>10</v>
      </c>
      <c r="D505" s="508">
        <v>75</v>
      </c>
      <c r="E505" s="507">
        <f>+E503</f>
        <v>10</v>
      </c>
      <c r="F505" s="502">
        <v>2</v>
      </c>
      <c r="G505" s="502">
        <f>+ROUND(600/D505,0)</f>
        <v>8</v>
      </c>
      <c r="H505" s="503"/>
      <c r="I505" s="503">
        <f>2*(0.2+0.5)+24*0.01</f>
        <v>1.64</v>
      </c>
      <c r="J505" s="509"/>
      <c r="K505" s="509"/>
      <c r="L505" s="503">
        <f t="shared" si="298"/>
        <v>1.64</v>
      </c>
      <c r="M505" s="503">
        <f t="shared" si="253"/>
        <v>0</v>
      </c>
      <c r="N505" s="503">
        <f t="shared" si="254"/>
        <v>262.39999999999998</v>
      </c>
      <c r="O505" s="503">
        <f t="shared" si="255"/>
        <v>0</v>
      </c>
      <c r="P505" s="503">
        <f t="shared" si="256"/>
        <v>0</v>
      </c>
      <c r="Q505" s="503">
        <f t="shared" si="257"/>
        <v>0</v>
      </c>
      <c r="R505" s="503">
        <f t="shared" si="258"/>
        <v>0</v>
      </c>
    </row>
    <row r="506" spans="1:19">
      <c r="A506" s="505"/>
      <c r="B506" s="511"/>
      <c r="C506" s="507">
        <v>10</v>
      </c>
      <c r="D506" s="508">
        <v>75</v>
      </c>
      <c r="E506" s="507">
        <f t="shared" ref="E506:E510" si="310">+E505</f>
        <v>10</v>
      </c>
      <c r="F506" s="502">
        <v>2</v>
      </c>
      <c r="G506" s="502">
        <f t="shared" ref="G506:G507" si="311">+ROUND(600/D506,0)</f>
        <v>8</v>
      </c>
      <c r="H506" s="503"/>
      <c r="I506" s="503">
        <f>2*(0.2+0.115)+24*0.01</f>
        <v>0.87</v>
      </c>
      <c r="J506" s="509"/>
      <c r="K506" s="509"/>
      <c r="L506" s="503">
        <f t="shared" si="298"/>
        <v>0.87</v>
      </c>
      <c r="M506" s="503">
        <f t="shared" si="253"/>
        <v>0</v>
      </c>
      <c r="N506" s="503">
        <f t="shared" si="254"/>
        <v>139.19999999999999</v>
      </c>
      <c r="O506" s="503">
        <f t="shared" si="255"/>
        <v>0</v>
      </c>
      <c r="P506" s="503">
        <f t="shared" si="256"/>
        <v>0</v>
      </c>
      <c r="Q506" s="503">
        <f t="shared" si="257"/>
        <v>0</v>
      </c>
      <c r="R506" s="503">
        <f t="shared" si="258"/>
        <v>0</v>
      </c>
    </row>
    <row r="507" spans="1:19">
      <c r="A507" s="505"/>
      <c r="B507" s="511"/>
      <c r="C507" s="507">
        <v>10</v>
      </c>
      <c r="D507" s="508">
        <v>75</v>
      </c>
      <c r="E507" s="507">
        <f t="shared" si="310"/>
        <v>10</v>
      </c>
      <c r="F507" s="502">
        <f>2*2</f>
        <v>4</v>
      </c>
      <c r="G507" s="502">
        <f t="shared" si="311"/>
        <v>8</v>
      </c>
      <c r="H507" s="503"/>
      <c r="I507" s="503">
        <f>+(0.168+0.168+0.2)+20*0.01</f>
        <v>0.73599999999999999</v>
      </c>
      <c r="J507" s="509"/>
      <c r="K507" s="509"/>
      <c r="L507" s="503">
        <f t="shared" si="298"/>
        <v>0.73599999999999999</v>
      </c>
      <c r="M507" s="503">
        <f t="shared" si="253"/>
        <v>0</v>
      </c>
      <c r="N507" s="503">
        <f t="shared" si="254"/>
        <v>235.52</v>
      </c>
      <c r="O507" s="503">
        <f t="shared" si="255"/>
        <v>0</v>
      </c>
      <c r="P507" s="503">
        <f t="shared" si="256"/>
        <v>0</v>
      </c>
      <c r="Q507" s="503">
        <f t="shared" si="257"/>
        <v>0</v>
      </c>
      <c r="R507" s="503">
        <f t="shared" si="258"/>
        <v>0</v>
      </c>
    </row>
    <row r="508" spans="1:19">
      <c r="A508" s="505"/>
      <c r="B508" s="511" t="s">
        <v>788</v>
      </c>
      <c r="C508" s="507">
        <v>8</v>
      </c>
      <c r="D508" s="508">
        <v>150</v>
      </c>
      <c r="E508" s="507">
        <f t="shared" si="310"/>
        <v>10</v>
      </c>
      <c r="F508" s="502">
        <v>1</v>
      </c>
      <c r="G508" s="502">
        <f t="shared" ref="G508:G510" si="312">+ROUND(1400/D508+1,0)</f>
        <v>10</v>
      </c>
      <c r="H508" s="503"/>
      <c r="I508" s="503">
        <f>2*(0.204+0.504)+24*0.008</f>
        <v>1.6079999999999999</v>
      </c>
      <c r="J508" s="509"/>
      <c r="K508" s="509"/>
      <c r="L508" s="503">
        <f t="shared" si="298"/>
        <v>1.6079999999999999</v>
      </c>
      <c r="M508" s="503">
        <f t="shared" si="253"/>
        <v>160.80000000000001</v>
      </c>
      <c r="N508" s="503">
        <f t="shared" si="254"/>
        <v>0</v>
      </c>
      <c r="O508" s="503">
        <f t="shared" si="255"/>
        <v>0</v>
      </c>
      <c r="P508" s="503">
        <f t="shared" si="256"/>
        <v>0</v>
      </c>
      <c r="Q508" s="503">
        <f t="shared" si="257"/>
        <v>0</v>
      </c>
      <c r="R508" s="503">
        <f t="shared" si="258"/>
        <v>0</v>
      </c>
    </row>
    <row r="509" spans="1:19">
      <c r="A509" s="505"/>
      <c r="B509" s="511"/>
      <c r="C509" s="507">
        <v>8</v>
      </c>
      <c r="D509" s="508">
        <v>150</v>
      </c>
      <c r="E509" s="507">
        <f t="shared" si="310"/>
        <v>10</v>
      </c>
      <c r="F509" s="502">
        <v>1</v>
      </c>
      <c r="G509" s="502">
        <f t="shared" si="312"/>
        <v>10</v>
      </c>
      <c r="H509" s="503"/>
      <c r="I509" s="503">
        <f>2*(0.204+0.115)+24*0.008</f>
        <v>0.83000000000000007</v>
      </c>
      <c r="J509" s="509"/>
      <c r="K509" s="509"/>
      <c r="L509" s="503">
        <f t="shared" si="298"/>
        <v>0.83000000000000007</v>
      </c>
      <c r="M509" s="503">
        <f t="shared" si="253"/>
        <v>83</v>
      </c>
      <c r="N509" s="503">
        <f t="shared" si="254"/>
        <v>0</v>
      </c>
      <c r="O509" s="503">
        <f t="shared" si="255"/>
        <v>0</v>
      </c>
      <c r="P509" s="503">
        <f t="shared" si="256"/>
        <v>0</v>
      </c>
      <c r="Q509" s="503">
        <f t="shared" si="257"/>
        <v>0</v>
      </c>
      <c r="R509" s="503">
        <f t="shared" si="258"/>
        <v>0</v>
      </c>
    </row>
    <row r="510" spans="1:19">
      <c r="A510" s="505"/>
      <c r="B510" s="511"/>
      <c r="C510" s="507">
        <v>8</v>
      </c>
      <c r="D510" s="508">
        <v>150</v>
      </c>
      <c r="E510" s="507">
        <f t="shared" si="310"/>
        <v>10</v>
      </c>
      <c r="F510" s="502">
        <v>2</v>
      </c>
      <c r="G510" s="502">
        <f t="shared" si="312"/>
        <v>10</v>
      </c>
      <c r="H510" s="503"/>
      <c r="I510" s="503">
        <f>+(0.168+0.168+0.204)+20*0.008</f>
        <v>0.70000000000000007</v>
      </c>
      <c r="J510" s="509"/>
      <c r="K510" s="509"/>
      <c r="L510" s="503">
        <f t="shared" si="298"/>
        <v>0.70000000000000007</v>
      </c>
      <c r="M510" s="503">
        <f t="shared" si="253"/>
        <v>140</v>
      </c>
      <c r="N510" s="503">
        <f t="shared" si="254"/>
        <v>0</v>
      </c>
      <c r="O510" s="503">
        <f t="shared" si="255"/>
        <v>0</v>
      </c>
      <c r="P510" s="503">
        <f t="shared" si="256"/>
        <v>0</v>
      </c>
      <c r="Q510" s="503">
        <f t="shared" si="257"/>
        <v>0</v>
      </c>
      <c r="R510" s="503">
        <f t="shared" si="258"/>
        <v>0</v>
      </c>
    </row>
    <row r="511" spans="1:19">
      <c r="A511" s="530"/>
      <c r="B511" s="506" t="s">
        <v>926</v>
      </c>
      <c r="C511" s="507">
        <v>16</v>
      </c>
      <c r="D511" s="508"/>
      <c r="E511" s="507">
        <v>4</v>
      </c>
      <c r="F511" s="502">
        <v>1</v>
      </c>
      <c r="G511" s="502">
        <v>8</v>
      </c>
      <c r="H511" s="503"/>
      <c r="I511" s="503">
        <v>2.95</v>
      </c>
      <c r="J511" s="509"/>
      <c r="K511" s="509">
        <f t="shared" ref="K511:K512" si="313">1*36*C511/1000</f>
        <v>0.57599999999999996</v>
      </c>
      <c r="L511" s="503">
        <f t="shared" ref="L511:L520" si="314">SUM(H511:J511)+K511</f>
        <v>3.5260000000000002</v>
      </c>
      <c r="M511" s="503">
        <f t="shared" si="253"/>
        <v>0</v>
      </c>
      <c r="N511" s="503">
        <f t="shared" si="254"/>
        <v>0</v>
      </c>
      <c r="O511" s="503">
        <f t="shared" si="255"/>
        <v>0</v>
      </c>
      <c r="P511" s="503">
        <f t="shared" si="256"/>
        <v>112.83</v>
      </c>
      <c r="Q511" s="503">
        <f t="shared" si="257"/>
        <v>0</v>
      </c>
      <c r="R511" s="503">
        <f t="shared" si="258"/>
        <v>0</v>
      </c>
      <c r="S511" s="221">
        <f>+G511*E511</f>
        <v>32</v>
      </c>
    </row>
    <row r="512" spans="1:19">
      <c r="A512" s="505"/>
      <c r="B512" s="511"/>
      <c r="C512" s="507">
        <v>12</v>
      </c>
      <c r="D512" s="508"/>
      <c r="E512" s="507">
        <f>+E511</f>
        <v>4</v>
      </c>
      <c r="F512" s="502">
        <v>1</v>
      </c>
      <c r="G512" s="502">
        <v>8</v>
      </c>
      <c r="H512" s="503"/>
      <c r="I512" s="503">
        <v>2.95</v>
      </c>
      <c r="J512" s="509"/>
      <c r="K512" s="509">
        <f t="shared" si="313"/>
        <v>0.432</v>
      </c>
      <c r="L512" s="503">
        <f t="shared" si="314"/>
        <v>3.3820000000000001</v>
      </c>
      <c r="M512" s="503">
        <f t="shared" si="253"/>
        <v>0</v>
      </c>
      <c r="N512" s="503">
        <f t="shared" si="254"/>
        <v>0</v>
      </c>
      <c r="O512" s="503">
        <f t="shared" si="255"/>
        <v>108.22</v>
      </c>
      <c r="P512" s="503">
        <f t="shared" si="256"/>
        <v>0</v>
      </c>
      <c r="Q512" s="503">
        <f t="shared" si="257"/>
        <v>0</v>
      </c>
      <c r="R512" s="503">
        <f t="shared" si="258"/>
        <v>0</v>
      </c>
      <c r="S512" s="221">
        <f>+G512*E512</f>
        <v>32</v>
      </c>
    </row>
    <row r="513" spans="1:18">
      <c r="A513" s="505"/>
      <c r="B513" s="511" t="s">
        <v>787</v>
      </c>
      <c r="C513" s="507">
        <v>10</v>
      </c>
      <c r="D513" s="508">
        <v>75</v>
      </c>
      <c r="E513" s="507">
        <f t="shared" ref="E513:E520" si="315">+E512</f>
        <v>4</v>
      </c>
      <c r="F513" s="502">
        <v>2</v>
      </c>
      <c r="G513" s="502">
        <f>+ROUND(715/D513,0)</f>
        <v>10</v>
      </c>
      <c r="H513" s="503"/>
      <c r="I513" s="503">
        <f>2*(0.2+0.615)+24*0.01</f>
        <v>1.8699999999999999</v>
      </c>
      <c r="J513" s="509"/>
      <c r="K513" s="509"/>
      <c r="L513" s="503">
        <f t="shared" si="314"/>
        <v>1.8699999999999999</v>
      </c>
      <c r="M513" s="503">
        <f t="shared" si="253"/>
        <v>0</v>
      </c>
      <c r="N513" s="503">
        <f t="shared" si="254"/>
        <v>149.6</v>
      </c>
      <c r="O513" s="503">
        <f t="shared" si="255"/>
        <v>0</v>
      </c>
      <c r="P513" s="503">
        <f t="shared" si="256"/>
        <v>0</v>
      </c>
      <c r="Q513" s="503">
        <f t="shared" si="257"/>
        <v>0</v>
      </c>
      <c r="R513" s="503">
        <f t="shared" si="258"/>
        <v>0</v>
      </c>
    </row>
    <row r="514" spans="1:18">
      <c r="A514" s="505"/>
      <c r="B514" s="511"/>
      <c r="C514" s="507">
        <v>10</v>
      </c>
      <c r="D514" s="508">
        <v>75</v>
      </c>
      <c r="E514" s="507">
        <f t="shared" si="315"/>
        <v>4</v>
      </c>
      <c r="F514" s="502">
        <v>2</v>
      </c>
      <c r="G514" s="502">
        <f t="shared" ref="G514:G516" si="316">+ROUND(715/D514,0)</f>
        <v>10</v>
      </c>
      <c r="H514" s="503"/>
      <c r="I514" s="503">
        <f>2*(0.2+0.216)+24*0.01</f>
        <v>1.0720000000000001</v>
      </c>
      <c r="J514" s="509"/>
      <c r="K514" s="509"/>
      <c r="L514" s="503">
        <f t="shared" si="314"/>
        <v>1.0720000000000001</v>
      </c>
      <c r="M514" s="503">
        <f t="shared" si="253"/>
        <v>0</v>
      </c>
      <c r="N514" s="503">
        <f t="shared" si="254"/>
        <v>85.76</v>
      </c>
      <c r="O514" s="503">
        <f t="shared" si="255"/>
        <v>0</v>
      </c>
      <c r="P514" s="503">
        <f t="shared" si="256"/>
        <v>0</v>
      </c>
      <c r="Q514" s="503">
        <f t="shared" si="257"/>
        <v>0</v>
      </c>
      <c r="R514" s="503">
        <f t="shared" si="258"/>
        <v>0</v>
      </c>
    </row>
    <row r="515" spans="1:18">
      <c r="A515" s="505"/>
      <c r="B515" s="511"/>
      <c r="C515" s="507">
        <v>10</v>
      </c>
      <c r="D515" s="508">
        <v>75</v>
      </c>
      <c r="E515" s="507">
        <f t="shared" si="315"/>
        <v>4</v>
      </c>
      <c r="F515" s="502">
        <f>2*2</f>
        <v>4</v>
      </c>
      <c r="G515" s="502">
        <f t="shared" si="316"/>
        <v>10</v>
      </c>
      <c r="H515" s="503"/>
      <c r="I515" s="503">
        <f>+(0.168+0.168+0.2)+20*0.01</f>
        <v>0.73599999999999999</v>
      </c>
      <c r="J515" s="509"/>
      <c r="K515" s="509"/>
      <c r="L515" s="503">
        <f t="shared" si="314"/>
        <v>0.73599999999999999</v>
      </c>
      <c r="M515" s="503">
        <f t="shared" si="253"/>
        <v>0</v>
      </c>
      <c r="N515" s="503">
        <f t="shared" si="254"/>
        <v>117.76</v>
      </c>
      <c r="O515" s="503">
        <f t="shared" si="255"/>
        <v>0</v>
      </c>
      <c r="P515" s="503">
        <f t="shared" si="256"/>
        <v>0</v>
      </c>
      <c r="Q515" s="503">
        <f t="shared" si="257"/>
        <v>0</v>
      </c>
      <c r="R515" s="503">
        <f t="shared" si="258"/>
        <v>0</v>
      </c>
    </row>
    <row r="516" spans="1:18">
      <c r="A516" s="505"/>
      <c r="B516" s="511"/>
      <c r="C516" s="507">
        <v>10</v>
      </c>
      <c r="D516" s="508">
        <v>75</v>
      </c>
      <c r="E516" s="507">
        <f t="shared" si="315"/>
        <v>4</v>
      </c>
      <c r="F516" s="502">
        <v>2</v>
      </c>
      <c r="G516" s="502">
        <f t="shared" si="316"/>
        <v>10</v>
      </c>
      <c r="H516" s="503"/>
      <c r="I516" s="503">
        <f>0.2+2*10*0.01</f>
        <v>0.4</v>
      </c>
      <c r="J516" s="509"/>
      <c r="K516" s="509"/>
      <c r="L516" s="503">
        <f t="shared" si="314"/>
        <v>0.4</v>
      </c>
      <c r="M516" s="503">
        <f t="shared" si="253"/>
        <v>0</v>
      </c>
      <c r="N516" s="503">
        <f t="shared" si="254"/>
        <v>32</v>
      </c>
      <c r="O516" s="503">
        <f t="shared" si="255"/>
        <v>0</v>
      </c>
      <c r="P516" s="503">
        <f t="shared" si="256"/>
        <v>0</v>
      </c>
      <c r="Q516" s="503">
        <f t="shared" si="257"/>
        <v>0</v>
      </c>
      <c r="R516" s="503">
        <f t="shared" si="258"/>
        <v>0</v>
      </c>
    </row>
    <row r="517" spans="1:18">
      <c r="A517" s="505"/>
      <c r="B517" s="511" t="s">
        <v>788</v>
      </c>
      <c r="C517" s="507">
        <v>8</v>
      </c>
      <c r="D517" s="508">
        <v>150</v>
      </c>
      <c r="E517" s="507">
        <f t="shared" si="315"/>
        <v>4</v>
      </c>
      <c r="F517" s="502">
        <v>1</v>
      </c>
      <c r="G517" s="502">
        <f>+ROUND(1170/D517+1,0)</f>
        <v>9</v>
      </c>
      <c r="H517" s="503"/>
      <c r="I517" s="503">
        <f>2*(0.204+0.619)+24*0.01</f>
        <v>1.8859999999999999</v>
      </c>
      <c r="J517" s="509"/>
      <c r="K517" s="509"/>
      <c r="L517" s="503">
        <f t="shared" si="314"/>
        <v>1.8859999999999999</v>
      </c>
      <c r="M517" s="503">
        <f t="shared" si="253"/>
        <v>67.900000000000006</v>
      </c>
      <c r="N517" s="503">
        <f t="shared" si="254"/>
        <v>0</v>
      </c>
      <c r="O517" s="503">
        <f t="shared" si="255"/>
        <v>0</v>
      </c>
      <c r="P517" s="503">
        <f t="shared" si="256"/>
        <v>0</v>
      </c>
      <c r="Q517" s="503">
        <f t="shared" si="257"/>
        <v>0</v>
      </c>
      <c r="R517" s="503">
        <f t="shared" si="258"/>
        <v>0</v>
      </c>
    </row>
    <row r="518" spans="1:18">
      <c r="A518" s="505"/>
      <c r="B518" s="511"/>
      <c r="C518" s="507">
        <v>8</v>
      </c>
      <c r="D518" s="508">
        <v>150</v>
      </c>
      <c r="E518" s="507">
        <f t="shared" si="315"/>
        <v>4</v>
      </c>
      <c r="F518" s="502">
        <v>1</v>
      </c>
      <c r="G518" s="502">
        <f t="shared" ref="G518:G520" si="317">+ROUND(1170/D518+1,0)</f>
        <v>9</v>
      </c>
      <c r="H518" s="503"/>
      <c r="I518" s="503">
        <f>2*(0.204+0.217)+24*0.01</f>
        <v>1.0819999999999999</v>
      </c>
      <c r="J518" s="509"/>
      <c r="K518" s="509"/>
      <c r="L518" s="503">
        <f t="shared" si="314"/>
        <v>1.0819999999999999</v>
      </c>
      <c r="M518" s="503">
        <f t="shared" si="253"/>
        <v>38.950000000000003</v>
      </c>
      <c r="N518" s="503">
        <f t="shared" si="254"/>
        <v>0</v>
      </c>
      <c r="O518" s="503">
        <f t="shared" si="255"/>
        <v>0</v>
      </c>
      <c r="P518" s="503">
        <f t="shared" si="256"/>
        <v>0</v>
      </c>
      <c r="Q518" s="503">
        <f t="shared" si="257"/>
        <v>0</v>
      </c>
      <c r="R518" s="503">
        <f t="shared" si="258"/>
        <v>0</v>
      </c>
    </row>
    <row r="519" spans="1:18">
      <c r="A519" s="505"/>
      <c r="B519" s="511"/>
      <c r="C519" s="507">
        <v>8</v>
      </c>
      <c r="D519" s="508">
        <v>150</v>
      </c>
      <c r="E519" s="507">
        <f t="shared" si="315"/>
        <v>4</v>
      </c>
      <c r="F519" s="502">
        <v>2</v>
      </c>
      <c r="G519" s="502">
        <f t="shared" si="317"/>
        <v>9</v>
      </c>
      <c r="H519" s="503"/>
      <c r="I519" s="503">
        <f>+(0.168+0.168+0.204)+20*0.01</f>
        <v>0.74</v>
      </c>
      <c r="J519" s="509"/>
      <c r="K519" s="509"/>
      <c r="L519" s="503">
        <f t="shared" si="314"/>
        <v>0.74</v>
      </c>
      <c r="M519" s="503">
        <f t="shared" si="253"/>
        <v>53.28</v>
      </c>
      <c r="N519" s="503">
        <f t="shared" si="254"/>
        <v>0</v>
      </c>
      <c r="O519" s="503">
        <f t="shared" si="255"/>
        <v>0</v>
      </c>
      <c r="P519" s="503">
        <f t="shared" si="256"/>
        <v>0</v>
      </c>
      <c r="Q519" s="503">
        <f t="shared" si="257"/>
        <v>0</v>
      </c>
      <c r="R519" s="503">
        <f t="shared" si="258"/>
        <v>0</v>
      </c>
    </row>
    <row r="520" spans="1:18">
      <c r="A520" s="505"/>
      <c r="B520" s="511"/>
      <c r="C520" s="507">
        <v>8</v>
      </c>
      <c r="D520" s="508">
        <v>150</v>
      </c>
      <c r="E520" s="507">
        <f t="shared" si="315"/>
        <v>4</v>
      </c>
      <c r="F520" s="502">
        <v>1</v>
      </c>
      <c r="G520" s="502">
        <f t="shared" si="317"/>
        <v>9</v>
      </c>
      <c r="H520" s="503"/>
      <c r="I520" s="503">
        <f>0.204+2*10*0.01</f>
        <v>0.40400000000000003</v>
      </c>
      <c r="J520" s="509"/>
      <c r="K520" s="509"/>
      <c r="L520" s="503">
        <f t="shared" si="314"/>
        <v>0.40400000000000003</v>
      </c>
      <c r="M520" s="503">
        <f t="shared" si="253"/>
        <v>14.54</v>
      </c>
      <c r="N520" s="503">
        <f t="shared" si="254"/>
        <v>0</v>
      </c>
      <c r="O520" s="503">
        <f t="shared" si="255"/>
        <v>0</v>
      </c>
      <c r="P520" s="503">
        <f t="shared" si="256"/>
        <v>0</v>
      </c>
      <c r="Q520" s="503">
        <f t="shared" si="257"/>
        <v>0</v>
      </c>
      <c r="R520" s="503">
        <f t="shared" si="258"/>
        <v>0</v>
      </c>
    </row>
    <row r="521" spans="1:18">
      <c r="A521" s="505"/>
      <c r="B521" s="506" t="s">
        <v>850</v>
      </c>
      <c r="C521" s="507"/>
      <c r="D521" s="508"/>
      <c r="E521" s="507"/>
      <c r="F521" s="502"/>
      <c r="G521" s="502"/>
      <c r="H521" s="503"/>
      <c r="I521" s="503"/>
      <c r="J521" s="509"/>
      <c r="K521" s="509"/>
      <c r="L521" s="503">
        <f t="shared" si="275"/>
        <v>0</v>
      </c>
      <c r="M521" s="503">
        <f t="shared" si="253"/>
        <v>0</v>
      </c>
      <c r="N521" s="503">
        <f t="shared" si="254"/>
        <v>0</v>
      </c>
      <c r="O521" s="503">
        <f t="shared" si="255"/>
        <v>0</v>
      </c>
      <c r="P521" s="503">
        <f t="shared" si="256"/>
        <v>0</v>
      </c>
      <c r="Q521" s="503">
        <f t="shared" si="257"/>
        <v>0</v>
      </c>
      <c r="R521" s="503">
        <f t="shared" si="258"/>
        <v>0</v>
      </c>
    </row>
    <row r="522" spans="1:18">
      <c r="A522" s="505"/>
      <c r="B522" s="506" t="s">
        <v>796</v>
      </c>
      <c r="C522" s="507">
        <v>16</v>
      </c>
      <c r="D522" s="508"/>
      <c r="E522" s="507">
        <v>2</v>
      </c>
      <c r="F522" s="502">
        <v>1</v>
      </c>
      <c r="G522" s="502">
        <v>8</v>
      </c>
      <c r="H522" s="503"/>
      <c r="I522" s="503">
        <f t="shared" ref="I522:I524" si="318">106.2-103.25</f>
        <v>2.9500000000000028</v>
      </c>
      <c r="J522" s="509"/>
      <c r="K522" s="509">
        <f t="shared" ref="K522:K524" si="319">1*36*C522/1000</f>
        <v>0.57599999999999996</v>
      </c>
      <c r="L522" s="503">
        <f t="shared" si="275"/>
        <v>3.5260000000000029</v>
      </c>
      <c r="M522" s="503">
        <f t="shared" si="253"/>
        <v>0</v>
      </c>
      <c r="N522" s="503">
        <f t="shared" si="254"/>
        <v>0</v>
      </c>
      <c r="O522" s="503">
        <f t="shared" si="255"/>
        <v>0</v>
      </c>
      <c r="P522" s="503">
        <f t="shared" si="256"/>
        <v>56.42</v>
      </c>
      <c r="Q522" s="503">
        <f t="shared" si="257"/>
        <v>0</v>
      </c>
      <c r="R522" s="503">
        <f t="shared" si="258"/>
        <v>0</v>
      </c>
    </row>
    <row r="523" spans="1:18">
      <c r="A523" s="505"/>
      <c r="B523" s="511"/>
      <c r="C523" s="507">
        <v>12</v>
      </c>
      <c r="D523" s="508"/>
      <c r="E523" s="507">
        <v>2</v>
      </c>
      <c r="F523" s="502">
        <v>1</v>
      </c>
      <c r="G523" s="502">
        <v>16</v>
      </c>
      <c r="H523" s="503"/>
      <c r="I523" s="503">
        <f t="shared" si="318"/>
        <v>2.9500000000000028</v>
      </c>
      <c r="J523" s="509"/>
      <c r="K523" s="509">
        <f t="shared" si="319"/>
        <v>0.432</v>
      </c>
      <c r="L523" s="503">
        <f t="shared" si="275"/>
        <v>3.3820000000000028</v>
      </c>
      <c r="M523" s="503">
        <f t="shared" si="253"/>
        <v>0</v>
      </c>
      <c r="N523" s="503">
        <f t="shared" si="254"/>
        <v>0</v>
      </c>
      <c r="O523" s="503">
        <f t="shared" si="255"/>
        <v>108.22</v>
      </c>
      <c r="P523" s="503">
        <f t="shared" si="256"/>
        <v>0</v>
      </c>
      <c r="Q523" s="503">
        <f t="shared" si="257"/>
        <v>0</v>
      </c>
      <c r="R523" s="503">
        <f t="shared" si="258"/>
        <v>0</v>
      </c>
    </row>
    <row r="524" spans="1:18">
      <c r="A524" s="505"/>
      <c r="B524" s="511"/>
      <c r="C524" s="507">
        <v>10</v>
      </c>
      <c r="D524" s="508"/>
      <c r="E524" s="507">
        <v>2</v>
      </c>
      <c r="F524" s="502">
        <v>1</v>
      </c>
      <c r="G524" s="502">
        <v>8</v>
      </c>
      <c r="H524" s="503"/>
      <c r="I524" s="503">
        <f t="shared" si="318"/>
        <v>2.9500000000000028</v>
      </c>
      <c r="J524" s="509"/>
      <c r="K524" s="509">
        <f t="shared" si="319"/>
        <v>0.36</v>
      </c>
      <c r="L524" s="503">
        <f t="shared" si="275"/>
        <v>3.3100000000000027</v>
      </c>
      <c r="M524" s="503">
        <f t="shared" si="253"/>
        <v>0</v>
      </c>
      <c r="N524" s="503">
        <f t="shared" si="254"/>
        <v>52.96</v>
      </c>
      <c r="O524" s="503">
        <f t="shared" si="255"/>
        <v>0</v>
      </c>
      <c r="P524" s="503">
        <f t="shared" si="256"/>
        <v>0</v>
      </c>
      <c r="Q524" s="503">
        <f t="shared" si="257"/>
        <v>0</v>
      </c>
      <c r="R524" s="503">
        <f t="shared" si="258"/>
        <v>0</v>
      </c>
    </row>
    <row r="525" spans="1:18">
      <c r="A525" s="505"/>
      <c r="B525" s="511" t="s">
        <v>797</v>
      </c>
      <c r="C525" s="507"/>
      <c r="D525" s="508"/>
      <c r="E525" s="507"/>
      <c r="F525" s="502"/>
      <c r="G525" s="502"/>
      <c r="H525" s="503"/>
      <c r="I525" s="503"/>
      <c r="J525" s="509"/>
      <c r="K525" s="509"/>
      <c r="L525" s="503">
        <f t="shared" si="275"/>
        <v>0</v>
      </c>
      <c r="M525" s="503">
        <f t="shared" si="253"/>
        <v>0</v>
      </c>
      <c r="N525" s="503">
        <f t="shared" si="254"/>
        <v>0</v>
      </c>
      <c r="O525" s="503">
        <f t="shared" si="255"/>
        <v>0</v>
      </c>
      <c r="P525" s="503">
        <f t="shared" si="256"/>
        <v>0</v>
      </c>
      <c r="Q525" s="503">
        <f t="shared" si="257"/>
        <v>0</v>
      </c>
      <c r="R525" s="503">
        <f t="shared" si="258"/>
        <v>0</v>
      </c>
    </row>
    <row r="526" spans="1:18">
      <c r="A526" s="505"/>
      <c r="B526" s="511" t="s">
        <v>810</v>
      </c>
      <c r="C526" s="507">
        <v>8</v>
      </c>
      <c r="D526" s="508">
        <v>100</v>
      </c>
      <c r="E526" s="507">
        <v>2</v>
      </c>
      <c r="F526" s="502">
        <v>1</v>
      </c>
      <c r="G526" s="502">
        <f>+ROUND(2450/D526+1,0)</f>
        <v>26</v>
      </c>
      <c r="H526" s="503"/>
      <c r="I526" s="503">
        <f>2*(0.18+0.6)+24*C526/1000</f>
        <v>1.752</v>
      </c>
      <c r="J526" s="509"/>
      <c r="K526" s="509"/>
      <c r="L526" s="503">
        <f t="shared" si="275"/>
        <v>1.752</v>
      </c>
      <c r="M526" s="503">
        <f t="shared" si="253"/>
        <v>91.1</v>
      </c>
      <c r="N526" s="503">
        <f t="shared" si="254"/>
        <v>0</v>
      </c>
      <c r="O526" s="503">
        <f t="shared" si="255"/>
        <v>0</v>
      </c>
      <c r="P526" s="503">
        <f t="shared" si="256"/>
        <v>0</v>
      </c>
      <c r="Q526" s="503">
        <f t="shared" si="257"/>
        <v>0</v>
      </c>
      <c r="R526" s="503">
        <f t="shared" si="258"/>
        <v>0</v>
      </c>
    </row>
    <row r="527" spans="1:18">
      <c r="A527" s="505"/>
      <c r="B527" s="511" t="s">
        <v>811</v>
      </c>
      <c r="C527" s="507">
        <v>8</v>
      </c>
      <c r="D527" s="508">
        <v>100</v>
      </c>
      <c r="E527" s="507">
        <v>2</v>
      </c>
      <c r="F527" s="502">
        <v>1</v>
      </c>
      <c r="G527" s="502">
        <f t="shared" ref="G527:G533" si="320">+ROUND(2450/D527+1,0)</f>
        <v>26</v>
      </c>
      <c r="H527" s="503"/>
      <c r="I527" s="503">
        <f>2*(0.18+0.248)+24*C527/1000</f>
        <v>1.048</v>
      </c>
      <c r="J527" s="509"/>
      <c r="K527" s="509"/>
      <c r="L527" s="503">
        <f t="shared" si="275"/>
        <v>1.048</v>
      </c>
      <c r="M527" s="503">
        <f t="shared" si="253"/>
        <v>54.5</v>
      </c>
      <c r="N527" s="503">
        <f t="shared" si="254"/>
        <v>0</v>
      </c>
      <c r="O527" s="503">
        <f t="shared" si="255"/>
        <v>0</v>
      </c>
      <c r="P527" s="503">
        <f t="shared" si="256"/>
        <v>0</v>
      </c>
      <c r="Q527" s="503">
        <f t="shared" si="257"/>
        <v>0</v>
      </c>
      <c r="R527" s="503">
        <f t="shared" si="258"/>
        <v>0</v>
      </c>
    </row>
    <row r="528" spans="1:18">
      <c r="A528" s="505"/>
      <c r="B528" s="511" t="s">
        <v>798</v>
      </c>
      <c r="C528" s="507">
        <v>8</v>
      </c>
      <c r="D528" s="508">
        <v>100</v>
      </c>
      <c r="E528" s="507">
        <v>2</v>
      </c>
      <c r="F528" s="502">
        <v>1</v>
      </c>
      <c r="G528" s="502">
        <f t="shared" si="320"/>
        <v>26</v>
      </c>
      <c r="H528" s="503"/>
      <c r="I528" s="503">
        <f>0.18+(20*C528/1000)</f>
        <v>0.33999999999999997</v>
      </c>
      <c r="J528" s="509"/>
      <c r="K528" s="509"/>
      <c r="L528" s="503">
        <f t="shared" si="275"/>
        <v>0.33999999999999997</v>
      </c>
      <c r="M528" s="503">
        <f t="shared" si="253"/>
        <v>17.68</v>
      </c>
      <c r="N528" s="503">
        <f t="shared" si="254"/>
        <v>0</v>
      </c>
      <c r="O528" s="503">
        <f t="shared" si="255"/>
        <v>0</v>
      </c>
      <c r="P528" s="503">
        <f t="shared" si="256"/>
        <v>0</v>
      </c>
      <c r="Q528" s="503">
        <f t="shared" si="257"/>
        <v>0</v>
      </c>
      <c r="R528" s="503">
        <f t="shared" si="258"/>
        <v>0</v>
      </c>
    </row>
    <row r="529" spans="1:18">
      <c r="A529" s="505"/>
      <c r="B529" s="511" t="s">
        <v>812</v>
      </c>
      <c r="C529" s="507">
        <v>8</v>
      </c>
      <c r="D529" s="508">
        <v>100</v>
      </c>
      <c r="E529" s="507">
        <v>2</v>
      </c>
      <c r="F529" s="502">
        <v>2</v>
      </c>
      <c r="G529" s="502">
        <f t="shared" si="320"/>
        <v>26</v>
      </c>
      <c r="H529" s="503"/>
      <c r="I529" s="503">
        <f>2*(0.18+0.385)+24*C529/1000</f>
        <v>1.3219999999999998</v>
      </c>
      <c r="J529" s="509"/>
      <c r="K529" s="509"/>
      <c r="L529" s="503">
        <f t="shared" si="275"/>
        <v>1.3219999999999998</v>
      </c>
      <c r="M529" s="503">
        <f t="shared" si="253"/>
        <v>137.49</v>
      </c>
      <c r="N529" s="503">
        <f t="shared" si="254"/>
        <v>0</v>
      </c>
      <c r="O529" s="503">
        <f t="shared" si="255"/>
        <v>0</v>
      </c>
      <c r="P529" s="503">
        <f t="shared" si="256"/>
        <v>0</v>
      </c>
      <c r="Q529" s="503">
        <f t="shared" si="257"/>
        <v>0</v>
      </c>
      <c r="R529" s="503">
        <f t="shared" si="258"/>
        <v>0</v>
      </c>
    </row>
    <row r="530" spans="1:18">
      <c r="A530" s="505"/>
      <c r="B530" s="511" t="s">
        <v>813</v>
      </c>
      <c r="C530" s="507">
        <v>8</v>
      </c>
      <c r="D530" s="508">
        <v>100</v>
      </c>
      <c r="E530" s="507">
        <v>2</v>
      </c>
      <c r="F530" s="502">
        <v>1</v>
      </c>
      <c r="G530" s="502">
        <f t="shared" si="320"/>
        <v>26</v>
      </c>
      <c r="H530" s="503"/>
      <c r="I530" s="503">
        <f>2*(0.18+0.268)+24*C530/1000</f>
        <v>1.0880000000000001</v>
      </c>
      <c r="J530" s="509"/>
      <c r="K530" s="509"/>
      <c r="L530" s="503">
        <f t="shared" si="275"/>
        <v>1.0880000000000001</v>
      </c>
      <c r="M530" s="503">
        <f t="shared" si="253"/>
        <v>56.58</v>
      </c>
      <c r="N530" s="503">
        <f t="shared" si="254"/>
        <v>0</v>
      </c>
      <c r="O530" s="503">
        <f t="shared" si="255"/>
        <v>0</v>
      </c>
      <c r="P530" s="503">
        <f t="shared" si="256"/>
        <v>0</v>
      </c>
      <c r="Q530" s="503">
        <f t="shared" si="257"/>
        <v>0</v>
      </c>
      <c r="R530" s="503">
        <f t="shared" si="258"/>
        <v>0</v>
      </c>
    </row>
    <row r="531" spans="1:18">
      <c r="A531" s="505"/>
      <c r="B531" s="511" t="s">
        <v>798</v>
      </c>
      <c r="C531" s="507">
        <v>8</v>
      </c>
      <c r="D531" s="508">
        <v>100</v>
      </c>
      <c r="E531" s="507">
        <v>2</v>
      </c>
      <c r="F531" s="502">
        <v>1</v>
      </c>
      <c r="G531" s="502">
        <f t="shared" si="320"/>
        <v>26</v>
      </c>
      <c r="H531" s="503"/>
      <c r="I531" s="503">
        <f>0.18+(20*C531/1000)</f>
        <v>0.33999999999999997</v>
      </c>
      <c r="J531" s="509"/>
      <c r="K531" s="509"/>
      <c r="L531" s="503">
        <f t="shared" si="275"/>
        <v>0.33999999999999997</v>
      </c>
      <c r="M531" s="503">
        <f t="shared" si="253"/>
        <v>17.68</v>
      </c>
      <c r="N531" s="503">
        <f t="shared" si="254"/>
        <v>0</v>
      </c>
      <c r="O531" s="503">
        <f t="shared" si="255"/>
        <v>0</v>
      </c>
      <c r="P531" s="503">
        <f t="shared" si="256"/>
        <v>0</v>
      </c>
      <c r="Q531" s="503">
        <f t="shared" si="257"/>
        <v>0</v>
      </c>
      <c r="R531" s="503">
        <f t="shared" si="258"/>
        <v>0</v>
      </c>
    </row>
    <row r="532" spans="1:18">
      <c r="A532" s="505"/>
      <c r="B532" s="511" t="s">
        <v>831</v>
      </c>
      <c r="C532" s="507">
        <v>8</v>
      </c>
      <c r="D532" s="508">
        <v>200</v>
      </c>
      <c r="E532" s="507">
        <v>2</v>
      </c>
      <c r="F532" s="502">
        <v>1</v>
      </c>
      <c r="G532" s="502">
        <f t="shared" si="320"/>
        <v>13</v>
      </c>
      <c r="H532" s="503"/>
      <c r="I532" s="503">
        <f>2*(0.18+0.866)+24*C532/1000</f>
        <v>2.2840000000000003</v>
      </c>
      <c r="J532" s="509"/>
      <c r="K532" s="509"/>
      <c r="L532" s="503">
        <f t="shared" si="275"/>
        <v>2.2840000000000003</v>
      </c>
      <c r="M532" s="503">
        <f t="shared" si="253"/>
        <v>59.38</v>
      </c>
      <c r="N532" s="503">
        <f t="shared" si="254"/>
        <v>0</v>
      </c>
      <c r="O532" s="503">
        <f t="shared" si="255"/>
        <v>0</v>
      </c>
      <c r="P532" s="503">
        <f t="shared" si="256"/>
        <v>0</v>
      </c>
      <c r="Q532" s="503">
        <f t="shared" si="257"/>
        <v>0</v>
      </c>
      <c r="R532" s="503">
        <f t="shared" si="258"/>
        <v>0</v>
      </c>
    </row>
    <row r="533" spans="1:18">
      <c r="A533" s="505"/>
      <c r="B533" s="511" t="s">
        <v>799</v>
      </c>
      <c r="C533" s="507">
        <v>8</v>
      </c>
      <c r="D533" s="508">
        <v>400</v>
      </c>
      <c r="E533" s="507">
        <v>2</v>
      </c>
      <c r="F533" s="502">
        <v>2</v>
      </c>
      <c r="G533" s="502">
        <f t="shared" si="320"/>
        <v>7</v>
      </c>
      <c r="H533" s="503"/>
      <c r="I533" s="503">
        <f>0.18+(20*C533/1000)</f>
        <v>0.33999999999999997</v>
      </c>
      <c r="J533" s="509"/>
      <c r="K533" s="509"/>
      <c r="L533" s="503">
        <f t="shared" si="275"/>
        <v>0.33999999999999997</v>
      </c>
      <c r="M533" s="503">
        <f t="shared" si="253"/>
        <v>9.52</v>
      </c>
      <c r="N533" s="503">
        <f t="shared" si="254"/>
        <v>0</v>
      </c>
      <c r="O533" s="503">
        <f t="shared" si="255"/>
        <v>0</v>
      </c>
      <c r="P533" s="503">
        <f t="shared" si="256"/>
        <v>0</v>
      </c>
      <c r="Q533" s="503">
        <f t="shared" si="257"/>
        <v>0</v>
      </c>
      <c r="R533" s="503">
        <f t="shared" si="258"/>
        <v>0</v>
      </c>
    </row>
    <row r="534" spans="1:18">
      <c r="A534" s="505"/>
      <c r="B534" s="506" t="s">
        <v>800</v>
      </c>
      <c r="C534" s="507">
        <v>16</v>
      </c>
      <c r="D534" s="508"/>
      <c r="E534" s="507">
        <v>2</v>
      </c>
      <c r="F534" s="502">
        <v>1</v>
      </c>
      <c r="G534" s="502">
        <v>8</v>
      </c>
      <c r="H534" s="503"/>
      <c r="I534" s="503">
        <f t="shared" ref="I534:I536" si="321">106.2-103.25</f>
        <v>2.9500000000000028</v>
      </c>
      <c r="J534" s="509"/>
      <c r="K534" s="509">
        <f t="shared" ref="K534:K536" si="322">1*36*C534/1000</f>
        <v>0.57599999999999996</v>
      </c>
      <c r="L534" s="503">
        <f t="shared" si="275"/>
        <v>3.5260000000000029</v>
      </c>
      <c r="M534" s="503">
        <f t="shared" si="253"/>
        <v>0</v>
      </c>
      <c r="N534" s="503">
        <f t="shared" si="254"/>
        <v>0</v>
      </c>
      <c r="O534" s="503">
        <f t="shared" si="255"/>
        <v>0</v>
      </c>
      <c r="P534" s="503">
        <f t="shared" si="256"/>
        <v>56.42</v>
      </c>
      <c r="Q534" s="503">
        <f t="shared" si="257"/>
        <v>0</v>
      </c>
      <c r="R534" s="503">
        <f t="shared" si="258"/>
        <v>0</v>
      </c>
    </row>
    <row r="535" spans="1:18">
      <c r="A535" s="505"/>
      <c r="B535" s="511"/>
      <c r="C535" s="507">
        <v>12</v>
      </c>
      <c r="D535" s="508"/>
      <c r="E535" s="507">
        <v>2</v>
      </c>
      <c r="F535" s="502">
        <v>1</v>
      </c>
      <c r="G535" s="502">
        <v>16</v>
      </c>
      <c r="H535" s="503"/>
      <c r="I535" s="503">
        <f t="shared" si="321"/>
        <v>2.9500000000000028</v>
      </c>
      <c r="J535" s="509"/>
      <c r="K535" s="509">
        <f t="shared" si="322"/>
        <v>0.432</v>
      </c>
      <c r="L535" s="503">
        <f t="shared" si="275"/>
        <v>3.3820000000000028</v>
      </c>
      <c r="M535" s="503">
        <f t="shared" si="253"/>
        <v>0</v>
      </c>
      <c r="N535" s="503">
        <f t="shared" si="254"/>
        <v>0</v>
      </c>
      <c r="O535" s="503">
        <f t="shared" si="255"/>
        <v>108.22</v>
      </c>
      <c r="P535" s="503">
        <f t="shared" si="256"/>
        <v>0</v>
      </c>
      <c r="Q535" s="503">
        <f t="shared" si="257"/>
        <v>0</v>
      </c>
      <c r="R535" s="503">
        <f t="shared" si="258"/>
        <v>0</v>
      </c>
    </row>
    <row r="536" spans="1:18">
      <c r="A536" s="505"/>
      <c r="B536" s="511"/>
      <c r="C536" s="507">
        <v>10</v>
      </c>
      <c r="D536" s="508"/>
      <c r="E536" s="507">
        <v>2</v>
      </c>
      <c r="F536" s="502">
        <v>1</v>
      </c>
      <c r="G536" s="502">
        <v>10</v>
      </c>
      <c r="H536" s="503"/>
      <c r="I536" s="503">
        <f t="shared" si="321"/>
        <v>2.9500000000000028</v>
      </c>
      <c r="J536" s="509"/>
      <c r="K536" s="509">
        <f t="shared" si="322"/>
        <v>0.36</v>
      </c>
      <c r="L536" s="503">
        <f t="shared" si="275"/>
        <v>3.3100000000000027</v>
      </c>
      <c r="M536" s="503">
        <f t="shared" si="253"/>
        <v>0</v>
      </c>
      <c r="N536" s="503">
        <f t="shared" si="254"/>
        <v>66.2</v>
      </c>
      <c r="O536" s="503">
        <f t="shared" si="255"/>
        <v>0</v>
      </c>
      <c r="P536" s="503">
        <f t="shared" si="256"/>
        <v>0</v>
      </c>
      <c r="Q536" s="503">
        <f t="shared" si="257"/>
        <v>0</v>
      </c>
      <c r="R536" s="503">
        <f t="shared" si="258"/>
        <v>0</v>
      </c>
    </row>
    <row r="537" spans="1:18">
      <c r="A537" s="505"/>
      <c r="B537" s="511" t="s">
        <v>797</v>
      </c>
      <c r="C537" s="507"/>
      <c r="D537" s="508"/>
      <c r="E537" s="507"/>
      <c r="F537" s="502"/>
      <c r="G537" s="502"/>
      <c r="H537" s="503"/>
      <c r="I537" s="503"/>
      <c r="J537" s="509"/>
      <c r="K537" s="509"/>
      <c r="L537" s="503">
        <f t="shared" si="275"/>
        <v>0</v>
      </c>
      <c r="M537" s="503">
        <f t="shared" si="253"/>
        <v>0</v>
      </c>
      <c r="N537" s="503">
        <f t="shared" si="254"/>
        <v>0</v>
      </c>
      <c r="O537" s="503">
        <f t="shared" si="255"/>
        <v>0</v>
      </c>
      <c r="P537" s="503">
        <f t="shared" si="256"/>
        <v>0</v>
      </c>
      <c r="Q537" s="503">
        <f t="shared" si="257"/>
        <v>0</v>
      </c>
      <c r="R537" s="503">
        <f t="shared" si="258"/>
        <v>0</v>
      </c>
    </row>
    <row r="538" spans="1:18">
      <c r="A538" s="505"/>
      <c r="B538" s="511" t="s">
        <v>810</v>
      </c>
      <c r="C538" s="507">
        <v>8</v>
      </c>
      <c r="D538" s="508">
        <v>100</v>
      </c>
      <c r="E538" s="507">
        <v>2</v>
      </c>
      <c r="F538" s="502">
        <v>1</v>
      </c>
      <c r="G538" s="502">
        <f t="shared" ref="G538:G545" si="323">+ROUND(2450/D538+1,0)</f>
        <v>26</v>
      </c>
      <c r="H538" s="503"/>
      <c r="I538" s="503">
        <f>2*(0.18+0.6)+24*C538/1000</f>
        <v>1.752</v>
      </c>
      <c r="J538" s="509"/>
      <c r="K538" s="509"/>
      <c r="L538" s="503">
        <f t="shared" si="275"/>
        <v>1.752</v>
      </c>
      <c r="M538" s="503">
        <f t="shared" si="253"/>
        <v>91.1</v>
      </c>
      <c r="N538" s="503">
        <f t="shared" si="254"/>
        <v>0</v>
      </c>
      <c r="O538" s="503">
        <f t="shared" si="255"/>
        <v>0</v>
      </c>
      <c r="P538" s="503">
        <f t="shared" si="256"/>
        <v>0</v>
      </c>
      <c r="Q538" s="503">
        <f t="shared" si="257"/>
        <v>0</v>
      </c>
      <c r="R538" s="503">
        <f t="shared" si="258"/>
        <v>0</v>
      </c>
    </row>
    <row r="539" spans="1:18">
      <c r="A539" s="505"/>
      <c r="B539" s="511" t="s">
        <v>811</v>
      </c>
      <c r="C539" s="507">
        <v>8</v>
      </c>
      <c r="D539" s="508">
        <v>100</v>
      </c>
      <c r="E539" s="507">
        <v>2</v>
      </c>
      <c r="F539" s="502">
        <v>1</v>
      </c>
      <c r="G539" s="502">
        <f t="shared" si="323"/>
        <v>26</v>
      </c>
      <c r="H539" s="503"/>
      <c r="I539" s="503">
        <f>2*(0.18+0.248)+24*C539/1000</f>
        <v>1.048</v>
      </c>
      <c r="J539" s="509"/>
      <c r="K539" s="509"/>
      <c r="L539" s="503">
        <f t="shared" si="275"/>
        <v>1.048</v>
      </c>
      <c r="M539" s="503">
        <f t="shared" si="253"/>
        <v>54.5</v>
      </c>
      <c r="N539" s="503">
        <f t="shared" si="254"/>
        <v>0</v>
      </c>
      <c r="O539" s="503">
        <f t="shared" si="255"/>
        <v>0</v>
      </c>
      <c r="P539" s="503">
        <f t="shared" si="256"/>
        <v>0</v>
      </c>
      <c r="Q539" s="503">
        <f t="shared" si="257"/>
        <v>0</v>
      </c>
      <c r="R539" s="503">
        <f t="shared" si="258"/>
        <v>0</v>
      </c>
    </row>
    <row r="540" spans="1:18">
      <c r="A540" s="505"/>
      <c r="B540" s="511" t="s">
        <v>798</v>
      </c>
      <c r="C540" s="507">
        <v>8</v>
      </c>
      <c r="D540" s="508">
        <v>100</v>
      </c>
      <c r="E540" s="507">
        <v>2</v>
      </c>
      <c r="F540" s="502">
        <v>1</v>
      </c>
      <c r="G540" s="502">
        <f t="shared" si="323"/>
        <v>26</v>
      </c>
      <c r="H540" s="503"/>
      <c r="I540" s="503">
        <f>0.18+(20*C540/1000)</f>
        <v>0.33999999999999997</v>
      </c>
      <c r="J540" s="509"/>
      <c r="K540" s="509"/>
      <c r="L540" s="503">
        <f t="shared" si="275"/>
        <v>0.33999999999999997</v>
      </c>
      <c r="M540" s="503">
        <f t="shared" si="253"/>
        <v>17.68</v>
      </c>
      <c r="N540" s="503">
        <f t="shared" si="254"/>
        <v>0</v>
      </c>
      <c r="O540" s="503">
        <f t="shared" si="255"/>
        <v>0</v>
      </c>
      <c r="P540" s="503">
        <f t="shared" si="256"/>
        <v>0</v>
      </c>
      <c r="Q540" s="503">
        <f t="shared" si="257"/>
        <v>0</v>
      </c>
      <c r="R540" s="503">
        <f t="shared" si="258"/>
        <v>0</v>
      </c>
    </row>
    <row r="541" spans="1:18">
      <c r="A541" s="505"/>
      <c r="B541" s="511" t="s">
        <v>812</v>
      </c>
      <c r="C541" s="507">
        <v>8</v>
      </c>
      <c r="D541" s="508">
        <v>100</v>
      </c>
      <c r="E541" s="507">
        <v>2</v>
      </c>
      <c r="F541" s="502">
        <v>2</v>
      </c>
      <c r="G541" s="502">
        <f t="shared" si="323"/>
        <v>26</v>
      </c>
      <c r="H541" s="503"/>
      <c r="I541" s="503">
        <f>2*(0.18+0.385)+24*C541/1000</f>
        <v>1.3219999999999998</v>
      </c>
      <c r="J541" s="509"/>
      <c r="K541" s="509"/>
      <c r="L541" s="503">
        <f t="shared" si="275"/>
        <v>1.3219999999999998</v>
      </c>
      <c r="M541" s="503">
        <f t="shared" si="253"/>
        <v>137.49</v>
      </c>
      <c r="N541" s="503">
        <f t="shared" si="254"/>
        <v>0</v>
      </c>
      <c r="O541" s="503">
        <f t="shared" si="255"/>
        <v>0</v>
      </c>
      <c r="P541" s="503">
        <f t="shared" si="256"/>
        <v>0</v>
      </c>
      <c r="Q541" s="503">
        <f t="shared" si="257"/>
        <v>0</v>
      </c>
      <c r="R541" s="503">
        <f t="shared" si="258"/>
        <v>0</v>
      </c>
    </row>
    <row r="542" spans="1:18">
      <c r="A542" s="505"/>
      <c r="B542" s="511" t="s">
        <v>813</v>
      </c>
      <c r="C542" s="507">
        <v>8</v>
      </c>
      <c r="D542" s="508">
        <v>100</v>
      </c>
      <c r="E542" s="507">
        <v>2</v>
      </c>
      <c r="F542" s="502">
        <v>1</v>
      </c>
      <c r="G542" s="502">
        <f t="shared" si="323"/>
        <v>26</v>
      </c>
      <c r="H542" s="503"/>
      <c r="I542" s="503">
        <f>2*(0.18+0.268)+24*C542/1000</f>
        <v>1.0880000000000001</v>
      </c>
      <c r="J542" s="509"/>
      <c r="K542" s="509"/>
      <c r="L542" s="503">
        <f t="shared" si="275"/>
        <v>1.0880000000000001</v>
      </c>
      <c r="M542" s="503">
        <f t="shared" si="253"/>
        <v>56.58</v>
      </c>
      <c r="N542" s="503">
        <f t="shared" si="254"/>
        <v>0</v>
      </c>
      <c r="O542" s="503">
        <f t="shared" si="255"/>
        <v>0</v>
      </c>
      <c r="P542" s="503">
        <f t="shared" si="256"/>
        <v>0</v>
      </c>
      <c r="Q542" s="503">
        <f t="shared" si="257"/>
        <v>0</v>
      </c>
      <c r="R542" s="503">
        <f t="shared" si="258"/>
        <v>0</v>
      </c>
    </row>
    <row r="543" spans="1:18">
      <c r="A543" s="505"/>
      <c r="B543" s="511" t="s">
        <v>798</v>
      </c>
      <c r="C543" s="507">
        <v>8</v>
      </c>
      <c r="D543" s="508">
        <v>100</v>
      </c>
      <c r="E543" s="507">
        <v>2</v>
      </c>
      <c r="F543" s="502">
        <v>1</v>
      </c>
      <c r="G543" s="502">
        <f t="shared" si="323"/>
        <v>26</v>
      </c>
      <c r="H543" s="503"/>
      <c r="I543" s="503">
        <f>0.18+(20*C543/1000)</f>
        <v>0.33999999999999997</v>
      </c>
      <c r="J543" s="509"/>
      <c r="K543" s="509"/>
      <c r="L543" s="503">
        <f t="shared" si="275"/>
        <v>0.33999999999999997</v>
      </c>
      <c r="M543" s="503">
        <f t="shared" si="253"/>
        <v>17.68</v>
      </c>
      <c r="N543" s="503">
        <f t="shared" si="254"/>
        <v>0</v>
      </c>
      <c r="O543" s="503">
        <f t="shared" si="255"/>
        <v>0</v>
      </c>
      <c r="P543" s="503">
        <f t="shared" si="256"/>
        <v>0</v>
      </c>
      <c r="Q543" s="503">
        <f t="shared" si="257"/>
        <v>0</v>
      </c>
      <c r="R543" s="503">
        <f t="shared" si="258"/>
        <v>0</v>
      </c>
    </row>
    <row r="544" spans="1:18">
      <c r="A544" s="505"/>
      <c r="B544" s="511" t="s">
        <v>814</v>
      </c>
      <c r="C544" s="507">
        <v>8</v>
      </c>
      <c r="D544" s="508">
        <v>200</v>
      </c>
      <c r="E544" s="507">
        <v>2</v>
      </c>
      <c r="F544" s="502">
        <v>1</v>
      </c>
      <c r="G544" s="502">
        <f t="shared" si="323"/>
        <v>13</v>
      </c>
      <c r="H544" s="503"/>
      <c r="I544" s="503">
        <f>2*(0.18+1.066)+24*C544/1000</f>
        <v>2.6840000000000002</v>
      </c>
      <c r="J544" s="509"/>
      <c r="K544" s="509"/>
      <c r="L544" s="503">
        <f t="shared" si="275"/>
        <v>2.6840000000000002</v>
      </c>
      <c r="M544" s="503">
        <f t="shared" si="253"/>
        <v>69.78</v>
      </c>
      <c r="N544" s="503">
        <f t="shared" si="254"/>
        <v>0</v>
      </c>
      <c r="O544" s="503">
        <f t="shared" si="255"/>
        <v>0</v>
      </c>
      <c r="P544" s="503">
        <f t="shared" si="256"/>
        <v>0</v>
      </c>
      <c r="Q544" s="503">
        <f t="shared" si="257"/>
        <v>0</v>
      </c>
      <c r="R544" s="503">
        <f t="shared" si="258"/>
        <v>0</v>
      </c>
    </row>
    <row r="545" spans="1:18">
      <c r="A545" s="505"/>
      <c r="B545" s="511" t="s">
        <v>799</v>
      </c>
      <c r="C545" s="507">
        <v>8</v>
      </c>
      <c r="D545" s="508">
        <v>400</v>
      </c>
      <c r="E545" s="507">
        <v>2</v>
      </c>
      <c r="F545" s="502">
        <v>2</v>
      </c>
      <c r="G545" s="502">
        <f t="shared" si="323"/>
        <v>7</v>
      </c>
      <c r="H545" s="503"/>
      <c r="I545" s="503">
        <f>0.18+(20*C545/1000)</f>
        <v>0.33999999999999997</v>
      </c>
      <c r="J545" s="509"/>
      <c r="K545" s="509"/>
      <c r="L545" s="503">
        <f t="shared" ref="L545:L550" si="324">SUM(H545:J545)+K545</f>
        <v>0.33999999999999997</v>
      </c>
      <c r="M545" s="503">
        <f t="shared" si="253"/>
        <v>9.52</v>
      </c>
      <c r="N545" s="503">
        <f t="shared" si="254"/>
        <v>0</v>
      </c>
      <c r="O545" s="503">
        <f t="shared" si="255"/>
        <v>0</v>
      </c>
      <c r="P545" s="503">
        <f t="shared" si="256"/>
        <v>0</v>
      </c>
      <c r="Q545" s="503">
        <f t="shared" si="257"/>
        <v>0</v>
      </c>
      <c r="R545" s="503">
        <f t="shared" si="258"/>
        <v>0</v>
      </c>
    </row>
    <row r="546" spans="1:18">
      <c r="A546" s="505"/>
      <c r="B546" s="506" t="s">
        <v>801</v>
      </c>
      <c r="C546" s="507">
        <v>16</v>
      </c>
      <c r="D546" s="508"/>
      <c r="E546" s="507">
        <v>2</v>
      </c>
      <c r="F546" s="502">
        <v>1</v>
      </c>
      <c r="G546" s="502">
        <v>4</v>
      </c>
      <c r="H546" s="503"/>
      <c r="I546" s="503">
        <f t="shared" ref="I546:I547" si="325">106.2-103.25</f>
        <v>2.9500000000000028</v>
      </c>
      <c r="J546" s="509"/>
      <c r="K546" s="509">
        <f t="shared" ref="K546:K547" si="326">1*36*C546/1000</f>
        <v>0.57599999999999996</v>
      </c>
      <c r="L546" s="503">
        <f t="shared" si="324"/>
        <v>3.5260000000000029</v>
      </c>
      <c r="M546" s="503">
        <f t="shared" si="253"/>
        <v>0</v>
      </c>
      <c r="N546" s="503">
        <f t="shared" si="254"/>
        <v>0</v>
      </c>
      <c r="O546" s="503">
        <f t="shared" si="255"/>
        <v>0</v>
      </c>
      <c r="P546" s="503">
        <f t="shared" si="256"/>
        <v>28.21</v>
      </c>
      <c r="Q546" s="503">
        <f t="shared" si="257"/>
        <v>0</v>
      </c>
      <c r="R546" s="503">
        <f t="shared" si="258"/>
        <v>0</v>
      </c>
    </row>
    <row r="547" spans="1:18">
      <c r="A547" s="505"/>
      <c r="B547" s="511"/>
      <c r="C547" s="507">
        <v>12</v>
      </c>
      <c r="D547" s="508"/>
      <c r="E547" s="507">
        <v>2</v>
      </c>
      <c r="F547" s="502">
        <v>1</v>
      </c>
      <c r="G547" s="502">
        <v>16</v>
      </c>
      <c r="H547" s="503"/>
      <c r="I547" s="503">
        <f t="shared" si="325"/>
        <v>2.9500000000000028</v>
      </c>
      <c r="J547" s="509"/>
      <c r="K547" s="509">
        <f t="shared" si="326"/>
        <v>0.432</v>
      </c>
      <c r="L547" s="503">
        <f t="shared" si="324"/>
        <v>3.3820000000000028</v>
      </c>
      <c r="M547" s="503">
        <f t="shared" si="253"/>
        <v>0</v>
      </c>
      <c r="N547" s="503">
        <f t="shared" si="254"/>
        <v>0</v>
      </c>
      <c r="O547" s="503">
        <f t="shared" si="255"/>
        <v>108.22</v>
      </c>
      <c r="P547" s="503">
        <f t="shared" si="256"/>
        <v>0</v>
      </c>
      <c r="Q547" s="503">
        <f t="shared" si="257"/>
        <v>0</v>
      </c>
      <c r="R547" s="503">
        <f t="shared" si="258"/>
        <v>0</v>
      </c>
    </row>
    <row r="548" spans="1:18">
      <c r="A548" s="505"/>
      <c r="B548" s="511" t="s">
        <v>797</v>
      </c>
      <c r="C548" s="507"/>
      <c r="D548" s="508"/>
      <c r="E548" s="507"/>
      <c r="F548" s="502"/>
      <c r="G548" s="502"/>
      <c r="H548" s="503"/>
      <c r="I548" s="503"/>
      <c r="J548" s="509"/>
      <c r="K548" s="509"/>
      <c r="L548" s="503">
        <f t="shared" si="324"/>
        <v>0</v>
      </c>
      <c r="M548" s="503">
        <f t="shared" si="253"/>
        <v>0</v>
      </c>
      <c r="N548" s="503">
        <f t="shared" si="254"/>
        <v>0</v>
      </c>
      <c r="O548" s="503">
        <f t="shared" si="255"/>
        <v>0</v>
      </c>
      <c r="P548" s="503">
        <f t="shared" si="256"/>
        <v>0</v>
      </c>
      <c r="Q548" s="503">
        <f t="shared" si="257"/>
        <v>0</v>
      </c>
      <c r="R548" s="503">
        <f t="shared" si="258"/>
        <v>0</v>
      </c>
    </row>
    <row r="549" spans="1:18">
      <c r="A549" s="505"/>
      <c r="B549" s="511" t="s">
        <v>832</v>
      </c>
      <c r="C549" s="507">
        <v>8</v>
      </c>
      <c r="D549" s="508">
        <v>100</v>
      </c>
      <c r="E549" s="507">
        <v>2</v>
      </c>
      <c r="F549" s="502">
        <v>1</v>
      </c>
      <c r="G549" s="502">
        <f t="shared" ref="G549:G550" si="327">+ROUND(2450/D549+1,0)</f>
        <v>26</v>
      </c>
      <c r="H549" s="503"/>
      <c r="I549" s="503">
        <f>2*(0.18+0.95)+24*C549/1000</f>
        <v>2.452</v>
      </c>
      <c r="J549" s="509"/>
      <c r="K549" s="509"/>
      <c r="L549" s="503">
        <f t="shared" si="324"/>
        <v>2.452</v>
      </c>
      <c r="M549" s="503">
        <f t="shared" si="253"/>
        <v>127.5</v>
      </c>
      <c r="N549" s="503">
        <f t="shared" si="254"/>
        <v>0</v>
      </c>
      <c r="O549" s="503">
        <f t="shared" si="255"/>
        <v>0</v>
      </c>
      <c r="P549" s="503">
        <f t="shared" si="256"/>
        <v>0</v>
      </c>
      <c r="Q549" s="503">
        <f t="shared" si="257"/>
        <v>0</v>
      </c>
      <c r="R549" s="503">
        <f t="shared" si="258"/>
        <v>0</v>
      </c>
    </row>
    <row r="550" spans="1:18">
      <c r="A550" s="505"/>
      <c r="B550" s="511" t="s">
        <v>833</v>
      </c>
      <c r="C550" s="507">
        <v>8</v>
      </c>
      <c r="D550" s="508">
        <v>100</v>
      </c>
      <c r="E550" s="507">
        <v>2</v>
      </c>
      <c r="F550" s="502">
        <v>4</v>
      </c>
      <c r="G550" s="502">
        <f t="shared" si="327"/>
        <v>26</v>
      </c>
      <c r="H550" s="503"/>
      <c r="I550" s="503">
        <f>2*(0.18+0.12)+24*C550/1000</f>
        <v>0.79200000000000004</v>
      </c>
      <c r="J550" s="509"/>
      <c r="K550" s="509"/>
      <c r="L550" s="503">
        <f t="shared" si="324"/>
        <v>0.79200000000000004</v>
      </c>
      <c r="M550" s="503">
        <f t="shared" si="253"/>
        <v>164.74</v>
      </c>
      <c r="N550" s="503">
        <f t="shared" si="254"/>
        <v>0</v>
      </c>
      <c r="O550" s="503">
        <f t="shared" si="255"/>
        <v>0</v>
      </c>
      <c r="P550" s="503">
        <f t="shared" si="256"/>
        <v>0</v>
      </c>
      <c r="Q550" s="503">
        <f t="shared" si="257"/>
        <v>0</v>
      </c>
      <c r="R550" s="503">
        <f t="shared" si="258"/>
        <v>0</v>
      </c>
    </row>
    <row r="551" spans="1:18">
      <c r="A551" s="505"/>
      <c r="B551" s="506" t="s">
        <v>802</v>
      </c>
      <c r="C551" s="507">
        <v>16</v>
      </c>
      <c r="D551" s="508"/>
      <c r="E551" s="507">
        <v>2</v>
      </c>
      <c r="F551" s="502">
        <v>1</v>
      </c>
      <c r="G551" s="502">
        <v>4</v>
      </c>
      <c r="H551" s="503"/>
      <c r="I551" s="503">
        <f t="shared" ref="I551:I552" si="328">106.2-103.25</f>
        <v>2.9500000000000028</v>
      </c>
      <c r="J551" s="509"/>
      <c r="K551" s="509">
        <f t="shared" ref="K551:K552" si="329">1*36*C551/1000</f>
        <v>0.57599999999999996</v>
      </c>
      <c r="L551" s="503">
        <f t="shared" ref="L551" si="330">SUM(H551:J551)+K551</f>
        <v>3.5260000000000029</v>
      </c>
      <c r="M551" s="503">
        <f t="shared" si="253"/>
        <v>0</v>
      </c>
      <c r="N551" s="503">
        <f t="shared" si="254"/>
        <v>0</v>
      </c>
      <c r="O551" s="503">
        <f t="shared" si="255"/>
        <v>0</v>
      </c>
      <c r="P551" s="503">
        <f t="shared" si="256"/>
        <v>28.21</v>
      </c>
      <c r="Q551" s="503">
        <f t="shared" si="257"/>
        <v>0</v>
      </c>
      <c r="R551" s="503">
        <f t="shared" si="258"/>
        <v>0</v>
      </c>
    </row>
    <row r="552" spans="1:18">
      <c r="A552" s="505"/>
      <c r="B552" s="511"/>
      <c r="C552" s="507">
        <v>12</v>
      </c>
      <c r="D552" s="508"/>
      <c r="E552" s="507">
        <v>2</v>
      </c>
      <c r="F552" s="502">
        <v>1</v>
      </c>
      <c r="G552" s="502">
        <v>18</v>
      </c>
      <c r="H552" s="503"/>
      <c r="I552" s="503">
        <f t="shared" si="328"/>
        <v>2.9500000000000028</v>
      </c>
      <c r="J552" s="509"/>
      <c r="K552" s="509">
        <f t="shared" si="329"/>
        <v>0.432</v>
      </c>
      <c r="L552" s="503">
        <f>SUM(H552:J552)+K552</f>
        <v>3.3820000000000028</v>
      </c>
      <c r="M552" s="503">
        <f>+ROUND(IF(C552=8,PRODUCT(E552,F552,G552,L552),0),2)</f>
        <v>0</v>
      </c>
      <c r="N552" s="503">
        <f t="shared" si="254"/>
        <v>0</v>
      </c>
      <c r="O552" s="503">
        <f t="shared" si="255"/>
        <v>121.75</v>
      </c>
      <c r="P552" s="503">
        <f t="shared" si="256"/>
        <v>0</v>
      </c>
      <c r="Q552" s="503">
        <f t="shared" si="257"/>
        <v>0</v>
      </c>
      <c r="R552" s="503">
        <f t="shared" si="258"/>
        <v>0</v>
      </c>
    </row>
    <row r="553" spans="1:18">
      <c r="A553" s="505"/>
      <c r="B553" s="511" t="s">
        <v>797</v>
      </c>
      <c r="C553" s="507"/>
      <c r="D553" s="508"/>
      <c r="E553" s="507"/>
      <c r="F553" s="502"/>
      <c r="G553" s="502"/>
      <c r="H553" s="503"/>
      <c r="I553" s="503"/>
      <c r="J553" s="509"/>
      <c r="K553" s="509"/>
      <c r="L553" s="503">
        <f t="shared" ref="L553:L555" si="331">SUM(H553:J553)+K553</f>
        <v>0</v>
      </c>
      <c r="M553" s="503">
        <f t="shared" ref="M553:M557" si="332">+ROUND(IF(C553=8,PRODUCT(E553,F553,G553,L553),0),2)</f>
        <v>0</v>
      </c>
      <c r="N553" s="503">
        <f t="shared" si="254"/>
        <v>0</v>
      </c>
      <c r="O553" s="503">
        <f t="shared" si="255"/>
        <v>0</v>
      </c>
      <c r="P553" s="503">
        <f t="shared" si="256"/>
        <v>0</v>
      </c>
      <c r="Q553" s="503">
        <f t="shared" si="257"/>
        <v>0</v>
      </c>
      <c r="R553" s="503">
        <f t="shared" si="258"/>
        <v>0</v>
      </c>
    </row>
    <row r="554" spans="1:18">
      <c r="A554" s="505"/>
      <c r="B554" s="511" t="s">
        <v>834</v>
      </c>
      <c r="C554" s="507">
        <v>8</v>
      </c>
      <c r="D554" s="508">
        <v>100</v>
      </c>
      <c r="E554" s="507">
        <v>2</v>
      </c>
      <c r="F554" s="502">
        <v>1</v>
      </c>
      <c r="G554" s="502">
        <f t="shared" ref="G554:G556" si="333">+ROUND(2450/D554+1,0)</f>
        <v>26</v>
      </c>
      <c r="H554" s="503"/>
      <c r="I554" s="503">
        <f>2*(0.18+1.1)+24*C554/1000</f>
        <v>2.7520000000000002</v>
      </c>
      <c r="J554" s="509"/>
      <c r="K554" s="509"/>
      <c r="L554" s="503">
        <f t="shared" si="331"/>
        <v>2.7520000000000002</v>
      </c>
      <c r="M554" s="503">
        <f t="shared" si="332"/>
        <v>143.1</v>
      </c>
      <c r="N554" s="503">
        <f t="shared" si="254"/>
        <v>0</v>
      </c>
      <c r="O554" s="503">
        <f t="shared" si="255"/>
        <v>0</v>
      </c>
      <c r="P554" s="503">
        <f t="shared" si="256"/>
        <v>0</v>
      </c>
      <c r="Q554" s="503">
        <f t="shared" si="257"/>
        <v>0</v>
      </c>
      <c r="R554" s="503">
        <f t="shared" si="258"/>
        <v>0</v>
      </c>
    </row>
    <row r="555" spans="1:18">
      <c r="A555" s="505"/>
      <c r="B555" s="511" t="s">
        <v>835</v>
      </c>
      <c r="C555" s="507">
        <v>8</v>
      </c>
      <c r="D555" s="508">
        <v>100</v>
      </c>
      <c r="E555" s="507">
        <v>2</v>
      </c>
      <c r="F555" s="502">
        <v>4</v>
      </c>
      <c r="G555" s="502">
        <f t="shared" si="333"/>
        <v>26</v>
      </c>
      <c r="H555" s="503"/>
      <c r="I555" s="503">
        <f>2*(0.18+0.125)+24*C555/1000</f>
        <v>0.80200000000000005</v>
      </c>
      <c r="J555" s="509"/>
      <c r="K555" s="509"/>
      <c r="L555" s="503">
        <f t="shared" si="331"/>
        <v>0.80200000000000005</v>
      </c>
      <c r="M555" s="503">
        <f t="shared" si="332"/>
        <v>166.82</v>
      </c>
      <c r="N555" s="503">
        <f t="shared" si="254"/>
        <v>0</v>
      </c>
      <c r="O555" s="503">
        <f t="shared" si="255"/>
        <v>0</v>
      </c>
      <c r="P555" s="503">
        <f t="shared" si="256"/>
        <v>0</v>
      </c>
      <c r="Q555" s="503">
        <f t="shared" si="257"/>
        <v>0</v>
      </c>
      <c r="R555" s="503">
        <f t="shared" si="258"/>
        <v>0</v>
      </c>
    </row>
    <row r="556" spans="1:18">
      <c r="A556" s="505"/>
      <c r="B556" s="511" t="s">
        <v>803</v>
      </c>
      <c r="C556" s="507">
        <v>8</v>
      </c>
      <c r="D556" s="508">
        <v>100</v>
      </c>
      <c r="E556" s="507">
        <v>2</v>
      </c>
      <c r="F556" s="502">
        <v>1</v>
      </c>
      <c r="G556" s="502">
        <f t="shared" si="333"/>
        <v>26</v>
      </c>
      <c r="H556" s="503"/>
      <c r="I556" s="503">
        <f>0.18+(20*C556/1000)</f>
        <v>0.33999999999999997</v>
      </c>
      <c r="J556" s="509"/>
      <c r="K556" s="509"/>
      <c r="L556" s="503">
        <f t="shared" ref="L556:L557" si="334">SUM(H556:J556)+K556</f>
        <v>0.33999999999999997</v>
      </c>
      <c r="M556" s="503">
        <f t="shared" si="332"/>
        <v>17.68</v>
      </c>
      <c r="N556" s="503">
        <f t="shared" si="254"/>
        <v>0</v>
      </c>
      <c r="O556" s="503">
        <f t="shared" si="255"/>
        <v>0</v>
      </c>
      <c r="P556" s="503">
        <f t="shared" si="256"/>
        <v>0</v>
      </c>
      <c r="Q556" s="503">
        <f t="shared" si="257"/>
        <v>0</v>
      </c>
      <c r="R556" s="503">
        <f t="shared" si="258"/>
        <v>0</v>
      </c>
    </row>
    <row r="557" spans="1:18">
      <c r="A557" s="505"/>
      <c r="B557" s="506" t="s">
        <v>851</v>
      </c>
      <c r="C557" s="507">
        <v>16</v>
      </c>
      <c r="D557" s="508"/>
      <c r="E557" s="507">
        <v>4</v>
      </c>
      <c r="F557" s="502">
        <v>1</v>
      </c>
      <c r="G557" s="502">
        <v>8</v>
      </c>
      <c r="H557" s="503"/>
      <c r="I557" s="503">
        <f t="shared" ref="I557:I559" si="335">106.2-103.25</f>
        <v>2.9500000000000028</v>
      </c>
      <c r="J557" s="509"/>
      <c r="K557" s="509">
        <f t="shared" ref="K557:K559" si="336">1*36*C557/1000</f>
        <v>0.57599999999999996</v>
      </c>
      <c r="L557" s="503">
        <f t="shared" si="334"/>
        <v>3.5260000000000029</v>
      </c>
      <c r="M557" s="503">
        <f t="shared" si="332"/>
        <v>0</v>
      </c>
      <c r="N557" s="503">
        <f t="shared" si="254"/>
        <v>0</v>
      </c>
      <c r="O557" s="503">
        <f t="shared" si="255"/>
        <v>0</v>
      </c>
      <c r="P557" s="503">
        <f t="shared" si="256"/>
        <v>112.83</v>
      </c>
      <c r="Q557" s="503">
        <f t="shared" si="257"/>
        <v>0</v>
      </c>
      <c r="R557" s="503">
        <f t="shared" si="258"/>
        <v>0</v>
      </c>
    </row>
    <row r="558" spans="1:18">
      <c r="A558" s="505"/>
      <c r="B558" s="511"/>
      <c r="C558" s="507">
        <v>12</v>
      </c>
      <c r="D558" s="508"/>
      <c r="E558" s="507">
        <f>+E557</f>
        <v>4</v>
      </c>
      <c r="F558" s="502">
        <v>1</v>
      </c>
      <c r="G558" s="502">
        <v>8</v>
      </c>
      <c r="H558" s="503"/>
      <c r="I558" s="503">
        <f t="shared" si="335"/>
        <v>2.9500000000000028</v>
      </c>
      <c r="J558" s="509"/>
      <c r="K558" s="509">
        <f t="shared" si="336"/>
        <v>0.432</v>
      </c>
      <c r="L558" s="503">
        <f>SUM(H558:J558)+K558</f>
        <v>3.3820000000000028</v>
      </c>
      <c r="M558" s="503">
        <f>+ROUND(IF(C558=8,PRODUCT(E558,F558,G558,L558),0),2)</f>
        <v>0</v>
      </c>
      <c r="N558" s="503">
        <f t="shared" si="254"/>
        <v>0</v>
      </c>
      <c r="O558" s="503">
        <f t="shared" si="255"/>
        <v>108.22</v>
      </c>
      <c r="P558" s="503">
        <f t="shared" si="256"/>
        <v>0</v>
      </c>
      <c r="Q558" s="503">
        <f t="shared" si="257"/>
        <v>0</v>
      </c>
      <c r="R558" s="503">
        <f t="shared" si="258"/>
        <v>0</v>
      </c>
    </row>
    <row r="559" spans="1:18">
      <c r="A559" s="505"/>
      <c r="B559" s="511"/>
      <c r="C559" s="507">
        <v>10</v>
      </c>
      <c r="D559" s="508"/>
      <c r="E559" s="507">
        <f>+E558</f>
        <v>4</v>
      </c>
      <c r="F559" s="502">
        <v>1</v>
      </c>
      <c r="G559" s="502">
        <v>8</v>
      </c>
      <c r="H559" s="503"/>
      <c r="I559" s="503">
        <f t="shared" si="335"/>
        <v>2.9500000000000028</v>
      </c>
      <c r="J559" s="509"/>
      <c r="K559" s="509">
        <f t="shared" si="336"/>
        <v>0.36</v>
      </c>
      <c r="L559" s="503">
        <f>SUM(H559:J559)+K559</f>
        <v>3.3100000000000027</v>
      </c>
      <c r="M559" s="503">
        <f>+ROUND(IF(C559=8,PRODUCT(E559,F559,G559,L559),0),2)</f>
        <v>0</v>
      </c>
      <c r="N559" s="503">
        <f t="shared" si="254"/>
        <v>105.92</v>
      </c>
      <c r="O559" s="503">
        <f t="shared" si="255"/>
        <v>0</v>
      </c>
      <c r="P559" s="503">
        <f t="shared" si="256"/>
        <v>0</v>
      </c>
      <c r="Q559" s="503">
        <f t="shared" si="257"/>
        <v>0</v>
      </c>
      <c r="R559" s="503">
        <f t="shared" si="258"/>
        <v>0</v>
      </c>
    </row>
    <row r="560" spans="1:18">
      <c r="A560" s="505"/>
      <c r="B560" s="511" t="s">
        <v>797</v>
      </c>
      <c r="C560" s="507"/>
      <c r="D560" s="508"/>
      <c r="E560" s="507"/>
      <c r="F560" s="502"/>
      <c r="G560" s="502"/>
      <c r="H560" s="503"/>
      <c r="I560" s="503"/>
      <c r="J560" s="509"/>
      <c r="K560" s="509"/>
      <c r="L560" s="503">
        <f t="shared" ref="L560:L562" si="337">SUM(H560:J560)+K560</f>
        <v>0</v>
      </c>
      <c r="M560" s="503">
        <f t="shared" ref="M560:M565" si="338">+ROUND(IF(C560=8,PRODUCT(E560,F560,G560,L560),0),2)</f>
        <v>0</v>
      </c>
      <c r="N560" s="503">
        <f t="shared" si="254"/>
        <v>0</v>
      </c>
      <c r="O560" s="503">
        <f t="shared" si="255"/>
        <v>0</v>
      </c>
      <c r="P560" s="503">
        <f t="shared" si="256"/>
        <v>0</v>
      </c>
      <c r="Q560" s="503">
        <f t="shared" si="257"/>
        <v>0</v>
      </c>
      <c r="R560" s="503">
        <f t="shared" si="258"/>
        <v>0</v>
      </c>
    </row>
    <row r="561" spans="1:18">
      <c r="A561" s="505"/>
      <c r="B561" s="511" t="s">
        <v>852</v>
      </c>
      <c r="C561" s="507">
        <v>8</v>
      </c>
      <c r="D561" s="508">
        <v>100</v>
      </c>
      <c r="E561" s="507">
        <v>4</v>
      </c>
      <c r="F561" s="502">
        <v>2</v>
      </c>
      <c r="G561" s="502">
        <f t="shared" ref="G561:G564" si="339">+ROUND(2450/D561+1,0)</f>
        <v>26</v>
      </c>
      <c r="H561" s="503"/>
      <c r="I561" s="503">
        <f>2*(0.18+0.383)+24*C561/1000</f>
        <v>1.3179999999999998</v>
      </c>
      <c r="J561" s="509"/>
      <c r="K561" s="509"/>
      <c r="L561" s="503">
        <f t="shared" si="337"/>
        <v>1.3179999999999998</v>
      </c>
      <c r="M561" s="503">
        <f t="shared" si="338"/>
        <v>274.14</v>
      </c>
      <c r="N561" s="503">
        <f t="shared" si="254"/>
        <v>0</v>
      </c>
      <c r="O561" s="503">
        <f t="shared" si="255"/>
        <v>0</v>
      </c>
      <c r="P561" s="503">
        <f t="shared" si="256"/>
        <v>0</v>
      </c>
      <c r="Q561" s="503">
        <f t="shared" si="257"/>
        <v>0</v>
      </c>
      <c r="R561" s="503">
        <f t="shared" si="258"/>
        <v>0</v>
      </c>
    </row>
    <row r="562" spans="1:18">
      <c r="A562" s="505"/>
      <c r="B562" s="511" t="s">
        <v>833</v>
      </c>
      <c r="C562" s="507">
        <v>8</v>
      </c>
      <c r="D562" s="508">
        <v>100</v>
      </c>
      <c r="E562" s="507">
        <v>4</v>
      </c>
      <c r="F562" s="502">
        <v>2</v>
      </c>
      <c r="G562" s="502">
        <f t="shared" si="339"/>
        <v>26</v>
      </c>
      <c r="H562" s="503"/>
      <c r="I562" s="503">
        <f>2*(0.18+0.12)+24*C562/1000</f>
        <v>0.79200000000000004</v>
      </c>
      <c r="J562" s="509"/>
      <c r="K562" s="509"/>
      <c r="L562" s="503">
        <f t="shared" si="337"/>
        <v>0.79200000000000004</v>
      </c>
      <c r="M562" s="503">
        <f t="shared" si="338"/>
        <v>164.74</v>
      </c>
      <c r="N562" s="503">
        <f t="shared" si="254"/>
        <v>0</v>
      </c>
      <c r="O562" s="503">
        <f t="shared" si="255"/>
        <v>0</v>
      </c>
      <c r="P562" s="503">
        <f t="shared" si="256"/>
        <v>0</v>
      </c>
      <c r="Q562" s="503">
        <f t="shared" si="257"/>
        <v>0</v>
      </c>
      <c r="R562" s="503">
        <f t="shared" si="258"/>
        <v>0</v>
      </c>
    </row>
    <row r="563" spans="1:18">
      <c r="A563" s="505"/>
      <c r="B563" s="511" t="s">
        <v>853</v>
      </c>
      <c r="C563" s="507">
        <v>8</v>
      </c>
      <c r="D563" s="508">
        <v>200</v>
      </c>
      <c r="E563" s="507">
        <v>4</v>
      </c>
      <c r="F563" s="502">
        <v>1</v>
      </c>
      <c r="G563" s="502">
        <f t="shared" si="339"/>
        <v>13</v>
      </c>
      <c r="H563" s="503"/>
      <c r="I563" s="503">
        <f>2*(0.18+0.916)+24*C563/1000</f>
        <v>2.3840000000000003</v>
      </c>
      <c r="J563" s="509"/>
      <c r="K563" s="509"/>
      <c r="L563" s="503">
        <f t="shared" ref="L563" si="340">SUM(H563:J563)+K563</f>
        <v>2.3840000000000003</v>
      </c>
      <c r="M563" s="503">
        <f t="shared" si="338"/>
        <v>123.97</v>
      </c>
      <c r="N563" s="503">
        <f t="shared" si="254"/>
        <v>0</v>
      </c>
      <c r="O563" s="503">
        <f t="shared" si="255"/>
        <v>0</v>
      </c>
      <c r="P563" s="503">
        <f t="shared" si="256"/>
        <v>0</v>
      </c>
      <c r="Q563" s="503">
        <f t="shared" si="257"/>
        <v>0</v>
      </c>
      <c r="R563" s="503">
        <f t="shared" si="258"/>
        <v>0</v>
      </c>
    </row>
    <row r="564" spans="1:18">
      <c r="A564" s="505"/>
      <c r="B564" s="511" t="s">
        <v>799</v>
      </c>
      <c r="C564" s="507">
        <v>8</v>
      </c>
      <c r="D564" s="508">
        <v>400</v>
      </c>
      <c r="E564" s="507">
        <v>4</v>
      </c>
      <c r="F564" s="502">
        <v>2</v>
      </c>
      <c r="G564" s="502">
        <f t="shared" si="339"/>
        <v>7</v>
      </c>
      <c r="H564" s="503"/>
      <c r="I564" s="503">
        <f>0.18+(20*C564/1000)</f>
        <v>0.33999999999999997</v>
      </c>
      <c r="J564" s="509"/>
      <c r="K564" s="509"/>
      <c r="L564" s="503">
        <f t="shared" ref="L564" si="341">SUM(H564:J564)+K564</f>
        <v>0.33999999999999997</v>
      </c>
      <c r="M564" s="503">
        <f t="shared" si="338"/>
        <v>19.04</v>
      </c>
      <c r="N564" s="503">
        <f t="shared" si="254"/>
        <v>0</v>
      </c>
      <c r="O564" s="503">
        <f t="shared" si="255"/>
        <v>0</v>
      </c>
      <c r="P564" s="503">
        <f t="shared" si="256"/>
        <v>0</v>
      </c>
      <c r="Q564" s="503">
        <f t="shared" si="257"/>
        <v>0</v>
      </c>
      <c r="R564" s="503">
        <f t="shared" si="258"/>
        <v>0</v>
      </c>
    </row>
    <row r="565" spans="1:18">
      <c r="A565" s="505"/>
      <c r="B565" s="506" t="s">
        <v>804</v>
      </c>
      <c r="C565" s="507">
        <v>16</v>
      </c>
      <c r="D565" s="508"/>
      <c r="E565" s="507">
        <v>4</v>
      </c>
      <c r="F565" s="502">
        <v>1</v>
      </c>
      <c r="G565" s="502">
        <v>4</v>
      </c>
      <c r="H565" s="503"/>
      <c r="I565" s="503">
        <f t="shared" ref="I565:I566" si="342">106.2-103.25</f>
        <v>2.9500000000000028</v>
      </c>
      <c r="J565" s="509"/>
      <c r="K565" s="509">
        <f t="shared" ref="K565:K566" si="343">1*36*C565/1000</f>
        <v>0.57599999999999996</v>
      </c>
      <c r="L565" s="503">
        <f t="shared" ref="L565" si="344">SUM(H565:J565)+K565</f>
        <v>3.5260000000000029</v>
      </c>
      <c r="M565" s="503">
        <f t="shared" si="338"/>
        <v>0</v>
      </c>
      <c r="N565" s="503">
        <f t="shared" si="254"/>
        <v>0</v>
      </c>
      <c r="O565" s="503">
        <f t="shared" si="255"/>
        <v>0</v>
      </c>
      <c r="P565" s="503">
        <f t="shared" si="256"/>
        <v>56.42</v>
      </c>
      <c r="Q565" s="503">
        <f t="shared" si="257"/>
        <v>0</v>
      </c>
      <c r="R565" s="503">
        <f t="shared" si="258"/>
        <v>0</v>
      </c>
    </row>
    <row r="566" spans="1:18">
      <c r="A566" s="505"/>
      <c r="B566" s="511"/>
      <c r="C566" s="507">
        <v>12</v>
      </c>
      <c r="D566" s="508"/>
      <c r="E566" s="507">
        <f>+E565</f>
        <v>4</v>
      </c>
      <c r="F566" s="502">
        <v>1</v>
      </c>
      <c r="G566" s="502">
        <v>20</v>
      </c>
      <c r="H566" s="503"/>
      <c r="I566" s="503">
        <f t="shared" si="342"/>
        <v>2.9500000000000028</v>
      </c>
      <c r="J566" s="509"/>
      <c r="K566" s="509">
        <f t="shared" si="343"/>
        <v>0.432</v>
      </c>
      <c r="L566" s="503">
        <f>SUM(H566:J566)+K566</f>
        <v>3.3820000000000028</v>
      </c>
      <c r="M566" s="503">
        <f>+ROUND(IF(C566=8,PRODUCT(E566,F566,G566,L566),0),2)</f>
        <v>0</v>
      </c>
      <c r="N566" s="503">
        <f t="shared" si="254"/>
        <v>0</v>
      </c>
      <c r="O566" s="503">
        <f t="shared" si="255"/>
        <v>270.56</v>
      </c>
      <c r="P566" s="503">
        <f t="shared" si="256"/>
        <v>0</v>
      </c>
      <c r="Q566" s="503">
        <f t="shared" si="257"/>
        <v>0</v>
      </c>
      <c r="R566" s="503">
        <f t="shared" si="258"/>
        <v>0</v>
      </c>
    </row>
    <row r="567" spans="1:18">
      <c r="A567" s="505"/>
      <c r="B567" s="511" t="s">
        <v>797</v>
      </c>
      <c r="C567" s="507"/>
      <c r="D567" s="508"/>
      <c r="E567" s="507"/>
      <c r="F567" s="502"/>
      <c r="G567" s="502"/>
      <c r="H567" s="503"/>
      <c r="I567" s="503"/>
      <c r="J567" s="509"/>
      <c r="K567" s="509"/>
      <c r="L567" s="503">
        <f t="shared" ref="L567:L571" si="345">SUM(H567:J567)+K567</f>
        <v>0</v>
      </c>
      <c r="M567" s="503">
        <f t="shared" ref="M567:M635" si="346">+ROUND(IF(C567=8,PRODUCT(E567,F567,G567,L567),0),2)</f>
        <v>0</v>
      </c>
      <c r="N567" s="503">
        <f t="shared" si="254"/>
        <v>0</v>
      </c>
      <c r="O567" s="503">
        <f t="shared" si="255"/>
        <v>0</v>
      </c>
      <c r="P567" s="503">
        <f t="shared" si="256"/>
        <v>0</v>
      </c>
      <c r="Q567" s="503">
        <f t="shared" si="257"/>
        <v>0</v>
      </c>
      <c r="R567" s="503">
        <f t="shared" si="258"/>
        <v>0</v>
      </c>
    </row>
    <row r="568" spans="1:18">
      <c r="A568" s="505"/>
      <c r="B568" s="511" t="s">
        <v>839</v>
      </c>
      <c r="C568" s="507">
        <v>8</v>
      </c>
      <c r="D568" s="508">
        <v>100</v>
      </c>
      <c r="E568" s="507">
        <v>4</v>
      </c>
      <c r="F568" s="502">
        <v>1</v>
      </c>
      <c r="G568" s="502">
        <f t="shared" ref="G568:G569" si="347">+ROUND(2450/D568+1,0)</f>
        <v>26</v>
      </c>
      <c r="H568" s="503"/>
      <c r="I568" s="503">
        <f>2*(0.18+1.135)+24*C568/1000</f>
        <v>2.8220000000000001</v>
      </c>
      <c r="J568" s="509"/>
      <c r="K568" s="509"/>
      <c r="L568" s="503">
        <f t="shared" si="345"/>
        <v>2.8220000000000001</v>
      </c>
      <c r="M568" s="503">
        <f t="shared" si="346"/>
        <v>293.49</v>
      </c>
      <c r="N568" s="503">
        <f t="shared" si="254"/>
        <v>0</v>
      </c>
      <c r="O568" s="503">
        <f t="shared" si="255"/>
        <v>0</v>
      </c>
      <c r="P568" s="503">
        <f t="shared" si="256"/>
        <v>0</v>
      </c>
      <c r="Q568" s="503">
        <f t="shared" si="257"/>
        <v>0</v>
      </c>
      <c r="R568" s="503">
        <f t="shared" si="258"/>
        <v>0</v>
      </c>
    </row>
    <row r="569" spans="1:18">
      <c r="A569" s="505"/>
      <c r="B569" s="511" t="s">
        <v>840</v>
      </c>
      <c r="C569" s="507">
        <v>8</v>
      </c>
      <c r="D569" s="508">
        <v>100</v>
      </c>
      <c r="E569" s="507">
        <v>4</v>
      </c>
      <c r="F569" s="502">
        <v>5</v>
      </c>
      <c r="G569" s="502">
        <f t="shared" si="347"/>
        <v>26</v>
      </c>
      <c r="H569" s="503"/>
      <c r="I569" s="503">
        <f>2*(0.18+0.118)+24*C569/1000</f>
        <v>0.78800000000000003</v>
      </c>
      <c r="J569" s="509"/>
      <c r="K569" s="509"/>
      <c r="L569" s="503">
        <f t="shared" si="345"/>
        <v>0.78800000000000003</v>
      </c>
      <c r="M569" s="503">
        <f t="shared" si="346"/>
        <v>409.76</v>
      </c>
      <c r="N569" s="503">
        <f t="shared" si="254"/>
        <v>0</v>
      </c>
      <c r="O569" s="503">
        <f t="shared" si="255"/>
        <v>0</v>
      </c>
      <c r="P569" s="503">
        <f t="shared" si="256"/>
        <v>0</v>
      </c>
      <c r="Q569" s="503">
        <f t="shared" si="257"/>
        <v>0</v>
      </c>
      <c r="R569" s="503">
        <f t="shared" si="258"/>
        <v>0</v>
      </c>
    </row>
    <row r="570" spans="1:18">
      <c r="A570" s="505"/>
      <c r="B570" s="506" t="s">
        <v>854</v>
      </c>
      <c r="C570" s="507">
        <v>16</v>
      </c>
      <c r="D570" s="508"/>
      <c r="E570" s="507">
        <v>2</v>
      </c>
      <c r="F570" s="502">
        <v>1</v>
      </c>
      <c r="G570" s="502">
        <v>8</v>
      </c>
      <c r="H570" s="503"/>
      <c r="I570" s="503">
        <f t="shared" ref="I570:I572" si="348">106.2-103.25</f>
        <v>2.9500000000000028</v>
      </c>
      <c r="J570" s="509"/>
      <c r="K570" s="509">
        <f t="shared" ref="K570:K572" si="349">1*36*C570/1000</f>
        <v>0.57599999999999996</v>
      </c>
      <c r="L570" s="503">
        <f t="shared" si="345"/>
        <v>3.5260000000000029</v>
      </c>
      <c r="M570" s="503">
        <f t="shared" si="346"/>
        <v>0</v>
      </c>
      <c r="N570" s="503">
        <f t="shared" si="254"/>
        <v>0</v>
      </c>
      <c r="O570" s="503">
        <f t="shared" si="255"/>
        <v>0</v>
      </c>
      <c r="P570" s="503">
        <f t="shared" si="256"/>
        <v>56.42</v>
      </c>
      <c r="Q570" s="503">
        <f t="shared" si="257"/>
        <v>0</v>
      </c>
      <c r="R570" s="503">
        <f t="shared" si="258"/>
        <v>0</v>
      </c>
    </row>
    <row r="571" spans="1:18">
      <c r="A571" s="505"/>
      <c r="B571" s="506"/>
      <c r="C571" s="507">
        <v>12</v>
      </c>
      <c r="D571" s="508"/>
      <c r="E571" s="507">
        <v>2</v>
      </c>
      <c r="F571" s="502">
        <v>1</v>
      </c>
      <c r="G571" s="502">
        <v>8</v>
      </c>
      <c r="H571" s="503"/>
      <c r="I571" s="503">
        <f t="shared" si="348"/>
        <v>2.9500000000000028</v>
      </c>
      <c r="J571" s="509"/>
      <c r="K571" s="509">
        <f t="shared" si="349"/>
        <v>0.432</v>
      </c>
      <c r="L571" s="503">
        <f t="shared" si="345"/>
        <v>3.3820000000000028</v>
      </c>
      <c r="M571" s="503">
        <f t="shared" si="346"/>
        <v>0</v>
      </c>
      <c r="N571" s="503">
        <f t="shared" si="254"/>
        <v>0</v>
      </c>
      <c r="O571" s="503">
        <f t="shared" si="255"/>
        <v>54.11</v>
      </c>
      <c r="P571" s="503">
        <f t="shared" si="256"/>
        <v>0</v>
      </c>
      <c r="Q571" s="503">
        <f t="shared" si="257"/>
        <v>0</v>
      </c>
      <c r="R571" s="503">
        <f t="shared" si="258"/>
        <v>0</v>
      </c>
    </row>
    <row r="572" spans="1:18">
      <c r="A572" s="505"/>
      <c r="B572" s="506"/>
      <c r="C572" s="507">
        <v>10</v>
      </c>
      <c r="D572" s="508"/>
      <c r="E572" s="507">
        <v>2</v>
      </c>
      <c r="F572" s="502">
        <v>1</v>
      </c>
      <c r="G572" s="502">
        <v>10</v>
      </c>
      <c r="H572" s="503"/>
      <c r="I572" s="503">
        <f t="shared" si="348"/>
        <v>2.9500000000000028</v>
      </c>
      <c r="J572" s="509"/>
      <c r="K572" s="509">
        <f t="shared" si="349"/>
        <v>0.36</v>
      </c>
      <c r="L572" s="503">
        <f t="shared" ref="L572:L575" si="350">SUM(H572:J572)+K572</f>
        <v>3.3100000000000027</v>
      </c>
      <c r="M572" s="503">
        <f t="shared" si="346"/>
        <v>0</v>
      </c>
      <c r="N572" s="503">
        <f t="shared" si="254"/>
        <v>66.2</v>
      </c>
      <c r="O572" s="503">
        <f t="shared" si="255"/>
        <v>0</v>
      </c>
      <c r="P572" s="503">
        <f t="shared" si="256"/>
        <v>0</v>
      </c>
      <c r="Q572" s="503">
        <f t="shared" si="257"/>
        <v>0</v>
      </c>
      <c r="R572" s="503">
        <f t="shared" si="258"/>
        <v>0</v>
      </c>
    </row>
    <row r="573" spans="1:18">
      <c r="A573" s="505"/>
      <c r="B573" s="511" t="s">
        <v>797</v>
      </c>
      <c r="C573" s="507"/>
      <c r="D573" s="508"/>
      <c r="E573" s="507"/>
      <c r="F573" s="502"/>
      <c r="G573" s="502"/>
      <c r="H573" s="503"/>
      <c r="I573" s="503"/>
      <c r="J573" s="509"/>
      <c r="K573" s="509"/>
      <c r="L573" s="503">
        <f t="shared" si="350"/>
        <v>0</v>
      </c>
      <c r="M573" s="503">
        <f t="shared" si="346"/>
        <v>0</v>
      </c>
      <c r="N573" s="503">
        <f t="shared" si="254"/>
        <v>0</v>
      </c>
      <c r="O573" s="503">
        <f t="shared" si="255"/>
        <v>0</v>
      </c>
      <c r="P573" s="503">
        <f t="shared" si="256"/>
        <v>0</v>
      </c>
      <c r="Q573" s="503">
        <f t="shared" si="257"/>
        <v>0</v>
      </c>
      <c r="R573" s="503">
        <f t="shared" si="258"/>
        <v>0</v>
      </c>
    </row>
    <row r="574" spans="1:18">
      <c r="A574" s="505"/>
      <c r="B574" s="511" t="s">
        <v>852</v>
      </c>
      <c r="C574" s="507">
        <v>8</v>
      </c>
      <c r="D574" s="508">
        <v>100</v>
      </c>
      <c r="E574" s="507">
        <v>2</v>
      </c>
      <c r="F574" s="502">
        <v>2</v>
      </c>
      <c r="G574" s="502">
        <f t="shared" ref="G574:G577" si="351">+ROUND(2450/D574+1,0)</f>
        <v>26</v>
      </c>
      <c r="H574" s="503"/>
      <c r="I574" s="503">
        <f>2*(0.18+0.383)+24*C574/1000</f>
        <v>1.3179999999999998</v>
      </c>
      <c r="J574" s="509"/>
      <c r="K574" s="509"/>
      <c r="L574" s="503">
        <f t="shared" si="350"/>
        <v>1.3179999999999998</v>
      </c>
      <c r="M574" s="503">
        <f t="shared" si="346"/>
        <v>137.07</v>
      </c>
      <c r="N574" s="503">
        <f t="shared" si="254"/>
        <v>0</v>
      </c>
      <c r="O574" s="503">
        <f t="shared" si="255"/>
        <v>0</v>
      </c>
      <c r="P574" s="503">
        <f t="shared" si="256"/>
        <v>0</v>
      </c>
      <c r="Q574" s="503">
        <f t="shared" si="257"/>
        <v>0</v>
      </c>
      <c r="R574" s="503">
        <f t="shared" si="258"/>
        <v>0</v>
      </c>
    </row>
    <row r="575" spans="1:18">
      <c r="A575" s="505"/>
      <c r="B575" s="511" t="s">
        <v>807</v>
      </c>
      <c r="C575" s="507">
        <v>8</v>
      </c>
      <c r="D575" s="508">
        <v>100</v>
      </c>
      <c r="E575" s="507">
        <v>2</v>
      </c>
      <c r="F575" s="502">
        <v>2</v>
      </c>
      <c r="G575" s="502">
        <f t="shared" si="351"/>
        <v>26</v>
      </c>
      <c r="H575" s="503"/>
      <c r="I575" s="503">
        <f>2*(0.18+0.122)+24*C575/1000</f>
        <v>0.79600000000000004</v>
      </c>
      <c r="J575" s="509"/>
      <c r="K575" s="509"/>
      <c r="L575" s="503">
        <f t="shared" si="350"/>
        <v>0.79600000000000004</v>
      </c>
      <c r="M575" s="503">
        <f t="shared" si="346"/>
        <v>82.78</v>
      </c>
      <c r="N575" s="503">
        <f t="shared" si="254"/>
        <v>0</v>
      </c>
      <c r="O575" s="503">
        <f t="shared" si="255"/>
        <v>0</v>
      </c>
      <c r="P575" s="503">
        <f t="shared" si="256"/>
        <v>0</v>
      </c>
      <c r="Q575" s="503">
        <f t="shared" si="257"/>
        <v>0</v>
      </c>
      <c r="R575" s="503">
        <f t="shared" si="258"/>
        <v>0</v>
      </c>
    </row>
    <row r="576" spans="1:18">
      <c r="A576" s="505"/>
      <c r="B576" s="511" t="s">
        <v>855</v>
      </c>
      <c r="C576" s="507">
        <v>8</v>
      </c>
      <c r="D576" s="508">
        <v>200</v>
      </c>
      <c r="E576" s="507">
        <v>2</v>
      </c>
      <c r="F576" s="502">
        <v>1</v>
      </c>
      <c r="G576" s="502">
        <f t="shared" si="351"/>
        <v>13</v>
      </c>
      <c r="H576" s="503"/>
      <c r="I576" s="503">
        <f>2*(0.18+1.071)+24*C576/1000</f>
        <v>2.694</v>
      </c>
      <c r="J576" s="509"/>
      <c r="K576" s="509"/>
      <c r="L576" s="503">
        <f t="shared" ref="L576" si="352">SUM(H576:J576)+K576</f>
        <v>2.694</v>
      </c>
      <c r="M576" s="503">
        <f t="shared" si="346"/>
        <v>70.040000000000006</v>
      </c>
      <c r="N576" s="503">
        <f t="shared" si="254"/>
        <v>0</v>
      </c>
      <c r="O576" s="503">
        <f t="shared" si="255"/>
        <v>0</v>
      </c>
      <c r="P576" s="503">
        <f t="shared" si="256"/>
        <v>0</v>
      </c>
      <c r="Q576" s="503">
        <f t="shared" si="257"/>
        <v>0</v>
      </c>
      <c r="R576" s="503">
        <f t="shared" si="258"/>
        <v>0</v>
      </c>
    </row>
    <row r="577" spans="1:18">
      <c r="A577" s="505"/>
      <c r="B577" s="511" t="s">
        <v>799</v>
      </c>
      <c r="C577" s="507">
        <v>8</v>
      </c>
      <c r="D577" s="508">
        <v>400</v>
      </c>
      <c r="E577" s="507">
        <v>2</v>
      </c>
      <c r="F577" s="502">
        <v>2</v>
      </c>
      <c r="G577" s="502">
        <f t="shared" si="351"/>
        <v>7</v>
      </c>
      <c r="H577" s="503"/>
      <c r="I577" s="503">
        <f>0.18+(20*C577/1000)</f>
        <v>0.33999999999999997</v>
      </c>
      <c r="J577" s="509"/>
      <c r="K577" s="509"/>
      <c r="L577" s="503">
        <f t="shared" ref="L577" si="353">SUM(H577:J577)+K577</f>
        <v>0.33999999999999997</v>
      </c>
      <c r="M577" s="503">
        <f t="shared" si="346"/>
        <v>9.52</v>
      </c>
      <c r="N577" s="503">
        <f t="shared" si="254"/>
        <v>0</v>
      </c>
      <c r="O577" s="503">
        <f t="shared" si="255"/>
        <v>0</v>
      </c>
      <c r="P577" s="503">
        <f t="shared" si="256"/>
        <v>0</v>
      </c>
      <c r="Q577" s="503">
        <f t="shared" si="257"/>
        <v>0</v>
      </c>
      <c r="R577" s="503">
        <f t="shared" si="258"/>
        <v>0</v>
      </c>
    </row>
    <row r="578" spans="1:18">
      <c r="A578" s="505"/>
      <c r="B578" s="506" t="s">
        <v>846</v>
      </c>
      <c r="C578" s="507">
        <v>16</v>
      </c>
      <c r="D578" s="508"/>
      <c r="E578" s="507">
        <v>1</v>
      </c>
      <c r="F578" s="502">
        <v>1</v>
      </c>
      <c r="G578" s="502">
        <v>8</v>
      </c>
      <c r="H578" s="503"/>
      <c r="I578" s="503">
        <f t="shared" ref="I578:I580" si="354">106.2-103.25</f>
        <v>2.9500000000000028</v>
      </c>
      <c r="J578" s="509"/>
      <c r="K578" s="509">
        <f t="shared" ref="K578:K580" si="355">1*36*C578/1000</f>
        <v>0.57599999999999996</v>
      </c>
      <c r="L578" s="503">
        <f t="shared" ref="L578:L583" si="356">SUM(H578:J578)+K578</f>
        <v>3.5260000000000029</v>
      </c>
      <c r="M578" s="503">
        <f t="shared" si="346"/>
        <v>0</v>
      </c>
      <c r="N578" s="503">
        <f t="shared" si="254"/>
        <v>0</v>
      </c>
      <c r="O578" s="503">
        <f t="shared" si="255"/>
        <v>0</v>
      </c>
      <c r="P578" s="503">
        <f t="shared" si="256"/>
        <v>28.21</v>
      </c>
      <c r="Q578" s="503">
        <f t="shared" si="257"/>
        <v>0</v>
      </c>
      <c r="R578" s="503">
        <f t="shared" si="258"/>
        <v>0</v>
      </c>
    </row>
    <row r="579" spans="1:18">
      <c r="A579" s="505"/>
      <c r="B579" s="506"/>
      <c r="C579" s="507">
        <v>12</v>
      </c>
      <c r="D579" s="508"/>
      <c r="E579" s="507">
        <v>1</v>
      </c>
      <c r="F579" s="502">
        <v>1</v>
      </c>
      <c r="G579" s="502">
        <v>32</v>
      </c>
      <c r="H579" s="503"/>
      <c r="I579" s="503">
        <f t="shared" si="354"/>
        <v>2.9500000000000028</v>
      </c>
      <c r="J579" s="509"/>
      <c r="K579" s="509">
        <f t="shared" si="355"/>
        <v>0.432</v>
      </c>
      <c r="L579" s="503">
        <f t="shared" si="356"/>
        <v>3.3820000000000028</v>
      </c>
      <c r="M579" s="503">
        <f t="shared" si="346"/>
        <v>0</v>
      </c>
      <c r="N579" s="503">
        <f t="shared" si="254"/>
        <v>0</v>
      </c>
      <c r="O579" s="503">
        <f t="shared" si="255"/>
        <v>108.22</v>
      </c>
      <c r="P579" s="503">
        <f t="shared" si="256"/>
        <v>0</v>
      </c>
      <c r="Q579" s="503">
        <f t="shared" si="257"/>
        <v>0</v>
      </c>
      <c r="R579" s="503">
        <f t="shared" si="258"/>
        <v>0</v>
      </c>
    </row>
    <row r="580" spans="1:18">
      <c r="A580" s="505"/>
      <c r="B580" s="506"/>
      <c r="C580" s="507">
        <v>10</v>
      </c>
      <c r="D580" s="508"/>
      <c r="E580" s="507">
        <v>1</v>
      </c>
      <c r="F580" s="502">
        <v>1</v>
      </c>
      <c r="G580" s="502">
        <v>16</v>
      </c>
      <c r="H580" s="503"/>
      <c r="I580" s="503">
        <f t="shared" si="354"/>
        <v>2.9500000000000028</v>
      </c>
      <c r="J580" s="509"/>
      <c r="K580" s="509">
        <f t="shared" si="355"/>
        <v>0.36</v>
      </c>
      <c r="L580" s="503">
        <f t="shared" si="356"/>
        <v>3.3100000000000027</v>
      </c>
      <c r="M580" s="503">
        <f t="shared" si="346"/>
        <v>0</v>
      </c>
      <c r="N580" s="503">
        <f t="shared" si="254"/>
        <v>52.96</v>
      </c>
      <c r="O580" s="503">
        <f t="shared" si="255"/>
        <v>0</v>
      </c>
      <c r="P580" s="503">
        <f t="shared" si="256"/>
        <v>0</v>
      </c>
      <c r="Q580" s="503">
        <f t="shared" si="257"/>
        <v>0</v>
      </c>
      <c r="R580" s="503">
        <f t="shared" si="258"/>
        <v>0</v>
      </c>
    </row>
    <row r="581" spans="1:18">
      <c r="A581" s="505"/>
      <c r="B581" s="511" t="s">
        <v>797</v>
      </c>
      <c r="C581" s="507"/>
      <c r="D581" s="508"/>
      <c r="E581" s="507"/>
      <c r="F581" s="502"/>
      <c r="G581" s="502"/>
      <c r="H581" s="503"/>
      <c r="I581" s="503"/>
      <c r="J581" s="509"/>
      <c r="K581" s="509"/>
      <c r="L581" s="503">
        <f t="shared" si="356"/>
        <v>0</v>
      </c>
      <c r="M581" s="503">
        <f t="shared" si="346"/>
        <v>0</v>
      </c>
      <c r="N581" s="503">
        <f t="shared" si="254"/>
        <v>0</v>
      </c>
      <c r="O581" s="503">
        <f t="shared" si="255"/>
        <v>0</v>
      </c>
      <c r="P581" s="503">
        <f t="shared" si="256"/>
        <v>0</v>
      </c>
      <c r="Q581" s="503">
        <f t="shared" si="257"/>
        <v>0</v>
      </c>
      <c r="R581" s="503">
        <f t="shared" si="258"/>
        <v>0</v>
      </c>
    </row>
    <row r="582" spans="1:18">
      <c r="A582" s="505"/>
      <c r="B582" s="511" t="s">
        <v>820</v>
      </c>
      <c r="C582" s="507">
        <v>8</v>
      </c>
      <c r="D582" s="508">
        <v>100</v>
      </c>
      <c r="E582" s="507">
        <v>1</v>
      </c>
      <c r="F582" s="502">
        <v>2</v>
      </c>
      <c r="G582" s="502">
        <f t="shared" ref="G582:G585" si="357">+ROUND(2450/D582+1,0)</f>
        <v>26</v>
      </c>
      <c r="H582" s="503"/>
      <c r="I582" s="503">
        <f>2*(0.18+0.983)+24*C582/1000</f>
        <v>2.5180000000000002</v>
      </c>
      <c r="J582" s="509"/>
      <c r="K582" s="509"/>
      <c r="L582" s="503">
        <f t="shared" si="356"/>
        <v>2.5180000000000002</v>
      </c>
      <c r="M582" s="503">
        <f t="shared" si="346"/>
        <v>130.94</v>
      </c>
      <c r="N582" s="503">
        <f t="shared" si="254"/>
        <v>0</v>
      </c>
      <c r="O582" s="503">
        <f t="shared" si="255"/>
        <v>0</v>
      </c>
      <c r="P582" s="503">
        <f t="shared" si="256"/>
        <v>0</v>
      </c>
      <c r="Q582" s="503">
        <f t="shared" si="257"/>
        <v>0</v>
      </c>
      <c r="R582" s="503">
        <f t="shared" si="258"/>
        <v>0</v>
      </c>
    </row>
    <row r="583" spans="1:18">
      <c r="A583" s="505"/>
      <c r="B583" s="511" t="s">
        <v>807</v>
      </c>
      <c r="C583" s="507">
        <v>8</v>
      </c>
      <c r="D583" s="508">
        <v>100</v>
      </c>
      <c r="E583" s="507">
        <v>1</v>
      </c>
      <c r="F583" s="502">
        <v>8</v>
      </c>
      <c r="G583" s="502">
        <f t="shared" si="357"/>
        <v>26</v>
      </c>
      <c r="H583" s="503"/>
      <c r="I583" s="503">
        <f>2*(0.18+0.122)+24*C583/1000</f>
        <v>0.79600000000000004</v>
      </c>
      <c r="J583" s="509"/>
      <c r="K583" s="509"/>
      <c r="L583" s="503">
        <f t="shared" si="356"/>
        <v>0.79600000000000004</v>
      </c>
      <c r="M583" s="503">
        <f t="shared" si="346"/>
        <v>165.57</v>
      </c>
      <c r="N583" s="503">
        <f t="shared" si="254"/>
        <v>0</v>
      </c>
      <c r="O583" s="503">
        <f t="shared" si="255"/>
        <v>0</v>
      </c>
      <c r="P583" s="503">
        <f t="shared" si="256"/>
        <v>0</v>
      </c>
      <c r="Q583" s="503">
        <f t="shared" si="257"/>
        <v>0</v>
      </c>
      <c r="R583" s="503">
        <f t="shared" si="258"/>
        <v>0</v>
      </c>
    </row>
    <row r="584" spans="1:18">
      <c r="A584" s="505"/>
      <c r="B584" s="511" t="s">
        <v>847</v>
      </c>
      <c r="C584" s="507">
        <v>8</v>
      </c>
      <c r="D584" s="508">
        <v>200</v>
      </c>
      <c r="E584" s="507">
        <v>1</v>
      </c>
      <c r="F584" s="502">
        <v>1</v>
      </c>
      <c r="G584" s="502">
        <f t="shared" si="357"/>
        <v>13</v>
      </c>
      <c r="H584" s="503"/>
      <c r="I584" s="503">
        <f>2*(0.18+1.616)+24*C584/1000</f>
        <v>3.7840000000000003</v>
      </c>
      <c r="J584" s="509"/>
      <c r="K584" s="509"/>
      <c r="L584" s="503">
        <f t="shared" ref="L584:L585" si="358">SUM(H584:J584)+K584</f>
        <v>3.7840000000000003</v>
      </c>
      <c r="M584" s="503">
        <f t="shared" si="346"/>
        <v>49.19</v>
      </c>
      <c r="N584" s="503">
        <f t="shared" si="254"/>
        <v>0</v>
      </c>
      <c r="O584" s="503">
        <f t="shared" si="255"/>
        <v>0</v>
      </c>
      <c r="P584" s="503">
        <f t="shared" si="256"/>
        <v>0</v>
      </c>
      <c r="Q584" s="503">
        <f t="shared" si="257"/>
        <v>0</v>
      </c>
      <c r="R584" s="503">
        <f t="shared" si="258"/>
        <v>0</v>
      </c>
    </row>
    <row r="585" spans="1:18">
      <c r="A585" s="505"/>
      <c r="B585" s="511" t="s">
        <v>799</v>
      </c>
      <c r="C585" s="507">
        <v>8</v>
      </c>
      <c r="D585" s="508">
        <v>400</v>
      </c>
      <c r="E585" s="507">
        <v>1</v>
      </c>
      <c r="F585" s="502">
        <v>4</v>
      </c>
      <c r="G585" s="502">
        <f t="shared" si="357"/>
        <v>7</v>
      </c>
      <c r="H585" s="503"/>
      <c r="I585" s="503">
        <f>0.18+(20*C585/1000)</f>
        <v>0.33999999999999997</v>
      </c>
      <c r="J585" s="509"/>
      <c r="K585" s="509"/>
      <c r="L585" s="503">
        <f t="shared" si="358"/>
        <v>0.33999999999999997</v>
      </c>
      <c r="M585" s="503">
        <f t="shared" si="346"/>
        <v>9.52</v>
      </c>
      <c r="N585" s="503">
        <f t="shared" si="254"/>
        <v>0</v>
      </c>
      <c r="O585" s="503">
        <f t="shared" si="255"/>
        <v>0</v>
      </c>
      <c r="P585" s="503">
        <f t="shared" si="256"/>
        <v>0</v>
      </c>
      <c r="Q585" s="503">
        <f t="shared" si="257"/>
        <v>0</v>
      </c>
      <c r="R585" s="503">
        <f t="shared" si="258"/>
        <v>0</v>
      </c>
    </row>
    <row r="586" spans="1:18">
      <c r="A586" s="505"/>
      <c r="B586" s="506" t="s">
        <v>809</v>
      </c>
      <c r="C586" s="507">
        <v>16</v>
      </c>
      <c r="D586" s="508"/>
      <c r="E586" s="507">
        <v>6</v>
      </c>
      <c r="F586" s="502">
        <v>1</v>
      </c>
      <c r="G586" s="502">
        <v>8</v>
      </c>
      <c r="H586" s="503"/>
      <c r="I586" s="503">
        <f t="shared" ref="I586:I588" si="359">106.2-103.25</f>
        <v>2.9500000000000028</v>
      </c>
      <c r="J586" s="509"/>
      <c r="K586" s="509">
        <f t="shared" ref="K586:K588" si="360">1*36*C586/1000</f>
        <v>0.57599999999999996</v>
      </c>
      <c r="L586" s="503">
        <f t="shared" ref="L586:L596" si="361">SUM(H586:J586)+K586</f>
        <v>3.5260000000000029</v>
      </c>
      <c r="M586" s="503">
        <f t="shared" si="346"/>
        <v>0</v>
      </c>
      <c r="N586" s="503">
        <f t="shared" si="254"/>
        <v>0</v>
      </c>
      <c r="O586" s="503">
        <f t="shared" si="255"/>
        <v>0</v>
      </c>
      <c r="P586" s="503">
        <f t="shared" si="256"/>
        <v>169.25</v>
      </c>
      <c r="Q586" s="503">
        <f t="shared" si="257"/>
        <v>0</v>
      </c>
      <c r="R586" s="503">
        <f t="shared" si="258"/>
        <v>0</v>
      </c>
    </row>
    <row r="587" spans="1:18">
      <c r="A587" s="505"/>
      <c r="B587" s="511"/>
      <c r="C587" s="507">
        <v>12</v>
      </c>
      <c r="D587" s="508"/>
      <c r="E587" s="507">
        <v>6</v>
      </c>
      <c r="F587" s="502">
        <v>1</v>
      </c>
      <c r="G587" s="502">
        <v>16</v>
      </c>
      <c r="H587" s="503"/>
      <c r="I587" s="503">
        <f t="shared" si="359"/>
        <v>2.9500000000000028</v>
      </c>
      <c r="J587" s="509"/>
      <c r="K587" s="509">
        <f t="shared" si="360"/>
        <v>0.432</v>
      </c>
      <c r="L587" s="503">
        <f t="shared" si="361"/>
        <v>3.3820000000000028</v>
      </c>
      <c r="M587" s="503">
        <f t="shared" si="346"/>
        <v>0</v>
      </c>
      <c r="N587" s="503">
        <f t="shared" si="254"/>
        <v>0</v>
      </c>
      <c r="O587" s="503">
        <f t="shared" si="255"/>
        <v>324.67</v>
      </c>
      <c r="P587" s="503">
        <f t="shared" si="256"/>
        <v>0</v>
      </c>
      <c r="Q587" s="503">
        <f t="shared" si="257"/>
        <v>0</v>
      </c>
      <c r="R587" s="503">
        <f t="shared" si="258"/>
        <v>0</v>
      </c>
    </row>
    <row r="588" spans="1:18">
      <c r="A588" s="505"/>
      <c r="B588" s="511"/>
      <c r="C588" s="507">
        <v>10</v>
      </c>
      <c r="D588" s="508"/>
      <c r="E588" s="507">
        <v>6</v>
      </c>
      <c r="F588" s="502">
        <v>1</v>
      </c>
      <c r="G588" s="502">
        <v>10</v>
      </c>
      <c r="H588" s="503"/>
      <c r="I588" s="503">
        <f t="shared" si="359"/>
        <v>2.9500000000000028</v>
      </c>
      <c r="J588" s="509"/>
      <c r="K588" s="509">
        <f t="shared" si="360"/>
        <v>0.36</v>
      </c>
      <c r="L588" s="503">
        <f t="shared" si="361"/>
        <v>3.3100000000000027</v>
      </c>
      <c r="M588" s="503">
        <f t="shared" si="346"/>
        <v>0</v>
      </c>
      <c r="N588" s="503">
        <f t="shared" si="254"/>
        <v>198.6</v>
      </c>
      <c r="O588" s="503">
        <f t="shared" si="255"/>
        <v>0</v>
      </c>
      <c r="P588" s="503">
        <f t="shared" si="256"/>
        <v>0</v>
      </c>
      <c r="Q588" s="503">
        <f t="shared" si="257"/>
        <v>0</v>
      </c>
      <c r="R588" s="503">
        <f t="shared" si="258"/>
        <v>0</v>
      </c>
    </row>
    <row r="589" spans="1:18">
      <c r="A589" s="505"/>
      <c r="B589" s="511" t="s">
        <v>797</v>
      </c>
      <c r="C589" s="507"/>
      <c r="D589" s="508"/>
      <c r="E589" s="507"/>
      <c r="F589" s="502"/>
      <c r="G589" s="502"/>
      <c r="H589" s="503"/>
      <c r="I589" s="503"/>
      <c r="J589" s="509"/>
      <c r="K589" s="509"/>
      <c r="L589" s="503">
        <f t="shared" si="361"/>
        <v>0</v>
      </c>
      <c r="M589" s="503">
        <f t="shared" si="346"/>
        <v>0</v>
      </c>
      <c r="N589" s="503">
        <f t="shared" si="254"/>
        <v>0</v>
      </c>
      <c r="O589" s="503">
        <f t="shared" si="255"/>
        <v>0</v>
      </c>
      <c r="P589" s="503">
        <f t="shared" si="256"/>
        <v>0</v>
      </c>
      <c r="Q589" s="503">
        <f t="shared" si="257"/>
        <v>0</v>
      </c>
      <c r="R589" s="503">
        <f t="shared" si="258"/>
        <v>0</v>
      </c>
    </row>
    <row r="590" spans="1:18">
      <c r="A590" s="505"/>
      <c r="B590" s="511" t="s">
        <v>810</v>
      </c>
      <c r="C590" s="507">
        <v>8</v>
      </c>
      <c r="D590" s="508">
        <v>100</v>
      </c>
      <c r="E590" s="507">
        <v>6</v>
      </c>
      <c r="F590" s="502">
        <v>1</v>
      </c>
      <c r="G590" s="502">
        <f t="shared" ref="G590:G597" si="362">+ROUND(2450/D590+1,0)</f>
        <v>26</v>
      </c>
      <c r="H590" s="503"/>
      <c r="I590" s="503">
        <f>2*(0.18+0.6)+24*C590/1000</f>
        <v>1.752</v>
      </c>
      <c r="J590" s="509"/>
      <c r="K590" s="509"/>
      <c r="L590" s="503">
        <f t="shared" si="361"/>
        <v>1.752</v>
      </c>
      <c r="M590" s="503">
        <f t="shared" si="346"/>
        <v>273.31</v>
      </c>
      <c r="N590" s="503">
        <f t="shared" si="254"/>
        <v>0</v>
      </c>
      <c r="O590" s="503">
        <f t="shared" si="255"/>
        <v>0</v>
      </c>
      <c r="P590" s="503">
        <f t="shared" si="256"/>
        <v>0</v>
      </c>
      <c r="Q590" s="503">
        <f t="shared" si="257"/>
        <v>0</v>
      </c>
      <c r="R590" s="503">
        <f t="shared" si="258"/>
        <v>0</v>
      </c>
    </row>
    <row r="591" spans="1:18">
      <c r="A591" s="505"/>
      <c r="B591" s="511" t="s">
        <v>811</v>
      </c>
      <c r="C591" s="507">
        <v>8</v>
      </c>
      <c r="D591" s="508">
        <v>100</v>
      </c>
      <c r="E591" s="507">
        <v>6</v>
      </c>
      <c r="F591" s="502">
        <v>1</v>
      </c>
      <c r="G591" s="502">
        <f t="shared" si="362"/>
        <v>26</v>
      </c>
      <c r="H591" s="503"/>
      <c r="I591" s="503">
        <f>2*(0.18+0.248)+24*C591/1000</f>
        <v>1.048</v>
      </c>
      <c r="J591" s="509"/>
      <c r="K591" s="509"/>
      <c r="L591" s="503">
        <f t="shared" si="361"/>
        <v>1.048</v>
      </c>
      <c r="M591" s="503">
        <f t="shared" si="346"/>
        <v>163.49</v>
      </c>
      <c r="N591" s="503">
        <f t="shared" si="254"/>
        <v>0</v>
      </c>
      <c r="O591" s="503">
        <f t="shared" si="255"/>
        <v>0</v>
      </c>
      <c r="P591" s="503">
        <f t="shared" si="256"/>
        <v>0</v>
      </c>
      <c r="Q591" s="503">
        <f t="shared" si="257"/>
        <v>0</v>
      </c>
      <c r="R591" s="503">
        <f t="shared" si="258"/>
        <v>0</v>
      </c>
    </row>
    <row r="592" spans="1:18">
      <c r="A592" s="505"/>
      <c r="B592" s="511" t="s">
        <v>798</v>
      </c>
      <c r="C592" s="507">
        <v>8</v>
      </c>
      <c r="D592" s="508">
        <v>100</v>
      </c>
      <c r="E592" s="507">
        <v>6</v>
      </c>
      <c r="F592" s="502">
        <v>1</v>
      </c>
      <c r="G592" s="502">
        <f t="shared" si="362"/>
        <v>26</v>
      </c>
      <c r="H592" s="503"/>
      <c r="I592" s="503">
        <f>0.18+(20*C592/1000)</f>
        <v>0.33999999999999997</v>
      </c>
      <c r="J592" s="509"/>
      <c r="K592" s="509"/>
      <c r="L592" s="503">
        <f t="shared" si="361"/>
        <v>0.33999999999999997</v>
      </c>
      <c r="M592" s="503">
        <f t="shared" si="346"/>
        <v>53.04</v>
      </c>
      <c r="N592" s="503">
        <f t="shared" si="254"/>
        <v>0</v>
      </c>
      <c r="O592" s="503">
        <f t="shared" si="255"/>
        <v>0</v>
      </c>
      <c r="P592" s="503">
        <f t="shared" si="256"/>
        <v>0</v>
      </c>
      <c r="Q592" s="503">
        <f t="shared" si="257"/>
        <v>0</v>
      </c>
      <c r="R592" s="503">
        <f t="shared" si="258"/>
        <v>0</v>
      </c>
    </row>
    <row r="593" spans="1:18">
      <c r="A593" s="505"/>
      <c r="B593" s="511" t="s">
        <v>812</v>
      </c>
      <c r="C593" s="507">
        <v>8</v>
      </c>
      <c r="D593" s="508">
        <v>100</v>
      </c>
      <c r="E593" s="507">
        <v>6</v>
      </c>
      <c r="F593" s="502">
        <v>2</v>
      </c>
      <c r="G593" s="502">
        <f t="shared" si="362"/>
        <v>26</v>
      </c>
      <c r="H593" s="503"/>
      <c r="I593" s="503">
        <f>2*(0.18+0.385)+24*C593/1000</f>
        <v>1.3219999999999998</v>
      </c>
      <c r="J593" s="509"/>
      <c r="K593" s="509"/>
      <c r="L593" s="503">
        <f t="shared" si="361"/>
        <v>1.3219999999999998</v>
      </c>
      <c r="M593" s="503">
        <f t="shared" si="346"/>
        <v>412.46</v>
      </c>
      <c r="N593" s="503">
        <f t="shared" si="254"/>
        <v>0</v>
      </c>
      <c r="O593" s="503">
        <f t="shared" si="255"/>
        <v>0</v>
      </c>
      <c r="P593" s="503">
        <f t="shared" si="256"/>
        <v>0</v>
      </c>
      <c r="Q593" s="503">
        <f t="shared" si="257"/>
        <v>0</v>
      </c>
      <c r="R593" s="503">
        <f t="shared" si="258"/>
        <v>0</v>
      </c>
    </row>
    <row r="594" spans="1:18">
      <c r="A594" s="505"/>
      <c r="B594" s="511" t="s">
        <v>813</v>
      </c>
      <c r="C594" s="507">
        <v>8</v>
      </c>
      <c r="D594" s="508">
        <v>100</v>
      </c>
      <c r="E594" s="507">
        <v>6</v>
      </c>
      <c r="F594" s="502">
        <v>1</v>
      </c>
      <c r="G594" s="502">
        <f t="shared" si="362"/>
        <v>26</v>
      </c>
      <c r="H594" s="503"/>
      <c r="I594" s="503">
        <f>2*(0.18+0.268)+24*C594/1000</f>
        <v>1.0880000000000001</v>
      </c>
      <c r="J594" s="509"/>
      <c r="K594" s="509"/>
      <c r="L594" s="503">
        <f t="shared" si="361"/>
        <v>1.0880000000000001</v>
      </c>
      <c r="M594" s="503">
        <f t="shared" si="346"/>
        <v>169.73</v>
      </c>
      <c r="N594" s="503">
        <f t="shared" si="254"/>
        <v>0</v>
      </c>
      <c r="O594" s="503">
        <f t="shared" si="255"/>
        <v>0</v>
      </c>
      <c r="P594" s="503">
        <f t="shared" si="256"/>
        <v>0</v>
      </c>
      <c r="Q594" s="503">
        <f t="shared" si="257"/>
        <v>0</v>
      </c>
      <c r="R594" s="503">
        <f t="shared" si="258"/>
        <v>0</v>
      </c>
    </row>
    <row r="595" spans="1:18">
      <c r="A595" s="505"/>
      <c r="B595" s="511" t="s">
        <v>798</v>
      </c>
      <c r="C595" s="507">
        <v>8</v>
      </c>
      <c r="D595" s="508">
        <v>100</v>
      </c>
      <c r="E595" s="507">
        <v>6</v>
      </c>
      <c r="F595" s="502">
        <v>1</v>
      </c>
      <c r="G595" s="502">
        <f t="shared" si="362"/>
        <v>26</v>
      </c>
      <c r="H595" s="503"/>
      <c r="I595" s="503">
        <f>0.18+(20*C595/1000)</f>
        <v>0.33999999999999997</v>
      </c>
      <c r="J595" s="509"/>
      <c r="K595" s="509"/>
      <c r="L595" s="503">
        <f t="shared" si="361"/>
        <v>0.33999999999999997</v>
      </c>
      <c r="M595" s="503">
        <f t="shared" si="346"/>
        <v>53.04</v>
      </c>
      <c r="N595" s="503">
        <f t="shared" si="254"/>
        <v>0</v>
      </c>
      <c r="O595" s="503">
        <f t="shared" si="255"/>
        <v>0</v>
      </c>
      <c r="P595" s="503">
        <f t="shared" si="256"/>
        <v>0</v>
      </c>
      <c r="Q595" s="503">
        <f t="shared" si="257"/>
        <v>0</v>
      </c>
      <c r="R595" s="503">
        <f t="shared" si="258"/>
        <v>0</v>
      </c>
    </row>
    <row r="596" spans="1:18">
      <c r="A596" s="505"/>
      <c r="B596" s="511" t="s">
        <v>814</v>
      </c>
      <c r="C596" s="507">
        <v>8</v>
      </c>
      <c r="D596" s="508">
        <v>200</v>
      </c>
      <c r="E596" s="507">
        <v>6</v>
      </c>
      <c r="F596" s="502">
        <v>1</v>
      </c>
      <c r="G596" s="502">
        <f t="shared" si="362"/>
        <v>13</v>
      </c>
      <c r="H596" s="503"/>
      <c r="I596" s="503">
        <f>2*(0.18+1.066)+24*C596/1000</f>
        <v>2.6840000000000002</v>
      </c>
      <c r="J596" s="509"/>
      <c r="K596" s="509"/>
      <c r="L596" s="503">
        <f t="shared" si="361"/>
        <v>2.6840000000000002</v>
      </c>
      <c r="M596" s="503">
        <f t="shared" si="346"/>
        <v>209.35</v>
      </c>
      <c r="N596" s="503">
        <f t="shared" si="254"/>
        <v>0</v>
      </c>
      <c r="O596" s="503">
        <f t="shared" si="255"/>
        <v>0</v>
      </c>
      <c r="P596" s="503">
        <f t="shared" si="256"/>
        <v>0</v>
      </c>
      <c r="Q596" s="503">
        <f t="shared" si="257"/>
        <v>0</v>
      </c>
      <c r="R596" s="503">
        <f t="shared" si="258"/>
        <v>0</v>
      </c>
    </row>
    <row r="597" spans="1:18">
      <c r="A597" s="505"/>
      <c r="B597" s="511" t="s">
        <v>799</v>
      </c>
      <c r="C597" s="507">
        <v>8</v>
      </c>
      <c r="D597" s="508">
        <v>400</v>
      </c>
      <c r="E597" s="507">
        <v>6</v>
      </c>
      <c r="F597" s="502">
        <v>2</v>
      </c>
      <c r="G597" s="502">
        <f t="shared" si="362"/>
        <v>7</v>
      </c>
      <c r="H597" s="503"/>
      <c r="I597" s="503">
        <f>0.18+(20*C597/1000)</f>
        <v>0.33999999999999997</v>
      </c>
      <c r="J597" s="509"/>
      <c r="K597" s="509"/>
      <c r="L597" s="503">
        <f t="shared" ref="L597" si="363">SUM(H597:J597)+K597</f>
        <v>0.33999999999999997</v>
      </c>
      <c r="M597" s="503">
        <f t="shared" si="346"/>
        <v>28.56</v>
      </c>
      <c r="N597" s="503">
        <f t="shared" si="254"/>
        <v>0</v>
      </c>
      <c r="O597" s="503">
        <f t="shared" si="255"/>
        <v>0</v>
      </c>
      <c r="P597" s="503">
        <f t="shared" si="256"/>
        <v>0</v>
      </c>
      <c r="Q597" s="503">
        <f t="shared" si="257"/>
        <v>0</v>
      </c>
      <c r="R597" s="503">
        <f t="shared" si="258"/>
        <v>0</v>
      </c>
    </row>
    <row r="598" spans="1:18">
      <c r="A598" s="505"/>
      <c r="B598" s="506" t="s">
        <v>856</v>
      </c>
      <c r="C598" s="507">
        <v>16</v>
      </c>
      <c r="D598" s="508"/>
      <c r="E598" s="507">
        <v>2</v>
      </c>
      <c r="F598" s="502">
        <v>1</v>
      </c>
      <c r="G598" s="502">
        <v>8</v>
      </c>
      <c r="H598" s="503"/>
      <c r="I598" s="503">
        <f t="shared" ref="I598:I600" si="364">106.2-103.25</f>
        <v>2.9500000000000028</v>
      </c>
      <c r="J598" s="509"/>
      <c r="K598" s="509">
        <f t="shared" ref="K598:K600" si="365">1*36*C598/1000</f>
        <v>0.57599999999999996</v>
      </c>
      <c r="L598" s="503">
        <f t="shared" ref="L598:L605" si="366">SUM(H598:J598)+K598</f>
        <v>3.5260000000000029</v>
      </c>
      <c r="M598" s="503">
        <f t="shared" si="346"/>
        <v>0</v>
      </c>
      <c r="N598" s="503">
        <f t="shared" si="254"/>
        <v>0</v>
      </c>
      <c r="O598" s="503">
        <f t="shared" si="255"/>
        <v>0</v>
      </c>
      <c r="P598" s="503">
        <f t="shared" si="256"/>
        <v>56.42</v>
      </c>
      <c r="Q598" s="503">
        <f t="shared" si="257"/>
        <v>0</v>
      </c>
      <c r="R598" s="503">
        <f t="shared" si="258"/>
        <v>0</v>
      </c>
    </row>
    <row r="599" spans="1:18">
      <c r="A599" s="505"/>
      <c r="B599" s="506"/>
      <c r="C599" s="507">
        <v>12</v>
      </c>
      <c r="D599" s="508"/>
      <c r="E599" s="507">
        <v>2</v>
      </c>
      <c r="F599" s="502">
        <v>1</v>
      </c>
      <c r="G599" s="502">
        <v>12</v>
      </c>
      <c r="H599" s="503"/>
      <c r="I599" s="503">
        <f t="shared" si="364"/>
        <v>2.9500000000000028</v>
      </c>
      <c r="J599" s="509"/>
      <c r="K599" s="509">
        <f t="shared" si="365"/>
        <v>0.432</v>
      </c>
      <c r="L599" s="503">
        <f t="shared" si="366"/>
        <v>3.3820000000000028</v>
      </c>
      <c r="M599" s="503">
        <f t="shared" si="346"/>
        <v>0</v>
      </c>
      <c r="N599" s="503">
        <f t="shared" si="254"/>
        <v>0</v>
      </c>
      <c r="O599" s="503">
        <f t="shared" si="255"/>
        <v>81.17</v>
      </c>
      <c r="P599" s="503">
        <f t="shared" si="256"/>
        <v>0</v>
      </c>
      <c r="Q599" s="503">
        <f t="shared" si="257"/>
        <v>0</v>
      </c>
      <c r="R599" s="503">
        <f t="shared" si="258"/>
        <v>0</v>
      </c>
    </row>
    <row r="600" spans="1:18">
      <c r="A600" s="505"/>
      <c r="B600" s="506"/>
      <c r="C600" s="507">
        <v>10</v>
      </c>
      <c r="D600" s="508"/>
      <c r="E600" s="507">
        <v>2</v>
      </c>
      <c r="F600" s="502">
        <v>1</v>
      </c>
      <c r="G600" s="502">
        <v>24</v>
      </c>
      <c r="H600" s="503"/>
      <c r="I600" s="503">
        <f t="shared" si="364"/>
        <v>2.9500000000000028</v>
      </c>
      <c r="J600" s="509"/>
      <c r="K600" s="509">
        <f t="shared" si="365"/>
        <v>0.36</v>
      </c>
      <c r="L600" s="503">
        <f t="shared" si="366"/>
        <v>3.3100000000000027</v>
      </c>
      <c r="M600" s="503">
        <f t="shared" si="346"/>
        <v>0</v>
      </c>
      <c r="N600" s="503">
        <f t="shared" si="254"/>
        <v>158.88</v>
      </c>
      <c r="O600" s="503">
        <f t="shared" si="255"/>
        <v>0</v>
      </c>
      <c r="P600" s="503">
        <f t="shared" si="256"/>
        <v>0</v>
      </c>
      <c r="Q600" s="503">
        <f t="shared" si="257"/>
        <v>0</v>
      </c>
      <c r="R600" s="503">
        <f t="shared" si="258"/>
        <v>0</v>
      </c>
    </row>
    <row r="601" spans="1:18">
      <c r="A601" s="505"/>
      <c r="B601" s="511" t="s">
        <v>797</v>
      </c>
      <c r="C601" s="507"/>
      <c r="D601" s="508"/>
      <c r="E601" s="507"/>
      <c r="F601" s="502"/>
      <c r="G601" s="502"/>
      <c r="H601" s="503"/>
      <c r="I601" s="503"/>
      <c r="J601" s="509"/>
      <c r="K601" s="509"/>
      <c r="L601" s="503">
        <f t="shared" si="366"/>
        <v>0</v>
      </c>
      <c r="M601" s="503">
        <f t="shared" si="346"/>
        <v>0</v>
      </c>
      <c r="N601" s="503">
        <f t="shared" si="254"/>
        <v>0</v>
      </c>
      <c r="O601" s="503">
        <f t="shared" si="255"/>
        <v>0</v>
      </c>
      <c r="P601" s="503">
        <f t="shared" si="256"/>
        <v>0</v>
      </c>
      <c r="Q601" s="503">
        <f t="shared" si="257"/>
        <v>0</v>
      </c>
      <c r="R601" s="503">
        <f t="shared" si="258"/>
        <v>0</v>
      </c>
    </row>
    <row r="602" spans="1:18">
      <c r="A602" s="505"/>
      <c r="B602" s="511" t="s">
        <v>857</v>
      </c>
      <c r="C602" s="507">
        <v>8</v>
      </c>
      <c r="D602" s="508">
        <v>100</v>
      </c>
      <c r="E602" s="507">
        <v>2</v>
      </c>
      <c r="F602" s="502">
        <v>2</v>
      </c>
      <c r="G602" s="502">
        <f t="shared" ref="G602:G606" si="367">+ROUND(2450/D602+1,0)</f>
        <v>26</v>
      </c>
      <c r="H602" s="503"/>
      <c r="I602" s="503">
        <f>2*(0.18+0.483)+24*C602/1000</f>
        <v>1.518</v>
      </c>
      <c r="J602" s="509"/>
      <c r="K602" s="509"/>
      <c r="L602" s="503">
        <f t="shared" si="366"/>
        <v>1.518</v>
      </c>
      <c r="M602" s="503">
        <f t="shared" si="346"/>
        <v>157.87</v>
      </c>
      <c r="N602" s="503">
        <f t="shared" si="254"/>
        <v>0</v>
      </c>
      <c r="O602" s="503">
        <f t="shared" si="255"/>
        <v>0</v>
      </c>
      <c r="P602" s="503">
        <f t="shared" si="256"/>
        <v>0</v>
      </c>
      <c r="Q602" s="503">
        <f t="shared" si="257"/>
        <v>0</v>
      </c>
      <c r="R602" s="503">
        <f t="shared" si="258"/>
        <v>0</v>
      </c>
    </row>
    <row r="603" spans="1:18">
      <c r="A603" s="505"/>
      <c r="B603" s="511" t="s">
        <v>858</v>
      </c>
      <c r="C603" s="507">
        <v>8</v>
      </c>
      <c r="D603" s="508">
        <v>100</v>
      </c>
      <c r="E603" s="507">
        <v>2</v>
      </c>
      <c r="F603" s="502">
        <v>2</v>
      </c>
      <c r="G603" s="502">
        <f t="shared" si="367"/>
        <v>26</v>
      </c>
      <c r="H603" s="503"/>
      <c r="I603" s="503">
        <f>2*(0.18+0.25)+24*C603/1000</f>
        <v>1.052</v>
      </c>
      <c r="J603" s="509"/>
      <c r="K603" s="509"/>
      <c r="L603" s="503">
        <f t="shared" si="366"/>
        <v>1.052</v>
      </c>
      <c r="M603" s="503">
        <f t="shared" si="346"/>
        <v>109.41</v>
      </c>
      <c r="N603" s="503">
        <f t="shared" si="254"/>
        <v>0</v>
      </c>
      <c r="O603" s="503">
        <f t="shared" si="255"/>
        <v>0</v>
      </c>
      <c r="P603" s="503">
        <f t="shared" si="256"/>
        <v>0</v>
      </c>
      <c r="Q603" s="503">
        <f t="shared" si="257"/>
        <v>0</v>
      </c>
      <c r="R603" s="503">
        <f t="shared" si="258"/>
        <v>0</v>
      </c>
    </row>
    <row r="604" spans="1:18">
      <c r="A604" s="505"/>
      <c r="B604" s="511" t="s">
        <v>798</v>
      </c>
      <c r="C604" s="507">
        <v>8</v>
      </c>
      <c r="D604" s="508">
        <v>100</v>
      </c>
      <c r="E604" s="507">
        <v>2</v>
      </c>
      <c r="F604" s="502">
        <v>2</v>
      </c>
      <c r="G604" s="502">
        <f t="shared" si="367"/>
        <v>26</v>
      </c>
      <c r="H604" s="503"/>
      <c r="I604" s="503">
        <f>0.18+(20*C604/1000)</f>
        <v>0.33999999999999997</v>
      </c>
      <c r="J604" s="509"/>
      <c r="K604" s="509"/>
      <c r="L604" s="503">
        <f t="shared" si="366"/>
        <v>0.33999999999999997</v>
      </c>
      <c r="M604" s="503">
        <f t="shared" si="346"/>
        <v>35.36</v>
      </c>
      <c r="N604" s="503">
        <f t="shared" si="254"/>
        <v>0</v>
      </c>
      <c r="O604" s="503">
        <f t="shared" si="255"/>
        <v>0</v>
      </c>
      <c r="P604" s="503">
        <f t="shared" si="256"/>
        <v>0</v>
      </c>
      <c r="Q604" s="503">
        <f t="shared" si="257"/>
        <v>0</v>
      </c>
      <c r="R604" s="503">
        <f t="shared" si="258"/>
        <v>0</v>
      </c>
    </row>
    <row r="605" spans="1:18">
      <c r="A605" s="505"/>
      <c r="B605" s="511" t="s">
        <v>859</v>
      </c>
      <c r="C605" s="507">
        <v>8</v>
      </c>
      <c r="D605" s="508">
        <v>200</v>
      </c>
      <c r="E605" s="507">
        <v>2</v>
      </c>
      <c r="F605" s="502">
        <v>1</v>
      </c>
      <c r="G605" s="502">
        <f t="shared" si="367"/>
        <v>13</v>
      </c>
      <c r="H605" s="503"/>
      <c r="I605" s="503">
        <f>2*(0.18+2.461)+24*C605/1000</f>
        <v>5.4740000000000002</v>
      </c>
      <c r="J605" s="509"/>
      <c r="K605" s="509"/>
      <c r="L605" s="503">
        <f t="shared" si="366"/>
        <v>5.4740000000000002</v>
      </c>
      <c r="M605" s="503">
        <f t="shared" si="346"/>
        <v>142.32</v>
      </c>
      <c r="N605" s="503">
        <f t="shared" si="254"/>
        <v>0</v>
      </c>
      <c r="O605" s="503">
        <f t="shared" si="255"/>
        <v>0</v>
      </c>
      <c r="P605" s="503">
        <f t="shared" si="256"/>
        <v>0</v>
      </c>
      <c r="Q605" s="503">
        <f t="shared" si="257"/>
        <v>0</v>
      </c>
      <c r="R605" s="503">
        <f t="shared" si="258"/>
        <v>0</v>
      </c>
    </row>
    <row r="606" spans="1:18">
      <c r="A606" s="505"/>
      <c r="B606" s="511" t="s">
        <v>799</v>
      </c>
      <c r="C606" s="507">
        <v>8</v>
      </c>
      <c r="D606" s="508">
        <v>400</v>
      </c>
      <c r="E606" s="507">
        <v>2</v>
      </c>
      <c r="F606" s="502">
        <v>6</v>
      </c>
      <c r="G606" s="502">
        <f t="shared" si="367"/>
        <v>7</v>
      </c>
      <c r="H606" s="503"/>
      <c r="I606" s="503">
        <f>0.18+(20*C606/1000)</f>
        <v>0.33999999999999997</v>
      </c>
      <c r="J606" s="509"/>
      <c r="K606" s="509"/>
      <c r="L606" s="503">
        <f t="shared" ref="L606" si="368">SUM(H606:J606)+K606</f>
        <v>0.33999999999999997</v>
      </c>
      <c r="M606" s="503">
        <f t="shared" si="346"/>
        <v>28.56</v>
      </c>
      <c r="N606" s="503">
        <f t="shared" si="254"/>
        <v>0</v>
      </c>
      <c r="O606" s="503">
        <f t="shared" si="255"/>
        <v>0</v>
      </c>
      <c r="P606" s="503">
        <f t="shared" si="256"/>
        <v>0</v>
      </c>
      <c r="Q606" s="503">
        <f t="shared" si="257"/>
        <v>0</v>
      </c>
      <c r="R606" s="503">
        <f t="shared" si="258"/>
        <v>0</v>
      </c>
    </row>
    <row r="607" spans="1:18">
      <c r="A607" s="505"/>
      <c r="B607" s="506" t="s">
        <v>860</v>
      </c>
      <c r="C607" s="507">
        <v>16</v>
      </c>
      <c r="D607" s="508"/>
      <c r="E607" s="507">
        <v>2</v>
      </c>
      <c r="F607" s="502">
        <v>1</v>
      </c>
      <c r="G607" s="502">
        <v>8</v>
      </c>
      <c r="H607" s="503"/>
      <c r="I607" s="503">
        <f t="shared" ref="I607:I609" si="369">106.2-103.25</f>
        <v>2.9500000000000028</v>
      </c>
      <c r="J607" s="509"/>
      <c r="K607" s="509">
        <f t="shared" ref="K607:K609" si="370">1*36*C607/1000</f>
        <v>0.57599999999999996</v>
      </c>
      <c r="L607" s="503">
        <f t="shared" ref="L607:L614" si="371">SUM(H607:J607)+K607</f>
        <v>3.5260000000000029</v>
      </c>
      <c r="M607" s="503">
        <f t="shared" si="346"/>
        <v>0</v>
      </c>
      <c r="N607" s="503">
        <f t="shared" si="254"/>
        <v>0</v>
      </c>
      <c r="O607" s="503">
        <f t="shared" si="255"/>
        <v>0</v>
      </c>
      <c r="P607" s="503">
        <f t="shared" si="256"/>
        <v>56.42</v>
      </c>
      <c r="Q607" s="503">
        <f t="shared" si="257"/>
        <v>0</v>
      </c>
      <c r="R607" s="503">
        <f t="shared" si="258"/>
        <v>0</v>
      </c>
    </row>
    <row r="608" spans="1:18">
      <c r="A608" s="505"/>
      <c r="B608" s="506"/>
      <c r="C608" s="507">
        <v>12</v>
      </c>
      <c r="D608" s="508"/>
      <c r="E608" s="507">
        <v>2</v>
      </c>
      <c r="F608" s="502">
        <v>1</v>
      </c>
      <c r="G608" s="502">
        <v>20</v>
      </c>
      <c r="H608" s="503"/>
      <c r="I608" s="503">
        <f t="shared" si="369"/>
        <v>2.9500000000000028</v>
      </c>
      <c r="J608" s="509"/>
      <c r="K608" s="509">
        <f t="shared" si="370"/>
        <v>0.432</v>
      </c>
      <c r="L608" s="503">
        <f t="shared" si="371"/>
        <v>3.3820000000000028</v>
      </c>
      <c r="M608" s="503">
        <f t="shared" si="346"/>
        <v>0</v>
      </c>
      <c r="N608" s="503">
        <f t="shared" si="254"/>
        <v>0</v>
      </c>
      <c r="O608" s="503">
        <f t="shared" si="255"/>
        <v>135.28</v>
      </c>
      <c r="P608" s="503">
        <f t="shared" si="256"/>
        <v>0</v>
      </c>
      <c r="Q608" s="503">
        <f t="shared" si="257"/>
        <v>0</v>
      </c>
      <c r="R608" s="503">
        <f t="shared" si="258"/>
        <v>0</v>
      </c>
    </row>
    <row r="609" spans="1:18">
      <c r="A609" s="505"/>
      <c r="B609" s="506"/>
      <c r="C609" s="507">
        <v>10</v>
      </c>
      <c r="D609" s="508"/>
      <c r="E609" s="507">
        <v>2</v>
      </c>
      <c r="F609" s="502">
        <v>1</v>
      </c>
      <c r="G609" s="502">
        <v>26</v>
      </c>
      <c r="H609" s="503"/>
      <c r="I609" s="503">
        <f t="shared" si="369"/>
        <v>2.9500000000000028</v>
      </c>
      <c r="J609" s="509"/>
      <c r="K609" s="509">
        <f t="shared" si="370"/>
        <v>0.36</v>
      </c>
      <c r="L609" s="503">
        <f t="shared" si="371"/>
        <v>3.3100000000000027</v>
      </c>
      <c r="M609" s="503">
        <f t="shared" si="346"/>
        <v>0</v>
      </c>
      <c r="N609" s="503">
        <f t="shared" si="254"/>
        <v>172.12</v>
      </c>
      <c r="O609" s="503">
        <f t="shared" si="255"/>
        <v>0</v>
      </c>
      <c r="P609" s="503">
        <f t="shared" si="256"/>
        <v>0</v>
      </c>
      <c r="Q609" s="503">
        <f t="shared" si="257"/>
        <v>0</v>
      </c>
      <c r="R609" s="503">
        <f t="shared" si="258"/>
        <v>0</v>
      </c>
    </row>
    <row r="610" spans="1:18">
      <c r="A610" s="505"/>
      <c r="B610" s="511" t="s">
        <v>797</v>
      </c>
      <c r="C610" s="507"/>
      <c r="D610" s="508"/>
      <c r="E610" s="507"/>
      <c r="F610" s="502"/>
      <c r="G610" s="502"/>
      <c r="H610" s="503"/>
      <c r="I610" s="503"/>
      <c r="J610" s="509"/>
      <c r="K610" s="509"/>
      <c r="L610" s="503">
        <f t="shared" si="371"/>
        <v>0</v>
      </c>
      <c r="M610" s="503">
        <f t="shared" si="346"/>
        <v>0</v>
      </c>
      <c r="N610" s="503">
        <f t="shared" si="254"/>
        <v>0</v>
      </c>
      <c r="O610" s="503">
        <f t="shared" si="255"/>
        <v>0</v>
      </c>
      <c r="P610" s="503">
        <f t="shared" si="256"/>
        <v>0</v>
      </c>
      <c r="Q610" s="503">
        <f t="shared" si="257"/>
        <v>0</v>
      </c>
      <c r="R610" s="503">
        <f t="shared" si="258"/>
        <v>0</v>
      </c>
    </row>
    <row r="611" spans="1:18">
      <c r="A611" s="505"/>
      <c r="B611" s="511" t="s">
        <v>816</v>
      </c>
      <c r="C611" s="507">
        <v>8</v>
      </c>
      <c r="D611" s="508">
        <v>100</v>
      </c>
      <c r="E611" s="507">
        <v>2</v>
      </c>
      <c r="F611" s="502">
        <v>2</v>
      </c>
      <c r="G611" s="502">
        <f t="shared" ref="G611:G615" si="372">+ROUND(2450/D611+1,0)</f>
        <v>26</v>
      </c>
      <c r="H611" s="503"/>
      <c r="I611" s="503">
        <f>2*(0.18+0.683)+24*C611/1000</f>
        <v>1.9179999999999999</v>
      </c>
      <c r="J611" s="509"/>
      <c r="K611" s="509"/>
      <c r="L611" s="503">
        <f t="shared" si="371"/>
        <v>1.9179999999999999</v>
      </c>
      <c r="M611" s="503">
        <f t="shared" si="346"/>
        <v>199.47</v>
      </c>
      <c r="N611" s="503">
        <f t="shared" si="254"/>
        <v>0</v>
      </c>
      <c r="O611" s="503">
        <f t="shared" si="255"/>
        <v>0</v>
      </c>
      <c r="P611" s="503">
        <f t="shared" si="256"/>
        <v>0</v>
      </c>
      <c r="Q611" s="503">
        <f t="shared" si="257"/>
        <v>0</v>
      </c>
      <c r="R611" s="503">
        <f t="shared" si="258"/>
        <v>0</v>
      </c>
    </row>
    <row r="612" spans="1:18">
      <c r="A612" s="505"/>
      <c r="B612" s="511" t="s">
        <v>821</v>
      </c>
      <c r="C612" s="507">
        <v>8</v>
      </c>
      <c r="D612" s="508">
        <v>100</v>
      </c>
      <c r="E612" s="507">
        <v>2</v>
      </c>
      <c r="F612" s="502">
        <f>2*2</f>
        <v>4</v>
      </c>
      <c r="G612" s="502">
        <f t="shared" si="372"/>
        <v>26</v>
      </c>
      <c r="H612" s="503"/>
      <c r="I612" s="503">
        <f>2*(0.18+0.124)+24*C612/1000</f>
        <v>0.8</v>
      </c>
      <c r="J612" s="509"/>
      <c r="K612" s="509"/>
      <c r="L612" s="503">
        <f t="shared" si="371"/>
        <v>0.8</v>
      </c>
      <c r="M612" s="503">
        <f t="shared" si="346"/>
        <v>166.4</v>
      </c>
      <c r="N612" s="503">
        <f t="shared" si="254"/>
        <v>0</v>
      </c>
      <c r="O612" s="503">
        <f t="shared" si="255"/>
        <v>0</v>
      </c>
      <c r="P612" s="503">
        <f t="shared" si="256"/>
        <v>0</v>
      </c>
      <c r="Q612" s="503">
        <f t="shared" si="257"/>
        <v>0</v>
      </c>
      <c r="R612" s="503">
        <f t="shared" si="258"/>
        <v>0</v>
      </c>
    </row>
    <row r="613" spans="1:18">
      <c r="A613" s="505"/>
      <c r="B613" s="511" t="s">
        <v>798</v>
      </c>
      <c r="C613" s="507">
        <v>8</v>
      </c>
      <c r="D613" s="508">
        <v>100</v>
      </c>
      <c r="E613" s="507">
        <v>2</v>
      </c>
      <c r="F613" s="502">
        <v>2</v>
      </c>
      <c r="G613" s="502">
        <f t="shared" si="372"/>
        <v>26</v>
      </c>
      <c r="H613" s="503"/>
      <c r="I613" s="503">
        <f>0.18+(20*C613/1000)</f>
        <v>0.33999999999999997</v>
      </c>
      <c r="J613" s="509"/>
      <c r="K613" s="509"/>
      <c r="L613" s="503">
        <f t="shared" si="371"/>
        <v>0.33999999999999997</v>
      </c>
      <c r="M613" s="503">
        <f t="shared" si="346"/>
        <v>35.36</v>
      </c>
      <c r="N613" s="503">
        <f t="shared" si="254"/>
        <v>0</v>
      </c>
      <c r="O613" s="503">
        <f t="shared" si="255"/>
        <v>0</v>
      </c>
      <c r="P613" s="503">
        <f t="shared" si="256"/>
        <v>0</v>
      </c>
      <c r="Q613" s="503">
        <f t="shared" si="257"/>
        <v>0</v>
      </c>
      <c r="R613" s="503">
        <f t="shared" si="258"/>
        <v>0</v>
      </c>
    </row>
    <row r="614" spans="1:18">
      <c r="A614" s="505"/>
      <c r="B614" s="511" t="s">
        <v>861</v>
      </c>
      <c r="C614" s="507">
        <v>8</v>
      </c>
      <c r="D614" s="508">
        <v>200</v>
      </c>
      <c r="E614" s="507">
        <v>2</v>
      </c>
      <c r="F614" s="502">
        <v>1</v>
      </c>
      <c r="G614" s="502">
        <f t="shared" si="372"/>
        <v>13</v>
      </c>
      <c r="H614" s="503"/>
      <c r="I614" s="503">
        <f>2*(0.18+2.681)+24*C614/1000</f>
        <v>5.9140000000000006</v>
      </c>
      <c r="J614" s="509"/>
      <c r="K614" s="509"/>
      <c r="L614" s="503">
        <f t="shared" si="371"/>
        <v>5.9140000000000006</v>
      </c>
      <c r="M614" s="503">
        <f t="shared" si="346"/>
        <v>153.76</v>
      </c>
      <c r="N614" s="503">
        <f t="shared" si="254"/>
        <v>0</v>
      </c>
      <c r="O614" s="503">
        <f t="shared" si="255"/>
        <v>0</v>
      </c>
      <c r="P614" s="503">
        <f t="shared" si="256"/>
        <v>0</v>
      </c>
      <c r="Q614" s="503">
        <f t="shared" si="257"/>
        <v>0</v>
      </c>
      <c r="R614" s="503">
        <f t="shared" si="258"/>
        <v>0</v>
      </c>
    </row>
    <row r="615" spans="1:18">
      <c r="A615" s="505"/>
      <c r="B615" s="511" t="s">
        <v>799</v>
      </c>
      <c r="C615" s="507">
        <v>8</v>
      </c>
      <c r="D615" s="508">
        <v>400</v>
      </c>
      <c r="E615" s="507">
        <v>2</v>
      </c>
      <c r="F615" s="502">
        <v>6</v>
      </c>
      <c r="G615" s="502">
        <f t="shared" si="372"/>
        <v>7</v>
      </c>
      <c r="H615" s="503"/>
      <c r="I615" s="503">
        <f>0.18+(20*C615/1000)</f>
        <v>0.33999999999999997</v>
      </c>
      <c r="J615" s="509"/>
      <c r="K615" s="509"/>
      <c r="L615" s="503">
        <f t="shared" ref="L615" si="373">SUM(H615:J615)+K615</f>
        <v>0.33999999999999997</v>
      </c>
      <c r="M615" s="503">
        <f t="shared" si="346"/>
        <v>28.56</v>
      </c>
      <c r="N615" s="503">
        <f t="shared" si="254"/>
        <v>0</v>
      </c>
      <c r="O615" s="503">
        <f t="shared" si="255"/>
        <v>0</v>
      </c>
      <c r="P615" s="503">
        <f t="shared" si="256"/>
        <v>0</v>
      </c>
      <c r="Q615" s="503">
        <f t="shared" si="257"/>
        <v>0</v>
      </c>
      <c r="R615" s="503">
        <f t="shared" si="258"/>
        <v>0</v>
      </c>
    </row>
    <row r="616" spans="1:18">
      <c r="A616" s="505"/>
      <c r="B616" s="506" t="s">
        <v>823</v>
      </c>
      <c r="C616" s="507">
        <v>16</v>
      </c>
      <c r="D616" s="508"/>
      <c r="E616" s="507">
        <v>2</v>
      </c>
      <c r="F616" s="502">
        <v>1</v>
      </c>
      <c r="G616" s="502">
        <v>8</v>
      </c>
      <c r="H616" s="503"/>
      <c r="I616" s="503">
        <f t="shared" ref="I616:I618" si="374">106.2-103.25</f>
        <v>2.9500000000000028</v>
      </c>
      <c r="J616" s="509"/>
      <c r="K616" s="509">
        <f t="shared" ref="K616:K618" si="375">1*36*C616/1000</f>
        <v>0.57599999999999996</v>
      </c>
      <c r="L616" s="503">
        <f t="shared" ref="L616:L633" si="376">SUM(H616:J616)+K616</f>
        <v>3.5260000000000029</v>
      </c>
      <c r="M616" s="503">
        <f t="shared" si="346"/>
        <v>0</v>
      </c>
      <c r="N616" s="503">
        <f t="shared" si="254"/>
        <v>0</v>
      </c>
      <c r="O616" s="503">
        <f t="shared" si="255"/>
        <v>0</v>
      </c>
      <c r="P616" s="503">
        <f t="shared" si="256"/>
        <v>56.42</v>
      </c>
      <c r="Q616" s="503">
        <f t="shared" si="257"/>
        <v>0</v>
      </c>
      <c r="R616" s="503">
        <f t="shared" si="258"/>
        <v>0</v>
      </c>
    </row>
    <row r="617" spans="1:18">
      <c r="A617" s="505"/>
      <c r="B617" s="511"/>
      <c r="C617" s="507">
        <v>12</v>
      </c>
      <c r="D617" s="508"/>
      <c r="E617" s="507">
        <v>2</v>
      </c>
      <c r="F617" s="502">
        <v>1</v>
      </c>
      <c r="G617" s="502">
        <v>16</v>
      </c>
      <c r="H617" s="503"/>
      <c r="I617" s="503">
        <f t="shared" si="374"/>
        <v>2.9500000000000028</v>
      </c>
      <c r="J617" s="509"/>
      <c r="K617" s="509">
        <f t="shared" si="375"/>
        <v>0.432</v>
      </c>
      <c r="L617" s="503">
        <f t="shared" si="376"/>
        <v>3.3820000000000028</v>
      </c>
      <c r="M617" s="503">
        <f t="shared" si="346"/>
        <v>0</v>
      </c>
      <c r="N617" s="503">
        <f t="shared" si="254"/>
        <v>0</v>
      </c>
      <c r="O617" s="503">
        <f t="shared" si="255"/>
        <v>108.22</v>
      </c>
      <c r="P617" s="503">
        <f t="shared" si="256"/>
        <v>0</v>
      </c>
      <c r="Q617" s="503">
        <f t="shared" si="257"/>
        <v>0</v>
      </c>
      <c r="R617" s="503">
        <f t="shared" si="258"/>
        <v>0</v>
      </c>
    </row>
    <row r="618" spans="1:18">
      <c r="A618" s="505"/>
      <c r="B618" s="511"/>
      <c r="C618" s="507">
        <v>10</v>
      </c>
      <c r="D618" s="508"/>
      <c r="E618" s="507">
        <v>2</v>
      </c>
      <c r="F618" s="502">
        <v>1</v>
      </c>
      <c r="G618" s="502">
        <v>6</v>
      </c>
      <c r="H618" s="503"/>
      <c r="I618" s="503">
        <f t="shared" si="374"/>
        <v>2.9500000000000028</v>
      </c>
      <c r="J618" s="509"/>
      <c r="K618" s="509">
        <f t="shared" si="375"/>
        <v>0.36</v>
      </c>
      <c r="L618" s="503">
        <f t="shared" si="376"/>
        <v>3.3100000000000027</v>
      </c>
      <c r="M618" s="503">
        <f t="shared" si="346"/>
        <v>0</v>
      </c>
      <c r="N618" s="503">
        <f t="shared" si="254"/>
        <v>39.72</v>
      </c>
      <c r="O618" s="503">
        <f t="shared" si="255"/>
        <v>0</v>
      </c>
      <c r="P618" s="503">
        <f t="shared" si="256"/>
        <v>0</v>
      </c>
      <c r="Q618" s="503">
        <f t="shared" si="257"/>
        <v>0</v>
      </c>
      <c r="R618" s="503">
        <f t="shared" si="258"/>
        <v>0</v>
      </c>
    </row>
    <row r="619" spans="1:18">
      <c r="A619" s="505"/>
      <c r="B619" s="511" t="s">
        <v>797</v>
      </c>
      <c r="C619" s="507"/>
      <c r="D619" s="508"/>
      <c r="E619" s="507"/>
      <c r="F619" s="502"/>
      <c r="G619" s="502"/>
      <c r="H619" s="503"/>
      <c r="I619" s="503"/>
      <c r="J619" s="509"/>
      <c r="K619" s="509"/>
      <c r="L619" s="503">
        <f t="shared" si="376"/>
        <v>0</v>
      </c>
      <c r="M619" s="503">
        <f t="shared" si="346"/>
        <v>0</v>
      </c>
      <c r="N619" s="503">
        <f t="shared" si="254"/>
        <v>0</v>
      </c>
      <c r="O619" s="503">
        <f t="shared" si="255"/>
        <v>0</v>
      </c>
      <c r="P619" s="503">
        <f t="shared" si="256"/>
        <v>0</v>
      </c>
      <c r="Q619" s="503">
        <f t="shared" si="257"/>
        <v>0</v>
      </c>
      <c r="R619" s="503">
        <f t="shared" si="258"/>
        <v>0</v>
      </c>
    </row>
    <row r="620" spans="1:18">
      <c r="A620" s="505"/>
      <c r="B620" s="511" t="s">
        <v>810</v>
      </c>
      <c r="C620" s="507">
        <v>8</v>
      </c>
      <c r="D620" s="508">
        <v>100</v>
      </c>
      <c r="E620" s="507">
        <v>2</v>
      </c>
      <c r="F620" s="502">
        <v>1</v>
      </c>
      <c r="G620" s="502">
        <f t="shared" ref="G620:G627" si="377">+ROUND(2450/D620+1,0)</f>
        <v>26</v>
      </c>
      <c r="H620" s="503"/>
      <c r="I620" s="503">
        <f>2*(0.18+0.6)+24*C620/1000</f>
        <v>1.752</v>
      </c>
      <c r="J620" s="509"/>
      <c r="K620" s="509"/>
      <c r="L620" s="503">
        <f t="shared" si="376"/>
        <v>1.752</v>
      </c>
      <c r="M620" s="503">
        <f t="shared" si="346"/>
        <v>91.1</v>
      </c>
      <c r="N620" s="503">
        <f t="shared" si="254"/>
        <v>0</v>
      </c>
      <c r="O620" s="503">
        <f t="shared" si="255"/>
        <v>0</v>
      </c>
      <c r="P620" s="503">
        <f t="shared" si="256"/>
        <v>0</v>
      </c>
      <c r="Q620" s="503">
        <f t="shared" si="257"/>
        <v>0</v>
      </c>
      <c r="R620" s="503">
        <f t="shared" si="258"/>
        <v>0</v>
      </c>
    </row>
    <row r="621" spans="1:18">
      <c r="A621" s="505"/>
      <c r="B621" s="511" t="s">
        <v>811</v>
      </c>
      <c r="C621" s="507">
        <v>8</v>
      </c>
      <c r="D621" s="508">
        <v>100</v>
      </c>
      <c r="E621" s="507">
        <v>2</v>
      </c>
      <c r="F621" s="502">
        <v>1</v>
      </c>
      <c r="G621" s="502">
        <f t="shared" si="377"/>
        <v>26</v>
      </c>
      <c r="H621" s="503"/>
      <c r="I621" s="503">
        <f>2*(0.18+0.248)+24*C621/1000</f>
        <v>1.048</v>
      </c>
      <c r="J621" s="509"/>
      <c r="K621" s="509"/>
      <c r="L621" s="503">
        <f t="shared" si="376"/>
        <v>1.048</v>
      </c>
      <c r="M621" s="503">
        <f t="shared" si="346"/>
        <v>54.5</v>
      </c>
      <c r="N621" s="503">
        <f t="shared" si="254"/>
        <v>0</v>
      </c>
      <c r="O621" s="503">
        <f t="shared" si="255"/>
        <v>0</v>
      </c>
      <c r="P621" s="503">
        <f t="shared" si="256"/>
        <v>0</v>
      </c>
      <c r="Q621" s="503">
        <f t="shared" si="257"/>
        <v>0</v>
      </c>
      <c r="R621" s="503">
        <f t="shared" si="258"/>
        <v>0</v>
      </c>
    </row>
    <row r="622" spans="1:18">
      <c r="A622" s="505"/>
      <c r="B622" s="511" t="s">
        <v>798</v>
      </c>
      <c r="C622" s="507">
        <v>8</v>
      </c>
      <c r="D622" s="508">
        <v>100</v>
      </c>
      <c r="E622" s="507">
        <v>2</v>
      </c>
      <c r="F622" s="502">
        <v>1</v>
      </c>
      <c r="G622" s="502">
        <f t="shared" si="377"/>
        <v>26</v>
      </c>
      <c r="H622" s="503"/>
      <c r="I622" s="503">
        <f>0.18+(20*C622/1000)</f>
        <v>0.33999999999999997</v>
      </c>
      <c r="J622" s="509"/>
      <c r="K622" s="509"/>
      <c r="L622" s="503">
        <f t="shared" si="376"/>
        <v>0.33999999999999997</v>
      </c>
      <c r="M622" s="503">
        <f t="shared" si="346"/>
        <v>17.68</v>
      </c>
      <c r="N622" s="503">
        <f t="shared" si="254"/>
        <v>0</v>
      </c>
      <c r="O622" s="503">
        <f t="shared" si="255"/>
        <v>0</v>
      </c>
      <c r="P622" s="503">
        <f t="shared" si="256"/>
        <v>0</v>
      </c>
      <c r="Q622" s="503">
        <f t="shared" si="257"/>
        <v>0</v>
      </c>
      <c r="R622" s="503">
        <f t="shared" si="258"/>
        <v>0</v>
      </c>
    </row>
    <row r="623" spans="1:18">
      <c r="A623" s="505"/>
      <c r="B623" s="511" t="s">
        <v>812</v>
      </c>
      <c r="C623" s="507">
        <v>8</v>
      </c>
      <c r="D623" s="508">
        <v>100</v>
      </c>
      <c r="E623" s="507">
        <v>2</v>
      </c>
      <c r="F623" s="502">
        <v>2</v>
      </c>
      <c r="G623" s="502">
        <f t="shared" si="377"/>
        <v>26</v>
      </c>
      <c r="H623" s="503"/>
      <c r="I623" s="503">
        <f>2*(0.18+0.385)+24*C623/1000</f>
        <v>1.3219999999999998</v>
      </c>
      <c r="J623" s="509"/>
      <c r="K623" s="509"/>
      <c r="L623" s="503">
        <f t="shared" si="376"/>
        <v>1.3219999999999998</v>
      </c>
      <c r="M623" s="503">
        <f t="shared" si="346"/>
        <v>137.49</v>
      </c>
      <c r="N623" s="503">
        <f t="shared" si="254"/>
        <v>0</v>
      </c>
      <c r="O623" s="503">
        <f t="shared" si="255"/>
        <v>0</v>
      </c>
      <c r="P623" s="503">
        <f t="shared" si="256"/>
        <v>0</v>
      </c>
      <c r="Q623" s="503">
        <f t="shared" si="257"/>
        <v>0</v>
      </c>
      <c r="R623" s="503">
        <f t="shared" si="258"/>
        <v>0</v>
      </c>
    </row>
    <row r="624" spans="1:18">
      <c r="A624" s="505"/>
      <c r="B624" s="511" t="s">
        <v>813</v>
      </c>
      <c r="C624" s="507">
        <v>8</v>
      </c>
      <c r="D624" s="508">
        <v>100</v>
      </c>
      <c r="E624" s="507">
        <v>2</v>
      </c>
      <c r="F624" s="502">
        <v>1</v>
      </c>
      <c r="G624" s="502">
        <f t="shared" si="377"/>
        <v>26</v>
      </c>
      <c r="H624" s="503"/>
      <c r="I624" s="503">
        <f>2*(0.18+0.268)+24*C624/1000</f>
        <v>1.0880000000000001</v>
      </c>
      <c r="J624" s="509"/>
      <c r="K624" s="509"/>
      <c r="L624" s="503">
        <f t="shared" si="376"/>
        <v>1.0880000000000001</v>
      </c>
      <c r="M624" s="503">
        <f t="shared" si="346"/>
        <v>56.58</v>
      </c>
      <c r="N624" s="503">
        <f t="shared" si="254"/>
        <v>0</v>
      </c>
      <c r="O624" s="503">
        <f t="shared" si="255"/>
        <v>0</v>
      </c>
      <c r="P624" s="503">
        <f t="shared" si="256"/>
        <v>0</v>
      </c>
      <c r="Q624" s="503">
        <f t="shared" si="257"/>
        <v>0</v>
      </c>
      <c r="R624" s="503">
        <f t="shared" si="258"/>
        <v>0</v>
      </c>
    </row>
    <row r="625" spans="1:19">
      <c r="A625" s="505"/>
      <c r="B625" s="511" t="s">
        <v>798</v>
      </c>
      <c r="C625" s="507">
        <v>8</v>
      </c>
      <c r="D625" s="508">
        <v>100</v>
      </c>
      <c r="E625" s="507">
        <v>2</v>
      </c>
      <c r="F625" s="502">
        <v>1</v>
      </c>
      <c r="G625" s="502">
        <f t="shared" si="377"/>
        <v>26</v>
      </c>
      <c r="H625" s="503"/>
      <c r="I625" s="503">
        <f>0.18+(20*C625/1000)</f>
        <v>0.33999999999999997</v>
      </c>
      <c r="J625" s="509"/>
      <c r="K625" s="509"/>
      <c r="L625" s="503">
        <f t="shared" si="376"/>
        <v>0.33999999999999997</v>
      </c>
      <c r="M625" s="503">
        <f t="shared" si="346"/>
        <v>17.68</v>
      </c>
      <c r="N625" s="503">
        <f t="shared" si="254"/>
        <v>0</v>
      </c>
      <c r="O625" s="503">
        <f t="shared" si="255"/>
        <v>0</v>
      </c>
      <c r="P625" s="503">
        <f t="shared" si="256"/>
        <v>0</v>
      </c>
      <c r="Q625" s="503">
        <f t="shared" si="257"/>
        <v>0</v>
      </c>
      <c r="R625" s="503">
        <f t="shared" si="258"/>
        <v>0</v>
      </c>
    </row>
    <row r="626" spans="1:19">
      <c r="A626" s="505"/>
      <c r="B626" s="511" t="s">
        <v>824</v>
      </c>
      <c r="C626" s="507">
        <v>8</v>
      </c>
      <c r="D626" s="508">
        <v>200</v>
      </c>
      <c r="E626" s="507">
        <v>2</v>
      </c>
      <c r="F626" s="502">
        <v>1</v>
      </c>
      <c r="G626" s="502">
        <f t="shared" si="377"/>
        <v>13</v>
      </c>
      <c r="H626" s="503"/>
      <c r="I626" s="503">
        <f>2*(0.18+0.751)+24*C626/1000</f>
        <v>2.0540000000000003</v>
      </c>
      <c r="J626" s="509"/>
      <c r="K626" s="509"/>
      <c r="L626" s="503">
        <f t="shared" si="376"/>
        <v>2.0540000000000003</v>
      </c>
      <c r="M626" s="503">
        <f t="shared" si="346"/>
        <v>53.4</v>
      </c>
      <c r="N626" s="503">
        <f t="shared" si="254"/>
        <v>0</v>
      </c>
      <c r="O626" s="503">
        <f t="shared" si="255"/>
        <v>0</v>
      </c>
      <c r="P626" s="503">
        <f t="shared" si="256"/>
        <v>0</v>
      </c>
      <c r="Q626" s="503">
        <f t="shared" si="257"/>
        <v>0</v>
      </c>
      <c r="R626" s="503">
        <f t="shared" si="258"/>
        <v>0</v>
      </c>
    </row>
    <row r="627" spans="1:19">
      <c r="A627" s="505"/>
      <c r="B627" s="511" t="s">
        <v>799</v>
      </c>
      <c r="C627" s="507">
        <v>8</v>
      </c>
      <c r="D627" s="508">
        <v>400</v>
      </c>
      <c r="E627" s="507">
        <v>2</v>
      </c>
      <c r="F627" s="502">
        <v>1</v>
      </c>
      <c r="G627" s="502">
        <f t="shared" si="377"/>
        <v>7</v>
      </c>
      <c r="H627" s="503"/>
      <c r="I627" s="503">
        <f>0.18+(20*C627/1000)</f>
        <v>0.33999999999999997</v>
      </c>
      <c r="J627" s="509"/>
      <c r="K627" s="509"/>
      <c r="L627" s="503">
        <f t="shared" si="376"/>
        <v>0.33999999999999997</v>
      </c>
      <c r="M627" s="503">
        <f t="shared" si="346"/>
        <v>4.76</v>
      </c>
      <c r="N627" s="503">
        <f t="shared" si="254"/>
        <v>0</v>
      </c>
      <c r="O627" s="503">
        <f t="shared" si="255"/>
        <v>0</v>
      </c>
      <c r="P627" s="503">
        <f t="shared" si="256"/>
        <v>0</v>
      </c>
      <c r="Q627" s="503">
        <f t="shared" si="257"/>
        <v>0</v>
      </c>
      <c r="R627" s="503">
        <f t="shared" si="258"/>
        <v>0</v>
      </c>
    </row>
    <row r="628" spans="1:19">
      <c r="A628" s="505"/>
      <c r="B628" s="506" t="s">
        <v>862</v>
      </c>
      <c r="C628" s="507">
        <v>16</v>
      </c>
      <c r="D628" s="508"/>
      <c r="E628" s="507">
        <v>2</v>
      </c>
      <c r="F628" s="502">
        <v>1</v>
      </c>
      <c r="G628" s="502">
        <v>8</v>
      </c>
      <c r="H628" s="503"/>
      <c r="I628" s="503">
        <f t="shared" ref="I628:I630" si="378">106.2-103.25</f>
        <v>2.9500000000000028</v>
      </c>
      <c r="J628" s="509"/>
      <c r="K628" s="509">
        <f t="shared" ref="K628:K630" si="379">1*36*C628/1000</f>
        <v>0.57599999999999996</v>
      </c>
      <c r="L628" s="503">
        <f t="shared" si="376"/>
        <v>3.5260000000000029</v>
      </c>
      <c r="M628" s="503">
        <f t="shared" si="346"/>
        <v>0</v>
      </c>
      <c r="N628" s="503">
        <f t="shared" si="254"/>
        <v>0</v>
      </c>
      <c r="O628" s="503">
        <f t="shared" si="255"/>
        <v>0</v>
      </c>
      <c r="P628" s="503">
        <f t="shared" si="256"/>
        <v>56.42</v>
      </c>
      <c r="Q628" s="503">
        <f t="shared" si="257"/>
        <v>0</v>
      </c>
      <c r="R628" s="503">
        <f t="shared" si="258"/>
        <v>0</v>
      </c>
    </row>
    <row r="629" spans="1:19">
      <c r="A629" s="505"/>
      <c r="B629" s="506"/>
      <c r="C629" s="507">
        <v>12</v>
      </c>
      <c r="D629" s="508"/>
      <c r="E629" s="507">
        <v>2</v>
      </c>
      <c r="F629" s="502">
        <v>1</v>
      </c>
      <c r="G629" s="502">
        <v>8</v>
      </c>
      <c r="H629" s="503"/>
      <c r="I629" s="503">
        <f t="shared" si="378"/>
        <v>2.9500000000000028</v>
      </c>
      <c r="J629" s="509"/>
      <c r="K629" s="509">
        <f t="shared" si="379"/>
        <v>0.432</v>
      </c>
      <c r="L629" s="503">
        <f t="shared" si="376"/>
        <v>3.3820000000000028</v>
      </c>
      <c r="M629" s="503">
        <f t="shared" si="346"/>
        <v>0</v>
      </c>
      <c r="N629" s="503">
        <f t="shared" si="254"/>
        <v>0</v>
      </c>
      <c r="O629" s="503">
        <f t="shared" si="255"/>
        <v>54.11</v>
      </c>
      <c r="P629" s="503">
        <f t="shared" si="256"/>
        <v>0</v>
      </c>
      <c r="Q629" s="503">
        <f t="shared" si="257"/>
        <v>0</v>
      </c>
      <c r="R629" s="503">
        <f t="shared" si="258"/>
        <v>0</v>
      </c>
    </row>
    <row r="630" spans="1:19">
      <c r="A630" s="505"/>
      <c r="B630" s="506"/>
      <c r="C630" s="507">
        <v>10</v>
      </c>
      <c r="D630" s="508"/>
      <c r="E630" s="507">
        <v>2</v>
      </c>
      <c r="F630" s="502">
        <v>1</v>
      </c>
      <c r="G630" s="502">
        <v>26</v>
      </c>
      <c r="H630" s="503"/>
      <c r="I630" s="503">
        <f t="shared" si="378"/>
        <v>2.9500000000000028</v>
      </c>
      <c r="J630" s="509"/>
      <c r="K630" s="509">
        <f t="shared" si="379"/>
        <v>0.36</v>
      </c>
      <c r="L630" s="503">
        <f t="shared" si="376"/>
        <v>3.3100000000000027</v>
      </c>
      <c r="M630" s="503">
        <f t="shared" si="346"/>
        <v>0</v>
      </c>
      <c r="N630" s="503">
        <f t="shared" si="254"/>
        <v>172.12</v>
      </c>
      <c r="O630" s="503">
        <f t="shared" si="255"/>
        <v>0</v>
      </c>
      <c r="P630" s="503">
        <f t="shared" si="256"/>
        <v>0</v>
      </c>
      <c r="Q630" s="503">
        <f t="shared" si="257"/>
        <v>0</v>
      </c>
      <c r="R630" s="503">
        <f t="shared" si="258"/>
        <v>0</v>
      </c>
    </row>
    <row r="631" spans="1:19">
      <c r="A631" s="505"/>
      <c r="B631" s="511" t="s">
        <v>797</v>
      </c>
      <c r="C631" s="507"/>
      <c r="D631" s="508"/>
      <c r="E631" s="507"/>
      <c r="F631" s="502"/>
      <c r="G631" s="502"/>
      <c r="H631" s="503"/>
      <c r="I631" s="503"/>
      <c r="J631" s="509"/>
      <c r="K631" s="509"/>
      <c r="L631" s="503">
        <f t="shared" si="376"/>
        <v>0</v>
      </c>
      <c r="M631" s="503">
        <f t="shared" si="346"/>
        <v>0</v>
      </c>
      <c r="N631" s="503">
        <f t="shared" si="254"/>
        <v>0</v>
      </c>
      <c r="O631" s="503">
        <f t="shared" si="255"/>
        <v>0</v>
      </c>
      <c r="P631" s="503">
        <f t="shared" si="256"/>
        <v>0</v>
      </c>
      <c r="Q631" s="503">
        <f t="shared" si="257"/>
        <v>0</v>
      </c>
      <c r="R631" s="503">
        <f t="shared" si="258"/>
        <v>0</v>
      </c>
    </row>
    <row r="632" spans="1:19">
      <c r="A632" s="505"/>
      <c r="B632" s="511" t="s">
        <v>863</v>
      </c>
      <c r="C632" s="507">
        <v>8</v>
      </c>
      <c r="D632" s="508">
        <v>100</v>
      </c>
      <c r="E632" s="507">
        <v>2</v>
      </c>
      <c r="F632" s="502">
        <v>2</v>
      </c>
      <c r="G632" s="502">
        <f t="shared" ref="G632:G635" si="380">+ROUND(2450/D632+1,0)</f>
        <v>26</v>
      </c>
      <c r="H632" s="503"/>
      <c r="I632" s="503">
        <f>2*(0.14+0.383)+24*C632/1000</f>
        <v>1.238</v>
      </c>
      <c r="J632" s="509"/>
      <c r="K632" s="509"/>
      <c r="L632" s="503">
        <f t="shared" si="376"/>
        <v>1.238</v>
      </c>
      <c r="M632" s="503">
        <f t="shared" si="346"/>
        <v>128.75</v>
      </c>
      <c r="N632" s="503">
        <f t="shared" si="254"/>
        <v>0</v>
      </c>
      <c r="O632" s="503">
        <f t="shared" si="255"/>
        <v>0</v>
      </c>
      <c r="P632" s="503">
        <f t="shared" si="256"/>
        <v>0</v>
      </c>
      <c r="Q632" s="503">
        <f t="shared" si="257"/>
        <v>0</v>
      </c>
      <c r="R632" s="503">
        <f t="shared" si="258"/>
        <v>0</v>
      </c>
    </row>
    <row r="633" spans="1:19">
      <c r="A633" s="505"/>
      <c r="B633" s="511" t="s">
        <v>827</v>
      </c>
      <c r="C633" s="507">
        <v>8</v>
      </c>
      <c r="D633" s="508">
        <v>100</v>
      </c>
      <c r="E633" s="507">
        <v>2</v>
      </c>
      <c r="F633" s="502">
        <v>2</v>
      </c>
      <c r="G633" s="502">
        <f t="shared" si="380"/>
        <v>26</v>
      </c>
      <c r="H633" s="503"/>
      <c r="I633" s="503">
        <f>2*(0.14+0.133)+24*C633/1000</f>
        <v>0.73799999999999999</v>
      </c>
      <c r="J633" s="509"/>
      <c r="K633" s="509"/>
      <c r="L633" s="503">
        <f t="shared" si="376"/>
        <v>0.73799999999999999</v>
      </c>
      <c r="M633" s="503">
        <f t="shared" si="346"/>
        <v>76.75</v>
      </c>
      <c r="N633" s="503">
        <f t="shared" si="254"/>
        <v>0</v>
      </c>
      <c r="O633" s="503">
        <f t="shared" si="255"/>
        <v>0</v>
      </c>
      <c r="P633" s="503">
        <f t="shared" si="256"/>
        <v>0</v>
      </c>
      <c r="Q633" s="503">
        <f t="shared" si="257"/>
        <v>0</v>
      </c>
      <c r="R633" s="503">
        <f t="shared" si="258"/>
        <v>0</v>
      </c>
    </row>
    <row r="634" spans="1:19">
      <c r="A634" s="505"/>
      <c r="B634" s="511" t="s">
        <v>864</v>
      </c>
      <c r="C634" s="507">
        <v>8</v>
      </c>
      <c r="D634" s="508">
        <v>200</v>
      </c>
      <c r="E634" s="507">
        <v>2</v>
      </c>
      <c r="F634" s="502">
        <v>1</v>
      </c>
      <c r="G634" s="502">
        <f t="shared" si="380"/>
        <v>13</v>
      </c>
      <c r="H634" s="503"/>
      <c r="I634" s="503">
        <f>2*(0.14+2.661)+24*C634/1000</f>
        <v>5.7940000000000005</v>
      </c>
      <c r="J634" s="509"/>
      <c r="K634" s="509"/>
      <c r="L634" s="503">
        <f t="shared" ref="L634:L635" si="381">SUM(H634:J634)+K634</f>
        <v>5.7940000000000005</v>
      </c>
      <c r="M634" s="503">
        <f t="shared" si="346"/>
        <v>150.63999999999999</v>
      </c>
      <c r="N634" s="503">
        <f t="shared" si="254"/>
        <v>0</v>
      </c>
      <c r="O634" s="503">
        <f t="shared" si="255"/>
        <v>0</v>
      </c>
      <c r="P634" s="503">
        <f t="shared" si="256"/>
        <v>0</v>
      </c>
      <c r="Q634" s="503">
        <f t="shared" si="257"/>
        <v>0</v>
      </c>
      <c r="R634" s="503">
        <f t="shared" si="258"/>
        <v>0</v>
      </c>
    </row>
    <row r="635" spans="1:19">
      <c r="A635" s="505"/>
      <c r="B635" s="511" t="s">
        <v>799</v>
      </c>
      <c r="C635" s="507">
        <v>8</v>
      </c>
      <c r="D635" s="508">
        <v>400</v>
      </c>
      <c r="E635" s="507">
        <v>2</v>
      </c>
      <c r="F635" s="502">
        <v>6</v>
      </c>
      <c r="G635" s="502">
        <f t="shared" si="380"/>
        <v>7</v>
      </c>
      <c r="H635" s="503"/>
      <c r="I635" s="503">
        <f>0.14+(20*C635/1000)</f>
        <v>0.30000000000000004</v>
      </c>
      <c r="J635" s="509"/>
      <c r="K635" s="509"/>
      <c r="L635" s="503">
        <f t="shared" si="381"/>
        <v>0.30000000000000004</v>
      </c>
      <c r="M635" s="503">
        <f t="shared" si="346"/>
        <v>25.2</v>
      </c>
      <c r="N635" s="503">
        <f t="shared" si="254"/>
        <v>0</v>
      </c>
      <c r="O635" s="503">
        <f t="shared" si="255"/>
        <v>0</v>
      </c>
      <c r="P635" s="503">
        <f t="shared" si="256"/>
        <v>0</v>
      </c>
      <c r="Q635" s="503">
        <f t="shared" si="257"/>
        <v>0</v>
      </c>
      <c r="R635" s="503">
        <f t="shared" si="258"/>
        <v>0</v>
      </c>
    </row>
    <row r="636" spans="1:19">
      <c r="A636" s="505"/>
      <c r="B636" s="511"/>
      <c r="C636" s="507"/>
      <c r="D636" s="508"/>
      <c r="E636" s="507"/>
      <c r="F636" s="502"/>
      <c r="G636" s="502"/>
      <c r="H636" s="503"/>
      <c r="I636" s="503"/>
      <c r="J636" s="509"/>
      <c r="K636" s="509"/>
      <c r="L636" s="503">
        <f t="shared" ref="L636" si="382">SUM(H636:J636)+K636</f>
        <v>0</v>
      </c>
      <c r="M636" s="503">
        <f t="shared" ref="M636" si="383">+ROUND(IF(C636=8,PRODUCT(E636,F636,G636,L636),0),2)</f>
        <v>0</v>
      </c>
      <c r="N636" s="503">
        <f t="shared" si="254"/>
        <v>0</v>
      </c>
      <c r="O636" s="503">
        <f t="shared" si="255"/>
        <v>0</v>
      </c>
      <c r="P636" s="503">
        <f t="shared" si="256"/>
        <v>0</v>
      </c>
      <c r="Q636" s="503">
        <f t="shared" si="257"/>
        <v>0</v>
      </c>
      <c r="R636" s="503">
        <f t="shared" si="258"/>
        <v>0</v>
      </c>
    </row>
    <row r="637" spans="1:19">
      <c r="A637" s="531"/>
      <c r="B637" s="532" t="s">
        <v>865</v>
      </c>
      <c r="C637" s="521"/>
      <c r="D637" s="522"/>
      <c r="E637" s="521"/>
      <c r="F637" s="523"/>
      <c r="G637" s="523"/>
      <c r="H637" s="524"/>
      <c r="I637" s="524"/>
      <c r="J637" s="524"/>
      <c r="K637" s="524"/>
      <c r="L637" s="524"/>
      <c r="M637" s="526">
        <f>SUM(M426:M636)*0.395</f>
        <v>4084.6634000000004</v>
      </c>
      <c r="N637" s="526">
        <f>SUM(N426:N636)*0.617</f>
        <v>5698.6181700000016</v>
      </c>
      <c r="O637" s="526">
        <f>SUM(O426:O636)*0.889</f>
        <v>3692.0792299999989</v>
      </c>
      <c r="P637" s="526">
        <f>SUM(P426:P636)*1.58</f>
        <v>5281.4502000000011</v>
      </c>
      <c r="Q637" s="526">
        <f>SUM(Q426:Q636)*2.46</f>
        <v>1661.1887999999999</v>
      </c>
      <c r="R637" s="526">
        <f>SUM(R426:R636)*3.85</f>
        <v>237.16000000000003</v>
      </c>
      <c r="S637" s="527">
        <f>SUM(M637:R637)</f>
        <v>20655.159800000001</v>
      </c>
    </row>
    <row r="638" spans="1:19">
      <c r="A638" s="505"/>
      <c r="B638" s="506" t="s">
        <v>866</v>
      </c>
      <c r="C638" s="507"/>
      <c r="D638" s="508"/>
      <c r="E638" s="507"/>
      <c r="F638" s="502"/>
      <c r="G638" s="502"/>
      <c r="H638" s="503"/>
      <c r="I638" s="503"/>
      <c r="J638" s="509"/>
      <c r="K638" s="481"/>
      <c r="L638" s="503"/>
      <c r="M638" s="503"/>
      <c r="N638" s="503"/>
      <c r="O638" s="503"/>
      <c r="P638" s="503"/>
      <c r="Q638" s="503"/>
      <c r="R638" s="503"/>
    </row>
    <row r="639" spans="1:19">
      <c r="A639" s="505"/>
      <c r="B639" s="506" t="s">
        <v>786</v>
      </c>
      <c r="C639" s="507">
        <v>16</v>
      </c>
      <c r="D639" s="508"/>
      <c r="E639" s="507">
        <v>28</v>
      </c>
      <c r="F639" s="502">
        <v>1</v>
      </c>
      <c r="G639" s="502">
        <v>4</v>
      </c>
      <c r="H639" s="503"/>
      <c r="I639" s="503">
        <f>106.2-103.25</f>
        <v>2.9500000000000028</v>
      </c>
      <c r="J639" s="509"/>
      <c r="K639" s="509">
        <f t="shared" ref="K639:K640" si="384">1*36*C639/1000</f>
        <v>0.57599999999999996</v>
      </c>
      <c r="L639" s="503">
        <f>SUM(H639:J639)+K639</f>
        <v>3.5260000000000029</v>
      </c>
      <c r="M639" s="503">
        <f t="shared" ref="M639:M764" si="385">+ROUND(IF(C639=8,PRODUCT(E639,F639,G639,L639),0),2)</f>
        <v>0</v>
      </c>
      <c r="N639" s="503">
        <f t="shared" ref="N639:N851" si="386">+ROUND(IF(C639=10,PRODUCT(E639,F639,G639,L639),0),2)</f>
        <v>0</v>
      </c>
      <c r="O639" s="503">
        <f t="shared" ref="O639:O851" si="387">+ROUND(IF(C639=12,PRODUCT(E639,F639,G639,L639),0),2)</f>
        <v>0</v>
      </c>
      <c r="P639" s="503">
        <f t="shared" ref="P639:P851" si="388">+ROUND(IF(C639=16,PRODUCT(E639,F639,G639,L639),0),2)</f>
        <v>394.91</v>
      </c>
      <c r="Q639" s="503">
        <f t="shared" ref="Q639:Q851" si="389">+ROUND(IF(C639=20,PRODUCT(E639,F639,G639,L639),0),2)</f>
        <v>0</v>
      </c>
      <c r="R639" s="503">
        <f t="shared" ref="R639:R851" si="390">+ROUND(IF(C639=25,PRODUCT(E639,F639,G639,L639),0),2)</f>
        <v>0</v>
      </c>
    </row>
    <row r="640" spans="1:19">
      <c r="A640" s="505"/>
      <c r="B640" s="511"/>
      <c r="C640" s="507">
        <v>12</v>
      </c>
      <c r="D640" s="508"/>
      <c r="E640" s="507">
        <f>+E639</f>
        <v>28</v>
      </c>
      <c r="F640" s="502">
        <v>1</v>
      </c>
      <c r="G640" s="502">
        <v>10</v>
      </c>
      <c r="H640" s="503"/>
      <c r="I640" s="503">
        <f>106.2-103.25</f>
        <v>2.9500000000000028</v>
      </c>
      <c r="J640" s="509"/>
      <c r="K640" s="509">
        <f t="shared" si="384"/>
        <v>0.432</v>
      </c>
      <c r="L640" s="503">
        <f t="shared" ref="L640:L667" si="391">SUM(H640:J640)+K640</f>
        <v>3.3820000000000028</v>
      </c>
      <c r="M640" s="503">
        <f t="shared" si="385"/>
        <v>0</v>
      </c>
      <c r="N640" s="503">
        <f t="shared" si="386"/>
        <v>0</v>
      </c>
      <c r="O640" s="503">
        <f t="shared" si="387"/>
        <v>946.96</v>
      </c>
      <c r="P640" s="503">
        <f t="shared" si="388"/>
        <v>0</v>
      </c>
      <c r="Q640" s="503">
        <f t="shared" si="389"/>
        <v>0</v>
      </c>
      <c r="R640" s="503">
        <f t="shared" si="390"/>
        <v>0</v>
      </c>
    </row>
    <row r="641" spans="1:18">
      <c r="A641" s="505"/>
      <c r="B641" s="511" t="s">
        <v>787</v>
      </c>
      <c r="C641" s="507">
        <v>10</v>
      </c>
      <c r="D641" s="508">
        <v>75</v>
      </c>
      <c r="E641" s="507">
        <f>+E640</f>
        <v>28</v>
      </c>
      <c r="F641" s="502">
        <v>2</v>
      </c>
      <c r="G641" s="502">
        <f>+ROUND(600/D641,0)</f>
        <v>8</v>
      </c>
      <c r="H641" s="503"/>
      <c r="I641" s="503">
        <f>2*(0.22+0.52)+24*0.01</f>
        <v>1.72</v>
      </c>
      <c r="J641" s="509"/>
      <c r="K641" s="509"/>
      <c r="L641" s="503">
        <f t="shared" si="391"/>
        <v>1.72</v>
      </c>
      <c r="M641" s="503">
        <f t="shared" si="385"/>
        <v>0</v>
      </c>
      <c r="N641" s="503">
        <f t="shared" si="386"/>
        <v>770.56</v>
      </c>
      <c r="O641" s="503">
        <f t="shared" si="387"/>
        <v>0</v>
      </c>
      <c r="P641" s="503">
        <f t="shared" si="388"/>
        <v>0</v>
      </c>
      <c r="Q641" s="503">
        <f t="shared" si="389"/>
        <v>0</v>
      </c>
      <c r="R641" s="503">
        <f t="shared" si="390"/>
        <v>0</v>
      </c>
    </row>
    <row r="642" spans="1:18">
      <c r="A642" s="505"/>
      <c r="B642" s="511"/>
      <c r="C642" s="507">
        <v>10</v>
      </c>
      <c r="D642" s="508">
        <v>75</v>
      </c>
      <c r="E642" s="507">
        <f t="shared" ref="E642:E646" si="392">+E641</f>
        <v>28</v>
      </c>
      <c r="F642" s="502">
        <v>2</v>
      </c>
      <c r="G642" s="502">
        <f t="shared" ref="G642:G643" si="393">+ROUND(600/D642,0)</f>
        <v>8</v>
      </c>
      <c r="H642" s="503"/>
      <c r="I642" s="503">
        <f>2*(0.22+0.115)+24*0.01</f>
        <v>0.91</v>
      </c>
      <c r="J642" s="509"/>
      <c r="K642" s="509"/>
      <c r="L642" s="503">
        <f t="shared" si="391"/>
        <v>0.91</v>
      </c>
      <c r="M642" s="503">
        <f t="shared" si="385"/>
        <v>0</v>
      </c>
      <c r="N642" s="503">
        <f t="shared" si="386"/>
        <v>407.68</v>
      </c>
      <c r="O642" s="503">
        <f t="shared" si="387"/>
        <v>0</v>
      </c>
      <c r="P642" s="503">
        <f t="shared" si="388"/>
        <v>0</v>
      </c>
      <c r="Q642" s="503">
        <f t="shared" si="389"/>
        <v>0</v>
      </c>
      <c r="R642" s="503">
        <f t="shared" si="390"/>
        <v>0</v>
      </c>
    </row>
    <row r="643" spans="1:18">
      <c r="A643" s="505"/>
      <c r="B643" s="511"/>
      <c r="C643" s="507">
        <v>10</v>
      </c>
      <c r="D643" s="508">
        <v>75</v>
      </c>
      <c r="E643" s="507">
        <f t="shared" si="392"/>
        <v>28</v>
      </c>
      <c r="F643" s="502">
        <f>2*2</f>
        <v>4</v>
      </c>
      <c r="G643" s="502">
        <f t="shared" si="393"/>
        <v>8</v>
      </c>
      <c r="H643" s="503"/>
      <c r="I643" s="503">
        <f>+(0.16+0.16+0.22)+0.24*0.01</f>
        <v>0.54239999999999999</v>
      </c>
      <c r="J643" s="509"/>
      <c r="K643" s="509"/>
      <c r="L643" s="503">
        <f t="shared" si="391"/>
        <v>0.54239999999999999</v>
      </c>
      <c r="M643" s="503">
        <f t="shared" si="385"/>
        <v>0</v>
      </c>
      <c r="N643" s="503">
        <f t="shared" si="386"/>
        <v>485.99</v>
      </c>
      <c r="O643" s="503">
        <f t="shared" si="387"/>
        <v>0</v>
      </c>
      <c r="P643" s="503">
        <f t="shared" si="388"/>
        <v>0</v>
      </c>
      <c r="Q643" s="503">
        <f t="shared" si="389"/>
        <v>0</v>
      </c>
      <c r="R643" s="503">
        <f t="shared" si="390"/>
        <v>0</v>
      </c>
    </row>
    <row r="644" spans="1:18">
      <c r="A644" s="505"/>
      <c r="B644" s="511" t="s">
        <v>788</v>
      </c>
      <c r="C644" s="507">
        <v>8</v>
      </c>
      <c r="D644" s="508">
        <v>150</v>
      </c>
      <c r="E644" s="507">
        <f t="shared" si="392"/>
        <v>28</v>
      </c>
      <c r="F644" s="502">
        <v>1</v>
      </c>
      <c r="G644" s="502">
        <f>+ROUND(1250/D644+1,0)</f>
        <v>9</v>
      </c>
      <c r="H644" s="503"/>
      <c r="I644" s="503">
        <f>2*(0.22+0.52)+24*0.008</f>
        <v>1.6719999999999999</v>
      </c>
      <c r="J644" s="509"/>
      <c r="K644" s="509"/>
      <c r="L644" s="503">
        <f t="shared" si="391"/>
        <v>1.6719999999999999</v>
      </c>
      <c r="M644" s="503">
        <f t="shared" si="385"/>
        <v>421.34</v>
      </c>
      <c r="N644" s="503">
        <f t="shared" si="386"/>
        <v>0</v>
      </c>
      <c r="O644" s="503">
        <f t="shared" si="387"/>
        <v>0</v>
      </c>
      <c r="P644" s="503">
        <f t="shared" si="388"/>
        <v>0</v>
      </c>
      <c r="Q644" s="503">
        <f t="shared" si="389"/>
        <v>0</v>
      </c>
      <c r="R644" s="503">
        <f t="shared" si="390"/>
        <v>0</v>
      </c>
    </row>
    <row r="645" spans="1:18">
      <c r="A645" s="505"/>
      <c r="B645" s="511"/>
      <c r="C645" s="507">
        <v>8</v>
      </c>
      <c r="D645" s="508">
        <v>150</v>
      </c>
      <c r="E645" s="507">
        <f t="shared" si="392"/>
        <v>28</v>
      </c>
      <c r="F645" s="502">
        <v>1</v>
      </c>
      <c r="G645" s="502">
        <f t="shared" ref="G645:G646" si="394">+ROUND(1250/D645+1,0)</f>
        <v>9</v>
      </c>
      <c r="H645" s="503"/>
      <c r="I645" s="503">
        <f>2*(0.22+0.115)+24*0.008</f>
        <v>0.8620000000000001</v>
      </c>
      <c r="J645" s="509"/>
      <c r="K645" s="509"/>
      <c r="L645" s="503">
        <f t="shared" si="391"/>
        <v>0.8620000000000001</v>
      </c>
      <c r="M645" s="503">
        <f t="shared" si="385"/>
        <v>217.22</v>
      </c>
      <c r="N645" s="503">
        <f t="shared" si="386"/>
        <v>0</v>
      </c>
      <c r="O645" s="503">
        <f t="shared" si="387"/>
        <v>0</v>
      </c>
      <c r="P645" s="503">
        <f t="shared" si="388"/>
        <v>0</v>
      </c>
      <c r="Q645" s="503">
        <f t="shared" si="389"/>
        <v>0</v>
      </c>
      <c r="R645" s="503">
        <f t="shared" si="390"/>
        <v>0</v>
      </c>
    </row>
    <row r="646" spans="1:18">
      <c r="A646" s="505"/>
      <c r="B646" s="511"/>
      <c r="C646" s="507">
        <v>8</v>
      </c>
      <c r="D646" s="508">
        <v>150</v>
      </c>
      <c r="E646" s="507">
        <f t="shared" si="392"/>
        <v>28</v>
      </c>
      <c r="F646" s="502">
        <v>2</v>
      </c>
      <c r="G646" s="502">
        <f t="shared" si="394"/>
        <v>9</v>
      </c>
      <c r="H646" s="503"/>
      <c r="I646" s="503">
        <f>+(0.16+0.16+0.22)+0.2*0.008</f>
        <v>0.54160000000000008</v>
      </c>
      <c r="J646" s="509"/>
      <c r="K646" s="509"/>
      <c r="L646" s="503">
        <f t="shared" si="391"/>
        <v>0.54160000000000008</v>
      </c>
      <c r="M646" s="503">
        <f t="shared" si="385"/>
        <v>272.97000000000003</v>
      </c>
      <c r="N646" s="503">
        <f t="shared" si="386"/>
        <v>0</v>
      </c>
      <c r="O646" s="503">
        <f t="shared" si="387"/>
        <v>0</v>
      </c>
      <c r="P646" s="503">
        <f t="shared" si="388"/>
        <v>0</v>
      </c>
      <c r="Q646" s="503">
        <f t="shared" si="389"/>
        <v>0</v>
      </c>
      <c r="R646" s="503">
        <f t="shared" si="390"/>
        <v>0</v>
      </c>
    </row>
    <row r="647" spans="1:18">
      <c r="A647" s="505"/>
      <c r="B647" s="506" t="s">
        <v>789</v>
      </c>
      <c r="C647" s="507">
        <v>16</v>
      </c>
      <c r="D647" s="508"/>
      <c r="E647" s="507">
        <v>12</v>
      </c>
      <c r="F647" s="502">
        <v>1</v>
      </c>
      <c r="G647" s="502">
        <v>6</v>
      </c>
      <c r="H647" s="503"/>
      <c r="I647" s="503">
        <f t="shared" ref="I647:I648" si="395">106.2-103.25</f>
        <v>2.9500000000000028</v>
      </c>
      <c r="J647" s="509"/>
      <c r="K647" s="509">
        <f t="shared" ref="K647:K648" si="396">1*36*C647/1000</f>
        <v>0.57599999999999996</v>
      </c>
      <c r="L647" s="503">
        <f t="shared" si="391"/>
        <v>3.5260000000000029</v>
      </c>
      <c r="M647" s="503">
        <f t="shared" si="385"/>
        <v>0</v>
      </c>
      <c r="N647" s="503">
        <f t="shared" si="386"/>
        <v>0</v>
      </c>
      <c r="O647" s="503">
        <f t="shared" si="387"/>
        <v>0</v>
      </c>
      <c r="P647" s="503">
        <f t="shared" si="388"/>
        <v>253.87</v>
      </c>
      <c r="Q647" s="503">
        <f t="shared" si="389"/>
        <v>0</v>
      </c>
      <c r="R647" s="503">
        <f t="shared" si="390"/>
        <v>0</v>
      </c>
    </row>
    <row r="648" spans="1:18">
      <c r="A648" s="505"/>
      <c r="B648" s="506"/>
      <c r="C648" s="507">
        <v>12</v>
      </c>
      <c r="D648" s="508"/>
      <c r="E648" s="507">
        <v>12</v>
      </c>
      <c r="F648" s="502">
        <v>1</v>
      </c>
      <c r="G648" s="502">
        <v>8</v>
      </c>
      <c r="H648" s="503"/>
      <c r="I648" s="503">
        <f t="shared" si="395"/>
        <v>2.9500000000000028</v>
      </c>
      <c r="J648" s="509"/>
      <c r="K648" s="509">
        <f t="shared" si="396"/>
        <v>0.432</v>
      </c>
      <c r="L648" s="503">
        <f t="shared" si="391"/>
        <v>3.3820000000000028</v>
      </c>
      <c r="M648" s="503">
        <f t="shared" si="385"/>
        <v>0</v>
      </c>
      <c r="N648" s="503">
        <f t="shared" si="386"/>
        <v>0</v>
      </c>
      <c r="O648" s="503">
        <f t="shared" si="387"/>
        <v>324.67</v>
      </c>
      <c r="P648" s="503">
        <f t="shared" si="388"/>
        <v>0</v>
      </c>
      <c r="Q648" s="503">
        <f t="shared" si="389"/>
        <v>0</v>
      </c>
      <c r="R648" s="503">
        <f t="shared" si="390"/>
        <v>0</v>
      </c>
    </row>
    <row r="649" spans="1:18">
      <c r="A649" s="505"/>
      <c r="B649" s="511" t="s">
        <v>787</v>
      </c>
      <c r="C649" s="507">
        <v>10</v>
      </c>
      <c r="D649" s="508">
        <v>75</v>
      </c>
      <c r="E649" s="507">
        <v>12</v>
      </c>
      <c r="F649" s="502">
        <v>2</v>
      </c>
      <c r="G649" s="502">
        <f>+ROUND(600/D649,0)</f>
        <v>8</v>
      </c>
      <c r="H649" s="503"/>
      <c r="I649" s="503">
        <f>2*(0.22+0.52)+24*0.01</f>
        <v>1.72</v>
      </c>
      <c r="J649" s="509"/>
      <c r="K649" s="509"/>
      <c r="L649" s="503">
        <f t="shared" si="391"/>
        <v>1.72</v>
      </c>
      <c r="M649" s="503">
        <f t="shared" si="385"/>
        <v>0</v>
      </c>
      <c r="N649" s="503">
        <f t="shared" si="386"/>
        <v>330.24</v>
      </c>
      <c r="O649" s="503">
        <f t="shared" si="387"/>
        <v>0</v>
      </c>
      <c r="P649" s="503">
        <f t="shared" si="388"/>
        <v>0</v>
      </c>
      <c r="Q649" s="503">
        <f t="shared" si="389"/>
        <v>0</v>
      </c>
      <c r="R649" s="503">
        <f t="shared" si="390"/>
        <v>0</v>
      </c>
    </row>
    <row r="650" spans="1:18">
      <c r="A650" s="505"/>
      <c r="B650" s="511"/>
      <c r="C650" s="507">
        <v>10</v>
      </c>
      <c r="D650" s="508">
        <v>75</v>
      </c>
      <c r="E650" s="507">
        <v>12</v>
      </c>
      <c r="F650" s="502">
        <v>2</v>
      </c>
      <c r="G650" s="502">
        <f t="shared" ref="G650:G651" si="397">+ROUND(600/D650,0)</f>
        <v>8</v>
      </c>
      <c r="H650" s="503"/>
      <c r="I650" s="503">
        <f>2*(0.22+0.115)+24*0.01</f>
        <v>0.91</v>
      </c>
      <c r="J650" s="509"/>
      <c r="K650" s="509"/>
      <c r="L650" s="503">
        <f t="shared" si="391"/>
        <v>0.91</v>
      </c>
      <c r="M650" s="503">
        <f t="shared" si="385"/>
        <v>0</v>
      </c>
      <c r="N650" s="503">
        <f t="shared" si="386"/>
        <v>174.72</v>
      </c>
      <c r="O650" s="503">
        <f t="shared" si="387"/>
        <v>0</v>
      </c>
      <c r="P650" s="503">
        <f t="shared" si="388"/>
        <v>0</v>
      </c>
      <c r="Q650" s="503">
        <f t="shared" si="389"/>
        <v>0</v>
      </c>
      <c r="R650" s="503">
        <f t="shared" si="390"/>
        <v>0</v>
      </c>
    </row>
    <row r="651" spans="1:18">
      <c r="A651" s="505"/>
      <c r="B651" s="511"/>
      <c r="C651" s="507">
        <v>10</v>
      </c>
      <c r="D651" s="508">
        <v>75</v>
      </c>
      <c r="E651" s="507">
        <v>12</v>
      </c>
      <c r="F651" s="502">
        <f>2*2</f>
        <v>4</v>
      </c>
      <c r="G651" s="502">
        <f t="shared" si="397"/>
        <v>8</v>
      </c>
      <c r="H651" s="503"/>
      <c r="I651" s="503">
        <f>+(0.16+0.16+0.22)+0.24*0.01</f>
        <v>0.54239999999999999</v>
      </c>
      <c r="J651" s="509"/>
      <c r="K651" s="509"/>
      <c r="L651" s="503">
        <f t="shared" si="391"/>
        <v>0.54239999999999999</v>
      </c>
      <c r="M651" s="503">
        <f t="shared" si="385"/>
        <v>0</v>
      </c>
      <c r="N651" s="503">
        <f t="shared" si="386"/>
        <v>208.28</v>
      </c>
      <c r="O651" s="503">
        <f t="shared" si="387"/>
        <v>0</v>
      </c>
      <c r="P651" s="503">
        <f t="shared" si="388"/>
        <v>0</v>
      </c>
      <c r="Q651" s="503">
        <f t="shared" si="389"/>
        <v>0</v>
      </c>
      <c r="R651" s="503">
        <f t="shared" si="390"/>
        <v>0</v>
      </c>
    </row>
    <row r="652" spans="1:18">
      <c r="A652" s="505"/>
      <c r="B652" s="511" t="s">
        <v>788</v>
      </c>
      <c r="C652" s="507">
        <v>8</v>
      </c>
      <c r="D652" s="508">
        <v>150</v>
      </c>
      <c r="E652" s="507">
        <v>12</v>
      </c>
      <c r="F652" s="502">
        <v>1</v>
      </c>
      <c r="G652" s="502">
        <f t="shared" ref="G652:G654" si="398">+ROUND(1250/D652+1,0)</f>
        <v>9</v>
      </c>
      <c r="H652" s="503"/>
      <c r="I652" s="503">
        <f>2*(0.22+0.52)+24*0.008</f>
        <v>1.6719999999999999</v>
      </c>
      <c r="J652" s="509"/>
      <c r="K652" s="509"/>
      <c r="L652" s="503">
        <f t="shared" si="391"/>
        <v>1.6719999999999999</v>
      </c>
      <c r="M652" s="503">
        <f t="shared" si="385"/>
        <v>180.58</v>
      </c>
      <c r="N652" s="503">
        <f t="shared" si="386"/>
        <v>0</v>
      </c>
      <c r="O652" s="503">
        <f t="shared" si="387"/>
        <v>0</v>
      </c>
      <c r="P652" s="503">
        <f t="shared" si="388"/>
        <v>0</v>
      </c>
      <c r="Q652" s="503">
        <f t="shared" si="389"/>
        <v>0</v>
      </c>
      <c r="R652" s="503">
        <f t="shared" si="390"/>
        <v>0</v>
      </c>
    </row>
    <row r="653" spans="1:18">
      <c r="A653" s="505"/>
      <c r="B653" s="511"/>
      <c r="C653" s="507">
        <v>8</v>
      </c>
      <c r="D653" s="508">
        <v>150</v>
      </c>
      <c r="E653" s="507">
        <v>12</v>
      </c>
      <c r="F653" s="502">
        <v>1</v>
      </c>
      <c r="G653" s="502">
        <f t="shared" si="398"/>
        <v>9</v>
      </c>
      <c r="H653" s="503"/>
      <c r="I653" s="503">
        <f>2*(0.22+0.115)+24*0.008</f>
        <v>0.8620000000000001</v>
      </c>
      <c r="J653" s="509"/>
      <c r="K653" s="509"/>
      <c r="L653" s="503">
        <f t="shared" si="391"/>
        <v>0.8620000000000001</v>
      </c>
      <c r="M653" s="503">
        <f t="shared" si="385"/>
        <v>93.1</v>
      </c>
      <c r="N653" s="503">
        <f t="shared" si="386"/>
        <v>0</v>
      </c>
      <c r="O653" s="503">
        <f t="shared" si="387"/>
        <v>0</v>
      </c>
      <c r="P653" s="503">
        <f t="shared" si="388"/>
        <v>0</v>
      </c>
      <c r="Q653" s="503">
        <f t="shared" si="389"/>
        <v>0</v>
      </c>
      <c r="R653" s="503">
        <f t="shared" si="390"/>
        <v>0</v>
      </c>
    </row>
    <row r="654" spans="1:18">
      <c r="A654" s="505"/>
      <c r="B654" s="511"/>
      <c r="C654" s="507">
        <v>8</v>
      </c>
      <c r="D654" s="508">
        <v>150</v>
      </c>
      <c r="E654" s="507">
        <v>12</v>
      </c>
      <c r="F654" s="502">
        <v>2</v>
      </c>
      <c r="G654" s="502">
        <f t="shared" si="398"/>
        <v>9</v>
      </c>
      <c r="H654" s="503"/>
      <c r="I654" s="503">
        <f>+(0.16+0.16+0.22)+0.2*0.008</f>
        <v>0.54160000000000008</v>
      </c>
      <c r="J654" s="509"/>
      <c r="K654" s="509"/>
      <c r="L654" s="503">
        <f t="shared" si="391"/>
        <v>0.54160000000000008</v>
      </c>
      <c r="M654" s="503">
        <f t="shared" si="385"/>
        <v>116.99</v>
      </c>
      <c r="N654" s="503">
        <f t="shared" si="386"/>
        <v>0</v>
      </c>
      <c r="O654" s="503">
        <f t="shared" si="387"/>
        <v>0</v>
      </c>
      <c r="P654" s="503">
        <f t="shared" si="388"/>
        <v>0</v>
      </c>
      <c r="Q654" s="503">
        <f t="shared" si="389"/>
        <v>0</v>
      </c>
      <c r="R654" s="503">
        <f t="shared" si="390"/>
        <v>0</v>
      </c>
    </row>
    <row r="655" spans="1:18">
      <c r="A655" s="505"/>
      <c r="B655" s="506" t="s">
        <v>790</v>
      </c>
      <c r="C655" s="507">
        <v>20</v>
      </c>
      <c r="D655" s="508"/>
      <c r="E655" s="507">
        <v>4</v>
      </c>
      <c r="F655" s="502">
        <v>1</v>
      </c>
      <c r="G655" s="502">
        <v>8</v>
      </c>
      <c r="H655" s="503"/>
      <c r="I655" s="503">
        <f t="shared" ref="I655:I656" si="399">106.2-103.25</f>
        <v>2.9500000000000028</v>
      </c>
      <c r="J655" s="509"/>
      <c r="K655" s="509">
        <f t="shared" ref="K655:K656" si="400">1*36*C655/1000</f>
        <v>0.72</v>
      </c>
      <c r="L655" s="503">
        <f t="shared" si="391"/>
        <v>3.6700000000000026</v>
      </c>
      <c r="M655" s="503">
        <f t="shared" si="385"/>
        <v>0</v>
      </c>
      <c r="N655" s="503">
        <f t="shared" si="386"/>
        <v>0</v>
      </c>
      <c r="O655" s="503">
        <f t="shared" si="387"/>
        <v>0</v>
      </c>
      <c r="P655" s="503">
        <f t="shared" si="388"/>
        <v>0</v>
      </c>
      <c r="Q655" s="503">
        <f t="shared" si="389"/>
        <v>117.44</v>
      </c>
      <c r="R655" s="503">
        <f t="shared" si="390"/>
        <v>0</v>
      </c>
    </row>
    <row r="656" spans="1:18">
      <c r="A656" s="505"/>
      <c r="B656" s="511"/>
      <c r="C656" s="507">
        <v>16</v>
      </c>
      <c r="D656" s="508"/>
      <c r="E656" s="507">
        <f>+E655</f>
        <v>4</v>
      </c>
      <c r="F656" s="502">
        <v>1</v>
      </c>
      <c r="G656" s="502">
        <v>6</v>
      </c>
      <c r="H656" s="503"/>
      <c r="I656" s="503">
        <f t="shared" si="399"/>
        <v>2.9500000000000028</v>
      </c>
      <c r="J656" s="509"/>
      <c r="K656" s="509">
        <f t="shared" si="400"/>
        <v>0.57599999999999996</v>
      </c>
      <c r="L656" s="503">
        <f t="shared" si="391"/>
        <v>3.5260000000000029</v>
      </c>
      <c r="M656" s="503">
        <f t="shared" si="385"/>
        <v>0</v>
      </c>
      <c r="N656" s="503">
        <f t="shared" si="386"/>
        <v>0</v>
      </c>
      <c r="O656" s="503">
        <f t="shared" si="387"/>
        <v>0</v>
      </c>
      <c r="P656" s="503">
        <f t="shared" si="388"/>
        <v>84.62</v>
      </c>
      <c r="Q656" s="503">
        <f t="shared" si="389"/>
        <v>0</v>
      </c>
      <c r="R656" s="503">
        <f t="shared" si="390"/>
        <v>0</v>
      </c>
    </row>
    <row r="657" spans="1:18">
      <c r="A657" s="505"/>
      <c r="B657" s="511" t="s">
        <v>787</v>
      </c>
      <c r="C657" s="507">
        <v>10</v>
      </c>
      <c r="D657" s="508">
        <v>75</v>
      </c>
      <c r="E657" s="507">
        <f>+E656</f>
        <v>4</v>
      </c>
      <c r="F657" s="502">
        <v>2</v>
      </c>
      <c r="G657" s="502">
        <f>+ROUND(600/D657,0)</f>
        <v>8</v>
      </c>
      <c r="H657" s="503"/>
      <c r="I657" s="503">
        <f>2*(0.22+0.52)+24*0.01</f>
        <v>1.72</v>
      </c>
      <c r="J657" s="509"/>
      <c r="K657" s="509"/>
      <c r="L657" s="503">
        <f t="shared" si="391"/>
        <v>1.72</v>
      </c>
      <c r="M657" s="503">
        <f t="shared" si="385"/>
        <v>0</v>
      </c>
      <c r="N657" s="503">
        <f t="shared" si="386"/>
        <v>110.08</v>
      </c>
      <c r="O657" s="503">
        <f t="shared" si="387"/>
        <v>0</v>
      </c>
      <c r="P657" s="503">
        <f t="shared" si="388"/>
        <v>0</v>
      </c>
      <c r="Q657" s="503">
        <f t="shared" si="389"/>
        <v>0</v>
      </c>
      <c r="R657" s="503">
        <f t="shared" si="390"/>
        <v>0</v>
      </c>
    </row>
    <row r="658" spans="1:18">
      <c r="A658" s="505"/>
      <c r="B658" s="511"/>
      <c r="C658" s="507">
        <v>10</v>
      </c>
      <c r="D658" s="508">
        <v>75</v>
      </c>
      <c r="E658" s="507">
        <f t="shared" ref="E658:E662" si="401">+E657</f>
        <v>4</v>
      </c>
      <c r="F658" s="502">
        <v>2</v>
      </c>
      <c r="G658" s="502">
        <f t="shared" ref="G658:G659" si="402">+ROUND(600/D658,0)</f>
        <v>8</v>
      </c>
      <c r="H658" s="503"/>
      <c r="I658" s="503">
        <f>2*(0.22+0.115)+24*0.01</f>
        <v>0.91</v>
      </c>
      <c r="J658" s="509"/>
      <c r="K658" s="509"/>
      <c r="L658" s="503">
        <f t="shared" si="391"/>
        <v>0.91</v>
      </c>
      <c r="M658" s="503">
        <f t="shared" si="385"/>
        <v>0</v>
      </c>
      <c r="N658" s="503">
        <f t="shared" si="386"/>
        <v>58.24</v>
      </c>
      <c r="O658" s="503">
        <f t="shared" si="387"/>
        <v>0</v>
      </c>
      <c r="P658" s="503">
        <f t="shared" si="388"/>
        <v>0</v>
      </c>
      <c r="Q658" s="503">
        <f t="shared" si="389"/>
        <v>0</v>
      </c>
      <c r="R658" s="503">
        <f t="shared" si="390"/>
        <v>0</v>
      </c>
    </row>
    <row r="659" spans="1:18">
      <c r="A659" s="505"/>
      <c r="B659" s="511"/>
      <c r="C659" s="507">
        <v>10</v>
      </c>
      <c r="D659" s="508">
        <v>75</v>
      </c>
      <c r="E659" s="507">
        <f t="shared" si="401"/>
        <v>4</v>
      </c>
      <c r="F659" s="502">
        <f>2*2</f>
        <v>4</v>
      </c>
      <c r="G659" s="502">
        <f t="shared" si="402"/>
        <v>8</v>
      </c>
      <c r="H659" s="503"/>
      <c r="I659" s="503">
        <f>+(0.16+0.16+0.22)+0.24*0.01</f>
        <v>0.54239999999999999</v>
      </c>
      <c r="J659" s="509"/>
      <c r="K659" s="509"/>
      <c r="L659" s="503">
        <f t="shared" si="391"/>
        <v>0.54239999999999999</v>
      </c>
      <c r="M659" s="503">
        <f t="shared" si="385"/>
        <v>0</v>
      </c>
      <c r="N659" s="503">
        <f t="shared" si="386"/>
        <v>69.430000000000007</v>
      </c>
      <c r="O659" s="503">
        <f t="shared" si="387"/>
        <v>0</v>
      </c>
      <c r="P659" s="503">
        <f t="shared" si="388"/>
        <v>0</v>
      </c>
      <c r="Q659" s="503">
        <f t="shared" si="389"/>
        <v>0</v>
      </c>
      <c r="R659" s="503">
        <f t="shared" si="390"/>
        <v>0</v>
      </c>
    </row>
    <row r="660" spans="1:18">
      <c r="A660" s="505"/>
      <c r="B660" s="511" t="s">
        <v>788</v>
      </c>
      <c r="C660" s="507">
        <v>8</v>
      </c>
      <c r="D660" s="508">
        <v>150</v>
      </c>
      <c r="E660" s="507">
        <f t="shared" si="401"/>
        <v>4</v>
      </c>
      <c r="F660" s="502">
        <v>1</v>
      </c>
      <c r="G660" s="502">
        <f t="shared" ref="G660:G662" si="403">+ROUND(1250/D660+1,0)</f>
        <v>9</v>
      </c>
      <c r="H660" s="503"/>
      <c r="I660" s="503">
        <f>2*(0.22+0.52)+24*0.008</f>
        <v>1.6719999999999999</v>
      </c>
      <c r="J660" s="509"/>
      <c r="K660" s="509"/>
      <c r="L660" s="503">
        <f t="shared" si="391"/>
        <v>1.6719999999999999</v>
      </c>
      <c r="M660" s="503">
        <f t="shared" si="385"/>
        <v>60.19</v>
      </c>
      <c r="N660" s="503">
        <f t="shared" si="386"/>
        <v>0</v>
      </c>
      <c r="O660" s="503">
        <f t="shared" si="387"/>
        <v>0</v>
      </c>
      <c r="P660" s="503">
        <f t="shared" si="388"/>
        <v>0</v>
      </c>
      <c r="Q660" s="503">
        <f t="shared" si="389"/>
        <v>0</v>
      </c>
      <c r="R660" s="503">
        <f t="shared" si="390"/>
        <v>0</v>
      </c>
    </row>
    <row r="661" spans="1:18">
      <c r="A661" s="505"/>
      <c r="B661" s="511"/>
      <c r="C661" s="507">
        <v>8</v>
      </c>
      <c r="D661" s="508">
        <v>150</v>
      </c>
      <c r="E661" s="507">
        <f t="shared" si="401"/>
        <v>4</v>
      </c>
      <c r="F661" s="502">
        <v>1</v>
      </c>
      <c r="G661" s="502">
        <f t="shared" si="403"/>
        <v>9</v>
      </c>
      <c r="H661" s="503"/>
      <c r="I661" s="503">
        <f>2*(0.22+0.115)+24*0.008</f>
        <v>0.8620000000000001</v>
      </c>
      <c r="J661" s="509"/>
      <c r="K661" s="509"/>
      <c r="L661" s="503">
        <f t="shared" si="391"/>
        <v>0.8620000000000001</v>
      </c>
      <c r="M661" s="503">
        <f t="shared" si="385"/>
        <v>31.03</v>
      </c>
      <c r="N661" s="503">
        <f t="shared" si="386"/>
        <v>0</v>
      </c>
      <c r="O661" s="503">
        <f t="shared" si="387"/>
        <v>0</v>
      </c>
      <c r="P661" s="503">
        <f t="shared" si="388"/>
        <v>0</v>
      </c>
      <c r="Q661" s="503">
        <f t="shared" si="389"/>
        <v>0</v>
      </c>
      <c r="R661" s="503">
        <f t="shared" si="390"/>
        <v>0</v>
      </c>
    </row>
    <row r="662" spans="1:18">
      <c r="A662" s="505"/>
      <c r="B662" s="511"/>
      <c r="C662" s="507">
        <v>8</v>
      </c>
      <c r="D662" s="508">
        <v>150</v>
      </c>
      <c r="E662" s="507">
        <f t="shared" si="401"/>
        <v>4</v>
      </c>
      <c r="F662" s="502">
        <v>2</v>
      </c>
      <c r="G662" s="502">
        <f t="shared" si="403"/>
        <v>9</v>
      </c>
      <c r="H662" s="503"/>
      <c r="I662" s="503">
        <f>+(0.16+0.16+0.22)+0.2*0.008</f>
        <v>0.54160000000000008</v>
      </c>
      <c r="J662" s="509"/>
      <c r="K662" s="509"/>
      <c r="L662" s="503">
        <f t="shared" si="391"/>
        <v>0.54160000000000008</v>
      </c>
      <c r="M662" s="503">
        <f t="shared" si="385"/>
        <v>39</v>
      </c>
      <c r="N662" s="503">
        <f t="shared" si="386"/>
        <v>0</v>
      </c>
      <c r="O662" s="503">
        <f t="shared" si="387"/>
        <v>0</v>
      </c>
      <c r="P662" s="503">
        <f t="shared" si="388"/>
        <v>0</v>
      </c>
      <c r="Q662" s="503">
        <f t="shared" si="389"/>
        <v>0</v>
      </c>
      <c r="R662" s="503">
        <f t="shared" si="390"/>
        <v>0</v>
      </c>
    </row>
    <row r="663" spans="1:18">
      <c r="A663" s="505"/>
      <c r="B663" s="506" t="s">
        <v>791</v>
      </c>
      <c r="C663" s="507">
        <v>16</v>
      </c>
      <c r="D663" s="508"/>
      <c r="E663" s="507">
        <v>16</v>
      </c>
      <c r="F663" s="502">
        <v>1</v>
      </c>
      <c r="G663" s="502">
        <v>10</v>
      </c>
      <c r="H663" s="503"/>
      <c r="I663" s="503">
        <f>106.2-103.25</f>
        <v>2.9500000000000028</v>
      </c>
      <c r="J663" s="509"/>
      <c r="K663" s="509">
        <f t="shared" ref="K663:K664" si="404">1*36*C663/1000</f>
        <v>0.57599999999999996</v>
      </c>
      <c r="L663" s="503">
        <f t="shared" si="391"/>
        <v>3.5260000000000029</v>
      </c>
      <c r="M663" s="503">
        <f t="shared" si="385"/>
        <v>0</v>
      </c>
      <c r="N663" s="503">
        <f t="shared" si="386"/>
        <v>0</v>
      </c>
      <c r="O663" s="503">
        <f t="shared" si="387"/>
        <v>0</v>
      </c>
      <c r="P663" s="503">
        <f t="shared" si="388"/>
        <v>564.16</v>
      </c>
      <c r="Q663" s="503">
        <f t="shared" si="389"/>
        <v>0</v>
      </c>
      <c r="R663" s="503">
        <f t="shared" si="390"/>
        <v>0</v>
      </c>
    </row>
    <row r="664" spans="1:18">
      <c r="A664" s="505"/>
      <c r="B664" s="506"/>
      <c r="C664" s="507">
        <v>12</v>
      </c>
      <c r="D664" s="508"/>
      <c r="E664" s="507">
        <v>16</v>
      </c>
      <c r="F664" s="502">
        <v>1</v>
      </c>
      <c r="G664" s="502">
        <v>6</v>
      </c>
      <c r="H664" s="503"/>
      <c r="I664" s="503">
        <f>106.2-103.25</f>
        <v>2.9500000000000028</v>
      </c>
      <c r="J664" s="509"/>
      <c r="K664" s="509">
        <f t="shared" si="404"/>
        <v>0.432</v>
      </c>
      <c r="L664" s="503">
        <f t="shared" si="391"/>
        <v>3.3820000000000028</v>
      </c>
      <c r="M664" s="503">
        <f t="shared" si="385"/>
        <v>0</v>
      </c>
      <c r="N664" s="503">
        <f t="shared" si="386"/>
        <v>0</v>
      </c>
      <c r="O664" s="503">
        <f t="shared" si="387"/>
        <v>324.67</v>
      </c>
      <c r="P664" s="503">
        <f t="shared" si="388"/>
        <v>0</v>
      </c>
      <c r="Q664" s="503">
        <f t="shared" si="389"/>
        <v>0</v>
      </c>
      <c r="R664" s="503">
        <f t="shared" si="390"/>
        <v>0</v>
      </c>
    </row>
    <row r="665" spans="1:18">
      <c r="A665" s="505"/>
      <c r="B665" s="511" t="s">
        <v>787</v>
      </c>
      <c r="C665" s="507">
        <v>10</v>
      </c>
      <c r="D665" s="508">
        <v>75</v>
      </c>
      <c r="E665" s="507">
        <f>+E663</f>
        <v>16</v>
      </c>
      <c r="F665" s="502">
        <v>2</v>
      </c>
      <c r="G665" s="502">
        <f>+ROUND(750/D665,0)</f>
        <v>10</v>
      </c>
      <c r="H665" s="503"/>
      <c r="I665" s="503">
        <f>2*(0.22+0.67)+24*0.01</f>
        <v>2.02</v>
      </c>
      <c r="J665" s="509"/>
      <c r="K665" s="509"/>
      <c r="L665" s="503">
        <f t="shared" si="391"/>
        <v>2.02</v>
      </c>
      <c r="M665" s="503">
        <f t="shared" si="385"/>
        <v>0</v>
      </c>
      <c r="N665" s="503">
        <f t="shared" si="386"/>
        <v>646.4</v>
      </c>
      <c r="O665" s="503">
        <f t="shared" si="387"/>
        <v>0</v>
      </c>
      <c r="P665" s="503">
        <f t="shared" si="388"/>
        <v>0</v>
      </c>
      <c r="Q665" s="503">
        <f t="shared" si="389"/>
        <v>0</v>
      </c>
      <c r="R665" s="503">
        <f t="shared" si="390"/>
        <v>0</v>
      </c>
    </row>
    <row r="666" spans="1:18">
      <c r="A666" s="505"/>
      <c r="B666" s="511"/>
      <c r="C666" s="507">
        <v>10</v>
      </c>
      <c r="D666" s="508">
        <v>75</v>
      </c>
      <c r="E666" s="507">
        <f t="shared" ref="E666:E672" si="405">+E665</f>
        <v>16</v>
      </c>
      <c r="F666" s="502">
        <v>2</v>
      </c>
      <c r="G666" s="502">
        <f t="shared" ref="G666:G668" si="406">+ROUND(750/D666,0)</f>
        <v>10</v>
      </c>
      <c r="H666" s="503"/>
      <c r="I666" s="503">
        <f>2*(0.22+0.132)+24*0.01</f>
        <v>0.94399999999999995</v>
      </c>
      <c r="J666" s="509"/>
      <c r="K666" s="509"/>
      <c r="L666" s="503">
        <f t="shared" si="391"/>
        <v>0.94399999999999995</v>
      </c>
      <c r="M666" s="503">
        <f t="shared" si="385"/>
        <v>0</v>
      </c>
      <c r="N666" s="503">
        <f t="shared" si="386"/>
        <v>302.08</v>
      </c>
      <c r="O666" s="503">
        <f t="shared" si="387"/>
        <v>0</v>
      </c>
      <c r="P666" s="503">
        <f t="shared" si="388"/>
        <v>0</v>
      </c>
      <c r="Q666" s="503">
        <f t="shared" si="389"/>
        <v>0</v>
      </c>
      <c r="R666" s="503">
        <f t="shared" si="390"/>
        <v>0</v>
      </c>
    </row>
    <row r="667" spans="1:18">
      <c r="A667" s="505"/>
      <c r="B667" s="511"/>
      <c r="C667" s="507">
        <v>10</v>
      </c>
      <c r="D667" s="508">
        <v>75</v>
      </c>
      <c r="E667" s="507">
        <f t="shared" si="405"/>
        <v>16</v>
      </c>
      <c r="F667" s="502">
        <f>2*2</f>
        <v>4</v>
      </c>
      <c r="G667" s="502">
        <f t="shared" si="406"/>
        <v>10</v>
      </c>
      <c r="H667" s="503"/>
      <c r="I667" s="503">
        <f>+(0.165+0.165+0.22)+0.2*0.01</f>
        <v>0.55200000000000005</v>
      </c>
      <c r="J667" s="509"/>
      <c r="K667" s="509"/>
      <c r="L667" s="503">
        <f t="shared" si="391"/>
        <v>0.55200000000000005</v>
      </c>
      <c r="M667" s="503">
        <f t="shared" si="385"/>
        <v>0</v>
      </c>
      <c r="N667" s="503">
        <f t="shared" si="386"/>
        <v>353.28</v>
      </c>
      <c r="O667" s="503">
        <f t="shared" si="387"/>
        <v>0</v>
      </c>
      <c r="P667" s="503">
        <f t="shared" si="388"/>
        <v>0</v>
      </c>
      <c r="Q667" s="503">
        <f t="shared" si="389"/>
        <v>0</v>
      </c>
      <c r="R667" s="503">
        <f t="shared" si="390"/>
        <v>0</v>
      </c>
    </row>
    <row r="668" spans="1:18">
      <c r="A668" s="505"/>
      <c r="B668" s="511"/>
      <c r="C668" s="507">
        <v>10</v>
      </c>
      <c r="D668" s="508">
        <v>75</v>
      </c>
      <c r="E668" s="507">
        <f t="shared" si="405"/>
        <v>16</v>
      </c>
      <c r="F668" s="502">
        <v>2</v>
      </c>
      <c r="G668" s="502">
        <f t="shared" si="406"/>
        <v>10</v>
      </c>
      <c r="H668" s="503"/>
      <c r="I668" s="503">
        <f>0.22+2*10*0.01</f>
        <v>0.42000000000000004</v>
      </c>
      <c r="J668" s="509"/>
      <c r="K668" s="509"/>
      <c r="L668" s="503">
        <f t="shared" ref="L668:L757" si="407">SUM(H668:J668)+K668</f>
        <v>0.42000000000000004</v>
      </c>
      <c r="M668" s="503">
        <f t="shared" si="385"/>
        <v>0</v>
      </c>
      <c r="N668" s="503">
        <f t="shared" si="386"/>
        <v>134.4</v>
      </c>
      <c r="O668" s="503">
        <f t="shared" si="387"/>
        <v>0</v>
      </c>
      <c r="P668" s="503">
        <f t="shared" si="388"/>
        <v>0</v>
      </c>
      <c r="Q668" s="503">
        <f t="shared" si="389"/>
        <v>0</v>
      </c>
      <c r="R668" s="503">
        <f t="shared" si="390"/>
        <v>0</v>
      </c>
    </row>
    <row r="669" spans="1:18">
      <c r="A669" s="505"/>
      <c r="B669" s="511" t="s">
        <v>788</v>
      </c>
      <c r="C669" s="507">
        <v>8</v>
      </c>
      <c r="D669" s="508">
        <v>150</v>
      </c>
      <c r="E669" s="507">
        <f t="shared" si="405"/>
        <v>16</v>
      </c>
      <c r="F669" s="502">
        <v>1</v>
      </c>
      <c r="G669" s="502">
        <f>+ROUND(950/D669+1,0)</f>
        <v>7</v>
      </c>
      <c r="H669" s="503"/>
      <c r="I669" s="503">
        <f>2*(0.22+0.67)+24*0.008</f>
        <v>1.972</v>
      </c>
      <c r="J669" s="509"/>
      <c r="K669" s="509"/>
      <c r="L669" s="503">
        <f t="shared" si="407"/>
        <v>1.972</v>
      </c>
      <c r="M669" s="503">
        <f t="shared" si="385"/>
        <v>220.86</v>
      </c>
      <c r="N669" s="503">
        <f t="shared" si="386"/>
        <v>0</v>
      </c>
      <c r="O669" s="503">
        <f t="shared" si="387"/>
        <v>0</v>
      </c>
      <c r="P669" s="503">
        <f t="shared" si="388"/>
        <v>0</v>
      </c>
      <c r="Q669" s="503">
        <f t="shared" si="389"/>
        <v>0</v>
      </c>
      <c r="R669" s="503">
        <f t="shared" si="390"/>
        <v>0</v>
      </c>
    </row>
    <row r="670" spans="1:18">
      <c r="A670" s="505"/>
      <c r="B670" s="511"/>
      <c r="C670" s="507">
        <v>8</v>
      </c>
      <c r="D670" s="508">
        <v>150</v>
      </c>
      <c r="E670" s="507">
        <f t="shared" si="405"/>
        <v>16</v>
      </c>
      <c r="F670" s="502">
        <v>1</v>
      </c>
      <c r="G670" s="502">
        <f t="shared" ref="G670:G672" si="408">+ROUND(950/D670+1,0)</f>
        <v>7</v>
      </c>
      <c r="H670" s="503"/>
      <c r="I670" s="503">
        <f>2*(0.22+0.132)+24*0.008</f>
        <v>0.89599999999999991</v>
      </c>
      <c r="J670" s="509"/>
      <c r="K670" s="509"/>
      <c r="L670" s="503">
        <f t="shared" si="407"/>
        <v>0.89599999999999991</v>
      </c>
      <c r="M670" s="503">
        <f t="shared" si="385"/>
        <v>100.35</v>
      </c>
      <c r="N670" s="503">
        <f t="shared" si="386"/>
        <v>0</v>
      </c>
      <c r="O670" s="503">
        <f t="shared" si="387"/>
        <v>0</v>
      </c>
      <c r="P670" s="503">
        <f t="shared" si="388"/>
        <v>0</v>
      </c>
      <c r="Q670" s="503">
        <f t="shared" si="389"/>
        <v>0</v>
      </c>
      <c r="R670" s="503">
        <f t="shared" si="390"/>
        <v>0</v>
      </c>
    </row>
    <row r="671" spans="1:18">
      <c r="A671" s="505"/>
      <c r="B671" s="511"/>
      <c r="C671" s="507">
        <v>8</v>
      </c>
      <c r="D671" s="508">
        <v>150</v>
      </c>
      <c r="E671" s="507">
        <f t="shared" si="405"/>
        <v>16</v>
      </c>
      <c r="F671" s="502">
        <v>2</v>
      </c>
      <c r="G671" s="502">
        <f t="shared" si="408"/>
        <v>7</v>
      </c>
      <c r="H671" s="503"/>
      <c r="I671" s="503">
        <f>+(0.165+0.165+0.22)+0.2*0.008</f>
        <v>0.55160000000000009</v>
      </c>
      <c r="J671" s="509"/>
      <c r="K671" s="509"/>
      <c r="L671" s="503">
        <f t="shared" si="407"/>
        <v>0.55160000000000009</v>
      </c>
      <c r="M671" s="503">
        <f t="shared" si="385"/>
        <v>123.56</v>
      </c>
      <c r="N671" s="503">
        <f t="shared" si="386"/>
        <v>0</v>
      </c>
      <c r="O671" s="503">
        <f t="shared" si="387"/>
        <v>0</v>
      </c>
      <c r="P671" s="503">
        <f t="shared" si="388"/>
        <v>0</v>
      </c>
      <c r="Q671" s="503">
        <f t="shared" si="389"/>
        <v>0</v>
      </c>
      <c r="R671" s="503">
        <f t="shared" si="390"/>
        <v>0</v>
      </c>
    </row>
    <row r="672" spans="1:18">
      <c r="A672" s="505"/>
      <c r="B672" s="511"/>
      <c r="C672" s="507">
        <v>8</v>
      </c>
      <c r="D672" s="508">
        <v>150</v>
      </c>
      <c r="E672" s="507">
        <f t="shared" si="405"/>
        <v>16</v>
      </c>
      <c r="F672" s="502">
        <v>1</v>
      </c>
      <c r="G672" s="502">
        <f t="shared" si="408"/>
        <v>7</v>
      </c>
      <c r="H672" s="503"/>
      <c r="I672" s="503">
        <f>0.22+2*10*0.008</f>
        <v>0.38</v>
      </c>
      <c r="J672" s="509"/>
      <c r="K672" s="509"/>
      <c r="L672" s="503">
        <f t="shared" si="407"/>
        <v>0.38</v>
      </c>
      <c r="M672" s="503">
        <f t="shared" si="385"/>
        <v>42.56</v>
      </c>
      <c r="N672" s="503">
        <f t="shared" si="386"/>
        <v>0</v>
      </c>
      <c r="O672" s="503">
        <f t="shared" si="387"/>
        <v>0</v>
      </c>
      <c r="P672" s="503">
        <f t="shared" si="388"/>
        <v>0</v>
      </c>
      <c r="Q672" s="503">
        <f t="shared" si="389"/>
        <v>0</v>
      </c>
      <c r="R672" s="503">
        <f t="shared" si="390"/>
        <v>0</v>
      </c>
    </row>
    <row r="673" spans="1:18">
      <c r="A673" s="505"/>
      <c r="B673" s="506" t="s">
        <v>792</v>
      </c>
      <c r="C673" s="507">
        <v>16</v>
      </c>
      <c r="D673" s="508"/>
      <c r="E673" s="507">
        <v>14</v>
      </c>
      <c r="F673" s="502">
        <v>1</v>
      </c>
      <c r="G673" s="502">
        <v>4</v>
      </c>
      <c r="H673" s="503"/>
      <c r="I673" s="503">
        <f t="shared" ref="I673:I674" si="409">106.2-103.25</f>
        <v>2.9500000000000028</v>
      </c>
      <c r="J673" s="509"/>
      <c r="K673" s="509">
        <f t="shared" ref="K673:K674" si="410">1*36*C673/1000</f>
        <v>0.57599999999999996</v>
      </c>
      <c r="L673" s="503">
        <f t="shared" si="407"/>
        <v>3.5260000000000029</v>
      </c>
      <c r="M673" s="503">
        <f t="shared" si="385"/>
        <v>0</v>
      </c>
      <c r="N673" s="503">
        <f t="shared" si="386"/>
        <v>0</v>
      </c>
      <c r="O673" s="503">
        <f t="shared" si="387"/>
        <v>0</v>
      </c>
      <c r="P673" s="503">
        <f t="shared" si="388"/>
        <v>197.46</v>
      </c>
      <c r="Q673" s="503">
        <f t="shared" si="389"/>
        <v>0</v>
      </c>
      <c r="R673" s="503">
        <f t="shared" si="390"/>
        <v>0</v>
      </c>
    </row>
    <row r="674" spans="1:18">
      <c r="A674" s="505"/>
      <c r="B674" s="511"/>
      <c r="C674" s="507">
        <v>12</v>
      </c>
      <c r="D674" s="508"/>
      <c r="E674" s="507">
        <f>+E673</f>
        <v>14</v>
      </c>
      <c r="F674" s="502">
        <v>1</v>
      </c>
      <c r="G674" s="502">
        <v>12</v>
      </c>
      <c r="H674" s="503"/>
      <c r="I674" s="503">
        <f t="shared" si="409"/>
        <v>2.9500000000000028</v>
      </c>
      <c r="J674" s="509"/>
      <c r="K674" s="509">
        <f t="shared" si="410"/>
        <v>0.432</v>
      </c>
      <c r="L674" s="503">
        <f t="shared" si="407"/>
        <v>3.3820000000000028</v>
      </c>
      <c r="M674" s="503">
        <f t="shared" si="385"/>
        <v>0</v>
      </c>
      <c r="N674" s="503">
        <f t="shared" si="386"/>
        <v>0</v>
      </c>
      <c r="O674" s="503">
        <f t="shared" si="387"/>
        <v>568.17999999999995</v>
      </c>
      <c r="P674" s="503">
        <f t="shared" si="388"/>
        <v>0</v>
      </c>
      <c r="Q674" s="503">
        <f t="shared" si="389"/>
        <v>0</v>
      </c>
      <c r="R674" s="503">
        <f t="shared" si="390"/>
        <v>0</v>
      </c>
    </row>
    <row r="675" spans="1:18">
      <c r="A675" s="505"/>
      <c r="B675" s="511" t="s">
        <v>787</v>
      </c>
      <c r="C675" s="507">
        <v>10</v>
      </c>
      <c r="D675" s="508">
        <v>75</v>
      </c>
      <c r="E675" s="507">
        <f t="shared" ref="E675:E682" si="411">+E674</f>
        <v>14</v>
      </c>
      <c r="F675" s="502">
        <v>2</v>
      </c>
      <c r="G675" s="502">
        <f>+ROUND(750/D675,0)</f>
        <v>10</v>
      </c>
      <c r="H675" s="503"/>
      <c r="I675" s="503">
        <f>2*(0.22+0.67)+24*0.01</f>
        <v>2.02</v>
      </c>
      <c r="J675" s="509"/>
      <c r="K675" s="509"/>
      <c r="L675" s="503">
        <f t="shared" si="407"/>
        <v>2.02</v>
      </c>
      <c r="M675" s="503">
        <f t="shared" si="385"/>
        <v>0</v>
      </c>
      <c r="N675" s="503">
        <f t="shared" si="386"/>
        <v>565.6</v>
      </c>
      <c r="O675" s="503">
        <f t="shared" si="387"/>
        <v>0</v>
      </c>
      <c r="P675" s="503">
        <f t="shared" si="388"/>
        <v>0</v>
      </c>
      <c r="Q675" s="503">
        <f t="shared" si="389"/>
        <v>0</v>
      </c>
      <c r="R675" s="503">
        <f t="shared" si="390"/>
        <v>0</v>
      </c>
    </row>
    <row r="676" spans="1:18">
      <c r="A676" s="505"/>
      <c r="B676" s="511"/>
      <c r="C676" s="507">
        <v>10</v>
      </c>
      <c r="D676" s="508">
        <v>75</v>
      </c>
      <c r="E676" s="507">
        <f t="shared" si="411"/>
        <v>14</v>
      </c>
      <c r="F676" s="502">
        <v>2</v>
      </c>
      <c r="G676" s="502">
        <f t="shared" ref="G676:G678" si="412">+ROUND(750/D676,0)</f>
        <v>10</v>
      </c>
      <c r="H676" s="503"/>
      <c r="I676" s="503">
        <f>2*(0.22+0.132)+24*0.01</f>
        <v>0.94399999999999995</v>
      </c>
      <c r="J676" s="509"/>
      <c r="K676" s="509"/>
      <c r="L676" s="503">
        <f t="shared" si="407"/>
        <v>0.94399999999999995</v>
      </c>
      <c r="M676" s="503">
        <f t="shared" si="385"/>
        <v>0</v>
      </c>
      <c r="N676" s="503">
        <f t="shared" si="386"/>
        <v>264.32</v>
      </c>
      <c r="O676" s="503">
        <f t="shared" si="387"/>
        <v>0</v>
      </c>
      <c r="P676" s="503">
        <f t="shared" si="388"/>
        <v>0</v>
      </c>
      <c r="Q676" s="503">
        <f t="shared" si="389"/>
        <v>0</v>
      </c>
      <c r="R676" s="503">
        <f t="shared" si="390"/>
        <v>0</v>
      </c>
    </row>
    <row r="677" spans="1:18">
      <c r="A677" s="505"/>
      <c r="B677" s="511"/>
      <c r="C677" s="507">
        <v>10</v>
      </c>
      <c r="D677" s="508">
        <v>75</v>
      </c>
      <c r="E677" s="507">
        <f t="shared" si="411"/>
        <v>14</v>
      </c>
      <c r="F677" s="502">
        <f>2*2</f>
        <v>4</v>
      </c>
      <c r="G677" s="502">
        <f t="shared" si="412"/>
        <v>10</v>
      </c>
      <c r="H677" s="503"/>
      <c r="I677" s="503">
        <f>+(0.165+0.165+0.22)+0.2*0.01</f>
        <v>0.55200000000000005</v>
      </c>
      <c r="J677" s="509"/>
      <c r="K677" s="509"/>
      <c r="L677" s="503">
        <f t="shared" si="407"/>
        <v>0.55200000000000005</v>
      </c>
      <c r="M677" s="503">
        <f t="shared" si="385"/>
        <v>0</v>
      </c>
      <c r="N677" s="503">
        <f t="shared" si="386"/>
        <v>309.12</v>
      </c>
      <c r="O677" s="503">
        <f t="shared" si="387"/>
        <v>0</v>
      </c>
      <c r="P677" s="503">
        <f t="shared" si="388"/>
        <v>0</v>
      </c>
      <c r="Q677" s="503">
        <f t="shared" si="389"/>
        <v>0</v>
      </c>
      <c r="R677" s="503">
        <f t="shared" si="390"/>
        <v>0</v>
      </c>
    </row>
    <row r="678" spans="1:18">
      <c r="A678" s="505"/>
      <c r="B678" s="511"/>
      <c r="C678" s="507">
        <v>10</v>
      </c>
      <c r="D678" s="508">
        <v>75</v>
      </c>
      <c r="E678" s="507">
        <f t="shared" si="411"/>
        <v>14</v>
      </c>
      <c r="F678" s="502">
        <v>2</v>
      </c>
      <c r="G678" s="502">
        <f t="shared" si="412"/>
        <v>10</v>
      </c>
      <c r="H678" s="503"/>
      <c r="I678" s="503">
        <f>0.22+2*10*0.01</f>
        <v>0.42000000000000004</v>
      </c>
      <c r="J678" s="509"/>
      <c r="K678" s="509"/>
      <c r="L678" s="503">
        <f t="shared" si="407"/>
        <v>0.42000000000000004</v>
      </c>
      <c r="M678" s="503">
        <f t="shared" si="385"/>
        <v>0</v>
      </c>
      <c r="N678" s="503">
        <f t="shared" si="386"/>
        <v>117.6</v>
      </c>
      <c r="O678" s="503">
        <f t="shared" si="387"/>
        <v>0</v>
      </c>
      <c r="P678" s="503">
        <f t="shared" si="388"/>
        <v>0</v>
      </c>
      <c r="Q678" s="503">
        <f t="shared" si="389"/>
        <v>0</v>
      </c>
      <c r="R678" s="503">
        <f t="shared" si="390"/>
        <v>0</v>
      </c>
    </row>
    <row r="679" spans="1:18">
      <c r="A679" s="505"/>
      <c r="B679" s="511" t="s">
        <v>788</v>
      </c>
      <c r="C679" s="507">
        <v>8</v>
      </c>
      <c r="D679" s="508">
        <v>150</v>
      </c>
      <c r="E679" s="507">
        <f t="shared" si="411"/>
        <v>14</v>
      </c>
      <c r="F679" s="502">
        <v>1</v>
      </c>
      <c r="G679" s="502">
        <f t="shared" ref="G679:G682" si="413">+ROUND(950/D679+1,0)</f>
        <v>7</v>
      </c>
      <c r="H679" s="503"/>
      <c r="I679" s="503">
        <f>2*(0.22+0.67)+24*0.008</f>
        <v>1.972</v>
      </c>
      <c r="J679" s="509"/>
      <c r="K679" s="509"/>
      <c r="L679" s="503">
        <f t="shared" si="407"/>
        <v>1.972</v>
      </c>
      <c r="M679" s="503">
        <f t="shared" si="385"/>
        <v>193.26</v>
      </c>
      <c r="N679" s="503">
        <f t="shared" si="386"/>
        <v>0</v>
      </c>
      <c r="O679" s="503">
        <f t="shared" si="387"/>
        <v>0</v>
      </c>
      <c r="P679" s="503">
        <f t="shared" si="388"/>
        <v>0</v>
      </c>
      <c r="Q679" s="503">
        <f t="shared" si="389"/>
        <v>0</v>
      </c>
      <c r="R679" s="503">
        <f t="shared" si="390"/>
        <v>0</v>
      </c>
    </row>
    <row r="680" spans="1:18">
      <c r="A680" s="505"/>
      <c r="B680" s="511"/>
      <c r="C680" s="507">
        <v>8</v>
      </c>
      <c r="D680" s="508">
        <v>150</v>
      </c>
      <c r="E680" s="507">
        <f t="shared" si="411"/>
        <v>14</v>
      </c>
      <c r="F680" s="502">
        <v>1</v>
      </c>
      <c r="G680" s="502">
        <f t="shared" si="413"/>
        <v>7</v>
      </c>
      <c r="H680" s="503"/>
      <c r="I680" s="503">
        <f>2*(0.22+0.132)+24*0.008</f>
        <v>0.89599999999999991</v>
      </c>
      <c r="J680" s="509"/>
      <c r="K680" s="509"/>
      <c r="L680" s="503">
        <f t="shared" si="407"/>
        <v>0.89599999999999991</v>
      </c>
      <c r="M680" s="503">
        <f t="shared" si="385"/>
        <v>87.81</v>
      </c>
      <c r="N680" s="503">
        <f t="shared" si="386"/>
        <v>0</v>
      </c>
      <c r="O680" s="503">
        <f t="shared" si="387"/>
        <v>0</v>
      </c>
      <c r="P680" s="503">
        <f t="shared" si="388"/>
        <v>0</v>
      </c>
      <c r="Q680" s="503">
        <f t="shared" si="389"/>
        <v>0</v>
      </c>
      <c r="R680" s="503">
        <f t="shared" si="390"/>
        <v>0</v>
      </c>
    </row>
    <row r="681" spans="1:18">
      <c r="A681" s="505"/>
      <c r="B681" s="511"/>
      <c r="C681" s="507">
        <v>8</v>
      </c>
      <c r="D681" s="508">
        <v>150</v>
      </c>
      <c r="E681" s="507">
        <f t="shared" si="411"/>
        <v>14</v>
      </c>
      <c r="F681" s="502">
        <v>2</v>
      </c>
      <c r="G681" s="502">
        <f t="shared" si="413"/>
        <v>7</v>
      </c>
      <c r="H681" s="503"/>
      <c r="I681" s="503">
        <f>+(0.165+0.165+0.22)+0.2*0.008</f>
        <v>0.55160000000000009</v>
      </c>
      <c r="J681" s="509"/>
      <c r="K681" s="509"/>
      <c r="L681" s="503">
        <f t="shared" si="407"/>
        <v>0.55160000000000009</v>
      </c>
      <c r="M681" s="503">
        <f t="shared" si="385"/>
        <v>108.11</v>
      </c>
      <c r="N681" s="503">
        <f t="shared" si="386"/>
        <v>0</v>
      </c>
      <c r="O681" s="503">
        <f t="shared" si="387"/>
        <v>0</v>
      </c>
      <c r="P681" s="503">
        <f t="shared" si="388"/>
        <v>0</v>
      </c>
      <c r="Q681" s="503">
        <f t="shared" si="389"/>
        <v>0</v>
      </c>
      <c r="R681" s="503">
        <f t="shared" si="390"/>
        <v>0</v>
      </c>
    </row>
    <row r="682" spans="1:18">
      <c r="A682" s="505"/>
      <c r="B682" s="511"/>
      <c r="C682" s="507">
        <v>8</v>
      </c>
      <c r="D682" s="508">
        <v>150</v>
      </c>
      <c r="E682" s="507">
        <f t="shared" si="411"/>
        <v>14</v>
      </c>
      <c r="F682" s="502">
        <v>1</v>
      </c>
      <c r="G682" s="502">
        <f t="shared" si="413"/>
        <v>7</v>
      </c>
      <c r="H682" s="503"/>
      <c r="I682" s="503">
        <f>0.22+2*10*0.008</f>
        <v>0.38</v>
      </c>
      <c r="J682" s="509"/>
      <c r="K682" s="509"/>
      <c r="L682" s="503">
        <f t="shared" si="407"/>
        <v>0.38</v>
      </c>
      <c r="M682" s="503">
        <f t="shared" si="385"/>
        <v>37.24</v>
      </c>
      <c r="N682" s="503">
        <f t="shared" si="386"/>
        <v>0</v>
      </c>
      <c r="O682" s="503">
        <f t="shared" si="387"/>
        <v>0</v>
      </c>
      <c r="P682" s="503">
        <f t="shared" si="388"/>
        <v>0</v>
      </c>
      <c r="Q682" s="503">
        <f t="shared" si="389"/>
        <v>0</v>
      </c>
      <c r="R682" s="503">
        <f t="shared" si="390"/>
        <v>0</v>
      </c>
    </row>
    <row r="683" spans="1:18">
      <c r="A683" s="505"/>
      <c r="B683" s="506" t="s">
        <v>793</v>
      </c>
      <c r="C683" s="507">
        <v>16</v>
      </c>
      <c r="D683" s="508"/>
      <c r="E683" s="507">
        <v>10</v>
      </c>
      <c r="F683" s="502">
        <v>1</v>
      </c>
      <c r="G683" s="502">
        <v>4</v>
      </c>
      <c r="H683" s="503"/>
      <c r="I683" s="503">
        <f t="shared" ref="I683:I684" si="414">106.2-103.25</f>
        <v>2.9500000000000028</v>
      </c>
      <c r="J683" s="509"/>
      <c r="K683" s="509">
        <f t="shared" ref="K683:K684" si="415">1*36*C683/1000</f>
        <v>0.57599999999999996</v>
      </c>
      <c r="L683" s="503">
        <f t="shared" si="407"/>
        <v>3.5260000000000029</v>
      </c>
      <c r="M683" s="503">
        <f t="shared" si="385"/>
        <v>0</v>
      </c>
      <c r="N683" s="503">
        <f t="shared" si="386"/>
        <v>0</v>
      </c>
      <c r="O683" s="503">
        <f t="shared" si="387"/>
        <v>0</v>
      </c>
      <c r="P683" s="503">
        <f t="shared" si="388"/>
        <v>141.04</v>
      </c>
      <c r="Q683" s="503">
        <f t="shared" si="389"/>
        <v>0</v>
      </c>
      <c r="R683" s="503">
        <f t="shared" si="390"/>
        <v>0</v>
      </c>
    </row>
    <row r="684" spans="1:18">
      <c r="A684" s="505"/>
      <c r="B684" s="511"/>
      <c r="C684" s="507">
        <v>12</v>
      </c>
      <c r="D684" s="508"/>
      <c r="E684" s="507">
        <f>+E683</f>
        <v>10</v>
      </c>
      <c r="F684" s="502">
        <v>1</v>
      </c>
      <c r="G684" s="502">
        <v>12</v>
      </c>
      <c r="H684" s="503"/>
      <c r="I684" s="503">
        <f t="shared" si="414"/>
        <v>2.9500000000000028</v>
      </c>
      <c r="J684" s="509"/>
      <c r="K684" s="509">
        <f t="shared" si="415"/>
        <v>0.432</v>
      </c>
      <c r="L684" s="503">
        <f t="shared" si="407"/>
        <v>3.3820000000000028</v>
      </c>
      <c r="M684" s="503">
        <f t="shared" si="385"/>
        <v>0</v>
      </c>
      <c r="N684" s="503">
        <f t="shared" si="386"/>
        <v>0</v>
      </c>
      <c r="O684" s="503">
        <f t="shared" si="387"/>
        <v>405.84</v>
      </c>
      <c r="P684" s="503">
        <f t="shared" si="388"/>
        <v>0</v>
      </c>
      <c r="Q684" s="503">
        <f t="shared" si="389"/>
        <v>0</v>
      </c>
      <c r="R684" s="503">
        <f t="shared" si="390"/>
        <v>0</v>
      </c>
    </row>
    <row r="685" spans="1:18">
      <c r="A685" s="505"/>
      <c r="B685" s="511" t="s">
        <v>787</v>
      </c>
      <c r="C685" s="507">
        <v>10</v>
      </c>
      <c r="D685" s="508">
        <v>75</v>
      </c>
      <c r="E685" s="507">
        <f t="shared" ref="E685:E692" si="416">+E684</f>
        <v>10</v>
      </c>
      <c r="F685" s="502">
        <v>2</v>
      </c>
      <c r="G685" s="502">
        <f>+ROUND(715/D685,0)</f>
        <v>10</v>
      </c>
      <c r="H685" s="503"/>
      <c r="I685" s="503">
        <f>2*(0.22+0.635)+24*0.01</f>
        <v>1.95</v>
      </c>
      <c r="J685" s="509"/>
      <c r="K685" s="509"/>
      <c r="L685" s="503">
        <f t="shared" si="407"/>
        <v>1.95</v>
      </c>
      <c r="M685" s="503">
        <f t="shared" si="385"/>
        <v>0</v>
      </c>
      <c r="N685" s="503">
        <f t="shared" si="386"/>
        <v>390</v>
      </c>
      <c r="O685" s="503">
        <f t="shared" si="387"/>
        <v>0</v>
      </c>
      <c r="P685" s="503">
        <f t="shared" si="388"/>
        <v>0</v>
      </c>
      <c r="Q685" s="503">
        <f t="shared" si="389"/>
        <v>0</v>
      </c>
      <c r="R685" s="503">
        <f t="shared" si="390"/>
        <v>0</v>
      </c>
    </row>
    <row r="686" spans="1:18">
      <c r="A686" s="505"/>
      <c r="B686" s="511"/>
      <c r="C686" s="507">
        <v>10</v>
      </c>
      <c r="D686" s="508">
        <v>75</v>
      </c>
      <c r="E686" s="507">
        <f t="shared" si="416"/>
        <v>10</v>
      </c>
      <c r="F686" s="502">
        <v>2</v>
      </c>
      <c r="G686" s="502">
        <f t="shared" ref="G686:G688" si="417">+ROUND(715/D686,0)</f>
        <v>10</v>
      </c>
      <c r="H686" s="503"/>
      <c r="I686" s="503">
        <f>2*(0.22+0.132)+24*0.01</f>
        <v>0.94399999999999995</v>
      </c>
      <c r="J686" s="509"/>
      <c r="K686" s="509"/>
      <c r="L686" s="503">
        <f t="shared" si="407"/>
        <v>0.94399999999999995</v>
      </c>
      <c r="M686" s="503">
        <f t="shared" si="385"/>
        <v>0</v>
      </c>
      <c r="N686" s="503">
        <f t="shared" si="386"/>
        <v>188.8</v>
      </c>
      <c r="O686" s="503">
        <f t="shared" si="387"/>
        <v>0</v>
      </c>
      <c r="P686" s="503">
        <f t="shared" si="388"/>
        <v>0</v>
      </c>
      <c r="Q686" s="503">
        <f t="shared" si="389"/>
        <v>0</v>
      </c>
      <c r="R686" s="503">
        <f t="shared" si="390"/>
        <v>0</v>
      </c>
    </row>
    <row r="687" spans="1:18">
      <c r="A687" s="505"/>
      <c r="B687" s="511"/>
      <c r="C687" s="507">
        <v>10</v>
      </c>
      <c r="D687" s="508">
        <v>75</v>
      </c>
      <c r="E687" s="507">
        <f t="shared" si="416"/>
        <v>10</v>
      </c>
      <c r="F687" s="502">
        <f>2*2</f>
        <v>4</v>
      </c>
      <c r="G687" s="502">
        <f t="shared" si="417"/>
        <v>10</v>
      </c>
      <c r="H687" s="503"/>
      <c r="I687" s="503">
        <f>+(0.165+0.165+0.22)+0.2*0.01</f>
        <v>0.55200000000000005</v>
      </c>
      <c r="J687" s="509"/>
      <c r="K687" s="509"/>
      <c r="L687" s="503">
        <f t="shared" si="407"/>
        <v>0.55200000000000005</v>
      </c>
      <c r="M687" s="503">
        <f t="shared" si="385"/>
        <v>0</v>
      </c>
      <c r="N687" s="503">
        <f t="shared" si="386"/>
        <v>220.8</v>
      </c>
      <c r="O687" s="503">
        <f t="shared" si="387"/>
        <v>0</v>
      </c>
      <c r="P687" s="503">
        <f t="shared" si="388"/>
        <v>0</v>
      </c>
      <c r="Q687" s="503">
        <f t="shared" si="389"/>
        <v>0</v>
      </c>
      <c r="R687" s="503">
        <f t="shared" si="390"/>
        <v>0</v>
      </c>
    </row>
    <row r="688" spans="1:18">
      <c r="A688" s="505"/>
      <c r="B688" s="511"/>
      <c r="C688" s="507">
        <v>10</v>
      </c>
      <c r="D688" s="508">
        <v>75</v>
      </c>
      <c r="E688" s="507">
        <f t="shared" si="416"/>
        <v>10</v>
      </c>
      <c r="F688" s="502">
        <v>2</v>
      </c>
      <c r="G688" s="502">
        <f t="shared" si="417"/>
        <v>10</v>
      </c>
      <c r="H688" s="503"/>
      <c r="I688" s="503">
        <f>0.22+2*10*0.01</f>
        <v>0.42000000000000004</v>
      </c>
      <c r="J688" s="509"/>
      <c r="K688" s="509"/>
      <c r="L688" s="503">
        <f t="shared" si="407"/>
        <v>0.42000000000000004</v>
      </c>
      <c r="M688" s="503">
        <f t="shared" si="385"/>
        <v>0</v>
      </c>
      <c r="N688" s="503">
        <f t="shared" si="386"/>
        <v>84</v>
      </c>
      <c r="O688" s="503">
        <f t="shared" si="387"/>
        <v>0</v>
      </c>
      <c r="P688" s="503">
        <f t="shared" si="388"/>
        <v>0</v>
      </c>
      <c r="Q688" s="503">
        <f t="shared" si="389"/>
        <v>0</v>
      </c>
      <c r="R688" s="503">
        <f t="shared" si="390"/>
        <v>0</v>
      </c>
    </row>
    <row r="689" spans="1:18">
      <c r="A689" s="505"/>
      <c r="B689" s="511" t="s">
        <v>788</v>
      </c>
      <c r="C689" s="507">
        <v>8</v>
      </c>
      <c r="D689" s="508">
        <v>150</v>
      </c>
      <c r="E689" s="507">
        <f t="shared" si="416"/>
        <v>10</v>
      </c>
      <c r="F689" s="502">
        <v>1</v>
      </c>
      <c r="G689" s="502">
        <f>+ROUND(1020/D689+1,0)</f>
        <v>8</v>
      </c>
      <c r="H689" s="503"/>
      <c r="I689" s="503">
        <f>2*(0.22+0.635)+24*0.008</f>
        <v>1.9019999999999999</v>
      </c>
      <c r="J689" s="509"/>
      <c r="K689" s="509"/>
      <c r="L689" s="503">
        <f t="shared" si="407"/>
        <v>1.9019999999999999</v>
      </c>
      <c r="M689" s="503">
        <f t="shared" si="385"/>
        <v>152.16</v>
      </c>
      <c r="N689" s="503">
        <f t="shared" si="386"/>
        <v>0</v>
      </c>
      <c r="O689" s="503">
        <f t="shared" si="387"/>
        <v>0</v>
      </c>
      <c r="P689" s="503">
        <f t="shared" si="388"/>
        <v>0</v>
      </c>
      <c r="Q689" s="503">
        <f t="shared" si="389"/>
        <v>0</v>
      </c>
      <c r="R689" s="503">
        <f t="shared" si="390"/>
        <v>0</v>
      </c>
    </row>
    <row r="690" spans="1:18">
      <c r="A690" s="505"/>
      <c r="B690" s="511"/>
      <c r="C690" s="507">
        <v>8</v>
      </c>
      <c r="D690" s="508">
        <v>150</v>
      </c>
      <c r="E690" s="507">
        <f t="shared" si="416"/>
        <v>10</v>
      </c>
      <c r="F690" s="502">
        <v>1</v>
      </c>
      <c r="G690" s="502">
        <f>+ROUND(1020/D690+1,0)</f>
        <v>8</v>
      </c>
      <c r="H690" s="503"/>
      <c r="I690" s="503">
        <f>2*(0.22+0.132)+24*0.008</f>
        <v>0.89599999999999991</v>
      </c>
      <c r="J690" s="509"/>
      <c r="K690" s="509"/>
      <c r="L690" s="503">
        <f t="shared" si="407"/>
        <v>0.89599999999999991</v>
      </c>
      <c r="M690" s="503">
        <f t="shared" si="385"/>
        <v>71.680000000000007</v>
      </c>
      <c r="N690" s="503">
        <f t="shared" si="386"/>
        <v>0</v>
      </c>
      <c r="O690" s="503">
        <f t="shared" si="387"/>
        <v>0</v>
      </c>
      <c r="P690" s="503">
        <f t="shared" si="388"/>
        <v>0</v>
      </c>
      <c r="Q690" s="503">
        <f t="shared" si="389"/>
        <v>0</v>
      </c>
      <c r="R690" s="503">
        <f t="shared" si="390"/>
        <v>0</v>
      </c>
    </row>
    <row r="691" spans="1:18">
      <c r="A691" s="505"/>
      <c r="B691" s="511"/>
      <c r="C691" s="507">
        <v>8</v>
      </c>
      <c r="D691" s="508">
        <v>150</v>
      </c>
      <c r="E691" s="507">
        <f t="shared" si="416"/>
        <v>10</v>
      </c>
      <c r="F691" s="502">
        <v>2</v>
      </c>
      <c r="G691" s="502">
        <f t="shared" ref="G691:G692" si="418">+ROUND(1020/D691+1,0)</f>
        <v>8</v>
      </c>
      <c r="H691" s="503"/>
      <c r="I691" s="503">
        <f>+(0.165+0.165+0.22)+0.2*0.008</f>
        <v>0.55160000000000009</v>
      </c>
      <c r="J691" s="509"/>
      <c r="K691" s="509"/>
      <c r="L691" s="503">
        <f t="shared" si="407"/>
        <v>0.55160000000000009</v>
      </c>
      <c r="M691" s="503">
        <f t="shared" si="385"/>
        <v>88.26</v>
      </c>
      <c r="N691" s="503">
        <f t="shared" si="386"/>
        <v>0</v>
      </c>
      <c r="O691" s="503">
        <f t="shared" si="387"/>
        <v>0</v>
      </c>
      <c r="P691" s="503">
        <f t="shared" si="388"/>
        <v>0</v>
      </c>
      <c r="Q691" s="503">
        <f t="shared" si="389"/>
        <v>0</v>
      </c>
      <c r="R691" s="503">
        <f t="shared" si="390"/>
        <v>0</v>
      </c>
    </row>
    <row r="692" spans="1:18">
      <c r="A692" s="505"/>
      <c r="B692" s="511"/>
      <c r="C692" s="507">
        <v>8</v>
      </c>
      <c r="D692" s="508">
        <v>150</v>
      </c>
      <c r="E692" s="507">
        <f t="shared" si="416"/>
        <v>10</v>
      </c>
      <c r="F692" s="502">
        <v>1</v>
      </c>
      <c r="G692" s="502">
        <f t="shared" si="418"/>
        <v>8</v>
      </c>
      <c r="H692" s="503"/>
      <c r="I692" s="503">
        <f>0.22+2*10*0.008</f>
        <v>0.38</v>
      </c>
      <c r="J692" s="509"/>
      <c r="K692" s="509"/>
      <c r="L692" s="503">
        <f t="shared" si="407"/>
        <v>0.38</v>
      </c>
      <c r="M692" s="503">
        <f t="shared" si="385"/>
        <v>30.4</v>
      </c>
      <c r="N692" s="503">
        <f t="shared" si="386"/>
        <v>0</v>
      </c>
      <c r="O692" s="503">
        <f t="shared" si="387"/>
        <v>0</v>
      </c>
      <c r="P692" s="503">
        <f t="shared" si="388"/>
        <v>0</v>
      </c>
      <c r="Q692" s="503">
        <f t="shared" si="389"/>
        <v>0</v>
      </c>
      <c r="R692" s="503">
        <f t="shared" si="390"/>
        <v>0</v>
      </c>
    </row>
    <row r="693" spans="1:18">
      <c r="A693" s="505"/>
      <c r="B693" s="506" t="s">
        <v>794</v>
      </c>
      <c r="C693" s="507">
        <v>16</v>
      </c>
      <c r="D693" s="508"/>
      <c r="E693" s="507">
        <v>4</v>
      </c>
      <c r="F693" s="502">
        <v>1</v>
      </c>
      <c r="G693" s="502">
        <v>4</v>
      </c>
      <c r="H693" s="503"/>
      <c r="I693" s="503">
        <f t="shared" ref="I693:I694" si="419">106.2-103.25</f>
        <v>2.9500000000000028</v>
      </c>
      <c r="J693" s="509"/>
      <c r="K693" s="509">
        <f t="shared" ref="K693:K694" si="420">1*36*C693/1000</f>
        <v>0.57599999999999996</v>
      </c>
      <c r="L693" s="503">
        <f t="shared" si="407"/>
        <v>3.5260000000000029</v>
      </c>
      <c r="M693" s="503">
        <f t="shared" si="385"/>
        <v>0</v>
      </c>
      <c r="N693" s="503">
        <f t="shared" si="386"/>
        <v>0</v>
      </c>
      <c r="O693" s="503">
        <f t="shared" si="387"/>
        <v>0</v>
      </c>
      <c r="P693" s="503">
        <f t="shared" si="388"/>
        <v>56.42</v>
      </c>
      <c r="Q693" s="503">
        <f t="shared" si="389"/>
        <v>0</v>
      </c>
      <c r="R693" s="503">
        <f t="shared" si="390"/>
        <v>0</v>
      </c>
    </row>
    <row r="694" spans="1:18">
      <c r="A694" s="505"/>
      <c r="B694" s="511"/>
      <c r="C694" s="507">
        <v>12</v>
      </c>
      <c r="D694" s="508"/>
      <c r="E694" s="507">
        <f>+E693</f>
        <v>4</v>
      </c>
      <c r="F694" s="502">
        <v>1</v>
      </c>
      <c r="G694" s="502">
        <v>14</v>
      </c>
      <c r="H694" s="503"/>
      <c r="I694" s="503">
        <f t="shared" si="419"/>
        <v>2.9500000000000028</v>
      </c>
      <c r="J694" s="509"/>
      <c r="K694" s="509">
        <f t="shared" si="420"/>
        <v>0.432</v>
      </c>
      <c r="L694" s="503">
        <f t="shared" si="407"/>
        <v>3.3820000000000028</v>
      </c>
      <c r="M694" s="503">
        <f t="shared" si="385"/>
        <v>0</v>
      </c>
      <c r="N694" s="503">
        <f t="shared" si="386"/>
        <v>0</v>
      </c>
      <c r="O694" s="503">
        <f t="shared" si="387"/>
        <v>189.39</v>
      </c>
      <c r="P694" s="503">
        <f t="shared" si="388"/>
        <v>0</v>
      </c>
      <c r="Q694" s="503">
        <f t="shared" si="389"/>
        <v>0</v>
      </c>
      <c r="R694" s="503">
        <f t="shared" si="390"/>
        <v>0</v>
      </c>
    </row>
    <row r="695" spans="1:18">
      <c r="A695" s="505"/>
      <c r="B695" s="511" t="s">
        <v>787</v>
      </c>
      <c r="C695" s="507">
        <v>10</v>
      </c>
      <c r="D695" s="508">
        <v>75</v>
      </c>
      <c r="E695" s="507">
        <f t="shared" ref="E695:E700" si="421">+E694</f>
        <v>4</v>
      </c>
      <c r="F695" s="502">
        <v>2</v>
      </c>
      <c r="G695" s="502">
        <f>+ROUND(800/D695,0)</f>
        <v>11</v>
      </c>
      <c r="H695" s="503"/>
      <c r="I695" s="503">
        <f>2*(0.22+0.72)+24*0.01</f>
        <v>2.12</v>
      </c>
      <c r="J695" s="509"/>
      <c r="K695" s="509"/>
      <c r="L695" s="503">
        <f t="shared" si="407"/>
        <v>2.12</v>
      </c>
      <c r="M695" s="503">
        <f t="shared" si="385"/>
        <v>0</v>
      </c>
      <c r="N695" s="503">
        <f t="shared" si="386"/>
        <v>186.56</v>
      </c>
      <c r="O695" s="503">
        <f t="shared" si="387"/>
        <v>0</v>
      </c>
      <c r="P695" s="503">
        <f t="shared" si="388"/>
        <v>0</v>
      </c>
      <c r="Q695" s="503">
        <f t="shared" si="389"/>
        <v>0</v>
      </c>
      <c r="R695" s="503">
        <f t="shared" si="390"/>
        <v>0</v>
      </c>
    </row>
    <row r="696" spans="1:18">
      <c r="A696" s="505"/>
      <c r="B696" s="511"/>
      <c r="C696" s="507">
        <v>10</v>
      </c>
      <c r="D696" s="508">
        <v>75</v>
      </c>
      <c r="E696" s="507">
        <f t="shared" si="421"/>
        <v>4</v>
      </c>
      <c r="F696" s="502">
        <f>2*2</f>
        <v>4</v>
      </c>
      <c r="G696" s="502">
        <f t="shared" ref="G696:G697" si="422">+ROUND(800/D696,0)</f>
        <v>11</v>
      </c>
      <c r="H696" s="503"/>
      <c r="I696" s="503">
        <f>2*(0.22+0.115)+24*0.01</f>
        <v>0.91</v>
      </c>
      <c r="J696" s="509"/>
      <c r="K696" s="509"/>
      <c r="L696" s="503">
        <f t="shared" si="407"/>
        <v>0.91</v>
      </c>
      <c r="M696" s="503">
        <f t="shared" si="385"/>
        <v>0</v>
      </c>
      <c r="N696" s="503">
        <f t="shared" si="386"/>
        <v>160.16</v>
      </c>
      <c r="O696" s="503">
        <f t="shared" si="387"/>
        <v>0</v>
      </c>
      <c r="P696" s="503">
        <f t="shared" si="388"/>
        <v>0</v>
      </c>
      <c r="Q696" s="503">
        <f t="shared" si="389"/>
        <v>0</v>
      </c>
      <c r="R696" s="503">
        <f t="shared" si="390"/>
        <v>0</v>
      </c>
    </row>
    <row r="697" spans="1:18">
      <c r="A697" s="505"/>
      <c r="B697" s="511"/>
      <c r="C697" s="507">
        <v>10</v>
      </c>
      <c r="D697" s="508">
        <v>75</v>
      </c>
      <c r="E697" s="507">
        <f t="shared" si="421"/>
        <v>4</v>
      </c>
      <c r="F697" s="502">
        <f>2*2</f>
        <v>4</v>
      </c>
      <c r="G697" s="502">
        <f t="shared" si="422"/>
        <v>11</v>
      </c>
      <c r="H697" s="503"/>
      <c r="I697" s="503">
        <f>+(0.165+0.165+0.22)+0.2*0.01</f>
        <v>0.55200000000000005</v>
      </c>
      <c r="J697" s="509"/>
      <c r="K697" s="509"/>
      <c r="L697" s="503">
        <f t="shared" si="407"/>
        <v>0.55200000000000005</v>
      </c>
      <c r="M697" s="503">
        <f t="shared" si="385"/>
        <v>0</v>
      </c>
      <c r="N697" s="503">
        <f t="shared" si="386"/>
        <v>97.15</v>
      </c>
      <c r="O697" s="503">
        <f t="shared" si="387"/>
        <v>0</v>
      </c>
      <c r="P697" s="503">
        <f t="shared" si="388"/>
        <v>0</v>
      </c>
      <c r="Q697" s="503">
        <f t="shared" si="389"/>
        <v>0</v>
      </c>
      <c r="R697" s="503">
        <f t="shared" si="390"/>
        <v>0</v>
      </c>
    </row>
    <row r="698" spans="1:18">
      <c r="A698" s="505"/>
      <c r="B698" s="511" t="s">
        <v>788</v>
      </c>
      <c r="C698" s="507">
        <v>8</v>
      </c>
      <c r="D698" s="508">
        <v>150</v>
      </c>
      <c r="E698" s="507">
        <f t="shared" si="421"/>
        <v>4</v>
      </c>
      <c r="F698" s="502">
        <v>1</v>
      </c>
      <c r="G698" s="502">
        <f>+ROUND(800/D698+1,0)</f>
        <v>6</v>
      </c>
      <c r="H698" s="503"/>
      <c r="I698" s="503">
        <f>2*(0.22+0.72)+24*0.008</f>
        <v>2.0720000000000001</v>
      </c>
      <c r="J698" s="509"/>
      <c r="K698" s="509"/>
      <c r="L698" s="503">
        <f t="shared" si="407"/>
        <v>2.0720000000000001</v>
      </c>
      <c r="M698" s="503">
        <f t="shared" si="385"/>
        <v>49.73</v>
      </c>
      <c r="N698" s="503">
        <f t="shared" si="386"/>
        <v>0</v>
      </c>
      <c r="O698" s="503">
        <f t="shared" si="387"/>
        <v>0</v>
      </c>
      <c r="P698" s="503">
        <f t="shared" si="388"/>
        <v>0</v>
      </c>
      <c r="Q698" s="503">
        <f t="shared" si="389"/>
        <v>0</v>
      </c>
      <c r="R698" s="503">
        <f t="shared" si="390"/>
        <v>0</v>
      </c>
    </row>
    <row r="699" spans="1:18">
      <c r="A699" s="505"/>
      <c r="B699" s="511"/>
      <c r="C699" s="507">
        <v>8</v>
      </c>
      <c r="D699" s="508">
        <v>150</v>
      </c>
      <c r="E699" s="507">
        <f t="shared" si="421"/>
        <v>4</v>
      </c>
      <c r="F699" s="502">
        <v>2</v>
      </c>
      <c r="G699" s="502">
        <f t="shared" ref="G699:G700" si="423">+ROUND(800/D699+1,0)</f>
        <v>6</v>
      </c>
      <c r="H699" s="503"/>
      <c r="I699" s="503">
        <f>2*(0.22+0.115)+24*0.008</f>
        <v>0.8620000000000001</v>
      </c>
      <c r="J699" s="509"/>
      <c r="K699" s="509"/>
      <c r="L699" s="503">
        <f t="shared" si="407"/>
        <v>0.8620000000000001</v>
      </c>
      <c r="M699" s="503">
        <f t="shared" si="385"/>
        <v>41.38</v>
      </c>
      <c r="N699" s="503">
        <f t="shared" si="386"/>
        <v>0</v>
      </c>
      <c r="O699" s="503">
        <f t="shared" si="387"/>
        <v>0</v>
      </c>
      <c r="P699" s="503">
        <f t="shared" si="388"/>
        <v>0</v>
      </c>
      <c r="Q699" s="503">
        <f t="shared" si="389"/>
        <v>0</v>
      </c>
      <c r="R699" s="503">
        <f t="shared" si="390"/>
        <v>0</v>
      </c>
    </row>
    <row r="700" spans="1:18">
      <c r="A700" s="505"/>
      <c r="B700" s="511"/>
      <c r="C700" s="507">
        <v>8</v>
      </c>
      <c r="D700" s="508">
        <v>150</v>
      </c>
      <c r="E700" s="507">
        <f t="shared" si="421"/>
        <v>4</v>
      </c>
      <c r="F700" s="502">
        <v>2</v>
      </c>
      <c r="G700" s="502">
        <f t="shared" si="423"/>
        <v>6</v>
      </c>
      <c r="H700" s="503"/>
      <c r="I700" s="503">
        <f>+(0.165+0.165+0.22)+0.2*0.008</f>
        <v>0.55160000000000009</v>
      </c>
      <c r="J700" s="509"/>
      <c r="K700" s="509"/>
      <c r="L700" s="503">
        <f t="shared" si="407"/>
        <v>0.55160000000000009</v>
      </c>
      <c r="M700" s="503">
        <f t="shared" si="385"/>
        <v>26.48</v>
      </c>
      <c r="N700" s="503">
        <f t="shared" si="386"/>
        <v>0</v>
      </c>
      <c r="O700" s="503">
        <f t="shared" si="387"/>
        <v>0</v>
      </c>
      <c r="P700" s="503">
        <f t="shared" si="388"/>
        <v>0</v>
      </c>
      <c r="Q700" s="503">
        <f t="shared" si="389"/>
        <v>0</v>
      </c>
      <c r="R700" s="503">
        <f t="shared" si="390"/>
        <v>0</v>
      </c>
    </row>
    <row r="701" spans="1:18">
      <c r="A701" s="505"/>
      <c r="B701" s="506" t="s">
        <v>795</v>
      </c>
      <c r="C701" s="507">
        <v>16</v>
      </c>
      <c r="D701" s="508"/>
      <c r="E701" s="507">
        <v>4</v>
      </c>
      <c r="F701" s="502">
        <v>1</v>
      </c>
      <c r="G701" s="502">
        <v>10</v>
      </c>
      <c r="H701" s="503"/>
      <c r="I701" s="503">
        <f t="shared" ref="I701:I702" si="424">106.2-103.25</f>
        <v>2.9500000000000028</v>
      </c>
      <c r="J701" s="509"/>
      <c r="K701" s="509">
        <f t="shared" ref="K701:K702" si="425">1*36*C701/1000</f>
        <v>0.57599999999999996</v>
      </c>
      <c r="L701" s="503">
        <f t="shared" si="407"/>
        <v>3.5260000000000029</v>
      </c>
      <c r="M701" s="503">
        <f t="shared" si="385"/>
        <v>0</v>
      </c>
      <c r="N701" s="503">
        <f t="shared" si="386"/>
        <v>0</v>
      </c>
      <c r="O701" s="503">
        <f t="shared" si="387"/>
        <v>0</v>
      </c>
      <c r="P701" s="503">
        <f t="shared" si="388"/>
        <v>141.04</v>
      </c>
      <c r="Q701" s="503">
        <f t="shared" si="389"/>
        <v>0</v>
      </c>
      <c r="R701" s="503">
        <f t="shared" si="390"/>
        <v>0</v>
      </c>
    </row>
    <row r="702" spans="1:18">
      <c r="A702" s="505"/>
      <c r="B702" s="506"/>
      <c r="C702" s="507">
        <v>12</v>
      </c>
      <c r="D702" s="508"/>
      <c r="E702" s="507">
        <v>4</v>
      </c>
      <c r="F702" s="502">
        <v>1</v>
      </c>
      <c r="G702" s="502">
        <v>4</v>
      </c>
      <c r="H702" s="503"/>
      <c r="I702" s="503">
        <f t="shared" si="424"/>
        <v>2.9500000000000028</v>
      </c>
      <c r="J702" s="509"/>
      <c r="K702" s="509">
        <f t="shared" si="425"/>
        <v>0.432</v>
      </c>
      <c r="L702" s="503">
        <f t="shared" ref="L702" si="426">SUM(H702:J702)+K702</f>
        <v>3.3820000000000028</v>
      </c>
      <c r="M702" s="503">
        <f t="shared" si="385"/>
        <v>0</v>
      </c>
      <c r="N702" s="503">
        <f t="shared" si="386"/>
        <v>0</v>
      </c>
      <c r="O702" s="503">
        <f t="shared" si="387"/>
        <v>54.11</v>
      </c>
      <c r="P702" s="503">
        <f t="shared" si="388"/>
        <v>0</v>
      </c>
      <c r="Q702" s="503">
        <f t="shared" si="389"/>
        <v>0</v>
      </c>
      <c r="R702" s="503">
        <f t="shared" si="390"/>
        <v>0</v>
      </c>
    </row>
    <row r="703" spans="1:18">
      <c r="A703" s="505"/>
      <c r="B703" s="511" t="s">
        <v>787</v>
      </c>
      <c r="C703" s="507">
        <v>10</v>
      </c>
      <c r="D703" s="508">
        <v>75</v>
      </c>
      <c r="E703" s="507">
        <f>+E701</f>
        <v>4</v>
      </c>
      <c r="F703" s="502">
        <v>2</v>
      </c>
      <c r="G703" s="502">
        <f>+ROUND(600/D703,0)</f>
        <v>8</v>
      </c>
      <c r="H703" s="503"/>
      <c r="I703" s="503">
        <f>2*(0.22+0.52)+24*0.01</f>
        <v>1.72</v>
      </c>
      <c r="J703" s="509"/>
      <c r="K703" s="509"/>
      <c r="L703" s="503">
        <f t="shared" si="407"/>
        <v>1.72</v>
      </c>
      <c r="M703" s="503">
        <f t="shared" si="385"/>
        <v>0</v>
      </c>
      <c r="N703" s="503">
        <f t="shared" si="386"/>
        <v>110.08</v>
      </c>
      <c r="O703" s="503">
        <f t="shared" si="387"/>
        <v>0</v>
      </c>
      <c r="P703" s="503">
        <f t="shared" si="388"/>
        <v>0</v>
      </c>
      <c r="Q703" s="503">
        <f t="shared" si="389"/>
        <v>0</v>
      </c>
      <c r="R703" s="503">
        <f t="shared" si="390"/>
        <v>0</v>
      </c>
    </row>
    <row r="704" spans="1:18">
      <c r="A704" s="505"/>
      <c r="B704" s="511"/>
      <c r="C704" s="507">
        <v>10</v>
      </c>
      <c r="D704" s="508">
        <v>75</v>
      </c>
      <c r="E704" s="507">
        <f t="shared" ref="E704:E708" si="427">+E703</f>
        <v>4</v>
      </c>
      <c r="F704" s="502">
        <v>2</v>
      </c>
      <c r="G704" s="502">
        <f t="shared" ref="G704:G705" si="428">+ROUND(600/D704,0)</f>
        <v>8</v>
      </c>
      <c r="H704" s="503"/>
      <c r="I704" s="503">
        <f>2*(0.22+0.115)+24*0.01</f>
        <v>0.91</v>
      </c>
      <c r="J704" s="509"/>
      <c r="K704" s="509"/>
      <c r="L704" s="503">
        <f t="shared" si="407"/>
        <v>0.91</v>
      </c>
      <c r="M704" s="503">
        <f t="shared" si="385"/>
        <v>0</v>
      </c>
      <c r="N704" s="503">
        <f t="shared" si="386"/>
        <v>58.24</v>
      </c>
      <c r="O704" s="503">
        <f t="shared" si="387"/>
        <v>0</v>
      </c>
      <c r="P704" s="503">
        <f t="shared" si="388"/>
        <v>0</v>
      </c>
      <c r="Q704" s="503">
        <f t="shared" si="389"/>
        <v>0</v>
      </c>
      <c r="R704" s="503">
        <f t="shared" si="390"/>
        <v>0</v>
      </c>
    </row>
    <row r="705" spans="1:19">
      <c r="A705" s="505"/>
      <c r="B705" s="511"/>
      <c r="C705" s="507">
        <v>10</v>
      </c>
      <c r="D705" s="508">
        <v>75</v>
      </c>
      <c r="E705" s="507">
        <f t="shared" si="427"/>
        <v>4</v>
      </c>
      <c r="F705" s="502">
        <f>2*2</f>
        <v>4</v>
      </c>
      <c r="G705" s="502">
        <f t="shared" si="428"/>
        <v>8</v>
      </c>
      <c r="H705" s="503"/>
      <c r="I705" s="503">
        <f>+(0.16+0.16+0.22)+0.24*0.01</f>
        <v>0.54239999999999999</v>
      </c>
      <c r="J705" s="509"/>
      <c r="K705" s="509"/>
      <c r="L705" s="503">
        <f t="shared" si="407"/>
        <v>0.54239999999999999</v>
      </c>
      <c r="M705" s="503">
        <f t="shared" si="385"/>
        <v>0</v>
      </c>
      <c r="N705" s="503">
        <f t="shared" si="386"/>
        <v>69.430000000000007</v>
      </c>
      <c r="O705" s="503">
        <f t="shared" si="387"/>
        <v>0</v>
      </c>
      <c r="P705" s="503">
        <f t="shared" si="388"/>
        <v>0</v>
      </c>
      <c r="Q705" s="503">
        <f t="shared" si="389"/>
        <v>0</v>
      </c>
      <c r="R705" s="503">
        <f t="shared" si="390"/>
        <v>0</v>
      </c>
    </row>
    <row r="706" spans="1:19">
      <c r="A706" s="505"/>
      <c r="B706" s="511" t="s">
        <v>788</v>
      </c>
      <c r="C706" s="507">
        <v>8</v>
      </c>
      <c r="D706" s="508">
        <v>150</v>
      </c>
      <c r="E706" s="507">
        <f t="shared" si="427"/>
        <v>4</v>
      </c>
      <c r="F706" s="502">
        <v>1</v>
      </c>
      <c r="G706" s="502">
        <f>+ROUND(1250/D706+1,0)</f>
        <v>9</v>
      </c>
      <c r="H706" s="503"/>
      <c r="I706" s="503">
        <f>2*(0.22+0.52)+24*0.008</f>
        <v>1.6719999999999999</v>
      </c>
      <c r="J706" s="509"/>
      <c r="K706" s="509"/>
      <c r="L706" s="503">
        <f t="shared" si="407"/>
        <v>1.6719999999999999</v>
      </c>
      <c r="M706" s="503">
        <f t="shared" si="385"/>
        <v>60.19</v>
      </c>
      <c r="N706" s="503">
        <f t="shared" si="386"/>
        <v>0</v>
      </c>
      <c r="O706" s="503">
        <f t="shared" si="387"/>
        <v>0</v>
      </c>
      <c r="P706" s="503">
        <f t="shared" si="388"/>
        <v>0</v>
      </c>
      <c r="Q706" s="503">
        <f t="shared" si="389"/>
        <v>0</v>
      </c>
      <c r="R706" s="503">
        <f t="shared" si="390"/>
        <v>0</v>
      </c>
    </row>
    <row r="707" spans="1:19">
      <c r="A707" s="505"/>
      <c r="B707" s="511"/>
      <c r="C707" s="507">
        <v>8</v>
      </c>
      <c r="D707" s="508">
        <v>150</v>
      </c>
      <c r="E707" s="507">
        <f t="shared" si="427"/>
        <v>4</v>
      </c>
      <c r="F707" s="502">
        <v>1</v>
      </c>
      <c r="G707" s="502">
        <f t="shared" ref="G707:G708" si="429">+ROUND(1250/D707+1,0)</f>
        <v>9</v>
      </c>
      <c r="H707" s="503"/>
      <c r="I707" s="503">
        <f>2*(0.22+0.115)+24*0.008</f>
        <v>0.8620000000000001</v>
      </c>
      <c r="J707" s="509"/>
      <c r="K707" s="509"/>
      <c r="L707" s="503">
        <f t="shared" si="407"/>
        <v>0.8620000000000001</v>
      </c>
      <c r="M707" s="503">
        <f t="shared" si="385"/>
        <v>31.03</v>
      </c>
      <c r="N707" s="503">
        <f t="shared" si="386"/>
        <v>0</v>
      </c>
      <c r="O707" s="503">
        <f t="shared" si="387"/>
        <v>0</v>
      </c>
      <c r="P707" s="503">
        <f t="shared" si="388"/>
        <v>0</v>
      </c>
      <c r="Q707" s="503">
        <f t="shared" si="389"/>
        <v>0</v>
      </c>
      <c r="R707" s="503">
        <f t="shared" si="390"/>
        <v>0</v>
      </c>
    </row>
    <row r="708" spans="1:19">
      <c r="A708" s="505"/>
      <c r="B708" s="511"/>
      <c r="C708" s="507">
        <v>8</v>
      </c>
      <c r="D708" s="508">
        <v>150</v>
      </c>
      <c r="E708" s="507">
        <f t="shared" si="427"/>
        <v>4</v>
      </c>
      <c r="F708" s="502">
        <v>2</v>
      </c>
      <c r="G708" s="502">
        <f t="shared" si="429"/>
        <v>9</v>
      </c>
      <c r="H708" s="503"/>
      <c r="I708" s="503">
        <f>+(0.16+0.16+0.22)+0.2*0.008</f>
        <v>0.54160000000000008</v>
      </c>
      <c r="J708" s="509"/>
      <c r="K708" s="509"/>
      <c r="L708" s="503">
        <f t="shared" si="407"/>
        <v>0.54160000000000008</v>
      </c>
      <c r="M708" s="503">
        <f t="shared" si="385"/>
        <v>39</v>
      </c>
      <c r="N708" s="503">
        <f t="shared" si="386"/>
        <v>0</v>
      </c>
      <c r="O708" s="503">
        <f t="shared" si="387"/>
        <v>0</v>
      </c>
      <c r="P708" s="503">
        <f t="shared" si="388"/>
        <v>0</v>
      </c>
      <c r="Q708" s="503">
        <f t="shared" si="389"/>
        <v>0</v>
      </c>
      <c r="R708" s="503">
        <f t="shared" si="390"/>
        <v>0</v>
      </c>
    </row>
    <row r="709" spans="1:19">
      <c r="A709" s="530"/>
      <c r="B709" s="506" t="s">
        <v>924</v>
      </c>
      <c r="C709" s="507">
        <v>16</v>
      </c>
      <c r="D709" s="508"/>
      <c r="E709" s="507">
        <v>4</v>
      </c>
      <c r="F709" s="502">
        <v>1</v>
      </c>
      <c r="G709" s="502">
        <v>4</v>
      </c>
      <c r="H709" s="503"/>
      <c r="I709" s="503">
        <v>2.95</v>
      </c>
      <c r="J709" s="509"/>
      <c r="K709" s="509">
        <f t="shared" ref="K709:K710" si="430">1*36*C709/1000</f>
        <v>0.57599999999999996</v>
      </c>
      <c r="L709" s="503">
        <f t="shared" ref="L709:L723" si="431">SUM(H709:J709)+K709</f>
        <v>3.5260000000000002</v>
      </c>
      <c r="M709" s="503">
        <f t="shared" si="385"/>
        <v>0</v>
      </c>
      <c r="N709" s="503">
        <f t="shared" si="386"/>
        <v>0</v>
      </c>
      <c r="O709" s="503">
        <f t="shared" si="387"/>
        <v>0</v>
      </c>
      <c r="P709" s="503">
        <f t="shared" si="388"/>
        <v>56.42</v>
      </c>
      <c r="Q709" s="503">
        <f t="shared" si="389"/>
        <v>0</v>
      </c>
      <c r="R709" s="503">
        <f t="shared" si="390"/>
        <v>0</v>
      </c>
      <c r="S709" s="221">
        <f>+G709*E709</f>
        <v>16</v>
      </c>
    </row>
    <row r="710" spans="1:19">
      <c r="A710" s="505"/>
      <c r="B710" s="511"/>
      <c r="C710" s="507">
        <v>12</v>
      </c>
      <c r="D710" s="508"/>
      <c r="E710" s="507">
        <f>+E709</f>
        <v>4</v>
      </c>
      <c r="F710" s="502">
        <v>1</v>
      </c>
      <c r="G710" s="502">
        <v>10</v>
      </c>
      <c r="H710" s="503"/>
      <c r="I710" s="503">
        <v>2.95</v>
      </c>
      <c r="J710" s="509"/>
      <c r="K710" s="509">
        <f t="shared" si="430"/>
        <v>0.432</v>
      </c>
      <c r="L710" s="503">
        <f t="shared" si="431"/>
        <v>3.3820000000000001</v>
      </c>
      <c r="M710" s="503">
        <f t="shared" si="385"/>
        <v>0</v>
      </c>
      <c r="N710" s="503">
        <f t="shared" si="386"/>
        <v>0</v>
      </c>
      <c r="O710" s="503">
        <f t="shared" si="387"/>
        <v>135.28</v>
      </c>
      <c r="P710" s="503">
        <f t="shared" si="388"/>
        <v>0</v>
      </c>
      <c r="Q710" s="503">
        <f t="shared" si="389"/>
        <v>0</v>
      </c>
      <c r="R710" s="503">
        <f t="shared" si="390"/>
        <v>0</v>
      </c>
      <c r="S710" s="221">
        <f>+G710*E710</f>
        <v>40</v>
      </c>
    </row>
    <row r="711" spans="1:19">
      <c r="A711" s="505"/>
      <c r="B711" s="511" t="s">
        <v>787</v>
      </c>
      <c r="C711" s="507">
        <v>10</v>
      </c>
      <c r="D711" s="508">
        <v>75</v>
      </c>
      <c r="E711" s="507">
        <f>+E710</f>
        <v>4</v>
      </c>
      <c r="F711" s="502">
        <v>2</v>
      </c>
      <c r="G711" s="502">
        <f>+ROUND(600/D711,0)</f>
        <v>8</v>
      </c>
      <c r="H711" s="503"/>
      <c r="I711" s="503">
        <f>2*(0.2+0.5)+24*0.01</f>
        <v>1.64</v>
      </c>
      <c r="J711" s="509"/>
      <c r="K711" s="509"/>
      <c r="L711" s="503">
        <f t="shared" si="431"/>
        <v>1.64</v>
      </c>
      <c r="M711" s="503">
        <f t="shared" si="385"/>
        <v>0</v>
      </c>
      <c r="N711" s="503">
        <f t="shared" si="386"/>
        <v>104.96</v>
      </c>
      <c r="O711" s="503">
        <f t="shared" si="387"/>
        <v>0</v>
      </c>
      <c r="P711" s="503">
        <f t="shared" si="388"/>
        <v>0</v>
      </c>
      <c r="Q711" s="503">
        <f t="shared" si="389"/>
        <v>0</v>
      </c>
      <c r="R711" s="503">
        <f t="shared" si="390"/>
        <v>0</v>
      </c>
    </row>
    <row r="712" spans="1:19">
      <c r="A712" s="505"/>
      <c r="B712" s="511"/>
      <c r="C712" s="507">
        <v>10</v>
      </c>
      <c r="D712" s="508">
        <v>75</v>
      </c>
      <c r="E712" s="507">
        <f t="shared" ref="E712:E716" si="432">+E711</f>
        <v>4</v>
      </c>
      <c r="F712" s="502">
        <v>2</v>
      </c>
      <c r="G712" s="502">
        <f t="shared" ref="G712:G713" si="433">+ROUND(600/D712,0)</f>
        <v>8</v>
      </c>
      <c r="H712" s="503"/>
      <c r="I712" s="503">
        <f>2*(0.2+0.115)+24*0.01</f>
        <v>0.87</v>
      </c>
      <c r="J712" s="509"/>
      <c r="K712" s="509"/>
      <c r="L712" s="503">
        <f t="shared" si="431"/>
        <v>0.87</v>
      </c>
      <c r="M712" s="503">
        <f t="shared" si="385"/>
        <v>0</v>
      </c>
      <c r="N712" s="503">
        <f t="shared" si="386"/>
        <v>55.68</v>
      </c>
      <c r="O712" s="503">
        <f t="shared" si="387"/>
        <v>0</v>
      </c>
      <c r="P712" s="503">
        <f t="shared" si="388"/>
        <v>0</v>
      </c>
      <c r="Q712" s="503">
        <f t="shared" si="389"/>
        <v>0</v>
      </c>
      <c r="R712" s="503">
        <f t="shared" si="390"/>
        <v>0</v>
      </c>
    </row>
    <row r="713" spans="1:19">
      <c r="A713" s="505"/>
      <c r="B713" s="511"/>
      <c r="C713" s="507">
        <v>10</v>
      </c>
      <c r="D713" s="508">
        <v>75</v>
      </c>
      <c r="E713" s="507">
        <f t="shared" si="432"/>
        <v>4</v>
      </c>
      <c r="F713" s="502">
        <f>2*2</f>
        <v>4</v>
      </c>
      <c r="G713" s="502">
        <f t="shared" si="433"/>
        <v>8</v>
      </c>
      <c r="H713" s="503"/>
      <c r="I713" s="503">
        <f>+(0.168+0.168+0.2)+20*0.01</f>
        <v>0.73599999999999999</v>
      </c>
      <c r="J713" s="509"/>
      <c r="K713" s="509"/>
      <c r="L713" s="503">
        <f t="shared" si="431"/>
        <v>0.73599999999999999</v>
      </c>
      <c r="M713" s="503">
        <f t="shared" si="385"/>
        <v>0</v>
      </c>
      <c r="N713" s="503">
        <f t="shared" si="386"/>
        <v>94.21</v>
      </c>
      <c r="O713" s="503">
        <f t="shared" si="387"/>
        <v>0</v>
      </c>
      <c r="P713" s="503">
        <f t="shared" si="388"/>
        <v>0</v>
      </c>
      <c r="Q713" s="503">
        <f t="shared" si="389"/>
        <v>0</v>
      </c>
      <c r="R713" s="503">
        <f t="shared" si="390"/>
        <v>0</v>
      </c>
    </row>
    <row r="714" spans="1:19">
      <c r="A714" s="505"/>
      <c r="B714" s="511" t="s">
        <v>788</v>
      </c>
      <c r="C714" s="507">
        <v>8</v>
      </c>
      <c r="D714" s="508">
        <v>150</v>
      </c>
      <c r="E714" s="507">
        <f t="shared" si="432"/>
        <v>4</v>
      </c>
      <c r="F714" s="502">
        <v>1</v>
      </c>
      <c r="G714" s="502">
        <f t="shared" ref="G714:G716" si="434">+ROUND(1400/D714+1,0)</f>
        <v>10</v>
      </c>
      <c r="H714" s="503"/>
      <c r="I714" s="503">
        <f>2*(0.204+0.504)+24*0.008</f>
        <v>1.6079999999999999</v>
      </c>
      <c r="J714" s="509"/>
      <c r="K714" s="509"/>
      <c r="L714" s="503">
        <f t="shared" si="431"/>
        <v>1.6079999999999999</v>
      </c>
      <c r="M714" s="503">
        <f t="shared" si="385"/>
        <v>64.319999999999993</v>
      </c>
      <c r="N714" s="503">
        <f t="shared" si="386"/>
        <v>0</v>
      </c>
      <c r="O714" s="503">
        <f t="shared" si="387"/>
        <v>0</v>
      </c>
      <c r="P714" s="503">
        <f t="shared" si="388"/>
        <v>0</v>
      </c>
      <c r="Q714" s="503">
        <f t="shared" si="389"/>
        <v>0</v>
      </c>
      <c r="R714" s="503">
        <f t="shared" si="390"/>
        <v>0</v>
      </c>
    </row>
    <row r="715" spans="1:19">
      <c r="A715" s="505"/>
      <c r="B715" s="511"/>
      <c r="C715" s="507">
        <v>8</v>
      </c>
      <c r="D715" s="508">
        <v>150</v>
      </c>
      <c r="E715" s="507">
        <f t="shared" si="432"/>
        <v>4</v>
      </c>
      <c r="F715" s="502">
        <v>1</v>
      </c>
      <c r="G715" s="502">
        <f t="shared" si="434"/>
        <v>10</v>
      </c>
      <c r="H715" s="503"/>
      <c r="I715" s="503">
        <f>2*(0.204+0.115)+24*0.008</f>
        <v>0.83000000000000007</v>
      </c>
      <c r="J715" s="509"/>
      <c r="K715" s="509"/>
      <c r="L715" s="503">
        <f t="shared" si="431"/>
        <v>0.83000000000000007</v>
      </c>
      <c r="M715" s="503">
        <f t="shared" si="385"/>
        <v>33.200000000000003</v>
      </c>
      <c r="N715" s="503">
        <f t="shared" si="386"/>
        <v>0</v>
      </c>
      <c r="O715" s="503">
        <f t="shared" si="387"/>
        <v>0</v>
      </c>
      <c r="P715" s="503">
        <f t="shared" si="388"/>
        <v>0</v>
      </c>
      <c r="Q715" s="503">
        <f t="shared" si="389"/>
        <v>0</v>
      </c>
      <c r="R715" s="503">
        <f t="shared" si="390"/>
        <v>0</v>
      </c>
    </row>
    <row r="716" spans="1:19">
      <c r="A716" s="505"/>
      <c r="B716" s="511"/>
      <c r="C716" s="507">
        <v>8</v>
      </c>
      <c r="D716" s="508">
        <v>150</v>
      </c>
      <c r="E716" s="507">
        <f t="shared" si="432"/>
        <v>4</v>
      </c>
      <c r="F716" s="502">
        <v>2</v>
      </c>
      <c r="G716" s="502">
        <f t="shared" si="434"/>
        <v>10</v>
      </c>
      <c r="H716" s="503"/>
      <c r="I716" s="503">
        <f>+(0.168+0.168+0.204)+20*0.008</f>
        <v>0.70000000000000007</v>
      </c>
      <c r="J716" s="509"/>
      <c r="K716" s="509"/>
      <c r="L716" s="503">
        <f t="shared" si="431"/>
        <v>0.70000000000000007</v>
      </c>
      <c r="M716" s="503">
        <f t="shared" si="385"/>
        <v>56</v>
      </c>
      <c r="N716" s="503">
        <f t="shared" si="386"/>
        <v>0</v>
      </c>
      <c r="O716" s="503">
        <f t="shared" si="387"/>
        <v>0</v>
      </c>
      <c r="P716" s="503">
        <f t="shared" si="388"/>
        <v>0</v>
      </c>
      <c r="Q716" s="503">
        <f t="shared" si="389"/>
        <v>0</v>
      </c>
      <c r="R716" s="503">
        <f t="shared" si="390"/>
        <v>0</v>
      </c>
    </row>
    <row r="717" spans="1:19">
      <c r="A717" s="530"/>
      <c r="B717" s="506" t="s">
        <v>925</v>
      </c>
      <c r="C717" s="507">
        <v>16</v>
      </c>
      <c r="D717" s="508"/>
      <c r="E717" s="507">
        <v>10</v>
      </c>
      <c r="F717" s="502">
        <v>1</v>
      </c>
      <c r="G717" s="502">
        <v>14</v>
      </c>
      <c r="H717" s="503"/>
      <c r="I717" s="503">
        <v>2.95</v>
      </c>
      <c r="J717" s="509"/>
      <c r="K717" s="509">
        <f t="shared" ref="K717" si="435">1*36*C717/1000</f>
        <v>0.57599999999999996</v>
      </c>
      <c r="L717" s="503">
        <f t="shared" si="431"/>
        <v>3.5260000000000002</v>
      </c>
      <c r="M717" s="503">
        <f t="shared" si="385"/>
        <v>0</v>
      </c>
      <c r="N717" s="503">
        <f t="shared" si="386"/>
        <v>0</v>
      </c>
      <c r="O717" s="503">
        <f t="shared" si="387"/>
        <v>0</v>
      </c>
      <c r="P717" s="503">
        <f t="shared" si="388"/>
        <v>493.64</v>
      </c>
      <c r="Q717" s="503">
        <f t="shared" si="389"/>
        <v>0</v>
      </c>
      <c r="R717" s="503">
        <f t="shared" si="390"/>
        <v>0</v>
      </c>
      <c r="S717" s="221">
        <f>+G717*E717</f>
        <v>140</v>
      </c>
    </row>
    <row r="718" spans="1:19">
      <c r="A718" s="505"/>
      <c r="B718" s="511" t="s">
        <v>787</v>
      </c>
      <c r="C718" s="507">
        <v>10</v>
      </c>
      <c r="D718" s="508">
        <v>75</v>
      </c>
      <c r="E718" s="507">
        <f>+E717</f>
        <v>10</v>
      </c>
      <c r="F718" s="502">
        <v>2</v>
      </c>
      <c r="G718" s="502">
        <f>+ROUND(600/D718,0)</f>
        <v>8</v>
      </c>
      <c r="H718" s="503"/>
      <c r="I718" s="503">
        <f>2*(0.2+0.5)+24*0.01</f>
        <v>1.64</v>
      </c>
      <c r="J718" s="509"/>
      <c r="K718" s="509"/>
      <c r="L718" s="503">
        <f t="shared" si="431"/>
        <v>1.64</v>
      </c>
      <c r="M718" s="503">
        <f t="shared" si="385"/>
        <v>0</v>
      </c>
      <c r="N718" s="503">
        <f t="shared" si="386"/>
        <v>262.39999999999998</v>
      </c>
      <c r="O718" s="503">
        <f t="shared" si="387"/>
        <v>0</v>
      </c>
      <c r="P718" s="503">
        <f t="shared" si="388"/>
        <v>0</v>
      </c>
      <c r="Q718" s="503">
        <f t="shared" si="389"/>
        <v>0</v>
      </c>
      <c r="R718" s="503">
        <f t="shared" si="390"/>
        <v>0</v>
      </c>
    </row>
    <row r="719" spans="1:19">
      <c r="A719" s="505"/>
      <c r="B719" s="511"/>
      <c r="C719" s="507">
        <v>10</v>
      </c>
      <c r="D719" s="508">
        <v>75</v>
      </c>
      <c r="E719" s="507">
        <f t="shared" ref="E719:E723" si="436">+E718</f>
        <v>10</v>
      </c>
      <c r="F719" s="502">
        <v>2</v>
      </c>
      <c r="G719" s="502">
        <f t="shared" ref="G719:G720" si="437">+ROUND(600/D719,0)</f>
        <v>8</v>
      </c>
      <c r="H719" s="503"/>
      <c r="I719" s="503">
        <f>2*(0.2+0.115)+24*0.01</f>
        <v>0.87</v>
      </c>
      <c r="J719" s="509"/>
      <c r="K719" s="509"/>
      <c r="L719" s="503">
        <f t="shared" si="431"/>
        <v>0.87</v>
      </c>
      <c r="M719" s="503">
        <f t="shared" si="385"/>
        <v>0</v>
      </c>
      <c r="N719" s="503">
        <f t="shared" si="386"/>
        <v>139.19999999999999</v>
      </c>
      <c r="O719" s="503">
        <f t="shared" si="387"/>
        <v>0</v>
      </c>
      <c r="P719" s="503">
        <f t="shared" si="388"/>
        <v>0</v>
      </c>
      <c r="Q719" s="503">
        <f t="shared" si="389"/>
        <v>0</v>
      </c>
      <c r="R719" s="503">
        <f t="shared" si="390"/>
        <v>0</v>
      </c>
    </row>
    <row r="720" spans="1:19">
      <c r="A720" s="505"/>
      <c r="B720" s="511"/>
      <c r="C720" s="507">
        <v>10</v>
      </c>
      <c r="D720" s="508">
        <v>75</v>
      </c>
      <c r="E720" s="507">
        <f t="shared" si="436"/>
        <v>10</v>
      </c>
      <c r="F720" s="502">
        <f>2*2</f>
        <v>4</v>
      </c>
      <c r="G720" s="502">
        <f t="shared" si="437"/>
        <v>8</v>
      </c>
      <c r="H720" s="503"/>
      <c r="I720" s="503">
        <f>+(0.168+0.168+0.2)+20*0.01</f>
        <v>0.73599999999999999</v>
      </c>
      <c r="J720" s="509"/>
      <c r="K720" s="509"/>
      <c r="L720" s="503">
        <f t="shared" si="431"/>
        <v>0.73599999999999999</v>
      </c>
      <c r="M720" s="503">
        <f t="shared" si="385"/>
        <v>0</v>
      </c>
      <c r="N720" s="503">
        <f t="shared" si="386"/>
        <v>235.52</v>
      </c>
      <c r="O720" s="503">
        <f t="shared" si="387"/>
        <v>0</v>
      </c>
      <c r="P720" s="503">
        <f t="shared" si="388"/>
        <v>0</v>
      </c>
      <c r="Q720" s="503">
        <f t="shared" si="389"/>
        <v>0</v>
      </c>
      <c r="R720" s="503">
        <f t="shared" si="390"/>
        <v>0</v>
      </c>
    </row>
    <row r="721" spans="1:19">
      <c r="A721" s="505"/>
      <c r="B721" s="511" t="s">
        <v>788</v>
      </c>
      <c r="C721" s="507">
        <v>8</v>
      </c>
      <c r="D721" s="508">
        <v>150</v>
      </c>
      <c r="E721" s="507">
        <f t="shared" si="436"/>
        <v>10</v>
      </c>
      <c r="F721" s="502">
        <v>1</v>
      </c>
      <c r="G721" s="502">
        <f t="shared" ref="G721:G723" si="438">+ROUND(1400/D721+1,0)</f>
        <v>10</v>
      </c>
      <c r="H721" s="503"/>
      <c r="I721" s="503">
        <f>2*(0.204+0.504)+24*0.008</f>
        <v>1.6079999999999999</v>
      </c>
      <c r="J721" s="509"/>
      <c r="K721" s="509"/>
      <c r="L721" s="503">
        <f t="shared" si="431"/>
        <v>1.6079999999999999</v>
      </c>
      <c r="M721" s="503">
        <f t="shared" si="385"/>
        <v>160.80000000000001</v>
      </c>
      <c r="N721" s="503">
        <f t="shared" si="386"/>
        <v>0</v>
      </c>
      <c r="O721" s="503">
        <f t="shared" si="387"/>
        <v>0</v>
      </c>
      <c r="P721" s="503">
        <f t="shared" si="388"/>
        <v>0</v>
      </c>
      <c r="Q721" s="503">
        <f t="shared" si="389"/>
        <v>0</v>
      </c>
      <c r="R721" s="503">
        <f t="shared" si="390"/>
        <v>0</v>
      </c>
    </row>
    <row r="722" spans="1:19">
      <c r="A722" s="505"/>
      <c r="B722" s="511"/>
      <c r="C722" s="507">
        <v>8</v>
      </c>
      <c r="D722" s="508">
        <v>150</v>
      </c>
      <c r="E722" s="507">
        <f t="shared" si="436"/>
        <v>10</v>
      </c>
      <c r="F722" s="502">
        <v>1</v>
      </c>
      <c r="G722" s="502">
        <f t="shared" si="438"/>
        <v>10</v>
      </c>
      <c r="H722" s="503"/>
      <c r="I722" s="503">
        <f>2*(0.204+0.115)+24*0.008</f>
        <v>0.83000000000000007</v>
      </c>
      <c r="J722" s="509"/>
      <c r="K722" s="509"/>
      <c r="L722" s="503">
        <f t="shared" si="431"/>
        <v>0.83000000000000007</v>
      </c>
      <c r="M722" s="503">
        <f t="shared" si="385"/>
        <v>83</v>
      </c>
      <c r="N722" s="503">
        <f t="shared" si="386"/>
        <v>0</v>
      </c>
      <c r="O722" s="503">
        <f t="shared" si="387"/>
        <v>0</v>
      </c>
      <c r="P722" s="503">
        <f t="shared" si="388"/>
        <v>0</v>
      </c>
      <c r="Q722" s="503">
        <f t="shared" si="389"/>
        <v>0</v>
      </c>
      <c r="R722" s="503">
        <f t="shared" si="390"/>
        <v>0</v>
      </c>
    </row>
    <row r="723" spans="1:19">
      <c r="A723" s="505"/>
      <c r="B723" s="511"/>
      <c r="C723" s="507">
        <v>8</v>
      </c>
      <c r="D723" s="508">
        <v>150</v>
      </c>
      <c r="E723" s="507">
        <f t="shared" si="436"/>
        <v>10</v>
      </c>
      <c r="F723" s="502">
        <v>2</v>
      </c>
      <c r="G723" s="502">
        <f t="shared" si="438"/>
        <v>10</v>
      </c>
      <c r="H723" s="503"/>
      <c r="I723" s="503">
        <f>+(0.168+0.168+0.204)+20*0.008</f>
        <v>0.70000000000000007</v>
      </c>
      <c r="J723" s="509"/>
      <c r="K723" s="509"/>
      <c r="L723" s="503">
        <f t="shared" si="431"/>
        <v>0.70000000000000007</v>
      </c>
      <c r="M723" s="503">
        <f t="shared" si="385"/>
        <v>140</v>
      </c>
      <c r="N723" s="503">
        <f t="shared" si="386"/>
        <v>0</v>
      </c>
      <c r="O723" s="503">
        <f t="shared" si="387"/>
        <v>0</v>
      </c>
      <c r="P723" s="503">
        <f t="shared" si="388"/>
        <v>0</v>
      </c>
      <c r="Q723" s="503">
        <f t="shared" si="389"/>
        <v>0</v>
      </c>
      <c r="R723" s="503">
        <f t="shared" si="390"/>
        <v>0</v>
      </c>
    </row>
    <row r="724" spans="1:19">
      <c r="A724" s="530"/>
      <c r="B724" s="506" t="s">
        <v>926</v>
      </c>
      <c r="C724" s="507">
        <v>16</v>
      </c>
      <c r="D724" s="508"/>
      <c r="E724" s="507">
        <v>4</v>
      </c>
      <c r="F724" s="502">
        <v>1</v>
      </c>
      <c r="G724" s="502">
        <v>4</v>
      </c>
      <c r="H724" s="503"/>
      <c r="I724" s="503">
        <v>2.95</v>
      </c>
      <c r="J724" s="509"/>
      <c r="K724" s="509">
        <f t="shared" ref="K724:K725" si="439">1*36*C724/1000</f>
        <v>0.57599999999999996</v>
      </c>
      <c r="L724" s="503">
        <f t="shared" ref="L724:L733" si="440">SUM(H724:J724)+K724</f>
        <v>3.5260000000000002</v>
      </c>
      <c r="M724" s="503">
        <f t="shared" si="385"/>
        <v>0</v>
      </c>
      <c r="N724" s="503">
        <f t="shared" si="386"/>
        <v>0</v>
      </c>
      <c r="O724" s="503">
        <f t="shared" si="387"/>
        <v>0</v>
      </c>
      <c r="P724" s="503">
        <f t="shared" si="388"/>
        <v>56.42</v>
      </c>
      <c r="Q724" s="503">
        <f t="shared" si="389"/>
        <v>0</v>
      </c>
      <c r="R724" s="503">
        <f t="shared" si="390"/>
        <v>0</v>
      </c>
      <c r="S724" s="221">
        <f>+G724*E724</f>
        <v>16</v>
      </c>
    </row>
    <row r="725" spans="1:19">
      <c r="A725" s="505"/>
      <c r="B725" s="511"/>
      <c r="C725" s="507">
        <v>12</v>
      </c>
      <c r="D725" s="508"/>
      <c r="E725" s="507">
        <f>+E724</f>
        <v>4</v>
      </c>
      <c r="F725" s="502">
        <v>1</v>
      </c>
      <c r="G725" s="502">
        <v>12</v>
      </c>
      <c r="H725" s="503"/>
      <c r="I725" s="503">
        <v>2.95</v>
      </c>
      <c r="J725" s="509"/>
      <c r="K725" s="509">
        <f t="shared" si="439"/>
        <v>0.432</v>
      </c>
      <c r="L725" s="503">
        <f t="shared" si="440"/>
        <v>3.3820000000000001</v>
      </c>
      <c r="M725" s="503">
        <f t="shared" si="385"/>
        <v>0</v>
      </c>
      <c r="N725" s="503">
        <f t="shared" si="386"/>
        <v>0</v>
      </c>
      <c r="O725" s="503">
        <f t="shared" si="387"/>
        <v>162.34</v>
      </c>
      <c r="P725" s="503">
        <f t="shared" si="388"/>
        <v>0</v>
      </c>
      <c r="Q725" s="503">
        <f t="shared" si="389"/>
        <v>0</v>
      </c>
      <c r="R725" s="503">
        <f t="shared" si="390"/>
        <v>0</v>
      </c>
      <c r="S725" s="221">
        <f>+G725*E725</f>
        <v>48</v>
      </c>
    </row>
    <row r="726" spans="1:19">
      <c r="A726" s="505"/>
      <c r="B726" s="511" t="s">
        <v>787</v>
      </c>
      <c r="C726" s="507">
        <v>10</v>
      </c>
      <c r="D726" s="508">
        <v>75</v>
      </c>
      <c r="E726" s="507">
        <f t="shared" ref="E726:E733" si="441">+E725</f>
        <v>4</v>
      </c>
      <c r="F726" s="502">
        <v>2</v>
      </c>
      <c r="G726" s="502">
        <f>+ROUND(715/D726,0)</f>
        <v>10</v>
      </c>
      <c r="H726" s="503"/>
      <c r="I726" s="503">
        <f>2*(0.2+0.615)+24*0.01</f>
        <v>1.8699999999999999</v>
      </c>
      <c r="J726" s="509"/>
      <c r="K726" s="509"/>
      <c r="L726" s="503">
        <f t="shared" si="440"/>
        <v>1.8699999999999999</v>
      </c>
      <c r="M726" s="503">
        <f t="shared" si="385"/>
        <v>0</v>
      </c>
      <c r="N726" s="503">
        <f t="shared" si="386"/>
        <v>149.6</v>
      </c>
      <c r="O726" s="503">
        <f t="shared" si="387"/>
        <v>0</v>
      </c>
      <c r="P726" s="503">
        <f t="shared" si="388"/>
        <v>0</v>
      </c>
      <c r="Q726" s="503">
        <f t="shared" si="389"/>
        <v>0</v>
      </c>
      <c r="R726" s="503">
        <f t="shared" si="390"/>
        <v>0</v>
      </c>
    </row>
    <row r="727" spans="1:19">
      <c r="A727" s="505"/>
      <c r="B727" s="511"/>
      <c r="C727" s="507">
        <v>10</v>
      </c>
      <c r="D727" s="508">
        <v>75</v>
      </c>
      <c r="E727" s="507">
        <f t="shared" si="441"/>
        <v>4</v>
      </c>
      <c r="F727" s="502">
        <v>2</v>
      </c>
      <c r="G727" s="502">
        <f t="shared" ref="G727:G729" si="442">+ROUND(715/D727,0)</f>
        <v>10</v>
      </c>
      <c r="H727" s="503"/>
      <c r="I727" s="503">
        <f>2*(0.2+0.216)+24*0.01</f>
        <v>1.0720000000000001</v>
      </c>
      <c r="J727" s="509"/>
      <c r="K727" s="509"/>
      <c r="L727" s="503">
        <f t="shared" si="440"/>
        <v>1.0720000000000001</v>
      </c>
      <c r="M727" s="503">
        <f t="shared" si="385"/>
        <v>0</v>
      </c>
      <c r="N727" s="503">
        <f t="shared" si="386"/>
        <v>85.76</v>
      </c>
      <c r="O727" s="503">
        <f t="shared" si="387"/>
        <v>0</v>
      </c>
      <c r="P727" s="503">
        <f t="shared" si="388"/>
        <v>0</v>
      </c>
      <c r="Q727" s="503">
        <f t="shared" si="389"/>
        <v>0</v>
      </c>
      <c r="R727" s="503">
        <f t="shared" si="390"/>
        <v>0</v>
      </c>
    </row>
    <row r="728" spans="1:19">
      <c r="A728" s="505"/>
      <c r="B728" s="511"/>
      <c r="C728" s="507">
        <v>10</v>
      </c>
      <c r="D728" s="508">
        <v>75</v>
      </c>
      <c r="E728" s="507">
        <f t="shared" si="441"/>
        <v>4</v>
      </c>
      <c r="F728" s="502">
        <f>2*2</f>
        <v>4</v>
      </c>
      <c r="G728" s="502">
        <f t="shared" si="442"/>
        <v>10</v>
      </c>
      <c r="H728" s="503"/>
      <c r="I728" s="503">
        <f>+(0.168+0.168+0.2)+20*0.01</f>
        <v>0.73599999999999999</v>
      </c>
      <c r="J728" s="509"/>
      <c r="K728" s="509"/>
      <c r="L728" s="503">
        <f t="shared" si="440"/>
        <v>0.73599999999999999</v>
      </c>
      <c r="M728" s="503">
        <f t="shared" si="385"/>
        <v>0</v>
      </c>
      <c r="N728" s="503">
        <f t="shared" si="386"/>
        <v>117.76</v>
      </c>
      <c r="O728" s="503">
        <f t="shared" si="387"/>
        <v>0</v>
      </c>
      <c r="P728" s="503">
        <f t="shared" si="388"/>
        <v>0</v>
      </c>
      <c r="Q728" s="503">
        <f t="shared" si="389"/>
        <v>0</v>
      </c>
      <c r="R728" s="503">
        <f t="shared" si="390"/>
        <v>0</v>
      </c>
    </row>
    <row r="729" spans="1:19">
      <c r="A729" s="505"/>
      <c r="B729" s="511"/>
      <c r="C729" s="507">
        <v>10</v>
      </c>
      <c r="D729" s="508">
        <v>75</v>
      </c>
      <c r="E729" s="507">
        <f t="shared" si="441"/>
        <v>4</v>
      </c>
      <c r="F729" s="502">
        <v>2</v>
      </c>
      <c r="G729" s="502">
        <f t="shared" si="442"/>
        <v>10</v>
      </c>
      <c r="H729" s="503"/>
      <c r="I729" s="503">
        <f>0.2+2*10*0.01</f>
        <v>0.4</v>
      </c>
      <c r="J729" s="509"/>
      <c r="K729" s="509"/>
      <c r="L729" s="503">
        <f t="shared" si="440"/>
        <v>0.4</v>
      </c>
      <c r="M729" s="503">
        <f t="shared" si="385"/>
        <v>0</v>
      </c>
      <c r="N729" s="503">
        <f t="shared" si="386"/>
        <v>32</v>
      </c>
      <c r="O729" s="503">
        <f t="shared" si="387"/>
        <v>0</v>
      </c>
      <c r="P729" s="503">
        <f t="shared" si="388"/>
        <v>0</v>
      </c>
      <c r="Q729" s="503">
        <f t="shared" si="389"/>
        <v>0</v>
      </c>
      <c r="R729" s="503">
        <f t="shared" si="390"/>
        <v>0</v>
      </c>
    </row>
    <row r="730" spans="1:19">
      <c r="A730" s="505"/>
      <c r="B730" s="511" t="s">
        <v>788</v>
      </c>
      <c r="C730" s="507">
        <v>8</v>
      </c>
      <c r="D730" s="508">
        <v>150</v>
      </c>
      <c r="E730" s="507">
        <f t="shared" si="441"/>
        <v>4</v>
      </c>
      <c r="F730" s="502">
        <v>1</v>
      </c>
      <c r="G730" s="502">
        <f>+ROUND(1170/D730+1,0)</f>
        <v>9</v>
      </c>
      <c r="H730" s="503"/>
      <c r="I730" s="503">
        <f>2*(0.204+0.619)+24*0.01</f>
        <v>1.8859999999999999</v>
      </c>
      <c r="J730" s="509"/>
      <c r="K730" s="509"/>
      <c r="L730" s="503">
        <f t="shared" si="440"/>
        <v>1.8859999999999999</v>
      </c>
      <c r="M730" s="503">
        <f t="shared" si="385"/>
        <v>67.900000000000006</v>
      </c>
      <c r="N730" s="503">
        <f t="shared" si="386"/>
        <v>0</v>
      </c>
      <c r="O730" s="503">
        <f t="shared" si="387"/>
        <v>0</v>
      </c>
      <c r="P730" s="503">
        <f t="shared" si="388"/>
        <v>0</v>
      </c>
      <c r="Q730" s="503">
        <f t="shared" si="389"/>
        <v>0</v>
      </c>
      <c r="R730" s="503">
        <f t="shared" si="390"/>
        <v>0</v>
      </c>
    </row>
    <row r="731" spans="1:19">
      <c r="A731" s="505"/>
      <c r="B731" s="511"/>
      <c r="C731" s="507">
        <v>8</v>
      </c>
      <c r="D731" s="508">
        <v>150</v>
      </c>
      <c r="E731" s="507">
        <f t="shared" si="441"/>
        <v>4</v>
      </c>
      <c r="F731" s="502">
        <v>1</v>
      </c>
      <c r="G731" s="502">
        <f t="shared" ref="G731:G733" si="443">+ROUND(1170/D731+1,0)</f>
        <v>9</v>
      </c>
      <c r="H731" s="503"/>
      <c r="I731" s="503">
        <f>2*(0.204+0.217)+24*0.01</f>
        <v>1.0819999999999999</v>
      </c>
      <c r="J731" s="509"/>
      <c r="K731" s="509"/>
      <c r="L731" s="503">
        <f t="shared" si="440"/>
        <v>1.0819999999999999</v>
      </c>
      <c r="M731" s="503">
        <f t="shared" si="385"/>
        <v>38.950000000000003</v>
      </c>
      <c r="N731" s="503">
        <f t="shared" si="386"/>
        <v>0</v>
      </c>
      <c r="O731" s="503">
        <f t="shared" si="387"/>
        <v>0</v>
      </c>
      <c r="P731" s="503">
        <f t="shared" si="388"/>
        <v>0</v>
      </c>
      <c r="Q731" s="503">
        <f t="shared" si="389"/>
        <v>0</v>
      </c>
      <c r="R731" s="503">
        <f t="shared" si="390"/>
        <v>0</v>
      </c>
    </row>
    <row r="732" spans="1:19">
      <c r="A732" s="505"/>
      <c r="B732" s="511"/>
      <c r="C732" s="507">
        <v>8</v>
      </c>
      <c r="D732" s="508">
        <v>150</v>
      </c>
      <c r="E732" s="507">
        <f t="shared" si="441"/>
        <v>4</v>
      </c>
      <c r="F732" s="502">
        <v>2</v>
      </c>
      <c r="G732" s="502">
        <f t="shared" si="443"/>
        <v>9</v>
      </c>
      <c r="H732" s="503"/>
      <c r="I732" s="503">
        <f>+(0.168+0.168+0.204)+20*0.01</f>
        <v>0.74</v>
      </c>
      <c r="J732" s="509"/>
      <c r="K732" s="509"/>
      <c r="L732" s="503">
        <f t="shared" si="440"/>
        <v>0.74</v>
      </c>
      <c r="M732" s="503">
        <f t="shared" si="385"/>
        <v>53.28</v>
      </c>
      <c r="N732" s="503">
        <f t="shared" si="386"/>
        <v>0</v>
      </c>
      <c r="O732" s="503">
        <f t="shared" si="387"/>
        <v>0</v>
      </c>
      <c r="P732" s="503">
        <f t="shared" si="388"/>
        <v>0</v>
      </c>
      <c r="Q732" s="503">
        <f t="shared" si="389"/>
        <v>0</v>
      </c>
      <c r="R732" s="503">
        <f t="shared" si="390"/>
        <v>0</v>
      </c>
    </row>
    <row r="733" spans="1:19">
      <c r="A733" s="505"/>
      <c r="B733" s="511"/>
      <c r="C733" s="507">
        <v>8</v>
      </c>
      <c r="D733" s="508">
        <v>150</v>
      </c>
      <c r="E733" s="507">
        <f t="shared" si="441"/>
        <v>4</v>
      </c>
      <c r="F733" s="502">
        <v>1</v>
      </c>
      <c r="G733" s="502">
        <f t="shared" si="443"/>
        <v>9</v>
      </c>
      <c r="H733" s="503"/>
      <c r="I733" s="503">
        <f>0.204+2*10*0.01</f>
        <v>0.40400000000000003</v>
      </c>
      <c r="J733" s="509"/>
      <c r="K733" s="509"/>
      <c r="L733" s="503">
        <f t="shared" si="440"/>
        <v>0.40400000000000003</v>
      </c>
      <c r="M733" s="503">
        <f t="shared" si="385"/>
        <v>14.54</v>
      </c>
      <c r="N733" s="503">
        <f t="shared" si="386"/>
        <v>0</v>
      </c>
      <c r="O733" s="503">
        <f t="shared" si="387"/>
        <v>0</v>
      </c>
      <c r="P733" s="503">
        <f t="shared" si="388"/>
        <v>0</v>
      </c>
      <c r="Q733" s="503">
        <f t="shared" si="389"/>
        <v>0</v>
      </c>
      <c r="R733" s="503">
        <f t="shared" si="390"/>
        <v>0</v>
      </c>
    </row>
    <row r="734" spans="1:19">
      <c r="A734" s="505"/>
      <c r="B734" s="506" t="s">
        <v>867</v>
      </c>
      <c r="C734" s="507"/>
      <c r="D734" s="508"/>
      <c r="E734" s="507"/>
      <c r="F734" s="502"/>
      <c r="G734" s="502"/>
      <c r="H734" s="503"/>
      <c r="I734" s="503"/>
      <c r="J734" s="509"/>
      <c r="K734" s="509"/>
      <c r="L734" s="503">
        <f t="shared" si="407"/>
        <v>0</v>
      </c>
      <c r="M734" s="503">
        <f t="shared" si="385"/>
        <v>0</v>
      </c>
      <c r="N734" s="503">
        <f t="shared" si="386"/>
        <v>0</v>
      </c>
      <c r="O734" s="503">
        <f t="shared" si="387"/>
        <v>0</v>
      </c>
      <c r="P734" s="503">
        <f t="shared" si="388"/>
        <v>0</v>
      </c>
      <c r="Q734" s="503">
        <f t="shared" si="389"/>
        <v>0</v>
      </c>
      <c r="R734" s="503">
        <f t="shared" si="390"/>
        <v>0</v>
      </c>
    </row>
    <row r="735" spans="1:19">
      <c r="A735" s="505"/>
      <c r="B735" s="506" t="s">
        <v>796</v>
      </c>
      <c r="C735" s="507">
        <v>16</v>
      </c>
      <c r="D735" s="508"/>
      <c r="E735" s="507">
        <v>2</v>
      </c>
      <c r="F735" s="502">
        <v>1</v>
      </c>
      <c r="G735" s="502">
        <v>8</v>
      </c>
      <c r="H735" s="503"/>
      <c r="I735" s="503">
        <f t="shared" ref="I735:I737" si="444">106.2-103.25</f>
        <v>2.9500000000000028</v>
      </c>
      <c r="J735" s="509"/>
      <c r="K735" s="509">
        <f t="shared" ref="K735:K737" si="445">1*36*C735/1000</f>
        <v>0.57599999999999996</v>
      </c>
      <c r="L735" s="503">
        <f t="shared" si="407"/>
        <v>3.5260000000000029</v>
      </c>
      <c r="M735" s="503">
        <f t="shared" si="385"/>
        <v>0</v>
      </c>
      <c r="N735" s="503">
        <f t="shared" si="386"/>
        <v>0</v>
      </c>
      <c r="O735" s="503">
        <f t="shared" si="387"/>
        <v>0</v>
      </c>
      <c r="P735" s="503">
        <f t="shared" si="388"/>
        <v>56.42</v>
      </c>
      <c r="Q735" s="503">
        <f t="shared" si="389"/>
        <v>0</v>
      </c>
      <c r="R735" s="503">
        <f t="shared" si="390"/>
        <v>0</v>
      </c>
    </row>
    <row r="736" spans="1:19">
      <c r="A736" s="505"/>
      <c r="B736" s="511"/>
      <c r="C736" s="507">
        <v>12</v>
      </c>
      <c r="D736" s="508"/>
      <c r="E736" s="507">
        <v>2</v>
      </c>
      <c r="F736" s="502">
        <v>1</v>
      </c>
      <c r="G736" s="502">
        <v>16</v>
      </c>
      <c r="H736" s="503"/>
      <c r="I736" s="503">
        <f t="shared" si="444"/>
        <v>2.9500000000000028</v>
      </c>
      <c r="J736" s="509"/>
      <c r="K736" s="509">
        <f t="shared" si="445"/>
        <v>0.432</v>
      </c>
      <c r="L736" s="503">
        <f t="shared" si="407"/>
        <v>3.3820000000000028</v>
      </c>
      <c r="M736" s="503">
        <f t="shared" si="385"/>
        <v>0</v>
      </c>
      <c r="N736" s="503">
        <f t="shared" si="386"/>
        <v>0</v>
      </c>
      <c r="O736" s="503">
        <f t="shared" si="387"/>
        <v>108.22</v>
      </c>
      <c r="P736" s="503">
        <f t="shared" si="388"/>
        <v>0</v>
      </c>
      <c r="Q736" s="503">
        <f t="shared" si="389"/>
        <v>0</v>
      </c>
      <c r="R736" s="503">
        <f t="shared" si="390"/>
        <v>0</v>
      </c>
    </row>
    <row r="737" spans="1:18">
      <c r="A737" s="505"/>
      <c r="B737" s="511"/>
      <c r="C737" s="507">
        <v>10</v>
      </c>
      <c r="D737" s="508"/>
      <c r="E737" s="507">
        <v>2</v>
      </c>
      <c r="F737" s="502">
        <v>1</v>
      </c>
      <c r="G737" s="502">
        <v>8</v>
      </c>
      <c r="H737" s="503"/>
      <c r="I737" s="503">
        <f t="shared" si="444"/>
        <v>2.9500000000000028</v>
      </c>
      <c r="J737" s="509"/>
      <c r="K737" s="509">
        <f t="shared" si="445"/>
        <v>0.36</v>
      </c>
      <c r="L737" s="503">
        <f t="shared" si="407"/>
        <v>3.3100000000000027</v>
      </c>
      <c r="M737" s="503">
        <f t="shared" si="385"/>
        <v>0</v>
      </c>
      <c r="N737" s="503">
        <f t="shared" si="386"/>
        <v>52.96</v>
      </c>
      <c r="O737" s="503">
        <f t="shared" si="387"/>
        <v>0</v>
      </c>
      <c r="P737" s="503">
        <f t="shared" si="388"/>
        <v>0</v>
      </c>
      <c r="Q737" s="503">
        <f t="shared" si="389"/>
        <v>0</v>
      </c>
      <c r="R737" s="503">
        <f t="shared" si="390"/>
        <v>0</v>
      </c>
    </row>
    <row r="738" spans="1:18">
      <c r="A738" s="505"/>
      <c r="B738" s="511" t="s">
        <v>797</v>
      </c>
      <c r="C738" s="507"/>
      <c r="D738" s="508"/>
      <c r="E738" s="507"/>
      <c r="F738" s="502"/>
      <c r="G738" s="502"/>
      <c r="H738" s="503"/>
      <c r="I738" s="503"/>
      <c r="J738" s="509"/>
      <c r="K738" s="509"/>
      <c r="L738" s="503">
        <f t="shared" si="407"/>
        <v>0</v>
      </c>
      <c r="M738" s="503">
        <f t="shared" si="385"/>
        <v>0</v>
      </c>
      <c r="N738" s="503">
        <f t="shared" si="386"/>
        <v>0</v>
      </c>
      <c r="O738" s="503">
        <f t="shared" si="387"/>
        <v>0</v>
      </c>
      <c r="P738" s="503">
        <f t="shared" si="388"/>
        <v>0</v>
      </c>
      <c r="Q738" s="503">
        <f t="shared" si="389"/>
        <v>0</v>
      </c>
      <c r="R738" s="503">
        <f t="shared" si="390"/>
        <v>0</v>
      </c>
    </row>
    <row r="739" spans="1:18">
      <c r="A739" s="505"/>
      <c r="B739" s="511" t="s">
        <v>810</v>
      </c>
      <c r="C739" s="507">
        <v>8</v>
      </c>
      <c r="D739" s="508">
        <v>100</v>
      </c>
      <c r="E739" s="507">
        <v>2</v>
      </c>
      <c r="F739" s="502">
        <v>1</v>
      </c>
      <c r="G739" s="502">
        <f>+ROUND(2450/D739+1,0)</f>
        <v>26</v>
      </c>
      <c r="H739" s="503"/>
      <c r="I739" s="503">
        <f>2*(0.18+0.6)+24*C739/1000</f>
        <v>1.752</v>
      </c>
      <c r="J739" s="509"/>
      <c r="K739" s="509"/>
      <c r="L739" s="503">
        <f t="shared" si="407"/>
        <v>1.752</v>
      </c>
      <c r="M739" s="503">
        <f t="shared" si="385"/>
        <v>91.1</v>
      </c>
      <c r="N739" s="503">
        <f t="shared" si="386"/>
        <v>0</v>
      </c>
      <c r="O739" s="503">
        <f t="shared" si="387"/>
        <v>0</v>
      </c>
      <c r="P739" s="503">
        <f t="shared" si="388"/>
        <v>0</v>
      </c>
      <c r="Q739" s="503">
        <f t="shared" si="389"/>
        <v>0</v>
      </c>
      <c r="R739" s="503">
        <f t="shared" si="390"/>
        <v>0</v>
      </c>
    </row>
    <row r="740" spans="1:18">
      <c r="A740" s="505"/>
      <c r="B740" s="511" t="s">
        <v>811</v>
      </c>
      <c r="C740" s="507">
        <v>8</v>
      </c>
      <c r="D740" s="508">
        <v>100</v>
      </c>
      <c r="E740" s="507">
        <v>2</v>
      </c>
      <c r="F740" s="502">
        <v>1</v>
      </c>
      <c r="G740" s="502">
        <f t="shared" ref="G740:G746" si="446">+ROUND(2450/D740+1,0)</f>
        <v>26</v>
      </c>
      <c r="H740" s="503"/>
      <c r="I740" s="503">
        <f>2*(0.18+0.248)+24*C740/1000</f>
        <v>1.048</v>
      </c>
      <c r="J740" s="509"/>
      <c r="K740" s="509"/>
      <c r="L740" s="503">
        <f t="shared" si="407"/>
        <v>1.048</v>
      </c>
      <c r="M740" s="503">
        <f t="shared" si="385"/>
        <v>54.5</v>
      </c>
      <c r="N740" s="503">
        <f t="shared" si="386"/>
        <v>0</v>
      </c>
      <c r="O740" s="503">
        <f t="shared" si="387"/>
        <v>0</v>
      </c>
      <c r="P740" s="503">
        <f t="shared" si="388"/>
        <v>0</v>
      </c>
      <c r="Q740" s="503">
        <f t="shared" si="389"/>
        <v>0</v>
      </c>
      <c r="R740" s="503">
        <f t="shared" si="390"/>
        <v>0</v>
      </c>
    </row>
    <row r="741" spans="1:18">
      <c r="A741" s="505"/>
      <c r="B741" s="511" t="s">
        <v>798</v>
      </c>
      <c r="C741" s="507">
        <v>8</v>
      </c>
      <c r="D741" s="508">
        <v>100</v>
      </c>
      <c r="E741" s="507">
        <v>2</v>
      </c>
      <c r="F741" s="502">
        <v>1</v>
      </c>
      <c r="G741" s="502">
        <f t="shared" si="446"/>
        <v>26</v>
      </c>
      <c r="H741" s="503"/>
      <c r="I741" s="503">
        <f>0.18+(20*C741/1000)</f>
        <v>0.33999999999999997</v>
      </c>
      <c r="J741" s="509"/>
      <c r="K741" s="509"/>
      <c r="L741" s="503">
        <f t="shared" si="407"/>
        <v>0.33999999999999997</v>
      </c>
      <c r="M741" s="503">
        <f t="shared" si="385"/>
        <v>17.68</v>
      </c>
      <c r="N741" s="503">
        <f t="shared" si="386"/>
        <v>0</v>
      </c>
      <c r="O741" s="503">
        <f t="shared" si="387"/>
        <v>0</v>
      </c>
      <c r="P741" s="503">
        <f t="shared" si="388"/>
        <v>0</v>
      </c>
      <c r="Q741" s="503">
        <f t="shared" si="389"/>
        <v>0</v>
      </c>
      <c r="R741" s="503">
        <f t="shared" si="390"/>
        <v>0</v>
      </c>
    </row>
    <row r="742" spans="1:18">
      <c r="A742" s="505"/>
      <c r="B742" s="511" t="s">
        <v>812</v>
      </c>
      <c r="C742" s="507">
        <v>8</v>
      </c>
      <c r="D742" s="508">
        <v>100</v>
      </c>
      <c r="E742" s="507">
        <v>2</v>
      </c>
      <c r="F742" s="502">
        <v>2</v>
      </c>
      <c r="G742" s="502">
        <f t="shared" si="446"/>
        <v>26</v>
      </c>
      <c r="H742" s="503"/>
      <c r="I742" s="503">
        <f>2*(0.18+0.385)+24*C742/1000</f>
        <v>1.3219999999999998</v>
      </c>
      <c r="J742" s="509"/>
      <c r="K742" s="509"/>
      <c r="L742" s="503">
        <f t="shared" si="407"/>
        <v>1.3219999999999998</v>
      </c>
      <c r="M742" s="503">
        <f t="shared" si="385"/>
        <v>137.49</v>
      </c>
      <c r="N742" s="503">
        <f t="shared" si="386"/>
        <v>0</v>
      </c>
      <c r="O742" s="503">
        <f t="shared" si="387"/>
        <v>0</v>
      </c>
      <c r="P742" s="503">
        <f t="shared" si="388"/>
        <v>0</v>
      </c>
      <c r="Q742" s="503">
        <f t="shared" si="389"/>
        <v>0</v>
      </c>
      <c r="R742" s="503">
        <f t="shared" si="390"/>
        <v>0</v>
      </c>
    </row>
    <row r="743" spans="1:18">
      <c r="A743" s="505"/>
      <c r="B743" s="511" t="s">
        <v>813</v>
      </c>
      <c r="C743" s="507">
        <v>8</v>
      </c>
      <c r="D743" s="508">
        <v>100</v>
      </c>
      <c r="E743" s="507">
        <v>2</v>
      </c>
      <c r="F743" s="502">
        <v>1</v>
      </c>
      <c r="G743" s="502">
        <f t="shared" si="446"/>
        <v>26</v>
      </c>
      <c r="H743" s="503"/>
      <c r="I743" s="503">
        <f>2*(0.18+0.268)+24*C743/1000</f>
        <v>1.0880000000000001</v>
      </c>
      <c r="J743" s="509"/>
      <c r="K743" s="509"/>
      <c r="L743" s="503">
        <f t="shared" si="407"/>
        <v>1.0880000000000001</v>
      </c>
      <c r="M743" s="503">
        <f t="shared" si="385"/>
        <v>56.58</v>
      </c>
      <c r="N743" s="503">
        <f t="shared" si="386"/>
        <v>0</v>
      </c>
      <c r="O743" s="503">
        <f t="shared" si="387"/>
        <v>0</v>
      </c>
      <c r="P743" s="503">
        <f t="shared" si="388"/>
        <v>0</v>
      </c>
      <c r="Q743" s="503">
        <f t="shared" si="389"/>
        <v>0</v>
      </c>
      <c r="R743" s="503">
        <f t="shared" si="390"/>
        <v>0</v>
      </c>
    </row>
    <row r="744" spans="1:18">
      <c r="A744" s="505"/>
      <c r="B744" s="511" t="s">
        <v>798</v>
      </c>
      <c r="C744" s="507">
        <v>8</v>
      </c>
      <c r="D744" s="508">
        <v>100</v>
      </c>
      <c r="E744" s="507">
        <v>2</v>
      </c>
      <c r="F744" s="502">
        <v>1</v>
      </c>
      <c r="G744" s="502">
        <f t="shared" si="446"/>
        <v>26</v>
      </c>
      <c r="H744" s="503"/>
      <c r="I744" s="503">
        <f>0.18+(20*C744/1000)</f>
        <v>0.33999999999999997</v>
      </c>
      <c r="J744" s="509"/>
      <c r="K744" s="509"/>
      <c r="L744" s="503">
        <f t="shared" si="407"/>
        <v>0.33999999999999997</v>
      </c>
      <c r="M744" s="503">
        <f t="shared" si="385"/>
        <v>17.68</v>
      </c>
      <c r="N744" s="503">
        <f t="shared" si="386"/>
        <v>0</v>
      </c>
      <c r="O744" s="503">
        <f t="shared" si="387"/>
        <v>0</v>
      </c>
      <c r="P744" s="503">
        <f t="shared" si="388"/>
        <v>0</v>
      </c>
      <c r="Q744" s="503">
        <f t="shared" si="389"/>
        <v>0</v>
      </c>
      <c r="R744" s="503">
        <f t="shared" si="390"/>
        <v>0</v>
      </c>
    </row>
    <row r="745" spans="1:18">
      <c r="A745" s="505"/>
      <c r="B745" s="511" t="s">
        <v>831</v>
      </c>
      <c r="C745" s="507">
        <v>8</v>
      </c>
      <c r="D745" s="508">
        <v>200</v>
      </c>
      <c r="E745" s="507">
        <v>2</v>
      </c>
      <c r="F745" s="502">
        <v>1</v>
      </c>
      <c r="G745" s="502">
        <f t="shared" si="446"/>
        <v>13</v>
      </c>
      <c r="H745" s="503"/>
      <c r="I745" s="503">
        <f>2*(0.18+0.866)+24*C745/1000</f>
        <v>2.2840000000000003</v>
      </c>
      <c r="J745" s="509"/>
      <c r="K745" s="509"/>
      <c r="L745" s="503">
        <f t="shared" si="407"/>
        <v>2.2840000000000003</v>
      </c>
      <c r="M745" s="503">
        <f t="shared" si="385"/>
        <v>59.38</v>
      </c>
      <c r="N745" s="503">
        <f t="shared" si="386"/>
        <v>0</v>
      </c>
      <c r="O745" s="503">
        <f t="shared" si="387"/>
        <v>0</v>
      </c>
      <c r="P745" s="503">
        <f t="shared" si="388"/>
        <v>0</v>
      </c>
      <c r="Q745" s="503">
        <f t="shared" si="389"/>
        <v>0</v>
      </c>
      <c r="R745" s="503">
        <f t="shared" si="390"/>
        <v>0</v>
      </c>
    </row>
    <row r="746" spans="1:18">
      <c r="A746" s="505"/>
      <c r="B746" s="511" t="s">
        <v>799</v>
      </c>
      <c r="C746" s="507">
        <v>8</v>
      </c>
      <c r="D746" s="508">
        <v>400</v>
      </c>
      <c r="E746" s="507">
        <v>2</v>
      </c>
      <c r="F746" s="502">
        <v>2</v>
      </c>
      <c r="G746" s="502">
        <f t="shared" si="446"/>
        <v>7</v>
      </c>
      <c r="H746" s="503"/>
      <c r="I746" s="503">
        <f>0.18+(20*C746/1000)</f>
        <v>0.33999999999999997</v>
      </c>
      <c r="J746" s="509"/>
      <c r="K746" s="509"/>
      <c r="L746" s="503">
        <f t="shared" si="407"/>
        <v>0.33999999999999997</v>
      </c>
      <c r="M746" s="503">
        <f t="shared" si="385"/>
        <v>9.52</v>
      </c>
      <c r="N746" s="503">
        <f t="shared" si="386"/>
        <v>0</v>
      </c>
      <c r="O746" s="503">
        <f t="shared" si="387"/>
        <v>0</v>
      </c>
      <c r="P746" s="503">
        <f t="shared" si="388"/>
        <v>0</v>
      </c>
      <c r="Q746" s="503">
        <f t="shared" si="389"/>
        <v>0</v>
      </c>
      <c r="R746" s="503">
        <f t="shared" si="390"/>
        <v>0</v>
      </c>
    </row>
    <row r="747" spans="1:18">
      <c r="A747" s="505"/>
      <c r="B747" s="506" t="s">
        <v>800</v>
      </c>
      <c r="C747" s="507">
        <v>16</v>
      </c>
      <c r="D747" s="508"/>
      <c r="E747" s="507">
        <v>2</v>
      </c>
      <c r="F747" s="502">
        <v>1</v>
      </c>
      <c r="G747" s="502">
        <v>8</v>
      </c>
      <c r="H747" s="503"/>
      <c r="I747" s="503">
        <f t="shared" ref="I747:I749" si="447">106.2-103.25</f>
        <v>2.9500000000000028</v>
      </c>
      <c r="J747" s="509"/>
      <c r="K747" s="509">
        <f t="shared" ref="K747:K749" si="448">1*36*C747/1000</f>
        <v>0.57599999999999996</v>
      </c>
      <c r="L747" s="503">
        <f t="shared" si="407"/>
        <v>3.5260000000000029</v>
      </c>
      <c r="M747" s="503">
        <f t="shared" si="385"/>
        <v>0</v>
      </c>
      <c r="N747" s="503">
        <f t="shared" si="386"/>
        <v>0</v>
      </c>
      <c r="O747" s="503">
        <f t="shared" si="387"/>
        <v>0</v>
      </c>
      <c r="P747" s="503">
        <f t="shared" si="388"/>
        <v>56.42</v>
      </c>
      <c r="Q747" s="503">
        <f t="shared" si="389"/>
        <v>0</v>
      </c>
      <c r="R747" s="503">
        <f t="shared" si="390"/>
        <v>0</v>
      </c>
    </row>
    <row r="748" spans="1:18">
      <c r="A748" s="505"/>
      <c r="B748" s="511"/>
      <c r="C748" s="507">
        <v>12</v>
      </c>
      <c r="D748" s="508"/>
      <c r="E748" s="507">
        <v>2</v>
      </c>
      <c r="F748" s="502">
        <v>1</v>
      </c>
      <c r="G748" s="502">
        <v>16</v>
      </c>
      <c r="H748" s="503"/>
      <c r="I748" s="503">
        <f t="shared" si="447"/>
        <v>2.9500000000000028</v>
      </c>
      <c r="J748" s="509"/>
      <c r="K748" s="509">
        <f t="shared" si="448"/>
        <v>0.432</v>
      </c>
      <c r="L748" s="503">
        <f t="shared" si="407"/>
        <v>3.3820000000000028</v>
      </c>
      <c r="M748" s="503">
        <f t="shared" si="385"/>
        <v>0</v>
      </c>
      <c r="N748" s="503">
        <f t="shared" si="386"/>
        <v>0</v>
      </c>
      <c r="O748" s="503">
        <f t="shared" si="387"/>
        <v>108.22</v>
      </c>
      <c r="P748" s="503">
        <f t="shared" si="388"/>
        <v>0</v>
      </c>
      <c r="Q748" s="503">
        <f t="shared" si="389"/>
        <v>0</v>
      </c>
      <c r="R748" s="503">
        <f t="shared" si="390"/>
        <v>0</v>
      </c>
    </row>
    <row r="749" spans="1:18">
      <c r="A749" s="505"/>
      <c r="B749" s="511"/>
      <c r="C749" s="507">
        <v>10</v>
      </c>
      <c r="D749" s="508"/>
      <c r="E749" s="507">
        <v>2</v>
      </c>
      <c r="F749" s="502">
        <v>1</v>
      </c>
      <c r="G749" s="502">
        <v>10</v>
      </c>
      <c r="H749" s="503"/>
      <c r="I749" s="503">
        <f t="shared" si="447"/>
        <v>2.9500000000000028</v>
      </c>
      <c r="J749" s="509"/>
      <c r="K749" s="509">
        <f t="shared" si="448"/>
        <v>0.36</v>
      </c>
      <c r="L749" s="503">
        <f t="shared" si="407"/>
        <v>3.3100000000000027</v>
      </c>
      <c r="M749" s="503">
        <f t="shared" si="385"/>
        <v>0</v>
      </c>
      <c r="N749" s="503">
        <f t="shared" si="386"/>
        <v>66.2</v>
      </c>
      <c r="O749" s="503">
        <f t="shared" si="387"/>
        <v>0</v>
      </c>
      <c r="P749" s="503">
        <f t="shared" si="388"/>
        <v>0</v>
      </c>
      <c r="Q749" s="503">
        <f t="shared" si="389"/>
        <v>0</v>
      </c>
      <c r="R749" s="503">
        <f t="shared" si="390"/>
        <v>0</v>
      </c>
    </row>
    <row r="750" spans="1:18">
      <c r="A750" s="505"/>
      <c r="B750" s="511" t="s">
        <v>797</v>
      </c>
      <c r="C750" s="507"/>
      <c r="D750" s="508"/>
      <c r="E750" s="507"/>
      <c r="F750" s="502"/>
      <c r="G750" s="502"/>
      <c r="H750" s="503"/>
      <c r="I750" s="503"/>
      <c r="J750" s="509"/>
      <c r="K750" s="509"/>
      <c r="L750" s="503">
        <f t="shared" si="407"/>
        <v>0</v>
      </c>
      <c r="M750" s="503">
        <f t="shared" si="385"/>
        <v>0</v>
      </c>
      <c r="N750" s="503">
        <f t="shared" si="386"/>
        <v>0</v>
      </c>
      <c r="O750" s="503">
        <f t="shared" si="387"/>
        <v>0</v>
      </c>
      <c r="P750" s="503">
        <f t="shared" si="388"/>
        <v>0</v>
      </c>
      <c r="Q750" s="503">
        <f t="shared" si="389"/>
        <v>0</v>
      </c>
      <c r="R750" s="503">
        <f t="shared" si="390"/>
        <v>0</v>
      </c>
    </row>
    <row r="751" spans="1:18">
      <c r="A751" s="505"/>
      <c r="B751" s="511" t="s">
        <v>810</v>
      </c>
      <c r="C751" s="507">
        <v>8</v>
      </c>
      <c r="D751" s="508">
        <v>100</v>
      </c>
      <c r="E751" s="507">
        <v>2</v>
      </c>
      <c r="F751" s="502">
        <v>1</v>
      </c>
      <c r="G751" s="502">
        <f t="shared" ref="G751:G758" si="449">+ROUND(2450/D751+1,0)</f>
        <v>26</v>
      </c>
      <c r="H751" s="503"/>
      <c r="I751" s="503">
        <f>2*(0.18+0.6)+24*C751/1000</f>
        <v>1.752</v>
      </c>
      <c r="J751" s="509"/>
      <c r="K751" s="509"/>
      <c r="L751" s="503">
        <f t="shared" si="407"/>
        <v>1.752</v>
      </c>
      <c r="M751" s="503">
        <f t="shared" si="385"/>
        <v>91.1</v>
      </c>
      <c r="N751" s="503">
        <f t="shared" si="386"/>
        <v>0</v>
      </c>
      <c r="O751" s="503">
        <f t="shared" si="387"/>
        <v>0</v>
      </c>
      <c r="P751" s="503">
        <f t="shared" si="388"/>
        <v>0</v>
      </c>
      <c r="Q751" s="503">
        <f t="shared" si="389"/>
        <v>0</v>
      </c>
      <c r="R751" s="503">
        <f t="shared" si="390"/>
        <v>0</v>
      </c>
    </row>
    <row r="752" spans="1:18">
      <c r="A752" s="505"/>
      <c r="B752" s="511" t="s">
        <v>811</v>
      </c>
      <c r="C752" s="507">
        <v>8</v>
      </c>
      <c r="D752" s="508">
        <v>100</v>
      </c>
      <c r="E752" s="507">
        <v>2</v>
      </c>
      <c r="F752" s="502">
        <v>1</v>
      </c>
      <c r="G752" s="502">
        <f t="shared" si="449"/>
        <v>26</v>
      </c>
      <c r="H752" s="503"/>
      <c r="I752" s="503">
        <f>2*(0.18+0.248)+24*C752/1000</f>
        <v>1.048</v>
      </c>
      <c r="J752" s="509"/>
      <c r="K752" s="509"/>
      <c r="L752" s="503">
        <f t="shared" si="407"/>
        <v>1.048</v>
      </c>
      <c r="M752" s="503">
        <f t="shared" si="385"/>
        <v>54.5</v>
      </c>
      <c r="N752" s="503">
        <f t="shared" si="386"/>
        <v>0</v>
      </c>
      <c r="O752" s="503">
        <f t="shared" si="387"/>
        <v>0</v>
      </c>
      <c r="P752" s="503">
        <f t="shared" si="388"/>
        <v>0</v>
      </c>
      <c r="Q752" s="503">
        <f t="shared" si="389"/>
        <v>0</v>
      </c>
      <c r="R752" s="503">
        <f t="shared" si="390"/>
        <v>0</v>
      </c>
    </row>
    <row r="753" spans="1:18">
      <c r="A753" s="505"/>
      <c r="B753" s="511" t="s">
        <v>798</v>
      </c>
      <c r="C753" s="507">
        <v>8</v>
      </c>
      <c r="D753" s="508">
        <v>100</v>
      </c>
      <c r="E753" s="507">
        <v>2</v>
      </c>
      <c r="F753" s="502">
        <v>1</v>
      </c>
      <c r="G753" s="502">
        <f t="shared" si="449"/>
        <v>26</v>
      </c>
      <c r="H753" s="503"/>
      <c r="I753" s="503">
        <f>0.18+(20*C753/1000)</f>
        <v>0.33999999999999997</v>
      </c>
      <c r="J753" s="509"/>
      <c r="K753" s="509"/>
      <c r="L753" s="503">
        <f t="shared" si="407"/>
        <v>0.33999999999999997</v>
      </c>
      <c r="M753" s="503">
        <f t="shared" si="385"/>
        <v>17.68</v>
      </c>
      <c r="N753" s="503">
        <f t="shared" si="386"/>
        <v>0</v>
      </c>
      <c r="O753" s="503">
        <f t="shared" si="387"/>
        <v>0</v>
      </c>
      <c r="P753" s="503">
        <f t="shared" si="388"/>
        <v>0</v>
      </c>
      <c r="Q753" s="503">
        <f t="shared" si="389"/>
        <v>0</v>
      </c>
      <c r="R753" s="503">
        <f t="shared" si="390"/>
        <v>0</v>
      </c>
    </row>
    <row r="754" spans="1:18">
      <c r="A754" s="505"/>
      <c r="B754" s="511" t="s">
        <v>812</v>
      </c>
      <c r="C754" s="507">
        <v>8</v>
      </c>
      <c r="D754" s="508">
        <v>100</v>
      </c>
      <c r="E754" s="507">
        <v>2</v>
      </c>
      <c r="F754" s="502">
        <v>2</v>
      </c>
      <c r="G754" s="502">
        <f t="shared" si="449"/>
        <v>26</v>
      </c>
      <c r="H754" s="503"/>
      <c r="I754" s="503">
        <f>2*(0.18+0.385)+24*C754/1000</f>
        <v>1.3219999999999998</v>
      </c>
      <c r="J754" s="509"/>
      <c r="K754" s="509"/>
      <c r="L754" s="503">
        <f t="shared" si="407"/>
        <v>1.3219999999999998</v>
      </c>
      <c r="M754" s="503">
        <f t="shared" si="385"/>
        <v>137.49</v>
      </c>
      <c r="N754" s="503">
        <f t="shared" si="386"/>
        <v>0</v>
      </c>
      <c r="O754" s="503">
        <f t="shared" si="387"/>
        <v>0</v>
      </c>
      <c r="P754" s="503">
        <f t="shared" si="388"/>
        <v>0</v>
      </c>
      <c r="Q754" s="503">
        <f t="shared" si="389"/>
        <v>0</v>
      </c>
      <c r="R754" s="503">
        <f t="shared" si="390"/>
        <v>0</v>
      </c>
    </row>
    <row r="755" spans="1:18">
      <c r="A755" s="505"/>
      <c r="B755" s="511" t="s">
        <v>813</v>
      </c>
      <c r="C755" s="507">
        <v>8</v>
      </c>
      <c r="D755" s="508">
        <v>100</v>
      </c>
      <c r="E755" s="507">
        <v>2</v>
      </c>
      <c r="F755" s="502">
        <v>1</v>
      </c>
      <c r="G755" s="502">
        <f t="shared" si="449"/>
        <v>26</v>
      </c>
      <c r="H755" s="503"/>
      <c r="I755" s="503">
        <f>2*(0.18+0.268)+24*C755/1000</f>
        <v>1.0880000000000001</v>
      </c>
      <c r="J755" s="509"/>
      <c r="K755" s="509"/>
      <c r="L755" s="503">
        <f t="shared" si="407"/>
        <v>1.0880000000000001</v>
      </c>
      <c r="M755" s="503">
        <f t="shared" si="385"/>
        <v>56.58</v>
      </c>
      <c r="N755" s="503">
        <f t="shared" si="386"/>
        <v>0</v>
      </c>
      <c r="O755" s="503">
        <f t="shared" si="387"/>
        <v>0</v>
      </c>
      <c r="P755" s="503">
        <f t="shared" si="388"/>
        <v>0</v>
      </c>
      <c r="Q755" s="503">
        <f t="shared" si="389"/>
        <v>0</v>
      </c>
      <c r="R755" s="503">
        <f t="shared" si="390"/>
        <v>0</v>
      </c>
    </row>
    <row r="756" spans="1:18">
      <c r="A756" s="505"/>
      <c r="B756" s="511" t="s">
        <v>798</v>
      </c>
      <c r="C756" s="507">
        <v>8</v>
      </c>
      <c r="D756" s="508">
        <v>100</v>
      </c>
      <c r="E756" s="507">
        <v>2</v>
      </c>
      <c r="F756" s="502">
        <v>1</v>
      </c>
      <c r="G756" s="502">
        <f t="shared" si="449"/>
        <v>26</v>
      </c>
      <c r="H756" s="503"/>
      <c r="I756" s="503">
        <f>0.18+(20*C756/1000)</f>
        <v>0.33999999999999997</v>
      </c>
      <c r="J756" s="509"/>
      <c r="K756" s="509"/>
      <c r="L756" s="503">
        <f t="shared" si="407"/>
        <v>0.33999999999999997</v>
      </c>
      <c r="M756" s="503">
        <f t="shared" si="385"/>
        <v>17.68</v>
      </c>
      <c r="N756" s="503">
        <f t="shared" si="386"/>
        <v>0</v>
      </c>
      <c r="O756" s="503">
        <f t="shared" si="387"/>
        <v>0</v>
      </c>
      <c r="P756" s="503">
        <f t="shared" si="388"/>
        <v>0</v>
      </c>
      <c r="Q756" s="503">
        <f t="shared" si="389"/>
        <v>0</v>
      </c>
      <c r="R756" s="503">
        <f t="shared" si="390"/>
        <v>0</v>
      </c>
    </row>
    <row r="757" spans="1:18">
      <c r="A757" s="505"/>
      <c r="B757" s="511" t="s">
        <v>814</v>
      </c>
      <c r="C757" s="507">
        <v>8</v>
      </c>
      <c r="D757" s="508">
        <v>200</v>
      </c>
      <c r="E757" s="507">
        <v>2</v>
      </c>
      <c r="F757" s="502">
        <v>1</v>
      </c>
      <c r="G757" s="502">
        <f t="shared" si="449"/>
        <v>13</v>
      </c>
      <c r="H757" s="503"/>
      <c r="I757" s="503">
        <f>2*(0.18+1.066)+24*C757/1000</f>
        <v>2.6840000000000002</v>
      </c>
      <c r="J757" s="509"/>
      <c r="K757" s="509"/>
      <c r="L757" s="503">
        <f t="shared" si="407"/>
        <v>2.6840000000000002</v>
      </c>
      <c r="M757" s="503">
        <f t="shared" si="385"/>
        <v>69.78</v>
      </c>
      <c r="N757" s="503">
        <f t="shared" si="386"/>
        <v>0</v>
      </c>
      <c r="O757" s="503">
        <f t="shared" si="387"/>
        <v>0</v>
      </c>
      <c r="P757" s="503">
        <f t="shared" si="388"/>
        <v>0</v>
      </c>
      <c r="Q757" s="503">
        <f t="shared" si="389"/>
        <v>0</v>
      </c>
      <c r="R757" s="503">
        <f t="shared" si="390"/>
        <v>0</v>
      </c>
    </row>
    <row r="758" spans="1:18">
      <c r="A758" s="505"/>
      <c r="B758" s="511" t="s">
        <v>799</v>
      </c>
      <c r="C758" s="507">
        <v>8</v>
      </c>
      <c r="D758" s="508">
        <v>400</v>
      </c>
      <c r="E758" s="507">
        <v>2</v>
      </c>
      <c r="F758" s="502">
        <v>2</v>
      </c>
      <c r="G758" s="502">
        <f t="shared" si="449"/>
        <v>7</v>
      </c>
      <c r="H758" s="503"/>
      <c r="I758" s="503">
        <f>0.18+(20*C758/1000)</f>
        <v>0.33999999999999997</v>
      </c>
      <c r="J758" s="509"/>
      <c r="K758" s="509"/>
      <c r="L758" s="503">
        <f t="shared" ref="L758:L763" si="450">SUM(H758:J758)+K758</f>
        <v>0.33999999999999997</v>
      </c>
      <c r="M758" s="503">
        <f t="shared" si="385"/>
        <v>9.52</v>
      </c>
      <c r="N758" s="503">
        <f t="shared" si="386"/>
        <v>0</v>
      </c>
      <c r="O758" s="503">
        <f t="shared" si="387"/>
        <v>0</v>
      </c>
      <c r="P758" s="503">
        <f t="shared" si="388"/>
        <v>0</v>
      </c>
      <c r="Q758" s="503">
        <f t="shared" si="389"/>
        <v>0</v>
      </c>
      <c r="R758" s="503">
        <f t="shared" si="390"/>
        <v>0</v>
      </c>
    </row>
    <row r="759" spans="1:18">
      <c r="A759" s="505"/>
      <c r="B759" s="506" t="s">
        <v>801</v>
      </c>
      <c r="C759" s="507">
        <v>16</v>
      </c>
      <c r="D759" s="508"/>
      <c r="E759" s="507">
        <v>2</v>
      </c>
      <c r="F759" s="502">
        <v>1</v>
      </c>
      <c r="G759" s="502">
        <v>4</v>
      </c>
      <c r="H759" s="503"/>
      <c r="I759" s="503">
        <f t="shared" ref="I759:I760" si="451">106.2-103.25</f>
        <v>2.9500000000000028</v>
      </c>
      <c r="J759" s="509"/>
      <c r="K759" s="509">
        <f t="shared" ref="K759:K760" si="452">1*36*C759/1000</f>
        <v>0.57599999999999996</v>
      </c>
      <c r="L759" s="503">
        <f t="shared" si="450"/>
        <v>3.5260000000000029</v>
      </c>
      <c r="M759" s="503">
        <f t="shared" si="385"/>
        <v>0</v>
      </c>
      <c r="N759" s="503">
        <f t="shared" si="386"/>
        <v>0</v>
      </c>
      <c r="O759" s="503">
        <f t="shared" si="387"/>
        <v>0</v>
      </c>
      <c r="P759" s="503">
        <f t="shared" si="388"/>
        <v>28.21</v>
      </c>
      <c r="Q759" s="503">
        <f t="shared" si="389"/>
        <v>0</v>
      </c>
      <c r="R759" s="503">
        <f t="shared" si="390"/>
        <v>0</v>
      </c>
    </row>
    <row r="760" spans="1:18">
      <c r="A760" s="505"/>
      <c r="B760" s="511"/>
      <c r="C760" s="507">
        <v>12</v>
      </c>
      <c r="D760" s="508"/>
      <c r="E760" s="507">
        <v>2</v>
      </c>
      <c r="F760" s="502">
        <v>1</v>
      </c>
      <c r="G760" s="502">
        <v>16</v>
      </c>
      <c r="H760" s="503"/>
      <c r="I760" s="503">
        <f t="shared" si="451"/>
        <v>2.9500000000000028</v>
      </c>
      <c r="J760" s="509"/>
      <c r="K760" s="509">
        <f t="shared" si="452"/>
        <v>0.432</v>
      </c>
      <c r="L760" s="503">
        <f t="shared" si="450"/>
        <v>3.3820000000000028</v>
      </c>
      <c r="M760" s="503">
        <f t="shared" si="385"/>
        <v>0</v>
      </c>
      <c r="N760" s="503">
        <f t="shared" si="386"/>
        <v>0</v>
      </c>
      <c r="O760" s="503">
        <f t="shared" si="387"/>
        <v>108.22</v>
      </c>
      <c r="P760" s="503">
        <f t="shared" si="388"/>
        <v>0</v>
      </c>
      <c r="Q760" s="503">
        <f t="shared" si="389"/>
        <v>0</v>
      </c>
      <c r="R760" s="503">
        <f t="shared" si="390"/>
        <v>0</v>
      </c>
    </row>
    <row r="761" spans="1:18">
      <c r="A761" s="505"/>
      <c r="B761" s="511" t="s">
        <v>797</v>
      </c>
      <c r="C761" s="507"/>
      <c r="D761" s="508"/>
      <c r="E761" s="507"/>
      <c r="F761" s="502"/>
      <c r="G761" s="502"/>
      <c r="H761" s="503"/>
      <c r="I761" s="503"/>
      <c r="J761" s="509"/>
      <c r="K761" s="509"/>
      <c r="L761" s="503">
        <f t="shared" si="450"/>
        <v>0</v>
      </c>
      <c r="M761" s="503">
        <f t="shared" si="385"/>
        <v>0</v>
      </c>
      <c r="N761" s="503">
        <f t="shared" si="386"/>
        <v>0</v>
      </c>
      <c r="O761" s="503">
        <f t="shared" si="387"/>
        <v>0</v>
      </c>
      <c r="P761" s="503">
        <f t="shared" si="388"/>
        <v>0</v>
      </c>
      <c r="Q761" s="503">
        <f t="shared" si="389"/>
        <v>0</v>
      </c>
      <c r="R761" s="503">
        <f t="shared" si="390"/>
        <v>0</v>
      </c>
    </row>
    <row r="762" spans="1:18">
      <c r="A762" s="505"/>
      <c r="B762" s="511" t="s">
        <v>832</v>
      </c>
      <c r="C762" s="507">
        <v>8</v>
      </c>
      <c r="D762" s="508">
        <v>100</v>
      </c>
      <c r="E762" s="507">
        <v>2</v>
      </c>
      <c r="F762" s="502">
        <v>1</v>
      </c>
      <c r="G762" s="502">
        <f t="shared" ref="G762:G763" si="453">+ROUND(2450/D762+1,0)</f>
        <v>26</v>
      </c>
      <c r="H762" s="503"/>
      <c r="I762" s="503">
        <f>2*(0.18+0.95)+24*C762/1000</f>
        <v>2.452</v>
      </c>
      <c r="J762" s="509"/>
      <c r="K762" s="509"/>
      <c r="L762" s="503">
        <f t="shared" si="450"/>
        <v>2.452</v>
      </c>
      <c r="M762" s="503">
        <f t="shared" si="385"/>
        <v>127.5</v>
      </c>
      <c r="N762" s="503">
        <f t="shared" si="386"/>
        <v>0</v>
      </c>
      <c r="O762" s="503">
        <f t="shared" si="387"/>
        <v>0</v>
      </c>
      <c r="P762" s="503">
        <f t="shared" si="388"/>
        <v>0</v>
      </c>
      <c r="Q762" s="503">
        <f t="shared" si="389"/>
        <v>0</v>
      </c>
      <c r="R762" s="503">
        <f t="shared" si="390"/>
        <v>0</v>
      </c>
    </row>
    <row r="763" spans="1:18">
      <c r="A763" s="505"/>
      <c r="B763" s="511" t="s">
        <v>833</v>
      </c>
      <c r="C763" s="507">
        <v>8</v>
      </c>
      <c r="D763" s="508">
        <v>100</v>
      </c>
      <c r="E763" s="507">
        <v>2</v>
      </c>
      <c r="F763" s="502">
        <v>4</v>
      </c>
      <c r="G763" s="502">
        <f t="shared" si="453"/>
        <v>26</v>
      </c>
      <c r="H763" s="503"/>
      <c r="I763" s="503">
        <f>2*(0.18+0.12)+24*C763/1000</f>
        <v>0.79200000000000004</v>
      </c>
      <c r="J763" s="509"/>
      <c r="K763" s="509"/>
      <c r="L763" s="503">
        <f t="shared" si="450"/>
        <v>0.79200000000000004</v>
      </c>
      <c r="M763" s="503">
        <f t="shared" si="385"/>
        <v>164.74</v>
      </c>
      <c r="N763" s="503">
        <f t="shared" si="386"/>
        <v>0</v>
      </c>
      <c r="O763" s="503">
        <f t="shared" si="387"/>
        <v>0</v>
      </c>
      <c r="P763" s="503">
        <f t="shared" si="388"/>
        <v>0</v>
      </c>
      <c r="Q763" s="503">
        <f t="shared" si="389"/>
        <v>0</v>
      </c>
      <c r="R763" s="503">
        <f t="shared" si="390"/>
        <v>0</v>
      </c>
    </row>
    <row r="764" spans="1:18">
      <c r="A764" s="505"/>
      <c r="B764" s="506" t="s">
        <v>802</v>
      </c>
      <c r="C764" s="507">
        <v>16</v>
      </c>
      <c r="D764" s="508"/>
      <c r="E764" s="507">
        <v>2</v>
      </c>
      <c r="F764" s="502">
        <v>1</v>
      </c>
      <c r="G764" s="502">
        <v>4</v>
      </c>
      <c r="H764" s="503"/>
      <c r="I764" s="503">
        <f t="shared" ref="I764:I765" si="454">106.2-103.25</f>
        <v>2.9500000000000028</v>
      </c>
      <c r="J764" s="509"/>
      <c r="K764" s="509">
        <f t="shared" ref="K764:K765" si="455">1*36*C764/1000</f>
        <v>0.57599999999999996</v>
      </c>
      <c r="L764" s="503">
        <f t="shared" ref="L764" si="456">SUM(H764:J764)+K764</f>
        <v>3.5260000000000029</v>
      </c>
      <c r="M764" s="503">
        <f t="shared" si="385"/>
        <v>0</v>
      </c>
      <c r="N764" s="503">
        <f t="shared" si="386"/>
        <v>0</v>
      </c>
      <c r="O764" s="503">
        <f t="shared" si="387"/>
        <v>0</v>
      </c>
      <c r="P764" s="503">
        <f t="shared" si="388"/>
        <v>28.21</v>
      </c>
      <c r="Q764" s="503">
        <f t="shared" si="389"/>
        <v>0</v>
      </c>
      <c r="R764" s="503">
        <f t="shared" si="390"/>
        <v>0</v>
      </c>
    </row>
    <row r="765" spans="1:18">
      <c r="A765" s="505"/>
      <c r="B765" s="511"/>
      <c r="C765" s="507">
        <v>12</v>
      </c>
      <c r="D765" s="508"/>
      <c r="E765" s="507">
        <v>2</v>
      </c>
      <c r="F765" s="502">
        <v>1</v>
      </c>
      <c r="G765" s="502">
        <v>18</v>
      </c>
      <c r="H765" s="503"/>
      <c r="I765" s="503">
        <f t="shared" si="454"/>
        <v>2.9500000000000028</v>
      </c>
      <c r="J765" s="509"/>
      <c r="K765" s="509">
        <f t="shared" si="455"/>
        <v>0.432</v>
      </c>
      <c r="L765" s="503">
        <f>SUM(H765:J765)+K765</f>
        <v>3.3820000000000028</v>
      </c>
      <c r="M765" s="503">
        <f>+ROUND(IF(C765=8,PRODUCT(E765,F765,G765,L765),0),2)</f>
        <v>0</v>
      </c>
      <c r="N765" s="503">
        <f t="shared" si="386"/>
        <v>0</v>
      </c>
      <c r="O765" s="503">
        <f t="shared" si="387"/>
        <v>121.75</v>
      </c>
      <c r="P765" s="503">
        <f t="shared" si="388"/>
        <v>0</v>
      </c>
      <c r="Q765" s="503">
        <f t="shared" si="389"/>
        <v>0</v>
      </c>
      <c r="R765" s="503">
        <f t="shared" si="390"/>
        <v>0</v>
      </c>
    </row>
    <row r="766" spans="1:18">
      <c r="A766" s="505"/>
      <c r="B766" s="511" t="s">
        <v>797</v>
      </c>
      <c r="C766" s="507"/>
      <c r="D766" s="508"/>
      <c r="E766" s="507"/>
      <c r="F766" s="502"/>
      <c r="G766" s="502"/>
      <c r="H766" s="503"/>
      <c r="I766" s="503"/>
      <c r="J766" s="509"/>
      <c r="K766" s="509"/>
      <c r="L766" s="503">
        <f t="shared" ref="L766:L768" si="457">SUM(H766:J766)+K766</f>
        <v>0</v>
      </c>
      <c r="M766" s="503">
        <f t="shared" ref="M766:M770" si="458">+ROUND(IF(C766=8,PRODUCT(E766,F766,G766,L766),0),2)</f>
        <v>0</v>
      </c>
      <c r="N766" s="503">
        <f t="shared" si="386"/>
        <v>0</v>
      </c>
      <c r="O766" s="503">
        <f t="shared" si="387"/>
        <v>0</v>
      </c>
      <c r="P766" s="503">
        <f t="shared" si="388"/>
        <v>0</v>
      </c>
      <c r="Q766" s="503">
        <f t="shared" si="389"/>
        <v>0</v>
      </c>
      <c r="R766" s="503">
        <f t="shared" si="390"/>
        <v>0</v>
      </c>
    </row>
    <row r="767" spans="1:18">
      <c r="A767" s="505"/>
      <c r="B767" s="511" t="s">
        <v>834</v>
      </c>
      <c r="C767" s="507">
        <v>8</v>
      </c>
      <c r="D767" s="508">
        <v>100</v>
      </c>
      <c r="E767" s="507">
        <v>2</v>
      </c>
      <c r="F767" s="502">
        <v>1</v>
      </c>
      <c r="G767" s="502">
        <f t="shared" ref="G767:G769" si="459">+ROUND(2450/D767+1,0)</f>
        <v>26</v>
      </c>
      <c r="H767" s="503"/>
      <c r="I767" s="503">
        <f>2*(0.18+1.1)+24*C767/1000</f>
        <v>2.7520000000000002</v>
      </c>
      <c r="J767" s="509"/>
      <c r="K767" s="509"/>
      <c r="L767" s="503">
        <f t="shared" si="457"/>
        <v>2.7520000000000002</v>
      </c>
      <c r="M767" s="503">
        <f t="shared" si="458"/>
        <v>143.1</v>
      </c>
      <c r="N767" s="503">
        <f t="shared" si="386"/>
        <v>0</v>
      </c>
      <c r="O767" s="503">
        <f t="shared" si="387"/>
        <v>0</v>
      </c>
      <c r="P767" s="503">
        <f t="shared" si="388"/>
        <v>0</v>
      </c>
      <c r="Q767" s="503">
        <f t="shared" si="389"/>
        <v>0</v>
      </c>
      <c r="R767" s="503">
        <f t="shared" si="390"/>
        <v>0</v>
      </c>
    </row>
    <row r="768" spans="1:18">
      <c r="A768" s="505"/>
      <c r="B768" s="511" t="s">
        <v>835</v>
      </c>
      <c r="C768" s="507">
        <v>8</v>
      </c>
      <c r="D768" s="508">
        <v>100</v>
      </c>
      <c r="E768" s="507">
        <v>2</v>
      </c>
      <c r="F768" s="502">
        <v>4</v>
      </c>
      <c r="G768" s="502">
        <f t="shared" si="459"/>
        <v>26</v>
      </c>
      <c r="H768" s="503"/>
      <c r="I768" s="503">
        <f>2*(0.18+0.125)+24*C768/1000</f>
        <v>0.80200000000000005</v>
      </c>
      <c r="J768" s="509"/>
      <c r="K768" s="509"/>
      <c r="L768" s="503">
        <f t="shared" si="457"/>
        <v>0.80200000000000005</v>
      </c>
      <c r="M768" s="503">
        <f t="shared" si="458"/>
        <v>166.82</v>
      </c>
      <c r="N768" s="503">
        <f t="shared" si="386"/>
        <v>0</v>
      </c>
      <c r="O768" s="503">
        <f t="shared" si="387"/>
        <v>0</v>
      </c>
      <c r="P768" s="503">
        <f t="shared" si="388"/>
        <v>0</v>
      </c>
      <c r="Q768" s="503">
        <f t="shared" si="389"/>
        <v>0</v>
      </c>
      <c r="R768" s="503">
        <f t="shared" si="390"/>
        <v>0</v>
      </c>
    </row>
    <row r="769" spans="1:18">
      <c r="A769" s="505"/>
      <c r="B769" s="511" t="s">
        <v>803</v>
      </c>
      <c r="C769" s="507">
        <v>8</v>
      </c>
      <c r="D769" s="508">
        <v>100</v>
      </c>
      <c r="E769" s="507">
        <v>2</v>
      </c>
      <c r="F769" s="502">
        <v>1</v>
      </c>
      <c r="G769" s="502">
        <f t="shared" si="459"/>
        <v>26</v>
      </c>
      <c r="H769" s="503"/>
      <c r="I769" s="503">
        <f>0.18+(20*C769/1000)</f>
        <v>0.33999999999999997</v>
      </c>
      <c r="J769" s="509"/>
      <c r="K769" s="509"/>
      <c r="L769" s="503">
        <f t="shared" ref="L769:L770" si="460">SUM(H769:J769)+K769</f>
        <v>0.33999999999999997</v>
      </c>
      <c r="M769" s="503">
        <f t="shared" si="458"/>
        <v>17.68</v>
      </c>
      <c r="N769" s="503">
        <f t="shared" si="386"/>
        <v>0</v>
      </c>
      <c r="O769" s="503">
        <f t="shared" si="387"/>
        <v>0</v>
      </c>
      <c r="P769" s="503">
        <f t="shared" si="388"/>
        <v>0</v>
      </c>
      <c r="Q769" s="503">
        <f t="shared" si="389"/>
        <v>0</v>
      </c>
      <c r="R769" s="503">
        <f t="shared" si="390"/>
        <v>0</v>
      </c>
    </row>
    <row r="770" spans="1:18">
      <c r="A770" s="505"/>
      <c r="B770" s="506" t="s">
        <v>851</v>
      </c>
      <c r="C770" s="507">
        <v>16</v>
      </c>
      <c r="D770" s="508"/>
      <c r="E770" s="507">
        <v>4</v>
      </c>
      <c r="F770" s="502">
        <v>1</v>
      </c>
      <c r="G770" s="502">
        <v>8</v>
      </c>
      <c r="H770" s="503"/>
      <c r="I770" s="503">
        <f t="shared" ref="I770:I772" si="461">106.2-103.25</f>
        <v>2.9500000000000028</v>
      </c>
      <c r="J770" s="509"/>
      <c r="K770" s="509">
        <f t="shared" ref="K770:K772" si="462">1*36*C770/1000</f>
        <v>0.57599999999999996</v>
      </c>
      <c r="L770" s="503">
        <f t="shared" si="460"/>
        <v>3.5260000000000029</v>
      </c>
      <c r="M770" s="503">
        <f t="shared" si="458"/>
        <v>0</v>
      </c>
      <c r="N770" s="503">
        <f t="shared" si="386"/>
        <v>0</v>
      </c>
      <c r="O770" s="503">
        <f t="shared" si="387"/>
        <v>0</v>
      </c>
      <c r="P770" s="503">
        <f t="shared" si="388"/>
        <v>112.83</v>
      </c>
      <c r="Q770" s="503">
        <f t="shared" si="389"/>
        <v>0</v>
      </c>
      <c r="R770" s="503">
        <f t="shared" si="390"/>
        <v>0</v>
      </c>
    </row>
    <row r="771" spans="1:18">
      <c r="A771" s="505"/>
      <c r="B771" s="511"/>
      <c r="C771" s="507">
        <v>12</v>
      </c>
      <c r="D771" s="508"/>
      <c r="E771" s="507">
        <f>+E770</f>
        <v>4</v>
      </c>
      <c r="F771" s="502">
        <v>1</v>
      </c>
      <c r="G771" s="502">
        <v>8</v>
      </c>
      <c r="H771" s="503"/>
      <c r="I771" s="503">
        <f t="shared" si="461"/>
        <v>2.9500000000000028</v>
      </c>
      <c r="J771" s="509"/>
      <c r="K771" s="509">
        <f t="shared" si="462"/>
        <v>0.432</v>
      </c>
      <c r="L771" s="503">
        <f>SUM(H771:J771)+K771</f>
        <v>3.3820000000000028</v>
      </c>
      <c r="M771" s="503">
        <f>+ROUND(IF(C771=8,PRODUCT(E771,F771,G771,L771),0),2)</f>
        <v>0</v>
      </c>
      <c r="N771" s="503">
        <f t="shared" si="386"/>
        <v>0</v>
      </c>
      <c r="O771" s="503">
        <f t="shared" si="387"/>
        <v>108.22</v>
      </c>
      <c r="P771" s="503">
        <f t="shared" si="388"/>
        <v>0</v>
      </c>
      <c r="Q771" s="503">
        <f t="shared" si="389"/>
        <v>0</v>
      </c>
      <c r="R771" s="503">
        <f t="shared" si="390"/>
        <v>0</v>
      </c>
    </row>
    <row r="772" spans="1:18">
      <c r="A772" s="505"/>
      <c r="B772" s="511"/>
      <c r="C772" s="507">
        <v>10</v>
      </c>
      <c r="D772" s="508"/>
      <c r="E772" s="507">
        <f>+E771</f>
        <v>4</v>
      </c>
      <c r="F772" s="502">
        <v>1</v>
      </c>
      <c r="G772" s="502">
        <v>8</v>
      </c>
      <c r="H772" s="503"/>
      <c r="I772" s="503">
        <f t="shared" si="461"/>
        <v>2.9500000000000028</v>
      </c>
      <c r="J772" s="509"/>
      <c r="K772" s="509">
        <f t="shared" si="462"/>
        <v>0.36</v>
      </c>
      <c r="L772" s="503">
        <f>SUM(H772:J772)+K772</f>
        <v>3.3100000000000027</v>
      </c>
      <c r="M772" s="503">
        <f>+ROUND(IF(C772=8,PRODUCT(E772,F772,G772,L772),0),2)</f>
        <v>0</v>
      </c>
      <c r="N772" s="503">
        <f t="shared" si="386"/>
        <v>105.92</v>
      </c>
      <c r="O772" s="503">
        <f t="shared" si="387"/>
        <v>0</v>
      </c>
      <c r="P772" s="503">
        <f t="shared" si="388"/>
        <v>0</v>
      </c>
      <c r="Q772" s="503">
        <f t="shared" si="389"/>
        <v>0</v>
      </c>
      <c r="R772" s="503">
        <f t="shared" si="390"/>
        <v>0</v>
      </c>
    </row>
    <row r="773" spans="1:18">
      <c r="A773" s="505"/>
      <c r="B773" s="511" t="s">
        <v>797</v>
      </c>
      <c r="C773" s="507"/>
      <c r="D773" s="508"/>
      <c r="E773" s="507"/>
      <c r="F773" s="502"/>
      <c r="G773" s="502"/>
      <c r="H773" s="503"/>
      <c r="I773" s="503"/>
      <c r="J773" s="509"/>
      <c r="K773" s="509"/>
      <c r="L773" s="503">
        <f t="shared" ref="L773:L775" si="463">SUM(H773:J773)+K773</f>
        <v>0</v>
      </c>
      <c r="M773" s="503">
        <f t="shared" ref="M773:M778" si="464">+ROUND(IF(C773=8,PRODUCT(E773,F773,G773,L773),0),2)</f>
        <v>0</v>
      </c>
      <c r="N773" s="503">
        <f t="shared" si="386"/>
        <v>0</v>
      </c>
      <c r="O773" s="503">
        <f t="shared" si="387"/>
        <v>0</v>
      </c>
      <c r="P773" s="503">
        <f t="shared" si="388"/>
        <v>0</v>
      </c>
      <c r="Q773" s="503">
        <f t="shared" si="389"/>
        <v>0</v>
      </c>
      <c r="R773" s="503">
        <f t="shared" si="390"/>
        <v>0</v>
      </c>
    </row>
    <row r="774" spans="1:18">
      <c r="A774" s="505"/>
      <c r="B774" s="511" t="s">
        <v>852</v>
      </c>
      <c r="C774" s="507">
        <v>8</v>
      </c>
      <c r="D774" s="508">
        <v>100</v>
      </c>
      <c r="E774" s="507">
        <v>4</v>
      </c>
      <c r="F774" s="502">
        <v>2</v>
      </c>
      <c r="G774" s="502">
        <f t="shared" ref="G774:G777" si="465">+ROUND(2450/D774+1,0)</f>
        <v>26</v>
      </c>
      <c r="H774" s="503"/>
      <c r="I774" s="503">
        <f>2*(0.18+0.383)+24*C774/1000</f>
        <v>1.3179999999999998</v>
      </c>
      <c r="J774" s="509"/>
      <c r="K774" s="509"/>
      <c r="L774" s="503">
        <f t="shared" si="463"/>
        <v>1.3179999999999998</v>
      </c>
      <c r="M774" s="503">
        <f t="shared" si="464"/>
        <v>274.14</v>
      </c>
      <c r="N774" s="503">
        <f t="shared" si="386"/>
        <v>0</v>
      </c>
      <c r="O774" s="503">
        <f t="shared" si="387"/>
        <v>0</v>
      </c>
      <c r="P774" s="503">
        <f t="shared" si="388"/>
        <v>0</v>
      </c>
      <c r="Q774" s="503">
        <f t="shared" si="389"/>
        <v>0</v>
      </c>
      <c r="R774" s="503">
        <f t="shared" si="390"/>
        <v>0</v>
      </c>
    </row>
    <row r="775" spans="1:18">
      <c r="A775" s="505"/>
      <c r="B775" s="511" t="s">
        <v>833</v>
      </c>
      <c r="C775" s="507">
        <v>8</v>
      </c>
      <c r="D775" s="508">
        <v>100</v>
      </c>
      <c r="E775" s="507">
        <v>4</v>
      </c>
      <c r="F775" s="502">
        <v>2</v>
      </c>
      <c r="G775" s="502">
        <f t="shared" si="465"/>
        <v>26</v>
      </c>
      <c r="H775" s="503"/>
      <c r="I775" s="503">
        <f>2*(0.18+0.12)+24*C775/1000</f>
        <v>0.79200000000000004</v>
      </c>
      <c r="J775" s="509"/>
      <c r="K775" s="509"/>
      <c r="L775" s="503">
        <f t="shared" si="463"/>
        <v>0.79200000000000004</v>
      </c>
      <c r="M775" s="503">
        <f t="shared" si="464"/>
        <v>164.74</v>
      </c>
      <c r="N775" s="503">
        <f t="shared" si="386"/>
        <v>0</v>
      </c>
      <c r="O775" s="503">
        <f t="shared" si="387"/>
        <v>0</v>
      </c>
      <c r="P775" s="503">
        <f t="shared" si="388"/>
        <v>0</v>
      </c>
      <c r="Q775" s="503">
        <f t="shared" si="389"/>
        <v>0</v>
      </c>
      <c r="R775" s="503">
        <f t="shared" si="390"/>
        <v>0</v>
      </c>
    </row>
    <row r="776" spans="1:18">
      <c r="A776" s="505"/>
      <c r="B776" s="511" t="s">
        <v>853</v>
      </c>
      <c r="C776" s="507">
        <v>8</v>
      </c>
      <c r="D776" s="508">
        <v>200</v>
      </c>
      <c r="E776" s="507">
        <v>4</v>
      </c>
      <c r="F776" s="502">
        <v>1</v>
      </c>
      <c r="G776" s="502">
        <f t="shared" si="465"/>
        <v>13</v>
      </c>
      <c r="H776" s="503"/>
      <c r="I776" s="503">
        <f>2*(0.18+0.916)+24*C776/1000</f>
        <v>2.3840000000000003</v>
      </c>
      <c r="J776" s="509"/>
      <c r="K776" s="509"/>
      <c r="L776" s="503">
        <f t="shared" ref="L776" si="466">SUM(H776:J776)+K776</f>
        <v>2.3840000000000003</v>
      </c>
      <c r="M776" s="503">
        <f t="shared" si="464"/>
        <v>123.97</v>
      </c>
      <c r="N776" s="503">
        <f t="shared" si="386"/>
        <v>0</v>
      </c>
      <c r="O776" s="503">
        <f t="shared" si="387"/>
        <v>0</v>
      </c>
      <c r="P776" s="503">
        <f t="shared" si="388"/>
        <v>0</v>
      </c>
      <c r="Q776" s="503">
        <f t="shared" si="389"/>
        <v>0</v>
      </c>
      <c r="R776" s="503">
        <f t="shared" si="390"/>
        <v>0</v>
      </c>
    </row>
    <row r="777" spans="1:18">
      <c r="A777" s="505"/>
      <c r="B777" s="511" t="s">
        <v>799</v>
      </c>
      <c r="C777" s="507">
        <v>8</v>
      </c>
      <c r="D777" s="508">
        <v>400</v>
      </c>
      <c r="E777" s="507">
        <v>4</v>
      </c>
      <c r="F777" s="502">
        <v>2</v>
      </c>
      <c r="G777" s="502">
        <f t="shared" si="465"/>
        <v>7</v>
      </c>
      <c r="H777" s="503"/>
      <c r="I777" s="503">
        <f>0.18+(20*C777/1000)</f>
        <v>0.33999999999999997</v>
      </c>
      <c r="J777" s="509"/>
      <c r="K777" s="509"/>
      <c r="L777" s="503">
        <f t="shared" ref="L777" si="467">SUM(H777:J777)+K777</f>
        <v>0.33999999999999997</v>
      </c>
      <c r="M777" s="503">
        <f t="shared" si="464"/>
        <v>19.04</v>
      </c>
      <c r="N777" s="503">
        <f t="shared" si="386"/>
        <v>0</v>
      </c>
      <c r="O777" s="503">
        <f t="shared" si="387"/>
        <v>0</v>
      </c>
      <c r="P777" s="503">
        <f t="shared" si="388"/>
        <v>0</v>
      </c>
      <c r="Q777" s="503">
        <f t="shared" si="389"/>
        <v>0</v>
      </c>
      <c r="R777" s="503">
        <f t="shared" si="390"/>
        <v>0</v>
      </c>
    </row>
    <row r="778" spans="1:18">
      <c r="A778" s="505"/>
      <c r="B778" s="506" t="s">
        <v>804</v>
      </c>
      <c r="C778" s="507">
        <v>16</v>
      </c>
      <c r="D778" s="508"/>
      <c r="E778" s="507">
        <v>4</v>
      </c>
      <c r="F778" s="502">
        <v>1</v>
      </c>
      <c r="G778" s="502">
        <v>4</v>
      </c>
      <c r="H778" s="503"/>
      <c r="I778" s="503">
        <f t="shared" ref="I778:I780" si="468">106.2-103.25</f>
        <v>2.9500000000000028</v>
      </c>
      <c r="J778" s="509"/>
      <c r="K778" s="509">
        <f t="shared" ref="K778:K780" si="469">1*36*C778/1000</f>
        <v>0.57599999999999996</v>
      </c>
      <c r="L778" s="503">
        <f t="shared" ref="L778" si="470">SUM(H778:J778)+K778</f>
        <v>3.5260000000000029</v>
      </c>
      <c r="M778" s="503">
        <f t="shared" si="464"/>
        <v>0</v>
      </c>
      <c r="N778" s="503">
        <f t="shared" si="386"/>
        <v>0</v>
      </c>
      <c r="O778" s="503">
        <f t="shared" si="387"/>
        <v>0</v>
      </c>
      <c r="P778" s="503">
        <f t="shared" si="388"/>
        <v>56.42</v>
      </c>
      <c r="Q778" s="503">
        <f t="shared" si="389"/>
        <v>0</v>
      </c>
      <c r="R778" s="503">
        <f t="shared" si="390"/>
        <v>0</v>
      </c>
    </row>
    <row r="779" spans="1:18">
      <c r="A779" s="505"/>
      <c r="B779" s="511"/>
      <c r="C779" s="507">
        <v>12</v>
      </c>
      <c r="D779" s="508"/>
      <c r="E779" s="507">
        <f>+E778</f>
        <v>4</v>
      </c>
      <c r="F779" s="502">
        <v>1</v>
      </c>
      <c r="G779" s="502">
        <v>12</v>
      </c>
      <c r="H779" s="503"/>
      <c r="I779" s="503">
        <f t="shared" si="468"/>
        <v>2.9500000000000028</v>
      </c>
      <c r="J779" s="509"/>
      <c r="K779" s="509">
        <f t="shared" si="469"/>
        <v>0.432</v>
      </c>
      <c r="L779" s="503">
        <f>SUM(H779:J779)+K779</f>
        <v>3.3820000000000028</v>
      </c>
      <c r="M779" s="503">
        <f>+ROUND(IF(C779=8,PRODUCT(E779,F779,G779,L779),0),2)</f>
        <v>0</v>
      </c>
      <c r="N779" s="503">
        <f t="shared" si="386"/>
        <v>0</v>
      </c>
      <c r="O779" s="503">
        <f t="shared" si="387"/>
        <v>162.34</v>
      </c>
      <c r="P779" s="503">
        <f t="shared" si="388"/>
        <v>0</v>
      </c>
      <c r="Q779" s="503">
        <f t="shared" si="389"/>
        <v>0</v>
      </c>
      <c r="R779" s="503">
        <f t="shared" si="390"/>
        <v>0</v>
      </c>
    </row>
    <row r="780" spans="1:18">
      <c r="A780" s="505"/>
      <c r="B780" s="511"/>
      <c r="C780" s="507">
        <v>10</v>
      </c>
      <c r="D780" s="508"/>
      <c r="E780" s="507">
        <f>+E779</f>
        <v>4</v>
      </c>
      <c r="F780" s="502">
        <v>1</v>
      </c>
      <c r="G780" s="502">
        <v>8</v>
      </c>
      <c r="H780" s="503"/>
      <c r="I780" s="503">
        <f t="shared" si="468"/>
        <v>2.9500000000000028</v>
      </c>
      <c r="J780" s="509"/>
      <c r="K780" s="509">
        <f t="shared" si="469"/>
        <v>0.36</v>
      </c>
      <c r="L780" s="503">
        <f>SUM(H780:J780)+K780</f>
        <v>3.3100000000000027</v>
      </c>
      <c r="M780" s="503">
        <f>+ROUND(IF(C780=8,PRODUCT(E780,F780,G780,L780),0),2)</f>
        <v>0</v>
      </c>
      <c r="N780" s="503">
        <f t="shared" si="386"/>
        <v>105.92</v>
      </c>
      <c r="O780" s="503">
        <f t="shared" si="387"/>
        <v>0</v>
      </c>
      <c r="P780" s="503">
        <f t="shared" si="388"/>
        <v>0</v>
      </c>
      <c r="Q780" s="503">
        <f t="shared" si="389"/>
        <v>0</v>
      </c>
      <c r="R780" s="503">
        <f t="shared" si="390"/>
        <v>0</v>
      </c>
    </row>
    <row r="781" spans="1:18">
      <c r="A781" s="505"/>
      <c r="B781" s="511" t="s">
        <v>797</v>
      </c>
      <c r="C781" s="507"/>
      <c r="D781" s="508"/>
      <c r="E781" s="507"/>
      <c r="F781" s="502"/>
      <c r="G781" s="502"/>
      <c r="H781" s="503"/>
      <c r="I781" s="503"/>
      <c r="J781" s="509"/>
      <c r="K781" s="509"/>
      <c r="L781" s="503">
        <f t="shared" ref="L781:L789" si="471">SUM(H781:J781)+K781</f>
        <v>0</v>
      </c>
      <c r="M781" s="503">
        <f t="shared" ref="M781:M850" si="472">+ROUND(IF(C781=8,PRODUCT(E781,F781,G781,L781),0),2)</f>
        <v>0</v>
      </c>
      <c r="N781" s="503">
        <f t="shared" si="386"/>
        <v>0</v>
      </c>
      <c r="O781" s="503">
        <f t="shared" si="387"/>
        <v>0</v>
      </c>
      <c r="P781" s="503">
        <f t="shared" si="388"/>
        <v>0</v>
      </c>
      <c r="Q781" s="503">
        <f t="shared" si="389"/>
        <v>0</v>
      </c>
      <c r="R781" s="503">
        <f t="shared" si="390"/>
        <v>0</v>
      </c>
    </row>
    <row r="782" spans="1:18">
      <c r="A782" s="505"/>
      <c r="B782" s="511" t="s">
        <v>839</v>
      </c>
      <c r="C782" s="507">
        <v>8</v>
      </c>
      <c r="D782" s="508">
        <v>100</v>
      </c>
      <c r="E782" s="507">
        <v>4</v>
      </c>
      <c r="F782" s="502">
        <v>1</v>
      </c>
      <c r="G782" s="502">
        <f t="shared" ref="G782:G783" si="473">+ROUND(2450/D782+1,0)</f>
        <v>26</v>
      </c>
      <c r="H782" s="503"/>
      <c r="I782" s="503">
        <f>2*(0.18+1.135)+24*C782/1000</f>
        <v>2.8220000000000001</v>
      </c>
      <c r="J782" s="509"/>
      <c r="K782" s="509"/>
      <c r="L782" s="503">
        <f t="shared" si="471"/>
        <v>2.8220000000000001</v>
      </c>
      <c r="M782" s="503">
        <f t="shared" si="472"/>
        <v>293.49</v>
      </c>
      <c r="N782" s="503">
        <f t="shared" si="386"/>
        <v>0</v>
      </c>
      <c r="O782" s="503">
        <f t="shared" si="387"/>
        <v>0</v>
      </c>
      <c r="P782" s="503">
        <f t="shared" si="388"/>
        <v>0</v>
      </c>
      <c r="Q782" s="503">
        <f t="shared" si="389"/>
        <v>0</v>
      </c>
      <c r="R782" s="503">
        <f t="shared" si="390"/>
        <v>0</v>
      </c>
    </row>
    <row r="783" spans="1:18">
      <c r="A783" s="505"/>
      <c r="B783" s="511" t="s">
        <v>840</v>
      </c>
      <c r="C783" s="507">
        <v>8</v>
      </c>
      <c r="D783" s="508">
        <v>100</v>
      </c>
      <c r="E783" s="507">
        <v>4</v>
      </c>
      <c r="F783" s="502">
        <v>5</v>
      </c>
      <c r="G783" s="502">
        <f t="shared" si="473"/>
        <v>26</v>
      </c>
      <c r="H783" s="503"/>
      <c r="I783" s="503">
        <f>2*(0.18+0.118)+24*C783/1000</f>
        <v>0.78800000000000003</v>
      </c>
      <c r="J783" s="509"/>
      <c r="K783" s="509"/>
      <c r="L783" s="503">
        <f t="shared" si="471"/>
        <v>0.78800000000000003</v>
      </c>
      <c r="M783" s="503">
        <f t="shared" si="472"/>
        <v>409.76</v>
      </c>
      <c r="N783" s="503">
        <f t="shared" si="386"/>
        <v>0</v>
      </c>
      <c r="O783" s="503">
        <f t="shared" si="387"/>
        <v>0</v>
      </c>
      <c r="P783" s="503">
        <f t="shared" si="388"/>
        <v>0</v>
      </c>
      <c r="Q783" s="503">
        <f t="shared" si="389"/>
        <v>0</v>
      </c>
      <c r="R783" s="503">
        <f t="shared" si="390"/>
        <v>0</v>
      </c>
    </row>
    <row r="784" spans="1:18">
      <c r="A784" s="505"/>
      <c r="B784" s="506" t="s">
        <v>854</v>
      </c>
      <c r="C784" s="507">
        <v>16</v>
      </c>
      <c r="D784" s="508"/>
      <c r="E784" s="507">
        <v>2</v>
      </c>
      <c r="F784" s="502">
        <v>1</v>
      </c>
      <c r="G784" s="502">
        <v>8</v>
      </c>
      <c r="H784" s="503"/>
      <c r="I784" s="503">
        <f t="shared" ref="I784:I786" si="474">106.2-103.25</f>
        <v>2.9500000000000028</v>
      </c>
      <c r="J784" s="509"/>
      <c r="K784" s="509">
        <f t="shared" ref="K784:K786" si="475">1*36*C784/1000</f>
        <v>0.57599999999999996</v>
      </c>
      <c r="L784" s="503">
        <f t="shared" si="471"/>
        <v>3.5260000000000029</v>
      </c>
      <c r="M784" s="503">
        <f t="shared" si="472"/>
        <v>0</v>
      </c>
      <c r="N784" s="503">
        <f t="shared" si="386"/>
        <v>0</v>
      </c>
      <c r="O784" s="503">
        <f t="shared" si="387"/>
        <v>0</v>
      </c>
      <c r="P784" s="503">
        <f t="shared" si="388"/>
        <v>56.42</v>
      </c>
      <c r="Q784" s="503">
        <f t="shared" si="389"/>
        <v>0</v>
      </c>
      <c r="R784" s="503">
        <f t="shared" si="390"/>
        <v>0</v>
      </c>
    </row>
    <row r="785" spans="1:19">
      <c r="A785" s="505"/>
      <c r="B785" s="506"/>
      <c r="C785" s="507">
        <v>12</v>
      </c>
      <c r="D785" s="508"/>
      <c r="E785" s="507">
        <v>2</v>
      </c>
      <c r="F785" s="502">
        <v>1</v>
      </c>
      <c r="G785" s="502">
        <v>8</v>
      </c>
      <c r="H785" s="503"/>
      <c r="I785" s="503">
        <f t="shared" si="474"/>
        <v>2.9500000000000028</v>
      </c>
      <c r="J785" s="509"/>
      <c r="K785" s="509">
        <f t="shared" si="475"/>
        <v>0.432</v>
      </c>
      <c r="L785" s="503">
        <f t="shared" si="471"/>
        <v>3.3820000000000028</v>
      </c>
      <c r="M785" s="503">
        <f t="shared" si="472"/>
        <v>0</v>
      </c>
      <c r="N785" s="503">
        <f t="shared" si="386"/>
        <v>0</v>
      </c>
      <c r="O785" s="503">
        <f t="shared" si="387"/>
        <v>54.11</v>
      </c>
      <c r="P785" s="503">
        <f t="shared" si="388"/>
        <v>0</v>
      </c>
      <c r="Q785" s="503">
        <f t="shared" si="389"/>
        <v>0</v>
      </c>
      <c r="R785" s="503">
        <f t="shared" si="390"/>
        <v>0</v>
      </c>
    </row>
    <row r="786" spans="1:19">
      <c r="A786" s="505"/>
      <c r="B786" s="506"/>
      <c r="C786" s="507">
        <v>10</v>
      </c>
      <c r="D786" s="508"/>
      <c r="E786" s="507">
        <v>2</v>
      </c>
      <c r="F786" s="502">
        <v>1</v>
      </c>
      <c r="G786" s="502">
        <v>10</v>
      </c>
      <c r="H786" s="503"/>
      <c r="I786" s="503">
        <f t="shared" si="474"/>
        <v>2.9500000000000028</v>
      </c>
      <c r="J786" s="509"/>
      <c r="K786" s="509">
        <f t="shared" si="475"/>
        <v>0.36</v>
      </c>
      <c r="L786" s="503">
        <f t="shared" si="471"/>
        <v>3.3100000000000027</v>
      </c>
      <c r="M786" s="503">
        <f t="shared" si="472"/>
        <v>0</v>
      </c>
      <c r="N786" s="503">
        <f t="shared" si="386"/>
        <v>66.2</v>
      </c>
      <c r="O786" s="503">
        <f t="shared" si="387"/>
        <v>0</v>
      </c>
      <c r="P786" s="503">
        <f t="shared" si="388"/>
        <v>0</v>
      </c>
      <c r="Q786" s="503">
        <f t="shared" si="389"/>
        <v>0</v>
      </c>
      <c r="R786" s="503">
        <f t="shared" si="390"/>
        <v>0</v>
      </c>
    </row>
    <row r="787" spans="1:19">
      <c r="A787" s="505"/>
      <c r="B787" s="511" t="s">
        <v>797</v>
      </c>
      <c r="C787" s="507"/>
      <c r="D787" s="508"/>
      <c r="E787" s="507"/>
      <c r="F787" s="502"/>
      <c r="G787" s="502"/>
      <c r="H787" s="503"/>
      <c r="I787" s="503"/>
      <c r="J787" s="509"/>
      <c r="K787" s="509"/>
      <c r="L787" s="503">
        <f t="shared" si="471"/>
        <v>0</v>
      </c>
      <c r="M787" s="503">
        <f t="shared" si="472"/>
        <v>0</v>
      </c>
      <c r="N787" s="503">
        <f t="shared" si="386"/>
        <v>0</v>
      </c>
      <c r="O787" s="503">
        <f t="shared" si="387"/>
        <v>0</v>
      </c>
      <c r="P787" s="503">
        <f t="shared" si="388"/>
        <v>0</v>
      </c>
      <c r="Q787" s="503">
        <f t="shared" si="389"/>
        <v>0</v>
      </c>
      <c r="R787" s="503">
        <f t="shared" si="390"/>
        <v>0</v>
      </c>
    </row>
    <row r="788" spans="1:19">
      <c r="A788" s="505"/>
      <c r="B788" s="511" t="s">
        <v>852</v>
      </c>
      <c r="C788" s="507">
        <v>8</v>
      </c>
      <c r="D788" s="508">
        <v>100</v>
      </c>
      <c r="E788" s="507">
        <v>2</v>
      </c>
      <c r="F788" s="502">
        <v>2</v>
      </c>
      <c r="G788" s="502">
        <f t="shared" ref="G788:G791" si="476">+ROUND(2450/D788+1,0)</f>
        <v>26</v>
      </c>
      <c r="H788" s="503"/>
      <c r="I788" s="503">
        <f>2*(0.18+0.383)+24*C788/1000</f>
        <v>1.3179999999999998</v>
      </c>
      <c r="J788" s="509"/>
      <c r="K788" s="509"/>
      <c r="L788" s="503">
        <f t="shared" si="471"/>
        <v>1.3179999999999998</v>
      </c>
      <c r="M788" s="503">
        <f t="shared" si="472"/>
        <v>137.07</v>
      </c>
      <c r="N788" s="503">
        <f t="shared" si="386"/>
        <v>0</v>
      </c>
      <c r="O788" s="503">
        <f t="shared" si="387"/>
        <v>0</v>
      </c>
      <c r="P788" s="503">
        <f t="shared" si="388"/>
        <v>0</v>
      </c>
      <c r="Q788" s="503">
        <f t="shared" si="389"/>
        <v>0</v>
      </c>
      <c r="R788" s="503">
        <f t="shared" si="390"/>
        <v>0</v>
      </c>
    </row>
    <row r="789" spans="1:19">
      <c r="A789" s="505"/>
      <c r="B789" s="511" t="s">
        <v>807</v>
      </c>
      <c r="C789" s="507">
        <v>8</v>
      </c>
      <c r="D789" s="508">
        <v>100</v>
      </c>
      <c r="E789" s="507">
        <v>2</v>
      </c>
      <c r="F789" s="502">
        <v>2</v>
      </c>
      <c r="G789" s="502">
        <f t="shared" si="476"/>
        <v>26</v>
      </c>
      <c r="H789" s="503"/>
      <c r="I789" s="503">
        <f>2*(0.18+0.122)+24*C789/1000</f>
        <v>0.79600000000000004</v>
      </c>
      <c r="J789" s="509"/>
      <c r="K789" s="509"/>
      <c r="L789" s="503">
        <f t="shared" si="471"/>
        <v>0.79600000000000004</v>
      </c>
      <c r="M789" s="503">
        <f t="shared" si="472"/>
        <v>82.78</v>
      </c>
      <c r="N789" s="503">
        <f t="shared" si="386"/>
        <v>0</v>
      </c>
      <c r="O789" s="503">
        <f t="shared" si="387"/>
        <v>0</v>
      </c>
      <c r="P789" s="503">
        <f t="shared" si="388"/>
        <v>0</v>
      </c>
      <c r="Q789" s="503">
        <f t="shared" si="389"/>
        <v>0</v>
      </c>
      <c r="R789" s="503">
        <f t="shared" si="390"/>
        <v>0</v>
      </c>
    </row>
    <row r="790" spans="1:19">
      <c r="A790" s="505"/>
      <c r="B790" s="511" t="s">
        <v>855</v>
      </c>
      <c r="C790" s="507">
        <v>8</v>
      </c>
      <c r="D790" s="508">
        <v>200</v>
      </c>
      <c r="E790" s="507">
        <v>2</v>
      </c>
      <c r="F790" s="502">
        <v>1</v>
      </c>
      <c r="G790" s="502">
        <f t="shared" si="476"/>
        <v>13</v>
      </c>
      <c r="H790" s="503"/>
      <c r="I790" s="503">
        <f>2*(0.18+1.071)+24*C790/1000</f>
        <v>2.694</v>
      </c>
      <c r="J790" s="509"/>
      <c r="K790" s="509"/>
      <c r="L790" s="503">
        <f t="shared" ref="L790" si="477">SUM(H790:J790)+K790</f>
        <v>2.694</v>
      </c>
      <c r="M790" s="503">
        <f t="shared" si="472"/>
        <v>70.040000000000006</v>
      </c>
      <c r="N790" s="503">
        <f t="shared" si="386"/>
        <v>0</v>
      </c>
      <c r="O790" s="503">
        <f t="shared" si="387"/>
        <v>0</v>
      </c>
      <c r="P790" s="503">
        <f t="shared" si="388"/>
        <v>0</v>
      </c>
      <c r="Q790" s="503">
        <f t="shared" si="389"/>
        <v>0</v>
      </c>
      <c r="R790" s="503">
        <f t="shared" si="390"/>
        <v>0</v>
      </c>
    </row>
    <row r="791" spans="1:19">
      <c r="A791" s="505"/>
      <c r="B791" s="511" t="s">
        <v>799</v>
      </c>
      <c r="C791" s="507">
        <v>8</v>
      </c>
      <c r="D791" s="508">
        <v>400</v>
      </c>
      <c r="E791" s="507">
        <v>2</v>
      </c>
      <c r="F791" s="502">
        <v>2</v>
      </c>
      <c r="G791" s="502">
        <f t="shared" si="476"/>
        <v>7</v>
      </c>
      <c r="H791" s="503"/>
      <c r="I791" s="503">
        <f>0.18+(20*C791/1000)</f>
        <v>0.33999999999999997</v>
      </c>
      <c r="J791" s="509"/>
      <c r="K791" s="509"/>
      <c r="L791" s="503">
        <f t="shared" ref="L791" si="478">SUM(H791:J791)+K791</f>
        <v>0.33999999999999997</v>
      </c>
      <c r="M791" s="503">
        <f t="shared" si="472"/>
        <v>9.52</v>
      </c>
      <c r="N791" s="503">
        <f t="shared" si="386"/>
        <v>0</v>
      </c>
      <c r="O791" s="503">
        <f t="shared" si="387"/>
        <v>0</v>
      </c>
      <c r="P791" s="503">
        <f t="shared" si="388"/>
        <v>0</v>
      </c>
      <c r="Q791" s="503">
        <f t="shared" si="389"/>
        <v>0</v>
      </c>
      <c r="R791" s="503">
        <f t="shared" si="390"/>
        <v>0</v>
      </c>
    </row>
    <row r="792" spans="1:19">
      <c r="A792" s="505"/>
      <c r="B792" s="506" t="s">
        <v>868</v>
      </c>
      <c r="C792" s="507">
        <v>16</v>
      </c>
      <c r="D792" s="508"/>
      <c r="E792" s="507">
        <v>1</v>
      </c>
      <c r="F792" s="502">
        <v>1</v>
      </c>
      <c r="G792" s="502">
        <v>8</v>
      </c>
      <c r="H792" s="503"/>
      <c r="I792" s="503">
        <f t="shared" ref="I792:I794" si="479">106.2-103.25</f>
        <v>2.9500000000000028</v>
      </c>
      <c r="J792" s="509"/>
      <c r="K792" s="509">
        <f t="shared" ref="K792:K794" si="480">1*36*C792/1000</f>
        <v>0.57599999999999996</v>
      </c>
      <c r="L792" s="503">
        <f t="shared" ref="L792:L797" si="481">SUM(H792:J792)+K792</f>
        <v>3.5260000000000029</v>
      </c>
      <c r="M792" s="503">
        <f t="shared" si="472"/>
        <v>0</v>
      </c>
      <c r="N792" s="503">
        <f t="shared" si="386"/>
        <v>0</v>
      </c>
      <c r="O792" s="503">
        <f t="shared" si="387"/>
        <v>0</v>
      </c>
      <c r="P792" s="503">
        <f t="shared" si="388"/>
        <v>28.21</v>
      </c>
      <c r="Q792" s="503">
        <f t="shared" si="389"/>
        <v>0</v>
      </c>
      <c r="R792" s="503">
        <f t="shared" si="390"/>
        <v>0</v>
      </c>
    </row>
    <row r="793" spans="1:19">
      <c r="A793" s="505"/>
      <c r="B793" s="506"/>
      <c r="C793" s="507">
        <v>12</v>
      </c>
      <c r="D793" s="508"/>
      <c r="E793" s="507">
        <v>1</v>
      </c>
      <c r="F793" s="502">
        <v>1</v>
      </c>
      <c r="G793" s="502">
        <v>20</v>
      </c>
      <c r="H793" s="503"/>
      <c r="I793" s="503">
        <f t="shared" si="479"/>
        <v>2.9500000000000028</v>
      </c>
      <c r="J793" s="509"/>
      <c r="K793" s="509">
        <f t="shared" si="480"/>
        <v>0.432</v>
      </c>
      <c r="L793" s="503">
        <f t="shared" si="481"/>
        <v>3.3820000000000028</v>
      </c>
      <c r="M793" s="503">
        <f t="shared" si="472"/>
        <v>0</v>
      </c>
      <c r="N793" s="503">
        <f t="shared" si="386"/>
        <v>0</v>
      </c>
      <c r="O793" s="503">
        <f t="shared" si="387"/>
        <v>67.64</v>
      </c>
      <c r="P793" s="503">
        <f t="shared" si="388"/>
        <v>0</v>
      </c>
      <c r="Q793" s="503">
        <f t="shared" si="389"/>
        <v>0</v>
      </c>
      <c r="R793" s="503">
        <f t="shared" si="390"/>
        <v>0</v>
      </c>
    </row>
    <row r="794" spans="1:19">
      <c r="A794" s="505"/>
      <c r="B794" s="506"/>
      <c r="C794" s="507">
        <v>10</v>
      </c>
      <c r="D794" s="508"/>
      <c r="E794" s="507">
        <v>1</v>
      </c>
      <c r="F794" s="502">
        <v>1</v>
      </c>
      <c r="G794" s="502">
        <v>22</v>
      </c>
      <c r="H794" s="503"/>
      <c r="I794" s="503">
        <f t="shared" si="479"/>
        <v>2.9500000000000028</v>
      </c>
      <c r="J794" s="509"/>
      <c r="K794" s="509">
        <f t="shared" si="480"/>
        <v>0.36</v>
      </c>
      <c r="L794" s="503">
        <f t="shared" si="481"/>
        <v>3.3100000000000027</v>
      </c>
      <c r="M794" s="503">
        <f t="shared" si="472"/>
        <v>0</v>
      </c>
      <c r="N794" s="503">
        <f t="shared" si="386"/>
        <v>72.819999999999993</v>
      </c>
      <c r="O794" s="503">
        <f t="shared" si="387"/>
        <v>0</v>
      </c>
      <c r="P794" s="503">
        <f t="shared" si="388"/>
        <v>0</v>
      </c>
      <c r="Q794" s="503">
        <f t="shared" si="389"/>
        <v>0</v>
      </c>
      <c r="R794" s="503">
        <f t="shared" si="390"/>
        <v>0</v>
      </c>
    </row>
    <row r="795" spans="1:19">
      <c r="A795" s="505"/>
      <c r="B795" s="511" t="s">
        <v>797</v>
      </c>
      <c r="C795" s="507"/>
      <c r="D795" s="508"/>
      <c r="E795" s="507"/>
      <c r="F795" s="502"/>
      <c r="G795" s="502"/>
      <c r="H795" s="503"/>
      <c r="I795" s="503"/>
      <c r="J795" s="509"/>
      <c r="K795" s="509"/>
      <c r="L795" s="503">
        <f t="shared" si="481"/>
        <v>0</v>
      </c>
      <c r="M795" s="503">
        <f t="shared" si="472"/>
        <v>0</v>
      </c>
      <c r="N795" s="503">
        <f t="shared" si="386"/>
        <v>0</v>
      </c>
      <c r="O795" s="503">
        <f t="shared" si="387"/>
        <v>0</v>
      </c>
      <c r="P795" s="503">
        <f t="shared" si="388"/>
        <v>0</v>
      </c>
      <c r="Q795" s="503">
        <f t="shared" si="389"/>
        <v>0</v>
      </c>
      <c r="R795" s="503">
        <f t="shared" si="390"/>
        <v>0</v>
      </c>
    </row>
    <row r="796" spans="1:19">
      <c r="A796" s="505"/>
      <c r="B796" s="511" t="s">
        <v>816</v>
      </c>
      <c r="C796" s="507">
        <v>8</v>
      </c>
      <c r="D796" s="508">
        <v>100</v>
      </c>
      <c r="E796" s="507">
        <v>1</v>
      </c>
      <c r="F796" s="502">
        <v>2</v>
      </c>
      <c r="G796" s="502">
        <f t="shared" ref="G796:G800" si="482">+ROUND(2450/D796+1,0)</f>
        <v>26</v>
      </c>
      <c r="H796" s="503"/>
      <c r="I796" s="503">
        <f>2*(0.18+0.683)+24*C796/1000</f>
        <v>1.9179999999999999</v>
      </c>
      <c r="J796" s="509"/>
      <c r="K796" s="509"/>
      <c r="L796" s="503">
        <f t="shared" si="481"/>
        <v>1.9179999999999999</v>
      </c>
      <c r="M796" s="503">
        <f t="shared" si="472"/>
        <v>99.74</v>
      </c>
      <c r="N796" s="503">
        <f t="shared" si="386"/>
        <v>0</v>
      </c>
      <c r="O796" s="503">
        <f t="shared" si="387"/>
        <v>0</v>
      </c>
      <c r="P796" s="503">
        <f t="shared" si="388"/>
        <v>0</v>
      </c>
      <c r="Q796" s="503">
        <f t="shared" si="389"/>
        <v>0</v>
      </c>
      <c r="R796" s="503">
        <f t="shared" si="390"/>
        <v>0</v>
      </c>
      <c r="S796" s="221">
        <f>700-25+8</f>
        <v>683</v>
      </c>
    </row>
    <row r="797" spans="1:19">
      <c r="A797" s="505"/>
      <c r="B797" s="511" t="s">
        <v>807</v>
      </c>
      <c r="C797" s="507">
        <v>8</v>
      </c>
      <c r="D797" s="508">
        <v>100</v>
      </c>
      <c r="E797" s="507">
        <v>1</v>
      </c>
      <c r="F797" s="502">
        <v>4</v>
      </c>
      <c r="G797" s="502">
        <f t="shared" si="482"/>
        <v>26</v>
      </c>
      <c r="H797" s="503"/>
      <c r="I797" s="503">
        <f>2*(0.18+0.122)+24*C797/1000</f>
        <v>0.79600000000000004</v>
      </c>
      <c r="J797" s="509"/>
      <c r="K797" s="509"/>
      <c r="L797" s="503">
        <f t="shared" si="481"/>
        <v>0.79600000000000004</v>
      </c>
      <c r="M797" s="503">
        <f t="shared" si="472"/>
        <v>82.78</v>
      </c>
      <c r="N797" s="503">
        <f t="shared" si="386"/>
        <v>0</v>
      </c>
      <c r="O797" s="503">
        <f t="shared" si="387"/>
        <v>0</v>
      </c>
      <c r="P797" s="503">
        <f t="shared" si="388"/>
        <v>0</v>
      </c>
      <c r="Q797" s="503">
        <f t="shared" si="389"/>
        <v>0</v>
      </c>
      <c r="R797" s="503">
        <f t="shared" si="390"/>
        <v>0</v>
      </c>
    </row>
    <row r="798" spans="1:19">
      <c r="A798" s="505"/>
      <c r="B798" s="511" t="s">
        <v>798</v>
      </c>
      <c r="C798" s="507">
        <v>8</v>
      </c>
      <c r="D798" s="508">
        <v>400</v>
      </c>
      <c r="E798" s="507">
        <v>1</v>
      </c>
      <c r="F798" s="502">
        <v>2</v>
      </c>
      <c r="G798" s="502">
        <f>+ROUND(2450/D798+1,0)</f>
        <v>7</v>
      </c>
      <c r="H798" s="503"/>
      <c r="I798" s="503">
        <f>0.18+(20*C798/1000)</f>
        <v>0.33999999999999997</v>
      </c>
      <c r="J798" s="509"/>
      <c r="K798" s="509"/>
      <c r="L798" s="503">
        <f t="shared" ref="L798" si="483">SUM(H798:J798)+K798</f>
        <v>0.33999999999999997</v>
      </c>
      <c r="M798" s="503">
        <f t="shared" si="472"/>
        <v>4.76</v>
      </c>
      <c r="N798" s="503">
        <f t="shared" si="386"/>
        <v>0</v>
      </c>
      <c r="O798" s="503">
        <f t="shared" si="387"/>
        <v>0</v>
      </c>
      <c r="P798" s="503">
        <f t="shared" si="388"/>
        <v>0</v>
      </c>
      <c r="Q798" s="503">
        <f t="shared" si="389"/>
        <v>0</v>
      </c>
      <c r="R798" s="503">
        <f t="shared" si="390"/>
        <v>0</v>
      </c>
    </row>
    <row r="799" spans="1:19">
      <c r="A799" s="505"/>
      <c r="B799" s="511" t="s">
        <v>869</v>
      </c>
      <c r="C799" s="507">
        <v>8</v>
      </c>
      <c r="D799" s="508">
        <v>200</v>
      </c>
      <c r="E799" s="507">
        <v>1</v>
      </c>
      <c r="F799" s="502">
        <v>1</v>
      </c>
      <c r="G799" s="502">
        <f t="shared" si="482"/>
        <v>13</v>
      </c>
      <c r="H799" s="503"/>
      <c r="I799" s="503">
        <f>2*(0.18+2.216)+24*C799/1000</f>
        <v>4.9840000000000009</v>
      </c>
      <c r="J799" s="509"/>
      <c r="K799" s="509"/>
      <c r="L799" s="503">
        <f t="shared" ref="L799:L800" si="484">SUM(H799:J799)+K799</f>
        <v>4.9840000000000009</v>
      </c>
      <c r="M799" s="503">
        <f t="shared" si="472"/>
        <v>64.790000000000006</v>
      </c>
      <c r="N799" s="503">
        <f t="shared" si="386"/>
        <v>0</v>
      </c>
      <c r="O799" s="503">
        <f t="shared" si="387"/>
        <v>0</v>
      </c>
      <c r="P799" s="503">
        <f t="shared" si="388"/>
        <v>0</v>
      </c>
      <c r="Q799" s="503">
        <f t="shared" si="389"/>
        <v>0</v>
      </c>
      <c r="R799" s="503">
        <f t="shared" si="390"/>
        <v>0</v>
      </c>
    </row>
    <row r="800" spans="1:19">
      <c r="A800" s="505"/>
      <c r="B800" s="511" t="s">
        <v>799</v>
      </c>
      <c r="C800" s="507">
        <v>8</v>
      </c>
      <c r="D800" s="508">
        <v>400</v>
      </c>
      <c r="E800" s="507">
        <v>1</v>
      </c>
      <c r="F800" s="502">
        <v>5</v>
      </c>
      <c r="G800" s="502">
        <f t="shared" si="482"/>
        <v>7</v>
      </c>
      <c r="H800" s="503"/>
      <c r="I800" s="503">
        <f>0.18+(20*C800/1000)</f>
        <v>0.33999999999999997</v>
      </c>
      <c r="J800" s="509"/>
      <c r="K800" s="509"/>
      <c r="L800" s="503">
        <f t="shared" si="484"/>
        <v>0.33999999999999997</v>
      </c>
      <c r="M800" s="503">
        <f t="shared" si="472"/>
        <v>11.9</v>
      </c>
      <c r="N800" s="503">
        <f t="shared" si="386"/>
        <v>0</v>
      </c>
      <c r="O800" s="503">
        <f t="shared" si="387"/>
        <v>0</v>
      </c>
      <c r="P800" s="503">
        <f t="shared" si="388"/>
        <v>0</v>
      </c>
      <c r="Q800" s="503">
        <f t="shared" si="389"/>
        <v>0</v>
      </c>
      <c r="R800" s="503">
        <f t="shared" si="390"/>
        <v>0</v>
      </c>
    </row>
    <row r="801" spans="1:18">
      <c r="A801" s="505"/>
      <c r="B801" s="506" t="s">
        <v>809</v>
      </c>
      <c r="C801" s="507">
        <v>16</v>
      </c>
      <c r="D801" s="508"/>
      <c r="E801" s="507">
        <v>6</v>
      </c>
      <c r="F801" s="502">
        <v>1</v>
      </c>
      <c r="G801" s="502">
        <v>8</v>
      </c>
      <c r="H801" s="503"/>
      <c r="I801" s="503">
        <f t="shared" ref="I801:I803" si="485">106.2-103.25</f>
        <v>2.9500000000000028</v>
      </c>
      <c r="J801" s="509"/>
      <c r="K801" s="509">
        <f t="shared" ref="K801:K803" si="486">1*36*C801/1000</f>
        <v>0.57599999999999996</v>
      </c>
      <c r="L801" s="503">
        <f t="shared" ref="L801:L811" si="487">SUM(H801:J801)+K801</f>
        <v>3.5260000000000029</v>
      </c>
      <c r="M801" s="503">
        <f t="shared" si="472"/>
        <v>0</v>
      </c>
      <c r="N801" s="503">
        <f t="shared" si="386"/>
        <v>0</v>
      </c>
      <c r="O801" s="503">
        <f t="shared" si="387"/>
        <v>0</v>
      </c>
      <c r="P801" s="503">
        <f t="shared" si="388"/>
        <v>169.25</v>
      </c>
      <c r="Q801" s="503">
        <f t="shared" si="389"/>
        <v>0</v>
      </c>
      <c r="R801" s="503">
        <f t="shared" si="390"/>
        <v>0</v>
      </c>
    </row>
    <row r="802" spans="1:18">
      <c r="A802" s="505"/>
      <c r="B802" s="511"/>
      <c r="C802" s="507">
        <v>12</v>
      </c>
      <c r="D802" s="508"/>
      <c r="E802" s="507">
        <v>6</v>
      </c>
      <c r="F802" s="502">
        <v>1</v>
      </c>
      <c r="G802" s="502">
        <v>16</v>
      </c>
      <c r="H802" s="503"/>
      <c r="I802" s="503">
        <f t="shared" si="485"/>
        <v>2.9500000000000028</v>
      </c>
      <c r="J802" s="509"/>
      <c r="K802" s="509">
        <f t="shared" si="486"/>
        <v>0.432</v>
      </c>
      <c r="L802" s="503">
        <f t="shared" si="487"/>
        <v>3.3820000000000028</v>
      </c>
      <c r="M802" s="503">
        <f t="shared" si="472"/>
        <v>0</v>
      </c>
      <c r="N802" s="503">
        <f t="shared" si="386"/>
        <v>0</v>
      </c>
      <c r="O802" s="503">
        <f t="shared" si="387"/>
        <v>324.67</v>
      </c>
      <c r="P802" s="503">
        <f t="shared" si="388"/>
        <v>0</v>
      </c>
      <c r="Q802" s="503">
        <f t="shared" si="389"/>
        <v>0</v>
      </c>
      <c r="R802" s="503">
        <f t="shared" si="390"/>
        <v>0</v>
      </c>
    </row>
    <row r="803" spans="1:18">
      <c r="A803" s="505"/>
      <c r="B803" s="511"/>
      <c r="C803" s="507">
        <v>10</v>
      </c>
      <c r="D803" s="508"/>
      <c r="E803" s="507">
        <v>6</v>
      </c>
      <c r="F803" s="502">
        <v>1</v>
      </c>
      <c r="G803" s="502">
        <v>10</v>
      </c>
      <c r="H803" s="503"/>
      <c r="I803" s="503">
        <f t="shared" si="485"/>
        <v>2.9500000000000028</v>
      </c>
      <c r="J803" s="509"/>
      <c r="K803" s="509">
        <f t="shared" si="486"/>
        <v>0.36</v>
      </c>
      <c r="L803" s="503">
        <f t="shared" si="487"/>
        <v>3.3100000000000027</v>
      </c>
      <c r="M803" s="503">
        <f t="shared" si="472"/>
        <v>0</v>
      </c>
      <c r="N803" s="503">
        <f t="shared" si="386"/>
        <v>198.6</v>
      </c>
      <c r="O803" s="503">
        <f t="shared" si="387"/>
        <v>0</v>
      </c>
      <c r="P803" s="503">
        <f t="shared" si="388"/>
        <v>0</v>
      </c>
      <c r="Q803" s="503">
        <f t="shared" si="389"/>
        <v>0</v>
      </c>
      <c r="R803" s="503">
        <f t="shared" si="390"/>
        <v>0</v>
      </c>
    </row>
    <row r="804" spans="1:18">
      <c r="A804" s="505"/>
      <c r="B804" s="511" t="s">
        <v>797</v>
      </c>
      <c r="C804" s="507"/>
      <c r="D804" s="508"/>
      <c r="E804" s="507"/>
      <c r="F804" s="502"/>
      <c r="G804" s="502"/>
      <c r="H804" s="503"/>
      <c r="I804" s="503"/>
      <c r="J804" s="509"/>
      <c r="K804" s="509"/>
      <c r="L804" s="503">
        <f t="shared" si="487"/>
        <v>0</v>
      </c>
      <c r="M804" s="503">
        <f t="shared" si="472"/>
        <v>0</v>
      </c>
      <c r="N804" s="503">
        <f t="shared" si="386"/>
        <v>0</v>
      </c>
      <c r="O804" s="503">
        <f t="shared" si="387"/>
        <v>0</v>
      </c>
      <c r="P804" s="503">
        <f t="shared" si="388"/>
        <v>0</v>
      </c>
      <c r="Q804" s="503">
        <f t="shared" si="389"/>
        <v>0</v>
      </c>
      <c r="R804" s="503">
        <f t="shared" si="390"/>
        <v>0</v>
      </c>
    </row>
    <row r="805" spans="1:18">
      <c r="A805" s="505"/>
      <c r="B805" s="511" t="s">
        <v>810</v>
      </c>
      <c r="C805" s="507">
        <v>8</v>
      </c>
      <c r="D805" s="508">
        <v>100</v>
      </c>
      <c r="E805" s="507">
        <v>6</v>
      </c>
      <c r="F805" s="502">
        <v>1</v>
      </c>
      <c r="G805" s="502">
        <f t="shared" ref="G805:G812" si="488">+ROUND(2450/D805+1,0)</f>
        <v>26</v>
      </c>
      <c r="H805" s="503"/>
      <c r="I805" s="503">
        <f>2*(0.18+0.6)+24*C805/1000</f>
        <v>1.752</v>
      </c>
      <c r="J805" s="509"/>
      <c r="K805" s="509"/>
      <c r="L805" s="503">
        <f t="shared" si="487"/>
        <v>1.752</v>
      </c>
      <c r="M805" s="503">
        <f t="shared" si="472"/>
        <v>273.31</v>
      </c>
      <c r="N805" s="503">
        <f t="shared" si="386"/>
        <v>0</v>
      </c>
      <c r="O805" s="503">
        <f t="shared" si="387"/>
        <v>0</v>
      </c>
      <c r="P805" s="503">
        <f t="shared" si="388"/>
        <v>0</v>
      </c>
      <c r="Q805" s="503">
        <f t="shared" si="389"/>
        <v>0</v>
      </c>
      <c r="R805" s="503">
        <f t="shared" si="390"/>
        <v>0</v>
      </c>
    </row>
    <row r="806" spans="1:18">
      <c r="A806" s="505"/>
      <c r="B806" s="511" t="s">
        <v>811</v>
      </c>
      <c r="C806" s="507">
        <v>8</v>
      </c>
      <c r="D806" s="508">
        <v>100</v>
      </c>
      <c r="E806" s="507">
        <v>6</v>
      </c>
      <c r="F806" s="502">
        <v>1</v>
      </c>
      <c r="G806" s="502">
        <f t="shared" si="488"/>
        <v>26</v>
      </c>
      <c r="H806" s="503"/>
      <c r="I806" s="503">
        <f>2*(0.18+0.248)+24*C806/1000</f>
        <v>1.048</v>
      </c>
      <c r="J806" s="509"/>
      <c r="K806" s="509"/>
      <c r="L806" s="503">
        <f t="shared" si="487"/>
        <v>1.048</v>
      </c>
      <c r="M806" s="503">
        <f t="shared" si="472"/>
        <v>163.49</v>
      </c>
      <c r="N806" s="503">
        <f t="shared" si="386"/>
        <v>0</v>
      </c>
      <c r="O806" s="503">
        <f t="shared" si="387"/>
        <v>0</v>
      </c>
      <c r="P806" s="503">
        <f t="shared" si="388"/>
        <v>0</v>
      </c>
      <c r="Q806" s="503">
        <f t="shared" si="389"/>
        <v>0</v>
      </c>
      <c r="R806" s="503">
        <f t="shared" si="390"/>
        <v>0</v>
      </c>
    </row>
    <row r="807" spans="1:18">
      <c r="A807" s="505"/>
      <c r="B807" s="511" t="s">
        <v>798</v>
      </c>
      <c r="C807" s="507">
        <v>8</v>
      </c>
      <c r="D807" s="508">
        <v>100</v>
      </c>
      <c r="E807" s="507">
        <v>6</v>
      </c>
      <c r="F807" s="502">
        <v>1</v>
      </c>
      <c r="G807" s="502">
        <f t="shared" si="488"/>
        <v>26</v>
      </c>
      <c r="H807" s="503"/>
      <c r="I807" s="503">
        <f>0.18+(20*C807/1000)</f>
        <v>0.33999999999999997</v>
      </c>
      <c r="J807" s="509"/>
      <c r="K807" s="509"/>
      <c r="L807" s="503">
        <f t="shared" si="487"/>
        <v>0.33999999999999997</v>
      </c>
      <c r="M807" s="503">
        <f t="shared" si="472"/>
        <v>53.04</v>
      </c>
      <c r="N807" s="503">
        <f t="shared" si="386"/>
        <v>0</v>
      </c>
      <c r="O807" s="503">
        <f t="shared" si="387"/>
        <v>0</v>
      </c>
      <c r="P807" s="503">
        <f t="shared" si="388"/>
        <v>0</v>
      </c>
      <c r="Q807" s="503">
        <f t="shared" si="389"/>
        <v>0</v>
      </c>
      <c r="R807" s="503">
        <f t="shared" si="390"/>
        <v>0</v>
      </c>
    </row>
    <row r="808" spans="1:18">
      <c r="A808" s="505"/>
      <c r="B808" s="511" t="s">
        <v>812</v>
      </c>
      <c r="C808" s="507">
        <v>8</v>
      </c>
      <c r="D808" s="508">
        <v>100</v>
      </c>
      <c r="E808" s="507">
        <v>6</v>
      </c>
      <c r="F808" s="502">
        <v>2</v>
      </c>
      <c r="G808" s="502">
        <f t="shared" si="488"/>
        <v>26</v>
      </c>
      <c r="H808" s="503"/>
      <c r="I808" s="503">
        <f>2*(0.18+0.385)+24*C808/1000</f>
        <v>1.3219999999999998</v>
      </c>
      <c r="J808" s="509"/>
      <c r="K808" s="509"/>
      <c r="L808" s="503">
        <f t="shared" si="487"/>
        <v>1.3219999999999998</v>
      </c>
      <c r="M808" s="503">
        <f t="shared" si="472"/>
        <v>412.46</v>
      </c>
      <c r="N808" s="503">
        <f t="shared" si="386"/>
        <v>0</v>
      </c>
      <c r="O808" s="503">
        <f t="shared" si="387"/>
        <v>0</v>
      </c>
      <c r="P808" s="503">
        <f t="shared" si="388"/>
        <v>0</v>
      </c>
      <c r="Q808" s="503">
        <f t="shared" si="389"/>
        <v>0</v>
      </c>
      <c r="R808" s="503">
        <f t="shared" si="390"/>
        <v>0</v>
      </c>
    </row>
    <row r="809" spans="1:18">
      <c r="A809" s="505"/>
      <c r="B809" s="511" t="s">
        <v>813</v>
      </c>
      <c r="C809" s="507">
        <v>8</v>
      </c>
      <c r="D809" s="508">
        <v>100</v>
      </c>
      <c r="E809" s="507">
        <v>6</v>
      </c>
      <c r="F809" s="502">
        <v>1</v>
      </c>
      <c r="G809" s="502">
        <f t="shared" si="488"/>
        <v>26</v>
      </c>
      <c r="H809" s="503"/>
      <c r="I809" s="503">
        <f>2*(0.18+0.268)+24*C809/1000</f>
        <v>1.0880000000000001</v>
      </c>
      <c r="J809" s="509"/>
      <c r="K809" s="509"/>
      <c r="L809" s="503">
        <f t="shared" si="487"/>
        <v>1.0880000000000001</v>
      </c>
      <c r="M809" s="503">
        <f t="shared" si="472"/>
        <v>169.73</v>
      </c>
      <c r="N809" s="503">
        <f t="shared" si="386"/>
        <v>0</v>
      </c>
      <c r="O809" s="503">
        <f t="shared" si="387"/>
        <v>0</v>
      </c>
      <c r="P809" s="503">
        <f t="shared" si="388"/>
        <v>0</v>
      </c>
      <c r="Q809" s="503">
        <f t="shared" si="389"/>
        <v>0</v>
      </c>
      <c r="R809" s="503">
        <f t="shared" si="390"/>
        <v>0</v>
      </c>
    </row>
    <row r="810" spans="1:18">
      <c r="A810" s="505"/>
      <c r="B810" s="511" t="s">
        <v>798</v>
      </c>
      <c r="C810" s="507">
        <v>8</v>
      </c>
      <c r="D810" s="508">
        <v>100</v>
      </c>
      <c r="E810" s="507">
        <v>6</v>
      </c>
      <c r="F810" s="502">
        <v>1</v>
      </c>
      <c r="G810" s="502">
        <f t="shared" si="488"/>
        <v>26</v>
      </c>
      <c r="H810" s="503"/>
      <c r="I810" s="503">
        <f>0.18+(20*C810/1000)</f>
        <v>0.33999999999999997</v>
      </c>
      <c r="J810" s="509"/>
      <c r="K810" s="509"/>
      <c r="L810" s="503">
        <f t="shared" si="487"/>
        <v>0.33999999999999997</v>
      </c>
      <c r="M810" s="503">
        <f t="shared" si="472"/>
        <v>53.04</v>
      </c>
      <c r="N810" s="503">
        <f t="shared" si="386"/>
        <v>0</v>
      </c>
      <c r="O810" s="503">
        <f t="shared" si="387"/>
        <v>0</v>
      </c>
      <c r="P810" s="503">
        <f t="shared" si="388"/>
        <v>0</v>
      </c>
      <c r="Q810" s="503">
        <f t="shared" si="389"/>
        <v>0</v>
      </c>
      <c r="R810" s="503">
        <f t="shared" si="390"/>
        <v>0</v>
      </c>
    </row>
    <row r="811" spans="1:18">
      <c r="A811" s="505"/>
      <c r="B811" s="511" t="s">
        <v>814</v>
      </c>
      <c r="C811" s="507">
        <v>8</v>
      </c>
      <c r="D811" s="508">
        <v>200</v>
      </c>
      <c r="E811" s="507">
        <v>6</v>
      </c>
      <c r="F811" s="502">
        <v>1</v>
      </c>
      <c r="G811" s="502">
        <f t="shared" si="488"/>
        <v>13</v>
      </c>
      <c r="H811" s="503"/>
      <c r="I811" s="503">
        <f>2*(0.18+1.066)+24*C811/1000</f>
        <v>2.6840000000000002</v>
      </c>
      <c r="J811" s="509"/>
      <c r="K811" s="509"/>
      <c r="L811" s="503">
        <f t="shared" si="487"/>
        <v>2.6840000000000002</v>
      </c>
      <c r="M811" s="503">
        <f t="shared" si="472"/>
        <v>209.35</v>
      </c>
      <c r="N811" s="503">
        <f t="shared" si="386"/>
        <v>0</v>
      </c>
      <c r="O811" s="503">
        <f t="shared" si="387"/>
        <v>0</v>
      </c>
      <c r="P811" s="503">
        <f t="shared" si="388"/>
        <v>0</v>
      </c>
      <c r="Q811" s="503">
        <f t="shared" si="389"/>
        <v>0</v>
      </c>
      <c r="R811" s="503">
        <f t="shared" si="390"/>
        <v>0</v>
      </c>
    </row>
    <row r="812" spans="1:18">
      <c r="A812" s="505"/>
      <c r="B812" s="511" t="s">
        <v>799</v>
      </c>
      <c r="C812" s="507">
        <v>8</v>
      </c>
      <c r="D812" s="508">
        <v>400</v>
      </c>
      <c r="E812" s="507">
        <v>6</v>
      </c>
      <c r="F812" s="502">
        <v>2</v>
      </c>
      <c r="G812" s="502">
        <f t="shared" si="488"/>
        <v>7</v>
      </c>
      <c r="H812" s="503"/>
      <c r="I812" s="503">
        <f>0.18+(20*C812/1000)</f>
        <v>0.33999999999999997</v>
      </c>
      <c r="J812" s="509"/>
      <c r="K812" s="509"/>
      <c r="L812" s="503">
        <f t="shared" ref="L812" si="489">SUM(H812:J812)+K812</f>
        <v>0.33999999999999997</v>
      </c>
      <c r="M812" s="503">
        <f t="shared" si="472"/>
        <v>28.56</v>
      </c>
      <c r="N812" s="503">
        <f t="shared" si="386"/>
        <v>0</v>
      </c>
      <c r="O812" s="503">
        <f t="shared" si="387"/>
        <v>0</v>
      </c>
      <c r="P812" s="503">
        <f t="shared" si="388"/>
        <v>0</v>
      </c>
      <c r="Q812" s="503">
        <f t="shared" si="389"/>
        <v>0</v>
      </c>
      <c r="R812" s="503">
        <f t="shared" si="390"/>
        <v>0</v>
      </c>
    </row>
    <row r="813" spans="1:18">
      <c r="A813" s="505"/>
      <c r="B813" s="506" t="s">
        <v>856</v>
      </c>
      <c r="C813" s="507">
        <v>16</v>
      </c>
      <c r="D813" s="508"/>
      <c r="E813" s="507">
        <v>2</v>
      </c>
      <c r="F813" s="502">
        <v>1</v>
      </c>
      <c r="G813" s="502">
        <v>8</v>
      </c>
      <c r="H813" s="503"/>
      <c r="I813" s="503">
        <f t="shared" ref="I813:I815" si="490">106.2-103.25</f>
        <v>2.9500000000000028</v>
      </c>
      <c r="J813" s="509"/>
      <c r="K813" s="509">
        <f t="shared" ref="K813:K815" si="491">1*36*C813/1000</f>
        <v>0.57599999999999996</v>
      </c>
      <c r="L813" s="503">
        <f t="shared" ref="L813:L820" si="492">SUM(H813:J813)+K813</f>
        <v>3.5260000000000029</v>
      </c>
      <c r="M813" s="503">
        <f t="shared" si="472"/>
        <v>0</v>
      </c>
      <c r="N813" s="503">
        <f t="shared" si="386"/>
        <v>0</v>
      </c>
      <c r="O813" s="503">
        <f t="shared" si="387"/>
        <v>0</v>
      </c>
      <c r="P813" s="503">
        <f t="shared" si="388"/>
        <v>56.42</v>
      </c>
      <c r="Q813" s="503">
        <f t="shared" si="389"/>
        <v>0</v>
      </c>
      <c r="R813" s="503">
        <f t="shared" si="390"/>
        <v>0</v>
      </c>
    </row>
    <row r="814" spans="1:18">
      <c r="A814" s="505"/>
      <c r="B814" s="506"/>
      <c r="C814" s="507">
        <v>12</v>
      </c>
      <c r="D814" s="508"/>
      <c r="E814" s="507">
        <v>2</v>
      </c>
      <c r="F814" s="502">
        <v>1</v>
      </c>
      <c r="G814" s="502">
        <v>12</v>
      </c>
      <c r="H814" s="503"/>
      <c r="I814" s="503">
        <f t="shared" si="490"/>
        <v>2.9500000000000028</v>
      </c>
      <c r="J814" s="509"/>
      <c r="K814" s="509">
        <f t="shared" si="491"/>
        <v>0.432</v>
      </c>
      <c r="L814" s="503">
        <f t="shared" si="492"/>
        <v>3.3820000000000028</v>
      </c>
      <c r="M814" s="503">
        <f t="shared" si="472"/>
        <v>0</v>
      </c>
      <c r="N814" s="503">
        <f t="shared" si="386"/>
        <v>0</v>
      </c>
      <c r="O814" s="503">
        <f t="shared" si="387"/>
        <v>81.17</v>
      </c>
      <c r="P814" s="503">
        <f t="shared" si="388"/>
        <v>0</v>
      </c>
      <c r="Q814" s="503">
        <f t="shared" si="389"/>
        <v>0</v>
      </c>
      <c r="R814" s="503">
        <f t="shared" si="390"/>
        <v>0</v>
      </c>
    </row>
    <row r="815" spans="1:18">
      <c r="A815" s="505"/>
      <c r="B815" s="506"/>
      <c r="C815" s="507">
        <v>10</v>
      </c>
      <c r="D815" s="508"/>
      <c r="E815" s="507">
        <v>2</v>
      </c>
      <c r="F815" s="502">
        <v>1</v>
      </c>
      <c r="G815" s="502">
        <v>24</v>
      </c>
      <c r="H815" s="503"/>
      <c r="I815" s="503">
        <f t="shared" si="490"/>
        <v>2.9500000000000028</v>
      </c>
      <c r="J815" s="509"/>
      <c r="K815" s="509">
        <f t="shared" si="491"/>
        <v>0.36</v>
      </c>
      <c r="L815" s="503">
        <f t="shared" si="492"/>
        <v>3.3100000000000027</v>
      </c>
      <c r="M815" s="503">
        <f t="shared" si="472"/>
        <v>0</v>
      </c>
      <c r="N815" s="503">
        <f t="shared" si="386"/>
        <v>158.88</v>
      </c>
      <c r="O815" s="503">
        <f t="shared" si="387"/>
        <v>0</v>
      </c>
      <c r="P815" s="503">
        <f t="shared" si="388"/>
        <v>0</v>
      </c>
      <c r="Q815" s="503">
        <f t="shared" si="389"/>
        <v>0</v>
      </c>
      <c r="R815" s="503">
        <f t="shared" si="390"/>
        <v>0</v>
      </c>
    </row>
    <row r="816" spans="1:18">
      <c r="A816" s="505"/>
      <c r="B816" s="511" t="s">
        <v>797</v>
      </c>
      <c r="C816" s="507"/>
      <c r="D816" s="508"/>
      <c r="E816" s="507"/>
      <c r="F816" s="502"/>
      <c r="G816" s="502"/>
      <c r="H816" s="503"/>
      <c r="I816" s="503"/>
      <c r="J816" s="509"/>
      <c r="K816" s="509"/>
      <c r="L816" s="503">
        <f t="shared" si="492"/>
        <v>0</v>
      </c>
      <c r="M816" s="503">
        <f t="shared" si="472"/>
        <v>0</v>
      </c>
      <c r="N816" s="503">
        <f t="shared" si="386"/>
        <v>0</v>
      </c>
      <c r="O816" s="503">
        <f t="shared" si="387"/>
        <v>0</v>
      </c>
      <c r="P816" s="503">
        <f t="shared" si="388"/>
        <v>0</v>
      </c>
      <c r="Q816" s="503">
        <f t="shared" si="389"/>
        <v>0</v>
      </c>
      <c r="R816" s="503">
        <f t="shared" si="390"/>
        <v>0</v>
      </c>
    </row>
    <row r="817" spans="1:18">
      <c r="A817" s="505"/>
      <c r="B817" s="511" t="s">
        <v>857</v>
      </c>
      <c r="C817" s="507">
        <v>8</v>
      </c>
      <c r="D817" s="508">
        <v>100</v>
      </c>
      <c r="E817" s="507">
        <v>2</v>
      </c>
      <c r="F817" s="502">
        <v>2</v>
      </c>
      <c r="G817" s="502">
        <f t="shared" ref="G817:G821" si="493">+ROUND(2450/D817+1,0)</f>
        <v>26</v>
      </c>
      <c r="H817" s="503"/>
      <c r="I817" s="503">
        <f>2*(0.18+0.483)+24*C817/1000</f>
        <v>1.518</v>
      </c>
      <c r="J817" s="509"/>
      <c r="K817" s="509"/>
      <c r="L817" s="503">
        <f t="shared" si="492"/>
        <v>1.518</v>
      </c>
      <c r="M817" s="503">
        <f t="shared" si="472"/>
        <v>157.87</v>
      </c>
      <c r="N817" s="503">
        <f t="shared" si="386"/>
        <v>0</v>
      </c>
      <c r="O817" s="503">
        <f t="shared" si="387"/>
        <v>0</v>
      </c>
      <c r="P817" s="503">
        <f t="shared" si="388"/>
        <v>0</v>
      </c>
      <c r="Q817" s="503">
        <f t="shared" si="389"/>
        <v>0</v>
      </c>
      <c r="R817" s="503">
        <f t="shared" si="390"/>
        <v>0</v>
      </c>
    </row>
    <row r="818" spans="1:18">
      <c r="A818" s="505"/>
      <c r="B818" s="511" t="s">
        <v>858</v>
      </c>
      <c r="C818" s="507">
        <v>8</v>
      </c>
      <c r="D818" s="508">
        <v>100</v>
      </c>
      <c r="E818" s="507">
        <v>2</v>
      </c>
      <c r="F818" s="502">
        <v>2</v>
      </c>
      <c r="G818" s="502">
        <f t="shared" si="493"/>
        <v>26</v>
      </c>
      <c r="H818" s="503"/>
      <c r="I818" s="503">
        <f>2*(0.18+0.25)+24*C818/1000</f>
        <v>1.052</v>
      </c>
      <c r="J818" s="509"/>
      <c r="K818" s="509"/>
      <c r="L818" s="503">
        <f t="shared" si="492"/>
        <v>1.052</v>
      </c>
      <c r="M818" s="503">
        <f t="shared" si="472"/>
        <v>109.41</v>
      </c>
      <c r="N818" s="503">
        <f t="shared" si="386"/>
        <v>0</v>
      </c>
      <c r="O818" s="503">
        <f t="shared" si="387"/>
        <v>0</v>
      </c>
      <c r="P818" s="503">
        <f t="shared" si="388"/>
        <v>0</v>
      </c>
      <c r="Q818" s="503">
        <f t="shared" si="389"/>
        <v>0</v>
      </c>
      <c r="R818" s="503">
        <f t="shared" si="390"/>
        <v>0</v>
      </c>
    </row>
    <row r="819" spans="1:18">
      <c r="A819" s="505"/>
      <c r="B819" s="511" t="s">
        <v>798</v>
      </c>
      <c r="C819" s="507">
        <v>8</v>
      </c>
      <c r="D819" s="508">
        <v>100</v>
      </c>
      <c r="E819" s="507">
        <v>2</v>
      </c>
      <c r="F819" s="502">
        <v>2</v>
      </c>
      <c r="G819" s="502">
        <f t="shared" si="493"/>
        <v>26</v>
      </c>
      <c r="H819" s="503"/>
      <c r="I819" s="503">
        <f>0.18+(20*C819/1000)</f>
        <v>0.33999999999999997</v>
      </c>
      <c r="J819" s="509"/>
      <c r="K819" s="509"/>
      <c r="L819" s="503">
        <f t="shared" si="492"/>
        <v>0.33999999999999997</v>
      </c>
      <c r="M819" s="503">
        <f t="shared" si="472"/>
        <v>35.36</v>
      </c>
      <c r="N819" s="503">
        <f t="shared" si="386"/>
        <v>0</v>
      </c>
      <c r="O819" s="503">
        <f t="shared" si="387"/>
        <v>0</v>
      </c>
      <c r="P819" s="503">
        <f t="shared" si="388"/>
        <v>0</v>
      </c>
      <c r="Q819" s="503">
        <f t="shared" si="389"/>
        <v>0</v>
      </c>
      <c r="R819" s="503">
        <f t="shared" si="390"/>
        <v>0</v>
      </c>
    </row>
    <row r="820" spans="1:18">
      <c r="A820" s="505"/>
      <c r="B820" s="511" t="s">
        <v>859</v>
      </c>
      <c r="C820" s="507">
        <v>8</v>
      </c>
      <c r="D820" s="508">
        <v>200</v>
      </c>
      <c r="E820" s="507">
        <v>2</v>
      </c>
      <c r="F820" s="502">
        <v>1</v>
      </c>
      <c r="G820" s="502">
        <f t="shared" si="493"/>
        <v>13</v>
      </c>
      <c r="H820" s="503"/>
      <c r="I820" s="503">
        <f>2*(0.18+2.461)+24*C820/1000</f>
        <v>5.4740000000000002</v>
      </c>
      <c r="J820" s="509"/>
      <c r="K820" s="509"/>
      <c r="L820" s="503">
        <f t="shared" si="492"/>
        <v>5.4740000000000002</v>
      </c>
      <c r="M820" s="503">
        <f t="shared" si="472"/>
        <v>142.32</v>
      </c>
      <c r="N820" s="503">
        <f t="shared" si="386"/>
        <v>0</v>
      </c>
      <c r="O820" s="503">
        <f t="shared" si="387"/>
        <v>0</v>
      </c>
      <c r="P820" s="503">
        <f t="shared" si="388"/>
        <v>0</v>
      </c>
      <c r="Q820" s="503">
        <f t="shared" si="389"/>
        <v>0</v>
      </c>
      <c r="R820" s="503">
        <f t="shared" si="390"/>
        <v>0</v>
      </c>
    </row>
    <row r="821" spans="1:18">
      <c r="A821" s="505"/>
      <c r="B821" s="511" t="s">
        <v>799</v>
      </c>
      <c r="C821" s="507">
        <v>8</v>
      </c>
      <c r="D821" s="508">
        <v>400</v>
      </c>
      <c r="E821" s="507">
        <v>2</v>
      </c>
      <c r="F821" s="502">
        <v>6</v>
      </c>
      <c r="G821" s="502">
        <f t="shared" si="493"/>
        <v>7</v>
      </c>
      <c r="H821" s="503"/>
      <c r="I821" s="503">
        <f>0.18+(20*C821/1000)</f>
        <v>0.33999999999999997</v>
      </c>
      <c r="J821" s="509"/>
      <c r="K821" s="509"/>
      <c r="L821" s="503">
        <f t="shared" ref="L821" si="494">SUM(H821:J821)+K821</f>
        <v>0.33999999999999997</v>
      </c>
      <c r="M821" s="503">
        <f t="shared" si="472"/>
        <v>28.56</v>
      </c>
      <c r="N821" s="503">
        <f t="shared" si="386"/>
        <v>0</v>
      </c>
      <c r="O821" s="503">
        <f t="shared" si="387"/>
        <v>0</v>
      </c>
      <c r="P821" s="503">
        <f t="shared" si="388"/>
        <v>0</v>
      </c>
      <c r="Q821" s="503">
        <f t="shared" si="389"/>
        <v>0</v>
      </c>
      <c r="R821" s="503">
        <f t="shared" si="390"/>
        <v>0</v>
      </c>
    </row>
    <row r="822" spans="1:18">
      <c r="A822" s="505"/>
      <c r="B822" s="506" t="s">
        <v>860</v>
      </c>
      <c r="C822" s="507">
        <v>16</v>
      </c>
      <c r="D822" s="508"/>
      <c r="E822" s="507">
        <v>2</v>
      </c>
      <c r="F822" s="502">
        <v>1</v>
      </c>
      <c r="G822" s="502">
        <v>8</v>
      </c>
      <c r="H822" s="503"/>
      <c r="I822" s="503">
        <f t="shared" ref="I822:I824" si="495">106.2-103.25</f>
        <v>2.9500000000000028</v>
      </c>
      <c r="J822" s="509"/>
      <c r="K822" s="509">
        <f t="shared" ref="K822:K824" si="496">1*36*C822/1000</f>
        <v>0.57599999999999996</v>
      </c>
      <c r="L822" s="503">
        <f t="shared" ref="L822:L829" si="497">SUM(H822:J822)+K822</f>
        <v>3.5260000000000029</v>
      </c>
      <c r="M822" s="503">
        <f t="shared" si="472"/>
        <v>0</v>
      </c>
      <c r="N822" s="503">
        <f t="shared" si="386"/>
        <v>0</v>
      </c>
      <c r="O822" s="503">
        <f t="shared" si="387"/>
        <v>0</v>
      </c>
      <c r="P822" s="503">
        <f t="shared" si="388"/>
        <v>56.42</v>
      </c>
      <c r="Q822" s="503">
        <f t="shared" si="389"/>
        <v>0</v>
      </c>
      <c r="R822" s="503">
        <f t="shared" si="390"/>
        <v>0</v>
      </c>
    </row>
    <row r="823" spans="1:18">
      <c r="A823" s="505"/>
      <c r="B823" s="506"/>
      <c r="C823" s="507">
        <v>12</v>
      </c>
      <c r="D823" s="508"/>
      <c r="E823" s="507">
        <v>2</v>
      </c>
      <c r="F823" s="502">
        <v>1</v>
      </c>
      <c r="G823" s="502">
        <v>20</v>
      </c>
      <c r="H823" s="503"/>
      <c r="I823" s="503">
        <f t="shared" si="495"/>
        <v>2.9500000000000028</v>
      </c>
      <c r="J823" s="509"/>
      <c r="K823" s="509">
        <f t="shared" si="496"/>
        <v>0.432</v>
      </c>
      <c r="L823" s="503">
        <f t="shared" si="497"/>
        <v>3.3820000000000028</v>
      </c>
      <c r="M823" s="503">
        <f t="shared" si="472"/>
        <v>0</v>
      </c>
      <c r="N823" s="503">
        <f t="shared" si="386"/>
        <v>0</v>
      </c>
      <c r="O823" s="503">
        <f t="shared" si="387"/>
        <v>135.28</v>
      </c>
      <c r="P823" s="503">
        <f t="shared" si="388"/>
        <v>0</v>
      </c>
      <c r="Q823" s="503">
        <f t="shared" si="389"/>
        <v>0</v>
      </c>
      <c r="R823" s="503">
        <f t="shared" si="390"/>
        <v>0</v>
      </c>
    </row>
    <row r="824" spans="1:18">
      <c r="A824" s="505"/>
      <c r="B824" s="506"/>
      <c r="C824" s="507">
        <v>10</v>
      </c>
      <c r="D824" s="508"/>
      <c r="E824" s="507">
        <v>2</v>
      </c>
      <c r="F824" s="502">
        <v>1</v>
      </c>
      <c r="G824" s="502">
        <v>26</v>
      </c>
      <c r="H824" s="503"/>
      <c r="I824" s="503">
        <f t="shared" si="495"/>
        <v>2.9500000000000028</v>
      </c>
      <c r="J824" s="509"/>
      <c r="K824" s="509">
        <f t="shared" si="496"/>
        <v>0.36</v>
      </c>
      <c r="L824" s="503">
        <f t="shared" si="497"/>
        <v>3.3100000000000027</v>
      </c>
      <c r="M824" s="503">
        <f t="shared" si="472"/>
        <v>0</v>
      </c>
      <c r="N824" s="503">
        <f t="shared" si="386"/>
        <v>172.12</v>
      </c>
      <c r="O824" s="503">
        <f t="shared" si="387"/>
        <v>0</v>
      </c>
      <c r="P824" s="503">
        <f t="shared" si="388"/>
        <v>0</v>
      </c>
      <c r="Q824" s="503">
        <f t="shared" si="389"/>
        <v>0</v>
      </c>
      <c r="R824" s="503">
        <f t="shared" si="390"/>
        <v>0</v>
      </c>
    </row>
    <row r="825" spans="1:18">
      <c r="A825" s="505"/>
      <c r="B825" s="511" t="s">
        <v>797</v>
      </c>
      <c r="C825" s="507"/>
      <c r="D825" s="508"/>
      <c r="E825" s="507"/>
      <c r="F825" s="502"/>
      <c r="G825" s="502"/>
      <c r="H825" s="503"/>
      <c r="I825" s="503"/>
      <c r="J825" s="509"/>
      <c r="K825" s="509"/>
      <c r="L825" s="503">
        <f t="shared" si="497"/>
        <v>0</v>
      </c>
      <c r="M825" s="503">
        <f t="shared" si="472"/>
        <v>0</v>
      </c>
      <c r="N825" s="503">
        <f t="shared" si="386"/>
        <v>0</v>
      </c>
      <c r="O825" s="503">
        <f t="shared" si="387"/>
        <v>0</v>
      </c>
      <c r="P825" s="503">
        <f t="shared" si="388"/>
        <v>0</v>
      </c>
      <c r="Q825" s="503">
        <f t="shared" si="389"/>
        <v>0</v>
      </c>
      <c r="R825" s="503">
        <f t="shared" si="390"/>
        <v>0</v>
      </c>
    </row>
    <row r="826" spans="1:18">
      <c r="A826" s="505"/>
      <c r="B826" s="511" t="s">
        <v>816</v>
      </c>
      <c r="C826" s="507">
        <v>8</v>
      </c>
      <c r="D826" s="508">
        <v>100</v>
      </c>
      <c r="E826" s="507">
        <v>2</v>
      </c>
      <c r="F826" s="502">
        <v>2</v>
      </c>
      <c r="G826" s="502">
        <f t="shared" ref="G826:G830" si="498">+ROUND(2450/D826+1,0)</f>
        <v>26</v>
      </c>
      <c r="H826" s="503"/>
      <c r="I826" s="503">
        <f>2*(0.18+0.683)+24*C826/1000</f>
        <v>1.9179999999999999</v>
      </c>
      <c r="J826" s="509"/>
      <c r="K826" s="509"/>
      <c r="L826" s="503">
        <f t="shared" si="497"/>
        <v>1.9179999999999999</v>
      </c>
      <c r="M826" s="503">
        <f t="shared" si="472"/>
        <v>199.47</v>
      </c>
      <c r="N826" s="503">
        <f t="shared" si="386"/>
        <v>0</v>
      </c>
      <c r="O826" s="503">
        <f t="shared" si="387"/>
        <v>0</v>
      </c>
      <c r="P826" s="503">
        <f t="shared" si="388"/>
        <v>0</v>
      </c>
      <c r="Q826" s="503">
        <f t="shared" si="389"/>
        <v>0</v>
      </c>
      <c r="R826" s="503">
        <f t="shared" si="390"/>
        <v>0</v>
      </c>
    </row>
    <row r="827" spans="1:18">
      <c r="A827" s="505"/>
      <c r="B827" s="511" t="s">
        <v>821</v>
      </c>
      <c r="C827" s="507">
        <v>8</v>
      </c>
      <c r="D827" s="508">
        <v>100</v>
      </c>
      <c r="E827" s="507">
        <v>2</v>
      </c>
      <c r="F827" s="502">
        <f>2*2</f>
        <v>4</v>
      </c>
      <c r="G827" s="502">
        <f t="shared" si="498"/>
        <v>26</v>
      </c>
      <c r="H827" s="503"/>
      <c r="I827" s="503">
        <f>2*(0.18+0.124)+24*C827/1000</f>
        <v>0.8</v>
      </c>
      <c r="J827" s="509"/>
      <c r="K827" s="509"/>
      <c r="L827" s="503">
        <f t="shared" si="497"/>
        <v>0.8</v>
      </c>
      <c r="M827" s="503">
        <f t="shared" si="472"/>
        <v>166.4</v>
      </c>
      <c r="N827" s="503">
        <f t="shared" si="386"/>
        <v>0</v>
      </c>
      <c r="O827" s="503">
        <f t="shared" si="387"/>
        <v>0</v>
      </c>
      <c r="P827" s="503">
        <f t="shared" si="388"/>
        <v>0</v>
      </c>
      <c r="Q827" s="503">
        <f t="shared" si="389"/>
        <v>0</v>
      </c>
      <c r="R827" s="503">
        <f t="shared" si="390"/>
        <v>0</v>
      </c>
    </row>
    <row r="828" spans="1:18">
      <c r="A828" s="505"/>
      <c r="B828" s="511" t="s">
        <v>798</v>
      </c>
      <c r="C828" s="507">
        <v>8</v>
      </c>
      <c r="D828" s="508">
        <v>100</v>
      </c>
      <c r="E828" s="507">
        <v>2</v>
      </c>
      <c r="F828" s="502">
        <v>2</v>
      </c>
      <c r="G828" s="502">
        <f t="shared" si="498"/>
        <v>26</v>
      </c>
      <c r="H828" s="503"/>
      <c r="I828" s="503">
        <f>0.18+(20*C828/1000)</f>
        <v>0.33999999999999997</v>
      </c>
      <c r="J828" s="509"/>
      <c r="K828" s="509"/>
      <c r="L828" s="503">
        <f t="shared" si="497"/>
        <v>0.33999999999999997</v>
      </c>
      <c r="M828" s="503">
        <f t="shared" si="472"/>
        <v>35.36</v>
      </c>
      <c r="N828" s="503">
        <f t="shared" si="386"/>
        <v>0</v>
      </c>
      <c r="O828" s="503">
        <f t="shared" si="387"/>
        <v>0</v>
      </c>
      <c r="P828" s="503">
        <f t="shared" si="388"/>
        <v>0</v>
      </c>
      <c r="Q828" s="503">
        <f t="shared" si="389"/>
        <v>0</v>
      </c>
      <c r="R828" s="503">
        <f t="shared" si="390"/>
        <v>0</v>
      </c>
    </row>
    <row r="829" spans="1:18">
      <c r="A829" s="505"/>
      <c r="B829" s="511" t="s">
        <v>861</v>
      </c>
      <c r="C829" s="507">
        <v>8</v>
      </c>
      <c r="D829" s="508">
        <v>200</v>
      </c>
      <c r="E829" s="507">
        <v>2</v>
      </c>
      <c r="F829" s="502">
        <v>1</v>
      </c>
      <c r="G829" s="502">
        <f t="shared" si="498"/>
        <v>13</v>
      </c>
      <c r="H829" s="503"/>
      <c r="I829" s="503">
        <f>2*(0.18+2.681)+24*C829/1000</f>
        <v>5.9140000000000006</v>
      </c>
      <c r="J829" s="509"/>
      <c r="K829" s="509"/>
      <c r="L829" s="503">
        <f t="shared" si="497"/>
        <v>5.9140000000000006</v>
      </c>
      <c r="M829" s="503">
        <f t="shared" si="472"/>
        <v>153.76</v>
      </c>
      <c r="N829" s="503">
        <f t="shared" si="386"/>
        <v>0</v>
      </c>
      <c r="O829" s="503">
        <f t="shared" si="387"/>
        <v>0</v>
      </c>
      <c r="P829" s="503">
        <f t="shared" si="388"/>
        <v>0</v>
      </c>
      <c r="Q829" s="503">
        <f t="shared" si="389"/>
        <v>0</v>
      </c>
      <c r="R829" s="503">
        <f t="shared" si="390"/>
        <v>0</v>
      </c>
    </row>
    <row r="830" spans="1:18">
      <c r="A830" s="505"/>
      <c r="B830" s="511" t="s">
        <v>799</v>
      </c>
      <c r="C830" s="507">
        <v>8</v>
      </c>
      <c r="D830" s="508">
        <v>400</v>
      </c>
      <c r="E830" s="507">
        <v>2</v>
      </c>
      <c r="F830" s="502">
        <v>6</v>
      </c>
      <c r="G830" s="502">
        <f t="shared" si="498"/>
        <v>7</v>
      </c>
      <c r="H830" s="503"/>
      <c r="I830" s="503">
        <f>0.18+(20*C830/1000)</f>
        <v>0.33999999999999997</v>
      </c>
      <c r="J830" s="509"/>
      <c r="K830" s="509"/>
      <c r="L830" s="503">
        <f t="shared" ref="L830" si="499">SUM(H830:J830)+K830</f>
        <v>0.33999999999999997</v>
      </c>
      <c r="M830" s="503">
        <f t="shared" si="472"/>
        <v>28.56</v>
      </c>
      <c r="N830" s="503">
        <f t="shared" si="386"/>
        <v>0</v>
      </c>
      <c r="O830" s="503">
        <f t="shared" si="387"/>
        <v>0</v>
      </c>
      <c r="P830" s="503">
        <f t="shared" si="388"/>
        <v>0</v>
      </c>
      <c r="Q830" s="503">
        <f t="shared" si="389"/>
        <v>0</v>
      </c>
      <c r="R830" s="503">
        <f t="shared" si="390"/>
        <v>0</v>
      </c>
    </row>
    <row r="831" spans="1:18">
      <c r="A831" s="505"/>
      <c r="B831" s="506" t="s">
        <v>823</v>
      </c>
      <c r="C831" s="507">
        <v>16</v>
      </c>
      <c r="D831" s="508"/>
      <c r="E831" s="507">
        <v>2</v>
      </c>
      <c r="F831" s="502">
        <v>1</v>
      </c>
      <c r="G831" s="502">
        <v>8</v>
      </c>
      <c r="H831" s="503"/>
      <c r="I831" s="503">
        <f t="shared" ref="I831:I833" si="500">106.2-103.25</f>
        <v>2.9500000000000028</v>
      </c>
      <c r="J831" s="509"/>
      <c r="K831" s="509">
        <f t="shared" ref="K831:K833" si="501">1*36*C831/1000</f>
        <v>0.57599999999999996</v>
      </c>
      <c r="L831" s="503">
        <f t="shared" ref="L831:L848" si="502">SUM(H831:J831)+K831</f>
        <v>3.5260000000000029</v>
      </c>
      <c r="M831" s="503">
        <f t="shared" si="472"/>
        <v>0</v>
      </c>
      <c r="N831" s="503">
        <f t="shared" si="386"/>
        <v>0</v>
      </c>
      <c r="O831" s="503">
        <f t="shared" si="387"/>
        <v>0</v>
      </c>
      <c r="P831" s="503">
        <f t="shared" si="388"/>
        <v>56.42</v>
      </c>
      <c r="Q831" s="503">
        <f t="shared" si="389"/>
        <v>0</v>
      </c>
      <c r="R831" s="503">
        <f t="shared" si="390"/>
        <v>0</v>
      </c>
    </row>
    <row r="832" spans="1:18">
      <c r="A832" s="505"/>
      <c r="B832" s="511"/>
      <c r="C832" s="507">
        <v>12</v>
      </c>
      <c r="D832" s="508"/>
      <c r="E832" s="507">
        <v>2</v>
      </c>
      <c r="F832" s="502">
        <v>1</v>
      </c>
      <c r="G832" s="502">
        <v>16</v>
      </c>
      <c r="H832" s="503"/>
      <c r="I832" s="503">
        <f t="shared" si="500"/>
        <v>2.9500000000000028</v>
      </c>
      <c r="J832" s="509"/>
      <c r="K832" s="509">
        <f t="shared" si="501"/>
        <v>0.432</v>
      </c>
      <c r="L832" s="503">
        <f t="shared" si="502"/>
        <v>3.3820000000000028</v>
      </c>
      <c r="M832" s="503">
        <f t="shared" si="472"/>
        <v>0</v>
      </c>
      <c r="N832" s="503">
        <f t="shared" si="386"/>
        <v>0</v>
      </c>
      <c r="O832" s="503">
        <f t="shared" si="387"/>
        <v>108.22</v>
      </c>
      <c r="P832" s="503">
        <f t="shared" si="388"/>
        <v>0</v>
      </c>
      <c r="Q832" s="503">
        <f t="shared" si="389"/>
        <v>0</v>
      </c>
      <c r="R832" s="503">
        <f t="shared" si="390"/>
        <v>0</v>
      </c>
    </row>
    <row r="833" spans="1:18">
      <c r="A833" s="505"/>
      <c r="B833" s="511"/>
      <c r="C833" s="507">
        <v>10</v>
      </c>
      <c r="D833" s="508"/>
      <c r="E833" s="507">
        <v>2</v>
      </c>
      <c r="F833" s="502">
        <v>1</v>
      </c>
      <c r="G833" s="502">
        <v>6</v>
      </c>
      <c r="H833" s="503"/>
      <c r="I833" s="503">
        <f t="shared" si="500"/>
        <v>2.9500000000000028</v>
      </c>
      <c r="J833" s="509"/>
      <c r="K833" s="509">
        <f t="shared" si="501"/>
        <v>0.36</v>
      </c>
      <c r="L833" s="503">
        <f t="shared" si="502"/>
        <v>3.3100000000000027</v>
      </c>
      <c r="M833" s="503">
        <f t="shared" si="472"/>
        <v>0</v>
      </c>
      <c r="N833" s="503">
        <f t="shared" si="386"/>
        <v>39.72</v>
      </c>
      <c r="O833" s="503">
        <f t="shared" si="387"/>
        <v>0</v>
      </c>
      <c r="P833" s="503">
        <f t="shared" si="388"/>
        <v>0</v>
      </c>
      <c r="Q833" s="503">
        <f t="shared" si="389"/>
        <v>0</v>
      </c>
      <c r="R833" s="503">
        <f t="shared" si="390"/>
        <v>0</v>
      </c>
    </row>
    <row r="834" spans="1:18">
      <c r="A834" s="505"/>
      <c r="B834" s="511" t="s">
        <v>797</v>
      </c>
      <c r="C834" s="507"/>
      <c r="D834" s="508"/>
      <c r="E834" s="507"/>
      <c r="F834" s="502"/>
      <c r="G834" s="502"/>
      <c r="H834" s="503"/>
      <c r="I834" s="503"/>
      <c r="J834" s="509"/>
      <c r="K834" s="509"/>
      <c r="L834" s="503">
        <f t="shared" si="502"/>
        <v>0</v>
      </c>
      <c r="M834" s="503">
        <f t="shared" si="472"/>
        <v>0</v>
      </c>
      <c r="N834" s="503">
        <f t="shared" si="386"/>
        <v>0</v>
      </c>
      <c r="O834" s="503">
        <f t="shared" si="387"/>
        <v>0</v>
      </c>
      <c r="P834" s="503">
        <f t="shared" si="388"/>
        <v>0</v>
      </c>
      <c r="Q834" s="503">
        <f t="shared" si="389"/>
        <v>0</v>
      </c>
      <c r="R834" s="503">
        <f t="shared" si="390"/>
        <v>0</v>
      </c>
    </row>
    <row r="835" spans="1:18">
      <c r="A835" s="505"/>
      <c r="B835" s="511" t="s">
        <v>810</v>
      </c>
      <c r="C835" s="507">
        <v>8</v>
      </c>
      <c r="D835" s="508">
        <v>100</v>
      </c>
      <c r="E835" s="507">
        <v>2</v>
      </c>
      <c r="F835" s="502">
        <v>1</v>
      </c>
      <c r="G835" s="502">
        <f t="shared" ref="G835:G842" si="503">+ROUND(2450/D835+1,0)</f>
        <v>26</v>
      </c>
      <c r="H835" s="503"/>
      <c r="I835" s="503">
        <f>2*(0.18+0.6)+24*C835/1000</f>
        <v>1.752</v>
      </c>
      <c r="J835" s="509"/>
      <c r="K835" s="509"/>
      <c r="L835" s="503">
        <f t="shared" si="502"/>
        <v>1.752</v>
      </c>
      <c r="M835" s="503">
        <f t="shared" si="472"/>
        <v>91.1</v>
      </c>
      <c r="N835" s="503">
        <f t="shared" si="386"/>
        <v>0</v>
      </c>
      <c r="O835" s="503">
        <f t="shared" si="387"/>
        <v>0</v>
      </c>
      <c r="P835" s="503">
        <f t="shared" si="388"/>
        <v>0</v>
      </c>
      <c r="Q835" s="503">
        <f t="shared" si="389"/>
        <v>0</v>
      </c>
      <c r="R835" s="503">
        <f t="shared" si="390"/>
        <v>0</v>
      </c>
    </row>
    <row r="836" spans="1:18">
      <c r="A836" s="505"/>
      <c r="B836" s="511" t="s">
        <v>811</v>
      </c>
      <c r="C836" s="507">
        <v>8</v>
      </c>
      <c r="D836" s="508">
        <v>100</v>
      </c>
      <c r="E836" s="507">
        <v>2</v>
      </c>
      <c r="F836" s="502">
        <v>1</v>
      </c>
      <c r="G836" s="502">
        <f t="shared" si="503"/>
        <v>26</v>
      </c>
      <c r="H836" s="503"/>
      <c r="I836" s="503">
        <f>2*(0.18+0.248)+24*C836/1000</f>
        <v>1.048</v>
      </c>
      <c r="J836" s="509"/>
      <c r="K836" s="509"/>
      <c r="L836" s="503">
        <f t="shared" si="502"/>
        <v>1.048</v>
      </c>
      <c r="M836" s="503">
        <f t="shared" si="472"/>
        <v>54.5</v>
      </c>
      <c r="N836" s="503">
        <f t="shared" si="386"/>
        <v>0</v>
      </c>
      <c r="O836" s="503">
        <f t="shared" si="387"/>
        <v>0</v>
      </c>
      <c r="P836" s="503">
        <f t="shared" si="388"/>
        <v>0</v>
      </c>
      <c r="Q836" s="503">
        <f t="shared" si="389"/>
        <v>0</v>
      </c>
      <c r="R836" s="503">
        <f t="shared" si="390"/>
        <v>0</v>
      </c>
    </row>
    <row r="837" spans="1:18">
      <c r="A837" s="505"/>
      <c r="B837" s="511" t="s">
        <v>798</v>
      </c>
      <c r="C837" s="507">
        <v>8</v>
      </c>
      <c r="D837" s="508">
        <v>100</v>
      </c>
      <c r="E837" s="507">
        <v>2</v>
      </c>
      <c r="F837" s="502">
        <v>1</v>
      </c>
      <c r="G837" s="502">
        <f t="shared" si="503"/>
        <v>26</v>
      </c>
      <c r="H837" s="503"/>
      <c r="I837" s="503">
        <f>0.18+(20*C837/1000)</f>
        <v>0.33999999999999997</v>
      </c>
      <c r="J837" s="509"/>
      <c r="K837" s="509"/>
      <c r="L837" s="503">
        <f t="shared" si="502"/>
        <v>0.33999999999999997</v>
      </c>
      <c r="M837" s="503">
        <f t="shared" si="472"/>
        <v>17.68</v>
      </c>
      <c r="N837" s="503">
        <f t="shared" si="386"/>
        <v>0</v>
      </c>
      <c r="O837" s="503">
        <f t="shared" si="387"/>
        <v>0</v>
      </c>
      <c r="P837" s="503">
        <f t="shared" si="388"/>
        <v>0</v>
      </c>
      <c r="Q837" s="503">
        <f t="shared" si="389"/>
        <v>0</v>
      </c>
      <c r="R837" s="503">
        <f t="shared" si="390"/>
        <v>0</v>
      </c>
    </row>
    <row r="838" spans="1:18">
      <c r="A838" s="505"/>
      <c r="B838" s="511" t="s">
        <v>812</v>
      </c>
      <c r="C838" s="507">
        <v>8</v>
      </c>
      <c r="D838" s="508">
        <v>100</v>
      </c>
      <c r="E838" s="507">
        <v>2</v>
      </c>
      <c r="F838" s="502">
        <v>2</v>
      </c>
      <c r="G838" s="502">
        <f t="shared" si="503"/>
        <v>26</v>
      </c>
      <c r="H838" s="503"/>
      <c r="I838" s="503">
        <f>2*(0.18+0.385)+24*C838/1000</f>
        <v>1.3219999999999998</v>
      </c>
      <c r="J838" s="509"/>
      <c r="K838" s="509"/>
      <c r="L838" s="503">
        <f t="shared" si="502"/>
        <v>1.3219999999999998</v>
      </c>
      <c r="M838" s="503">
        <f t="shared" si="472"/>
        <v>137.49</v>
      </c>
      <c r="N838" s="503">
        <f t="shared" si="386"/>
        <v>0</v>
      </c>
      <c r="O838" s="503">
        <f t="shared" si="387"/>
        <v>0</v>
      </c>
      <c r="P838" s="503">
        <f t="shared" si="388"/>
        <v>0</v>
      </c>
      <c r="Q838" s="503">
        <f t="shared" si="389"/>
        <v>0</v>
      </c>
      <c r="R838" s="503">
        <f t="shared" si="390"/>
        <v>0</v>
      </c>
    </row>
    <row r="839" spans="1:18">
      <c r="A839" s="505"/>
      <c r="B839" s="511" t="s">
        <v>813</v>
      </c>
      <c r="C839" s="507">
        <v>8</v>
      </c>
      <c r="D839" s="508">
        <v>100</v>
      </c>
      <c r="E839" s="507">
        <v>2</v>
      </c>
      <c r="F839" s="502">
        <v>1</v>
      </c>
      <c r="G839" s="502">
        <f t="shared" si="503"/>
        <v>26</v>
      </c>
      <c r="H839" s="503"/>
      <c r="I839" s="503">
        <f>2*(0.18+0.268)+24*C839/1000</f>
        <v>1.0880000000000001</v>
      </c>
      <c r="J839" s="509"/>
      <c r="K839" s="509"/>
      <c r="L839" s="503">
        <f t="shared" si="502"/>
        <v>1.0880000000000001</v>
      </c>
      <c r="M839" s="503">
        <f t="shared" si="472"/>
        <v>56.58</v>
      </c>
      <c r="N839" s="503">
        <f t="shared" si="386"/>
        <v>0</v>
      </c>
      <c r="O839" s="503">
        <f t="shared" si="387"/>
        <v>0</v>
      </c>
      <c r="P839" s="503">
        <f t="shared" si="388"/>
        <v>0</v>
      </c>
      <c r="Q839" s="503">
        <f t="shared" si="389"/>
        <v>0</v>
      </c>
      <c r="R839" s="503">
        <f t="shared" si="390"/>
        <v>0</v>
      </c>
    </row>
    <row r="840" spans="1:18">
      <c r="A840" s="505"/>
      <c r="B840" s="511" t="s">
        <v>798</v>
      </c>
      <c r="C840" s="507">
        <v>8</v>
      </c>
      <c r="D840" s="508">
        <v>100</v>
      </c>
      <c r="E840" s="507">
        <v>2</v>
      </c>
      <c r="F840" s="502">
        <v>1</v>
      </c>
      <c r="G840" s="502">
        <f t="shared" si="503"/>
        <v>26</v>
      </c>
      <c r="H840" s="503"/>
      <c r="I840" s="503">
        <f>0.18+(20*C840/1000)</f>
        <v>0.33999999999999997</v>
      </c>
      <c r="J840" s="509"/>
      <c r="K840" s="509"/>
      <c r="L840" s="503">
        <f t="shared" si="502"/>
        <v>0.33999999999999997</v>
      </c>
      <c r="M840" s="503">
        <f t="shared" si="472"/>
        <v>17.68</v>
      </c>
      <c r="N840" s="503">
        <f t="shared" si="386"/>
        <v>0</v>
      </c>
      <c r="O840" s="503">
        <f t="shared" si="387"/>
        <v>0</v>
      </c>
      <c r="P840" s="503">
        <f t="shared" si="388"/>
        <v>0</v>
      </c>
      <c r="Q840" s="503">
        <f t="shared" si="389"/>
        <v>0</v>
      </c>
      <c r="R840" s="503">
        <f t="shared" si="390"/>
        <v>0</v>
      </c>
    </row>
    <row r="841" spans="1:18">
      <c r="A841" s="505"/>
      <c r="B841" s="511" t="s">
        <v>824</v>
      </c>
      <c r="C841" s="507">
        <v>8</v>
      </c>
      <c r="D841" s="508">
        <v>200</v>
      </c>
      <c r="E841" s="507">
        <v>2</v>
      </c>
      <c r="F841" s="502">
        <v>1</v>
      </c>
      <c r="G841" s="502">
        <f t="shared" si="503"/>
        <v>13</v>
      </c>
      <c r="H841" s="503"/>
      <c r="I841" s="503">
        <f>2*(0.18+0.751)+24*C841/1000</f>
        <v>2.0540000000000003</v>
      </c>
      <c r="J841" s="509"/>
      <c r="K841" s="509"/>
      <c r="L841" s="503">
        <f t="shared" si="502"/>
        <v>2.0540000000000003</v>
      </c>
      <c r="M841" s="503">
        <f t="shared" si="472"/>
        <v>53.4</v>
      </c>
      <c r="N841" s="503">
        <f t="shared" si="386"/>
        <v>0</v>
      </c>
      <c r="O841" s="503">
        <f t="shared" si="387"/>
        <v>0</v>
      </c>
      <c r="P841" s="503">
        <f t="shared" si="388"/>
        <v>0</v>
      </c>
      <c r="Q841" s="503">
        <f t="shared" si="389"/>
        <v>0</v>
      </c>
      <c r="R841" s="503">
        <f t="shared" si="390"/>
        <v>0</v>
      </c>
    </row>
    <row r="842" spans="1:18">
      <c r="A842" s="505"/>
      <c r="B842" s="511" t="s">
        <v>799</v>
      </c>
      <c r="C842" s="507">
        <v>8</v>
      </c>
      <c r="D842" s="508">
        <v>400</v>
      </c>
      <c r="E842" s="507">
        <v>2</v>
      </c>
      <c r="F842" s="502">
        <v>1</v>
      </c>
      <c r="G842" s="502">
        <f t="shared" si="503"/>
        <v>7</v>
      </c>
      <c r="H842" s="503"/>
      <c r="I842" s="503">
        <f>0.18+(20*C842/1000)</f>
        <v>0.33999999999999997</v>
      </c>
      <c r="J842" s="509"/>
      <c r="K842" s="509"/>
      <c r="L842" s="503">
        <f t="shared" si="502"/>
        <v>0.33999999999999997</v>
      </c>
      <c r="M842" s="503">
        <f t="shared" si="472"/>
        <v>4.76</v>
      </c>
      <c r="N842" s="503">
        <f t="shared" si="386"/>
        <v>0</v>
      </c>
      <c r="O842" s="503">
        <f t="shared" si="387"/>
        <v>0</v>
      </c>
      <c r="P842" s="503">
        <f t="shared" si="388"/>
        <v>0</v>
      </c>
      <c r="Q842" s="503">
        <f t="shared" si="389"/>
        <v>0</v>
      </c>
      <c r="R842" s="503">
        <f t="shared" si="390"/>
        <v>0</v>
      </c>
    </row>
    <row r="843" spans="1:18">
      <c r="A843" s="505"/>
      <c r="B843" s="506" t="s">
        <v>862</v>
      </c>
      <c r="C843" s="507">
        <v>16</v>
      </c>
      <c r="D843" s="508"/>
      <c r="E843" s="507">
        <v>2</v>
      </c>
      <c r="F843" s="502">
        <v>1</v>
      </c>
      <c r="G843" s="502">
        <v>8</v>
      </c>
      <c r="H843" s="503"/>
      <c r="I843" s="503">
        <f t="shared" ref="I843:I845" si="504">106.2-103.25</f>
        <v>2.9500000000000028</v>
      </c>
      <c r="J843" s="509"/>
      <c r="K843" s="509">
        <f t="shared" ref="K843:K845" si="505">1*36*C843/1000</f>
        <v>0.57599999999999996</v>
      </c>
      <c r="L843" s="503">
        <f t="shared" si="502"/>
        <v>3.5260000000000029</v>
      </c>
      <c r="M843" s="503">
        <f t="shared" si="472"/>
        <v>0</v>
      </c>
      <c r="N843" s="503">
        <f t="shared" si="386"/>
        <v>0</v>
      </c>
      <c r="O843" s="503">
        <f t="shared" si="387"/>
        <v>0</v>
      </c>
      <c r="P843" s="503">
        <f t="shared" si="388"/>
        <v>56.42</v>
      </c>
      <c r="Q843" s="503">
        <f t="shared" si="389"/>
        <v>0</v>
      </c>
      <c r="R843" s="503">
        <f t="shared" si="390"/>
        <v>0</v>
      </c>
    </row>
    <row r="844" spans="1:18">
      <c r="A844" s="505"/>
      <c r="B844" s="506"/>
      <c r="C844" s="507">
        <v>12</v>
      </c>
      <c r="D844" s="508"/>
      <c r="E844" s="507">
        <v>2</v>
      </c>
      <c r="F844" s="502">
        <v>1</v>
      </c>
      <c r="G844" s="502">
        <v>8</v>
      </c>
      <c r="H844" s="503"/>
      <c r="I844" s="503">
        <f t="shared" si="504"/>
        <v>2.9500000000000028</v>
      </c>
      <c r="J844" s="509"/>
      <c r="K844" s="509">
        <f t="shared" si="505"/>
        <v>0.432</v>
      </c>
      <c r="L844" s="503">
        <f t="shared" si="502"/>
        <v>3.3820000000000028</v>
      </c>
      <c r="M844" s="503">
        <f t="shared" si="472"/>
        <v>0</v>
      </c>
      <c r="N844" s="503">
        <f t="shared" si="386"/>
        <v>0</v>
      </c>
      <c r="O844" s="503">
        <f t="shared" si="387"/>
        <v>54.11</v>
      </c>
      <c r="P844" s="503">
        <f t="shared" si="388"/>
        <v>0</v>
      </c>
      <c r="Q844" s="503">
        <f t="shared" si="389"/>
        <v>0</v>
      </c>
      <c r="R844" s="503">
        <f t="shared" si="390"/>
        <v>0</v>
      </c>
    </row>
    <row r="845" spans="1:18">
      <c r="A845" s="505"/>
      <c r="B845" s="506"/>
      <c r="C845" s="507">
        <v>10</v>
      </c>
      <c r="D845" s="508"/>
      <c r="E845" s="507">
        <v>2</v>
      </c>
      <c r="F845" s="502">
        <v>1</v>
      </c>
      <c r="G845" s="502">
        <v>26</v>
      </c>
      <c r="H845" s="503"/>
      <c r="I845" s="503">
        <f t="shared" si="504"/>
        <v>2.9500000000000028</v>
      </c>
      <c r="J845" s="509"/>
      <c r="K845" s="509">
        <f t="shared" si="505"/>
        <v>0.36</v>
      </c>
      <c r="L845" s="503">
        <f t="shared" si="502"/>
        <v>3.3100000000000027</v>
      </c>
      <c r="M845" s="503">
        <f t="shared" si="472"/>
        <v>0</v>
      </c>
      <c r="N845" s="503">
        <f t="shared" si="386"/>
        <v>172.12</v>
      </c>
      <c r="O845" s="503">
        <f t="shared" si="387"/>
        <v>0</v>
      </c>
      <c r="P845" s="503">
        <f t="shared" si="388"/>
        <v>0</v>
      </c>
      <c r="Q845" s="503">
        <f t="shared" si="389"/>
        <v>0</v>
      </c>
      <c r="R845" s="503">
        <f t="shared" si="390"/>
        <v>0</v>
      </c>
    </row>
    <row r="846" spans="1:18">
      <c r="A846" s="505"/>
      <c r="B846" s="511" t="s">
        <v>797</v>
      </c>
      <c r="C846" s="507"/>
      <c r="D846" s="508"/>
      <c r="E846" s="507"/>
      <c r="F846" s="502"/>
      <c r="G846" s="502"/>
      <c r="H846" s="503"/>
      <c r="I846" s="503"/>
      <c r="J846" s="509"/>
      <c r="K846" s="509"/>
      <c r="L846" s="503">
        <f t="shared" si="502"/>
        <v>0</v>
      </c>
      <c r="M846" s="503">
        <f t="shared" si="472"/>
        <v>0</v>
      </c>
      <c r="N846" s="503">
        <f t="shared" si="386"/>
        <v>0</v>
      </c>
      <c r="O846" s="503">
        <f t="shared" si="387"/>
        <v>0</v>
      </c>
      <c r="P846" s="503">
        <f t="shared" si="388"/>
        <v>0</v>
      </c>
      <c r="Q846" s="503">
        <f t="shared" si="389"/>
        <v>0</v>
      </c>
      <c r="R846" s="503">
        <f t="shared" si="390"/>
        <v>0</v>
      </c>
    </row>
    <row r="847" spans="1:18">
      <c r="A847" s="505"/>
      <c r="B847" s="511" t="s">
        <v>863</v>
      </c>
      <c r="C847" s="507">
        <v>8</v>
      </c>
      <c r="D847" s="508">
        <v>100</v>
      </c>
      <c r="E847" s="507">
        <v>2</v>
      </c>
      <c r="F847" s="502">
        <v>2</v>
      </c>
      <c r="G847" s="502">
        <f t="shared" ref="G847:G850" si="506">+ROUND(2450/D847+1,0)</f>
        <v>26</v>
      </c>
      <c r="H847" s="503"/>
      <c r="I847" s="503">
        <f>2*(0.14+0.383)+24*C847/1000</f>
        <v>1.238</v>
      </c>
      <c r="J847" s="509"/>
      <c r="K847" s="509"/>
      <c r="L847" s="503">
        <f t="shared" si="502"/>
        <v>1.238</v>
      </c>
      <c r="M847" s="503">
        <f t="shared" si="472"/>
        <v>128.75</v>
      </c>
      <c r="N847" s="503">
        <f t="shared" si="386"/>
        <v>0</v>
      </c>
      <c r="O847" s="503">
        <f t="shared" si="387"/>
        <v>0</v>
      </c>
      <c r="P847" s="503">
        <f t="shared" si="388"/>
        <v>0</v>
      </c>
      <c r="Q847" s="503">
        <f t="shared" si="389"/>
        <v>0</v>
      </c>
      <c r="R847" s="503">
        <f t="shared" si="390"/>
        <v>0</v>
      </c>
    </row>
    <row r="848" spans="1:18">
      <c r="A848" s="505"/>
      <c r="B848" s="511" t="s">
        <v>827</v>
      </c>
      <c r="C848" s="507">
        <v>8</v>
      </c>
      <c r="D848" s="508">
        <v>100</v>
      </c>
      <c r="E848" s="507">
        <v>2</v>
      </c>
      <c r="F848" s="502">
        <v>2</v>
      </c>
      <c r="G848" s="502">
        <f t="shared" si="506"/>
        <v>26</v>
      </c>
      <c r="H848" s="503"/>
      <c r="I848" s="503">
        <f>2*(0.14+0.133)+24*C848/1000</f>
        <v>0.73799999999999999</v>
      </c>
      <c r="J848" s="509"/>
      <c r="K848" s="509"/>
      <c r="L848" s="503">
        <f t="shared" si="502"/>
        <v>0.73799999999999999</v>
      </c>
      <c r="M848" s="503">
        <f t="shared" si="472"/>
        <v>76.75</v>
      </c>
      <c r="N848" s="503">
        <f t="shared" si="386"/>
        <v>0</v>
      </c>
      <c r="O848" s="503">
        <f t="shared" si="387"/>
        <v>0</v>
      </c>
      <c r="P848" s="503">
        <f t="shared" si="388"/>
        <v>0</v>
      </c>
      <c r="Q848" s="503">
        <f t="shared" si="389"/>
        <v>0</v>
      </c>
      <c r="R848" s="503">
        <f t="shared" si="390"/>
        <v>0</v>
      </c>
    </row>
    <row r="849" spans="1:19">
      <c r="A849" s="505"/>
      <c r="B849" s="511" t="s">
        <v>864</v>
      </c>
      <c r="C849" s="507">
        <v>8</v>
      </c>
      <c r="D849" s="508">
        <v>200</v>
      </c>
      <c r="E849" s="507">
        <v>2</v>
      </c>
      <c r="F849" s="502">
        <v>1</v>
      </c>
      <c r="G849" s="502">
        <f t="shared" si="506"/>
        <v>13</v>
      </c>
      <c r="H849" s="503"/>
      <c r="I849" s="503">
        <f>2*(0.14+2.661)+24*C849/1000</f>
        <v>5.7940000000000005</v>
      </c>
      <c r="J849" s="509"/>
      <c r="K849" s="509"/>
      <c r="L849" s="503">
        <f t="shared" ref="L849:L850" si="507">SUM(H849:J849)+K849</f>
        <v>5.7940000000000005</v>
      </c>
      <c r="M849" s="503">
        <f t="shared" si="472"/>
        <v>150.63999999999999</v>
      </c>
      <c r="N849" s="503">
        <f t="shared" si="386"/>
        <v>0</v>
      </c>
      <c r="O849" s="503">
        <f t="shared" si="387"/>
        <v>0</v>
      </c>
      <c r="P849" s="503">
        <f t="shared" si="388"/>
        <v>0</v>
      </c>
      <c r="Q849" s="503">
        <f t="shared" si="389"/>
        <v>0</v>
      </c>
      <c r="R849" s="503">
        <f t="shared" si="390"/>
        <v>0</v>
      </c>
    </row>
    <row r="850" spans="1:19">
      <c r="A850" s="505"/>
      <c r="B850" s="511" t="s">
        <v>799</v>
      </c>
      <c r="C850" s="507">
        <v>8</v>
      </c>
      <c r="D850" s="508">
        <v>400</v>
      </c>
      <c r="E850" s="507">
        <v>2</v>
      </c>
      <c r="F850" s="502">
        <v>6</v>
      </c>
      <c r="G850" s="502">
        <f t="shared" si="506"/>
        <v>7</v>
      </c>
      <c r="H850" s="503"/>
      <c r="I850" s="503">
        <f>0.14+(20*C850/1000)</f>
        <v>0.30000000000000004</v>
      </c>
      <c r="J850" s="509"/>
      <c r="K850" s="509"/>
      <c r="L850" s="503">
        <f t="shared" si="507"/>
        <v>0.30000000000000004</v>
      </c>
      <c r="M850" s="503">
        <f t="shared" si="472"/>
        <v>25.2</v>
      </c>
      <c r="N850" s="503">
        <f t="shared" si="386"/>
        <v>0</v>
      </c>
      <c r="O850" s="503">
        <f t="shared" si="387"/>
        <v>0</v>
      </c>
      <c r="P850" s="503">
        <f t="shared" si="388"/>
        <v>0</v>
      </c>
      <c r="Q850" s="503">
        <f t="shared" si="389"/>
        <v>0</v>
      </c>
      <c r="R850" s="503">
        <f t="shared" si="390"/>
        <v>0</v>
      </c>
    </row>
    <row r="851" spans="1:19">
      <c r="A851" s="505"/>
      <c r="B851" s="511"/>
      <c r="C851" s="507"/>
      <c r="D851" s="508"/>
      <c r="E851" s="507"/>
      <c r="F851" s="502"/>
      <c r="G851" s="502"/>
      <c r="H851" s="503"/>
      <c r="I851" s="503"/>
      <c r="J851" s="509"/>
      <c r="K851" s="509"/>
      <c r="L851" s="503">
        <f t="shared" ref="L851" si="508">SUM(H851:J851)+K851</f>
        <v>0</v>
      </c>
      <c r="M851" s="503">
        <f t="shared" ref="M851" si="509">+ROUND(IF(C851=8,PRODUCT(E851,F851,G851,L851),0),2)</f>
        <v>0</v>
      </c>
      <c r="N851" s="503">
        <f t="shared" si="386"/>
        <v>0</v>
      </c>
      <c r="O851" s="503">
        <f t="shared" si="387"/>
        <v>0</v>
      </c>
      <c r="P851" s="503">
        <f t="shared" si="388"/>
        <v>0</v>
      </c>
      <c r="Q851" s="503">
        <f t="shared" si="389"/>
        <v>0</v>
      </c>
      <c r="R851" s="503">
        <f t="shared" si="390"/>
        <v>0</v>
      </c>
    </row>
    <row r="852" spans="1:19">
      <c r="A852" s="531"/>
      <c r="B852" s="506" t="s">
        <v>866</v>
      </c>
      <c r="C852" s="521"/>
      <c r="D852" s="522"/>
      <c r="E852" s="521"/>
      <c r="F852" s="523"/>
      <c r="G852" s="523"/>
      <c r="H852" s="524"/>
      <c r="I852" s="524"/>
      <c r="J852" s="524"/>
      <c r="K852" s="524"/>
      <c r="L852" s="524"/>
      <c r="M852" s="526">
        <f>SUM(M639:M851)*0.395</f>
        <v>4048.6196500000001</v>
      </c>
      <c r="N852" s="526">
        <f>SUM(N639:N851)*0.617</f>
        <v>5776.224430000002</v>
      </c>
      <c r="O852" s="526">
        <f>SUM(O639:O851)*0.889</f>
        <v>4137.0592900000001</v>
      </c>
      <c r="P852" s="526">
        <f>SUM(P639:P851)*1.58</f>
        <v>5147.7506000000012</v>
      </c>
      <c r="Q852" s="526">
        <f>SUM(Q639:Q851)*2.46</f>
        <v>288.9024</v>
      </c>
      <c r="R852" s="526">
        <f>SUM(R639:R851)*3.85</f>
        <v>0</v>
      </c>
      <c r="S852" s="527">
        <f>SUM(M852:R852)</f>
        <v>19398.556370000006</v>
      </c>
    </row>
    <row r="853" spans="1:19">
      <c r="A853" s="535"/>
      <c r="F853" s="536"/>
      <c r="G853" s="536"/>
      <c r="H853" s="535"/>
      <c r="I853" s="535"/>
      <c r="J853" s="535"/>
      <c r="K853" s="535"/>
      <c r="L853" s="535"/>
      <c r="M853" s="537"/>
      <c r="N853" s="535"/>
      <c r="O853" s="535"/>
      <c r="P853" s="535"/>
      <c r="Q853" s="535"/>
    </row>
    <row r="854" spans="1:19">
      <c r="A854" s="505"/>
      <c r="B854" s="506" t="s">
        <v>870</v>
      </c>
      <c r="C854" s="507"/>
      <c r="D854" s="508"/>
      <c r="E854" s="507"/>
      <c r="F854" s="502"/>
      <c r="G854" s="502"/>
      <c r="H854" s="503"/>
      <c r="I854" s="503"/>
      <c r="J854" s="509"/>
      <c r="K854" s="481"/>
      <c r="L854" s="503"/>
      <c r="M854" s="503"/>
      <c r="N854" s="503"/>
      <c r="O854" s="503"/>
      <c r="P854" s="503"/>
      <c r="Q854" s="503"/>
      <c r="R854" s="503"/>
    </row>
    <row r="855" spans="1:19">
      <c r="A855" s="505"/>
      <c r="B855" s="506" t="s">
        <v>786</v>
      </c>
      <c r="C855" s="507">
        <v>16</v>
      </c>
      <c r="D855" s="508"/>
      <c r="E855" s="507">
        <v>28</v>
      </c>
      <c r="F855" s="502">
        <v>1</v>
      </c>
      <c r="G855" s="502">
        <v>4</v>
      </c>
      <c r="H855" s="503"/>
      <c r="I855" s="503">
        <f>106.2-103.25</f>
        <v>2.9500000000000028</v>
      </c>
      <c r="J855" s="509"/>
      <c r="K855" s="509">
        <f t="shared" ref="K855:K856" si="510">1*36*C855/1000</f>
        <v>0.57599999999999996</v>
      </c>
      <c r="L855" s="503">
        <f>SUM(H855:J855)+K855</f>
        <v>3.5260000000000029</v>
      </c>
      <c r="M855" s="503">
        <f t="shared" ref="M855:M981" si="511">+ROUND(IF(C855=8,PRODUCT(E855,F855,G855,L855),0),2)</f>
        <v>0</v>
      </c>
      <c r="N855" s="503">
        <f t="shared" ref="N855:N1068" si="512">+ROUND(IF(C855=10,PRODUCT(E855,F855,G855,L855),0),2)</f>
        <v>0</v>
      </c>
      <c r="O855" s="503">
        <f t="shared" ref="O855:O1068" si="513">+ROUND(IF(C855=12,PRODUCT(E855,F855,G855,L855),0),2)</f>
        <v>0</v>
      </c>
      <c r="P855" s="503">
        <f t="shared" ref="P855:P1068" si="514">+ROUND(IF(C855=16,PRODUCT(E855,F855,G855,L855),0),2)</f>
        <v>394.91</v>
      </c>
      <c r="Q855" s="503">
        <f t="shared" ref="Q855:Q1068" si="515">+ROUND(IF(C855=20,PRODUCT(E855,F855,G855,L855),0),2)</f>
        <v>0</v>
      </c>
      <c r="R855" s="503">
        <f t="shared" ref="R855:R1068" si="516">+ROUND(IF(C855=25,PRODUCT(E855,F855,G855,L855),0),2)</f>
        <v>0</v>
      </c>
    </row>
    <row r="856" spans="1:19">
      <c r="A856" s="505"/>
      <c r="B856" s="511"/>
      <c r="C856" s="507">
        <v>12</v>
      </c>
      <c r="D856" s="508"/>
      <c r="E856" s="507">
        <f>+E855</f>
        <v>28</v>
      </c>
      <c r="F856" s="502">
        <v>1</v>
      </c>
      <c r="G856" s="502">
        <v>10</v>
      </c>
      <c r="H856" s="503"/>
      <c r="I856" s="503">
        <f>106.2-103.25</f>
        <v>2.9500000000000028</v>
      </c>
      <c r="J856" s="509"/>
      <c r="K856" s="509">
        <f t="shared" si="510"/>
        <v>0.432</v>
      </c>
      <c r="L856" s="503">
        <f t="shared" ref="L856:L883" si="517">SUM(H856:J856)+K856</f>
        <v>3.3820000000000028</v>
      </c>
      <c r="M856" s="503">
        <f t="shared" si="511"/>
        <v>0</v>
      </c>
      <c r="N856" s="503">
        <f t="shared" si="512"/>
        <v>0</v>
      </c>
      <c r="O856" s="503">
        <f t="shared" si="513"/>
        <v>946.96</v>
      </c>
      <c r="P856" s="503">
        <f t="shared" si="514"/>
        <v>0</v>
      </c>
      <c r="Q856" s="503">
        <f t="shared" si="515"/>
        <v>0</v>
      </c>
      <c r="R856" s="503">
        <f t="shared" si="516"/>
        <v>0</v>
      </c>
    </row>
    <row r="857" spans="1:19">
      <c r="A857" s="505"/>
      <c r="B857" s="511" t="s">
        <v>787</v>
      </c>
      <c r="C857" s="507">
        <v>10</v>
      </c>
      <c r="D857" s="508">
        <v>75</v>
      </c>
      <c r="E857" s="507">
        <f>+E856</f>
        <v>28</v>
      </c>
      <c r="F857" s="502">
        <v>2</v>
      </c>
      <c r="G857" s="502">
        <f>+ROUND(600/D857,0)</f>
        <v>8</v>
      </c>
      <c r="H857" s="503"/>
      <c r="I857" s="503">
        <f>2*(0.22+0.52)+24*0.01</f>
        <v>1.72</v>
      </c>
      <c r="J857" s="509"/>
      <c r="K857" s="509"/>
      <c r="L857" s="503">
        <f t="shared" si="517"/>
        <v>1.72</v>
      </c>
      <c r="M857" s="503">
        <f t="shared" si="511"/>
        <v>0</v>
      </c>
      <c r="N857" s="503">
        <f t="shared" si="512"/>
        <v>770.56</v>
      </c>
      <c r="O857" s="503">
        <f t="shared" si="513"/>
        <v>0</v>
      </c>
      <c r="P857" s="503">
        <f t="shared" si="514"/>
        <v>0</v>
      </c>
      <c r="Q857" s="503">
        <f t="shared" si="515"/>
        <v>0</v>
      </c>
      <c r="R857" s="503">
        <f t="shared" si="516"/>
        <v>0</v>
      </c>
    </row>
    <row r="858" spans="1:19">
      <c r="A858" s="505"/>
      <c r="B858" s="511"/>
      <c r="C858" s="507">
        <v>10</v>
      </c>
      <c r="D858" s="508">
        <v>75</v>
      </c>
      <c r="E858" s="507">
        <f t="shared" ref="E858:E862" si="518">+E857</f>
        <v>28</v>
      </c>
      <c r="F858" s="502">
        <v>2</v>
      </c>
      <c r="G858" s="502">
        <f t="shared" ref="G858:G859" si="519">+ROUND(600/D858,0)</f>
        <v>8</v>
      </c>
      <c r="H858" s="503"/>
      <c r="I858" s="503">
        <f>2*(0.22+0.115)+24*0.01</f>
        <v>0.91</v>
      </c>
      <c r="J858" s="509"/>
      <c r="K858" s="509"/>
      <c r="L858" s="503">
        <f t="shared" si="517"/>
        <v>0.91</v>
      </c>
      <c r="M858" s="503">
        <f t="shared" si="511"/>
        <v>0</v>
      </c>
      <c r="N858" s="503">
        <f t="shared" si="512"/>
        <v>407.68</v>
      </c>
      <c r="O858" s="503">
        <f t="shared" si="513"/>
        <v>0</v>
      </c>
      <c r="P858" s="503">
        <f t="shared" si="514"/>
        <v>0</v>
      </c>
      <c r="Q858" s="503">
        <f t="shared" si="515"/>
        <v>0</v>
      </c>
      <c r="R858" s="503">
        <f t="shared" si="516"/>
        <v>0</v>
      </c>
    </row>
    <row r="859" spans="1:19">
      <c r="A859" s="505"/>
      <c r="B859" s="511"/>
      <c r="C859" s="507">
        <v>10</v>
      </c>
      <c r="D859" s="508">
        <v>75</v>
      </c>
      <c r="E859" s="507">
        <f t="shared" si="518"/>
        <v>28</v>
      </c>
      <c r="F859" s="502">
        <f>2*2</f>
        <v>4</v>
      </c>
      <c r="G859" s="502">
        <f t="shared" si="519"/>
        <v>8</v>
      </c>
      <c r="H859" s="503"/>
      <c r="I859" s="503">
        <f>+(0.16+0.16+0.22)+0.24*0.01</f>
        <v>0.54239999999999999</v>
      </c>
      <c r="J859" s="509"/>
      <c r="K859" s="509"/>
      <c r="L859" s="503">
        <f t="shared" si="517"/>
        <v>0.54239999999999999</v>
      </c>
      <c r="M859" s="503">
        <f t="shared" si="511"/>
        <v>0</v>
      </c>
      <c r="N859" s="503">
        <f t="shared" si="512"/>
        <v>485.99</v>
      </c>
      <c r="O859" s="503">
        <f t="shared" si="513"/>
        <v>0</v>
      </c>
      <c r="P859" s="503">
        <f t="shared" si="514"/>
        <v>0</v>
      </c>
      <c r="Q859" s="503">
        <f t="shared" si="515"/>
        <v>0</v>
      </c>
      <c r="R859" s="503">
        <f t="shared" si="516"/>
        <v>0</v>
      </c>
    </row>
    <row r="860" spans="1:19">
      <c r="A860" s="505"/>
      <c r="B860" s="511" t="s">
        <v>788</v>
      </c>
      <c r="C860" s="507">
        <v>8</v>
      </c>
      <c r="D860" s="508">
        <v>150</v>
      </c>
      <c r="E860" s="507">
        <f t="shared" si="518"/>
        <v>28</v>
      </c>
      <c r="F860" s="502">
        <v>1</v>
      </c>
      <c r="G860" s="502">
        <f>+ROUND(1250/D860+1,0)</f>
        <v>9</v>
      </c>
      <c r="H860" s="503"/>
      <c r="I860" s="503">
        <f>2*(0.22+0.52)+24*0.008</f>
        <v>1.6719999999999999</v>
      </c>
      <c r="J860" s="509"/>
      <c r="K860" s="509"/>
      <c r="L860" s="503">
        <f t="shared" si="517"/>
        <v>1.6719999999999999</v>
      </c>
      <c r="M860" s="503">
        <f t="shared" si="511"/>
        <v>421.34</v>
      </c>
      <c r="N860" s="503">
        <f t="shared" si="512"/>
        <v>0</v>
      </c>
      <c r="O860" s="503">
        <f t="shared" si="513"/>
        <v>0</v>
      </c>
      <c r="P860" s="503">
        <f t="shared" si="514"/>
        <v>0</v>
      </c>
      <c r="Q860" s="503">
        <f t="shared" si="515"/>
        <v>0</v>
      </c>
      <c r="R860" s="503">
        <f t="shared" si="516"/>
        <v>0</v>
      </c>
    </row>
    <row r="861" spans="1:19">
      <c r="A861" s="505"/>
      <c r="B861" s="511"/>
      <c r="C861" s="507">
        <v>8</v>
      </c>
      <c r="D861" s="508">
        <v>150</v>
      </c>
      <c r="E861" s="507">
        <f t="shared" si="518"/>
        <v>28</v>
      </c>
      <c r="F861" s="502">
        <v>1</v>
      </c>
      <c r="G861" s="502">
        <f t="shared" ref="G861:G862" si="520">+ROUND(1250/D861+1,0)</f>
        <v>9</v>
      </c>
      <c r="H861" s="503"/>
      <c r="I861" s="503">
        <f>2*(0.22+0.115)+24*0.008</f>
        <v>0.8620000000000001</v>
      </c>
      <c r="J861" s="509"/>
      <c r="K861" s="509"/>
      <c r="L861" s="503">
        <f t="shared" si="517"/>
        <v>0.8620000000000001</v>
      </c>
      <c r="M861" s="503">
        <f t="shared" si="511"/>
        <v>217.22</v>
      </c>
      <c r="N861" s="503">
        <f t="shared" si="512"/>
        <v>0</v>
      </c>
      <c r="O861" s="503">
        <f t="shared" si="513"/>
        <v>0</v>
      </c>
      <c r="P861" s="503">
        <f t="shared" si="514"/>
        <v>0</v>
      </c>
      <c r="Q861" s="503">
        <f t="shared" si="515"/>
        <v>0</v>
      </c>
      <c r="R861" s="503">
        <f t="shared" si="516"/>
        <v>0</v>
      </c>
    </row>
    <row r="862" spans="1:19">
      <c r="A862" s="505"/>
      <c r="B862" s="511"/>
      <c r="C862" s="507">
        <v>8</v>
      </c>
      <c r="D862" s="508">
        <v>150</v>
      </c>
      <c r="E862" s="507">
        <f t="shared" si="518"/>
        <v>28</v>
      </c>
      <c r="F862" s="502">
        <v>2</v>
      </c>
      <c r="G862" s="502">
        <f t="shared" si="520"/>
        <v>9</v>
      </c>
      <c r="H862" s="503"/>
      <c r="I862" s="503">
        <f>+(0.16+0.16+0.22)+0.2*0.008</f>
        <v>0.54160000000000008</v>
      </c>
      <c r="J862" s="509"/>
      <c r="K862" s="509"/>
      <c r="L862" s="503">
        <f t="shared" si="517"/>
        <v>0.54160000000000008</v>
      </c>
      <c r="M862" s="503">
        <f t="shared" si="511"/>
        <v>272.97000000000003</v>
      </c>
      <c r="N862" s="503">
        <f t="shared" si="512"/>
        <v>0</v>
      </c>
      <c r="O862" s="503">
        <f t="shared" si="513"/>
        <v>0</v>
      </c>
      <c r="P862" s="503">
        <f t="shared" si="514"/>
        <v>0</v>
      </c>
      <c r="Q862" s="503">
        <f t="shared" si="515"/>
        <v>0</v>
      </c>
      <c r="R862" s="503">
        <f t="shared" si="516"/>
        <v>0</v>
      </c>
    </row>
    <row r="863" spans="1:19">
      <c r="A863" s="505"/>
      <c r="B863" s="506" t="s">
        <v>789</v>
      </c>
      <c r="C863" s="507">
        <v>16</v>
      </c>
      <c r="D863" s="508"/>
      <c r="E863" s="507">
        <v>12</v>
      </c>
      <c r="F863" s="502">
        <v>1</v>
      </c>
      <c r="G863" s="502">
        <v>6</v>
      </c>
      <c r="H863" s="503"/>
      <c r="I863" s="503">
        <f t="shared" ref="I863:I864" si="521">106.2-103.25</f>
        <v>2.9500000000000028</v>
      </c>
      <c r="J863" s="509"/>
      <c r="K863" s="509">
        <f t="shared" ref="K863:K864" si="522">1*36*C863/1000</f>
        <v>0.57599999999999996</v>
      </c>
      <c r="L863" s="503">
        <f t="shared" si="517"/>
        <v>3.5260000000000029</v>
      </c>
      <c r="M863" s="503">
        <f t="shared" si="511"/>
        <v>0</v>
      </c>
      <c r="N863" s="503">
        <f t="shared" si="512"/>
        <v>0</v>
      </c>
      <c r="O863" s="503">
        <f t="shared" si="513"/>
        <v>0</v>
      </c>
      <c r="P863" s="503">
        <f t="shared" si="514"/>
        <v>253.87</v>
      </c>
      <c r="Q863" s="503">
        <f t="shared" si="515"/>
        <v>0</v>
      </c>
      <c r="R863" s="503">
        <f t="shared" si="516"/>
        <v>0</v>
      </c>
    </row>
    <row r="864" spans="1:19">
      <c r="A864" s="505"/>
      <c r="B864" s="506"/>
      <c r="C864" s="507">
        <v>12</v>
      </c>
      <c r="D864" s="508"/>
      <c r="E864" s="507">
        <v>12</v>
      </c>
      <c r="F864" s="502">
        <v>1</v>
      </c>
      <c r="G864" s="502">
        <v>8</v>
      </c>
      <c r="H864" s="503"/>
      <c r="I864" s="503">
        <f t="shared" si="521"/>
        <v>2.9500000000000028</v>
      </c>
      <c r="J864" s="509"/>
      <c r="K864" s="509">
        <f t="shared" si="522"/>
        <v>0.432</v>
      </c>
      <c r="L864" s="503">
        <f t="shared" si="517"/>
        <v>3.3820000000000028</v>
      </c>
      <c r="M864" s="503">
        <f t="shared" si="511"/>
        <v>0</v>
      </c>
      <c r="N864" s="503">
        <f t="shared" si="512"/>
        <v>0</v>
      </c>
      <c r="O864" s="503">
        <f t="shared" si="513"/>
        <v>324.67</v>
      </c>
      <c r="P864" s="503">
        <f t="shared" si="514"/>
        <v>0</v>
      </c>
      <c r="Q864" s="503">
        <f t="shared" si="515"/>
        <v>0</v>
      </c>
      <c r="R864" s="503">
        <f t="shared" si="516"/>
        <v>0</v>
      </c>
    </row>
    <row r="865" spans="1:18">
      <c r="A865" s="505"/>
      <c r="B865" s="511" t="s">
        <v>787</v>
      </c>
      <c r="C865" s="507">
        <v>10</v>
      </c>
      <c r="D865" s="508">
        <v>75</v>
      </c>
      <c r="E865" s="507">
        <v>12</v>
      </c>
      <c r="F865" s="502">
        <v>2</v>
      </c>
      <c r="G865" s="502">
        <f>+ROUND(600/D865,0)</f>
        <v>8</v>
      </c>
      <c r="H865" s="503"/>
      <c r="I865" s="503">
        <f>2*(0.22+0.52)+24*0.01</f>
        <v>1.72</v>
      </c>
      <c r="J865" s="509"/>
      <c r="K865" s="509"/>
      <c r="L865" s="503">
        <f t="shared" si="517"/>
        <v>1.72</v>
      </c>
      <c r="M865" s="503">
        <f t="shared" si="511"/>
        <v>0</v>
      </c>
      <c r="N865" s="503">
        <f t="shared" si="512"/>
        <v>330.24</v>
      </c>
      <c r="O865" s="503">
        <f t="shared" si="513"/>
        <v>0</v>
      </c>
      <c r="P865" s="503">
        <f t="shared" si="514"/>
        <v>0</v>
      </c>
      <c r="Q865" s="503">
        <f t="shared" si="515"/>
        <v>0</v>
      </c>
      <c r="R865" s="503">
        <f t="shared" si="516"/>
        <v>0</v>
      </c>
    </row>
    <row r="866" spans="1:18">
      <c r="A866" s="505"/>
      <c r="B866" s="511"/>
      <c r="C866" s="507">
        <v>10</v>
      </c>
      <c r="D866" s="508">
        <v>75</v>
      </c>
      <c r="E866" s="507">
        <v>12</v>
      </c>
      <c r="F866" s="502">
        <v>2</v>
      </c>
      <c r="G866" s="502">
        <f t="shared" ref="G866:G867" si="523">+ROUND(600/D866,0)</f>
        <v>8</v>
      </c>
      <c r="H866" s="503"/>
      <c r="I866" s="503">
        <f>2*(0.22+0.115)+24*0.01</f>
        <v>0.91</v>
      </c>
      <c r="J866" s="509"/>
      <c r="K866" s="509"/>
      <c r="L866" s="503">
        <f t="shared" si="517"/>
        <v>0.91</v>
      </c>
      <c r="M866" s="503">
        <f t="shared" si="511"/>
        <v>0</v>
      </c>
      <c r="N866" s="503">
        <f t="shared" si="512"/>
        <v>174.72</v>
      </c>
      <c r="O866" s="503">
        <f t="shared" si="513"/>
        <v>0</v>
      </c>
      <c r="P866" s="503">
        <f t="shared" si="514"/>
        <v>0</v>
      </c>
      <c r="Q866" s="503">
        <f t="shared" si="515"/>
        <v>0</v>
      </c>
      <c r="R866" s="503">
        <f t="shared" si="516"/>
        <v>0</v>
      </c>
    </row>
    <row r="867" spans="1:18">
      <c r="A867" s="505"/>
      <c r="B867" s="511"/>
      <c r="C867" s="507">
        <v>10</v>
      </c>
      <c r="D867" s="508">
        <v>75</v>
      </c>
      <c r="E867" s="507">
        <v>12</v>
      </c>
      <c r="F867" s="502">
        <f>2*2</f>
        <v>4</v>
      </c>
      <c r="G867" s="502">
        <f t="shared" si="523"/>
        <v>8</v>
      </c>
      <c r="H867" s="503"/>
      <c r="I867" s="503">
        <f>+(0.16+0.16+0.22)+0.24*0.01</f>
        <v>0.54239999999999999</v>
      </c>
      <c r="J867" s="509"/>
      <c r="K867" s="509"/>
      <c r="L867" s="503">
        <f t="shared" si="517"/>
        <v>0.54239999999999999</v>
      </c>
      <c r="M867" s="503">
        <f t="shared" si="511"/>
        <v>0</v>
      </c>
      <c r="N867" s="503">
        <f t="shared" si="512"/>
        <v>208.28</v>
      </c>
      <c r="O867" s="503">
        <f t="shared" si="513"/>
        <v>0</v>
      </c>
      <c r="P867" s="503">
        <f t="shared" si="514"/>
        <v>0</v>
      </c>
      <c r="Q867" s="503">
        <f t="shared" si="515"/>
        <v>0</v>
      </c>
      <c r="R867" s="503">
        <f t="shared" si="516"/>
        <v>0</v>
      </c>
    </row>
    <row r="868" spans="1:18">
      <c r="A868" s="505"/>
      <c r="B868" s="511" t="s">
        <v>788</v>
      </c>
      <c r="C868" s="507">
        <v>8</v>
      </c>
      <c r="D868" s="508">
        <v>150</v>
      </c>
      <c r="E868" s="507">
        <v>12</v>
      </c>
      <c r="F868" s="502">
        <v>1</v>
      </c>
      <c r="G868" s="502">
        <f t="shared" ref="G868:G870" si="524">+ROUND(1250/D868+1,0)</f>
        <v>9</v>
      </c>
      <c r="H868" s="503"/>
      <c r="I868" s="503">
        <f>2*(0.22+0.52)+24*0.008</f>
        <v>1.6719999999999999</v>
      </c>
      <c r="J868" s="509"/>
      <c r="K868" s="509"/>
      <c r="L868" s="503">
        <f t="shared" si="517"/>
        <v>1.6719999999999999</v>
      </c>
      <c r="M868" s="503">
        <f t="shared" si="511"/>
        <v>180.58</v>
      </c>
      <c r="N868" s="503">
        <f t="shared" si="512"/>
        <v>0</v>
      </c>
      <c r="O868" s="503">
        <f t="shared" si="513"/>
        <v>0</v>
      </c>
      <c r="P868" s="503">
        <f t="shared" si="514"/>
        <v>0</v>
      </c>
      <c r="Q868" s="503">
        <f t="shared" si="515"/>
        <v>0</v>
      </c>
      <c r="R868" s="503">
        <f t="shared" si="516"/>
        <v>0</v>
      </c>
    </row>
    <row r="869" spans="1:18">
      <c r="A869" s="505"/>
      <c r="B869" s="511"/>
      <c r="C869" s="507">
        <v>8</v>
      </c>
      <c r="D869" s="508">
        <v>150</v>
      </c>
      <c r="E869" s="507">
        <v>12</v>
      </c>
      <c r="F869" s="502">
        <v>1</v>
      </c>
      <c r="G869" s="502">
        <f t="shared" si="524"/>
        <v>9</v>
      </c>
      <c r="H869" s="503"/>
      <c r="I869" s="503">
        <f>2*(0.22+0.115)+24*0.008</f>
        <v>0.8620000000000001</v>
      </c>
      <c r="J869" s="509"/>
      <c r="K869" s="509"/>
      <c r="L869" s="503">
        <f t="shared" si="517"/>
        <v>0.8620000000000001</v>
      </c>
      <c r="M869" s="503">
        <f t="shared" si="511"/>
        <v>93.1</v>
      </c>
      <c r="N869" s="503">
        <f t="shared" si="512"/>
        <v>0</v>
      </c>
      <c r="O869" s="503">
        <f t="shared" si="513"/>
        <v>0</v>
      </c>
      <c r="P869" s="503">
        <f t="shared" si="514"/>
        <v>0</v>
      </c>
      <c r="Q869" s="503">
        <f t="shared" si="515"/>
        <v>0</v>
      </c>
      <c r="R869" s="503">
        <f t="shared" si="516"/>
        <v>0</v>
      </c>
    </row>
    <row r="870" spans="1:18">
      <c r="A870" s="505"/>
      <c r="B870" s="511"/>
      <c r="C870" s="507">
        <v>8</v>
      </c>
      <c r="D870" s="508">
        <v>150</v>
      </c>
      <c r="E870" s="507">
        <v>12</v>
      </c>
      <c r="F870" s="502">
        <v>2</v>
      </c>
      <c r="G870" s="502">
        <f t="shared" si="524"/>
        <v>9</v>
      </c>
      <c r="H870" s="503"/>
      <c r="I870" s="503">
        <f>+(0.16+0.16+0.22)+0.2*0.008</f>
        <v>0.54160000000000008</v>
      </c>
      <c r="J870" s="509"/>
      <c r="K870" s="509"/>
      <c r="L870" s="503">
        <f t="shared" si="517"/>
        <v>0.54160000000000008</v>
      </c>
      <c r="M870" s="503">
        <f t="shared" si="511"/>
        <v>116.99</v>
      </c>
      <c r="N870" s="503">
        <f t="shared" si="512"/>
        <v>0</v>
      </c>
      <c r="O870" s="503">
        <f t="shared" si="513"/>
        <v>0</v>
      </c>
      <c r="P870" s="503">
        <f t="shared" si="514"/>
        <v>0</v>
      </c>
      <c r="Q870" s="503">
        <f t="shared" si="515"/>
        <v>0</v>
      </c>
      <c r="R870" s="503">
        <f t="shared" si="516"/>
        <v>0</v>
      </c>
    </row>
    <row r="871" spans="1:18">
      <c r="A871" s="505"/>
      <c r="B871" s="506" t="s">
        <v>790</v>
      </c>
      <c r="C871" s="507">
        <v>16</v>
      </c>
      <c r="D871" s="508"/>
      <c r="E871" s="507">
        <v>4</v>
      </c>
      <c r="F871" s="502">
        <v>1</v>
      </c>
      <c r="G871" s="502">
        <v>10</v>
      </c>
      <c r="H871" s="503"/>
      <c r="I871" s="503">
        <f t="shared" ref="I871:I872" si="525">106.2-103.25</f>
        <v>2.9500000000000028</v>
      </c>
      <c r="J871" s="509"/>
      <c r="K871" s="509">
        <f t="shared" ref="K871:K872" si="526">1*36*C871/1000</f>
        <v>0.57599999999999996</v>
      </c>
      <c r="L871" s="503">
        <f t="shared" si="517"/>
        <v>3.5260000000000029</v>
      </c>
      <c r="M871" s="503">
        <f t="shared" si="511"/>
        <v>0</v>
      </c>
      <c r="N871" s="503">
        <f t="shared" si="512"/>
        <v>0</v>
      </c>
      <c r="O871" s="503">
        <f t="shared" si="513"/>
        <v>0</v>
      </c>
      <c r="P871" s="503">
        <f t="shared" si="514"/>
        <v>141.04</v>
      </c>
      <c r="Q871" s="503">
        <f t="shared" si="515"/>
        <v>0</v>
      </c>
      <c r="R871" s="503">
        <f t="shared" si="516"/>
        <v>0</v>
      </c>
    </row>
    <row r="872" spans="1:18">
      <c r="A872" s="505"/>
      <c r="B872" s="511"/>
      <c r="C872" s="507">
        <v>20</v>
      </c>
      <c r="D872" s="508"/>
      <c r="E872" s="507">
        <f>+E871</f>
        <v>4</v>
      </c>
      <c r="F872" s="502">
        <v>1</v>
      </c>
      <c r="G872" s="502">
        <v>4</v>
      </c>
      <c r="H872" s="503"/>
      <c r="I872" s="503">
        <f t="shared" si="525"/>
        <v>2.9500000000000028</v>
      </c>
      <c r="J872" s="509"/>
      <c r="K872" s="509">
        <f t="shared" si="526"/>
        <v>0.72</v>
      </c>
      <c r="L872" s="503">
        <f t="shared" si="517"/>
        <v>3.6700000000000026</v>
      </c>
      <c r="M872" s="503">
        <f t="shared" si="511"/>
        <v>0</v>
      </c>
      <c r="N872" s="503">
        <f t="shared" si="512"/>
        <v>0</v>
      </c>
      <c r="O872" s="503">
        <f t="shared" si="513"/>
        <v>0</v>
      </c>
      <c r="P872" s="503">
        <f t="shared" si="514"/>
        <v>0</v>
      </c>
      <c r="Q872" s="503">
        <f t="shared" si="515"/>
        <v>58.72</v>
      </c>
      <c r="R872" s="503">
        <f t="shared" si="516"/>
        <v>0</v>
      </c>
    </row>
    <row r="873" spans="1:18">
      <c r="A873" s="505"/>
      <c r="B873" s="511" t="s">
        <v>787</v>
      </c>
      <c r="C873" s="507">
        <v>10</v>
      </c>
      <c r="D873" s="508">
        <v>75</v>
      </c>
      <c r="E873" s="507">
        <f>+E872</f>
        <v>4</v>
      </c>
      <c r="F873" s="502">
        <v>2</v>
      </c>
      <c r="G873" s="502">
        <f>+ROUND(600/D873,0)</f>
        <v>8</v>
      </c>
      <c r="H873" s="503"/>
      <c r="I873" s="503">
        <f>2*(0.22+0.52)+24*0.01</f>
        <v>1.72</v>
      </c>
      <c r="J873" s="509"/>
      <c r="K873" s="509"/>
      <c r="L873" s="503">
        <f t="shared" si="517"/>
        <v>1.72</v>
      </c>
      <c r="M873" s="503">
        <f t="shared" si="511"/>
        <v>0</v>
      </c>
      <c r="N873" s="503">
        <f t="shared" si="512"/>
        <v>110.08</v>
      </c>
      <c r="O873" s="503">
        <f t="shared" si="513"/>
        <v>0</v>
      </c>
      <c r="P873" s="503">
        <f t="shared" si="514"/>
        <v>0</v>
      </c>
      <c r="Q873" s="503">
        <f t="shared" si="515"/>
        <v>0</v>
      </c>
      <c r="R873" s="503">
        <f t="shared" si="516"/>
        <v>0</v>
      </c>
    </row>
    <row r="874" spans="1:18">
      <c r="A874" s="505"/>
      <c r="B874" s="511"/>
      <c r="C874" s="507">
        <v>10</v>
      </c>
      <c r="D874" s="508">
        <v>75</v>
      </c>
      <c r="E874" s="507">
        <f t="shared" ref="E874:E878" si="527">+E873</f>
        <v>4</v>
      </c>
      <c r="F874" s="502">
        <v>2</v>
      </c>
      <c r="G874" s="502">
        <f t="shared" ref="G874:G875" si="528">+ROUND(600/D874,0)</f>
        <v>8</v>
      </c>
      <c r="H874" s="503"/>
      <c r="I874" s="503">
        <f>2*(0.22+0.115)+24*0.01</f>
        <v>0.91</v>
      </c>
      <c r="J874" s="509"/>
      <c r="K874" s="509"/>
      <c r="L874" s="503">
        <f t="shared" si="517"/>
        <v>0.91</v>
      </c>
      <c r="M874" s="503">
        <f t="shared" si="511"/>
        <v>0</v>
      </c>
      <c r="N874" s="503">
        <f t="shared" si="512"/>
        <v>58.24</v>
      </c>
      <c r="O874" s="503">
        <f t="shared" si="513"/>
        <v>0</v>
      </c>
      <c r="P874" s="503">
        <f t="shared" si="514"/>
        <v>0</v>
      </c>
      <c r="Q874" s="503">
        <f t="shared" si="515"/>
        <v>0</v>
      </c>
      <c r="R874" s="503">
        <f t="shared" si="516"/>
        <v>0</v>
      </c>
    </row>
    <row r="875" spans="1:18">
      <c r="A875" s="505"/>
      <c r="B875" s="511"/>
      <c r="C875" s="507">
        <v>10</v>
      </c>
      <c r="D875" s="508">
        <v>75</v>
      </c>
      <c r="E875" s="507">
        <f t="shared" si="527"/>
        <v>4</v>
      </c>
      <c r="F875" s="502">
        <f>2*2</f>
        <v>4</v>
      </c>
      <c r="G875" s="502">
        <f t="shared" si="528"/>
        <v>8</v>
      </c>
      <c r="H875" s="503"/>
      <c r="I875" s="503">
        <f>+(0.16+0.16+0.22)+0.24*0.01</f>
        <v>0.54239999999999999</v>
      </c>
      <c r="J875" s="509"/>
      <c r="K875" s="509"/>
      <c r="L875" s="503">
        <f t="shared" si="517"/>
        <v>0.54239999999999999</v>
      </c>
      <c r="M875" s="503">
        <f t="shared" si="511"/>
        <v>0</v>
      </c>
      <c r="N875" s="503">
        <f t="shared" si="512"/>
        <v>69.430000000000007</v>
      </c>
      <c r="O875" s="503">
        <f t="shared" si="513"/>
        <v>0</v>
      </c>
      <c r="P875" s="503">
        <f t="shared" si="514"/>
        <v>0</v>
      </c>
      <c r="Q875" s="503">
        <f t="shared" si="515"/>
        <v>0</v>
      </c>
      <c r="R875" s="503">
        <f t="shared" si="516"/>
        <v>0</v>
      </c>
    </row>
    <row r="876" spans="1:18">
      <c r="A876" s="505"/>
      <c r="B876" s="511" t="s">
        <v>788</v>
      </c>
      <c r="C876" s="507">
        <v>8</v>
      </c>
      <c r="D876" s="508">
        <v>150</v>
      </c>
      <c r="E876" s="507">
        <f t="shared" si="527"/>
        <v>4</v>
      </c>
      <c r="F876" s="502">
        <v>1</v>
      </c>
      <c r="G876" s="502">
        <f t="shared" ref="G876:G878" si="529">+ROUND(1250/D876+1,0)</f>
        <v>9</v>
      </c>
      <c r="H876" s="503"/>
      <c r="I876" s="503">
        <f>2*(0.22+0.52)+24*0.008</f>
        <v>1.6719999999999999</v>
      </c>
      <c r="J876" s="509"/>
      <c r="K876" s="509"/>
      <c r="L876" s="503">
        <f t="shared" si="517"/>
        <v>1.6719999999999999</v>
      </c>
      <c r="M876" s="503">
        <f t="shared" si="511"/>
        <v>60.19</v>
      </c>
      <c r="N876" s="503">
        <f t="shared" si="512"/>
        <v>0</v>
      </c>
      <c r="O876" s="503">
        <f t="shared" si="513"/>
        <v>0</v>
      </c>
      <c r="P876" s="503">
        <f t="shared" si="514"/>
        <v>0</v>
      </c>
      <c r="Q876" s="503">
        <f t="shared" si="515"/>
        <v>0</v>
      </c>
      <c r="R876" s="503">
        <f t="shared" si="516"/>
        <v>0</v>
      </c>
    </row>
    <row r="877" spans="1:18">
      <c r="A877" s="505"/>
      <c r="B877" s="511"/>
      <c r="C877" s="507">
        <v>8</v>
      </c>
      <c r="D877" s="508">
        <v>150</v>
      </c>
      <c r="E877" s="507">
        <f t="shared" si="527"/>
        <v>4</v>
      </c>
      <c r="F877" s="502">
        <v>1</v>
      </c>
      <c r="G877" s="502">
        <f t="shared" si="529"/>
        <v>9</v>
      </c>
      <c r="H877" s="503"/>
      <c r="I877" s="503">
        <f>2*(0.22+0.115)+24*0.008</f>
        <v>0.8620000000000001</v>
      </c>
      <c r="J877" s="509"/>
      <c r="K877" s="509"/>
      <c r="L877" s="503">
        <f t="shared" si="517"/>
        <v>0.8620000000000001</v>
      </c>
      <c r="M877" s="503">
        <f t="shared" si="511"/>
        <v>31.03</v>
      </c>
      <c r="N877" s="503">
        <f t="shared" si="512"/>
        <v>0</v>
      </c>
      <c r="O877" s="503">
        <f t="shared" si="513"/>
        <v>0</v>
      </c>
      <c r="P877" s="503">
        <f t="shared" si="514"/>
        <v>0</v>
      </c>
      <c r="Q877" s="503">
        <f t="shared" si="515"/>
        <v>0</v>
      </c>
      <c r="R877" s="503">
        <f t="shared" si="516"/>
        <v>0</v>
      </c>
    </row>
    <row r="878" spans="1:18">
      <c r="A878" s="505"/>
      <c r="B878" s="511"/>
      <c r="C878" s="507">
        <v>8</v>
      </c>
      <c r="D878" s="508">
        <v>150</v>
      </c>
      <c r="E878" s="507">
        <f t="shared" si="527"/>
        <v>4</v>
      </c>
      <c r="F878" s="502">
        <v>2</v>
      </c>
      <c r="G878" s="502">
        <f t="shared" si="529"/>
        <v>9</v>
      </c>
      <c r="H878" s="503"/>
      <c r="I878" s="503">
        <f>+(0.16+0.16+0.22)+0.2*0.008</f>
        <v>0.54160000000000008</v>
      </c>
      <c r="J878" s="509"/>
      <c r="K878" s="509"/>
      <c r="L878" s="503">
        <f t="shared" si="517"/>
        <v>0.54160000000000008</v>
      </c>
      <c r="M878" s="503">
        <f t="shared" si="511"/>
        <v>39</v>
      </c>
      <c r="N878" s="503">
        <f t="shared" si="512"/>
        <v>0</v>
      </c>
      <c r="O878" s="503">
        <f t="shared" si="513"/>
        <v>0</v>
      </c>
      <c r="P878" s="503">
        <f t="shared" si="514"/>
        <v>0</v>
      </c>
      <c r="Q878" s="503">
        <f t="shared" si="515"/>
        <v>0</v>
      </c>
      <c r="R878" s="503">
        <f t="shared" si="516"/>
        <v>0</v>
      </c>
    </row>
    <row r="879" spans="1:18">
      <c r="A879" s="505"/>
      <c r="B879" s="506" t="s">
        <v>791</v>
      </c>
      <c r="C879" s="507">
        <v>16</v>
      </c>
      <c r="D879" s="508"/>
      <c r="E879" s="507">
        <v>16</v>
      </c>
      <c r="F879" s="502">
        <v>1</v>
      </c>
      <c r="G879" s="502">
        <v>10</v>
      </c>
      <c r="H879" s="503"/>
      <c r="I879" s="503">
        <f>106.2-103.25</f>
        <v>2.9500000000000028</v>
      </c>
      <c r="J879" s="509"/>
      <c r="K879" s="509">
        <f t="shared" ref="K879:K880" si="530">1*36*C879/1000</f>
        <v>0.57599999999999996</v>
      </c>
      <c r="L879" s="503">
        <f t="shared" si="517"/>
        <v>3.5260000000000029</v>
      </c>
      <c r="M879" s="503">
        <f t="shared" si="511"/>
        <v>0</v>
      </c>
      <c r="N879" s="503">
        <f t="shared" si="512"/>
        <v>0</v>
      </c>
      <c r="O879" s="503">
        <f t="shared" si="513"/>
        <v>0</v>
      </c>
      <c r="P879" s="503">
        <f t="shared" si="514"/>
        <v>564.16</v>
      </c>
      <c r="Q879" s="503">
        <f t="shared" si="515"/>
        <v>0</v>
      </c>
      <c r="R879" s="503">
        <f t="shared" si="516"/>
        <v>0</v>
      </c>
    </row>
    <row r="880" spans="1:18">
      <c r="A880" s="505"/>
      <c r="B880" s="506"/>
      <c r="C880" s="507">
        <v>12</v>
      </c>
      <c r="D880" s="508"/>
      <c r="E880" s="507">
        <v>16</v>
      </c>
      <c r="F880" s="502">
        <v>1</v>
      </c>
      <c r="G880" s="502">
        <v>6</v>
      </c>
      <c r="H880" s="503"/>
      <c r="I880" s="503">
        <f>106.2-103.25</f>
        <v>2.9500000000000028</v>
      </c>
      <c r="J880" s="509"/>
      <c r="K880" s="509">
        <f t="shared" si="530"/>
        <v>0.432</v>
      </c>
      <c r="L880" s="503">
        <f t="shared" si="517"/>
        <v>3.3820000000000028</v>
      </c>
      <c r="M880" s="503">
        <f t="shared" si="511"/>
        <v>0</v>
      </c>
      <c r="N880" s="503">
        <f t="shared" si="512"/>
        <v>0</v>
      </c>
      <c r="O880" s="503">
        <f t="shared" si="513"/>
        <v>324.67</v>
      </c>
      <c r="P880" s="503">
        <f t="shared" si="514"/>
        <v>0</v>
      </c>
      <c r="Q880" s="503">
        <f t="shared" si="515"/>
        <v>0</v>
      </c>
      <c r="R880" s="503">
        <f t="shared" si="516"/>
        <v>0</v>
      </c>
    </row>
    <row r="881" spans="1:18">
      <c r="A881" s="505"/>
      <c r="B881" s="511" t="s">
        <v>787</v>
      </c>
      <c r="C881" s="507">
        <v>10</v>
      </c>
      <c r="D881" s="508">
        <v>75</v>
      </c>
      <c r="E881" s="507">
        <f>+E879</f>
        <v>16</v>
      </c>
      <c r="F881" s="502">
        <v>2</v>
      </c>
      <c r="G881" s="502">
        <f>+ROUND(750/D881,0)</f>
        <v>10</v>
      </c>
      <c r="H881" s="503"/>
      <c r="I881" s="503">
        <f>2*(0.22+0.67)+24*0.01</f>
        <v>2.02</v>
      </c>
      <c r="J881" s="509"/>
      <c r="K881" s="509"/>
      <c r="L881" s="503">
        <f t="shared" si="517"/>
        <v>2.02</v>
      </c>
      <c r="M881" s="503">
        <f t="shared" si="511"/>
        <v>0</v>
      </c>
      <c r="N881" s="503">
        <f t="shared" si="512"/>
        <v>646.4</v>
      </c>
      <c r="O881" s="503">
        <f t="shared" si="513"/>
        <v>0</v>
      </c>
      <c r="P881" s="503">
        <f t="shared" si="514"/>
        <v>0</v>
      </c>
      <c r="Q881" s="503">
        <f t="shared" si="515"/>
        <v>0</v>
      </c>
      <c r="R881" s="503">
        <f t="shared" si="516"/>
        <v>0</v>
      </c>
    </row>
    <row r="882" spans="1:18">
      <c r="A882" s="505"/>
      <c r="B882" s="511"/>
      <c r="C882" s="507">
        <v>10</v>
      </c>
      <c r="D882" s="508">
        <v>75</v>
      </c>
      <c r="E882" s="507">
        <f t="shared" ref="E882:E888" si="531">+E881</f>
        <v>16</v>
      </c>
      <c r="F882" s="502">
        <v>2</v>
      </c>
      <c r="G882" s="502">
        <f t="shared" ref="G882:G884" si="532">+ROUND(750/D882,0)</f>
        <v>10</v>
      </c>
      <c r="H882" s="503"/>
      <c r="I882" s="503">
        <f>2*(0.22+0.132)+24*0.01</f>
        <v>0.94399999999999995</v>
      </c>
      <c r="J882" s="509"/>
      <c r="K882" s="509"/>
      <c r="L882" s="503">
        <f t="shared" si="517"/>
        <v>0.94399999999999995</v>
      </c>
      <c r="M882" s="503">
        <f t="shared" si="511"/>
        <v>0</v>
      </c>
      <c r="N882" s="503">
        <f t="shared" si="512"/>
        <v>302.08</v>
      </c>
      <c r="O882" s="503">
        <f t="shared" si="513"/>
        <v>0</v>
      </c>
      <c r="P882" s="503">
        <f t="shared" si="514"/>
        <v>0</v>
      </c>
      <c r="Q882" s="503">
        <f t="shared" si="515"/>
        <v>0</v>
      </c>
      <c r="R882" s="503">
        <f t="shared" si="516"/>
        <v>0</v>
      </c>
    </row>
    <row r="883" spans="1:18">
      <c r="A883" s="505"/>
      <c r="B883" s="511"/>
      <c r="C883" s="507">
        <v>10</v>
      </c>
      <c r="D883" s="508">
        <v>75</v>
      </c>
      <c r="E883" s="507">
        <f t="shared" si="531"/>
        <v>16</v>
      </c>
      <c r="F883" s="502">
        <f>2*2</f>
        <v>4</v>
      </c>
      <c r="G883" s="502">
        <f t="shared" si="532"/>
        <v>10</v>
      </c>
      <c r="H883" s="503"/>
      <c r="I883" s="503">
        <f>+(0.165+0.165+0.22)+0.2*0.01</f>
        <v>0.55200000000000005</v>
      </c>
      <c r="J883" s="509"/>
      <c r="K883" s="509"/>
      <c r="L883" s="503">
        <f t="shared" si="517"/>
        <v>0.55200000000000005</v>
      </c>
      <c r="M883" s="503">
        <f t="shared" si="511"/>
        <v>0</v>
      </c>
      <c r="N883" s="503">
        <f t="shared" si="512"/>
        <v>353.28</v>
      </c>
      <c r="O883" s="503">
        <f t="shared" si="513"/>
        <v>0</v>
      </c>
      <c r="P883" s="503">
        <f t="shared" si="514"/>
        <v>0</v>
      </c>
      <c r="Q883" s="503">
        <f t="shared" si="515"/>
        <v>0</v>
      </c>
      <c r="R883" s="503">
        <f t="shared" si="516"/>
        <v>0</v>
      </c>
    </row>
    <row r="884" spans="1:18">
      <c r="A884" s="505"/>
      <c r="B884" s="511"/>
      <c r="C884" s="507">
        <v>10</v>
      </c>
      <c r="D884" s="508">
        <v>75</v>
      </c>
      <c r="E884" s="507">
        <f t="shared" si="531"/>
        <v>16</v>
      </c>
      <c r="F884" s="502">
        <v>2</v>
      </c>
      <c r="G884" s="502">
        <f t="shared" si="532"/>
        <v>10</v>
      </c>
      <c r="H884" s="503"/>
      <c r="I884" s="503">
        <f>0.22+2*10*0.01</f>
        <v>0.42000000000000004</v>
      </c>
      <c r="J884" s="509"/>
      <c r="K884" s="509"/>
      <c r="L884" s="503">
        <f t="shared" ref="L884:L917" si="533">SUM(H884:J884)+K884</f>
        <v>0.42000000000000004</v>
      </c>
      <c r="M884" s="503">
        <f t="shared" si="511"/>
        <v>0</v>
      </c>
      <c r="N884" s="503">
        <f t="shared" si="512"/>
        <v>134.4</v>
      </c>
      <c r="O884" s="503">
        <f t="shared" si="513"/>
        <v>0</v>
      </c>
      <c r="P884" s="503">
        <f t="shared" si="514"/>
        <v>0</v>
      </c>
      <c r="Q884" s="503">
        <f t="shared" si="515"/>
        <v>0</v>
      </c>
      <c r="R884" s="503">
        <f t="shared" si="516"/>
        <v>0</v>
      </c>
    </row>
    <row r="885" spans="1:18">
      <c r="A885" s="505"/>
      <c r="B885" s="511" t="s">
        <v>788</v>
      </c>
      <c r="C885" s="507">
        <v>8</v>
      </c>
      <c r="D885" s="508">
        <v>150</v>
      </c>
      <c r="E885" s="507">
        <f t="shared" si="531"/>
        <v>16</v>
      </c>
      <c r="F885" s="502">
        <v>1</v>
      </c>
      <c r="G885" s="502">
        <f>+ROUND(950/D885+1,0)</f>
        <v>7</v>
      </c>
      <c r="H885" s="503"/>
      <c r="I885" s="503">
        <f>2*(0.22+0.67)+24*0.008</f>
        <v>1.972</v>
      </c>
      <c r="J885" s="509"/>
      <c r="K885" s="509"/>
      <c r="L885" s="503">
        <f t="shared" si="533"/>
        <v>1.972</v>
      </c>
      <c r="M885" s="503">
        <f t="shared" si="511"/>
        <v>220.86</v>
      </c>
      <c r="N885" s="503">
        <f t="shared" si="512"/>
        <v>0</v>
      </c>
      <c r="O885" s="503">
        <f t="shared" si="513"/>
        <v>0</v>
      </c>
      <c r="P885" s="503">
        <f t="shared" si="514"/>
        <v>0</v>
      </c>
      <c r="Q885" s="503">
        <f t="shared" si="515"/>
        <v>0</v>
      </c>
      <c r="R885" s="503">
        <f t="shared" si="516"/>
        <v>0</v>
      </c>
    </row>
    <row r="886" spans="1:18">
      <c r="A886" s="505"/>
      <c r="B886" s="511"/>
      <c r="C886" s="507">
        <v>8</v>
      </c>
      <c r="D886" s="508">
        <v>150</v>
      </c>
      <c r="E886" s="507">
        <f t="shared" si="531"/>
        <v>16</v>
      </c>
      <c r="F886" s="502">
        <v>1</v>
      </c>
      <c r="G886" s="502">
        <f t="shared" ref="G886:G888" si="534">+ROUND(950/D886+1,0)</f>
        <v>7</v>
      </c>
      <c r="H886" s="503"/>
      <c r="I886" s="503">
        <f>2*(0.22+0.132)+24*0.008</f>
        <v>0.89599999999999991</v>
      </c>
      <c r="J886" s="509"/>
      <c r="K886" s="509"/>
      <c r="L886" s="503">
        <f t="shared" si="533"/>
        <v>0.89599999999999991</v>
      </c>
      <c r="M886" s="503">
        <f t="shared" si="511"/>
        <v>100.35</v>
      </c>
      <c r="N886" s="503">
        <f t="shared" si="512"/>
        <v>0</v>
      </c>
      <c r="O886" s="503">
        <f t="shared" si="513"/>
        <v>0</v>
      </c>
      <c r="P886" s="503">
        <f t="shared" si="514"/>
        <v>0</v>
      </c>
      <c r="Q886" s="503">
        <f t="shared" si="515"/>
        <v>0</v>
      </c>
      <c r="R886" s="503">
        <f t="shared" si="516"/>
        <v>0</v>
      </c>
    </row>
    <row r="887" spans="1:18">
      <c r="A887" s="505"/>
      <c r="B887" s="511"/>
      <c r="C887" s="507">
        <v>8</v>
      </c>
      <c r="D887" s="508">
        <v>150</v>
      </c>
      <c r="E887" s="507">
        <f t="shared" si="531"/>
        <v>16</v>
      </c>
      <c r="F887" s="502">
        <v>2</v>
      </c>
      <c r="G887" s="502">
        <f t="shared" si="534"/>
        <v>7</v>
      </c>
      <c r="H887" s="503"/>
      <c r="I887" s="503">
        <f>+(0.165+0.165+0.22)+0.2*0.008</f>
        <v>0.55160000000000009</v>
      </c>
      <c r="J887" s="509"/>
      <c r="K887" s="509"/>
      <c r="L887" s="503">
        <f t="shared" si="533"/>
        <v>0.55160000000000009</v>
      </c>
      <c r="M887" s="503">
        <f t="shared" si="511"/>
        <v>123.56</v>
      </c>
      <c r="N887" s="503">
        <f t="shared" si="512"/>
        <v>0</v>
      </c>
      <c r="O887" s="503">
        <f t="shared" si="513"/>
        <v>0</v>
      </c>
      <c r="P887" s="503">
        <f t="shared" si="514"/>
        <v>0</v>
      </c>
      <c r="Q887" s="503">
        <f t="shared" si="515"/>
        <v>0</v>
      </c>
      <c r="R887" s="503">
        <f t="shared" si="516"/>
        <v>0</v>
      </c>
    </row>
    <row r="888" spans="1:18">
      <c r="A888" s="505"/>
      <c r="B888" s="511"/>
      <c r="C888" s="507">
        <v>8</v>
      </c>
      <c r="D888" s="508">
        <v>150</v>
      </c>
      <c r="E888" s="507">
        <f t="shared" si="531"/>
        <v>16</v>
      </c>
      <c r="F888" s="502">
        <v>1</v>
      </c>
      <c r="G888" s="502">
        <f t="shared" si="534"/>
        <v>7</v>
      </c>
      <c r="H888" s="503"/>
      <c r="I888" s="503">
        <f>0.22+2*10*0.008</f>
        <v>0.38</v>
      </c>
      <c r="J888" s="509"/>
      <c r="K888" s="509"/>
      <c r="L888" s="503">
        <f t="shared" si="533"/>
        <v>0.38</v>
      </c>
      <c r="M888" s="503">
        <f t="shared" si="511"/>
        <v>42.56</v>
      </c>
      <c r="N888" s="503">
        <f t="shared" si="512"/>
        <v>0</v>
      </c>
      <c r="O888" s="503">
        <f t="shared" si="513"/>
        <v>0</v>
      </c>
      <c r="P888" s="503">
        <f t="shared" si="514"/>
        <v>0</v>
      </c>
      <c r="Q888" s="503">
        <f t="shared" si="515"/>
        <v>0</v>
      </c>
      <c r="R888" s="503">
        <f t="shared" si="516"/>
        <v>0</v>
      </c>
    </row>
    <row r="889" spans="1:18">
      <c r="A889" s="505"/>
      <c r="B889" s="506" t="s">
        <v>792</v>
      </c>
      <c r="C889" s="507">
        <v>16</v>
      </c>
      <c r="D889" s="508"/>
      <c r="E889" s="507">
        <v>14</v>
      </c>
      <c r="F889" s="502">
        <v>1</v>
      </c>
      <c r="G889" s="502">
        <v>4</v>
      </c>
      <c r="H889" s="503"/>
      <c r="I889" s="503">
        <f t="shared" ref="I889:I890" si="535">106.2-103.25</f>
        <v>2.9500000000000028</v>
      </c>
      <c r="J889" s="509"/>
      <c r="K889" s="509">
        <f t="shared" ref="K889:K890" si="536">1*36*C889/1000</f>
        <v>0.57599999999999996</v>
      </c>
      <c r="L889" s="503">
        <f t="shared" si="533"/>
        <v>3.5260000000000029</v>
      </c>
      <c r="M889" s="503">
        <f t="shared" si="511"/>
        <v>0</v>
      </c>
      <c r="N889" s="503">
        <f t="shared" si="512"/>
        <v>0</v>
      </c>
      <c r="O889" s="503">
        <f t="shared" si="513"/>
        <v>0</v>
      </c>
      <c r="P889" s="503">
        <f t="shared" si="514"/>
        <v>197.46</v>
      </c>
      <c r="Q889" s="503">
        <f t="shared" si="515"/>
        <v>0</v>
      </c>
      <c r="R889" s="503">
        <f t="shared" si="516"/>
        <v>0</v>
      </c>
    </row>
    <row r="890" spans="1:18">
      <c r="A890" s="505"/>
      <c r="B890" s="511"/>
      <c r="C890" s="507">
        <v>12</v>
      </c>
      <c r="D890" s="508"/>
      <c r="E890" s="507">
        <f>+E889</f>
        <v>14</v>
      </c>
      <c r="F890" s="502">
        <v>1</v>
      </c>
      <c r="G890" s="502">
        <v>12</v>
      </c>
      <c r="H890" s="503"/>
      <c r="I890" s="503">
        <f t="shared" si="535"/>
        <v>2.9500000000000028</v>
      </c>
      <c r="J890" s="509"/>
      <c r="K890" s="509">
        <f t="shared" si="536"/>
        <v>0.432</v>
      </c>
      <c r="L890" s="503">
        <f t="shared" si="533"/>
        <v>3.3820000000000028</v>
      </c>
      <c r="M890" s="503">
        <f t="shared" si="511"/>
        <v>0</v>
      </c>
      <c r="N890" s="503">
        <f t="shared" si="512"/>
        <v>0</v>
      </c>
      <c r="O890" s="503">
        <f t="shared" si="513"/>
        <v>568.17999999999995</v>
      </c>
      <c r="P890" s="503">
        <f t="shared" si="514"/>
        <v>0</v>
      </c>
      <c r="Q890" s="503">
        <f t="shared" si="515"/>
        <v>0</v>
      </c>
      <c r="R890" s="503">
        <f t="shared" si="516"/>
        <v>0</v>
      </c>
    </row>
    <row r="891" spans="1:18">
      <c r="A891" s="505"/>
      <c r="B891" s="511" t="s">
        <v>787</v>
      </c>
      <c r="C891" s="507">
        <v>10</v>
      </c>
      <c r="D891" s="508">
        <v>75</v>
      </c>
      <c r="E891" s="507">
        <f t="shared" ref="E891:E898" si="537">+E890</f>
        <v>14</v>
      </c>
      <c r="F891" s="502">
        <v>2</v>
      </c>
      <c r="G891" s="502">
        <f>+ROUND(750/D891,0)</f>
        <v>10</v>
      </c>
      <c r="H891" s="503"/>
      <c r="I891" s="503">
        <f>2*(0.22+0.67)+24*0.01</f>
        <v>2.02</v>
      </c>
      <c r="J891" s="509"/>
      <c r="K891" s="509"/>
      <c r="L891" s="503">
        <f t="shared" si="533"/>
        <v>2.02</v>
      </c>
      <c r="M891" s="503">
        <f t="shared" si="511"/>
        <v>0</v>
      </c>
      <c r="N891" s="503">
        <f t="shared" si="512"/>
        <v>565.6</v>
      </c>
      <c r="O891" s="503">
        <f t="shared" si="513"/>
        <v>0</v>
      </c>
      <c r="P891" s="503">
        <f t="shared" si="514"/>
        <v>0</v>
      </c>
      <c r="Q891" s="503">
        <f t="shared" si="515"/>
        <v>0</v>
      </c>
      <c r="R891" s="503">
        <f t="shared" si="516"/>
        <v>0</v>
      </c>
    </row>
    <row r="892" spans="1:18">
      <c r="A892" s="505"/>
      <c r="B892" s="511"/>
      <c r="C892" s="507">
        <v>10</v>
      </c>
      <c r="D892" s="508">
        <v>75</v>
      </c>
      <c r="E892" s="507">
        <f t="shared" si="537"/>
        <v>14</v>
      </c>
      <c r="F892" s="502">
        <v>2</v>
      </c>
      <c r="G892" s="502">
        <f t="shared" ref="G892:G894" si="538">+ROUND(750/D892,0)</f>
        <v>10</v>
      </c>
      <c r="H892" s="503"/>
      <c r="I892" s="503">
        <f>2*(0.22+0.132)+24*0.01</f>
        <v>0.94399999999999995</v>
      </c>
      <c r="J892" s="509"/>
      <c r="K892" s="509"/>
      <c r="L892" s="503">
        <f t="shared" si="533"/>
        <v>0.94399999999999995</v>
      </c>
      <c r="M892" s="503">
        <f t="shared" si="511"/>
        <v>0</v>
      </c>
      <c r="N892" s="503">
        <f t="shared" si="512"/>
        <v>264.32</v>
      </c>
      <c r="O892" s="503">
        <f t="shared" si="513"/>
        <v>0</v>
      </c>
      <c r="P892" s="503">
        <f t="shared" si="514"/>
        <v>0</v>
      </c>
      <c r="Q892" s="503">
        <f t="shared" si="515"/>
        <v>0</v>
      </c>
      <c r="R892" s="503">
        <f t="shared" si="516"/>
        <v>0</v>
      </c>
    </row>
    <row r="893" spans="1:18">
      <c r="A893" s="505"/>
      <c r="B893" s="511"/>
      <c r="C893" s="507">
        <v>10</v>
      </c>
      <c r="D893" s="508">
        <v>75</v>
      </c>
      <c r="E893" s="507">
        <f t="shared" si="537"/>
        <v>14</v>
      </c>
      <c r="F893" s="502">
        <f>2*2</f>
        <v>4</v>
      </c>
      <c r="G893" s="502">
        <f t="shared" si="538"/>
        <v>10</v>
      </c>
      <c r="H893" s="503"/>
      <c r="I893" s="503">
        <f>+(0.165+0.165+0.22)+0.2*0.01</f>
        <v>0.55200000000000005</v>
      </c>
      <c r="J893" s="509"/>
      <c r="K893" s="509"/>
      <c r="L893" s="503">
        <f t="shared" si="533"/>
        <v>0.55200000000000005</v>
      </c>
      <c r="M893" s="503">
        <f t="shared" si="511"/>
        <v>0</v>
      </c>
      <c r="N893" s="503">
        <f t="shared" si="512"/>
        <v>309.12</v>
      </c>
      <c r="O893" s="503">
        <f t="shared" si="513"/>
        <v>0</v>
      </c>
      <c r="P893" s="503">
        <f t="shared" si="514"/>
        <v>0</v>
      </c>
      <c r="Q893" s="503">
        <f t="shared" si="515"/>
        <v>0</v>
      </c>
      <c r="R893" s="503">
        <f t="shared" si="516"/>
        <v>0</v>
      </c>
    </row>
    <row r="894" spans="1:18">
      <c r="A894" s="505"/>
      <c r="B894" s="511"/>
      <c r="C894" s="507">
        <v>10</v>
      </c>
      <c r="D894" s="508">
        <v>75</v>
      </c>
      <c r="E894" s="507">
        <f t="shared" si="537"/>
        <v>14</v>
      </c>
      <c r="F894" s="502">
        <v>2</v>
      </c>
      <c r="G894" s="502">
        <f t="shared" si="538"/>
        <v>10</v>
      </c>
      <c r="H894" s="503"/>
      <c r="I894" s="503">
        <f>0.22+2*10*0.01</f>
        <v>0.42000000000000004</v>
      </c>
      <c r="J894" s="509"/>
      <c r="K894" s="509"/>
      <c r="L894" s="503">
        <f t="shared" si="533"/>
        <v>0.42000000000000004</v>
      </c>
      <c r="M894" s="503">
        <f t="shared" si="511"/>
        <v>0</v>
      </c>
      <c r="N894" s="503">
        <f t="shared" si="512"/>
        <v>117.6</v>
      </c>
      <c r="O894" s="503">
        <f t="shared" si="513"/>
        <v>0</v>
      </c>
      <c r="P894" s="503">
        <f t="shared" si="514"/>
        <v>0</v>
      </c>
      <c r="Q894" s="503">
        <f t="shared" si="515"/>
        <v>0</v>
      </c>
      <c r="R894" s="503">
        <f t="shared" si="516"/>
        <v>0</v>
      </c>
    </row>
    <row r="895" spans="1:18">
      <c r="A895" s="505"/>
      <c r="B895" s="511" t="s">
        <v>788</v>
      </c>
      <c r="C895" s="507">
        <v>8</v>
      </c>
      <c r="D895" s="508">
        <v>150</v>
      </c>
      <c r="E895" s="507">
        <f t="shared" si="537"/>
        <v>14</v>
      </c>
      <c r="F895" s="502">
        <v>1</v>
      </c>
      <c r="G895" s="502">
        <f t="shared" ref="G895:G898" si="539">+ROUND(950/D895+1,0)</f>
        <v>7</v>
      </c>
      <c r="H895" s="503"/>
      <c r="I895" s="503">
        <f>2*(0.22+0.67)+24*0.008</f>
        <v>1.972</v>
      </c>
      <c r="J895" s="509"/>
      <c r="K895" s="509"/>
      <c r="L895" s="503">
        <f t="shared" si="533"/>
        <v>1.972</v>
      </c>
      <c r="M895" s="503">
        <f t="shared" si="511"/>
        <v>193.26</v>
      </c>
      <c r="N895" s="503">
        <f t="shared" si="512"/>
        <v>0</v>
      </c>
      <c r="O895" s="503">
        <f t="shared" si="513"/>
        <v>0</v>
      </c>
      <c r="P895" s="503">
        <f t="shared" si="514"/>
        <v>0</v>
      </c>
      <c r="Q895" s="503">
        <f t="shared" si="515"/>
        <v>0</v>
      </c>
      <c r="R895" s="503">
        <f t="shared" si="516"/>
        <v>0</v>
      </c>
    </row>
    <row r="896" spans="1:18">
      <c r="A896" s="505"/>
      <c r="B896" s="511"/>
      <c r="C896" s="507">
        <v>8</v>
      </c>
      <c r="D896" s="508">
        <v>150</v>
      </c>
      <c r="E896" s="507">
        <f t="shared" si="537"/>
        <v>14</v>
      </c>
      <c r="F896" s="502">
        <v>1</v>
      </c>
      <c r="G896" s="502">
        <f t="shared" si="539"/>
        <v>7</v>
      </c>
      <c r="H896" s="503"/>
      <c r="I896" s="503">
        <f>2*(0.22+0.132)+24*0.008</f>
        <v>0.89599999999999991</v>
      </c>
      <c r="J896" s="509"/>
      <c r="K896" s="509"/>
      <c r="L896" s="503">
        <f t="shared" si="533"/>
        <v>0.89599999999999991</v>
      </c>
      <c r="M896" s="503">
        <f t="shared" si="511"/>
        <v>87.81</v>
      </c>
      <c r="N896" s="503">
        <f t="shared" si="512"/>
        <v>0</v>
      </c>
      <c r="O896" s="503">
        <f t="shared" si="513"/>
        <v>0</v>
      </c>
      <c r="P896" s="503">
        <f t="shared" si="514"/>
        <v>0</v>
      </c>
      <c r="Q896" s="503">
        <f t="shared" si="515"/>
        <v>0</v>
      </c>
      <c r="R896" s="503">
        <f t="shared" si="516"/>
        <v>0</v>
      </c>
    </row>
    <row r="897" spans="1:18">
      <c r="A897" s="505"/>
      <c r="B897" s="511"/>
      <c r="C897" s="507">
        <v>8</v>
      </c>
      <c r="D897" s="508">
        <v>150</v>
      </c>
      <c r="E897" s="507">
        <f t="shared" si="537"/>
        <v>14</v>
      </c>
      <c r="F897" s="502">
        <v>2</v>
      </c>
      <c r="G897" s="502">
        <f t="shared" si="539"/>
        <v>7</v>
      </c>
      <c r="H897" s="503"/>
      <c r="I897" s="503">
        <f>+(0.165+0.165+0.22)+0.2*0.008</f>
        <v>0.55160000000000009</v>
      </c>
      <c r="J897" s="509"/>
      <c r="K897" s="509"/>
      <c r="L897" s="503">
        <f t="shared" si="533"/>
        <v>0.55160000000000009</v>
      </c>
      <c r="M897" s="503">
        <f t="shared" si="511"/>
        <v>108.11</v>
      </c>
      <c r="N897" s="503">
        <f t="shared" si="512"/>
        <v>0</v>
      </c>
      <c r="O897" s="503">
        <f t="shared" si="513"/>
        <v>0</v>
      </c>
      <c r="P897" s="503">
        <f t="shared" si="514"/>
        <v>0</v>
      </c>
      <c r="Q897" s="503">
        <f t="shared" si="515"/>
        <v>0</v>
      </c>
      <c r="R897" s="503">
        <f t="shared" si="516"/>
        <v>0</v>
      </c>
    </row>
    <row r="898" spans="1:18">
      <c r="A898" s="505"/>
      <c r="B898" s="511"/>
      <c r="C898" s="507">
        <v>8</v>
      </c>
      <c r="D898" s="508">
        <v>150</v>
      </c>
      <c r="E898" s="507">
        <f t="shared" si="537"/>
        <v>14</v>
      </c>
      <c r="F898" s="502">
        <v>1</v>
      </c>
      <c r="G898" s="502">
        <f t="shared" si="539"/>
        <v>7</v>
      </c>
      <c r="H898" s="503"/>
      <c r="I898" s="503">
        <f>0.22+2*10*0.008</f>
        <v>0.38</v>
      </c>
      <c r="J898" s="509"/>
      <c r="K898" s="509"/>
      <c r="L898" s="503">
        <f t="shared" si="533"/>
        <v>0.38</v>
      </c>
      <c r="M898" s="503">
        <f t="shared" si="511"/>
        <v>37.24</v>
      </c>
      <c r="N898" s="503">
        <f t="shared" si="512"/>
        <v>0</v>
      </c>
      <c r="O898" s="503">
        <f t="shared" si="513"/>
        <v>0</v>
      </c>
      <c r="P898" s="503">
        <f t="shared" si="514"/>
        <v>0</v>
      </c>
      <c r="Q898" s="503">
        <f t="shared" si="515"/>
        <v>0</v>
      </c>
      <c r="R898" s="503">
        <f t="shared" si="516"/>
        <v>0</v>
      </c>
    </row>
    <row r="899" spans="1:18">
      <c r="A899" s="505"/>
      <c r="B899" s="506" t="s">
        <v>793</v>
      </c>
      <c r="C899" s="507">
        <v>16</v>
      </c>
      <c r="D899" s="508"/>
      <c r="E899" s="507">
        <v>10</v>
      </c>
      <c r="F899" s="502">
        <v>1</v>
      </c>
      <c r="G899" s="502">
        <v>4</v>
      </c>
      <c r="H899" s="503"/>
      <c r="I899" s="503">
        <f t="shared" ref="I899:I900" si="540">106.2-103.25</f>
        <v>2.9500000000000028</v>
      </c>
      <c r="J899" s="509"/>
      <c r="K899" s="509">
        <f t="shared" ref="K899:K900" si="541">1*36*C899/1000</f>
        <v>0.57599999999999996</v>
      </c>
      <c r="L899" s="503">
        <f t="shared" si="533"/>
        <v>3.5260000000000029</v>
      </c>
      <c r="M899" s="503">
        <f t="shared" si="511"/>
        <v>0</v>
      </c>
      <c r="N899" s="503">
        <f t="shared" si="512"/>
        <v>0</v>
      </c>
      <c r="O899" s="503">
        <f t="shared" si="513"/>
        <v>0</v>
      </c>
      <c r="P899" s="503">
        <f t="shared" si="514"/>
        <v>141.04</v>
      </c>
      <c r="Q899" s="503">
        <f t="shared" si="515"/>
        <v>0</v>
      </c>
      <c r="R899" s="503">
        <f t="shared" si="516"/>
        <v>0</v>
      </c>
    </row>
    <row r="900" spans="1:18">
      <c r="A900" s="505"/>
      <c r="B900" s="511"/>
      <c r="C900" s="507">
        <v>12</v>
      </c>
      <c r="D900" s="508"/>
      <c r="E900" s="507">
        <f>+E899</f>
        <v>10</v>
      </c>
      <c r="F900" s="502">
        <v>1</v>
      </c>
      <c r="G900" s="502">
        <v>12</v>
      </c>
      <c r="H900" s="503"/>
      <c r="I900" s="503">
        <f t="shared" si="540"/>
        <v>2.9500000000000028</v>
      </c>
      <c r="J900" s="509"/>
      <c r="K900" s="509">
        <f t="shared" si="541"/>
        <v>0.432</v>
      </c>
      <c r="L900" s="503">
        <f t="shared" si="533"/>
        <v>3.3820000000000028</v>
      </c>
      <c r="M900" s="503">
        <f t="shared" si="511"/>
        <v>0</v>
      </c>
      <c r="N900" s="503">
        <f t="shared" si="512"/>
        <v>0</v>
      </c>
      <c r="O900" s="503">
        <f t="shared" si="513"/>
        <v>405.84</v>
      </c>
      <c r="P900" s="503">
        <f t="shared" si="514"/>
        <v>0</v>
      </c>
      <c r="Q900" s="503">
        <f t="shared" si="515"/>
        <v>0</v>
      </c>
      <c r="R900" s="503">
        <f t="shared" si="516"/>
        <v>0</v>
      </c>
    </row>
    <row r="901" spans="1:18">
      <c r="A901" s="505"/>
      <c r="B901" s="511" t="s">
        <v>787</v>
      </c>
      <c r="C901" s="507">
        <v>10</v>
      </c>
      <c r="D901" s="508">
        <v>75</v>
      </c>
      <c r="E901" s="507">
        <f t="shared" ref="E901:E908" si="542">+E900</f>
        <v>10</v>
      </c>
      <c r="F901" s="502">
        <v>2</v>
      </c>
      <c r="G901" s="502">
        <f>+ROUND(715/D901,0)</f>
        <v>10</v>
      </c>
      <c r="H901" s="503"/>
      <c r="I901" s="503">
        <f>2*(0.22+0.635)+24*0.01</f>
        <v>1.95</v>
      </c>
      <c r="J901" s="509"/>
      <c r="K901" s="509"/>
      <c r="L901" s="503">
        <f t="shared" si="533"/>
        <v>1.95</v>
      </c>
      <c r="M901" s="503">
        <f t="shared" si="511"/>
        <v>0</v>
      </c>
      <c r="N901" s="503">
        <f t="shared" si="512"/>
        <v>390</v>
      </c>
      <c r="O901" s="503">
        <f t="shared" si="513"/>
        <v>0</v>
      </c>
      <c r="P901" s="503">
        <f t="shared" si="514"/>
        <v>0</v>
      </c>
      <c r="Q901" s="503">
        <f t="shared" si="515"/>
        <v>0</v>
      </c>
      <c r="R901" s="503">
        <f t="shared" si="516"/>
        <v>0</v>
      </c>
    </row>
    <row r="902" spans="1:18">
      <c r="A902" s="505"/>
      <c r="B902" s="511"/>
      <c r="C902" s="507">
        <v>10</v>
      </c>
      <c r="D902" s="508">
        <v>75</v>
      </c>
      <c r="E902" s="507">
        <f t="shared" si="542"/>
        <v>10</v>
      </c>
      <c r="F902" s="502">
        <v>2</v>
      </c>
      <c r="G902" s="502">
        <f t="shared" ref="G902:G904" si="543">+ROUND(715/D902,0)</f>
        <v>10</v>
      </c>
      <c r="H902" s="503"/>
      <c r="I902" s="503">
        <f>2*(0.22+0.132)+24*0.01</f>
        <v>0.94399999999999995</v>
      </c>
      <c r="J902" s="509"/>
      <c r="K902" s="509"/>
      <c r="L902" s="503">
        <f t="shared" si="533"/>
        <v>0.94399999999999995</v>
      </c>
      <c r="M902" s="503">
        <f t="shared" si="511"/>
        <v>0</v>
      </c>
      <c r="N902" s="503">
        <f t="shared" si="512"/>
        <v>188.8</v>
      </c>
      <c r="O902" s="503">
        <f t="shared" si="513"/>
        <v>0</v>
      </c>
      <c r="P902" s="503">
        <f t="shared" si="514"/>
        <v>0</v>
      </c>
      <c r="Q902" s="503">
        <f t="shared" si="515"/>
        <v>0</v>
      </c>
      <c r="R902" s="503">
        <f t="shared" si="516"/>
        <v>0</v>
      </c>
    </row>
    <row r="903" spans="1:18">
      <c r="A903" s="505"/>
      <c r="B903" s="511"/>
      <c r="C903" s="507">
        <v>10</v>
      </c>
      <c r="D903" s="508">
        <v>75</v>
      </c>
      <c r="E903" s="507">
        <f t="shared" si="542"/>
        <v>10</v>
      </c>
      <c r="F903" s="502">
        <f>2*2</f>
        <v>4</v>
      </c>
      <c r="G903" s="502">
        <f t="shared" si="543"/>
        <v>10</v>
      </c>
      <c r="H903" s="503"/>
      <c r="I903" s="503">
        <f>+(0.165+0.165+0.22)+0.2*0.01</f>
        <v>0.55200000000000005</v>
      </c>
      <c r="J903" s="509"/>
      <c r="K903" s="509"/>
      <c r="L903" s="503">
        <f t="shared" si="533"/>
        <v>0.55200000000000005</v>
      </c>
      <c r="M903" s="503">
        <f t="shared" si="511"/>
        <v>0</v>
      </c>
      <c r="N903" s="503">
        <f t="shared" si="512"/>
        <v>220.8</v>
      </c>
      <c r="O903" s="503">
        <f t="shared" si="513"/>
        <v>0</v>
      </c>
      <c r="P903" s="503">
        <f t="shared" si="514"/>
        <v>0</v>
      </c>
      <c r="Q903" s="503">
        <f t="shared" si="515"/>
        <v>0</v>
      </c>
      <c r="R903" s="503">
        <f t="shared" si="516"/>
        <v>0</v>
      </c>
    </row>
    <row r="904" spans="1:18">
      <c r="A904" s="505"/>
      <c r="B904" s="511"/>
      <c r="C904" s="507">
        <v>10</v>
      </c>
      <c r="D904" s="508">
        <v>75</v>
      </c>
      <c r="E904" s="507">
        <f t="shared" si="542"/>
        <v>10</v>
      </c>
      <c r="F904" s="502">
        <v>2</v>
      </c>
      <c r="G904" s="502">
        <f t="shared" si="543"/>
        <v>10</v>
      </c>
      <c r="H904" s="503"/>
      <c r="I904" s="503">
        <f>0.22+2*10*0.01</f>
        <v>0.42000000000000004</v>
      </c>
      <c r="J904" s="509"/>
      <c r="K904" s="509"/>
      <c r="L904" s="503">
        <f t="shared" si="533"/>
        <v>0.42000000000000004</v>
      </c>
      <c r="M904" s="503">
        <f t="shared" si="511"/>
        <v>0</v>
      </c>
      <c r="N904" s="503">
        <f t="shared" si="512"/>
        <v>84</v>
      </c>
      <c r="O904" s="503">
        <f t="shared" si="513"/>
        <v>0</v>
      </c>
      <c r="P904" s="503">
        <f t="shared" si="514"/>
        <v>0</v>
      </c>
      <c r="Q904" s="503">
        <f t="shared" si="515"/>
        <v>0</v>
      </c>
      <c r="R904" s="503">
        <f t="shared" si="516"/>
        <v>0</v>
      </c>
    </row>
    <row r="905" spans="1:18">
      <c r="A905" s="505"/>
      <c r="B905" s="511" t="s">
        <v>788</v>
      </c>
      <c r="C905" s="507">
        <v>8</v>
      </c>
      <c r="D905" s="508">
        <v>150</v>
      </c>
      <c r="E905" s="507">
        <f t="shared" si="542"/>
        <v>10</v>
      </c>
      <c r="F905" s="502">
        <v>1</v>
      </c>
      <c r="G905" s="502">
        <f>+ROUND(1020/D905+1,0)</f>
        <v>8</v>
      </c>
      <c r="H905" s="503"/>
      <c r="I905" s="503">
        <f>2*(0.22+0.635)+24*0.008</f>
        <v>1.9019999999999999</v>
      </c>
      <c r="J905" s="509"/>
      <c r="K905" s="509"/>
      <c r="L905" s="503">
        <f t="shared" si="533"/>
        <v>1.9019999999999999</v>
      </c>
      <c r="M905" s="503">
        <f t="shared" si="511"/>
        <v>152.16</v>
      </c>
      <c r="N905" s="503">
        <f t="shared" si="512"/>
        <v>0</v>
      </c>
      <c r="O905" s="503">
        <f t="shared" si="513"/>
        <v>0</v>
      </c>
      <c r="P905" s="503">
        <f t="shared" si="514"/>
        <v>0</v>
      </c>
      <c r="Q905" s="503">
        <f t="shared" si="515"/>
        <v>0</v>
      </c>
      <c r="R905" s="503">
        <f t="shared" si="516"/>
        <v>0</v>
      </c>
    </row>
    <row r="906" spans="1:18">
      <c r="A906" s="505"/>
      <c r="B906" s="511"/>
      <c r="C906" s="507">
        <v>8</v>
      </c>
      <c r="D906" s="508">
        <v>150</v>
      </c>
      <c r="E906" s="507">
        <f t="shared" si="542"/>
        <v>10</v>
      </c>
      <c r="F906" s="502">
        <v>1</v>
      </c>
      <c r="G906" s="502">
        <f>+ROUND(1020/D906+1,0)</f>
        <v>8</v>
      </c>
      <c r="H906" s="503"/>
      <c r="I906" s="503">
        <f>2*(0.22+0.132)+24*0.008</f>
        <v>0.89599999999999991</v>
      </c>
      <c r="J906" s="509"/>
      <c r="K906" s="509"/>
      <c r="L906" s="503">
        <f t="shared" si="533"/>
        <v>0.89599999999999991</v>
      </c>
      <c r="M906" s="503">
        <f t="shared" si="511"/>
        <v>71.680000000000007</v>
      </c>
      <c r="N906" s="503">
        <f t="shared" si="512"/>
        <v>0</v>
      </c>
      <c r="O906" s="503">
        <f t="shared" si="513"/>
        <v>0</v>
      </c>
      <c r="P906" s="503">
        <f t="shared" si="514"/>
        <v>0</v>
      </c>
      <c r="Q906" s="503">
        <f t="shared" si="515"/>
        <v>0</v>
      </c>
      <c r="R906" s="503">
        <f t="shared" si="516"/>
        <v>0</v>
      </c>
    </row>
    <row r="907" spans="1:18">
      <c r="A907" s="505"/>
      <c r="B907" s="511"/>
      <c r="C907" s="507">
        <v>8</v>
      </c>
      <c r="D907" s="508">
        <v>150</v>
      </c>
      <c r="E907" s="507">
        <f t="shared" si="542"/>
        <v>10</v>
      </c>
      <c r="F907" s="502">
        <v>2</v>
      </c>
      <c r="G907" s="502">
        <f t="shared" ref="G907:G908" si="544">+ROUND(1020/D907+1,0)</f>
        <v>8</v>
      </c>
      <c r="H907" s="503"/>
      <c r="I907" s="503">
        <f>+(0.165+0.165+0.22)+0.2*0.008</f>
        <v>0.55160000000000009</v>
      </c>
      <c r="J907" s="509"/>
      <c r="K907" s="509"/>
      <c r="L907" s="503">
        <f t="shared" si="533"/>
        <v>0.55160000000000009</v>
      </c>
      <c r="M907" s="503">
        <f t="shared" si="511"/>
        <v>88.26</v>
      </c>
      <c r="N907" s="503">
        <f t="shared" si="512"/>
        <v>0</v>
      </c>
      <c r="O907" s="503">
        <f t="shared" si="513"/>
        <v>0</v>
      </c>
      <c r="P907" s="503">
        <f t="shared" si="514"/>
        <v>0</v>
      </c>
      <c r="Q907" s="503">
        <f t="shared" si="515"/>
        <v>0</v>
      </c>
      <c r="R907" s="503">
        <f t="shared" si="516"/>
        <v>0</v>
      </c>
    </row>
    <row r="908" spans="1:18">
      <c r="A908" s="505"/>
      <c r="B908" s="511"/>
      <c r="C908" s="507">
        <v>8</v>
      </c>
      <c r="D908" s="508">
        <v>150</v>
      </c>
      <c r="E908" s="507">
        <f t="shared" si="542"/>
        <v>10</v>
      </c>
      <c r="F908" s="502">
        <v>1</v>
      </c>
      <c r="G908" s="502">
        <f t="shared" si="544"/>
        <v>8</v>
      </c>
      <c r="H908" s="503"/>
      <c r="I908" s="503">
        <f>0.22+2*10*0.008</f>
        <v>0.38</v>
      </c>
      <c r="J908" s="509"/>
      <c r="K908" s="509"/>
      <c r="L908" s="503">
        <f t="shared" si="533"/>
        <v>0.38</v>
      </c>
      <c r="M908" s="503">
        <f t="shared" si="511"/>
        <v>30.4</v>
      </c>
      <c r="N908" s="503">
        <f t="shared" si="512"/>
        <v>0</v>
      </c>
      <c r="O908" s="503">
        <f t="shared" si="513"/>
        <v>0</v>
      </c>
      <c r="P908" s="503">
        <f t="shared" si="514"/>
        <v>0</v>
      </c>
      <c r="Q908" s="503">
        <f t="shared" si="515"/>
        <v>0</v>
      </c>
      <c r="R908" s="503">
        <f t="shared" si="516"/>
        <v>0</v>
      </c>
    </row>
    <row r="909" spans="1:18">
      <c r="A909" s="505"/>
      <c r="B909" s="506" t="s">
        <v>794</v>
      </c>
      <c r="C909" s="507">
        <v>16</v>
      </c>
      <c r="D909" s="508"/>
      <c r="E909" s="507">
        <v>4</v>
      </c>
      <c r="F909" s="502">
        <v>1</v>
      </c>
      <c r="G909" s="502">
        <v>4</v>
      </c>
      <c r="H909" s="503"/>
      <c r="I909" s="503">
        <f t="shared" ref="I909:I910" si="545">106.2-103.25</f>
        <v>2.9500000000000028</v>
      </c>
      <c r="J909" s="509"/>
      <c r="K909" s="509">
        <f t="shared" ref="K909:K910" si="546">1*36*C909/1000</f>
        <v>0.57599999999999996</v>
      </c>
      <c r="L909" s="503">
        <f t="shared" si="533"/>
        <v>3.5260000000000029</v>
      </c>
      <c r="M909" s="503">
        <f t="shared" si="511"/>
        <v>0</v>
      </c>
      <c r="N909" s="503">
        <f t="shared" si="512"/>
        <v>0</v>
      </c>
      <c r="O909" s="503">
        <f t="shared" si="513"/>
        <v>0</v>
      </c>
      <c r="P909" s="503">
        <f t="shared" si="514"/>
        <v>56.42</v>
      </c>
      <c r="Q909" s="503">
        <f t="shared" si="515"/>
        <v>0</v>
      </c>
      <c r="R909" s="503">
        <f t="shared" si="516"/>
        <v>0</v>
      </c>
    </row>
    <row r="910" spans="1:18">
      <c r="A910" s="505"/>
      <c r="B910" s="511"/>
      <c r="C910" s="507">
        <v>12</v>
      </c>
      <c r="D910" s="508"/>
      <c r="E910" s="507">
        <f>+E909</f>
        <v>4</v>
      </c>
      <c r="F910" s="502">
        <v>1</v>
      </c>
      <c r="G910" s="502">
        <v>14</v>
      </c>
      <c r="H910" s="503"/>
      <c r="I910" s="503">
        <f t="shared" si="545"/>
        <v>2.9500000000000028</v>
      </c>
      <c r="J910" s="509"/>
      <c r="K910" s="509">
        <f t="shared" si="546"/>
        <v>0.432</v>
      </c>
      <c r="L910" s="503">
        <f t="shared" si="533"/>
        <v>3.3820000000000028</v>
      </c>
      <c r="M910" s="503">
        <f t="shared" si="511"/>
        <v>0</v>
      </c>
      <c r="N910" s="503">
        <f t="shared" si="512"/>
        <v>0</v>
      </c>
      <c r="O910" s="503">
        <f t="shared" si="513"/>
        <v>189.39</v>
      </c>
      <c r="P910" s="503">
        <f t="shared" si="514"/>
        <v>0</v>
      </c>
      <c r="Q910" s="503">
        <f t="shared" si="515"/>
        <v>0</v>
      </c>
      <c r="R910" s="503">
        <f t="shared" si="516"/>
        <v>0</v>
      </c>
    </row>
    <row r="911" spans="1:18">
      <c r="A911" s="505"/>
      <c r="B911" s="511" t="s">
        <v>787</v>
      </c>
      <c r="C911" s="507">
        <v>10</v>
      </c>
      <c r="D911" s="508">
        <v>75</v>
      </c>
      <c r="E911" s="507">
        <f t="shared" ref="E911:E916" si="547">+E910</f>
        <v>4</v>
      </c>
      <c r="F911" s="502">
        <v>2</v>
      </c>
      <c r="G911" s="502">
        <f>+ROUND(800/D911,0)</f>
        <v>11</v>
      </c>
      <c r="H911" s="503"/>
      <c r="I911" s="503">
        <f>2*(0.22+0.72)+24*0.01</f>
        <v>2.12</v>
      </c>
      <c r="J911" s="509"/>
      <c r="K911" s="509"/>
      <c r="L911" s="503">
        <f t="shared" si="533"/>
        <v>2.12</v>
      </c>
      <c r="M911" s="503">
        <f t="shared" si="511"/>
        <v>0</v>
      </c>
      <c r="N911" s="503">
        <f t="shared" si="512"/>
        <v>186.56</v>
      </c>
      <c r="O911" s="503">
        <f t="shared" si="513"/>
        <v>0</v>
      </c>
      <c r="P911" s="503">
        <f t="shared" si="514"/>
        <v>0</v>
      </c>
      <c r="Q911" s="503">
        <f t="shared" si="515"/>
        <v>0</v>
      </c>
      <c r="R911" s="503">
        <f t="shared" si="516"/>
        <v>0</v>
      </c>
    </row>
    <row r="912" spans="1:18">
      <c r="A912" s="505"/>
      <c r="B912" s="511"/>
      <c r="C912" s="507">
        <v>10</v>
      </c>
      <c r="D912" s="508">
        <v>75</v>
      </c>
      <c r="E912" s="507">
        <f t="shared" si="547"/>
        <v>4</v>
      </c>
      <c r="F912" s="502">
        <f>2*2</f>
        <v>4</v>
      </c>
      <c r="G912" s="502">
        <f t="shared" ref="G912:G913" si="548">+ROUND(800/D912,0)</f>
        <v>11</v>
      </c>
      <c r="H912" s="503"/>
      <c r="I912" s="503">
        <f>2*(0.22+0.115)+24*0.01</f>
        <v>0.91</v>
      </c>
      <c r="J912" s="509"/>
      <c r="K912" s="509"/>
      <c r="L912" s="503">
        <f t="shared" si="533"/>
        <v>0.91</v>
      </c>
      <c r="M912" s="503">
        <f t="shared" si="511"/>
        <v>0</v>
      </c>
      <c r="N912" s="503">
        <f t="shared" si="512"/>
        <v>160.16</v>
      </c>
      <c r="O912" s="503">
        <f t="shared" si="513"/>
        <v>0</v>
      </c>
      <c r="P912" s="503">
        <f t="shared" si="514"/>
        <v>0</v>
      </c>
      <c r="Q912" s="503">
        <f t="shared" si="515"/>
        <v>0</v>
      </c>
      <c r="R912" s="503">
        <f t="shared" si="516"/>
        <v>0</v>
      </c>
    </row>
    <row r="913" spans="1:19">
      <c r="A913" s="505"/>
      <c r="B913" s="511"/>
      <c r="C913" s="507">
        <v>10</v>
      </c>
      <c r="D913" s="508">
        <v>75</v>
      </c>
      <c r="E913" s="507">
        <f t="shared" si="547"/>
        <v>4</v>
      </c>
      <c r="F913" s="502">
        <f>2*2</f>
        <v>4</v>
      </c>
      <c r="G913" s="502">
        <f t="shared" si="548"/>
        <v>11</v>
      </c>
      <c r="H913" s="503"/>
      <c r="I913" s="503">
        <f>+(0.165+0.165+0.22)+0.2*0.01</f>
        <v>0.55200000000000005</v>
      </c>
      <c r="J913" s="509"/>
      <c r="K913" s="509"/>
      <c r="L913" s="503">
        <f t="shared" si="533"/>
        <v>0.55200000000000005</v>
      </c>
      <c r="M913" s="503">
        <f t="shared" si="511"/>
        <v>0</v>
      </c>
      <c r="N913" s="503">
        <f t="shared" si="512"/>
        <v>97.15</v>
      </c>
      <c r="O913" s="503">
        <f t="shared" si="513"/>
        <v>0</v>
      </c>
      <c r="P913" s="503">
        <f t="shared" si="514"/>
        <v>0</v>
      </c>
      <c r="Q913" s="503">
        <f t="shared" si="515"/>
        <v>0</v>
      </c>
      <c r="R913" s="503">
        <f t="shared" si="516"/>
        <v>0</v>
      </c>
    </row>
    <row r="914" spans="1:19">
      <c r="A914" s="505"/>
      <c r="B914" s="511" t="s">
        <v>788</v>
      </c>
      <c r="C914" s="507">
        <v>8</v>
      </c>
      <c r="D914" s="508">
        <v>150</v>
      </c>
      <c r="E914" s="507">
        <f t="shared" si="547"/>
        <v>4</v>
      </c>
      <c r="F914" s="502">
        <v>1</v>
      </c>
      <c r="G914" s="502">
        <f>+ROUND(800/D914+1,0)</f>
        <v>6</v>
      </c>
      <c r="H914" s="503"/>
      <c r="I914" s="503">
        <f>2*(0.22+0.72)+24*0.008</f>
        <v>2.0720000000000001</v>
      </c>
      <c r="J914" s="509"/>
      <c r="K914" s="509"/>
      <c r="L914" s="503">
        <f t="shared" si="533"/>
        <v>2.0720000000000001</v>
      </c>
      <c r="M914" s="503">
        <f t="shared" si="511"/>
        <v>49.73</v>
      </c>
      <c r="N914" s="503">
        <f t="shared" si="512"/>
        <v>0</v>
      </c>
      <c r="O914" s="503">
        <f t="shared" si="513"/>
        <v>0</v>
      </c>
      <c r="P914" s="503">
        <f t="shared" si="514"/>
        <v>0</v>
      </c>
      <c r="Q914" s="503">
        <f t="shared" si="515"/>
        <v>0</v>
      </c>
      <c r="R914" s="503">
        <f t="shared" si="516"/>
        <v>0</v>
      </c>
    </row>
    <row r="915" spans="1:19">
      <c r="A915" s="505"/>
      <c r="B915" s="511"/>
      <c r="C915" s="507">
        <v>8</v>
      </c>
      <c r="D915" s="508">
        <v>150</v>
      </c>
      <c r="E915" s="507">
        <f t="shared" si="547"/>
        <v>4</v>
      </c>
      <c r="F915" s="502">
        <v>2</v>
      </c>
      <c r="G915" s="502">
        <f t="shared" ref="G915:G916" si="549">+ROUND(800/D915+1,0)</f>
        <v>6</v>
      </c>
      <c r="H915" s="503"/>
      <c r="I915" s="503">
        <f>2*(0.22+0.115)+24*0.008</f>
        <v>0.8620000000000001</v>
      </c>
      <c r="J915" s="509"/>
      <c r="K915" s="509"/>
      <c r="L915" s="503">
        <f t="shared" si="533"/>
        <v>0.8620000000000001</v>
      </c>
      <c r="M915" s="503">
        <f t="shared" si="511"/>
        <v>41.38</v>
      </c>
      <c r="N915" s="503">
        <f t="shared" si="512"/>
        <v>0</v>
      </c>
      <c r="O915" s="503">
        <f t="shared" si="513"/>
        <v>0</v>
      </c>
      <c r="P915" s="503">
        <f t="shared" si="514"/>
        <v>0</v>
      </c>
      <c r="Q915" s="503">
        <f t="shared" si="515"/>
        <v>0</v>
      </c>
      <c r="R915" s="503">
        <f t="shared" si="516"/>
        <v>0</v>
      </c>
    </row>
    <row r="916" spans="1:19">
      <c r="A916" s="505"/>
      <c r="B916" s="511"/>
      <c r="C916" s="507">
        <v>8</v>
      </c>
      <c r="D916" s="508">
        <v>150</v>
      </c>
      <c r="E916" s="507">
        <f t="shared" si="547"/>
        <v>4</v>
      </c>
      <c r="F916" s="502">
        <v>2</v>
      </c>
      <c r="G916" s="502">
        <f t="shared" si="549"/>
        <v>6</v>
      </c>
      <c r="H916" s="503"/>
      <c r="I916" s="503">
        <f>+(0.165+0.165+0.22)+0.2*0.008</f>
        <v>0.55160000000000009</v>
      </c>
      <c r="J916" s="509"/>
      <c r="K916" s="509"/>
      <c r="L916" s="503">
        <f t="shared" si="533"/>
        <v>0.55160000000000009</v>
      </c>
      <c r="M916" s="503">
        <f t="shared" si="511"/>
        <v>26.48</v>
      </c>
      <c r="N916" s="503">
        <f t="shared" si="512"/>
        <v>0</v>
      </c>
      <c r="O916" s="503">
        <f t="shared" si="513"/>
        <v>0</v>
      </c>
      <c r="P916" s="503">
        <f t="shared" si="514"/>
        <v>0</v>
      </c>
      <c r="Q916" s="503">
        <f t="shared" si="515"/>
        <v>0</v>
      </c>
      <c r="R916" s="503">
        <f t="shared" si="516"/>
        <v>0</v>
      </c>
    </row>
    <row r="917" spans="1:19">
      <c r="A917" s="505"/>
      <c r="B917" s="506" t="s">
        <v>795</v>
      </c>
      <c r="C917" s="507">
        <v>16</v>
      </c>
      <c r="D917" s="508"/>
      <c r="E917" s="507">
        <v>4</v>
      </c>
      <c r="F917" s="502">
        <v>1</v>
      </c>
      <c r="G917" s="502">
        <v>10</v>
      </c>
      <c r="H917" s="503"/>
      <c r="I917" s="503">
        <f t="shared" ref="I917:I918" si="550">106.2-103.25</f>
        <v>2.9500000000000028</v>
      </c>
      <c r="J917" s="509"/>
      <c r="K917" s="509">
        <f t="shared" ref="K917:K918" si="551">1*36*C917/1000</f>
        <v>0.57599999999999996</v>
      </c>
      <c r="L917" s="503">
        <f t="shared" si="533"/>
        <v>3.5260000000000029</v>
      </c>
      <c r="M917" s="503">
        <f t="shared" si="511"/>
        <v>0</v>
      </c>
      <c r="N917" s="503">
        <f t="shared" si="512"/>
        <v>0</v>
      </c>
      <c r="O917" s="503">
        <f t="shared" si="513"/>
        <v>0</v>
      </c>
      <c r="P917" s="503">
        <f t="shared" si="514"/>
        <v>141.04</v>
      </c>
      <c r="Q917" s="503">
        <f t="shared" si="515"/>
        <v>0</v>
      </c>
      <c r="R917" s="503">
        <f t="shared" si="516"/>
        <v>0</v>
      </c>
    </row>
    <row r="918" spans="1:19">
      <c r="A918" s="505"/>
      <c r="B918" s="506"/>
      <c r="C918" s="507">
        <v>12</v>
      </c>
      <c r="D918" s="508"/>
      <c r="E918" s="507">
        <v>4</v>
      </c>
      <c r="F918" s="502">
        <v>1</v>
      </c>
      <c r="G918" s="502">
        <v>4</v>
      </c>
      <c r="H918" s="503"/>
      <c r="I918" s="503">
        <f t="shared" si="550"/>
        <v>2.9500000000000028</v>
      </c>
      <c r="J918" s="509"/>
      <c r="K918" s="509">
        <f t="shared" si="551"/>
        <v>0.432</v>
      </c>
      <c r="L918" s="503">
        <f t="shared" ref="L918" si="552">SUM(H918:J918)+K918</f>
        <v>3.3820000000000028</v>
      </c>
      <c r="M918" s="503">
        <f t="shared" si="511"/>
        <v>0</v>
      </c>
      <c r="N918" s="503">
        <f t="shared" si="512"/>
        <v>0</v>
      </c>
      <c r="O918" s="503">
        <f t="shared" si="513"/>
        <v>54.11</v>
      </c>
      <c r="P918" s="503">
        <f t="shared" si="514"/>
        <v>0</v>
      </c>
      <c r="Q918" s="503">
        <f t="shared" si="515"/>
        <v>0</v>
      </c>
      <c r="R918" s="503">
        <f t="shared" si="516"/>
        <v>0</v>
      </c>
    </row>
    <row r="919" spans="1:19">
      <c r="A919" s="505"/>
      <c r="B919" s="511" t="s">
        <v>787</v>
      </c>
      <c r="C919" s="507">
        <v>10</v>
      </c>
      <c r="D919" s="508">
        <v>75</v>
      </c>
      <c r="E919" s="507">
        <f>+E917</f>
        <v>4</v>
      </c>
      <c r="F919" s="502">
        <v>2</v>
      </c>
      <c r="G919" s="502">
        <f>+ROUND(600/D919,0)</f>
        <v>8</v>
      </c>
      <c r="H919" s="503"/>
      <c r="I919" s="503">
        <f>2*(0.22+0.52)+24*0.01</f>
        <v>1.72</v>
      </c>
      <c r="J919" s="509"/>
      <c r="K919" s="509"/>
      <c r="L919" s="503">
        <f t="shared" ref="L919:L974" si="553">SUM(H919:J919)+K919</f>
        <v>1.72</v>
      </c>
      <c r="M919" s="503">
        <f t="shared" si="511"/>
        <v>0</v>
      </c>
      <c r="N919" s="503">
        <f t="shared" si="512"/>
        <v>110.08</v>
      </c>
      <c r="O919" s="503">
        <f t="shared" si="513"/>
        <v>0</v>
      </c>
      <c r="P919" s="503">
        <f t="shared" si="514"/>
        <v>0</v>
      </c>
      <c r="Q919" s="503">
        <f t="shared" si="515"/>
        <v>0</v>
      </c>
      <c r="R919" s="503">
        <f t="shared" si="516"/>
        <v>0</v>
      </c>
    </row>
    <row r="920" spans="1:19">
      <c r="A920" s="505"/>
      <c r="B920" s="511"/>
      <c r="C920" s="507">
        <v>10</v>
      </c>
      <c r="D920" s="508">
        <v>75</v>
      </c>
      <c r="E920" s="507">
        <f t="shared" ref="E920:E924" si="554">+E919</f>
        <v>4</v>
      </c>
      <c r="F920" s="502">
        <v>2</v>
      </c>
      <c r="G920" s="502">
        <f t="shared" ref="G920:G921" si="555">+ROUND(600/D920,0)</f>
        <v>8</v>
      </c>
      <c r="H920" s="503"/>
      <c r="I920" s="503">
        <f>2*(0.22+0.115)+24*0.01</f>
        <v>0.91</v>
      </c>
      <c r="J920" s="509"/>
      <c r="K920" s="509"/>
      <c r="L920" s="503">
        <f t="shared" si="553"/>
        <v>0.91</v>
      </c>
      <c r="M920" s="503">
        <f t="shared" si="511"/>
        <v>0</v>
      </c>
      <c r="N920" s="503">
        <f t="shared" si="512"/>
        <v>58.24</v>
      </c>
      <c r="O920" s="503">
        <f t="shared" si="513"/>
        <v>0</v>
      </c>
      <c r="P920" s="503">
        <f t="shared" si="514"/>
        <v>0</v>
      </c>
      <c r="Q920" s="503">
        <f t="shared" si="515"/>
        <v>0</v>
      </c>
      <c r="R920" s="503">
        <f t="shared" si="516"/>
        <v>0</v>
      </c>
    </row>
    <row r="921" spans="1:19">
      <c r="A921" s="505"/>
      <c r="B921" s="511"/>
      <c r="C921" s="507">
        <v>10</v>
      </c>
      <c r="D921" s="508">
        <v>75</v>
      </c>
      <c r="E921" s="507">
        <f t="shared" si="554"/>
        <v>4</v>
      </c>
      <c r="F921" s="502">
        <f>2*2</f>
        <v>4</v>
      </c>
      <c r="G921" s="502">
        <f t="shared" si="555"/>
        <v>8</v>
      </c>
      <c r="H921" s="503"/>
      <c r="I921" s="503">
        <f>+(0.16+0.16+0.22)+0.24*0.01</f>
        <v>0.54239999999999999</v>
      </c>
      <c r="J921" s="509"/>
      <c r="K921" s="509"/>
      <c r="L921" s="503">
        <f t="shared" si="553"/>
        <v>0.54239999999999999</v>
      </c>
      <c r="M921" s="503">
        <f t="shared" si="511"/>
        <v>0</v>
      </c>
      <c r="N921" s="503">
        <f t="shared" si="512"/>
        <v>69.430000000000007</v>
      </c>
      <c r="O921" s="503">
        <f t="shared" si="513"/>
        <v>0</v>
      </c>
      <c r="P921" s="503">
        <f t="shared" si="514"/>
        <v>0</v>
      </c>
      <c r="Q921" s="503">
        <f t="shared" si="515"/>
        <v>0</v>
      </c>
      <c r="R921" s="503">
        <f t="shared" si="516"/>
        <v>0</v>
      </c>
    </row>
    <row r="922" spans="1:19">
      <c r="A922" s="505"/>
      <c r="B922" s="511" t="s">
        <v>788</v>
      </c>
      <c r="C922" s="507">
        <v>8</v>
      </c>
      <c r="D922" s="508">
        <v>150</v>
      </c>
      <c r="E922" s="507">
        <f t="shared" si="554"/>
        <v>4</v>
      </c>
      <c r="F922" s="502">
        <v>1</v>
      </c>
      <c r="G922" s="502">
        <f>+ROUND(1250/D922+1,0)</f>
        <v>9</v>
      </c>
      <c r="H922" s="503"/>
      <c r="I922" s="503">
        <f>2*(0.22+0.52)+24*0.008</f>
        <v>1.6719999999999999</v>
      </c>
      <c r="J922" s="509"/>
      <c r="K922" s="509"/>
      <c r="L922" s="503">
        <f t="shared" si="553"/>
        <v>1.6719999999999999</v>
      </c>
      <c r="M922" s="503">
        <f t="shared" si="511"/>
        <v>60.19</v>
      </c>
      <c r="N922" s="503">
        <f t="shared" si="512"/>
        <v>0</v>
      </c>
      <c r="O922" s="503">
        <f t="shared" si="513"/>
        <v>0</v>
      </c>
      <c r="P922" s="503">
        <f t="shared" si="514"/>
        <v>0</v>
      </c>
      <c r="Q922" s="503">
        <f t="shared" si="515"/>
        <v>0</v>
      </c>
      <c r="R922" s="503">
        <f t="shared" si="516"/>
        <v>0</v>
      </c>
    </row>
    <row r="923" spans="1:19">
      <c r="A923" s="505"/>
      <c r="B923" s="511"/>
      <c r="C923" s="507">
        <v>8</v>
      </c>
      <c r="D923" s="508">
        <v>150</v>
      </c>
      <c r="E923" s="507">
        <f t="shared" si="554"/>
        <v>4</v>
      </c>
      <c r="F923" s="502">
        <v>1</v>
      </c>
      <c r="G923" s="502">
        <f t="shared" ref="G923:G924" si="556">+ROUND(1250/D923+1,0)</f>
        <v>9</v>
      </c>
      <c r="H923" s="503"/>
      <c r="I923" s="503">
        <f>2*(0.22+0.115)+24*0.008</f>
        <v>0.8620000000000001</v>
      </c>
      <c r="J923" s="509"/>
      <c r="K923" s="509"/>
      <c r="L923" s="503">
        <f t="shared" si="553"/>
        <v>0.8620000000000001</v>
      </c>
      <c r="M923" s="503">
        <f t="shared" si="511"/>
        <v>31.03</v>
      </c>
      <c r="N923" s="503">
        <f t="shared" si="512"/>
        <v>0</v>
      </c>
      <c r="O923" s="503">
        <f t="shared" si="513"/>
        <v>0</v>
      </c>
      <c r="P923" s="503">
        <f t="shared" si="514"/>
        <v>0</v>
      </c>
      <c r="Q923" s="503">
        <f t="shared" si="515"/>
        <v>0</v>
      </c>
      <c r="R923" s="503">
        <f t="shared" si="516"/>
        <v>0</v>
      </c>
    </row>
    <row r="924" spans="1:19">
      <c r="A924" s="505"/>
      <c r="B924" s="511"/>
      <c r="C924" s="507">
        <v>8</v>
      </c>
      <c r="D924" s="508">
        <v>150</v>
      </c>
      <c r="E924" s="507">
        <f t="shared" si="554"/>
        <v>4</v>
      </c>
      <c r="F924" s="502">
        <v>2</v>
      </c>
      <c r="G924" s="502">
        <f t="shared" si="556"/>
        <v>9</v>
      </c>
      <c r="H924" s="503"/>
      <c r="I924" s="503">
        <f>+(0.16+0.16+0.22)+0.2*0.008</f>
        <v>0.54160000000000008</v>
      </c>
      <c r="J924" s="509"/>
      <c r="K924" s="509"/>
      <c r="L924" s="503">
        <f t="shared" si="553"/>
        <v>0.54160000000000008</v>
      </c>
      <c r="M924" s="503">
        <f t="shared" si="511"/>
        <v>39</v>
      </c>
      <c r="N924" s="503">
        <f t="shared" si="512"/>
        <v>0</v>
      </c>
      <c r="O924" s="503">
        <f t="shared" si="513"/>
        <v>0</v>
      </c>
      <c r="P924" s="503">
        <f t="shared" si="514"/>
        <v>0</v>
      </c>
      <c r="Q924" s="503">
        <f t="shared" si="515"/>
        <v>0</v>
      </c>
      <c r="R924" s="503">
        <f t="shared" si="516"/>
        <v>0</v>
      </c>
    </row>
    <row r="925" spans="1:19">
      <c r="A925" s="530"/>
      <c r="B925" s="506" t="s">
        <v>924</v>
      </c>
      <c r="C925" s="507">
        <v>16</v>
      </c>
      <c r="D925" s="508"/>
      <c r="E925" s="507">
        <v>4</v>
      </c>
      <c r="F925" s="502">
        <v>1</v>
      </c>
      <c r="G925" s="502">
        <v>4</v>
      </c>
      <c r="H925" s="503"/>
      <c r="I925" s="503">
        <v>2.95</v>
      </c>
      <c r="J925" s="509"/>
      <c r="K925" s="509">
        <f t="shared" ref="K925:K926" si="557">1*36*C925/1000</f>
        <v>0.57599999999999996</v>
      </c>
      <c r="L925" s="503">
        <f t="shared" ref="L925:L940" si="558">SUM(H925:J925)+K925</f>
        <v>3.5260000000000002</v>
      </c>
      <c r="M925" s="503">
        <f t="shared" si="511"/>
        <v>0</v>
      </c>
      <c r="N925" s="503">
        <f t="shared" si="512"/>
        <v>0</v>
      </c>
      <c r="O925" s="503">
        <f t="shared" si="513"/>
        <v>0</v>
      </c>
      <c r="P925" s="503">
        <f t="shared" si="514"/>
        <v>56.42</v>
      </c>
      <c r="Q925" s="503">
        <f t="shared" si="515"/>
        <v>0</v>
      </c>
      <c r="R925" s="503">
        <f t="shared" si="516"/>
        <v>0</v>
      </c>
      <c r="S925" s="221">
        <f>+G925*E925</f>
        <v>16</v>
      </c>
    </row>
    <row r="926" spans="1:19">
      <c r="A926" s="505"/>
      <c r="B926" s="511"/>
      <c r="C926" s="507">
        <v>12</v>
      </c>
      <c r="D926" s="508"/>
      <c r="E926" s="507">
        <f>+E925</f>
        <v>4</v>
      </c>
      <c r="F926" s="502">
        <v>1</v>
      </c>
      <c r="G926" s="502">
        <v>10</v>
      </c>
      <c r="H926" s="503"/>
      <c r="I926" s="503">
        <v>2.95</v>
      </c>
      <c r="J926" s="509"/>
      <c r="K926" s="509">
        <f t="shared" si="557"/>
        <v>0.432</v>
      </c>
      <c r="L926" s="503">
        <f t="shared" si="558"/>
        <v>3.3820000000000001</v>
      </c>
      <c r="M926" s="503">
        <f t="shared" si="511"/>
        <v>0</v>
      </c>
      <c r="N926" s="503">
        <f t="shared" si="512"/>
        <v>0</v>
      </c>
      <c r="O926" s="503">
        <f t="shared" si="513"/>
        <v>135.28</v>
      </c>
      <c r="P926" s="503">
        <f t="shared" si="514"/>
        <v>0</v>
      </c>
      <c r="Q926" s="503">
        <f t="shared" si="515"/>
        <v>0</v>
      </c>
      <c r="R926" s="503">
        <f t="shared" si="516"/>
        <v>0</v>
      </c>
      <c r="S926" s="221">
        <f>+G926*E926</f>
        <v>40</v>
      </c>
    </row>
    <row r="927" spans="1:19">
      <c r="A927" s="505"/>
      <c r="B927" s="511" t="s">
        <v>787</v>
      </c>
      <c r="C927" s="507">
        <v>10</v>
      </c>
      <c r="D927" s="508">
        <v>75</v>
      </c>
      <c r="E927" s="507">
        <f>+E926</f>
        <v>4</v>
      </c>
      <c r="F927" s="502">
        <v>2</v>
      </c>
      <c r="G927" s="502">
        <f>+ROUND(600/D927,0)</f>
        <v>8</v>
      </c>
      <c r="H927" s="503"/>
      <c r="I927" s="503">
        <f>2*(0.2+0.5)+24*0.01</f>
        <v>1.64</v>
      </c>
      <c r="J927" s="509"/>
      <c r="K927" s="509"/>
      <c r="L927" s="503">
        <f t="shared" si="558"/>
        <v>1.64</v>
      </c>
      <c r="M927" s="503">
        <f t="shared" si="511"/>
        <v>0</v>
      </c>
      <c r="N927" s="503">
        <f t="shared" si="512"/>
        <v>104.96</v>
      </c>
      <c r="O927" s="503">
        <f t="shared" si="513"/>
        <v>0</v>
      </c>
      <c r="P927" s="503">
        <f t="shared" si="514"/>
        <v>0</v>
      </c>
      <c r="Q927" s="503">
        <f t="shared" si="515"/>
        <v>0</v>
      </c>
      <c r="R927" s="503">
        <f t="shared" si="516"/>
        <v>0</v>
      </c>
    </row>
    <row r="928" spans="1:19">
      <c r="A928" s="505"/>
      <c r="B928" s="511"/>
      <c r="C928" s="507">
        <v>10</v>
      </c>
      <c r="D928" s="508">
        <v>75</v>
      </c>
      <c r="E928" s="507">
        <f t="shared" ref="E928:E932" si="559">+E927</f>
        <v>4</v>
      </c>
      <c r="F928" s="502">
        <v>2</v>
      </c>
      <c r="G928" s="502">
        <f t="shared" ref="G928:G929" si="560">+ROUND(600/D928,0)</f>
        <v>8</v>
      </c>
      <c r="H928" s="503"/>
      <c r="I928" s="503">
        <f>2*(0.2+0.115)+24*0.01</f>
        <v>0.87</v>
      </c>
      <c r="J928" s="509"/>
      <c r="K928" s="509"/>
      <c r="L928" s="503">
        <f t="shared" si="558"/>
        <v>0.87</v>
      </c>
      <c r="M928" s="503">
        <f t="shared" si="511"/>
        <v>0</v>
      </c>
      <c r="N928" s="503">
        <f t="shared" si="512"/>
        <v>55.68</v>
      </c>
      <c r="O928" s="503">
        <f t="shared" si="513"/>
        <v>0</v>
      </c>
      <c r="P928" s="503">
        <f t="shared" si="514"/>
        <v>0</v>
      </c>
      <c r="Q928" s="503">
        <f t="shared" si="515"/>
        <v>0</v>
      </c>
      <c r="R928" s="503">
        <f t="shared" si="516"/>
        <v>0</v>
      </c>
    </row>
    <row r="929" spans="1:19">
      <c r="A929" s="505"/>
      <c r="B929" s="511"/>
      <c r="C929" s="507">
        <v>10</v>
      </c>
      <c r="D929" s="508">
        <v>75</v>
      </c>
      <c r="E929" s="507">
        <f t="shared" si="559"/>
        <v>4</v>
      </c>
      <c r="F929" s="502">
        <f>2*2</f>
        <v>4</v>
      </c>
      <c r="G929" s="502">
        <f t="shared" si="560"/>
        <v>8</v>
      </c>
      <c r="H929" s="503"/>
      <c r="I929" s="503">
        <f>+(0.168+0.168+0.2)+20*0.01</f>
        <v>0.73599999999999999</v>
      </c>
      <c r="J929" s="509"/>
      <c r="K929" s="509"/>
      <c r="L929" s="503">
        <f t="shared" si="558"/>
        <v>0.73599999999999999</v>
      </c>
      <c r="M929" s="503">
        <f t="shared" si="511"/>
        <v>0</v>
      </c>
      <c r="N929" s="503">
        <f t="shared" si="512"/>
        <v>94.21</v>
      </c>
      <c r="O929" s="503">
        <f t="shared" si="513"/>
        <v>0</v>
      </c>
      <c r="P929" s="503">
        <f t="shared" si="514"/>
        <v>0</v>
      </c>
      <c r="Q929" s="503">
        <f t="shared" si="515"/>
        <v>0</v>
      </c>
      <c r="R929" s="503">
        <f t="shared" si="516"/>
        <v>0</v>
      </c>
    </row>
    <row r="930" spans="1:19">
      <c r="A930" s="505"/>
      <c r="B930" s="511" t="s">
        <v>788</v>
      </c>
      <c r="C930" s="507">
        <v>8</v>
      </c>
      <c r="D930" s="508">
        <v>150</v>
      </c>
      <c r="E930" s="507">
        <f t="shared" si="559"/>
        <v>4</v>
      </c>
      <c r="F930" s="502">
        <v>1</v>
      </c>
      <c r="G930" s="502">
        <f t="shared" ref="G930:G932" si="561">+ROUND(1400/D930+1,0)</f>
        <v>10</v>
      </c>
      <c r="H930" s="503"/>
      <c r="I930" s="503">
        <f>2*(0.204+0.504)+24*0.008</f>
        <v>1.6079999999999999</v>
      </c>
      <c r="J930" s="509"/>
      <c r="K930" s="509"/>
      <c r="L930" s="503">
        <f t="shared" si="558"/>
        <v>1.6079999999999999</v>
      </c>
      <c r="M930" s="503">
        <f t="shared" si="511"/>
        <v>64.319999999999993</v>
      </c>
      <c r="N930" s="503">
        <f t="shared" si="512"/>
        <v>0</v>
      </c>
      <c r="O930" s="503">
        <f t="shared" si="513"/>
        <v>0</v>
      </c>
      <c r="P930" s="503">
        <f t="shared" si="514"/>
        <v>0</v>
      </c>
      <c r="Q930" s="503">
        <f t="shared" si="515"/>
        <v>0</v>
      </c>
      <c r="R930" s="503">
        <f t="shared" si="516"/>
        <v>0</v>
      </c>
    </row>
    <row r="931" spans="1:19">
      <c r="A931" s="505"/>
      <c r="B931" s="511"/>
      <c r="C931" s="507">
        <v>8</v>
      </c>
      <c r="D931" s="508">
        <v>150</v>
      </c>
      <c r="E931" s="507">
        <f t="shared" si="559"/>
        <v>4</v>
      </c>
      <c r="F931" s="502">
        <v>1</v>
      </c>
      <c r="G931" s="502">
        <f t="shared" si="561"/>
        <v>10</v>
      </c>
      <c r="H931" s="503"/>
      <c r="I931" s="503">
        <f>2*(0.204+0.115)+24*0.008</f>
        <v>0.83000000000000007</v>
      </c>
      <c r="J931" s="509"/>
      <c r="K931" s="509"/>
      <c r="L931" s="503">
        <f t="shared" si="558"/>
        <v>0.83000000000000007</v>
      </c>
      <c r="M931" s="503">
        <f t="shared" si="511"/>
        <v>33.200000000000003</v>
      </c>
      <c r="N931" s="503">
        <f t="shared" si="512"/>
        <v>0</v>
      </c>
      <c r="O931" s="503">
        <f t="shared" si="513"/>
        <v>0</v>
      </c>
      <c r="P931" s="503">
        <f t="shared" si="514"/>
        <v>0</v>
      </c>
      <c r="Q931" s="503">
        <f t="shared" si="515"/>
        <v>0</v>
      </c>
      <c r="R931" s="503">
        <f t="shared" si="516"/>
        <v>0</v>
      </c>
    </row>
    <row r="932" spans="1:19">
      <c r="A932" s="505"/>
      <c r="B932" s="511"/>
      <c r="C932" s="507">
        <v>8</v>
      </c>
      <c r="D932" s="508">
        <v>150</v>
      </c>
      <c r="E932" s="507">
        <f t="shared" si="559"/>
        <v>4</v>
      </c>
      <c r="F932" s="502">
        <v>2</v>
      </c>
      <c r="G932" s="502">
        <f t="shared" si="561"/>
        <v>10</v>
      </c>
      <c r="H932" s="503"/>
      <c r="I932" s="503">
        <f>+(0.168+0.168+0.204)+20*0.008</f>
        <v>0.70000000000000007</v>
      </c>
      <c r="J932" s="509"/>
      <c r="K932" s="509"/>
      <c r="L932" s="503">
        <f t="shared" si="558"/>
        <v>0.70000000000000007</v>
      </c>
      <c r="M932" s="503">
        <f t="shared" si="511"/>
        <v>56</v>
      </c>
      <c r="N932" s="503">
        <f t="shared" si="512"/>
        <v>0</v>
      </c>
      <c r="O932" s="503">
        <f t="shared" si="513"/>
        <v>0</v>
      </c>
      <c r="P932" s="503">
        <f t="shared" si="514"/>
        <v>0</v>
      </c>
      <c r="Q932" s="503">
        <f t="shared" si="515"/>
        <v>0</v>
      </c>
      <c r="R932" s="503">
        <f t="shared" si="516"/>
        <v>0</v>
      </c>
    </row>
    <row r="933" spans="1:19">
      <c r="A933" s="530"/>
      <c r="B933" s="506" t="s">
        <v>925</v>
      </c>
      <c r="C933" s="507">
        <v>16</v>
      </c>
      <c r="D933" s="508"/>
      <c r="E933" s="507">
        <v>10</v>
      </c>
      <c r="F933" s="502">
        <v>1</v>
      </c>
      <c r="G933" s="502">
        <v>8</v>
      </c>
      <c r="H933" s="503"/>
      <c r="I933" s="503">
        <v>2.95</v>
      </c>
      <c r="J933" s="509"/>
      <c r="K933" s="509">
        <f t="shared" ref="K933:K934" si="562">1*36*C933/1000</f>
        <v>0.57599999999999996</v>
      </c>
      <c r="L933" s="503">
        <f t="shared" si="558"/>
        <v>3.5260000000000002</v>
      </c>
      <c r="M933" s="503">
        <f t="shared" si="511"/>
        <v>0</v>
      </c>
      <c r="N933" s="503">
        <f t="shared" si="512"/>
        <v>0</v>
      </c>
      <c r="O933" s="503">
        <f t="shared" si="513"/>
        <v>0</v>
      </c>
      <c r="P933" s="503">
        <f t="shared" si="514"/>
        <v>282.08</v>
      </c>
      <c r="Q933" s="503">
        <f t="shared" si="515"/>
        <v>0</v>
      </c>
      <c r="R933" s="503">
        <f t="shared" si="516"/>
        <v>0</v>
      </c>
      <c r="S933" s="221">
        <f>+G933*E933</f>
        <v>80</v>
      </c>
    </row>
    <row r="934" spans="1:19">
      <c r="A934" s="530"/>
      <c r="B934" s="506"/>
      <c r="C934" s="507">
        <v>12</v>
      </c>
      <c r="D934" s="508"/>
      <c r="E934" s="507">
        <v>10</v>
      </c>
      <c r="F934" s="502">
        <v>1</v>
      </c>
      <c r="G934" s="502">
        <v>6</v>
      </c>
      <c r="H934" s="503"/>
      <c r="I934" s="503">
        <v>2.95</v>
      </c>
      <c r="J934" s="509"/>
      <c r="K934" s="509">
        <f t="shared" si="562"/>
        <v>0.432</v>
      </c>
      <c r="L934" s="503">
        <f t="shared" ref="L934" si="563">SUM(H934:J934)+K934</f>
        <v>3.3820000000000001</v>
      </c>
      <c r="M934" s="503">
        <f t="shared" ref="M934" si="564">+ROUND(IF(C934=8,PRODUCT(E934,F934,G934,L934),0),2)</f>
        <v>0</v>
      </c>
      <c r="N934" s="503">
        <f t="shared" ref="N934" si="565">+ROUND(IF(C934=10,PRODUCT(E934,F934,G934,L934),0),2)</f>
        <v>0</v>
      </c>
      <c r="O934" s="503">
        <f t="shared" ref="O934" si="566">+ROUND(IF(C934=12,PRODUCT(E934,F934,G934,L934),0),2)</f>
        <v>202.92</v>
      </c>
      <c r="P934" s="503">
        <f t="shared" ref="P934" si="567">+ROUND(IF(C934=16,PRODUCT(E934,F934,G934,L934),0),2)</f>
        <v>0</v>
      </c>
      <c r="Q934" s="503">
        <f t="shared" ref="Q934" si="568">+ROUND(IF(C934=20,PRODUCT(E934,F934,G934,L934),0),2)</f>
        <v>0</v>
      </c>
      <c r="R934" s="503">
        <f t="shared" ref="R934" si="569">+ROUND(IF(C934=25,PRODUCT(E934,F934,G934,L934),0),2)</f>
        <v>0</v>
      </c>
      <c r="S934" s="221">
        <f>+G934*E934</f>
        <v>60</v>
      </c>
    </row>
    <row r="935" spans="1:19">
      <c r="A935" s="505"/>
      <c r="B935" s="511" t="s">
        <v>787</v>
      </c>
      <c r="C935" s="507">
        <v>10</v>
      </c>
      <c r="D935" s="508">
        <v>75</v>
      </c>
      <c r="E935" s="507">
        <f>+E933</f>
        <v>10</v>
      </c>
      <c r="F935" s="502">
        <v>2</v>
      </c>
      <c r="G935" s="502">
        <f>+ROUND(600/D935,0)</f>
        <v>8</v>
      </c>
      <c r="H935" s="503"/>
      <c r="I935" s="503">
        <f>2*(0.2+0.5)+24*0.01</f>
        <v>1.64</v>
      </c>
      <c r="J935" s="509"/>
      <c r="K935" s="509"/>
      <c r="L935" s="503">
        <f t="shared" si="558"/>
        <v>1.64</v>
      </c>
      <c r="M935" s="503">
        <f t="shared" si="511"/>
        <v>0</v>
      </c>
      <c r="N935" s="503">
        <f t="shared" si="512"/>
        <v>262.39999999999998</v>
      </c>
      <c r="O935" s="503">
        <f t="shared" si="513"/>
        <v>0</v>
      </c>
      <c r="P935" s="503">
        <f t="shared" si="514"/>
        <v>0</v>
      </c>
      <c r="Q935" s="503">
        <f t="shared" si="515"/>
        <v>0</v>
      </c>
      <c r="R935" s="503">
        <f t="shared" si="516"/>
        <v>0</v>
      </c>
    </row>
    <row r="936" spans="1:19">
      <c r="A936" s="505"/>
      <c r="B936" s="511"/>
      <c r="C936" s="507">
        <v>10</v>
      </c>
      <c r="D936" s="508">
        <v>75</v>
      </c>
      <c r="E936" s="507">
        <f t="shared" ref="E936:E940" si="570">+E935</f>
        <v>10</v>
      </c>
      <c r="F936" s="502">
        <v>2</v>
      </c>
      <c r="G936" s="502">
        <f t="shared" ref="G936:G937" si="571">+ROUND(600/D936,0)</f>
        <v>8</v>
      </c>
      <c r="H936" s="503"/>
      <c r="I936" s="503">
        <f>2*(0.2+0.115)+24*0.01</f>
        <v>0.87</v>
      </c>
      <c r="J936" s="509"/>
      <c r="K936" s="509"/>
      <c r="L936" s="503">
        <f t="shared" si="558"/>
        <v>0.87</v>
      </c>
      <c r="M936" s="503">
        <f t="shared" si="511"/>
        <v>0</v>
      </c>
      <c r="N936" s="503">
        <f t="shared" si="512"/>
        <v>139.19999999999999</v>
      </c>
      <c r="O936" s="503">
        <f t="shared" si="513"/>
        <v>0</v>
      </c>
      <c r="P936" s="503">
        <f t="shared" si="514"/>
        <v>0</v>
      </c>
      <c r="Q936" s="503">
        <f t="shared" si="515"/>
        <v>0</v>
      </c>
      <c r="R936" s="503">
        <f t="shared" si="516"/>
        <v>0</v>
      </c>
    </row>
    <row r="937" spans="1:19">
      <c r="A937" s="505"/>
      <c r="B937" s="511"/>
      <c r="C937" s="507">
        <v>10</v>
      </c>
      <c r="D937" s="508">
        <v>75</v>
      </c>
      <c r="E937" s="507">
        <f t="shared" si="570"/>
        <v>10</v>
      </c>
      <c r="F937" s="502">
        <f>2*2</f>
        <v>4</v>
      </c>
      <c r="G937" s="502">
        <f t="shared" si="571"/>
        <v>8</v>
      </c>
      <c r="H937" s="503"/>
      <c r="I937" s="503">
        <f>+(0.168+0.168+0.2)+20*0.01</f>
        <v>0.73599999999999999</v>
      </c>
      <c r="J937" s="509"/>
      <c r="K937" s="509"/>
      <c r="L937" s="503">
        <f t="shared" si="558"/>
        <v>0.73599999999999999</v>
      </c>
      <c r="M937" s="503">
        <f t="shared" si="511"/>
        <v>0</v>
      </c>
      <c r="N937" s="503">
        <f t="shared" si="512"/>
        <v>235.52</v>
      </c>
      <c r="O937" s="503">
        <f t="shared" si="513"/>
        <v>0</v>
      </c>
      <c r="P937" s="503">
        <f t="shared" si="514"/>
        <v>0</v>
      </c>
      <c r="Q937" s="503">
        <f t="shared" si="515"/>
        <v>0</v>
      </c>
      <c r="R937" s="503">
        <f t="shared" si="516"/>
        <v>0</v>
      </c>
    </row>
    <row r="938" spans="1:19">
      <c r="A938" s="505"/>
      <c r="B938" s="511" t="s">
        <v>788</v>
      </c>
      <c r="C938" s="507">
        <v>8</v>
      </c>
      <c r="D938" s="508">
        <v>150</v>
      </c>
      <c r="E938" s="507">
        <f t="shared" si="570"/>
        <v>10</v>
      </c>
      <c r="F938" s="502">
        <v>1</v>
      </c>
      <c r="G938" s="502">
        <f t="shared" ref="G938:G940" si="572">+ROUND(1400/D938+1,0)</f>
        <v>10</v>
      </c>
      <c r="H938" s="503"/>
      <c r="I938" s="503">
        <f>2*(0.204+0.504)+24*0.008</f>
        <v>1.6079999999999999</v>
      </c>
      <c r="J938" s="509"/>
      <c r="K938" s="509"/>
      <c r="L938" s="503">
        <f t="shared" si="558"/>
        <v>1.6079999999999999</v>
      </c>
      <c r="M938" s="503">
        <f t="shared" si="511"/>
        <v>160.80000000000001</v>
      </c>
      <c r="N938" s="503">
        <f t="shared" si="512"/>
        <v>0</v>
      </c>
      <c r="O938" s="503">
        <f t="shared" si="513"/>
        <v>0</v>
      </c>
      <c r="P938" s="503">
        <f t="shared" si="514"/>
        <v>0</v>
      </c>
      <c r="Q938" s="503">
        <f t="shared" si="515"/>
        <v>0</v>
      </c>
      <c r="R938" s="503">
        <f t="shared" si="516"/>
        <v>0</v>
      </c>
    </row>
    <row r="939" spans="1:19">
      <c r="A939" s="505"/>
      <c r="B939" s="511"/>
      <c r="C939" s="507">
        <v>8</v>
      </c>
      <c r="D939" s="508">
        <v>150</v>
      </c>
      <c r="E939" s="507">
        <f t="shared" si="570"/>
        <v>10</v>
      </c>
      <c r="F939" s="502">
        <v>1</v>
      </c>
      <c r="G939" s="502">
        <f t="shared" si="572"/>
        <v>10</v>
      </c>
      <c r="H939" s="503"/>
      <c r="I939" s="503">
        <f>2*(0.204+0.115)+24*0.008</f>
        <v>0.83000000000000007</v>
      </c>
      <c r="J939" s="509"/>
      <c r="K939" s="509"/>
      <c r="L939" s="503">
        <f t="shared" si="558"/>
        <v>0.83000000000000007</v>
      </c>
      <c r="M939" s="503">
        <f t="shared" si="511"/>
        <v>83</v>
      </c>
      <c r="N939" s="503">
        <f t="shared" si="512"/>
        <v>0</v>
      </c>
      <c r="O939" s="503">
        <f t="shared" si="513"/>
        <v>0</v>
      </c>
      <c r="P939" s="503">
        <f t="shared" si="514"/>
        <v>0</v>
      </c>
      <c r="Q939" s="503">
        <f t="shared" si="515"/>
        <v>0</v>
      </c>
      <c r="R939" s="503">
        <f t="shared" si="516"/>
        <v>0</v>
      </c>
    </row>
    <row r="940" spans="1:19">
      <c r="A940" s="505"/>
      <c r="B940" s="511"/>
      <c r="C940" s="507">
        <v>8</v>
      </c>
      <c r="D940" s="508">
        <v>150</v>
      </c>
      <c r="E940" s="507">
        <f t="shared" si="570"/>
        <v>10</v>
      </c>
      <c r="F940" s="502">
        <v>2</v>
      </c>
      <c r="G940" s="502">
        <f t="shared" si="572"/>
        <v>10</v>
      </c>
      <c r="H940" s="503"/>
      <c r="I940" s="503">
        <f>+(0.168+0.168+0.204)+20*0.008</f>
        <v>0.70000000000000007</v>
      </c>
      <c r="J940" s="509"/>
      <c r="K940" s="509"/>
      <c r="L940" s="503">
        <f t="shared" si="558"/>
        <v>0.70000000000000007</v>
      </c>
      <c r="M940" s="503">
        <f t="shared" si="511"/>
        <v>140</v>
      </c>
      <c r="N940" s="503">
        <f t="shared" si="512"/>
        <v>0</v>
      </c>
      <c r="O940" s="503">
        <f t="shared" si="513"/>
        <v>0</v>
      </c>
      <c r="P940" s="503">
        <f t="shared" si="514"/>
        <v>0</v>
      </c>
      <c r="Q940" s="503">
        <f t="shared" si="515"/>
        <v>0</v>
      </c>
      <c r="R940" s="503">
        <f t="shared" si="516"/>
        <v>0</v>
      </c>
    </row>
    <row r="941" spans="1:19">
      <c r="A941" s="530"/>
      <c r="B941" s="506" t="s">
        <v>926</v>
      </c>
      <c r="C941" s="507">
        <v>16</v>
      </c>
      <c r="D941" s="508"/>
      <c r="E941" s="507">
        <v>4</v>
      </c>
      <c r="F941" s="502">
        <v>1</v>
      </c>
      <c r="G941" s="502">
        <v>4</v>
      </c>
      <c r="H941" s="503"/>
      <c r="I941" s="503">
        <v>2.95</v>
      </c>
      <c r="J941" s="509"/>
      <c r="K941" s="509">
        <f t="shared" ref="K941:K942" si="573">1*36*C941/1000</f>
        <v>0.57599999999999996</v>
      </c>
      <c r="L941" s="503">
        <f t="shared" ref="L941:L950" si="574">SUM(H941:J941)+K941</f>
        <v>3.5260000000000002</v>
      </c>
      <c r="M941" s="503">
        <f t="shared" si="511"/>
        <v>0</v>
      </c>
      <c r="N941" s="503">
        <f t="shared" si="512"/>
        <v>0</v>
      </c>
      <c r="O941" s="503">
        <f t="shared" si="513"/>
        <v>0</v>
      </c>
      <c r="P941" s="503">
        <f t="shared" si="514"/>
        <v>56.42</v>
      </c>
      <c r="Q941" s="503">
        <f t="shared" si="515"/>
        <v>0</v>
      </c>
      <c r="R941" s="503">
        <f t="shared" si="516"/>
        <v>0</v>
      </c>
      <c r="S941" s="221">
        <f>+G941*E941</f>
        <v>16</v>
      </c>
    </row>
    <row r="942" spans="1:19">
      <c r="A942" s="505"/>
      <c r="B942" s="511"/>
      <c r="C942" s="507">
        <v>12</v>
      </c>
      <c r="D942" s="508"/>
      <c r="E942" s="507">
        <f>+E941</f>
        <v>4</v>
      </c>
      <c r="F942" s="502">
        <v>1</v>
      </c>
      <c r="G942" s="502">
        <v>12</v>
      </c>
      <c r="H942" s="503"/>
      <c r="I942" s="503">
        <v>2.95</v>
      </c>
      <c r="J942" s="509"/>
      <c r="K942" s="509">
        <f t="shared" si="573"/>
        <v>0.432</v>
      </c>
      <c r="L942" s="503">
        <f t="shared" si="574"/>
        <v>3.3820000000000001</v>
      </c>
      <c r="M942" s="503">
        <f t="shared" si="511"/>
        <v>0</v>
      </c>
      <c r="N942" s="503">
        <f t="shared" si="512"/>
        <v>0</v>
      </c>
      <c r="O942" s="503">
        <f t="shared" si="513"/>
        <v>162.34</v>
      </c>
      <c r="P942" s="503">
        <f t="shared" si="514"/>
        <v>0</v>
      </c>
      <c r="Q942" s="503">
        <f t="shared" si="515"/>
        <v>0</v>
      </c>
      <c r="R942" s="503">
        <f t="shared" si="516"/>
        <v>0</v>
      </c>
      <c r="S942" s="221">
        <f>+G942*E942</f>
        <v>48</v>
      </c>
    </row>
    <row r="943" spans="1:19">
      <c r="A943" s="505"/>
      <c r="B943" s="511" t="s">
        <v>787</v>
      </c>
      <c r="C943" s="507">
        <v>10</v>
      </c>
      <c r="D943" s="508">
        <v>75</v>
      </c>
      <c r="E943" s="507">
        <f t="shared" ref="E943:E950" si="575">+E942</f>
        <v>4</v>
      </c>
      <c r="F943" s="502">
        <v>2</v>
      </c>
      <c r="G943" s="502">
        <f>+ROUND(715/D943,0)</f>
        <v>10</v>
      </c>
      <c r="H943" s="503"/>
      <c r="I943" s="503">
        <f>2*(0.2+0.615)+24*0.01</f>
        <v>1.8699999999999999</v>
      </c>
      <c r="J943" s="509"/>
      <c r="K943" s="509"/>
      <c r="L943" s="503">
        <f t="shared" si="574"/>
        <v>1.8699999999999999</v>
      </c>
      <c r="M943" s="503">
        <f t="shared" si="511"/>
        <v>0</v>
      </c>
      <c r="N943" s="503">
        <f t="shared" si="512"/>
        <v>149.6</v>
      </c>
      <c r="O943" s="503">
        <f t="shared" si="513"/>
        <v>0</v>
      </c>
      <c r="P943" s="503">
        <f t="shared" si="514"/>
        <v>0</v>
      </c>
      <c r="Q943" s="503">
        <f t="shared" si="515"/>
        <v>0</v>
      </c>
      <c r="R943" s="503">
        <f t="shared" si="516"/>
        <v>0</v>
      </c>
    </row>
    <row r="944" spans="1:19">
      <c r="A944" s="505"/>
      <c r="B944" s="511"/>
      <c r="C944" s="507">
        <v>10</v>
      </c>
      <c r="D944" s="508">
        <v>75</v>
      </c>
      <c r="E944" s="507">
        <f t="shared" si="575"/>
        <v>4</v>
      </c>
      <c r="F944" s="502">
        <v>2</v>
      </c>
      <c r="G944" s="502">
        <f t="shared" ref="G944:G946" si="576">+ROUND(715/D944,0)</f>
        <v>10</v>
      </c>
      <c r="H944" s="503"/>
      <c r="I944" s="503">
        <f>2*(0.2+0.216)+24*0.01</f>
        <v>1.0720000000000001</v>
      </c>
      <c r="J944" s="509"/>
      <c r="K944" s="509"/>
      <c r="L944" s="503">
        <f t="shared" si="574"/>
        <v>1.0720000000000001</v>
      </c>
      <c r="M944" s="503">
        <f t="shared" si="511"/>
        <v>0</v>
      </c>
      <c r="N944" s="503">
        <f t="shared" si="512"/>
        <v>85.76</v>
      </c>
      <c r="O944" s="503">
        <f t="shared" si="513"/>
        <v>0</v>
      </c>
      <c r="P944" s="503">
        <f t="shared" si="514"/>
        <v>0</v>
      </c>
      <c r="Q944" s="503">
        <f t="shared" si="515"/>
        <v>0</v>
      </c>
      <c r="R944" s="503">
        <f t="shared" si="516"/>
        <v>0</v>
      </c>
    </row>
    <row r="945" spans="1:18">
      <c r="A945" s="505"/>
      <c r="B945" s="511"/>
      <c r="C945" s="507">
        <v>10</v>
      </c>
      <c r="D945" s="508">
        <v>75</v>
      </c>
      <c r="E945" s="507">
        <f t="shared" si="575"/>
        <v>4</v>
      </c>
      <c r="F945" s="502">
        <f>2*2</f>
        <v>4</v>
      </c>
      <c r="G945" s="502">
        <f t="shared" si="576"/>
        <v>10</v>
      </c>
      <c r="H945" s="503"/>
      <c r="I945" s="503">
        <f>+(0.168+0.168+0.2)+20*0.01</f>
        <v>0.73599999999999999</v>
      </c>
      <c r="J945" s="509"/>
      <c r="K945" s="509"/>
      <c r="L945" s="503">
        <f t="shared" si="574"/>
        <v>0.73599999999999999</v>
      </c>
      <c r="M945" s="503">
        <f t="shared" si="511"/>
        <v>0</v>
      </c>
      <c r="N945" s="503">
        <f t="shared" si="512"/>
        <v>117.76</v>
      </c>
      <c r="O945" s="503">
        <f t="shared" si="513"/>
        <v>0</v>
      </c>
      <c r="P945" s="503">
        <f t="shared" si="514"/>
        <v>0</v>
      </c>
      <c r="Q945" s="503">
        <f t="shared" si="515"/>
        <v>0</v>
      </c>
      <c r="R945" s="503">
        <f t="shared" si="516"/>
        <v>0</v>
      </c>
    </row>
    <row r="946" spans="1:18">
      <c r="A946" s="505"/>
      <c r="B946" s="511"/>
      <c r="C946" s="507">
        <v>10</v>
      </c>
      <c r="D946" s="508">
        <v>75</v>
      </c>
      <c r="E946" s="507">
        <f t="shared" si="575"/>
        <v>4</v>
      </c>
      <c r="F946" s="502">
        <v>2</v>
      </c>
      <c r="G946" s="502">
        <f t="shared" si="576"/>
        <v>10</v>
      </c>
      <c r="H946" s="503"/>
      <c r="I946" s="503">
        <f>0.2+2*10*0.01</f>
        <v>0.4</v>
      </c>
      <c r="J946" s="509"/>
      <c r="K946" s="509"/>
      <c r="L946" s="503">
        <f t="shared" si="574"/>
        <v>0.4</v>
      </c>
      <c r="M946" s="503">
        <f t="shared" si="511"/>
        <v>0</v>
      </c>
      <c r="N946" s="503">
        <f t="shared" si="512"/>
        <v>32</v>
      </c>
      <c r="O946" s="503">
        <f t="shared" si="513"/>
        <v>0</v>
      </c>
      <c r="P946" s="503">
        <f t="shared" si="514"/>
        <v>0</v>
      </c>
      <c r="Q946" s="503">
        <f t="shared" si="515"/>
        <v>0</v>
      </c>
      <c r="R946" s="503">
        <f t="shared" si="516"/>
        <v>0</v>
      </c>
    </row>
    <row r="947" spans="1:18">
      <c r="A947" s="505"/>
      <c r="B947" s="511" t="s">
        <v>788</v>
      </c>
      <c r="C947" s="507">
        <v>8</v>
      </c>
      <c r="D947" s="508">
        <v>150</v>
      </c>
      <c r="E947" s="507">
        <f t="shared" si="575"/>
        <v>4</v>
      </c>
      <c r="F947" s="502">
        <v>1</v>
      </c>
      <c r="G947" s="502">
        <f>+ROUND(1170/D947+1,0)</f>
        <v>9</v>
      </c>
      <c r="H947" s="503"/>
      <c r="I947" s="503">
        <f>2*(0.204+0.619)+24*0.01</f>
        <v>1.8859999999999999</v>
      </c>
      <c r="J947" s="509"/>
      <c r="K947" s="509"/>
      <c r="L947" s="503">
        <f t="shared" si="574"/>
        <v>1.8859999999999999</v>
      </c>
      <c r="M947" s="503">
        <f t="shared" si="511"/>
        <v>67.900000000000006</v>
      </c>
      <c r="N947" s="503">
        <f t="shared" si="512"/>
        <v>0</v>
      </c>
      <c r="O947" s="503">
        <f t="shared" si="513"/>
        <v>0</v>
      </c>
      <c r="P947" s="503">
        <f t="shared" si="514"/>
        <v>0</v>
      </c>
      <c r="Q947" s="503">
        <f t="shared" si="515"/>
        <v>0</v>
      </c>
      <c r="R947" s="503">
        <f t="shared" si="516"/>
        <v>0</v>
      </c>
    </row>
    <row r="948" spans="1:18">
      <c r="A948" s="505"/>
      <c r="B948" s="511"/>
      <c r="C948" s="507">
        <v>8</v>
      </c>
      <c r="D948" s="508">
        <v>150</v>
      </c>
      <c r="E948" s="507">
        <f t="shared" si="575"/>
        <v>4</v>
      </c>
      <c r="F948" s="502">
        <v>1</v>
      </c>
      <c r="G948" s="502">
        <f t="shared" ref="G948:G950" si="577">+ROUND(1170/D948+1,0)</f>
        <v>9</v>
      </c>
      <c r="H948" s="503"/>
      <c r="I948" s="503">
        <f>2*(0.204+0.217)+24*0.01</f>
        <v>1.0819999999999999</v>
      </c>
      <c r="J948" s="509"/>
      <c r="K948" s="509"/>
      <c r="L948" s="503">
        <f t="shared" si="574"/>
        <v>1.0819999999999999</v>
      </c>
      <c r="M948" s="503">
        <f t="shared" si="511"/>
        <v>38.950000000000003</v>
      </c>
      <c r="N948" s="503">
        <f t="shared" si="512"/>
        <v>0</v>
      </c>
      <c r="O948" s="503">
        <f t="shared" si="513"/>
        <v>0</v>
      </c>
      <c r="P948" s="503">
        <f t="shared" si="514"/>
        <v>0</v>
      </c>
      <c r="Q948" s="503">
        <f t="shared" si="515"/>
        <v>0</v>
      </c>
      <c r="R948" s="503">
        <f t="shared" si="516"/>
        <v>0</v>
      </c>
    </row>
    <row r="949" spans="1:18">
      <c r="A949" s="505"/>
      <c r="B949" s="511"/>
      <c r="C949" s="507">
        <v>8</v>
      </c>
      <c r="D949" s="508">
        <v>150</v>
      </c>
      <c r="E949" s="507">
        <f t="shared" si="575"/>
        <v>4</v>
      </c>
      <c r="F949" s="502">
        <v>2</v>
      </c>
      <c r="G949" s="502">
        <f t="shared" si="577"/>
        <v>9</v>
      </c>
      <c r="H949" s="503"/>
      <c r="I949" s="503">
        <f>+(0.168+0.168+0.204)+20*0.01</f>
        <v>0.74</v>
      </c>
      <c r="J949" s="509"/>
      <c r="K949" s="509"/>
      <c r="L949" s="503">
        <f t="shared" si="574"/>
        <v>0.74</v>
      </c>
      <c r="M949" s="503">
        <f t="shared" si="511"/>
        <v>53.28</v>
      </c>
      <c r="N949" s="503">
        <f t="shared" si="512"/>
        <v>0</v>
      </c>
      <c r="O949" s="503">
        <f t="shared" si="513"/>
        <v>0</v>
      </c>
      <c r="P949" s="503">
        <f t="shared" si="514"/>
        <v>0</v>
      </c>
      <c r="Q949" s="503">
        <f t="shared" si="515"/>
        <v>0</v>
      </c>
      <c r="R949" s="503">
        <f t="shared" si="516"/>
        <v>0</v>
      </c>
    </row>
    <row r="950" spans="1:18">
      <c r="A950" s="505"/>
      <c r="B950" s="511"/>
      <c r="C950" s="507">
        <v>8</v>
      </c>
      <c r="D950" s="508">
        <v>150</v>
      </c>
      <c r="E950" s="507">
        <f t="shared" si="575"/>
        <v>4</v>
      </c>
      <c r="F950" s="502">
        <v>1</v>
      </c>
      <c r="G950" s="502">
        <f t="shared" si="577"/>
        <v>9</v>
      </c>
      <c r="H950" s="503"/>
      <c r="I950" s="503">
        <f>0.204+2*10*0.01</f>
        <v>0.40400000000000003</v>
      </c>
      <c r="J950" s="509"/>
      <c r="K950" s="509"/>
      <c r="L950" s="503">
        <f t="shared" si="574"/>
        <v>0.40400000000000003</v>
      </c>
      <c r="M950" s="503">
        <f t="shared" si="511"/>
        <v>14.54</v>
      </c>
      <c r="N950" s="503">
        <f t="shared" si="512"/>
        <v>0</v>
      </c>
      <c r="O950" s="503">
        <f t="shared" si="513"/>
        <v>0</v>
      </c>
      <c r="P950" s="503">
        <f t="shared" si="514"/>
        <v>0</v>
      </c>
      <c r="Q950" s="503">
        <f t="shared" si="515"/>
        <v>0</v>
      </c>
      <c r="R950" s="503">
        <f t="shared" si="516"/>
        <v>0</v>
      </c>
    </row>
    <row r="951" spans="1:18">
      <c r="A951" s="505"/>
      <c r="B951" s="506" t="s">
        <v>867</v>
      </c>
      <c r="C951" s="507"/>
      <c r="D951" s="508"/>
      <c r="E951" s="507"/>
      <c r="F951" s="502"/>
      <c r="G951" s="502"/>
      <c r="H951" s="503"/>
      <c r="I951" s="503"/>
      <c r="J951" s="509"/>
      <c r="K951" s="509"/>
      <c r="L951" s="503">
        <f t="shared" si="553"/>
        <v>0</v>
      </c>
      <c r="M951" s="503">
        <f t="shared" si="511"/>
        <v>0</v>
      </c>
      <c r="N951" s="503">
        <f t="shared" si="512"/>
        <v>0</v>
      </c>
      <c r="O951" s="503">
        <f t="shared" si="513"/>
        <v>0</v>
      </c>
      <c r="P951" s="503">
        <f t="shared" si="514"/>
        <v>0</v>
      </c>
      <c r="Q951" s="503">
        <f t="shared" si="515"/>
        <v>0</v>
      </c>
      <c r="R951" s="503">
        <f t="shared" si="516"/>
        <v>0</v>
      </c>
    </row>
    <row r="952" spans="1:18">
      <c r="A952" s="505"/>
      <c r="B952" s="506" t="s">
        <v>796</v>
      </c>
      <c r="C952" s="507">
        <v>16</v>
      </c>
      <c r="D952" s="508"/>
      <c r="E952" s="507">
        <v>2</v>
      </c>
      <c r="F952" s="502">
        <v>1</v>
      </c>
      <c r="G952" s="502">
        <v>8</v>
      </c>
      <c r="H952" s="503"/>
      <c r="I952" s="503">
        <f t="shared" ref="I952:I954" si="578">106.2-103.25</f>
        <v>2.9500000000000028</v>
      </c>
      <c r="J952" s="509"/>
      <c r="K952" s="509">
        <f t="shared" ref="K952:K954" si="579">1*36*C952/1000</f>
        <v>0.57599999999999996</v>
      </c>
      <c r="L952" s="503">
        <f t="shared" si="553"/>
        <v>3.5260000000000029</v>
      </c>
      <c r="M952" s="503">
        <f t="shared" si="511"/>
        <v>0</v>
      </c>
      <c r="N952" s="503">
        <f t="shared" si="512"/>
        <v>0</v>
      </c>
      <c r="O952" s="503">
        <f t="shared" si="513"/>
        <v>0</v>
      </c>
      <c r="P952" s="503">
        <f t="shared" si="514"/>
        <v>56.42</v>
      </c>
      <c r="Q952" s="503">
        <f t="shared" si="515"/>
        <v>0</v>
      </c>
      <c r="R952" s="503">
        <f t="shared" si="516"/>
        <v>0</v>
      </c>
    </row>
    <row r="953" spans="1:18">
      <c r="A953" s="505"/>
      <c r="B953" s="511"/>
      <c r="C953" s="507">
        <v>12</v>
      </c>
      <c r="D953" s="508"/>
      <c r="E953" s="507">
        <v>2</v>
      </c>
      <c r="F953" s="502">
        <v>1</v>
      </c>
      <c r="G953" s="502">
        <v>16</v>
      </c>
      <c r="H953" s="503"/>
      <c r="I953" s="503">
        <f t="shared" si="578"/>
        <v>2.9500000000000028</v>
      </c>
      <c r="J953" s="509"/>
      <c r="K953" s="509">
        <f t="shared" si="579"/>
        <v>0.432</v>
      </c>
      <c r="L953" s="503">
        <f t="shared" si="553"/>
        <v>3.3820000000000028</v>
      </c>
      <c r="M953" s="503">
        <f t="shared" si="511"/>
        <v>0</v>
      </c>
      <c r="N953" s="503">
        <f t="shared" si="512"/>
        <v>0</v>
      </c>
      <c r="O953" s="503">
        <f t="shared" si="513"/>
        <v>108.22</v>
      </c>
      <c r="P953" s="503">
        <f t="shared" si="514"/>
        <v>0</v>
      </c>
      <c r="Q953" s="503">
        <f t="shared" si="515"/>
        <v>0</v>
      </c>
      <c r="R953" s="503">
        <f t="shared" si="516"/>
        <v>0</v>
      </c>
    </row>
    <row r="954" spans="1:18">
      <c r="A954" s="505"/>
      <c r="B954" s="511"/>
      <c r="C954" s="507">
        <v>10</v>
      </c>
      <c r="D954" s="508"/>
      <c r="E954" s="507">
        <v>2</v>
      </c>
      <c r="F954" s="502">
        <v>1</v>
      </c>
      <c r="G954" s="502">
        <v>8</v>
      </c>
      <c r="H954" s="503"/>
      <c r="I954" s="503">
        <f t="shared" si="578"/>
        <v>2.9500000000000028</v>
      </c>
      <c r="J954" s="509"/>
      <c r="K954" s="509">
        <f t="shared" si="579"/>
        <v>0.36</v>
      </c>
      <c r="L954" s="503">
        <f t="shared" si="553"/>
        <v>3.3100000000000027</v>
      </c>
      <c r="M954" s="503">
        <f t="shared" si="511"/>
        <v>0</v>
      </c>
      <c r="N954" s="503">
        <f t="shared" si="512"/>
        <v>52.96</v>
      </c>
      <c r="O954" s="503">
        <f t="shared" si="513"/>
        <v>0</v>
      </c>
      <c r="P954" s="503">
        <f t="shared" si="514"/>
        <v>0</v>
      </c>
      <c r="Q954" s="503">
        <f t="shared" si="515"/>
        <v>0</v>
      </c>
      <c r="R954" s="503">
        <f t="shared" si="516"/>
        <v>0</v>
      </c>
    </row>
    <row r="955" spans="1:18">
      <c r="A955" s="505"/>
      <c r="B955" s="511" t="s">
        <v>797</v>
      </c>
      <c r="C955" s="507"/>
      <c r="D955" s="508"/>
      <c r="E955" s="507"/>
      <c r="F955" s="502"/>
      <c r="G955" s="502"/>
      <c r="H955" s="503"/>
      <c r="I955" s="503"/>
      <c r="J955" s="509"/>
      <c r="K955" s="509"/>
      <c r="L955" s="503">
        <f t="shared" si="553"/>
        <v>0</v>
      </c>
      <c r="M955" s="503">
        <f t="shared" si="511"/>
        <v>0</v>
      </c>
      <c r="N955" s="503">
        <f t="shared" si="512"/>
        <v>0</v>
      </c>
      <c r="O955" s="503">
        <f t="shared" si="513"/>
        <v>0</v>
      </c>
      <c r="P955" s="503">
        <f t="shared" si="514"/>
        <v>0</v>
      </c>
      <c r="Q955" s="503">
        <f t="shared" si="515"/>
        <v>0</v>
      </c>
      <c r="R955" s="503">
        <f t="shared" si="516"/>
        <v>0</v>
      </c>
    </row>
    <row r="956" spans="1:18">
      <c r="A956" s="505"/>
      <c r="B956" s="511" t="s">
        <v>810</v>
      </c>
      <c r="C956" s="507">
        <v>8</v>
      </c>
      <c r="D956" s="508">
        <v>100</v>
      </c>
      <c r="E956" s="507">
        <v>2</v>
      </c>
      <c r="F956" s="502">
        <v>1</v>
      </c>
      <c r="G956" s="502">
        <f>+ROUND(2450/D956+1,0)</f>
        <v>26</v>
      </c>
      <c r="H956" s="503"/>
      <c r="I956" s="503">
        <f>2*(0.18+0.6)+24*C956/1000</f>
        <v>1.752</v>
      </c>
      <c r="J956" s="509"/>
      <c r="K956" s="509"/>
      <c r="L956" s="503">
        <f t="shared" si="553"/>
        <v>1.752</v>
      </c>
      <c r="M956" s="503">
        <f t="shared" si="511"/>
        <v>91.1</v>
      </c>
      <c r="N956" s="503">
        <f t="shared" si="512"/>
        <v>0</v>
      </c>
      <c r="O956" s="503">
        <f t="shared" si="513"/>
        <v>0</v>
      </c>
      <c r="P956" s="503">
        <f t="shared" si="514"/>
        <v>0</v>
      </c>
      <c r="Q956" s="503">
        <f t="shared" si="515"/>
        <v>0</v>
      </c>
      <c r="R956" s="503">
        <f t="shared" si="516"/>
        <v>0</v>
      </c>
    </row>
    <row r="957" spans="1:18">
      <c r="A957" s="505"/>
      <c r="B957" s="511" t="s">
        <v>811</v>
      </c>
      <c r="C957" s="507">
        <v>8</v>
      </c>
      <c r="D957" s="508">
        <v>100</v>
      </c>
      <c r="E957" s="507">
        <v>2</v>
      </c>
      <c r="F957" s="502">
        <v>1</v>
      </c>
      <c r="G957" s="502">
        <f t="shared" ref="G957:G963" si="580">+ROUND(2450/D957+1,0)</f>
        <v>26</v>
      </c>
      <c r="H957" s="503"/>
      <c r="I957" s="503">
        <f>2*(0.18+0.248)+24*C957/1000</f>
        <v>1.048</v>
      </c>
      <c r="J957" s="509"/>
      <c r="K957" s="509"/>
      <c r="L957" s="503">
        <f t="shared" si="553"/>
        <v>1.048</v>
      </c>
      <c r="M957" s="503">
        <f t="shared" si="511"/>
        <v>54.5</v>
      </c>
      <c r="N957" s="503">
        <f t="shared" si="512"/>
        <v>0</v>
      </c>
      <c r="O957" s="503">
        <f t="shared" si="513"/>
        <v>0</v>
      </c>
      <c r="P957" s="503">
        <f t="shared" si="514"/>
        <v>0</v>
      </c>
      <c r="Q957" s="503">
        <f t="shared" si="515"/>
        <v>0</v>
      </c>
      <c r="R957" s="503">
        <f t="shared" si="516"/>
        <v>0</v>
      </c>
    </row>
    <row r="958" spans="1:18">
      <c r="A958" s="505"/>
      <c r="B958" s="511" t="s">
        <v>798</v>
      </c>
      <c r="C958" s="507">
        <v>8</v>
      </c>
      <c r="D958" s="508">
        <v>100</v>
      </c>
      <c r="E958" s="507">
        <v>2</v>
      </c>
      <c r="F958" s="502">
        <v>1</v>
      </c>
      <c r="G958" s="502">
        <f t="shared" si="580"/>
        <v>26</v>
      </c>
      <c r="H958" s="503"/>
      <c r="I958" s="503">
        <f>0.18+(20*C958/1000)</f>
        <v>0.33999999999999997</v>
      </c>
      <c r="J958" s="509"/>
      <c r="K958" s="509"/>
      <c r="L958" s="503">
        <f t="shared" si="553"/>
        <v>0.33999999999999997</v>
      </c>
      <c r="M958" s="503">
        <f t="shared" si="511"/>
        <v>17.68</v>
      </c>
      <c r="N958" s="503">
        <f t="shared" si="512"/>
        <v>0</v>
      </c>
      <c r="O958" s="503">
        <f t="shared" si="513"/>
        <v>0</v>
      </c>
      <c r="P958" s="503">
        <f t="shared" si="514"/>
        <v>0</v>
      </c>
      <c r="Q958" s="503">
        <f t="shared" si="515"/>
        <v>0</v>
      </c>
      <c r="R958" s="503">
        <f t="shared" si="516"/>
        <v>0</v>
      </c>
    </row>
    <row r="959" spans="1:18">
      <c r="A959" s="505"/>
      <c r="B959" s="511" t="s">
        <v>812</v>
      </c>
      <c r="C959" s="507">
        <v>8</v>
      </c>
      <c r="D959" s="508">
        <v>100</v>
      </c>
      <c r="E959" s="507">
        <v>2</v>
      </c>
      <c r="F959" s="502">
        <v>2</v>
      </c>
      <c r="G959" s="502">
        <f t="shared" si="580"/>
        <v>26</v>
      </c>
      <c r="H959" s="503"/>
      <c r="I959" s="503">
        <f>2*(0.18+0.385)+24*C959/1000</f>
        <v>1.3219999999999998</v>
      </c>
      <c r="J959" s="509"/>
      <c r="K959" s="509"/>
      <c r="L959" s="503">
        <f t="shared" si="553"/>
        <v>1.3219999999999998</v>
      </c>
      <c r="M959" s="503">
        <f t="shared" si="511"/>
        <v>137.49</v>
      </c>
      <c r="N959" s="503">
        <f t="shared" si="512"/>
        <v>0</v>
      </c>
      <c r="O959" s="503">
        <f t="shared" si="513"/>
        <v>0</v>
      </c>
      <c r="P959" s="503">
        <f t="shared" si="514"/>
        <v>0</v>
      </c>
      <c r="Q959" s="503">
        <f t="shared" si="515"/>
        <v>0</v>
      </c>
      <c r="R959" s="503">
        <f t="shared" si="516"/>
        <v>0</v>
      </c>
    </row>
    <row r="960" spans="1:18">
      <c r="A960" s="505"/>
      <c r="B960" s="511" t="s">
        <v>813</v>
      </c>
      <c r="C960" s="507">
        <v>8</v>
      </c>
      <c r="D960" s="508">
        <v>100</v>
      </c>
      <c r="E960" s="507">
        <v>2</v>
      </c>
      <c r="F960" s="502">
        <v>1</v>
      </c>
      <c r="G960" s="502">
        <f t="shared" si="580"/>
        <v>26</v>
      </c>
      <c r="H960" s="503"/>
      <c r="I960" s="503">
        <f>2*(0.18+0.268)+24*C960/1000</f>
        <v>1.0880000000000001</v>
      </c>
      <c r="J960" s="509"/>
      <c r="K960" s="509"/>
      <c r="L960" s="503">
        <f t="shared" si="553"/>
        <v>1.0880000000000001</v>
      </c>
      <c r="M960" s="503">
        <f t="shared" si="511"/>
        <v>56.58</v>
      </c>
      <c r="N960" s="503">
        <f t="shared" si="512"/>
        <v>0</v>
      </c>
      <c r="O960" s="503">
        <f t="shared" si="513"/>
        <v>0</v>
      </c>
      <c r="P960" s="503">
        <f t="shared" si="514"/>
        <v>0</v>
      </c>
      <c r="Q960" s="503">
        <f t="shared" si="515"/>
        <v>0</v>
      </c>
      <c r="R960" s="503">
        <f t="shared" si="516"/>
        <v>0</v>
      </c>
    </row>
    <row r="961" spans="1:18">
      <c r="A961" s="505"/>
      <c r="B961" s="511" t="s">
        <v>798</v>
      </c>
      <c r="C961" s="507">
        <v>8</v>
      </c>
      <c r="D961" s="508">
        <v>100</v>
      </c>
      <c r="E961" s="507">
        <v>2</v>
      </c>
      <c r="F961" s="502">
        <v>1</v>
      </c>
      <c r="G961" s="502">
        <f t="shared" si="580"/>
        <v>26</v>
      </c>
      <c r="H961" s="503"/>
      <c r="I961" s="503">
        <f>0.18+(20*C961/1000)</f>
        <v>0.33999999999999997</v>
      </c>
      <c r="J961" s="509"/>
      <c r="K961" s="509"/>
      <c r="L961" s="503">
        <f t="shared" si="553"/>
        <v>0.33999999999999997</v>
      </c>
      <c r="M961" s="503">
        <f t="shared" si="511"/>
        <v>17.68</v>
      </c>
      <c r="N961" s="503">
        <f t="shared" si="512"/>
        <v>0</v>
      </c>
      <c r="O961" s="503">
        <f t="shared" si="513"/>
        <v>0</v>
      </c>
      <c r="P961" s="503">
        <f t="shared" si="514"/>
        <v>0</v>
      </c>
      <c r="Q961" s="503">
        <f t="shared" si="515"/>
        <v>0</v>
      </c>
      <c r="R961" s="503">
        <f t="shared" si="516"/>
        <v>0</v>
      </c>
    </row>
    <row r="962" spans="1:18">
      <c r="A962" s="505"/>
      <c r="B962" s="511" t="s">
        <v>831</v>
      </c>
      <c r="C962" s="507">
        <v>8</v>
      </c>
      <c r="D962" s="508">
        <v>200</v>
      </c>
      <c r="E962" s="507">
        <v>2</v>
      </c>
      <c r="F962" s="502">
        <v>1</v>
      </c>
      <c r="G962" s="502">
        <f t="shared" si="580"/>
        <v>13</v>
      </c>
      <c r="H962" s="503"/>
      <c r="I962" s="503">
        <f>2*(0.18+0.866)+24*C962/1000</f>
        <v>2.2840000000000003</v>
      </c>
      <c r="J962" s="509"/>
      <c r="K962" s="509"/>
      <c r="L962" s="503">
        <f t="shared" si="553"/>
        <v>2.2840000000000003</v>
      </c>
      <c r="M962" s="503">
        <f t="shared" si="511"/>
        <v>59.38</v>
      </c>
      <c r="N962" s="503">
        <f t="shared" si="512"/>
        <v>0</v>
      </c>
      <c r="O962" s="503">
        <f t="shared" si="513"/>
        <v>0</v>
      </c>
      <c r="P962" s="503">
        <f t="shared" si="514"/>
        <v>0</v>
      </c>
      <c r="Q962" s="503">
        <f t="shared" si="515"/>
        <v>0</v>
      </c>
      <c r="R962" s="503">
        <f t="shared" si="516"/>
        <v>0</v>
      </c>
    </row>
    <row r="963" spans="1:18">
      <c r="A963" s="505"/>
      <c r="B963" s="511" t="s">
        <v>799</v>
      </c>
      <c r="C963" s="507">
        <v>8</v>
      </c>
      <c r="D963" s="508">
        <v>400</v>
      </c>
      <c r="E963" s="507">
        <v>2</v>
      </c>
      <c r="F963" s="502">
        <v>2</v>
      </c>
      <c r="G963" s="502">
        <f t="shared" si="580"/>
        <v>7</v>
      </c>
      <c r="H963" s="503"/>
      <c r="I963" s="503">
        <f>0.18+(20*C963/1000)</f>
        <v>0.33999999999999997</v>
      </c>
      <c r="J963" s="509"/>
      <c r="K963" s="509"/>
      <c r="L963" s="503">
        <f t="shared" si="553"/>
        <v>0.33999999999999997</v>
      </c>
      <c r="M963" s="503">
        <f t="shared" si="511"/>
        <v>9.52</v>
      </c>
      <c r="N963" s="503">
        <f t="shared" si="512"/>
        <v>0</v>
      </c>
      <c r="O963" s="503">
        <f t="shared" si="513"/>
        <v>0</v>
      </c>
      <c r="P963" s="503">
        <f t="shared" si="514"/>
        <v>0</v>
      </c>
      <c r="Q963" s="503">
        <f t="shared" si="515"/>
        <v>0</v>
      </c>
      <c r="R963" s="503">
        <f t="shared" si="516"/>
        <v>0</v>
      </c>
    </row>
    <row r="964" spans="1:18">
      <c r="A964" s="505"/>
      <c r="B964" s="506" t="s">
        <v>800</v>
      </c>
      <c r="C964" s="507">
        <v>16</v>
      </c>
      <c r="D964" s="508"/>
      <c r="E964" s="507">
        <v>2</v>
      </c>
      <c r="F964" s="502">
        <v>1</v>
      </c>
      <c r="G964" s="502">
        <v>8</v>
      </c>
      <c r="H964" s="503"/>
      <c r="I964" s="503">
        <f t="shared" ref="I964:I966" si="581">106.2-103.25</f>
        <v>2.9500000000000028</v>
      </c>
      <c r="J964" s="509"/>
      <c r="K964" s="509">
        <f t="shared" ref="K964:K966" si="582">1*36*C964/1000</f>
        <v>0.57599999999999996</v>
      </c>
      <c r="L964" s="503">
        <f t="shared" si="553"/>
        <v>3.5260000000000029</v>
      </c>
      <c r="M964" s="503">
        <f t="shared" si="511"/>
        <v>0</v>
      </c>
      <c r="N964" s="503">
        <f t="shared" si="512"/>
        <v>0</v>
      </c>
      <c r="O964" s="503">
        <f t="shared" si="513"/>
        <v>0</v>
      </c>
      <c r="P964" s="503">
        <f t="shared" si="514"/>
        <v>56.42</v>
      </c>
      <c r="Q964" s="503">
        <f t="shared" si="515"/>
        <v>0</v>
      </c>
      <c r="R964" s="503">
        <f t="shared" si="516"/>
        <v>0</v>
      </c>
    </row>
    <row r="965" spans="1:18">
      <c r="A965" s="505"/>
      <c r="B965" s="511"/>
      <c r="C965" s="507">
        <v>12</v>
      </c>
      <c r="D965" s="508"/>
      <c r="E965" s="507">
        <v>2</v>
      </c>
      <c r="F965" s="502">
        <v>1</v>
      </c>
      <c r="G965" s="502">
        <v>16</v>
      </c>
      <c r="H965" s="503"/>
      <c r="I965" s="503">
        <f t="shared" si="581"/>
        <v>2.9500000000000028</v>
      </c>
      <c r="J965" s="509"/>
      <c r="K965" s="509">
        <f t="shared" si="582"/>
        <v>0.432</v>
      </c>
      <c r="L965" s="503">
        <f t="shared" si="553"/>
        <v>3.3820000000000028</v>
      </c>
      <c r="M965" s="503">
        <f t="shared" si="511"/>
        <v>0</v>
      </c>
      <c r="N965" s="503">
        <f t="shared" si="512"/>
        <v>0</v>
      </c>
      <c r="O965" s="503">
        <f t="shared" si="513"/>
        <v>108.22</v>
      </c>
      <c r="P965" s="503">
        <f t="shared" si="514"/>
        <v>0</v>
      </c>
      <c r="Q965" s="503">
        <f t="shared" si="515"/>
        <v>0</v>
      </c>
      <c r="R965" s="503">
        <f t="shared" si="516"/>
        <v>0</v>
      </c>
    </row>
    <row r="966" spans="1:18">
      <c r="A966" s="505"/>
      <c r="B966" s="511"/>
      <c r="C966" s="507">
        <v>10</v>
      </c>
      <c r="D966" s="508"/>
      <c r="E966" s="507">
        <v>2</v>
      </c>
      <c r="F966" s="502">
        <v>1</v>
      </c>
      <c r="G966" s="502">
        <v>10</v>
      </c>
      <c r="H966" s="503"/>
      <c r="I966" s="503">
        <f t="shared" si="581"/>
        <v>2.9500000000000028</v>
      </c>
      <c r="J966" s="509"/>
      <c r="K966" s="509">
        <f t="shared" si="582"/>
        <v>0.36</v>
      </c>
      <c r="L966" s="503">
        <f t="shared" si="553"/>
        <v>3.3100000000000027</v>
      </c>
      <c r="M966" s="503">
        <f t="shared" si="511"/>
        <v>0</v>
      </c>
      <c r="N966" s="503">
        <f t="shared" si="512"/>
        <v>66.2</v>
      </c>
      <c r="O966" s="503">
        <f t="shared" si="513"/>
        <v>0</v>
      </c>
      <c r="P966" s="503">
        <f t="shared" si="514"/>
        <v>0</v>
      </c>
      <c r="Q966" s="503">
        <f t="shared" si="515"/>
        <v>0</v>
      </c>
      <c r="R966" s="503">
        <f t="shared" si="516"/>
        <v>0</v>
      </c>
    </row>
    <row r="967" spans="1:18">
      <c r="A967" s="505"/>
      <c r="B967" s="511" t="s">
        <v>797</v>
      </c>
      <c r="C967" s="507"/>
      <c r="D967" s="508"/>
      <c r="E967" s="507"/>
      <c r="F967" s="502"/>
      <c r="G967" s="502"/>
      <c r="H967" s="503"/>
      <c r="I967" s="503"/>
      <c r="J967" s="509"/>
      <c r="K967" s="509"/>
      <c r="L967" s="503">
        <f t="shared" si="553"/>
        <v>0</v>
      </c>
      <c r="M967" s="503">
        <f t="shared" si="511"/>
        <v>0</v>
      </c>
      <c r="N967" s="503">
        <f t="shared" si="512"/>
        <v>0</v>
      </c>
      <c r="O967" s="503">
        <f t="shared" si="513"/>
        <v>0</v>
      </c>
      <c r="P967" s="503">
        <f t="shared" si="514"/>
        <v>0</v>
      </c>
      <c r="Q967" s="503">
        <f t="shared" si="515"/>
        <v>0</v>
      </c>
      <c r="R967" s="503">
        <f t="shared" si="516"/>
        <v>0</v>
      </c>
    </row>
    <row r="968" spans="1:18">
      <c r="A968" s="505"/>
      <c r="B968" s="511" t="s">
        <v>810</v>
      </c>
      <c r="C968" s="507">
        <v>8</v>
      </c>
      <c r="D968" s="508">
        <v>100</v>
      </c>
      <c r="E968" s="507">
        <v>2</v>
      </c>
      <c r="F968" s="502">
        <v>1</v>
      </c>
      <c r="G968" s="502">
        <f t="shared" ref="G968:G975" si="583">+ROUND(2450/D968+1,0)</f>
        <v>26</v>
      </c>
      <c r="H968" s="503"/>
      <c r="I968" s="503">
        <f>2*(0.18+0.6)+24*C968/1000</f>
        <v>1.752</v>
      </c>
      <c r="J968" s="509"/>
      <c r="K968" s="509"/>
      <c r="L968" s="503">
        <f t="shared" si="553"/>
        <v>1.752</v>
      </c>
      <c r="M968" s="503">
        <f t="shared" si="511"/>
        <v>91.1</v>
      </c>
      <c r="N968" s="503">
        <f t="shared" si="512"/>
        <v>0</v>
      </c>
      <c r="O968" s="503">
        <f t="shared" si="513"/>
        <v>0</v>
      </c>
      <c r="P968" s="503">
        <f t="shared" si="514"/>
        <v>0</v>
      </c>
      <c r="Q968" s="503">
        <f t="shared" si="515"/>
        <v>0</v>
      </c>
      <c r="R968" s="503">
        <f t="shared" si="516"/>
        <v>0</v>
      </c>
    </row>
    <row r="969" spans="1:18">
      <c r="A969" s="505"/>
      <c r="B969" s="511" t="s">
        <v>811</v>
      </c>
      <c r="C969" s="507">
        <v>8</v>
      </c>
      <c r="D969" s="508">
        <v>100</v>
      </c>
      <c r="E969" s="507">
        <v>2</v>
      </c>
      <c r="F969" s="502">
        <v>1</v>
      </c>
      <c r="G969" s="502">
        <f t="shared" si="583"/>
        <v>26</v>
      </c>
      <c r="H969" s="503"/>
      <c r="I969" s="503">
        <f>2*(0.18+0.248)+24*C969/1000</f>
        <v>1.048</v>
      </c>
      <c r="J969" s="509"/>
      <c r="K969" s="509"/>
      <c r="L969" s="503">
        <f t="shared" si="553"/>
        <v>1.048</v>
      </c>
      <c r="M969" s="503">
        <f t="shared" si="511"/>
        <v>54.5</v>
      </c>
      <c r="N969" s="503">
        <f t="shared" si="512"/>
        <v>0</v>
      </c>
      <c r="O969" s="503">
        <f t="shared" si="513"/>
        <v>0</v>
      </c>
      <c r="P969" s="503">
        <f t="shared" si="514"/>
        <v>0</v>
      </c>
      <c r="Q969" s="503">
        <f t="shared" si="515"/>
        <v>0</v>
      </c>
      <c r="R969" s="503">
        <f t="shared" si="516"/>
        <v>0</v>
      </c>
    </row>
    <row r="970" spans="1:18">
      <c r="A970" s="505"/>
      <c r="B970" s="511" t="s">
        <v>798</v>
      </c>
      <c r="C970" s="507">
        <v>8</v>
      </c>
      <c r="D970" s="508">
        <v>100</v>
      </c>
      <c r="E970" s="507">
        <v>2</v>
      </c>
      <c r="F970" s="502">
        <v>1</v>
      </c>
      <c r="G970" s="502">
        <f t="shared" si="583"/>
        <v>26</v>
      </c>
      <c r="H970" s="503"/>
      <c r="I970" s="503">
        <f>0.18+(20*C970/1000)</f>
        <v>0.33999999999999997</v>
      </c>
      <c r="J970" s="509"/>
      <c r="K970" s="509"/>
      <c r="L970" s="503">
        <f t="shared" si="553"/>
        <v>0.33999999999999997</v>
      </c>
      <c r="M970" s="503">
        <f t="shared" si="511"/>
        <v>17.68</v>
      </c>
      <c r="N970" s="503">
        <f t="shared" si="512"/>
        <v>0</v>
      </c>
      <c r="O970" s="503">
        <f t="shared" si="513"/>
        <v>0</v>
      </c>
      <c r="P970" s="503">
        <f t="shared" si="514"/>
        <v>0</v>
      </c>
      <c r="Q970" s="503">
        <f t="shared" si="515"/>
        <v>0</v>
      </c>
      <c r="R970" s="503">
        <f t="shared" si="516"/>
        <v>0</v>
      </c>
    </row>
    <row r="971" spans="1:18">
      <c r="A971" s="505"/>
      <c r="B971" s="511" t="s">
        <v>812</v>
      </c>
      <c r="C971" s="507">
        <v>8</v>
      </c>
      <c r="D971" s="508">
        <v>100</v>
      </c>
      <c r="E971" s="507">
        <v>2</v>
      </c>
      <c r="F971" s="502">
        <v>2</v>
      </c>
      <c r="G971" s="502">
        <f t="shared" si="583"/>
        <v>26</v>
      </c>
      <c r="H971" s="503"/>
      <c r="I971" s="503">
        <f>2*(0.18+0.385)+24*C971/1000</f>
        <v>1.3219999999999998</v>
      </c>
      <c r="J971" s="509"/>
      <c r="K971" s="509"/>
      <c r="L971" s="503">
        <f t="shared" si="553"/>
        <v>1.3219999999999998</v>
      </c>
      <c r="M971" s="503">
        <f t="shared" si="511"/>
        <v>137.49</v>
      </c>
      <c r="N971" s="503">
        <f t="shared" si="512"/>
        <v>0</v>
      </c>
      <c r="O971" s="503">
        <f t="shared" si="513"/>
        <v>0</v>
      </c>
      <c r="P971" s="503">
        <f t="shared" si="514"/>
        <v>0</v>
      </c>
      <c r="Q971" s="503">
        <f t="shared" si="515"/>
        <v>0</v>
      </c>
      <c r="R971" s="503">
        <f t="shared" si="516"/>
        <v>0</v>
      </c>
    </row>
    <row r="972" spans="1:18">
      <c r="A972" s="505"/>
      <c r="B972" s="511" t="s">
        <v>813</v>
      </c>
      <c r="C972" s="507">
        <v>8</v>
      </c>
      <c r="D972" s="508">
        <v>100</v>
      </c>
      <c r="E972" s="507">
        <v>2</v>
      </c>
      <c r="F972" s="502">
        <v>1</v>
      </c>
      <c r="G972" s="502">
        <f t="shared" si="583"/>
        <v>26</v>
      </c>
      <c r="H972" s="503"/>
      <c r="I972" s="503">
        <f>2*(0.18+0.268)+24*C972/1000</f>
        <v>1.0880000000000001</v>
      </c>
      <c r="J972" s="509"/>
      <c r="K972" s="509"/>
      <c r="L972" s="503">
        <f t="shared" si="553"/>
        <v>1.0880000000000001</v>
      </c>
      <c r="M972" s="503">
        <f t="shared" si="511"/>
        <v>56.58</v>
      </c>
      <c r="N972" s="503">
        <f t="shared" si="512"/>
        <v>0</v>
      </c>
      <c r="O972" s="503">
        <f t="shared" si="513"/>
        <v>0</v>
      </c>
      <c r="P972" s="503">
        <f t="shared" si="514"/>
        <v>0</v>
      </c>
      <c r="Q972" s="503">
        <f t="shared" si="515"/>
        <v>0</v>
      </c>
      <c r="R972" s="503">
        <f t="shared" si="516"/>
        <v>0</v>
      </c>
    </row>
    <row r="973" spans="1:18">
      <c r="A973" s="505"/>
      <c r="B973" s="511" t="s">
        <v>798</v>
      </c>
      <c r="C973" s="507">
        <v>8</v>
      </c>
      <c r="D973" s="508">
        <v>100</v>
      </c>
      <c r="E973" s="507">
        <v>2</v>
      </c>
      <c r="F973" s="502">
        <v>1</v>
      </c>
      <c r="G973" s="502">
        <f t="shared" si="583"/>
        <v>26</v>
      </c>
      <c r="H973" s="503"/>
      <c r="I973" s="503">
        <f>0.18+(20*C973/1000)</f>
        <v>0.33999999999999997</v>
      </c>
      <c r="J973" s="509"/>
      <c r="K973" s="509"/>
      <c r="L973" s="503">
        <f t="shared" si="553"/>
        <v>0.33999999999999997</v>
      </c>
      <c r="M973" s="503">
        <f t="shared" si="511"/>
        <v>17.68</v>
      </c>
      <c r="N973" s="503">
        <f t="shared" si="512"/>
        <v>0</v>
      </c>
      <c r="O973" s="503">
        <f t="shared" si="513"/>
        <v>0</v>
      </c>
      <c r="P973" s="503">
        <f t="shared" si="514"/>
        <v>0</v>
      </c>
      <c r="Q973" s="503">
        <f t="shared" si="515"/>
        <v>0</v>
      </c>
      <c r="R973" s="503">
        <f t="shared" si="516"/>
        <v>0</v>
      </c>
    </row>
    <row r="974" spans="1:18">
      <c r="A974" s="505"/>
      <c r="B974" s="511" t="s">
        <v>814</v>
      </c>
      <c r="C974" s="507">
        <v>8</v>
      </c>
      <c r="D974" s="508">
        <v>200</v>
      </c>
      <c r="E974" s="507">
        <v>2</v>
      </c>
      <c r="F974" s="502">
        <v>1</v>
      </c>
      <c r="G974" s="502">
        <f t="shared" si="583"/>
        <v>13</v>
      </c>
      <c r="H974" s="503"/>
      <c r="I974" s="503">
        <f>2*(0.18+1.066)+24*C974/1000</f>
        <v>2.6840000000000002</v>
      </c>
      <c r="J974" s="509"/>
      <c r="K974" s="509"/>
      <c r="L974" s="503">
        <f t="shared" si="553"/>
        <v>2.6840000000000002</v>
      </c>
      <c r="M974" s="503">
        <f t="shared" si="511"/>
        <v>69.78</v>
      </c>
      <c r="N974" s="503">
        <f t="shared" si="512"/>
        <v>0</v>
      </c>
      <c r="O974" s="503">
        <f t="shared" si="513"/>
        <v>0</v>
      </c>
      <c r="P974" s="503">
        <f t="shared" si="514"/>
        <v>0</v>
      </c>
      <c r="Q974" s="503">
        <f t="shared" si="515"/>
        <v>0</v>
      </c>
      <c r="R974" s="503">
        <f t="shared" si="516"/>
        <v>0</v>
      </c>
    </row>
    <row r="975" spans="1:18">
      <c r="A975" s="505"/>
      <c r="B975" s="511" t="s">
        <v>799</v>
      </c>
      <c r="C975" s="507">
        <v>8</v>
      </c>
      <c r="D975" s="508">
        <v>400</v>
      </c>
      <c r="E975" s="507">
        <v>2</v>
      </c>
      <c r="F975" s="502">
        <v>2</v>
      </c>
      <c r="G975" s="502">
        <f t="shared" si="583"/>
        <v>7</v>
      </c>
      <c r="H975" s="503"/>
      <c r="I975" s="503">
        <f>0.18+(20*C975/1000)</f>
        <v>0.33999999999999997</v>
      </c>
      <c r="J975" s="509"/>
      <c r="K975" s="509"/>
      <c r="L975" s="503">
        <f t="shared" ref="L975:L980" si="584">SUM(H975:J975)+K975</f>
        <v>0.33999999999999997</v>
      </c>
      <c r="M975" s="503">
        <f t="shared" si="511"/>
        <v>9.52</v>
      </c>
      <c r="N975" s="503">
        <f t="shared" si="512"/>
        <v>0</v>
      </c>
      <c r="O975" s="503">
        <f t="shared" si="513"/>
        <v>0</v>
      </c>
      <c r="P975" s="503">
        <f t="shared" si="514"/>
        <v>0</v>
      </c>
      <c r="Q975" s="503">
        <f t="shared" si="515"/>
        <v>0</v>
      </c>
      <c r="R975" s="503">
        <f t="shared" si="516"/>
        <v>0</v>
      </c>
    </row>
    <row r="976" spans="1:18">
      <c r="A976" s="505"/>
      <c r="B976" s="506" t="s">
        <v>801</v>
      </c>
      <c r="C976" s="507">
        <v>16</v>
      </c>
      <c r="D976" s="508"/>
      <c r="E976" s="507">
        <v>2</v>
      </c>
      <c r="F976" s="502">
        <v>1</v>
      </c>
      <c r="G976" s="502">
        <v>4</v>
      </c>
      <c r="H976" s="503"/>
      <c r="I976" s="503">
        <f t="shared" ref="I976:I977" si="585">106.2-103.25</f>
        <v>2.9500000000000028</v>
      </c>
      <c r="J976" s="509"/>
      <c r="K976" s="509">
        <f t="shared" ref="K976:K977" si="586">1*36*C976/1000</f>
        <v>0.57599999999999996</v>
      </c>
      <c r="L976" s="503">
        <f t="shared" si="584"/>
        <v>3.5260000000000029</v>
      </c>
      <c r="M976" s="503">
        <f t="shared" si="511"/>
        <v>0</v>
      </c>
      <c r="N976" s="503">
        <f t="shared" si="512"/>
        <v>0</v>
      </c>
      <c r="O976" s="503">
        <f t="shared" si="513"/>
        <v>0</v>
      </c>
      <c r="P976" s="503">
        <f t="shared" si="514"/>
        <v>28.21</v>
      </c>
      <c r="Q976" s="503">
        <f t="shared" si="515"/>
        <v>0</v>
      </c>
      <c r="R976" s="503">
        <f t="shared" si="516"/>
        <v>0</v>
      </c>
    </row>
    <row r="977" spans="1:18">
      <c r="A977" s="505"/>
      <c r="B977" s="511"/>
      <c r="C977" s="507">
        <v>12</v>
      </c>
      <c r="D977" s="508"/>
      <c r="E977" s="507">
        <v>2</v>
      </c>
      <c r="F977" s="502">
        <v>1</v>
      </c>
      <c r="G977" s="502">
        <v>16</v>
      </c>
      <c r="H977" s="503"/>
      <c r="I977" s="503">
        <f t="shared" si="585"/>
        <v>2.9500000000000028</v>
      </c>
      <c r="J977" s="509"/>
      <c r="K977" s="509">
        <f t="shared" si="586"/>
        <v>0.432</v>
      </c>
      <c r="L977" s="503">
        <f t="shared" si="584"/>
        <v>3.3820000000000028</v>
      </c>
      <c r="M977" s="503">
        <f t="shared" si="511"/>
        <v>0</v>
      </c>
      <c r="N977" s="503">
        <f t="shared" si="512"/>
        <v>0</v>
      </c>
      <c r="O977" s="503">
        <f t="shared" si="513"/>
        <v>108.22</v>
      </c>
      <c r="P977" s="503">
        <f t="shared" si="514"/>
        <v>0</v>
      </c>
      <c r="Q977" s="503">
        <f t="shared" si="515"/>
        <v>0</v>
      </c>
      <c r="R977" s="503">
        <f t="shared" si="516"/>
        <v>0</v>
      </c>
    </row>
    <row r="978" spans="1:18">
      <c r="A978" s="505"/>
      <c r="B978" s="511" t="s">
        <v>797</v>
      </c>
      <c r="C978" s="507"/>
      <c r="D978" s="508"/>
      <c r="E978" s="507"/>
      <c r="F978" s="502"/>
      <c r="G978" s="502"/>
      <c r="H978" s="503"/>
      <c r="I978" s="503"/>
      <c r="J978" s="509"/>
      <c r="K978" s="509"/>
      <c r="L978" s="503">
        <f t="shared" si="584"/>
        <v>0</v>
      </c>
      <c r="M978" s="503">
        <f t="shared" si="511"/>
        <v>0</v>
      </c>
      <c r="N978" s="503">
        <f t="shared" si="512"/>
        <v>0</v>
      </c>
      <c r="O978" s="503">
        <f t="shared" si="513"/>
        <v>0</v>
      </c>
      <c r="P978" s="503">
        <f t="shared" si="514"/>
        <v>0</v>
      </c>
      <c r="Q978" s="503">
        <f t="shared" si="515"/>
        <v>0</v>
      </c>
      <c r="R978" s="503">
        <f t="shared" si="516"/>
        <v>0</v>
      </c>
    </row>
    <row r="979" spans="1:18">
      <c r="A979" s="505"/>
      <c r="B979" s="511" t="s">
        <v>832</v>
      </c>
      <c r="C979" s="507">
        <v>8</v>
      </c>
      <c r="D979" s="508">
        <v>100</v>
      </c>
      <c r="E979" s="507">
        <v>2</v>
      </c>
      <c r="F979" s="502">
        <v>1</v>
      </c>
      <c r="G979" s="502">
        <f t="shared" ref="G979:G980" si="587">+ROUND(2450/D979+1,0)</f>
        <v>26</v>
      </c>
      <c r="H979" s="503"/>
      <c r="I979" s="503">
        <f>2*(0.18+0.95)+24*C979/1000</f>
        <v>2.452</v>
      </c>
      <c r="J979" s="509"/>
      <c r="K979" s="509"/>
      <c r="L979" s="503">
        <f t="shared" si="584"/>
        <v>2.452</v>
      </c>
      <c r="M979" s="503">
        <f t="shared" si="511"/>
        <v>127.5</v>
      </c>
      <c r="N979" s="503">
        <f t="shared" si="512"/>
        <v>0</v>
      </c>
      <c r="O979" s="503">
        <f t="shared" si="513"/>
        <v>0</v>
      </c>
      <c r="P979" s="503">
        <f t="shared" si="514"/>
        <v>0</v>
      </c>
      <c r="Q979" s="503">
        <f t="shared" si="515"/>
        <v>0</v>
      </c>
      <c r="R979" s="503">
        <f t="shared" si="516"/>
        <v>0</v>
      </c>
    </row>
    <row r="980" spans="1:18">
      <c r="A980" s="505"/>
      <c r="B980" s="511" t="s">
        <v>833</v>
      </c>
      <c r="C980" s="507">
        <v>8</v>
      </c>
      <c r="D980" s="508">
        <v>100</v>
      </c>
      <c r="E980" s="507">
        <v>2</v>
      </c>
      <c r="F980" s="502">
        <v>4</v>
      </c>
      <c r="G980" s="502">
        <f t="shared" si="587"/>
        <v>26</v>
      </c>
      <c r="H980" s="503"/>
      <c r="I980" s="503">
        <f>2*(0.18+0.12)+24*C980/1000</f>
        <v>0.79200000000000004</v>
      </c>
      <c r="J980" s="509"/>
      <c r="K980" s="509"/>
      <c r="L980" s="503">
        <f t="shared" si="584"/>
        <v>0.79200000000000004</v>
      </c>
      <c r="M980" s="503">
        <f t="shared" si="511"/>
        <v>164.74</v>
      </c>
      <c r="N980" s="503">
        <f t="shared" si="512"/>
        <v>0</v>
      </c>
      <c r="O980" s="503">
        <f t="shared" si="513"/>
        <v>0</v>
      </c>
      <c r="P980" s="503">
        <f t="shared" si="514"/>
        <v>0</v>
      </c>
      <c r="Q980" s="503">
        <f t="shared" si="515"/>
        <v>0</v>
      </c>
      <c r="R980" s="503">
        <f t="shared" si="516"/>
        <v>0</v>
      </c>
    </row>
    <row r="981" spans="1:18">
      <c r="A981" s="505"/>
      <c r="B981" s="506" t="s">
        <v>802</v>
      </c>
      <c r="C981" s="507">
        <v>16</v>
      </c>
      <c r="D981" s="508"/>
      <c r="E981" s="507">
        <v>2</v>
      </c>
      <c r="F981" s="502">
        <v>1</v>
      </c>
      <c r="G981" s="502">
        <v>4</v>
      </c>
      <c r="H981" s="503"/>
      <c r="I981" s="503">
        <f t="shared" ref="I981:I982" si="588">106.2-103.25</f>
        <v>2.9500000000000028</v>
      </c>
      <c r="J981" s="509"/>
      <c r="K981" s="509">
        <f t="shared" ref="K981:K982" si="589">1*36*C981/1000</f>
        <v>0.57599999999999996</v>
      </c>
      <c r="L981" s="503">
        <f t="shared" ref="L981" si="590">SUM(H981:J981)+K981</f>
        <v>3.5260000000000029</v>
      </c>
      <c r="M981" s="503">
        <f t="shared" si="511"/>
        <v>0</v>
      </c>
      <c r="N981" s="503">
        <f t="shared" si="512"/>
        <v>0</v>
      </c>
      <c r="O981" s="503">
        <f t="shared" si="513"/>
        <v>0</v>
      </c>
      <c r="P981" s="503">
        <f t="shared" si="514"/>
        <v>28.21</v>
      </c>
      <c r="Q981" s="503">
        <f t="shared" si="515"/>
        <v>0</v>
      </c>
      <c r="R981" s="503">
        <f t="shared" si="516"/>
        <v>0</v>
      </c>
    </row>
    <row r="982" spans="1:18">
      <c r="A982" s="505"/>
      <c r="B982" s="511"/>
      <c r="C982" s="507">
        <v>12</v>
      </c>
      <c r="D982" s="508"/>
      <c r="E982" s="507">
        <v>2</v>
      </c>
      <c r="F982" s="502">
        <v>1</v>
      </c>
      <c r="G982" s="502">
        <v>18</v>
      </c>
      <c r="H982" s="503"/>
      <c r="I982" s="503">
        <f t="shared" si="588"/>
        <v>2.9500000000000028</v>
      </c>
      <c r="J982" s="509"/>
      <c r="K982" s="509">
        <f t="shared" si="589"/>
        <v>0.432</v>
      </c>
      <c r="L982" s="503">
        <f>SUM(H982:J982)+K982</f>
        <v>3.3820000000000028</v>
      </c>
      <c r="M982" s="503">
        <f>+ROUND(IF(C982=8,PRODUCT(E982,F982,G982,L982),0),2)</f>
        <v>0</v>
      </c>
      <c r="N982" s="503">
        <f t="shared" si="512"/>
        <v>0</v>
      </c>
      <c r="O982" s="503">
        <f t="shared" si="513"/>
        <v>121.75</v>
      </c>
      <c r="P982" s="503">
        <f t="shared" si="514"/>
        <v>0</v>
      </c>
      <c r="Q982" s="503">
        <f t="shared" si="515"/>
        <v>0</v>
      </c>
      <c r="R982" s="503">
        <f t="shared" si="516"/>
        <v>0</v>
      </c>
    </row>
    <row r="983" spans="1:18">
      <c r="A983" s="505"/>
      <c r="B983" s="511" t="s">
        <v>797</v>
      </c>
      <c r="C983" s="507"/>
      <c r="D983" s="508"/>
      <c r="E983" s="507"/>
      <c r="F983" s="502"/>
      <c r="G983" s="502"/>
      <c r="H983" s="503"/>
      <c r="I983" s="503"/>
      <c r="J983" s="509"/>
      <c r="K983" s="509"/>
      <c r="L983" s="503">
        <f t="shared" ref="L983:L985" si="591">SUM(H983:J983)+K983</f>
        <v>0</v>
      </c>
      <c r="M983" s="503">
        <f t="shared" ref="M983:M987" si="592">+ROUND(IF(C983=8,PRODUCT(E983,F983,G983,L983),0),2)</f>
        <v>0</v>
      </c>
      <c r="N983" s="503">
        <f t="shared" si="512"/>
        <v>0</v>
      </c>
      <c r="O983" s="503">
        <f t="shared" si="513"/>
        <v>0</v>
      </c>
      <c r="P983" s="503">
        <f t="shared" si="514"/>
        <v>0</v>
      </c>
      <c r="Q983" s="503">
        <f t="shared" si="515"/>
        <v>0</v>
      </c>
      <c r="R983" s="503">
        <f t="shared" si="516"/>
        <v>0</v>
      </c>
    </row>
    <row r="984" spans="1:18">
      <c r="A984" s="505"/>
      <c r="B984" s="511" t="s">
        <v>834</v>
      </c>
      <c r="C984" s="507">
        <v>8</v>
      </c>
      <c r="D984" s="508">
        <v>100</v>
      </c>
      <c r="E984" s="507">
        <v>2</v>
      </c>
      <c r="F984" s="502">
        <v>1</v>
      </c>
      <c r="G984" s="502">
        <f t="shared" ref="G984:G986" si="593">+ROUND(2450/D984+1,0)</f>
        <v>26</v>
      </c>
      <c r="H984" s="503"/>
      <c r="I984" s="503">
        <f>2*(0.18+1.1)+24*C984/1000</f>
        <v>2.7520000000000002</v>
      </c>
      <c r="J984" s="509"/>
      <c r="K984" s="509"/>
      <c r="L984" s="503">
        <f t="shared" si="591"/>
        <v>2.7520000000000002</v>
      </c>
      <c r="M984" s="503">
        <f t="shared" si="592"/>
        <v>143.1</v>
      </c>
      <c r="N984" s="503">
        <f t="shared" si="512"/>
        <v>0</v>
      </c>
      <c r="O984" s="503">
        <f t="shared" si="513"/>
        <v>0</v>
      </c>
      <c r="P984" s="503">
        <f t="shared" si="514"/>
        <v>0</v>
      </c>
      <c r="Q984" s="503">
        <f t="shared" si="515"/>
        <v>0</v>
      </c>
      <c r="R984" s="503">
        <f t="shared" si="516"/>
        <v>0</v>
      </c>
    </row>
    <row r="985" spans="1:18">
      <c r="A985" s="505"/>
      <c r="B985" s="511" t="s">
        <v>835</v>
      </c>
      <c r="C985" s="507">
        <v>8</v>
      </c>
      <c r="D985" s="508">
        <v>100</v>
      </c>
      <c r="E985" s="507">
        <v>2</v>
      </c>
      <c r="F985" s="502">
        <v>4</v>
      </c>
      <c r="G985" s="502">
        <f t="shared" si="593"/>
        <v>26</v>
      </c>
      <c r="H985" s="503"/>
      <c r="I985" s="503">
        <f>2*(0.18+0.125)+24*C985/1000</f>
        <v>0.80200000000000005</v>
      </c>
      <c r="J985" s="509"/>
      <c r="K985" s="509"/>
      <c r="L985" s="503">
        <f t="shared" si="591"/>
        <v>0.80200000000000005</v>
      </c>
      <c r="M985" s="503">
        <f t="shared" si="592"/>
        <v>166.82</v>
      </c>
      <c r="N985" s="503">
        <f t="shared" si="512"/>
        <v>0</v>
      </c>
      <c r="O985" s="503">
        <f t="shared" si="513"/>
        <v>0</v>
      </c>
      <c r="P985" s="503">
        <f t="shared" si="514"/>
        <v>0</v>
      </c>
      <c r="Q985" s="503">
        <f t="shared" si="515"/>
        <v>0</v>
      </c>
      <c r="R985" s="503">
        <f t="shared" si="516"/>
        <v>0</v>
      </c>
    </row>
    <row r="986" spans="1:18">
      <c r="A986" s="505"/>
      <c r="B986" s="511" t="s">
        <v>803</v>
      </c>
      <c r="C986" s="507">
        <v>8</v>
      </c>
      <c r="D986" s="508">
        <v>100</v>
      </c>
      <c r="E986" s="507">
        <v>2</v>
      </c>
      <c r="F986" s="502">
        <v>1</v>
      </c>
      <c r="G986" s="502">
        <f t="shared" si="593"/>
        <v>26</v>
      </c>
      <c r="H986" s="503"/>
      <c r="I986" s="503">
        <f>0.18+(20*C986/1000)</f>
        <v>0.33999999999999997</v>
      </c>
      <c r="J986" s="509"/>
      <c r="K986" s="509"/>
      <c r="L986" s="503">
        <f t="shared" ref="L986:L987" si="594">SUM(H986:J986)+K986</f>
        <v>0.33999999999999997</v>
      </c>
      <c r="M986" s="503">
        <f t="shared" si="592"/>
        <v>17.68</v>
      </c>
      <c r="N986" s="503">
        <f t="shared" si="512"/>
        <v>0</v>
      </c>
      <c r="O986" s="503">
        <f t="shared" si="513"/>
        <v>0</v>
      </c>
      <c r="P986" s="503">
        <f t="shared" si="514"/>
        <v>0</v>
      </c>
      <c r="Q986" s="503">
        <f t="shared" si="515"/>
        <v>0</v>
      </c>
      <c r="R986" s="503">
        <f t="shared" si="516"/>
        <v>0</v>
      </c>
    </row>
    <row r="987" spans="1:18">
      <c r="A987" s="505"/>
      <c r="B987" s="506" t="s">
        <v>851</v>
      </c>
      <c r="C987" s="507">
        <v>16</v>
      </c>
      <c r="D987" s="508"/>
      <c r="E987" s="507">
        <v>4</v>
      </c>
      <c r="F987" s="502">
        <v>1</v>
      </c>
      <c r="G987" s="502">
        <v>8</v>
      </c>
      <c r="H987" s="503"/>
      <c r="I987" s="503">
        <f t="shared" ref="I987:I989" si="595">106.2-103.25</f>
        <v>2.9500000000000028</v>
      </c>
      <c r="J987" s="509"/>
      <c r="K987" s="509">
        <f t="shared" ref="K987:K989" si="596">1*36*C987/1000</f>
        <v>0.57599999999999996</v>
      </c>
      <c r="L987" s="503">
        <f t="shared" si="594"/>
        <v>3.5260000000000029</v>
      </c>
      <c r="M987" s="503">
        <f t="shared" si="592"/>
        <v>0</v>
      </c>
      <c r="N987" s="503">
        <f t="shared" si="512"/>
        <v>0</v>
      </c>
      <c r="O987" s="503">
        <f t="shared" si="513"/>
        <v>0</v>
      </c>
      <c r="P987" s="503">
        <f t="shared" si="514"/>
        <v>112.83</v>
      </c>
      <c r="Q987" s="503">
        <f t="shared" si="515"/>
        <v>0</v>
      </c>
      <c r="R987" s="503">
        <f t="shared" si="516"/>
        <v>0</v>
      </c>
    </row>
    <row r="988" spans="1:18">
      <c r="A988" s="505"/>
      <c r="B988" s="511"/>
      <c r="C988" s="507">
        <v>12</v>
      </c>
      <c r="D988" s="508"/>
      <c r="E988" s="507">
        <f>+E987</f>
        <v>4</v>
      </c>
      <c r="F988" s="502">
        <v>1</v>
      </c>
      <c r="G988" s="502">
        <v>8</v>
      </c>
      <c r="H988" s="503"/>
      <c r="I988" s="503">
        <f t="shared" si="595"/>
        <v>2.9500000000000028</v>
      </c>
      <c r="J988" s="509"/>
      <c r="K988" s="509">
        <f t="shared" si="596"/>
        <v>0.432</v>
      </c>
      <c r="L988" s="503">
        <f>SUM(H988:J988)+K988</f>
        <v>3.3820000000000028</v>
      </c>
      <c r="M988" s="503">
        <f>+ROUND(IF(C988=8,PRODUCT(E988,F988,G988,L988),0),2)</f>
        <v>0</v>
      </c>
      <c r="N988" s="503">
        <f t="shared" si="512"/>
        <v>0</v>
      </c>
      <c r="O988" s="503">
        <f t="shared" si="513"/>
        <v>108.22</v>
      </c>
      <c r="P988" s="503">
        <f t="shared" si="514"/>
        <v>0</v>
      </c>
      <c r="Q988" s="503">
        <f t="shared" si="515"/>
        <v>0</v>
      </c>
      <c r="R988" s="503">
        <f t="shared" si="516"/>
        <v>0</v>
      </c>
    </row>
    <row r="989" spans="1:18">
      <c r="A989" s="505"/>
      <c r="B989" s="511"/>
      <c r="C989" s="507">
        <v>10</v>
      </c>
      <c r="D989" s="508"/>
      <c r="E989" s="507">
        <f>+E988</f>
        <v>4</v>
      </c>
      <c r="F989" s="502">
        <v>1</v>
      </c>
      <c r="G989" s="502">
        <v>8</v>
      </c>
      <c r="H989" s="503"/>
      <c r="I989" s="503">
        <f t="shared" si="595"/>
        <v>2.9500000000000028</v>
      </c>
      <c r="J989" s="509"/>
      <c r="K989" s="509">
        <f t="shared" si="596"/>
        <v>0.36</v>
      </c>
      <c r="L989" s="503">
        <f>SUM(H989:J989)+K989</f>
        <v>3.3100000000000027</v>
      </c>
      <c r="M989" s="503">
        <f>+ROUND(IF(C989=8,PRODUCT(E989,F989,G989,L989),0),2)</f>
        <v>0</v>
      </c>
      <c r="N989" s="503">
        <f t="shared" si="512"/>
        <v>105.92</v>
      </c>
      <c r="O989" s="503">
        <f t="shared" si="513"/>
        <v>0</v>
      </c>
      <c r="P989" s="503">
        <f t="shared" si="514"/>
        <v>0</v>
      </c>
      <c r="Q989" s="503">
        <f t="shared" si="515"/>
        <v>0</v>
      </c>
      <c r="R989" s="503">
        <f t="shared" si="516"/>
        <v>0</v>
      </c>
    </row>
    <row r="990" spans="1:18">
      <c r="A990" s="505"/>
      <c r="B990" s="511" t="s">
        <v>797</v>
      </c>
      <c r="C990" s="507"/>
      <c r="D990" s="508"/>
      <c r="E990" s="507"/>
      <c r="F990" s="502"/>
      <c r="G990" s="502"/>
      <c r="H990" s="503"/>
      <c r="I990" s="503"/>
      <c r="J990" s="509"/>
      <c r="K990" s="509"/>
      <c r="L990" s="503">
        <f t="shared" ref="L990:L992" si="597">SUM(H990:J990)+K990</f>
        <v>0</v>
      </c>
      <c r="M990" s="503">
        <f t="shared" ref="M990:M995" si="598">+ROUND(IF(C990=8,PRODUCT(E990,F990,G990,L990),0),2)</f>
        <v>0</v>
      </c>
      <c r="N990" s="503">
        <f t="shared" si="512"/>
        <v>0</v>
      </c>
      <c r="O990" s="503">
        <f t="shared" si="513"/>
        <v>0</v>
      </c>
      <c r="P990" s="503">
        <f t="shared" si="514"/>
        <v>0</v>
      </c>
      <c r="Q990" s="503">
        <f t="shared" si="515"/>
        <v>0</v>
      </c>
      <c r="R990" s="503">
        <f t="shared" si="516"/>
        <v>0</v>
      </c>
    </row>
    <row r="991" spans="1:18">
      <c r="A991" s="505"/>
      <c r="B991" s="511" t="s">
        <v>852</v>
      </c>
      <c r="C991" s="507">
        <v>8</v>
      </c>
      <c r="D991" s="508">
        <v>100</v>
      </c>
      <c r="E991" s="507">
        <v>4</v>
      </c>
      <c r="F991" s="502">
        <v>2</v>
      </c>
      <c r="G991" s="502">
        <f t="shared" ref="G991:G994" si="599">+ROUND(2450/D991+1,0)</f>
        <v>26</v>
      </c>
      <c r="H991" s="503"/>
      <c r="I991" s="503">
        <f>2*(0.18+0.383)+24*C991/1000</f>
        <v>1.3179999999999998</v>
      </c>
      <c r="J991" s="509"/>
      <c r="K991" s="509"/>
      <c r="L991" s="503">
        <f t="shared" si="597"/>
        <v>1.3179999999999998</v>
      </c>
      <c r="M991" s="503">
        <f t="shared" si="598"/>
        <v>274.14</v>
      </c>
      <c r="N991" s="503">
        <f t="shared" si="512"/>
        <v>0</v>
      </c>
      <c r="O991" s="503">
        <f t="shared" si="513"/>
        <v>0</v>
      </c>
      <c r="P991" s="503">
        <f t="shared" si="514"/>
        <v>0</v>
      </c>
      <c r="Q991" s="503">
        <f t="shared" si="515"/>
        <v>0</v>
      </c>
      <c r="R991" s="503">
        <f t="shared" si="516"/>
        <v>0</v>
      </c>
    </row>
    <row r="992" spans="1:18">
      <c r="A992" s="505"/>
      <c r="B992" s="511" t="s">
        <v>833</v>
      </c>
      <c r="C992" s="507">
        <v>8</v>
      </c>
      <c r="D992" s="508">
        <v>100</v>
      </c>
      <c r="E992" s="507">
        <v>4</v>
      </c>
      <c r="F992" s="502">
        <v>2</v>
      </c>
      <c r="G992" s="502">
        <f t="shared" si="599"/>
        <v>26</v>
      </c>
      <c r="H992" s="503"/>
      <c r="I992" s="503">
        <f>2*(0.18+0.12)+24*C992/1000</f>
        <v>0.79200000000000004</v>
      </c>
      <c r="J992" s="509"/>
      <c r="K992" s="509"/>
      <c r="L992" s="503">
        <f t="shared" si="597"/>
        <v>0.79200000000000004</v>
      </c>
      <c r="M992" s="503">
        <f t="shared" si="598"/>
        <v>164.74</v>
      </c>
      <c r="N992" s="503">
        <f t="shared" si="512"/>
        <v>0</v>
      </c>
      <c r="O992" s="503">
        <f t="shared" si="513"/>
        <v>0</v>
      </c>
      <c r="P992" s="503">
        <f t="shared" si="514"/>
        <v>0</v>
      </c>
      <c r="Q992" s="503">
        <f t="shared" si="515"/>
        <v>0</v>
      </c>
      <c r="R992" s="503">
        <f t="shared" si="516"/>
        <v>0</v>
      </c>
    </row>
    <row r="993" spans="1:18">
      <c r="A993" s="505"/>
      <c r="B993" s="511" t="s">
        <v>853</v>
      </c>
      <c r="C993" s="507">
        <v>8</v>
      </c>
      <c r="D993" s="508">
        <v>200</v>
      </c>
      <c r="E993" s="507">
        <v>4</v>
      </c>
      <c r="F993" s="502">
        <v>1</v>
      </c>
      <c r="G993" s="502">
        <f t="shared" si="599"/>
        <v>13</v>
      </c>
      <c r="H993" s="503"/>
      <c r="I993" s="503">
        <f>2*(0.18+0.916)+24*C993/1000</f>
        <v>2.3840000000000003</v>
      </c>
      <c r="J993" s="509"/>
      <c r="K993" s="509"/>
      <c r="L993" s="503">
        <f t="shared" ref="L993" si="600">SUM(H993:J993)+K993</f>
        <v>2.3840000000000003</v>
      </c>
      <c r="M993" s="503">
        <f t="shared" si="598"/>
        <v>123.97</v>
      </c>
      <c r="N993" s="503">
        <f t="shared" si="512"/>
        <v>0</v>
      </c>
      <c r="O993" s="503">
        <f t="shared" si="513"/>
        <v>0</v>
      </c>
      <c r="P993" s="503">
        <f t="shared" si="514"/>
        <v>0</v>
      </c>
      <c r="Q993" s="503">
        <f t="shared" si="515"/>
        <v>0</v>
      </c>
      <c r="R993" s="503">
        <f t="shared" si="516"/>
        <v>0</v>
      </c>
    </row>
    <row r="994" spans="1:18">
      <c r="A994" s="505"/>
      <c r="B994" s="511" t="s">
        <v>799</v>
      </c>
      <c r="C994" s="507">
        <v>8</v>
      </c>
      <c r="D994" s="508">
        <v>400</v>
      </c>
      <c r="E994" s="507">
        <v>4</v>
      </c>
      <c r="F994" s="502">
        <v>2</v>
      </c>
      <c r="G994" s="502">
        <f t="shared" si="599"/>
        <v>7</v>
      </c>
      <c r="H994" s="503"/>
      <c r="I994" s="503">
        <f>0.18+(20*C994/1000)</f>
        <v>0.33999999999999997</v>
      </c>
      <c r="J994" s="509"/>
      <c r="K994" s="509"/>
      <c r="L994" s="503">
        <f t="shared" ref="L994" si="601">SUM(H994:J994)+K994</f>
        <v>0.33999999999999997</v>
      </c>
      <c r="M994" s="503">
        <f t="shared" si="598"/>
        <v>19.04</v>
      </c>
      <c r="N994" s="503">
        <f t="shared" si="512"/>
        <v>0</v>
      </c>
      <c r="O994" s="503">
        <f t="shared" si="513"/>
        <v>0</v>
      </c>
      <c r="P994" s="503">
        <f t="shared" si="514"/>
        <v>0</v>
      </c>
      <c r="Q994" s="503">
        <f t="shared" si="515"/>
        <v>0</v>
      </c>
      <c r="R994" s="503">
        <f t="shared" si="516"/>
        <v>0</v>
      </c>
    </row>
    <row r="995" spans="1:18">
      <c r="A995" s="505"/>
      <c r="B995" s="506" t="s">
        <v>804</v>
      </c>
      <c r="C995" s="507">
        <v>16</v>
      </c>
      <c r="D995" s="508"/>
      <c r="E995" s="507">
        <v>4</v>
      </c>
      <c r="F995" s="502">
        <v>1</v>
      </c>
      <c r="G995" s="502">
        <v>4</v>
      </c>
      <c r="H995" s="503"/>
      <c r="I995" s="503">
        <f t="shared" ref="I995:I997" si="602">106.2-103.25</f>
        <v>2.9500000000000028</v>
      </c>
      <c r="J995" s="509"/>
      <c r="K995" s="509">
        <f t="shared" ref="K995:K997" si="603">1*36*C995/1000</f>
        <v>0.57599999999999996</v>
      </c>
      <c r="L995" s="503">
        <f t="shared" ref="L995" si="604">SUM(H995:J995)+K995</f>
        <v>3.5260000000000029</v>
      </c>
      <c r="M995" s="503">
        <f t="shared" si="598"/>
        <v>0</v>
      </c>
      <c r="N995" s="503">
        <f t="shared" si="512"/>
        <v>0</v>
      </c>
      <c r="O995" s="503">
        <f t="shared" si="513"/>
        <v>0</v>
      </c>
      <c r="P995" s="503">
        <f t="shared" si="514"/>
        <v>56.42</v>
      </c>
      <c r="Q995" s="503">
        <f t="shared" si="515"/>
        <v>0</v>
      </c>
      <c r="R995" s="503">
        <f t="shared" si="516"/>
        <v>0</v>
      </c>
    </row>
    <row r="996" spans="1:18">
      <c r="A996" s="505"/>
      <c r="B996" s="511"/>
      <c r="C996" s="507">
        <v>12</v>
      </c>
      <c r="D996" s="508"/>
      <c r="E996" s="507">
        <f>+E995</f>
        <v>4</v>
      </c>
      <c r="F996" s="502">
        <v>1</v>
      </c>
      <c r="G996" s="502">
        <v>12</v>
      </c>
      <c r="H996" s="503"/>
      <c r="I996" s="503">
        <f t="shared" si="602"/>
        <v>2.9500000000000028</v>
      </c>
      <c r="J996" s="509"/>
      <c r="K996" s="509">
        <f t="shared" si="603"/>
        <v>0.432</v>
      </c>
      <c r="L996" s="503">
        <f>SUM(H996:J996)+K996</f>
        <v>3.3820000000000028</v>
      </c>
      <c r="M996" s="503">
        <f>+ROUND(IF(C996=8,PRODUCT(E996,F996,G996,L996),0),2)</f>
        <v>0</v>
      </c>
      <c r="N996" s="503">
        <f t="shared" si="512"/>
        <v>0</v>
      </c>
      <c r="O996" s="503">
        <f t="shared" si="513"/>
        <v>162.34</v>
      </c>
      <c r="P996" s="503">
        <f t="shared" si="514"/>
        <v>0</v>
      </c>
      <c r="Q996" s="503">
        <f t="shared" si="515"/>
        <v>0</v>
      </c>
      <c r="R996" s="503">
        <f t="shared" si="516"/>
        <v>0</v>
      </c>
    </row>
    <row r="997" spans="1:18">
      <c r="A997" s="505"/>
      <c r="B997" s="511"/>
      <c r="C997" s="507">
        <v>10</v>
      </c>
      <c r="D997" s="508"/>
      <c r="E997" s="507">
        <f>+E996</f>
        <v>4</v>
      </c>
      <c r="F997" s="502">
        <v>1</v>
      </c>
      <c r="G997" s="502">
        <v>8</v>
      </c>
      <c r="H997" s="503"/>
      <c r="I997" s="503">
        <f t="shared" si="602"/>
        <v>2.9500000000000028</v>
      </c>
      <c r="J997" s="509"/>
      <c r="K997" s="509">
        <f t="shared" si="603"/>
        <v>0.36</v>
      </c>
      <c r="L997" s="503">
        <f>SUM(H997:J997)+K997</f>
        <v>3.3100000000000027</v>
      </c>
      <c r="M997" s="503">
        <f>+ROUND(IF(C997=8,PRODUCT(E997,F997,G997,L997),0),2)</f>
        <v>0</v>
      </c>
      <c r="N997" s="503">
        <f t="shared" si="512"/>
        <v>105.92</v>
      </c>
      <c r="O997" s="503">
        <f t="shared" si="513"/>
        <v>0</v>
      </c>
      <c r="P997" s="503">
        <f t="shared" si="514"/>
        <v>0</v>
      </c>
      <c r="Q997" s="503">
        <f t="shared" si="515"/>
        <v>0</v>
      </c>
      <c r="R997" s="503">
        <f t="shared" si="516"/>
        <v>0</v>
      </c>
    </row>
    <row r="998" spans="1:18">
      <c r="A998" s="505"/>
      <c r="B998" s="511" t="s">
        <v>797</v>
      </c>
      <c r="C998" s="507"/>
      <c r="D998" s="508"/>
      <c r="E998" s="507"/>
      <c r="F998" s="502"/>
      <c r="G998" s="502"/>
      <c r="H998" s="503"/>
      <c r="I998" s="503"/>
      <c r="J998" s="509"/>
      <c r="K998" s="509"/>
      <c r="L998" s="503">
        <f t="shared" ref="L998:L1002" si="605">SUM(H998:J998)+K998</f>
        <v>0</v>
      </c>
      <c r="M998" s="503">
        <f t="shared" ref="M998:M1067" si="606">+ROUND(IF(C998=8,PRODUCT(E998,F998,G998,L998),0),2)</f>
        <v>0</v>
      </c>
      <c r="N998" s="503">
        <f t="shared" si="512"/>
        <v>0</v>
      </c>
      <c r="O998" s="503">
        <f t="shared" si="513"/>
        <v>0</v>
      </c>
      <c r="P998" s="503">
        <f t="shared" si="514"/>
        <v>0</v>
      </c>
      <c r="Q998" s="503">
        <f t="shared" si="515"/>
        <v>0</v>
      </c>
      <c r="R998" s="503">
        <f t="shared" si="516"/>
        <v>0</v>
      </c>
    </row>
    <row r="999" spans="1:18">
      <c r="A999" s="505"/>
      <c r="B999" s="511" t="s">
        <v>839</v>
      </c>
      <c r="C999" s="507">
        <v>8</v>
      </c>
      <c r="D999" s="508">
        <v>100</v>
      </c>
      <c r="E999" s="507">
        <v>4</v>
      </c>
      <c r="F999" s="502">
        <v>1</v>
      </c>
      <c r="G999" s="502">
        <f t="shared" ref="G999:G1000" si="607">+ROUND(2450/D999+1,0)</f>
        <v>26</v>
      </c>
      <c r="H999" s="503"/>
      <c r="I999" s="503">
        <f>2*(0.18+1.135)+24*C999/1000</f>
        <v>2.8220000000000001</v>
      </c>
      <c r="J999" s="509"/>
      <c r="K999" s="509"/>
      <c r="L999" s="503">
        <f t="shared" si="605"/>
        <v>2.8220000000000001</v>
      </c>
      <c r="M999" s="503">
        <f t="shared" si="606"/>
        <v>293.49</v>
      </c>
      <c r="N999" s="503">
        <f t="shared" si="512"/>
        <v>0</v>
      </c>
      <c r="O999" s="503">
        <f t="shared" si="513"/>
        <v>0</v>
      </c>
      <c r="P999" s="503">
        <f t="shared" si="514"/>
        <v>0</v>
      </c>
      <c r="Q999" s="503">
        <f t="shared" si="515"/>
        <v>0</v>
      </c>
      <c r="R999" s="503">
        <f t="shared" si="516"/>
        <v>0</v>
      </c>
    </row>
    <row r="1000" spans="1:18">
      <c r="A1000" s="505"/>
      <c r="B1000" s="511" t="s">
        <v>840</v>
      </c>
      <c r="C1000" s="507">
        <v>8</v>
      </c>
      <c r="D1000" s="508">
        <v>100</v>
      </c>
      <c r="E1000" s="507">
        <v>4</v>
      </c>
      <c r="F1000" s="502">
        <v>5</v>
      </c>
      <c r="G1000" s="502">
        <f t="shared" si="607"/>
        <v>26</v>
      </c>
      <c r="H1000" s="503"/>
      <c r="I1000" s="503">
        <f>2*(0.18+0.118)+24*C1000/1000</f>
        <v>0.78800000000000003</v>
      </c>
      <c r="J1000" s="509"/>
      <c r="K1000" s="509"/>
      <c r="L1000" s="503">
        <f t="shared" si="605"/>
        <v>0.78800000000000003</v>
      </c>
      <c r="M1000" s="503">
        <f t="shared" si="606"/>
        <v>409.76</v>
      </c>
      <c r="N1000" s="503">
        <f t="shared" si="512"/>
        <v>0</v>
      </c>
      <c r="O1000" s="503">
        <f t="shared" si="513"/>
        <v>0</v>
      </c>
      <c r="P1000" s="503">
        <f t="shared" si="514"/>
        <v>0</v>
      </c>
      <c r="Q1000" s="503">
        <f t="shared" si="515"/>
        <v>0</v>
      </c>
      <c r="R1000" s="503">
        <f t="shared" si="516"/>
        <v>0</v>
      </c>
    </row>
    <row r="1001" spans="1:18">
      <c r="A1001" s="505"/>
      <c r="B1001" s="506" t="s">
        <v>854</v>
      </c>
      <c r="C1001" s="507">
        <v>16</v>
      </c>
      <c r="D1001" s="508"/>
      <c r="E1001" s="507">
        <v>2</v>
      </c>
      <c r="F1001" s="502">
        <v>1</v>
      </c>
      <c r="G1001" s="502">
        <v>8</v>
      </c>
      <c r="H1001" s="503"/>
      <c r="I1001" s="503">
        <f t="shared" ref="I1001:I1003" si="608">106.2-103.25</f>
        <v>2.9500000000000028</v>
      </c>
      <c r="J1001" s="509"/>
      <c r="K1001" s="509">
        <f t="shared" ref="K1001:K1003" si="609">1*36*C1001/1000</f>
        <v>0.57599999999999996</v>
      </c>
      <c r="L1001" s="503">
        <f t="shared" si="605"/>
        <v>3.5260000000000029</v>
      </c>
      <c r="M1001" s="503">
        <f t="shared" si="606"/>
        <v>0</v>
      </c>
      <c r="N1001" s="503">
        <f t="shared" si="512"/>
        <v>0</v>
      </c>
      <c r="O1001" s="503">
        <f t="shared" si="513"/>
        <v>0</v>
      </c>
      <c r="P1001" s="503">
        <f t="shared" si="514"/>
        <v>56.42</v>
      </c>
      <c r="Q1001" s="503">
        <f t="shared" si="515"/>
        <v>0</v>
      </c>
      <c r="R1001" s="503">
        <f t="shared" si="516"/>
        <v>0</v>
      </c>
    </row>
    <row r="1002" spans="1:18">
      <c r="A1002" s="505"/>
      <c r="B1002" s="506"/>
      <c r="C1002" s="507">
        <v>12</v>
      </c>
      <c r="D1002" s="508"/>
      <c r="E1002" s="507">
        <v>2</v>
      </c>
      <c r="F1002" s="502">
        <v>1</v>
      </c>
      <c r="G1002" s="502">
        <v>8</v>
      </c>
      <c r="H1002" s="503"/>
      <c r="I1002" s="503">
        <f t="shared" si="608"/>
        <v>2.9500000000000028</v>
      </c>
      <c r="J1002" s="509"/>
      <c r="K1002" s="509">
        <f t="shared" si="609"/>
        <v>0.432</v>
      </c>
      <c r="L1002" s="503">
        <f t="shared" si="605"/>
        <v>3.3820000000000028</v>
      </c>
      <c r="M1002" s="503">
        <f t="shared" si="606"/>
        <v>0</v>
      </c>
      <c r="N1002" s="503">
        <f t="shared" si="512"/>
        <v>0</v>
      </c>
      <c r="O1002" s="503">
        <f t="shared" si="513"/>
        <v>54.11</v>
      </c>
      <c r="P1002" s="503">
        <f t="shared" si="514"/>
        <v>0</v>
      </c>
      <c r="Q1002" s="503">
        <f t="shared" si="515"/>
        <v>0</v>
      </c>
      <c r="R1002" s="503">
        <f t="shared" si="516"/>
        <v>0</v>
      </c>
    </row>
    <row r="1003" spans="1:18">
      <c r="A1003" s="505"/>
      <c r="B1003" s="506"/>
      <c r="C1003" s="507">
        <v>10</v>
      </c>
      <c r="D1003" s="508"/>
      <c r="E1003" s="507">
        <v>2</v>
      </c>
      <c r="F1003" s="502">
        <v>1</v>
      </c>
      <c r="G1003" s="502">
        <v>10</v>
      </c>
      <c r="H1003" s="503"/>
      <c r="I1003" s="503">
        <f t="shared" si="608"/>
        <v>2.9500000000000028</v>
      </c>
      <c r="J1003" s="509"/>
      <c r="K1003" s="509">
        <f t="shared" si="609"/>
        <v>0.36</v>
      </c>
      <c r="L1003" s="503">
        <f t="shared" ref="L1003:L1006" si="610">SUM(H1003:J1003)+K1003</f>
        <v>3.3100000000000027</v>
      </c>
      <c r="M1003" s="503">
        <f t="shared" si="606"/>
        <v>0</v>
      </c>
      <c r="N1003" s="503">
        <f t="shared" si="512"/>
        <v>66.2</v>
      </c>
      <c r="O1003" s="503">
        <f t="shared" si="513"/>
        <v>0</v>
      </c>
      <c r="P1003" s="503">
        <f t="shared" si="514"/>
        <v>0</v>
      </c>
      <c r="Q1003" s="503">
        <f t="shared" si="515"/>
        <v>0</v>
      </c>
      <c r="R1003" s="503">
        <f t="shared" si="516"/>
        <v>0</v>
      </c>
    </row>
    <row r="1004" spans="1:18">
      <c r="A1004" s="505"/>
      <c r="B1004" s="511" t="s">
        <v>797</v>
      </c>
      <c r="C1004" s="507"/>
      <c r="D1004" s="508"/>
      <c r="E1004" s="507"/>
      <c r="F1004" s="502"/>
      <c r="G1004" s="502"/>
      <c r="H1004" s="503"/>
      <c r="I1004" s="503"/>
      <c r="J1004" s="509"/>
      <c r="K1004" s="509"/>
      <c r="L1004" s="503">
        <f t="shared" si="610"/>
        <v>0</v>
      </c>
      <c r="M1004" s="503">
        <f t="shared" si="606"/>
        <v>0</v>
      </c>
      <c r="N1004" s="503">
        <f t="shared" si="512"/>
        <v>0</v>
      </c>
      <c r="O1004" s="503">
        <f t="shared" si="513"/>
        <v>0</v>
      </c>
      <c r="P1004" s="503">
        <f t="shared" si="514"/>
        <v>0</v>
      </c>
      <c r="Q1004" s="503">
        <f t="shared" si="515"/>
        <v>0</v>
      </c>
      <c r="R1004" s="503">
        <f t="shared" si="516"/>
        <v>0</v>
      </c>
    </row>
    <row r="1005" spans="1:18">
      <c r="A1005" s="505"/>
      <c r="B1005" s="511" t="s">
        <v>852</v>
      </c>
      <c r="C1005" s="507">
        <v>8</v>
      </c>
      <c r="D1005" s="508">
        <v>100</v>
      </c>
      <c r="E1005" s="507">
        <v>2</v>
      </c>
      <c r="F1005" s="502">
        <v>2</v>
      </c>
      <c r="G1005" s="502">
        <f t="shared" ref="G1005:G1008" si="611">+ROUND(2450/D1005+1,0)</f>
        <v>26</v>
      </c>
      <c r="H1005" s="503"/>
      <c r="I1005" s="503">
        <f>2*(0.18+0.383)+24*C1005/1000</f>
        <v>1.3179999999999998</v>
      </c>
      <c r="J1005" s="509"/>
      <c r="K1005" s="509"/>
      <c r="L1005" s="503">
        <f t="shared" si="610"/>
        <v>1.3179999999999998</v>
      </c>
      <c r="M1005" s="503">
        <f t="shared" si="606"/>
        <v>137.07</v>
      </c>
      <c r="N1005" s="503">
        <f t="shared" si="512"/>
        <v>0</v>
      </c>
      <c r="O1005" s="503">
        <f t="shared" si="513"/>
        <v>0</v>
      </c>
      <c r="P1005" s="503">
        <f t="shared" si="514"/>
        <v>0</v>
      </c>
      <c r="Q1005" s="503">
        <f t="shared" si="515"/>
        <v>0</v>
      </c>
      <c r="R1005" s="503">
        <f t="shared" si="516"/>
        <v>0</v>
      </c>
    </row>
    <row r="1006" spans="1:18">
      <c r="A1006" s="505"/>
      <c r="B1006" s="511" t="s">
        <v>807</v>
      </c>
      <c r="C1006" s="507">
        <v>8</v>
      </c>
      <c r="D1006" s="508">
        <v>100</v>
      </c>
      <c r="E1006" s="507">
        <v>2</v>
      </c>
      <c r="F1006" s="502">
        <v>2</v>
      </c>
      <c r="G1006" s="502">
        <f t="shared" si="611"/>
        <v>26</v>
      </c>
      <c r="H1006" s="503"/>
      <c r="I1006" s="503">
        <f>2*(0.18+0.122)+24*C1006/1000</f>
        <v>0.79600000000000004</v>
      </c>
      <c r="J1006" s="509"/>
      <c r="K1006" s="509"/>
      <c r="L1006" s="503">
        <f t="shared" si="610"/>
        <v>0.79600000000000004</v>
      </c>
      <c r="M1006" s="503">
        <f t="shared" si="606"/>
        <v>82.78</v>
      </c>
      <c r="N1006" s="503">
        <f t="shared" si="512"/>
        <v>0</v>
      </c>
      <c r="O1006" s="503">
        <f t="shared" si="513"/>
        <v>0</v>
      </c>
      <c r="P1006" s="503">
        <f t="shared" si="514"/>
        <v>0</v>
      </c>
      <c r="Q1006" s="503">
        <f t="shared" si="515"/>
        <v>0</v>
      </c>
      <c r="R1006" s="503">
        <f t="shared" si="516"/>
        <v>0</v>
      </c>
    </row>
    <row r="1007" spans="1:18">
      <c r="A1007" s="505"/>
      <c r="B1007" s="511" t="s">
        <v>855</v>
      </c>
      <c r="C1007" s="507">
        <v>8</v>
      </c>
      <c r="D1007" s="508">
        <v>200</v>
      </c>
      <c r="E1007" s="507">
        <v>2</v>
      </c>
      <c r="F1007" s="502">
        <v>1</v>
      </c>
      <c r="G1007" s="502">
        <f t="shared" si="611"/>
        <v>13</v>
      </c>
      <c r="H1007" s="503"/>
      <c r="I1007" s="503">
        <f>2*(0.18+1.071)+24*C1007/1000</f>
        <v>2.694</v>
      </c>
      <c r="J1007" s="509"/>
      <c r="K1007" s="509"/>
      <c r="L1007" s="503">
        <f t="shared" ref="L1007" si="612">SUM(H1007:J1007)+K1007</f>
        <v>2.694</v>
      </c>
      <c r="M1007" s="503">
        <f t="shared" si="606"/>
        <v>70.040000000000006</v>
      </c>
      <c r="N1007" s="503">
        <f t="shared" si="512"/>
        <v>0</v>
      </c>
      <c r="O1007" s="503">
        <f t="shared" si="513"/>
        <v>0</v>
      </c>
      <c r="P1007" s="503">
        <f t="shared" si="514"/>
        <v>0</v>
      </c>
      <c r="Q1007" s="503">
        <f t="shared" si="515"/>
        <v>0</v>
      </c>
      <c r="R1007" s="503">
        <f t="shared" si="516"/>
        <v>0</v>
      </c>
    </row>
    <row r="1008" spans="1:18">
      <c r="A1008" s="505"/>
      <c r="B1008" s="511" t="s">
        <v>799</v>
      </c>
      <c r="C1008" s="507">
        <v>8</v>
      </c>
      <c r="D1008" s="508">
        <v>400</v>
      </c>
      <c r="E1008" s="507">
        <v>2</v>
      </c>
      <c r="F1008" s="502">
        <v>2</v>
      </c>
      <c r="G1008" s="502">
        <f t="shared" si="611"/>
        <v>7</v>
      </c>
      <c r="H1008" s="503"/>
      <c r="I1008" s="503">
        <f>0.18+(20*C1008/1000)</f>
        <v>0.33999999999999997</v>
      </c>
      <c r="J1008" s="509"/>
      <c r="K1008" s="509"/>
      <c r="L1008" s="503">
        <f t="shared" ref="L1008" si="613">SUM(H1008:J1008)+K1008</f>
        <v>0.33999999999999997</v>
      </c>
      <c r="M1008" s="503">
        <f t="shared" si="606"/>
        <v>9.52</v>
      </c>
      <c r="N1008" s="503">
        <f t="shared" si="512"/>
        <v>0</v>
      </c>
      <c r="O1008" s="503">
        <f t="shared" si="513"/>
        <v>0</v>
      </c>
      <c r="P1008" s="503">
        <f t="shared" si="514"/>
        <v>0</v>
      </c>
      <c r="Q1008" s="503">
        <f t="shared" si="515"/>
        <v>0</v>
      </c>
      <c r="R1008" s="503">
        <f t="shared" si="516"/>
        <v>0</v>
      </c>
    </row>
    <row r="1009" spans="1:19">
      <c r="A1009" s="505"/>
      <c r="B1009" s="506" t="s">
        <v>868</v>
      </c>
      <c r="C1009" s="507">
        <v>16</v>
      </c>
      <c r="D1009" s="508"/>
      <c r="E1009" s="507">
        <v>1</v>
      </c>
      <c r="F1009" s="502">
        <v>1</v>
      </c>
      <c r="G1009" s="502">
        <v>8</v>
      </c>
      <c r="H1009" s="503"/>
      <c r="I1009" s="503">
        <f t="shared" ref="I1009:I1011" si="614">106.2-103.25</f>
        <v>2.9500000000000028</v>
      </c>
      <c r="J1009" s="509"/>
      <c r="K1009" s="509">
        <f t="shared" ref="K1009:K1011" si="615">1*36*C1009/1000</f>
        <v>0.57599999999999996</v>
      </c>
      <c r="L1009" s="503">
        <f t="shared" ref="L1009:L1014" si="616">SUM(H1009:J1009)+K1009</f>
        <v>3.5260000000000029</v>
      </c>
      <c r="M1009" s="503">
        <f t="shared" si="606"/>
        <v>0</v>
      </c>
      <c r="N1009" s="503">
        <f t="shared" si="512"/>
        <v>0</v>
      </c>
      <c r="O1009" s="503">
        <f t="shared" si="513"/>
        <v>0</v>
      </c>
      <c r="P1009" s="503">
        <f t="shared" si="514"/>
        <v>28.21</v>
      </c>
      <c r="Q1009" s="503">
        <f t="shared" si="515"/>
        <v>0</v>
      </c>
      <c r="R1009" s="503">
        <f t="shared" si="516"/>
        <v>0</v>
      </c>
    </row>
    <row r="1010" spans="1:19">
      <c r="A1010" s="505"/>
      <c r="B1010" s="506"/>
      <c r="C1010" s="507">
        <v>12</v>
      </c>
      <c r="D1010" s="508"/>
      <c r="E1010" s="507">
        <v>1</v>
      </c>
      <c r="F1010" s="502">
        <v>1</v>
      </c>
      <c r="G1010" s="502">
        <v>20</v>
      </c>
      <c r="H1010" s="503"/>
      <c r="I1010" s="503">
        <f t="shared" si="614"/>
        <v>2.9500000000000028</v>
      </c>
      <c r="J1010" s="509"/>
      <c r="K1010" s="509">
        <f t="shared" si="615"/>
        <v>0.432</v>
      </c>
      <c r="L1010" s="503">
        <f t="shared" si="616"/>
        <v>3.3820000000000028</v>
      </c>
      <c r="M1010" s="503">
        <f t="shared" si="606"/>
        <v>0</v>
      </c>
      <c r="N1010" s="503">
        <f t="shared" si="512"/>
        <v>0</v>
      </c>
      <c r="O1010" s="503">
        <f t="shared" si="513"/>
        <v>67.64</v>
      </c>
      <c r="P1010" s="503">
        <f t="shared" si="514"/>
        <v>0</v>
      </c>
      <c r="Q1010" s="503">
        <f t="shared" si="515"/>
        <v>0</v>
      </c>
      <c r="R1010" s="503">
        <f t="shared" si="516"/>
        <v>0</v>
      </c>
    </row>
    <row r="1011" spans="1:19">
      <c r="A1011" s="505"/>
      <c r="B1011" s="506"/>
      <c r="C1011" s="507">
        <v>10</v>
      </c>
      <c r="D1011" s="508"/>
      <c r="E1011" s="507">
        <v>1</v>
      </c>
      <c r="F1011" s="502">
        <v>1</v>
      </c>
      <c r="G1011" s="502">
        <v>22</v>
      </c>
      <c r="H1011" s="503"/>
      <c r="I1011" s="503">
        <f t="shared" si="614"/>
        <v>2.9500000000000028</v>
      </c>
      <c r="J1011" s="509"/>
      <c r="K1011" s="509">
        <f t="shared" si="615"/>
        <v>0.36</v>
      </c>
      <c r="L1011" s="503">
        <f t="shared" si="616"/>
        <v>3.3100000000000027</v>
      </c>
      <c r="M1011" s="503">
        <f t="shared" si="606"/>
        <v>0</v>
      </c>
      <c r="N1011" s="503">
        <f t="shared" si="512"/>
        <v>72.819999999999993</v>
      </c>
      <c r="O1011" s="503">
        <f t="shared" si="513"/>
        <v>0</v>
      </c>
      <c r="P1011" s="503">
        <f t="shared" si="514"/>
        <v>0</v>
      </c>
      <c r="Q1011" s="503">
        <f t="shared" si="515"/>
        <v>0</v>
      </c>
      <c r="R1011" s="503">
        <f t="shared" si="516"/>
        <v>0</v>
      </c>
    </row>
    <row r="1012" spans="1:19">
      <c r="A1012" s="505"/>
      <c r="B1012" s="511" t="s">
        <v>797</v>
      </c>
      <c r="C1012" s="507"/>
      <c r="D1012" s="508"/>
      <c r="E1012" s="507"/>
      <c r="F1012" s="502"/>
      <c r="G1012" s="502"/>
      <c r="H1012" s="503"/>
      <c r="I1012" s="503"/>
      <c r="J1012" s="509"/>
      <c r="K1012" s="509"/>
      <c r="L1012" s="503">
        <f t="shared" si="616"/>
        <v>0</v>
      </c>
      <c r="M1012" s="503">
        <f t="shared" si="606"/>
        <v>0</v>
      </c>
      <c r="N1012" s="503">
        <f t="shared" si="512"/>
        <v>0</v>
      </c>
      <c r="O1012" s="503">
        <f t="shared" si="513"/>
        <v>0</v>
      </c>
      <c r="P1012" s="503">
        <f t="shared" si="514"/>
        <v>0</v>
      </c>
      <c r="Q1012" s="503">
        <f t="shared" si="515"/>
        <v>0</v>
      </c>
      <c r="R1012" s="503">
        <f t="shared" si="516"/>
        <v>0</v>
      </c>
    </row>
    <row r="1013" spans="1:19">
      <c r="A1013" s="505"/>
      <c r="B1013" s="511" t="s">
        <v>816</v>
      </c>
      <c r="C1013" s="507">
        <v>8</v>
      </c>
      <c r="D1013" s="508">
        <v>100</v>
      </c>
      <c r="E1013" s="507">
        <v>1</v>
      </c>
      <c r="F1013" s="502">
        <v>2</v>
      </c>
      <c r="G1013" s="502">
        <f t="shared" ref="G1013:G1014" si="617">+ROUND(2450/D1013+1,0)</f>
        <v>26</v>
      </c>
      <c r="H1013" s="503"/>
      <c r="I1013" s="503">
        <f>2*(0.18+0.683)+24*C1013/1000</f>
        <v>1.9179999999999999</v>
      </c>
      <c r="J1013" s="509"/>
      <c r="K1013" s="509"/>
      <c r="L1013" s="503">
        <f t="shared" si="616"/>
        <v>1.9179999999999999</v>
      </c>
      <c r="M1013" s="503">
        <f t="shared" si="606"/>
        <v>99.74</v>
      </c>
      <c r="N1013" s="503">
        <f t="shared" si="512"/>
        <v>0</v>
      </c>
      <c r="O1013" s="503">
        <f t="shared" si="513"/>
        <v>0</v>
      </c>
      <c r="P1013" s="503">
        <f t="shared" si="514"/>
        <v>0</v>
      </c>
      <c r="Q1013" s="503">
        <f t="shared" si="515"/>
        <v>0</v>
      </c>
      <c r="R1013" s="503">
        <f t="shared" si="516"/>
        <v>0</v>
      </c>
      <c r="S1013" s="221">
        <f>700-25+8</f>
        <v>683</v>
      </c>
    </row>
    <row r="1014" spans="1:19">
      <c r="A1014" s="505"/>
      <c r="B1014" s="511" t="s">
        <v>807</v>
      </c>
      <c r="C1014" s="507">
        <v>8</v>
      </c>
      <c r="D1014" s="508">
        <v>100</v>
      </c>
      <c r="E1014" s="507">
        <v>1</v>
      </c>
      <c r="F1014" s="502">
        <v>4</v>
      </c>
      <c r="G1014" s="502">
        <f t="shared" si="617"/>
        <v>26</v>
      </c>
      <c r="H1014" s="503"/>
      <c r="I1014" s="503">
        <f>2*(0.18+0.122)+24*C1014/1000</f>
        <v>0.79600000000000004</v>
      </c>
      <c r="J1014" s="509"/>
      <c r="K1014" s="509"/>
      <c r="L1014" s="503">
        <f t="shared" si="616"/>
        <v>0.79600000000000004</v>
      </c>
      <c r="M1014" s="503">
        <f t="shared" si="606"/>
        <v>82.78</v>
      </c>
      <c r="N1014" s="503">
        <f t="shared" si="512"/>
        <v>0</v>
      </c>
      <c r="O1014" s="503">
        <f t="shared" si="513"/>
        <v>0</v>
      </c>
      <c r="P1014" s="503">
        <f t="shared" si="514"/>
        <v>0</v>
      </c>
      <c r="Q1014" s="503">
        <f t="shared" si="515"/>
        <v>0</v>
      </c>
      <c r="R1014" s="503">
        <f t="shared" si="516"/>
        <v>0</v>
      </c>
    </row>
    <row r="1015" spans="1:19">
      <c r="A1015" s="505"/>
      <c r="B1015" s="511" t="s">
        <v>798</v>
      </c>
      <c r="C1015" s="507">
        <v>8</v>
      </c>
      <c r="D1015" s="508">
        <v>400</v>
      </c>
      <c r="E1015" s="507">
        <v>1</v>
      </c>
      <c r="F1015" s="502">
        <v>2</v>
      </c>
      <c r="G1015" s="502">
        <f>+ROUND(2450/D1015+1,0)</f>
        <v>7</v>
      </c>
      <c r="H1015" s="503"/>
      <c r="I1015" s="503">
        <f>0.18+(20*C1015/1000)</f>
        <v>0.33999999999999997</v>
      </c>
      <c r="J1015" s="509"/>
      <c r="K1015" s="509"/>
      <c r="L1015" s="503">
        <f t="shared" ref="L1015:L1017" si="618">SUM(H1015:J1015)+K1015</f>
        <v>0.33999999999999997</v>
      </c>
      <c r="M1015" s="503">
        <f t="shared" si="606"/>
        <v>4.76</v>
      </c>
      <c r="N1015" s="503">
        <f t="shared" si="512"/>
        <v>0</v>
      </c>
      <c r="O1015" s="503">
        <f t="shared" si="513"/>
        <v>0</v>
      </c>
      <c r="P1015" s="503">
        <f t="shared" si="514"/>
        <v>0</v>
      </c>
      <c r="Q1015" s="503">
        <f t="shared" si="515"/>
        <v>0</v>
      </c>
      <c r="R1015" s="503">
        <f t="shared" si="516"/>
        <v>0</v>
      </c>
    </row>
    <row r="1016" spans="1:19">
      <c r="A1016" s="505"/>
      <c r="B1016" s="511" t="s">
        <v>869</v>
      </c>
      <c r="C1016" s="507">
        <v>8</v>
      </c>
      <c r="D1016" s="508">
        <v>200</v>
      </c>
      <c r="E1016" s="507">
        <v>1</v>
      </c>
      <c r="F1016" s="502">
        <v>1</v>
      </c>
      <c r="G1016" s="502">
        <f t="shared" ref="G1016:G1017" si="619">+ROUND(2450/D1016+1,0)</f>
        <v>13</v>
      </c>
      <c r="H1016" s="503"/>
      <c r="I1016" s="503">
        <f>2*(0.18+2.216)+24*C1016/1000</f>
        <v>4.9840000000000009</v>
      </c>
      <c r="J1016" s="509"/>
      <c r="K1016" s="509"/>
      <c r="L1016" s="503">
        <f t="shared" si="618"/>
        <v>4.9840000000000009</v>
      </c>
      <c r="M1016" s="503">
        <f t="shared" si="606"/>
        <v>64.790000000000006</v>
      </c>
      <c r="N1016" s="503">
        <f t="shared" si="512"/>
        <v>0</v>
      </c>
      <c r="O1016" s="503">
        <f t="shared" si="513"/>
        <v>0</v>
      </c>
      <c r="P1016" s="503">
        <f t="shared" si="514"/>
        <v>0</v>
      </c>
      <c r="Q1016" s="503">
        <f t="shared" si="515"/>
        <v>0</v>
      </c>
      <c r="R1016" s="503">
        <f t="shared" si="516"/>
        <v>0</v>
      </c>
    </row>
    <row r="1017" spans="1:19">
      <c r="A1017" s="505"/>
      <c r="B1017" s="511" t="s">
        <v>799</v>
      </c>
      <c r="C1017" s="507">
        <v>8</v>
      </c>
      <c r="D1017" s="508">
        <v>400</v>
      </c>
      <c r="E1017" s="507">
        <v>1</v>
      </c>
      <c r="F1017" s="502">
        <v>5</v>
      </c>
      <c r="G1017" s="502">
        <f t="shared" si="619"/>
        <v>7</v>
      </c>
      <c r="H1017" s="503"/>
      <c r="I1017" s="503">
        <f>0.18+(20*C1017/1000)</f>
        <v>0.33999999999999997</v>
      </c>
      <c r="J1017" s="509"/>
      <c r="K1017" s="509"/>
      <c r="L1017" s="503">
        <f t="shared" si="618"/>
        <v>0.33999999999999997</v>
      </c>
      <c r="M1017" s="503">
        <f t="shared" si="606"/>
        <v>11.9</v>
      </c>
      <c r="N1017" s="503">
        <f t="shared" si="512"/>
        <v>0</v>
      </c>
      <c r="O1017" s="503">
        <f t="shared" si="513"/>
        <v>0</v>
      </c>
      <c r="P1017" s="503">
        <f t="shared" si="514"/>
        <v>0</v>
      </c>
      <c r="Q1017" s="503">
        <f t="shared" si="515"/>
        <v>0</v>
      </c>
      <c r="R1017" s="503">
        <f t="shared" si="516"/>
        <v>0</v>
      </c>
    </row>
    <row r="1018" spans="1:19">
      <c r="A1018" s="505"/>
      <c r="B1018" s="506" t="s">
        <v>809</v>
      </c>
      <c r="C1018" s="507">
        <v>16</v>
      </c>
      <c r="D1018" s="508"/>
      <c r="E1018" s="507">
        <v>6</v>
      </c>
      <c r="F1018" s="502">
        <v>1</v>
      </c>
      <c r="G1018" s="502">
        <v>8</v>
      </c>
      <c r="H1018" s="503"/>
      <c r="I1018" s="503">
        <f t="shared" ref="I1018:I1020" si="620">106.2-103.25</f>
        <v>2.9500000000000028</v>
      </c>
      <c r="J1018" s="509"/>
      <c r="K1018" s="509">
        <f t="shared" ref="K1018:K1020" si="621">1*36*C1018/1000</f>
        <v>0.57599999999999996</v>
      </c>
      <c r="L1018" s="503">
        <f t="shared" ref="L1018:L1028" si="622">SUM(H1018:J1018)+K1018</f>
        <v>3.5260000000000029</v>
      </c>
      <c r="M1018" s="503">
        <f t="shared" si="606"/>
        <v>0</v>
      </c>
      <c r="N1018" s="503">
        <f t="shared" si="512"/>
        <v>0</v>
      </c>
      <c r="O1018" s="503">
        <f t="shared" si="513"/>
        <v>0</v>
      </c>
      <c r="P1018" s="503">
        <f t="shared" si="514"/>
        <v>169.25</v>
      </c>
      <c r="Q1018" s="503">
        <f t="shared" si="515"/>
        <v>0</v>
      </c>
      <c r="R1018" s="503">
        <f t="shared" si="516"/>
        <v>0</v>
      </c>
    </row>
    <row r="1019" spans="1:19">
      <c r="A1019" s="505"/>
      <c r="B1019" s="511"/>
      <c r="C1019" s="507">
        <v>12</v>
      </c>
      <c r="D1019" s="508"/>
      <c r="E1019" s="507">
        <v>6</v>
      </c>
      <c r="F1019" s="502">
        <v>1</v>
      </c>
      <c r="G1019" s="502">
        <v>16</v>
      </c>
      <c r="H1019" s="503"/>
      <c r="I1019" s="503">
        <f t="shared" si="620"/>
        <v>2.9500000000000028</v>
      </c>
      <c r="J1019" s="509"/>
      <c r="K1019" s="509">
        <f t="shared" si="621"/>
        <v>0.432</v>
      </c>
      <c r="L1019" s="503">
        <f t="shared" si="622"/>
        <v>3.3820000000000028</v>
      </c>
      <c r="M1019" s="503">
        <f t="shared" si="606"/>
        <v>0</v>
      </c>
      <c r="N1019" s="503">
        <f t="shared" si="512"/>
        <v>0</v>
      </c>
      <c r="O1019" s="503">
        <f t="shared" si="513"/>
        <v>324.67</v>
      </c>
      <c r="P1019" s="503">
        <f t="shared" si="514"/>
        <v>0</v>
      </c>
      <c r="Q1019" s="503">
        <f t="shared" si="515"/>
        <v>0</v>
      </c>
      <c r="R1019" s="503">
        <f t="shared" si="516"/>
        <v>0</v>
      </c>
    </row>
    <row r="1020" spans="1:19">
      <c r="A1020" s="505"/>
      <c r="B1020" s="511"/>
      <c r="C1020" s="507">
        <v>10</v>
      </c>
      <c r="D1020" s="508"/>
      <c r="E1020" s="507">
        <v>6</v>
      </c>
      <c r="F1020" s="502">
        <v>1</v>
      </c>
      <c r="G1020" s="502">
        <v>10</v>
      </c>
      <c r="H1020" s="503"/>
      <c r="I1020" s="503">
        <f t="shared" si="620"/>
        <v>2.9500000000000028</v>
      </c>
      <c r="J1020" s="509"/>
      <c r="K1020" s="509">
        <f t="shared" si="621"/>
        <v>0.36</v>
      </c>
      <c r="L1020" s="503">
        <f t="shared" si="622"/>
        <v>3.3100000000000027</v>
      </c>
      <c r="M1020" s="503">
        <f t="shared" si="606"/>
        <v>0</v>
      </c>
      <c r="N1020" s="503">
        <f t="shared" si="512"/>
        <v>198.6</v>
      </c>
      <c r="O1020" s="503">
        <f t="shared" si="513"/>
        <v>0</v>
      </c>
      <c r="P1020" s="503">
        <f t="shared" si="514"/>
        <v>0</v>
      </c>
      <c r="Q1020" s="503">
        <f t="shared" si="515"/>
        <v>0</v>
      </c>
      <c r="R1020" s="503">
        <f t="shared" si="516"/>
        <v>0</v>
      </c>
    </row>
    <row r="1021" spans="1:19">
      <c r="A1021" s="505"/>
      <c r="B1021" s="511" t="s">
        <v>797</v>
      </c>
      <c r="C1021" s="507"/>
      <c r="D1021" s="508"/>
      <c r="E1021" s="507"/>
      <c r="F1021" s="502"/>
      <c r="G1021" s="502"/>
      <c r="H1021" s="503"/>
      <c r="I1021" s="503"/>
      <c r="J1021" s="509"/>
      <c r="K1021" s="509"/>
      <c r="L1021" s="503">
        <f t="shared" si="622"/>
        <v>0</v>
      </c>
      <c r="M1021" s="503">
        <f t="shared" si="606"/>
        <v>0</v>
      </c>
      <c r="N1021" s="503">
        <f t="shared" si="512"/>
        <v>0</v>
      </c>
      <c r="O1021" s="503">
        <f t="shared" si="513"/>
        <v>0</v>
      </c>
      <c r="P1021" s="503">
        <f t="shared" si="514"/>
        <v>0</v>
      </c>
      <c r="Q1021" s="503">
        <f t="shared" si="515"/>
        <v>0</v>
      </c>
      <c r="R1021" s="503">
        <f t="shared" si="516"/>
        <v>0</v>
      </c>
    </row>
    <row r="1022" spans="1:19">
      <c r="A1022" s="505"/>
      <c r="B1022" s="511" t="s">
        <v>810</v>
      </c>
      <c r="C1022" s="507">
        <v>8</v>
      </c>
      <c r="D1022" s="508">
        <v>100</v>
      </c>
      <c r="E1022" s="507">
        <v>6</v>
      </c>
      <c r="F1022" s="502">
        <v>1</v>
      </c>
      <c r="G1022" s="502">
        <f t="shared" ref="G1022:G1029" si="623">+ROUND(2450/D1022+1,0)</f>
        <v>26</v>
      </c>
      <c r="H1022" s="503"/>
      <c r="I1022" s="503">
        <f>2*(0.18+0.6)+24*C1022/1000</f>
        <v>1.752</v>
      </c>
      <c r="J1022" s="509"/>
      <c r="K1022" s="509"/>
      <c r="L1022" s="503">
        <f t="shared" si="622"/>
        <v>1.752</v>
      </c>
      <c r="M1022" s="503">
        <f t="shared" si="606"/>
        <v>273.31</v>
      </c>
      <c r="N1022" s="503">
        <f t="shared" si="512"/>
        <v>0</v>
      </c>
      <c r="O1022" s="503">
        <f t="shared" si="513"/>
        <v>0</v>
      </c>
      <c r="P1022" s="503">
        <f t="shared" si="514"/>
        <v>0</v>
      </c>
      <c r="Q1022" s="503">
        <f t="shared" si="515"/>
        <v>0</v>
      </c>
      <c r="R1022" s="503">
        <f t="shared" si="516"/>
        <v>0</v>
      </c>
    </row>
    <row r="1023" spans="1:19">
      <c r="A1023" s="505"/>
      <c r="B1023" s="511" t="s">
        <v>811</v>
      </c>
      <c r="C1023" s="507">
        <v>8</v>
      </c>
      <c r="D1023" s="508">
        <v>100</v>
      </c>
      <c r="E1023" s="507">
        <v>6</v>
      </c>
      <c r="F1023" s="502">
        <v>1</v>
      </c>
      <c r="G1023" s="502">
        <f t="shared" si="623"/>
        <v>26</v>
      </c>
      <c r="H1023" s="503"/>
      <c r="I1023" s="503">
        <f>2*(0.18+0.248)+24*C1023/1000</f>
        <v>1.048</v>
      </c>
      <c r="J1023" s="509"/>
      <c r="K1023" s="509"/>
      <c r="L1023" s="503">
        <f t="shared" si="622"/>
        <v>1.048</v>
      </c>
      <c r="M1023" s="503">
        <f t="shared" si="606"/>
        <v>163.49</v>
      </c>
      <c r="N1023" s="503">
        <f t="shared" si="512"/>
        <v>0</v>
      </c>
      <c r="O1023" s="503">
        <f t="shared" si="513"/>
        <v>0</v>
      </c>
      <c r="P1023" s="503">
        <f t="shared" si="514"/>
        <v>0</v>
      </c>
      <c r="Q1023" s="503">
        <f t="shared" si="515"/>
        <v>0</v>
      </c>
      <c r="R1023" s="503">
        <f t="shared" si="516"/>
        <v>0</v>
      </c>
    </row>
    <row r="1024" spans="1:19">
      <c r="A1024" s="505"/>
      <c r="B1024" s="511" t="s">
        <v>798</v>
      </c>
      <c r="C1024" s="507">
        <v>8</v>
      </c>
      <c r="D1024" s="508">
        <v>100</v>
      </c>
      <c r="E1024" s="507">
        <v>6</v>
      </c>
      <c r="F1024" s="502">
        <v>1</v>
      </c>
      <c r="G1024" s="502">
        <f t="shared" si="623"/>
        <v>26</v>
      </c>
      <c r="H1024" s="503"/>
      <c r="I1024" s="503">
        <f>0.18+(20*C1024/1000)</f>
        <v>0.33999999999999997</v>
      </c>
      <c r="J1024" s="509"/>
      <c r="K1024" s="509"/>
      <c r="L1024" s="503">
        <f t="shared" si="622"/>
        <v>0.33999999999999997</v>
      </c>
      <c r="M1024" s="503">
        <f t="shared" si="606"/>
        <v>53.04</v>
      </c>
      <c r="N1024" s="503">
        <f t="shared" si="512"/>
        <v>0</v>
      </c>
      <c r="O1024" s="503">
        <f t="shared" si="513"/>
        <v>0</v>
      </c>
      <c r="P1024" s="503">
        <f t="shared" si="514"/>
        <v>0</v>
      </c>
      <c r="Q1024" s="503">
        <f t="shared" si="515"/>
        <v>0</v>
      </c>
      <c r="R1024" s="503">
        <f t="shared" si="516"/>
        <v>0</v>
      </c>
    </row>
    <row r="1025" spans="1:18">
      <c r="A1025" s="505"/>
      <c r="B1025" s="511" t="s">
        <v>812</v>
      </c>
      <c r="C1025" s="507">
        <v>8</v>
      </c>
      <c r="D1025" s="508">
        <v>100</v>
      </c>
      <c r="E1025" s="507">
        <v>6</v>
      </c>
      <c r="F1025" s="502">
        <v>2</v>
      </c>
      <c r="G1025" s="502">
        <f t="shared" si="623"/>
        <v>26</v>
      </c>
      <c r="H1025" s="503"/>
      <c r="I1025" s="503">
        <f>2*(0.18+0.385)+24*C1025/1000</f>
        <v>1.3219999999999998</v>
      </c>
      <c r="J1025" s="509"/>
      <c r="K1025" s="509"/>
      <c r="L1025" s="503">
        <f t="shared" si="622"/>
        <v>1.3219999999999998</v>
      </c>
      <c r="M1025" s="503">
        <f t="shared" si="606"/>
        <v>412.46</v>
      </c>
      <c r="N1025" s="503">
        <f t="shared" si="512"/>
        <v>0</v>
      </c>
      <c r="O1025" s="503">
        <f t="shared" si="513"/>
        <v>0</v>
      </c>
      <c r="P1025" s="503">
        <f t="shared" si="514"/>
        <v>0</v>
      </c>
      <c r="Q1025" s="503">
        <f t="shared" si="515"/>
        <v>0</v>
      </c>
      <c r="R1025" s="503">
        <f t="shared" si="516"/>
        <v>0</v>
      </c>
    </row>
    <row r="1026" spans="1:18">
      <c r="A1026" s="505"/>
      <c r="B1026" s="511" t="s">
        <v>813</v>
      </c>
      <c r="C1026" s="507">
        <v>8</v>
      </c>
      <c r="D1026" s="508">
        <v>100</v>
      </c>
      <c r="E1026" s="507">
        <v>6</v>
      </c>
      <c r="F1026" s="502">
        <v>1</v>
      </c>
      <c r="G1026" s="502">
        <f t="shared" si="623"/>
        <v>26</v>
      </c>
      <c r="H1026" s="503"/>
      <c r="I1026" s="503">
        <f>2*(0.18+0.268)+24*C1026/1000</f>
        <v>1.0880000000000001</v>
      </c>
      <c r="J1026" s="509"/>
      <c r="K1026" s="509"/>
      <c r="L1026" s="503">
        <f t="shared" si="622"/>
        <v>1.0880000000000001</v>
      </c>
      <c r="M1026" s="503">
        <f t="shared" si="606"/>
        <v>169.73</v>
      </c>
      <c r="N1026" s="503">
        <f t="shared" si="512"/>
        <v>0</v>
      </c>
      <c r="O1026" s="503">
        <f t="shared" si="513"/>
        <v>0</v>
      </c>
      <c r="P1026" s="503">
        <f t="shared" si="514"/>
        <v>0</v>
      </c>
      <c r="Q1026" s="503">
        <f t="shared" si="515"/>
        <v>0</v>
      </c>
      <c r="R1026" s="503">
        <f t="shared" si="516"/>
        <v>0</v>
      </c>
    </row>
    <row r="1027" spans="1:18">
      <c r="A1027" s="505"/>
      <c r="B1027" s="511" t="s">
        <v>798</v>
      </c>
      <c r="C1027" s="507">
        <v>8</v>
      </c>
      <c r="D1027" s="508">
        <v>100</v>
      </c>
      <c r="E1027" s="507">
        <v>6</v>
      </c>
      <c r="F1027" s="502">
        <v>1</v>
      </c>
      <c r="G1027" s="502">
        <f t="shared" si="623"/>
        <v>26</v>
      </c>
      <c r="H1027" s="503"/>
      <c r="I1027" s="503">
        <f>0.18+(20*C1027/1000)</f>
        <v>0.33999999999999997</v>
      </c>
      <c r="J1027" s="509"/>
      <c r="K1027" s="509"/>
      <c r="L1027" s="503">
        <f t="shared" si="622"/>
        <v>0.33999999999999997</v>
      </c>
      <c r="M1027" s="503">
        <f t="shared" si="606"/>
        <v>53.04</v>
      </c>
      <c r="N1027" s="503">
        <f t="shared" si="512"/>
        <v>0</v>
      </c>
      <c r="O1027" s="503">
        <f t="shared" si="513"/>
        <v>0</v>
      </c>
      <c r="P1027" s="503">
        <f t="shared" si="514"/>
        <v>0</v>
      </c>
      <c r="Q1027" s="503">
        <f t="shared" si="515"/>
        <v>0</v>
      </c>
      <c r="R1027" s="503">
        <f t="shared" si="516"/>
        <v>0</v>
      </c>
    </row>
    <row r="1028" spans="1:18">
      <c r="A1028" s="505"/>
      <c r="B1028" s="511" t="s">
        <v>814</v>
      </c>
      <c r="C1028" s="507">
        <v>8</v>
      </c>
      <c r="D1028" s="508">
        <v>200</v>
      </c>
      <c r="E1028" s="507">
        <v>6</v>
      </c>
      <c r="F1028" s="502">
        <v>1</v>
      </c>
      <c r="G1028" s="502">
        <f t="shared" si="623"/>
        <v>13</v>
      </c>
      <c r="H1028" s="503"/>
      <c r="I1028" s="503">
        <f>2*(0.18+1.066)+24*C1028/1000</f>
        <v>2.6840000000000002</v>
      </c>
      <c r="J1028" s="509"/>
      <c r="K1028" s="509"/>
      <c r="L1028" s="503">
        <f t="shared" si="622"/>
        <v>2.6840000000000002</v>
      </c>
      <c r="M1028" s="503">
        <f t="shared" si="606"/>
        <v>209.35</v>
      </c>
      <c r="N1028" s="503">
        <f t="shared" si="512"/>
        <v>0</v>
      </c>
      <c r="O1028" s="503">
        <f t="shared" si="513"/>
        <v>0</v>
      </c>
      <c r="P1028" s="503">
        <f t="shared" si="514"/>
        <v>0</v>
      </c>
      <c r="Q1028" s="503">
        <f t="shared" si="515"/>
        <v>0</v>
      </c>
      <c r="R1028" s="503">
        <f t="shared" si="516"/>
        <v>0</v>
      </c>
    </row>
    <row r="1029" spans="1:18">
      <c r="A1029" s="505"/>
      <c r="B1029" s="511" t="s">
        <v>799</v>
      </c>
      <c r="C1029" s="507">
        <v>8</v>
      </c>
      <c r="D1029" s="508">
        <v>400</v>
      </c>
      <c r="E1029" s="507">
        <v>6</v>
      </c>
      <c r="F1029" s="502">
        <v>2</v>
      </c>
      <c r="G1029" s="502">
        <f t="shared" si="623"/>
        <v>7</v>
      </c>
      <c r="H1029" s="503"/>
      <c r="I1029" s="503">
        <f>0.18+(20*C1029/1000)</f>
        <v>0.33999999999999997</v>
      </c>
      <c r="J1029" s="509"/>
      <c r="K1029" s="509"/>
      <c r="L1029" s="503">
        <f t="shared" ref="L1029" si="624">SUM(H1029:J1029)+K1029</f>
        <v>0.33999999999999997</v>
      </c>
      <c r="M1029" s="503">
        <f t="shared" si="606"/>
        <v>28.56</v>
      </c>
      <c r="N1029" s="503">
        <f t="shared" si="512"/>
        <v>0</v>
      </c>
      <c r="O1029" s="503">
        <f t="shared" si="513"/>
        <v>0</v>
      </c>
      <c r="P1029" s="503">
        <f t="shared" si="514"/>
        <v>0</v>
      </c>
      <c r="Q1029" s="503">
        <f t="shared" si="515"/>
        <v>0</v>
      </c>
      <c r="R1029" s="503">
        <f t="shared" si="516"/>
        <v>0</v>
      </c>
    </row>
    <row r="1030" spans="1:18">
      <c r="A1030" s="505"/>
      <c r="B1030" s="506" t="s">
        <v>856</v>
      </c>
      <c r="C1030" s="507">
        <v>16</v>
      </c>
      <c r="D1030" s="508"/>
      <c r="E1030" s="507">
        <v>2</v>
      </c>
      <c r="F1030" s="502">
        <v>1</v>
      </c>
      <c r="G1030" s="502">
        <v>8</v>
      </c>
      <c r="H1030" s="503"/>
      <c r="I1030" s="503">
        <f t="shared" ref="I1030:I1032" si="625">106.2-103.25</f>
        <v>2.9500000000000028</v>
      </c>
      <c r="J1030" s="509"/>
      <c r="K1030" s="509">
        <f t="shared" ref="K1030:K1032" si="626">1*36*C1030/1000</f>
        <v>0.57599999999999996</v>
      </c>
      <c r="L1030" s="503">
        <f t="shared" ref="L1030:L1037" si="627">SUM(H1030:J1030)+K1030</f>
        <v>3.5260000000000029</v>
      </c>
      <c r="M1030" s="503">
        <f t="shared" si="606"/>
        <v>0</v>
      </c>
      <c r="N1030" s="503">
        <f t="shared" si="512"/>
        <v>0</v>
      </c>
      <c r="O1030" s="503">
        <f t="shared" si="513"/>
        <v>0</v>
      </c>
      <c r="P1030" s="503">
        <f t="shared" si="514"/>
        <v>56.42</v>
      </c>
      <c r="Q1030" s="503">
        <f t="shared" si="515"/>
        <v>0</v>
      </c>
      <c r="R1030" s="503">
        <f t="shared" si="516"/>
        <v>0</v>
      </c>
    </row>
    <row r="1031" spans="1:18">
      <c r="A1031" s="505"/>
      <c r="B1031" s="506"/>
      <c r="C1031" s="507">
        <v>12</v>
      </c>
      <c r="D1031" s="508"/>
      <c r="E1031" s="507">
        <v>2</v>
      </c>
      <c r="F1031" s="502">
        <v>1</v>
      </c>
      <c r="G1031" s="502">
        <v>12</v>
      </c>
      <c r="H1031" s="503"/>
      <c r="I1031" s="503">
        <f t="shared" si="625"/>
        <v>2.9500000000000028</v>
      </c>
      <c r="J1031" s="509"/>
      <c r="K1031" s="509">
        <f t="shared" si="626"/>
        <v>0.432</v>
      </c>
      <c r="L1031" s="503">
        <f t="shared" si="627"/>
        <v>3.3820000000000028</v>
      </c>
      <c r="M1031" s="503">
        <f t="shared" si="606"/>
        <v>0</v>
      </c>
      <c r="N1031" s="503">
        <f t="shared" si="512"/>
        <v>0</v>
      </c>
      <c r="O1031" s="503">
        <f t="shared" si="513"/>
        <v>81.17</v>
      </c>
      <c r="P1031" s="503">
        <f t="shared" si="514"/>
        <v>0</v>
      </c>
      <c r="Q1031" s="503">
        <f t="shared" si="515"/>
        <v>0</v>
      </c>
      <c r="R1031" s="503">
        <f t="shared" si="516"/>
        <v>0</v>
      </c>
    </row>
    <row r="1032" spans="1:18">
      <c r="A1032" s="505"/>
      <c r="B1032" s="506"/>
      <c r="C1032" s="507">
        <v>10</v>
      </c>
      <c r="D1032" s="508"/>
      <c r="E1032" s="507">
        <v>2</v>
      </c>
      <c r="F1032" s="502">
        <v>1</v>
      </c>
      <c r="G1032" s="502">
        <v>24</v>
      </c>
      <c r="H1032" s="503"/>
      <c r="I1032" s="503">
        <f t="shared" si="625"/>
        <v>2.9500000000000028</v>
      </c>
      <c r="J1032" s="509"/>
      <c r="K1032" s="509">
        <f t="shared" si="626"/>
        <v>0.36</v>
      </c>
      <c r="L1032" s="503">
        <f t="shared" si="627"/>
        <v>3.3100000000000027</v>
      </c>
      <c r="M1032" s="503">
        <f t="shared" si="606"/>
        <v>0</v>
      </c>
      <c r="N1032" s="503">
        <f t="shared" si="512"/>
        <v>158.88</v>
      </c>
      <c r="O1032" s="503">
        <f t="shared" si="513"/>
        <v>0</v>
      </c>
      <c r="P1032" s="503">
        <f t="shared" si="514"/>
        <v>0</v>
      </c>
      <c r="Q1032" s="503">
        <f t="shared" si="515"/>
        <v>0</v>
      </c>
      <c r="R1032" s="503">
        <f t="shared" si="516"/>
        <v>0</v>
      </c>
    </row>
    <row r="1033" spans="1:18">
      <c r="A1033" s="505"/>
      <c r="B1033" s="511" t="s">
        <v>797</v>
      </c>
      <c r="C1033" s="507"/>
      <c r="D1033" s="508"/>
      <c r="E1033" s="507"/>
      <c r="F1033" s="502"/>
      <c r="G1033" s="502"/>
      <c r="H1033" s="503"/>
      <c r="I1033" s="503"/>
      <c r="J1033" s="509"/>
      <c r="K1033" s="509"/>
      <c r="L1033" s="503">
        <f t="shared" si="627"/>
        <v>0</v>
      </c>
      <c r="M1033" s="503">
        <f t="shared" si="606"/>
        <v>0</v>
      </c>
      <c r="N1033" s="503">
        <f t="shared" si="512"/>
        <v>0</v>
      </c>
      <c r="O1033" s="503">
        <f t="shared" si="513"/>
        <v>0</v>
      </c>
      <c r="P1033" s="503">
        <f t="shared" si="514"/>
        <v>0</v>
      </c>
      <c r="Q1033" s="503">
        <f t="shared" si="515"/>
        <v>0</v>
      </c>
      <c r="R1033" s="503">
        <f t="shared" si="516"/>
        <v>0</v>
      </c>
    </row>
    <row r="1034" spans="1:18">
      <c r="A1034" s="505"/>
      <c r="B1034" s="511" t="s">
        <v>857</v>
      </c>
      <c r="C1034" s="507">
        <v>8</v>
      </c>
      <c r="D1034" s="508">
        <v>100</v>
      </c>
      <c r="E1034" s="507">
        <v>2</v>
      </c>
      <c r="F1034" s="502">
        <v>2</v>
      </c>
      <c r="G1034" s="502">
        <f t="shared" ref="G1034:G1038" si="628">+ROUND(2450/D1034+1,0)</f>
        <v>26</v>
      </c>
      <c r="H1034" s="503"/>
      <c r="I1034" s="503">
        <f>2*(0.18+0.483)+24*C1034/1000</f>
        <v>1.518</v>
      </c>
      <c r="J1034" s="509"/>
      <c r="K1034" s="509"/>
      <c r="L1034" s="503">
        <f t="shared" si="627"/>
        <v>1.518</v>
      </c>
      <c r="M1034" s="503">
        <f t="shared" si="606"/>
        <v>157.87</v>
      </c>
      <c r="N1034" s="503">
        <f t="shared" si="512"/>
        <v>0</v>
      </c>
      <c r="O1034" s="503">
        <f t="shared" si="513"/>
        <v>0</v>
      </c>
      <c r="P1034" s="503">
        <f t="shared" si="514"/>
        <v>0</v>
      </c>
      <c r="Q1034" s="503">
        <f t="shared" si="515"/>
        <v>0</v>
      </c>
      <c r="R1034" s="503">
        <f t="shared" si="516"/>
        <v>0</v>
      </c>
    </row>
    <row r="1035" spans="1:18">
      <c r="A1035" s="505"/>
      <c r="B1035" s="511" t="s">
        <v>858</v>
      </c>
      <c r="C1035" s="507">
        <v>8</v>
      </c>
      <c r="D1035" s="508">
        <v>100</v>
      </c>
      <c r="E1035" s="507">
        <v>2</v>
      </c>
      <c r="F1035" s="502">
        <v>2</v>
      </c>
      <c r="G1035" s="502">
        <f t="shared" si="628"/>
        <v>26</v>
      </c>
      <c r="H1035" s="503"/>
      <c r="I1035" s="503">
        <f>2*(0.18+0.25)+24*C1035/1000</f>
        <v>1.052</v>
      </c>
      <c r="J1035" s="509"/>
      <c r="K1035" s="509"/>
      <c r="L1035" s="503">
        <f t="shared" si="627"/>
        <v>1.052</v>
      </c>
      <c r="M1035" s="503">
        <f t="shared" si="606"/>
        <v>109.41</v>
      </c>
      <c r="N1035" s="503">
        <f t="shared" si="512"/>
        <v>0</v>
      </c>
      <c r="O1035" s="503">
        <f t="shared" si="513"/>
        <v>0</v>
      </c>
      <c r="P1035" s="503">
        <f t="shared" si="514"/>
        <v>0</v>
      </c>
      <c r="Q1035" s="503">
        <f t="shared" si="515"/>
        <v>0</v>
      </c>
      <c r="R1035" s="503">
        <f t="shared" si="516"/>
        <v>0</v>
      </c>
    </row>
    <row r="1036" spans="1:18">
      <c r="A1036" s="505"/>
      <c r="B1036" s="511" t="s">
        <v>798</v>
      </c>
      <c r="C1036" s="507">
        <v>8</v>
      </c>
      <c r="D1036" s="508">
        <v>100</v>
      </c>
      <c r="E1036" s="507">
        <v>2</v>
      </c>
      <c r="F1036" s="502">
        <v>2</v>
      </c>
      <c r="G1036" s="502">
        <f t="shared" si="628"/>
        <v>26</v>
      </c>
      <c r="H1036" s="503"/>
      <c r="I1036" s="503">
        <f>0.18+(20*C1036/1000)</f>
        <v>0.33999999999999997</v>
      </c>
      <c r="J1036" s="509"/>
      <c r="K1036" s="509"/>
      <c r="L1036" s="503">
        <f t="shared" si="627"/>
        <v>0.33999999999999997</v>
      </c>
      <c r="M1036" s="503">
        <f t="shared" si="606"/>
        <v>35.36</v>
      </c>
      <c r="N1036" s="503">
        <f t="shared" si="512"/>
        <v>0</v>
      </c>
      <c r="O1036" s="503">
        <f t="shared" si="513"/>
        <v>0</v>
      </c>
      <c r="P1036" s="503">
        <f t="shared" si="514"/>
        <v>0</v>
      </c>
      <c r="Q1036" s="503">
        <f t="shared" si="515"/>
        <v>0</v>
      </c>
      <c r="R1036" s="503">
        <f t="shared" si="516"/>
        <v>0</v>
      </c>
    </row>
    <row r="1037" spans="1:18">
      <c r="A1037" s="505"/>
      <c r="B1037" s="511" t="s">
        <v>859</v>
      </c>
      <c r="C1037" s="507">
        <v>8</v>
      </c>
      <c r="D1037" s="508">
        <v>200</v>
      </c>
      <c r="E1037" s="507">
        <v>2</v>
      </c>
      <c r="F1037" s="502">
        <v>1</v>
      </c>
      <c r="G1037" s="502">
        <f t="shared" si="628"/>
        <v>13</v>
      </c>
      <c r="H1037" s="503"/>
      <c r="I1037" s="503">
        <f>2*(0.18+2.461)+24*C1037/1000</f>
        <v>5.4740000000000002</v>
      </c>
      <c r="J1037" s="509"/>
      <c r="K1037" s="509"/>
      <c r="L1037" s="503">
        <f t="shared" si="627"/>
        <v>5.4740000000000002</v>
      </c>
      <c r="M1037" s="503">
        <f t="shared" si="606"/>
        <v>142.32</v>
      </c>
      <c r="N1037" s="503">
        <f t="shared" si="512"/>
        <v>0</v>
      </c>
      <c r="O1037" s="503">
        <f t="shared" si="513"/>
        <v>0</v>
      </c>
      <c r="P1037" s="503">
        <f t="shared" si="514"/>
        <v>0</v>
      </c>
      <c r="Q1037" s="503">
        <f t="shared" si="515"/>
        <v>0</v>
      </c>
      <c r="R1037" s="503">
        <f t="shared" si="516"/>
        <v>0</v>
      </c>
    </row>
    <row r="1038" spans="1:18">
      <c r="A1038" s="505"/>
      <c r="B1038" s="511" t="s">
        <v>799</v>
      </c>
      <c r="C1038" s="507">
        <v>8</v>
      </c>
      <c r="D1038" s="508">
        <v>400</v>
      </c>
      <c r="E1038" s="507">
        <v>2</v>
      </c>
      <c r="F1038" s="502">
        <v>6</v>
      </c>
      <c r="G1038" s="502">
        <f t="shared" si="628"/>
        <v>7</v>
      </c>
      <c r="H1038" s="503"/>
      <c r="I1038" s="503">
        <f>0.18+(20*C1038/1000)</f>
        <v>0.33999999999999997</v>
      </c>
      <c r="J1038" s="509"/>
      <c r="K1038" s="509"/>
      <c r="L1038" s="503">
        <f t="shared" ref="L1038" si="629">SUM(H1038:J1038)+K1038</f>
        <v>0.33999999999999997</v>
      </c>
      <c r="M1038" s="503">
        <f t="shared" si="606"/>
        <v>28.56</v>
      </c>
      <c r="N1038" s="503">
        <f t="shared" si="512"/>
        <v>0</v>
      </c>
      <c r="O1038" s="503">
        <f t="shared" si="513"/>
        <v>0</v>
      </c>
      <c r="P1038" s="503">
        <f t="shared" si="514"/>
        <v>0</v>
      </c>
      <c r="Q1038" s="503">
        <f t="shared" si="515"/>
        <v>0</v>
      </c>
      <c r="R1038" s="503">
        <f t="shared" si="516"/>
        <v>0</v>
      </c>
    </row>
    <row r="1039" spans="1:18">
      <c r="A1039" s="505"/>
      <c r="B1039" s="506" t="s">
        <v>860</v>
      </c>
      <c r="C1039" s="507">
        <v>16</v>
      </c>
      <c r="D1039" s="508"/>
      <c r="E1039" s="507">
        <v>2</v>
      </c>
      <c r="F1039" s="502">
        <v>1</v>
      </c>
      <c r="G1039" s="502">
        <v>8</v>
      </c>
      <c r="H1039" s="503"/>
      <c r="I1039" s="503">
        <f t="shared" ref="I1039:I1041" si="630">106.2-103.25</f>
        <v>2.9500000000000028</v>
      </c>
      <c r="J1039" s="509"/>
      <c r="K1039" s="509">
        <f t="shared" ref="K1039:K1041" si="631">1*36*C1039/1000</f>
        <v>0.57599999999999996</v>
      </c>
      <c r="L1039" s="503">
        <f t="shared" ref="L1039:L1046" si="632">SUM(H1039:J1039)+K1039</f>
        <v>3.5260000000000029</v>
      </c>
      <c r="M1039" s="503">
        <f t="shared" si="606"/>
        <v>0</v>
      </c>
      <c r="N1039" s="503">
        <f t="shared" si="512"/>
        <v>0</v>
      </c>
      <c r="O1039" s="503">
        <f t="shared" si="513"/>
        <v>0</v>
      </c>
      <c r="P1039" s="503">
        <f t="shared" si="514"/>
        <v>56.42</v>
      </c>
      <c r="Q1039" s="503">
        <f t="shared" si="515"/>
        <v>0</v>
      </c>
      <c r="R1039" s="503">
        <f t="shared" si="516"/>
        <v>0</v>
      </c>
    </row>
    <row r="1040" spans="1:18">
      <c r="A1040" s="505"/>
      <c r="B1040" s="506"/>
      <c r="C1040" s="507">
        <v>12</v>
      </c>
      <c r="D1040" s="508"/>
      <c r="E1040" s="507">
        <v>2</v>
      </c>
      <c r="F1040" s="502">
        <v>1</v>
      </c>
      <c r="G1040" s="502">
        <v>20</v>
      </c>
      <c r="H1040" s="503"/>
      <c r="I1040" s="503">
        <f t="shared" si="630"/>
        <v>2.9500000000000028</v>
      </c>
      <c r="J1040" s="509"/>
      <c r="K1040" s="509">
        <f t="shared" si="631"/>
        <v>0.432</v>
      </c>
      <c r="L1040" s="503">
        <f t="shared" si="632"/>
        <v>3.3820000000000028</v>
      </c>
      <c r="M1040" s="503">
        <f t="shared" si="606"/>
        <v>0</v>
      </c>
      <c r="N1040" s="503">
        <f t="shared" si="512"/>
        <v>0</v>
      </c>
      <c r="O1040" s="503">
        <f t="shared" si="513"/>
        <v>135.28</v>
      </c>
      <c r="P1040" s="503">
        <f t="shared" si="514"/>
        <v>0</v>
      </c>
      <c r="Q1040" s="503">
        <f t="shared" si="515"/>
        <v>0</v>
      </c>
      <c r="R1040" s="503">
        <f t="shared" si="516"/>
        <v>0</v>
      </c>
    </row>
    <row r="1041" spans="1:18">
      <c r="A1041" s="505"/>
      <c r="B1041" s="506"/>
      <c r="C1041" s="507">
        <v>10</v>
      </c>
      <c r="D1041" s="508"/>
      <c r="E1041" s="507">
        <v>2</v>
      </c>
      <c r="F1041" s="502">
        <v>1</v>
      </c>
      <c r="G1041" s="502">
        <v>26</v>
      </c>
      <c r="H1041" s="503"/>
      <c r="I1041" s="503">
        <f t="shared" si="630"/>
        <v>2.9500000000000028</v>
      </c>
      <c r="J1041" s="509"/>
      <c r="K1041" s="509">
        <f t="shared" si="631"/>
        <v>0.36</v>
      </c>
      <c r="L1041" s="503">
        <f t="shared" si="632"/>
        <v>3.3100000000000027</v>
      </c>
      <c r="M1041" s="503">
        <f t="shared" si="606"/>
        <v>0</v>
      </c>
      <c r="N1041" s="503">
        <f t="shared" si="512"/>
        <v>172.12</v>
      </c>
      <c r="O1041" s="503">
        <f t="shared" si="513"/>
        <v>0</v>
      </c>
      <c r="P1041" s="503">
        <f t="shared" si="514"/>
        <v>0</v>
      </c>
      <c r="Q1041" s="503">
        <f t="shared" si="515"/>
        <v>0</v>
      </c>
      <c r="R1041" s="503">
        <f t="shared" si="516"/>
        <v>0</v>
      </c>
    </row>
    <row r="1042" spans="1:18">
      <c r="A1042" s="505"/>
      <c r="B1042" s="511" t="s">
        <v>797</v>
      </c>
      <c r="C1042" s="507"/>
      <c r="D1042" s="508"/>
      <c r="E1042" s="507"/>
      <c r="F1042" s="502"/>
      <c r="G1042" s="502"/>
      <c r="H1042" s="503"/>
      <c r="I1042" s="503"/>
      <c r="J1042" s="509"/>
      <c r="K1042" s="509"/>
      <c r="L1042" s="503">
        <f t="shared" si="632"/>
        <v>0</v>
      </c>
      <c r="M1042" s="503">
        <f t="shared" si="606"/>
        <v>0</v>
      </c>
      <c r="N1042" s="503">
        <f t="shared" si="512"/>
        <v>0</v>
      </c>
      <c r="O1042" s="503">
        <f t="shared" si="513"/>
        <v>0</v>
      </c>
      <c r="P1042" s="503">
        <f t="shared" si="514"/>
        <v>0</v>
      </c>
      <c r="Q1042" s="503">
        <f t="shared" si="515"/>
        <v>0</v>
      </c>
      <c r="R1042" s="503">
        <f t="shared" si="516"/>
        <v>0</v>
      </c>
    </row>
    <row r="1043" spans="1:18">
      <c r="A1043" s="505"/>
      <c r="B1043" s="511" t="s">
        <v>816</v>
      </c>
      <c r="C1043" s="507">
        <v>8</v>
      </c>
      <c r="D1043" s="508">
        <v>100</v>
      </c>
      <c r="E1043" s="507">
        <v>2</v>
      </c>
      <c r="F1043" s="502">
        <v>2</v>
      </c>
      <c r="G1043" s="502">
        <f t="shared" ref="G1043:G1047" si="633">+ROUND(2450/D1043+1,0)</f>
        <v>26</v>
      </c>
      <c r="H1043" s="503"/>
      <c r="I1043" s="503">
        <f>2*(0.18+0.683)+24*C1043/1000</f>
        <v>1.9179999999999999</v>
      </c>
      <c r="J1043" s="509"/>
      <c r="K1043" s="509"/>
      <c r="L1043" s="503">
        <f t="shared" si="632"/>
        <v>1.9179999999999999</v>
      </c>
      <c r="M1043" s="503">
        <f t="shared" si="606"/>
        <v>199.47</v>
      </c>
      <c r="N1043" s="503">
        <f t="shared" si="512"/>
        <v>0</v>
      </c>
      <c r="O1043" s="503">
        <f t="shared" si="513"/>
        <v>0</v>
      </c>
      <c r="P1043" s="503">
        <f t="shared" si="514"/>
        <v>0</v>
      </c>
      <c r="Q1043" s="503">
        <f t="shared" si="515"/>
        <v>0</v>
      </c>
      <c r="R1043" s="503">
        <f t="shared" si="516"/>
        <v>0</v>
      </c>
    </row>
    <row r="1044" spans="1:18">
      <c r="A1044" s="505"/>
      <c r="B1044" s="511" t="s">
        <v>821</v>
      </c>
      <c r="C1044" s="507">
        <v>8</v>
      </c>
      <c r="D1044" s="508">
        <v>100</v>
      </c>
      <c r="E1044" s="507">
        <v>2</v>
      </c>
      <c r="F1044" s="502">
        <f>2*2</f>
        <v>4</v>
      </c>
      <c r="G1044" s="502">
        <f t="shared" si="633"/>
        <v>26</v>
      </c>
      <c r="H1044" s="503"/>
      <c r="I1044" s="503">
        <f>2*(0.18+0.124)+24*C1044/1000</f>
        <v>0.8</v>
      </c>
      <c r="J1044" s="509"/>
      <c r="K1044" s="509"/>
      <c r="L1044" s="503">
        <f t="shared" si="632"/>
        <v>0.8</v>
      </c>
      <c r="M1044" s="503">
        <f t="shared" si="606"/>
        <v>166.4</v>
      </c>
      <c r="N1044" s="503">
        <f t="shared" si="512"/>
        <v>0</v>
      </c>
      <c r="O1044" s="503">
        <f t="shared" si="513"/>
        <v>0</v>
      </c>
      <c r="P1044" s="503">
        <f t="shared" si="514"/>
        <v>0</v>
      </c>
      <c r="Q1044" s="503">
        <f t="shared" si="515"/>
        <v>0</v>
      </c>
      <c r="R1044" s="503">
        <f t="shared" si="516"/>
        <v>0</v>
      </c>
    </row>
    <row r="1045" spans="1:18">
      <c r="A1045" s="505"/>
      <c r="B1045" s="511" t="s">
        <v>798</v>
      </c>
      <c r="C1045" s="507">
        <v>8</v>
      </c>
      <c r="D1045" s="508">
        <v>100</v>
      </c>
      <c r="E1045" s="507">
        <v>2</v>
      </c>
      <c r="F1045" s="502">
        <v>2</v>
      </c>
      <c r="G1045" s="502">
        <f t="shared" si="633"/>
        <v>26</v>
      </c>
      <c r="H1045" s="503"/>
      <c r="I1045" s="503">
        <f>0.18+(20*C1045/1000)</f>
        <v>0.33999999999999997</v>
      </c>
      <c r="J1045" s="509"/>
      <c r="K1045" s="509"/>
      <c r="L1045" s="503">
        <f t="shared" si="632"/>
        <v>0.33999999999999997</v>
      </c>
      <c r="M1045" s="503">
        <f t="shared" si="606"/>
        <v>35.36</v>
      </c>
      <c r="N1045" s="503">
        <f t="shared" si="512"/>
        <v>0</v>
      </c>
      <c r="O1045" s="503">
        <f t="shared" si="513"/>
        <v>0</v>
      </c>
      <c r="P1045" s="503">
        <f t="shared" si="514"/>
        <v>0</v>
      </c>
      <c r="Q1045" s="503">
        <f t="shared" si="515"/>
        <v>0</v>
      </c>
      <c r="R1045" s="503">
        <f t="shared" si="516"/>
        <v>0</v>
      </c>
    </row>
    <row r="1046" spans="1:18">
      <c r="A1046" s="505"/>
      <c r="B1046" s="511" t="s">
        <v>861</v>
      </c>
      <c r="C1046" s="507">
        <v>8</v>
      </c>
      <c r="D1046" s="508">
        <v>200</v>
      </c>
      <c r="E1046" s="507">
        <v>2</v>
      </c>
      <c r="F1046" s="502">
        <v>1</v>
      </c>
      <c r="G1046" s="502">
        <f t="shared" si="633"/>
        <v>13</v>
      </c>
      <c r="H1046" s="503"/>
      <c r="I1046" s="503">
        <f>2*(0.18+2.681)+24*C1046/1000</f>
        <v>5.9140000000000006</v>
      </c>
      <c r="J1046" s="509"/>
      <c r="K1046" s="509"/>
      <c r="L1046" s="503">
        <f t="shared" si="632"/>
        <v>5.9140000000000006</v>
      </c>
      <c r="M1046" s="503">
        <f t="shared" si="606"/>
        <v>153.76</v>
      </c>
      <c r="N1046" s="503">
        <f t="shared" si="512"/>
        <v>0</v>
      </c>
      <c r="O1046" s="503">
        <f t="shared" si="513"/>
        <v>0</v>
      </c>
      <c r="P1046" s="503">
        <f t="shared" si="514"/>
        <v>0</v>
      </c>
      <c r="Q1046" s="503">
        <f t="shared" si="515"/>
        <v>0</v>
      </c>
      <c r="R1046" s="503">
        <f t="shared" si="516"/>
        <v>0</v>
      </c>
    </row>
    <row r="1047" spans="1:18">
      <c r="A1047" s="505"/>
      <c r="B1047" s="511" t="s">
        <v>799</v>
      </c>
      <c r="C1047" s="507">
        <v>8</v>
      </c>
      <c r="D1047" s="508">
        <v>400</v>
      </c>
      <c r="E1047" s="507">
        <v>2</v>
      </c>
      <c r="F1047" s="502">
        <v>6</v>
      </c>
      <c r="G1047" s="502">
        <f t="shared" si="633"/>
        <v>7</v>
      </c>
      <c r="H1047" s="503"/>
      <c r="I1047" s="503">
        <f>0.18+(20*C1047/1000)</f>
        <v>0.33999999999999997</v>
      </c>
      <c r="J1047" s="509"/>
      <c r="K1047" s="509"/>
      <c r="L1047" s="503">
        <f t="shared" ref="L1047" si="634">SUM(H1047:J1047)+K1047</f>
        <v>0.33999999999999997</v>
      </c>
      <c r="M1047" s="503">
        <f t="shared" si="606"/>
        <v>28.56</v>
      </c>
      <c r="N1047" s="503">
        <f t="shared" si="512"/>
        <v>0</v>
      </c>
      <c r="O1047" s="503">
        <f t="shared" si="513"/>
        <v>0</v>
      </c>
      <c r="P1047" s="503">
        <f t="shared" si="514"/>
        <v>0</v>
      </c>
      <c r="Q1047" s="503">
        <f t="shared" si="515"/>
        <v>0</v>
      </c>
      <c r="R1047" s="503">
        <f t="shared" si="516"/>
        <v>0</v>
      </c>
    </row>
    <row r="1048" spans="1:18">
      <c r="A1048" s="505"/>
      <c r="B1048" s="506" t="s">
        <v>823</v>
      </c>
      <c r="C1048" s="507">
        <v>16</v>
      </c>
      <c r="D1048" s="508"/>
      <c r="E1048" s="507">
        <v>2</v>
      </c>
      <c r="F1048" s="502">
        <v>1</v>
      </c>
      <c r="G1048" s="502">
        <v>8</v>
      </c>
      <c r="H1048" s="503"/>
      <c r="I1048" s="503">
        <f t="shared" ref="I1048:I1050" si="635">106.2-103.25</f>
        <v>2.9500000000000028</v>
      </c>
      <c r="J1048" s="509"/>
      <c r="K1048" s="509">
        <f t="shared" ref="K1048:K1050" si="636">1*36*C1048/1000</f>
        <v>0.57599999999999996</v>
      </c>
      <c r="L1048" s="503">
        <f t="shared" ref="L1048:L1065" si="637">SUM(H1048:J1048)+K1048</f>
        <v>3.5260000000000029</v>
      </c>
      <c r="M1048" s="503">
        <f t="shared" si="606"/>
        <v>0</v>
      </c>
      <c r="N1048" s="503">
        <f t="shared" si="512"/>
        <v>0</v>
      </c>
      <c r="O1048" s="503">
        <f t="shared" si="513"/>
        <v>0</v>
      </c>
      <c r="P1048" s="503">
        <f t="shared" si="514"/>
        <v>56.42</v>
      </c>
      <c r="Q1048" s="503">
        <f t="shared" si="515"/>
        <v>0</v>
      </c>
      <c r="R1048" s="503">
        <f t="shared" si="516"/>
        <v>0</v>
      </c>
    </row>
    <row r="1049" spans="1:18">
      <c r="A1049" s="505"/>
      <c r="B1049" s="511"/>
      <c r="C1049" s="507">
        <v>12</v>
      </c>
      <c r="D1049" s="508"/>
      <c r="E1049" s="507">
        <v>2</v>
      </c>
      <c r="F1049" s="502">
        <v>1</v>
      </c>
      <c r="G1049" s="502">
        <v>16</v>
      </c>
      <c r="H1049" s="503"/>
      <c r="I1049" s="503">
        <f t="shared" si="635"/>
        <v>2.9500000000000028</v>
      </c>
      <c r="J1049" s="509"/>
      <c r="K1049" s="509">
        <f t="shared" si="636"/>
        <v>0.432</v>
      </c>
      <c r="L1049" s="503">
        <f t="shared" si="637"/>
        <v>3.3820000000000028</v>
      </c>
      <c r="M1049" s="503">
        <f t="shared" si="606"/>
        <v>0</v>
      </c>
      <c r="N1049" s="503">
        <f t="shared" si="512"/>
        <v>0</v>
      </c>
      <c r="O1049" s="503">
        <f t="shared" si="513"/>
        <v>108.22</v>
      </c>
      <c r="P1049" s="503">
        <f t="shared" si="514"/>
        <v>0</v>
      </c>
      <c r="Q1049" s="503">
        <f t="shared" si="515"/>
        <v>0</v>
      </c>
      <c r="R1049" s="503">
        <f t="shared" si="516"/>
        <v>0</v>
      </c>
    </row>
    <row r="1050" spans="1:18">
      <c r="A1050" s="505"/>
      <c r="B1050" s="511"/>
      <c r="C1050" s="507">
        <v>10</v>
      </c>
      <c r="D1050" s="508"/>
      <c r="E1050" s="507">
        <v>2</v>
      </c>
      <c r="F1050" s="502">
        <v>1</v>
      </c>
      <c r="G1050" s="502">
        <v>6</v>
      </c>
      <c r="H1050" s="503"/>
      <c r="I1050" s="503">
        <f t="shared" si="635"/>
        <v>2.9500000000000028</v>
      </c>
      <c r="J1050" s="509"/>
      <c r="K1050" s="509">
        <f t="shared" si="636"/>
        <v>0.36</v>
      </c>
      <c r="L1050" s="503">
        <f t="shared" si="637"/>
        <v>3.3100000000000027</v>
      </c>
      <c r="M1050" s="503">
        <f t="shared" si="606"/>
        <v>0</v>
      </c>
      <c r="N1050" s="503">
        <f t="shared" si="512"/>
        <v>39.72</v>
      </c>
      <c r="O1050" s="503">
        <f t="shared" si="513"/>
        <v>0</v>
      </c>
      <c r="P1050" s="503">
        <f t="shared" si="514"/>
        <v>0</v>
      </c>
      <c r="Q1050" s="503">
        <f t="shared" si="515"/>
        <v>0</v>
      </c>
      <c r="R1050" s="503">
        <f t="shared" si="516"/>
        <v>0</v>
      </c>
    </row>
    <row r="1051" spans="1:18">
      <c r="A1051" s="505"/>
      <c r="B1051" s="511" t="s">
        <v>797</v>
      </c>
      <c r="C1051" s="507"/>
      <c r="D1051" s="508"/>
      <c r="E1051" s="507"/>
      <c r="F1051" s="502"/>
      <c r="G1051" s="502"/>
      <c r="H1051" s="503"/>
      <c r="I1051" s="503"/>
      <c r="J1051" s="509"/>
      <c r="K1051" s="509"/>
      <c r="L1051" s="503">
        <f t="shared" si="637"/>
        <v>0</v>
      </c>
      <c r="M1051" s="503">
        <f t="shared" si="606"/>
        <v>0</v>
      </c>
      <c r="N1051" s="503">
        <f t="shared" si="512"/>
        <v>0</v>
      </c>
      <c r="O1051" s="503">
        <f t="shared" si="513"/>
        <v>0</v>
      </c>
      <c r="P1051" s="503">
        <f t="shared" si="514"/>
        <v>0</v>
      </c>
      <c r="Q1051" s="503">
        <f t="shared" si="515"/>
        <v>0</v>
      </c>
      <c r="R1051" s="503">
        <f t="shared" si="516"/>
        <v>0</v>
      </c>
    </row>
    <row r="1052" spans="1:18">
      <c r="A1052" s="505"/>
      <c r="B1052" s="511" t="s">
        <v>810</v>
      </c>
      <c r="C1052" s="507">
        <v>8</v>
      </c>
      <c r="D1052" s="508">
        <v>100</v>
      </c>
      <c r="E1052" s="507">
        <v>2</v>
      </c>
      <c r="F1052" s="502">
        <v>1</v>
      </c>
      <c r="G1052" s="502">
        <f t="shared" ref="G1052:G1059" si="638">+ROUND(2450/D1052+1,0)</f>
        <v>26</v>
      </c>
      <c r="H1052" s="503"/>
      <c r="I1052" s="503">
        <f>2*(0.18+0.6)+24*C1052/1000</f>
        <v>1.752</v>
      </c>
      <c r="J1052" s="509"/>
      <c r="K1052" s="509"/>
      <c r="L1052" s="503">
        <f t="shared" si="637"/>
        <v>1.752</v>
      </c>
      <c r="M1052" s="503">
        <f t="shared" si="606"/>
        <v>91.1</v>
      </c>
      <c r="N1052" s="503">
        <f t="shared" si="512"/>
        <v>0</v>
      </c>
      <c r="O1052" s="503">
        <f t="shared" si="513"/>
        <v>0</v>
      </c>
      <c r="P1052" s="503">
        <f t="shared" si="514"/>
        <v>0</v>
      </c>
      <c r="Q1052" s="503">
        <f t="shared" si="515"/>
        <v>0</v>
      </c>
      <c r="R1052" s="503">
        <f t="shared" si="516"/>
        <v>0</v>
      </c>
    </row>
    <row r="1053" spans="1:18">
      <c r="A1053" s="505"/>
      <c r="B1053" s="511" t="s">
        <v>811</v>
      </c>
      <c r="C1053" s="507">
        <v>8</v>
      </c>
      <c r="D1053" s="508">
        <v>100</v>
      </c>
      <c r="E1053" s="507">
        <v>2</v>
      </c>
      <c r="F1053" s="502">
        <v>1</v>
      </c>
      <c r="G1053" s="502">
        <f t="shared" si="638"/>
        <v>26</v>
      </c>
      <c r="H1053" s="503"/>
      <c r="I1053" s="503">
        <f>2*(0.18+0.248)+24*C1053/1000</f>
        <v>1.048</v>
      </c>
      <c r="J1053" s="509"/>
      <c r="K1053" s="509"/>
      <c r="L1053" s="503">
        <f t="shared" si="637"/>
        <v>1.048</v>
      </c>
      <c r="M1053" s="503">
        <f t="shared" si="606"/>
        <v>54.5</v>
      </c>
      <c r="N1053" s="503">
        <f t="shared" si="512"/>
        <v>0</v>
      </c>
      <c r="O1053" s="503">
        <f t="shared" si="513"/>
        <v>0</v>
      </c>
      <c r="P1053" s="503">
        <f t="shared" si="514"/>
        <v>0</v>
      </c>
      <c r="Q1053" s="503">
        <f t="shared" si="515"/>
        <v>0</v>
      </c>
      <c r="R1053" s="503">
        <f t="shared" si="516"/>
        <v>0</v>
      </c>
    </row>
    <row r="1054" spans="1:18">
      <c r="A1054" s="505"/>
      <c r="B1054" s="511" t="s">
        <v>798</v>
      </c>
      <c r="C1054" s="507">
        <v>8</v>
      </c>
      <c r="D1054" s="508">
        <v>100</v>
      </c>
      <c r="E1054" s="507">
        <v>2</v>
      </c>
      <c r="F1054" s="502">
        <v>1</v>
      </c>
      <c r="G1054" s="502">
        <f t="shared" si="638"/>
        <v>26</v>
      </c>
      <c r="H1054" s="503"/>
      <c r="I1054" s="503">
        <f>0.18+(20*C1054/1000)</f>
        <v>0.33999999999999997</v>
      </c>
      <c r="J1054" s="509"/>
      <c r="K1054" s="509"/>
      <c r="L1054" s="503">
        <f t="shared" si="637"/>
        <v>0.33999999999999997</v>
      </c>
      <c r="M1054" s="503">
        <f t="shared" si="606"/>
        <v>17.68</v>
      </c>
      <c r="N1054" s="503">
        <f t="shared" si="512"/>
        <v>0</v>
      </c>
      <c r="O1054" s="503">
        <f t="shared" si="513"/>
        <v>0</v>
      </c>
      <c r="P1054" s="503">
        <f t="shared" si="514"/>
        <v>0</v>
      </c>
      <c r="Q1054" s="503">
        <f t="shared" si="515"/>
        <v>0</v>
      </c>
      <c r="R1054" s="503">
        <f t="shared" si="516"/>
        <v>0</v>
      </c>
    </row>
    <row r="1055" spans="1:18">
      <c r="A1055" s="505"/>
      <c r="B1055" s="511" t="s">
        <v>812</v>
      </c>
      <c r="C1055" s="507">
        <v>8</v>
      </c>
      <c r="D1055" s="508">
        <v>100</v>
      </c>
      <c r="E1055" s="507">
        <v>2</v>
      </c>
      <c r="F1055" s="502">
        <v>2</v>
      </c>
      <c r="G1055" s="502">
        <f t="shared" si="638"/>
        <v>26</v>
      </c>
      <c r="H1055" s="503"/>
      <c r="I1055" s="503">
        <f>2*(0.18+0.385)+24*C1055/1000</f>
        <v>1.3219999999999998</v>
      </c>
      <c r="J1055" s="509"/>
      <c r="K1055" s="509"/>
      <c r="L1055" s="503">
        <f t="shared" si="637"/>
        <v>1.3219999999999998</v>
      </c>
      <c r="M1055" s="503">
        <f t="shared" si="606"/>
        <v>137.49</v>
      </c>
      <c r="N1055" s="503">
        <f t="shared" si="512"/>
        <v>0</v>
      </c>
      <c r="O1055" s="503">
        <f t="shared" si="513"/>
        <v>0</v>
      </c>
      <c r="P1055" s="503">
        <f t="shared" si="514"/>
        <v>0</v>
      </c>
      <c r="Q1055" s="503">
        <f t="shared" si="515"/>
        <v>0</v>
      </c>
      <c r="R1055" s="503">
        <f t="shared" si="516"/>
        <v>0</v>
      </c>
    </row>
    <row r="1056" spans="1:18">
      <c r="A1056" s="505"/>
      <c r="B1056" s="511" t="s">
        <v>813</v>
      </c>
      <c r="C1056" s="507">
        <v>8</v>
      </c>
      <c r="D1056" s="508">
        <v>100</v>
      </c>
      <c r="E1056" s="507">
        <v>2</v>
      </c>
      <c r="F1056" s="502">
        <v>1</v>
      </c>
      <c r="G1056" s="502">
        <f t="shared" si="638"/>
        <v>26</v>
      </c>
      <c r="H1056" s="503"/>
      <c r="I1056" s="503">
        <f>2*(0.18+0.268)+24*C1056/1000</f>
        <v>1.0880000000000001</v>
      </c>
      <c r="J1056" s="509"/>
      <c r="K1056" s="509"/>
      <c r="L1056" s="503">
        <f t="shared" si="637"/>
        <v>1.0880000000000001</v>
      </c>
      <c r="M1056" s="503">
        <f t="shared" si="606"/>
        <v>56.58</v>
      </c>
      <c r="N1056" s="503">
        <f t="shared" si="512"/>
        <v>0</v>
      </c>
      <c r="O1056" s="503">
        <f t="shared" si="513"/>
        <v>0</v>
      </c>
      <c r="P1056" s="503">
        <f t="shared" si="514"/>
        <v>0</v>
      </c>
      <c r="Q1056" s="503">
        <f t="shared" si="515"/>
        <v>0</v>
      </c>
      <c r="R1056" s="503">
        <f t="shared" si="516"/>
        <v>0</v>
      </c>
    </row>
    <row r="1057" spans="1:19">
      <c r="A1057" s="505"/>
      <c r="B1057" s="511" t="s">
        <v>798</v>
      </c>
      <c r="C1057" s="507">
        <v>8</v>
      </c>
      <c r="D1057" s="508">
        <v>100</v>
      </c>
      <c r="E1057" s="507">
        <v>2</v>
      </c>
      <c r="F1057" s="502">
        <v>1</v>
      </c>
      <c r="G1057" s="502">
        <f t="shared" si="638"/>
        <v>26</v>
      </c>
      <c r="H1057" s="503"/>
      <c r="I1057" s="503">
        <f>0.18+(20*C1057/1000)</f>
        <v>0.33999999999999997</v>
      </c>
      <c r="J1057" s="509"/>
      <c r="K1057" s="509"/>
      <c r="L1057" s="503">
        <f t="shared" si="637"/>
        <v>0.33999999999999997</v>
      </c>
      <c r="M1057" s="503">
        <f t="shared" si="606"/>
        <v>17.68</v>
      </c>
      <c r="N1057" s="503">
        <f t="shared" si="512"/>
        <v>0</v>
      </c>
      <c r="O1057" s="503">
        <f t="shared" si="513"/>
        <v>0</v>
      </c>
      <c r="P1057" s="503">
        <f t="shared" si="514"/>
        <v>0</v>
      </c>
      <c r="Q1057" s="503">
        <f t="shared" si="515"/>
        <v>0</v>
      </c>
      <c r="R1057" s="503">
        <f t="shared" si="516"/>
        <v>0</v>
      </c>
    </row>
    <row r="1058" spans="1:19">
      <c r="A1058" s="505"/>
      <c r="B1058" s="511" t="s">
        <v>824</v>
      </c>
      <c r="C1058" s="507">
        <v>8</v>
      </c>
      <c r="D1058" s="508">
        <v>200</v>
      </c>
      <c r="E1058" s="507">
        <v>2</v>
      </c>
      <c r="F1058" s="502">
        <v>1</v>
      </c>
      <c r="G1058" s="502">
        <f t="shared" si="638"/>
        <v>13</v>
      </c>
      <c r="H1058" s="503"/>
      <c r="I1058" s="503">
        <f>2*(0.18+0.751)+24*C1058/1000</f>
        <v>2.0540000000000003</v>
      </c>
      <c r="J1058" s="509"/>
      <c r="K1058" s="509"/>
      <c r="L1058" s="503">
        <f t="shared" si="637"/>
        <v>2.0540000000000003</v>
      </c>
      <c r="M1058" s="503">
        <f t="shared" si="606"/>
        <v>53.4</v>
      </c>
      <c r="N1058" s="503">
        <f t="shared" si="512"/>
        <v>0</v>
      </c>
      <c r="O1058" s="503">
        <f t="shared" si="513"/>
        <v>0</v>
      </c>
      <c r="P1058" s="503">
        <f t="shared" si="514"/>
        <v>0</v>
      </c>
      <c r="Q1058" s="503">
        <f t="shared" si="515"/>
        <v>0</v>
      </c>
      <c r="R1058" s="503">
        <f t="shared" si="516"/>
        <v>0</v>
      </c>
    </row>
    <row r="1059" spans="1:19">
      <c r="A1059" s="505"/>
      <c r="B1059" s="511" t="s">
        <v>799</v>
      </c>
      <c r="C1059" s="507">
        <v>8</v>
      </c>
      <c r="D1059" s="508">
        <v>400</v>
      </c>
      <c r="E1059" s="507">
        <v>2</v>
      </c>
      <c r="F1059" s="502">
        <v>1</v>
      </c>
      <c r="G1059" s="502">
        <f t="shared" si="638"/>
        <v>7</v>
      </c>
      <c r="H1059" s="503"/>
      <c r="I1059" s="503">
        <f>0.18+(20*C1059/1000)</f>
        <v>0.33999999999999997</v>
      </c>
      <c r="J1059" s="509"/>
      <c r="K1059" s="509"/>
      <c r="L1059" s="503">
        <f t="shared" si="637"/>
        <v>0.33999999999999997</v>
      </c>
      <c r="M1059" s="503">
        <f t="shared" si="606"/>
        <v>4.76</v>
      </c>
      <c r="N1059" s="503">
        <f t="shared" si="512"/>
        <v>0</v>
      </c>
      <c r="O1059" s="503">
        <f t="shared" si="513"/>
        <v>0</v>
      </c>
      <c r="P1059" s="503">
        <f t="shared" si="514"/>
        <v>0</v>
      </c>
      <c r="Q1059" s="503">
        <f t="shared" si="515"/>
        <v>0</v>
      </c>
      <c r="R1059" s="503">
        <f t="shared" si="516"/>
        <v>0</v>
      </c>
    </row>
    <row r="1060" spans="1:19">
      <c r="A1060" s="505"/>
      <c r="B1060" s="506" t="s">
        <v>862</v>
      </c>
      <c r="C1060" s="507">
        <v>16</v>
      </c>
      <c r="D1060" s="508"/>
      <c r="E1060" s="507">
        <v>2</v>
      </c>
      <c r="F1060" s="502">
        <v>1</v>
      </c>
      <c r="G1060" s="502">
        <v>8</v>
      </c>
      <c r="H1060" s="503"/>
      <c r="I1060" s="503">
        <f t="shared" ref="I1060:I1062" si="639">106.2-103.25</f>
        <v>2.9500000000000028</v>
      </c>
      <c r="J1060" s="509"/>
      <c r="K1060" s="509">
        <f t="shared" ref="K1060:K1062" si="640">1*36*C1060/1000</f>
        <v>0.57599999999999996</v>
      </c>
      <c r="L1060" s="503">
        <f t="shared" si="637"/>
        <v>3.5260000000000029</v>
      </c>
      <c r="M1060" s="503">
        <f t="shared" si="606"/>
        <v>0</v>
      </c>
      <c r="N1060" s="503">
        <f t="shared" si="512"/>
        <v>0</v>
      </c>
      <c r="O1060" s="503">
        <f t="shared" si="513"/>
        <v>0</v>
      </c>
      <c r="P1060" s="503">
        <f t="shared" si="514"/>
        <v>56.42</v>
      </c>
      <c r="Q1060" s="503">
        <f t="shared" si="515"/>
        <v>0</v>
      </c>
      <c r="R1060" s="503">
        <f t="shared" si="516"/>
        <v>0</v>
      </c>
    </row>
    <row r="1061" spans="1:19">
      <c r="A1061" s="505"/>
      <c r="B1061" s="506"/>
      <c r="C1061" s="507">
        <v>12</v>
      </c>
      <c r="D1061" s="508"/>
      <c r="E1061" s="507">
        <v>2</v>
      </c>
      <c r="F1061" s="502">
        <v>1</v>
      </c>
      <c r="G1061" s="502">
        <v>8</v>
      </c>
      <c r="H1061" s="503"/>
      <c r="I1061" s="503">
        <f t="shared" si="639"/>
        <v>2.9500000000000028</v>
      </c>
      <c r="J1061" s="509"/>
      <c r="K1061" s="509">
        <f t="shared" si="640"/>
        <v>0.432</v>
      </c>
      <c r="L1061" s="503">
        <f t="shared" si="637"/>
        <v>3.3820000000000028</v>
      </c>
      <c r="M1061" s="503">
        <f t="shared" si="606"/>
        <v>0</v>
      </c>
      <c r="N1061" s="503">
        <f t="shared" si="512"/>
        <v>0</v>
      </c>
      <c r="O1061" s="503">
        <f t="shared" si="513"/>
        <v>54.11</v>
      </c>
      <c r="P1061" s="503">
        <f t="shared" si="514"/>
        <v>0</v>
      </c>
      <c r="Q1061" s="503">
        <f t="shared" si="515"/>
        <v>0</v>
      </c>
      <c r="R1061" s="503">
        <f t="shared" si="516"/>
        <v>0</v>
      </c>
    </row>
    <row r="1062" spans="1:19">
      <c r="A1062" s="505"/>
      <c r="B1062" s="506"/>
      <c r="C1062" s="507">
        <v>10</v>
      </c>
      <c r="D1062" s="508"/>
      <c r="E1062" s="507">
        <v>2</v>
      </c>
      <c r="F1062" s="502">
        <v>1</v>
      </c>
      <c r="G1062" s="502">
        <v>26</v>
      </c>
      <c r="H1062" s="503"/>
      <c r="I1062" s="503">
        <f t="shared" si="639"/>
        <v>2.9500000000000028</v>
      </c>
      <c r="J1062" s="509"/>
      <c r="K1062" s="509">
        <f t="shared" si="640"/>
        <v>0.36</v>
      </c>
      <c r="L1062" s="503">
        <f t="shared" si="637"/>
        <v>3.3100000000000027</v>
      </c>
      <c r="M1062" s="503">
        <f t="shared" si="606"/>
        <v>0</v>
      </c>
      <c r="N1062" s="503">
        <f t="shared" si="512"/>
        <v>172.12</v>
      </c>
      <c r="O1062" s="503">
        <f t="shared" si="513"/>
        <v>0</v>
      </c>
      <c r="P1062" s="503">
        <f t="shared" si="514"/>
        <v>0</v>
      </c>
      <c r="Q1062" s="503">
        <f t="shared" si="515"/>
        <v>0</v>
      </c>
      <c r="R1062" s="503">
        <f t="shared" si="516"/>
        <v>0</v>
      </c>
    </row>
    <row r="1063" spans="1:19">
      <c r="A1063" s="505"/>
      <c r="B1063" s="511" t="s">
        <v>797</v>
      </c>
      <c r="C1063" s="507"/>
      <c r="D1063" s="508"/>
      <c r="E1063" s="507"/>
      <c r="F1063" s="502"/>
      <c r="G1063" s="502"/>
      <c r="H1063" s="503"/>
      <c r="I1063" s="503"/>
      <c r="J1063" s="509"/>
      <c r="K1063" s="509"/>
      <c r="L1063" s="503">
        <f t="shared" si="637"/>
        <v>0</v>
      </c>
      <c r="M1063" s="503">
        <f t="shared" si="606"/>
        <v>0</v>
      </c>
      <c r="N1063" s="503">
        <f t="shared" si="512"/>
        <v>0</v>
      </c>
      <c r="O1063" s="503">
        <f t="shared" si="513"/>
        <v>0</v>
      </c>
      <c r="P1063" s="503">
        <f t="shared" si="514"/>
        <v>0</v>
      </c>
      <c r="Q1063" s="503">
        <f t="shared" si="515"/>
        <v>0</v>
      </c>
      <c r="R1063" s="503">
        <f t="shared" si="516"/>
        <v>0</v>
      </c>
    </row>
    <row r="1064" spans="1:19">
      <c r="A1064" s="505"/>
      <c r="B1064" s="511" t="s">
        <v>863</v>
      </c>
      <c r="C1064" s="507">
        <v>8</v>
      </c>
      <c r="D1064" s="508">
        <v>100</v>
      </c>
      <c r="E1064" s="507">
        <v>2</v>
      </c>
      <c r="F1064" s="502">
        <v>2</v>
      </c>
      <c r="G1064" s="502">
        <f t="shared" ref="G1064:G1067" si="641">+ROUND(2450/D1064+1,0)</f>
        <v>26</v>
      </c>
      <c r="H1064" s="503"/>
      <c r="I1064" s="503">
        <f>2*(0.14+0.383)+24*C1064/1000</f>
        <v>1.238</v>
      </c>
      <c r="J1064" s="509"/>
      <c r="K1064" s="509"/>
      <c r="L1064" s="503">
        <f t="shared" si="637"/>
        <v>1.238</v>
      </c>
      <c r="M1064" s="503">
        <f t="shared" si="606"/>
        <v>128.75</v>
      </c>
      <c r="N1064" s="503">
        <f t="shared" si="512"/>
        <v>0</v>
      </c>
      <c r="O1064" s="503">
        <f t="shared" si="513"/>
        <v>0</v>
      </c>
      <c r="P1064" s="503">
        <f t="shared" si="514"/>
        <v>0</v>
      </c>
      <c r="Q1064" s="503">
        <f t="shared" si="515"/>
        <v>0</v>
      </c>
      <c r="R1064" s="503">
        <f t="shared" si="516"/>
        <v>0</v>
      </c>
    </row>
    <row r="1065" spans="1:19">
      <c r="A1065" s="505"/>
      <c r="B1065" s="511" t="s">
        <v>827</v>
      </c>
      <c r="C1065" s="507">
        <v>8</v>
      </c>
      <c r="D1065" s="508">
        <v>100</v>
      </c>
      <c r="E1065" s="507">
        <v>2</v>
      </c>
      <c r="F1065" s="502">
        <v>2</v>
      </c>
      <c r="G1065" s="502">
        <f t="shared" si="641"/>
        <v>26</v>
      </c>
      <c r="H1065" s="503"/>
      <c r="I1065" s="503">
        <f>2*(0.14+0.133)+24*C1065/1000</f>
        <v>0.73799999999999999</v>
      </c>
      <c r="J1065" s="509"/>
      <c r="K1065" s="509"/>
      <c r="L1065" s="503">
        <f t="shared" si="637"/>
        <v>0.73799999999999999</v>
      </c>
      <c r="M1065" s="503">
        <f t="shared" si="606"/>
        <v>76.75</v>
      </c>
      <c r="N1065" s="503">
        <f t="shared" si="512"/>
        <v>0</v>
      </c>
      <c r="O1065" s="503">
        <f t="shared" si="513"/>
        <v>0</v>
      </c>
      <c r="P1065" s="503">
        <f t="shared" si="514"/>
        <v>0</v>
      </c>
      <c r="Q1065" s="503">
        <f t="shared" si="515"/>
        <v>0</v>
      </c>
      <c r="R1065" s="503">
        <f t="shared" si="516"/>
        <v>0</v>
      </c>
    </row>
    <row r="1066" spans="1:19">
      <c r="A1066" s="505"/>
      <c r="B1066" s="511" t="s">
        <v>864</v>
      </c>
      <c r="C1066" s="507">
        <v>8</v>
      </c>
      <c r="D1066" s="508">
        <v>200</v>
      </c>
      <c r="E1066" s="507">
        <v>2</v>
      </c>
      <c r="F1066" s="502">
        <v>1</v>
      </c>
      <c r="G1066" s="502">
        <f t="shared" si="641"/>
        <v>13</v>
      </c>
      <c r="H1066" s="503"/>
      <c r="I1066" s="503">
        <f>2*(0.14+2.661)+24*C1066/1000</f>
        <v>5.7940000000000005</v>
      </c>
      <c r="J1066" s="509"/>
      <c r="K1066" s="509"/>
      <c r="L1066" s="503">
        <f t="shared" ref="L1066:L1067" si="642">SUM(H1066:J1066)+K1066</f>
        <v>5.7940000000000005</v>
      </c>
      <c r="M1066" s="503">
        <f t="shared" si="606"/>
        <v>150.63999999999999</v>
      </c>
      <c r="N1066" s="503">
        <f t="shared" si="512"/>
        <v>0</v>
      </c>
      <c r="O1066" s="503">
        <f t="shared" si="513"/>
        <v>0</v>
      </c>
      <c r="P1066" s="503">
        <f t="shared" si="514"/>
        <v>0</v>
      </c>
      <c r="Q1066" s="503">
        <f t="shared" si="515"/>
        <v>0</v>
      </c>
      <c r="R1066" s="503">
        <f t="shared" si="516"/>
        <v>0</v>
      </c>
    </row>
    <row r="1067" spans="1:19">
      <c r="A1067" s="505"/>
      <c r="B1067" s="511" t="s">
        <v>799</v>
      </c>
      <c r="C1067" s="507">
        <v>8</v>
      </c>
      <c r="D1067" s="508">
        <v>400</v>
      </c>
      <c r="E1067" s="507">
        <v>2</v>
      </c>
      <c r="F1067" s="502">
        <v>6</v>
      </c>
      <c r="G1067" s="502">
        <f t="shared" si="641"/>
        <v>7</v>
      </c>
      <c r="H1067" s="503"/>
      <c r="I1067" s="503">
        <f>0.14+(20*C1067/1000)</f>
        <v>0.30000000000000004</v>
      </c>
      <c r="J1067" s="509"/>
      <c r="K1067" s="509"/>
      <c r="L1067" s="503">
        <f t="shared" si="642"/>
        <v>0.30000000000000004</v>
      </c>
      <c r="M1067" s="503">
        <f t="shared" si="606"/>
        <v>25.2</v>
      </c>
      <c r="N1067" s="503">
        <f t="shared" si="512"/>
        <v>0</v>
      </c>
      <c r="O1067" s="503">
        <f t="shared" si="513"/>
        <v>0</v>
      </c>
      <c r="P1067" s="503">
        <f t="shared" si="514"/>
        <v>0</v>
      </c>
      <c r="Q1067" s="503">
        <f t="shared" si="515"/>
        <v>0</v>
      </c>
      <c r="R1067" s="503">
        <f t="shared" si="516"/>
        <v>0</v>
      </c>
    </row>
    <row r="1068" spans="1:19">
      <c r="A1068" s="505"/>
      <c r="B1068" s="511"/>
      <c r="C1068" s="507"/>
      <c r="D1068" s="508"/>
      <c r="E1068" s="507"/>
      <c r="F1068" s="502"/>
      <c r="G1068" s="502"/>
      <c r="H1068" s="503"/>
      <c r="I1068" s="503"/>
      <c r="J1068" s="509"/>
      <c r="K1068" s="509"/>
      <c r="L1068" s="503">
        <f t="shared" ref="L1068" si="643">SUM(H1068:J1068)+K1068</f>
        <v>0</v>
      </c>
      <c r="M1068" s="503">
        <f t="shared" ref="M1068" si="644">+ROUND(IF(C1068=8,PRODUCT(E1068,F1068,G1068,L1068),0),2)</f>
        <v>0</v>
      </c>
      <c r="N1068" s="503">
        <f t="shared" si="512"/>
        <v>0</v>
      </c>
      <c r="O1068" s="503">
        <f t="shared" si="513"/>
        <v>0</v>
      </c>
      <c r="P1068" s="503">
        <f t="shared" si="514"/>
        <v>0</v>
      </c>
      <c r="Q1068" s="503">
        <f t="shared" si="515"/>
        <v>0</v>
      </c>
      <c r="R1068" s="503">
        <f t="shared" si="516"/>
        <v>0</v>
      </c>
    </row>
    <row r="1069" spans="1:19">
      <c r="A1069" s="531"/>
      <c r="B1069" s="506" t="s">
        <v>866</v>
      </c>
      <c r="C1069" s="521"/>
      <c r="D1069" s="522"/>
      <c r="E1069" s="521"/>
      <c r="F1069" s="523"/>
      <c r="G1069" s="523"/>
      <c r="H1069" s="524"/>
      <c r="I1069" s="524"/>
      <c r="J1069" s="524"/>
      <c r="K1069" s="524"/>
      <c r="L1069" s="524"/>
      <c r="M1069" s="526">
        <f>SUM(M855:M1068)*0.395</f>
        <v>4048.6196500000001</v>
      </c>
      <c r="N1069" s="526">
        <f>SUM(N855:N1068)*0.617</f>
        <v>5776.224430000002</v>
      </c>
      <c r="O1069" s="526">
        <f>SUM(O855:O1068)*0.889</f>
        <v>4317.4551700000002</v>
      </c>
      <c r="P1069" s="526">
        <f>SUM(P855:P1068)*1.58</f>
        <v>4902.6294000000016</v>
      </c>
      <c r="Q1069" s="526">
        <f>SUM(Q855:Q1068)*2.46</f>
        <v>144.4512</v>
      </c>
      <c r="R1069" s="526">
        <f>SUM(R855:R1068)*3.85</f>
        <v>0</v>
      </c>
      <c r="S1069" s="527">
        <f>SUM(M1069:R1069)</f>
        <v>19189.379850000005</v>
      </c>
    </row>
    <row r="1070" spans="1:19">
      <c r="C1070" s="221"/>
      <c r="D1070" s="221"/>
      <c r="E1070" s="221"/>
      <c r="F1070" s="221"/>
      <c r="G1070" s="221"/>
      <c r="M1070" s="538"/>
      <c r="N1070" s="538"/>
      <c r="O1070" s="538"/>
      <c r="P1070" s="538"/>
      <c r="Q1070" s="538"/>
      <c r="R1070" s="538"/>
    </row>
    <row r="1071" spans="1:19">
      <c r="C1071" s="221"/>
      <c r="D1071" s="221"/>
      <c r="E1071" s="221"/>
      <c r="F1071" s="221"/>
      <c r="G1071" s="221"/>
      <c r="M1071" s="538"/>
    </row>
  </sheetData>
  <mergeCells count="11">
    <mergeCell ref="G2:G3"/>
    <mergeCell ref="H2:J2"/>
    <mergeCell ref="K2:K3"/>
    <mergeCell ref="L2:L3"/>
    <mergeCell ref="M2:R2"/>
    <mergeCell ref="F2:F3"/>
    <mergeCell ref="A2:A3"/>
    <mergeCell ref="B2:B3"/>
    <mergeCell ref="C2:C3"/>
    <mergeCell ref="D2:D3"/>
    <mergeCell ref="E2:E3"/>
  </mergeCells>
  <conditionalFormatting sqref="M214:R214 M5:R5 M425:R494 M84:R91 M312:R364 M7:R74 M217:R301 M521:R575 M709:R723">
    <cfRule type="cellIs" dxfId="1041" priority="36" operator="greaterThan">
      <formula>0</formula>
    </cfRule>
  </conditionalFormatting>
  <conditionalFormatting sqref="M6:R6">
    <cfRule type="cellIs" dxfId="1040" priority="35" operator="greaterThan">
      <formula>0</formula>
    </cfRule>
  </conditionalFormatting>
  <conditionalFormatting sqref="M365:R366">
    <cfRule type="cellIs" dxfId="1039" priority="32" operator="greaterThan">
      <formula>0</formula>
    </cfRule>
  </conditionalFormatting>
  <conditionalFormatting sqref="M423:R423">
    <cfRule type="cellIs" dxfId="1038" priority="34" operator="greaterThan">
      <formula>0</formula>
    </cfRule>
  </conditionalFormatting>
  <conditionalFormatting sqref="M367:R422">
    <cfRule type="cellIs" dxfId="1037" priority="33" operator="greaterThan">
      <formula>0</formula>
    </cfRule>
  </conditionalFormatting>
  <conditionalFormatting sqref="M636:R636">
    <cfRule type="cellIs" dxfId="1036" priority="31" operator="greaterThan">
      <formula>0</formula>
    </cfRule>
  </conditionalFormatting>
  <conditionalFormatting sqref="M578:R612 M614:R635">
    <cfRule type="cellIs" dxfId="1035" priority="30" operator="greaterThan">
      <formula>0</formula>
    </cfRule>
  </conditionalFormatting>
  <conditionalFormatting sqref="M576:R577">
    <cfRule type="cellIs" dxfId="1034" priority="29" operator="greaterThan">
      <formula>0</formula>
    </cfRule>
  </conditionalFormatting>
  <conditionalFormatting sqref="M613:R613">
    <cfRule type="cellIs" dxfId="1033" priority="28" operator="greaterThan">
      <formula>0</formula>
    </cfRule>
  </conditionalFormatting>
  <conditionalFormatting sqref="M638:R708 M734:R789">
    <cfRule type="cellIs" dxfId="1032" priority="27" operator="greaterThan">
      <formula>0</formula>
    </cfRule>
  </conditionalFormatting>
  <conditionalFormatting sqref="M851:R851">
    <cfRule type="cellIs" dxfId="1031" priority="26" operator="greaterThan">
      <formula>0</formula>
    </cfRule>
  </conditionalFormatting>
  <conditionalFormatting sqref="M792:R797 M829:R850 M799:R827">
    <cfRule type="cellIs" dxfId="1030" priority="25" operator="greaterThan">
      <formula>0</formula>
    </cfRule>
  </conditionalFormatting>
  <conditionalFormatting sqref="M790:R791">
    <cfRule type="cellIs" dxfId="1029" priority="24" operator="greaterThan">
      <formula>0</formula>
    </cfRule>
  </conditionalFormatting>
  <conditionalFormatting sqref="M828:R828">
    <cfRule type="cellIs" dxfId="1028" priority="23" operator="greaterThan">
      <formula>0</formula>
    </cfRule>
  </conditionalFormatting>
  <conditionalFormatting sqref="M798:R798">
    <cfRule type="cellIs" dxfId="1027" priority="22" operator="greaterThan">
      <formula>0</formula>
    </cfRule>
  </conditionalFormatting>
  <conditionalFormatting sqref="M854:R924 M951:R1006">
    <cfRule type="cellIs" dxfId="1026" priority="21" operator="greaterThan">
      <formula>0</formula>
    </cfRule>
  </conditionalFormatting>
  <conditionalFormatting sqref="M1068:R1068">
    <cfRule type="cellIs" dxfId="1025" priority="20" operator="greaterThan">
      <formula>0</formula>
    </cfRule>
  </conditionalFormatting>
  <conditionalFormatting sqref="M1009:R1014 M1046:R1067 M1016:R1044">
    <cfRule type="cellIs" dxfId="1024" priority="19" operator="greaterThan">
      <formula>0</formula>
    </cfRule>
  </conditionalFormatting>
  <conditionalFormatting sqref="M1007:R1008">
    <cfRule type="cellIs" dxfId="1023" priority="18" operator="greaterThan">
      <formula>0</formula>
    </cfRule>
  </conditionalFormatting>
  <conditionalFormatting sqref="M1045:R1045">
    <cfRule type="cellIs" dxfId="1022" priority="17" operator="greaterThan">
      <formula>0</formula>
    </cfRule>
  </conditionalFormatting>
  <conditionalFormatting sqref="M1015:R1015">
    <cfRule type="cellIs" dxfId="1021" priority="16" operator="greaterThan">
      <formula>0</formula>
    </cfRule>
  </conditionalFormatting>
  <conditionalFormatting sqref="M155:R156">
    <cfRule type="cellIs" dxfId="1020" priority="13" operator="greaterThan">
      <formula>0</formula>
    </cfRule>
  </conditionalFormatting>
  <conditionalFormatting sqref="M213:R213">
    <cfRule type="cellIs" dxfId="1019" priority="15" operator="greaterThan">
      <formula>0</formula>
    </cfRule>
  </conditionalFormatting>
  <conditionalFormatting sqref="M157:R212 M102:R154">
    <cfRule type="cellIs" dxfId="1018" priority="14" operator="greaterThan">
      <formula>0</formula>
    </cfRule>
  </conditionalFormatting>
  <conditionalFormatting sqref="M75:R83">
    <cfRule type="cellIs" dxfId="1017" priority="12" operator="greaterThan">
      <formula>0</formula>
    </cfRule>
  </conditionalFormatting>
  <conditionalFormatting sqref="M92:R101">
    <cfRule type="cellIs" dxfId="1016" priority="10" operator="greaterThan">
      <formula>0</formula>
    </cfRule>
  </conditionalFormatting>
  <conditionalFormatting sqref="M302:R311">
    <cfRule type="cellIs" dxfId="1015" priority="7" operator="greaterThan">
      <formula>0</formula>
    </cfRule>
  </conditionalFormatting>
  <conditionalFormatting sqref="M495:R510">
    <cfRule type="cellIs" dxfId="1014" priority="6" operator="greaterThan">
      <formula>0</formula>
    </cfRule>
  </conditionalFormatting>
  <conditionalFormatting sqref="M511:R520">
    <cfRule type="cellIs" dxfId="1013" priority="5" operator="greaterThan">
      <formula>0</formula>
    </cfRule>
  </conditionalFormatting>
  <conditionalFormatting sqref="M724:R733">
    <cfRule type="cellIs" dxfId="1012" priority="3" operator="greaterThan">
      <formula>0</formula>
    </cfRule>
  </conditionalFormatting>
  <conditionalFormatting sqref="M925:R940">
    <cfRule type="cellIs" dxfId="1011" priority="2" operator="greaterThan">
      <formula>0</formula>
    </cfRule>
  </conditionalFormatting>
  <conditionalFormatting sqref="M941:R950">
    <cfRule type="cellIs" dxfId="1010" priority="1" operator="greaterThan">
      <formula>0</formula>
    </cfRule>
  </conditionalFormatting>
  <pageMargins left="0.7" right="0.7" top="0.75" bottom="0.75" header="0.3" footer="0.3"/>
  <pageSetup scale="46" fitToHeight="0" orientation="portrait" r:id="rId1"/>
  <ignoredErrors>
    <ignoredError sqref="G142 G200:G210" formula="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10"/>
  <sheetViews>
    <sheetView zoomScale="85" zoomScaleNormal="85" workbookViewId="0">
      <pane ySplit="3" topLeftCell="A1042" activePane="bottomLeft" state="frozen"/>
      <selection pane="bottomLeft" activeCell="B1003" sqref="B1003"/>
    </sheetView>
  </sheetViews>
  <sheetFormatPr defaultColWidth="9.140625" defaultRowHeight="15"/>
  <cols>
    <col min="1" max="1" width="9.140625" style="221"/>
    <col min="2" max="2" width="29.28515625" style="221" customWidth="1"/>
    <col min="3" max="3" width="6.85546875" style="528" customWidth="1"/>
    <col min="4" max="4" width="6.85546875" style="529" customWidth="1"/>
    <col min="5" max="5" width="7.7109375" style="528" customWidth="1"/>
    <col min="6" max="6" width="9.140625" style="528"/>
    <col min="7" max="7" width="8.7109375" style="528" customWidth="1"/>
    <col min="8" max="9" width="8.7109375" style="221" customWidth="1"/>
    <col min="10" max="10" width="8.7109375" style="86" customWidth="1"/>
    <col min="11" max="12" width="8.7109375" style="221" customWidth="1"/>
    <col min="13" max="14" width="12.28515625" style="221" bestFit="1" customWidth="1"/>
    <col min="15" max="18" width="9.140625" style="221"/>
    <col min="19" max="19" width="10" style="221" bestFit="1" customWidth="1"/>
    <col min="20" max="16384" width="9.140625" style="221"/>
  </cols>
  <sheetData>
    <row r="1" spans="1:18" ht="21">
      <c r="A1" s="493" t="s">
        <v>756</v>
      </c>
      <c r="B1" s="494"/>
      <c r="C1" s="494"/>
      <c r="D1" s="494"/>
      <c r="E1" s="494"/>
      <c r="F1" s="494"/>
      <c r="G1" s="494"/>
      <c r="H1" s="494"/>
      <c r="I1" s="494"/>
      <c r="J1" s="601"/>
      <c r="K1" s="494"/>
      <c r="L1" s="494"/>
      <c r="M1" s="494"/>
      <c r="N1" s="494"/>
      <c r="O1" s="494"/>
      <c r="P1" s="494"/>
      <c r="Q1" s="494"/>
      <c r="R1" s="494"/>
    </row>
    <row r="2" spans="1:18">
      <c r="A2" s="823" t="s">
        <v>757</v>
      </c>
      <c r="B2" s="823" t="s">
        <v>758</v>
      </c>
      <c r="C2" s="821" t="s">
        <v>759</v>
      </c>
      <c r="D2" s="821" t="s">
        <v>760</v>
      </c>
      <c r="E2" s="821" t="s">
        <v>761</v>
      </c>
      <c r="F2" s="821" t="s">
        <v>761</v>
      </c>
      <c r="G2" s="821" t="s">
        <v>762</v>
      </c>
      <c r="H2" s="825" t="s">
        <v>763</v>
      </c>
      <c r="I2" s="825"/>
      <c r="J2" s="825"/>
      <c r="K2" s="823" t="s">
        <v>764</v>
      </c>
      <c r="L2" s="823" t="s">
        <v>765</v>
      </c>
      <c r="M2" s="826" t="s">
        <v>766</v>
      </c>
      <c r="N2" s="826"/>
      <c r="O2" s="826"/>
      <c r="P2" s="826"/>
      <c r="Q2" s="826"/>
      <c r="R2" s="826"/>
    </row>
    <row r="3" spans="1:18">
      <c r="A3" s="824"/>
      <c r="B3" s="824"/>
      <c r="C3" s="822"/>
      <c r="D3" s="822"/>
      <c r="E3" s="822"/>
      <c r="F3" s="822"/>
      <c r="G3" s="822"/>
      <c r="H3" s="495" t="s">
        <v>767</v>
      </c>
      <c r="I3" s="495" t="s">
        <v>768</v>
      </c>
      <c r="J3" s="495" t="s">
        <v>769</v>
      </c>
      <c r="K3" s="824"/>
      <c r="L3" s="824"/>
      <c r="M3" s="591" t="s">
        <v>231</v>
      </c>
      <c r="N3" s="591" t="s">
        <v>232</v>
      </c>
      <c r="O3" s="591" t="s">
        <v>233</v>
      </c>
      <c r="P3" s="591" t="s">
        <v>234</v>
      </c>
      <c r="Q3" s="591" t="s">
        <v>770</v>
      </c>
      <c r="R3" s="497" t="s">
        <v>236</v>
      </c>
    </row>
    <row r="4" spans="1:18">
      <c r="A4" s="498"/>
      <c r="B4" s="499" t="s">
        <v>771</v>
      </c>
      <c r="C4" s="500"/>
      <c r="D4" s="501"/>
      <c r="E4" s="500"/>
      <c r="F4" s="502"/>
      <c r="G4" s="502"/>
      <c r="H4" s="503"/>
      <c r="I4" s="503"/>
      <c r="J4" s="503"/>
      <c r="K4" s="503"/>
      <c r="L4" s="503"/>
      <c r="M4" s="503"/>
      <c r="N4" s="503"/>
      <c r="O4" s="503"/>
      <c r="P4" s="503"/>
      <c r="Q4" s="503"/>
      <c r="R4" s="504"/>
    </row>
    <row r="5" spans="1:18">
      <c r="A5" s="505" t="s">
        <v>1067</v>
      </c>
      <c r="B5" s="520" t="s">
        <v>1068</v>
      </c>
      <c r="C5" s="507"/>
      <c r="D5" s="508"/>
      <c r="E5" s="507"/>
      <c r="F5" s="502"/>
      <c r="G5" s="502"/>
      <c r="H5" s="503"/>
      <c r="I5" s="503"/>
      <c r="J5" s="589"/>
      <c r="K5" s="589"/>
      <c r="L5" s="510">
        <f>SUM(H5:J5)+K5</f>
        <v>0</v>
      </c>
      <c r="M5" s="510">
        <f t="shared" ref="M5:M408" si="0">+ROUND(IF(C5=8,PRODUCT(E5,F5,G5,L5),0),2)</f>
        <v>0</v>
      </c>
      <c r="N5" s="510">
        <f t="shared" ref="N5:N408" si="1">+ROUND(IF(C5=10,PRODUCT(E5,F5,G5,L5),0),2)</f>
        <v>0</v>
      </c>
      <c r="O5" s="510">
        <f t="shared" ref="O5:O408" si="2">+ROUND(IF(C5=12,PRODUCT(E5,F5,G5,L5),0),2)</f>
        <v>0</v>
      </c>
      <c r="P5" s="510">
        <f t="shared" ref="P5:P408" si="3">+ROUND(IF(C5=16,PRODUCT(E5,F5,G5,L5),0),2)</f>
        <v>0</v>
      </c>
      <c r="Q5" s="510">
        <f t="shared" ref="Q5:Q408" si="4">+ROUND(IF(C5=20,PRODUCT(E5,F5,G5,L5),0),2)</f>
        <v>0</v>
      </c>
      <c r="R5" s="510">
        <f t="shared" ref="R5:R408" si="5">+ROUND(IF(C5=25,PRODUCT(E5,F5,G5,L5),0),2)</f>
        <v>0</v>
      </c>
    </row>
    <row r="6" spans="1:18">
      <c r="A6" s="505"/>
      <c r="B6" s="511" t="s">
        <v>740</v>
      </c>
      <c r="C6" s="507">
        <v>16</v>
      </c>
      <c r="D6" s="508"/>
      <c r="E6" s="507">
        <v>1</v>
      </c>
      <c r="F6" s="502">
        <v>1</v>
      </c>
      <c r="G6" s="502">
        <v>2</v>
      </c>
      <c r="H6" s="602">
        <f>0.58+8*$C6/1000</f>
        <v>0.70799999999999996</v>
      </c>
      <c r="I6" s="602">
        <f>6.125</f>
        <v>6.125</v>
      </c>
      <c r="J6" s="602">
        <f>0.58+8*$C6/1000</f>
        <v>0.70799999999999996</v>
      </c>
      <c r="K6" s="509"/>
      <c r="L6" s="510">
        <f>SUM(H6:J6)+K6</f>
        <v>7.5410000000000004</v>
      </c>
      <c r="M6" s="510">
        <f t="shared" si="0"/>
        <v>0</v>
      </c>
      <c r="N6" s="510">
        <f t="shared" si="1"/>
        <v>0</v>
      </c>
      <c r="O6" s="510">
        <f t="shared" si="2"/>
        <v>0</v>
      </c>
      <c r="P6" s="510">
        <f t="shared" si="3"/>
        <v>15.08</v>
      </c>
      <c r="Q6" s="510">
        <f t="shared" si="4"/>
        <v>0</v>
      </c>
      <c r="R6" s="510">
        <f t="shared" si="5"/>
        <v>0</v>
      </c>
    </row>
    <row r="7" spans="1:18">
      <c r="A7" s="505"/>
      <c r="B7" s="511" t="s">
        <v>773</v>
      </c>
      <c r="C7" s="507">
        <v>20</v>
      </c>
      <c r="D7" s="508"/>
      <c r="E7" s="507">
        <v>1</v>
      </c>
      <c r="F7" s="502">
        <v>1</v>
      </c>
      <c r="G7" s="502">
        <v>2</v>
      </c>
      <c r="H7" s="602">
        <f>0.72+8*$C7/1000</f>
        <v>0.88</v>
      </c>
      <c r="I7" s="602">
        <f>6.125</f>
        <v>6.125</v>
      </c>
      <c r="J7" s="602">
        <f>0.72+8*$C7/1000</f>
        <v>0.88</v>
      </c>
      <c r="K7" s="509"/>
      <c r="L7" s="510">
        <f t="shared" ref="L7:L1160" si="6">SUM(H7:J7)+K7</f>
        <v>7.8849999999999998</v>
      </c>
      <c r="M7" s="510">
        <f t="shared" si="0"/>
        <v>0</v>
      </c>
      <c r="N7" s="510">
        <f t="shared" si="1"/>
        <v>0</v>
      </c>
      <c r="O7" s="510">
        <f t="shared" si="2"/>
        <v>0</v>
      </c>
      <c r="P7" s="510">
        <f t="shared" si="3"/>
        <v>0</v>
      </c>
      <c r="Q7" s="510">
        <f t="shared" si="4"/>
        <v>15.77</v>
      </c>
      <c r="R7" s="510">
        <f t="shared" si="5"/>
        <v>0</v>
      </c>
    </row>
    <row r="8" spans="1:18">
      <c r="A8" s="505"/>
      <c r="B8" s="511" t="s">
        <v>774</v>
      </c>
      <c r="C8" s="507">
        <v>12</v>
      </c>
      <c r="D8" s="508"/>
      <c r="E8" s="507">
        <v>1</v>
      </c>
      <c r="F8" s="502">
        <v>1</v>
      </c>
      <c r="G8" s="502">
        <v>2</v>
      </c>
      <c r="H8" s="602">
        <f>0.44+8*$C8/1000</f>
        <v>0.53600000000000003</v>
      </c>
      <c r="I8" s="602">
        <v>0.85</v>
      </c>
      <c r="J8" s="235"/>
      <c r="K8" s="509"/>
      <c r="L8" s="510">
        <f t="shared" si="6"/>
        <v>1.3860000000000001</v>
      </c>
      <c r="M8" s="510">
        <f t="shared" si="0"/>
        <v>0</v>
      </c>
      <c r="N8" s="510">
        <f t="shared" si="1"/>
        <v>0</v>
      </c>
      <c r="O8" s="510">
        <f t="shared" si="2"/>
        <v>2.77</v>
      </c>
      <c r="P8" s="510">
        <f t="shared" si="3"/>
        <v>0</v>
      </c>
      <c r="Q8" s="510">
        <f t="shared" si="4"/>
        <v>0</v>
      </c>
      <c r="R8" s="510">
        <f t="shared" si="5"/>
        <v>0</v>
      </c>
    </row>
    <row r="9" spans="1:18">
      <c r="A9" s="505"/>
      <c r="B9" s="511" t="s">
        <v>775</v>
      </c>
      <c r="C9" s="507">
        <v>8</v>
      </c>
      <c r="D9" s="508">
        <v>100</v>
      </c>
      <c r="E9" s="507">
        <v>1</v>
      </c>
      <c r="F9" s="502">
        <v>1</v>
      </c>
      <c r="G9" s="502">
        <f>+ROUND(2/0.1,0)</f>
        <v>20</v>
      </c>
      <c r="H9" s="602"/>
      <c r="I9" s="602">
        <f>2*(0.15+0.45)+16*C9/1000</f>
        <v>1.3279999999999998</v>
      </c>
      <c r="J9" s="235"/>
      <c r="K9" s="589"/>
      <c r="L9" s="510">
        <f>SUM(H9:J9)+K9</f>
        <v>1.3279999999999998</v>
      </c>
      <c r="M9" s="510">
        <f t="shared" si="0"/>
        <v>26.56</v>
      </c>
      <c r="N9" s="510">
        <f t="shared" si="1"/>
        <v>0</v>
      </c>
      <c r="O9" s="510">
        <f t="shared" si="2"/>
        <v>0</v>
      </c>
      <c r="P9" s="510">
        <f t="shared" si="3"/>
        <v>0</v>
      </c>
      <c r="Q9" s="510">
        <f t="shared" si="4"/>
        <v>0</v>
      </c>
      <c r="R9" s="510">
        <f t="shared" si="5"/>
        <v>0</v>
      </c>
    </row>
    <row r="10" spans="1:18">
      <c r="A10" s="505"/>
      <c r="B10" s="511"/>
      <c r="C10" s="507">
        <v>8</v>
      </c>
      <c r="D10" s="508">
        <v>150</v>
      </c>
      <c r="E10" s="507">
        <v>1</v>
      </c>
      <c r="F10" s="502">
        <v>1</v>
      </c>
      <c r="G10" s="502">
        <f>+ROUND(1.025/0.15+1,0)</f>
        <v>8</v>
      </c>
      <c r="H10" s="602"/>
      <c r="I10" s="602">
        <f t="shared" ref="I10:I12" si="7">2*(0.15+0.45)+16*C10/1000</f>
        <v>1.3279999999999998</v>
      </c>
      <c r="J10" s="235"/>
      <c r="K10" s="509"/>
      <c r="L10" s="510">
        <f>SUM(H10:J10)+K10</f>
        <v>1.3279999999999998</v>
      </c>
      <c r="M10" s="510">
        <f t="shared" si="0"/>
        <v>10.62</v>
      </c>
      <c r="N10" s="510">
        <f t="shared" si="1"/>
        <v>0</v>
      </c>
      <c r="O10" s="510">
        <f t="shared" si="2"/>
        <v>0</v>
      </c>
      <c r="P10" s="510">
        <f t="shared" si="3"/>
        <v>0</v>
      </c>
      <c r="Q10" s="510">
        <f t="shared" si="4"/>
        <v>0</v>
      </c>
      <c r="R10" s="510">
        <f t="shared" si="5"/>
        <v>0</v>
      </c>
    </row>
    <row r="11" spans="1:18">
      <c r="A11" s="505"/>
      <c r="B11" s="511" t="s">
        <v>775</v>
      </c>
      <c r="C11" s="507">
        <v>8</v>
      </c>
      <c r="D11" s="508">
        <v>100</v>
      </c>
      <c r="E11" s="507">
        <v>1</v>
      </c>
      <c r="F11" s="502">
        <v>1</v>
      </c>
      <c r="G11" s="502">
        <f>+ROUND(2/0.1,0)</f>
        <v>20</v>
      </c>
      <c r="H11" s="602"/>
      <c r="I11" s="602">
        <f t="shared" si="7"/>
        <v>1.3279999999999998</v>
      </c>
      <c r="J11" s="235"/>
      <c r="K11" s="509"/>
      <c r="L11" s="510">
        <f t="shared" ref="L11" si="8">SUM(H11:J11)+K11</f>
        <v>1.3279999999999998</v>
      </c>
      <c r="M11" s="510">
        <f t="shared" si="0"/>
        <v>26.56</v>
      </c>
      <c r="N11" s="510">
        <f t="shared" si="1"/>
        <v>0</v>
      </c>
      <c r="O11" s="510">
        <f t="shared" si="2"/>
        <v>0</v>
      </c>
      <c r="P11" s="510">
        <f t="shared" si="3"/>
        <v>0</v>
      </c>
      <c r="Q11" s="510">
        <f t="shared" si="4"/>
        <v>0</v>
      </c>
      <c r="R11" s="510">
        <f t="shared" si="5"/>
        <v>0</v>
      </c>
    </row>
    <row r="12" spans="1:18">
      <c r="A12" s="505"/>
      <c r="B12" s="511"/>
      <c r="C12" s="507">
        <v>8</v>
      </c>
      <c r="D12" s="508">
        <v>150</v>
      </c>
      <c r="E12" s="507">
        <v>1</v>
      </c>
      <c r="F12" s="502">
        <v>1</v>
      </c>
      <c r="G12" s="502">
        <f>+ROUND(0.8/0.15+1,0)</f>
        <v>6</v>
      </c>
      <c r="H12" s="602"/>
      <c r="I12" s="602">
        <f t="shared" si="7"/>
        <v>1.3279999999999998</v>
      </c>
      <c r="J12" s="235"/>
      <c r="K12" s="589"/>
      <c r="L12" s="510">
        <f t="shared" ref="L12:L40" si="9">SUM(H12:J12)+K12</f>
        <v>1.3279999999999998</v>
      </c>
      <c r="M12" s="510">
        <f t="shared" si="0"/>
        <v>7.97</v>
      </c>
      <c r="N12" s="510">
        <f t="shared" si="1"/>
        <v>0</v>
      </c>
      <c r="O12" s="510">
        <f t="shared" si="2"/>
        <v>0</v>
      </c>
      <c r="P12" s="510">
        <f t="shared" si="3"/>
        <v>0</v>
      </c>
      <c r="Q12" s="510">
        <f t="shared" si="4"/>
        <v>0</v>
      </c>
      <c r="R12" s="510">
        <f t="shared" si="5"/>
        <v>0</v>
      </c>
    </row>
    <row r="13" spans="1:18">
      <c r="A13" s="505" t="s">
        <v>1067</v>
      </c>
      <c r="B13" s="520" t="s">
        <v>1069</v>
      </c>
      <c r="C13" s="507"/>
      <c r="D13" s="508"/>
      <c r="E13" s="507"/>
      <c r="F13" s="502"/>
      <c r="G13" s="502"/>
      <c r="H13" s="602"/>
      <c r="I13" s="602"/>
      <c r="J13" s="235"/>
      <c r="K13" s="509"/>
      <c r="L13" s="510">
        <f t="shared" si="9"/>
        <v>0</v>
      </c>
      <c r="M13" s="510">
        <f t="shared" si="0"/>
        <v>0</v>
      </c>
      <c r="N13" s="510">
        <f t="shared" si="1"/>
        <v>0</v>
      </c>
      <c r="O13" s="510">
        <f t="shared" si="2"/>
        <v>0</v>
      </c>
      <c r="P13" s="510">
        <f t="shared" si="3"/>
        <v>0</v>
      </c>
      <c r="Q13" s="510">
        <f t="shared" si="4"/>
        <v>0</v>
      </c>
      <c r="R13" s="510">
        <f t="shared" si="5"/>
        <v>0</v>
      </c>
    </row>
    <row r="14" spans="1:18">
      <c r="A14" s="505"/>
      <c r="B14" s="511" t="s">
        <v>740</v>
      </c>
      <c r="C14" s="507">
        <v>16</v>
      </c>
      <c r="D14" s="508"/>
      <c r="E14" s="507">
        <v>1</v>
      </c>
      <c r="F14" s="502">
        <v>1</v>
      </c>
      <c r="G14" s="502">
        <v>2</v>
      </c>
      <c r="H14" s="602">
        <f>0.58+8*$C14/1000</f>
        <v>0.70799999999999996</v>
      </c>
      <c r="I14" s="602">
        <v>3.3</v>
      </c>
      <c r="J14" s="602">
        <f>((0.79)/3)+0.1</f>
        <v>0.3633333333333334</v>
      </c>
      <c r="K14" s="509"/>
      <c r="L14" s="510">
        <f>SUM(H14:J14)+K14</f>
        <v>4.3713333333333333</v>
      </c>
      <c r="M14" s="510">
        <f t="shared" si="0"/>
        <v>0</v>
      </c>
      <c r="N14" s="510">
        <f t="shared" si="1"/>
        <v>0</v>
      </c>
      <c r="O14" s="510">
        <f t="shared" si="2"/>
        <v>0</v>
      </c>
      <c r="P14" s="510">
        <f t="shared" si="3"/>
        <v>8.74</v>
      </c>
      <c r="Q14" s="510">
        <f t="shared" si="4"/>
        <v>0</v>
      </c>
      <c r="R14" s="510">
        <f t="shared" si="5"/>
        <v>0</v>
      </c>
    </row>
    <row r="15" spans="1:18">
      <c r="A15" s="505"/>
      <c r="B15" s="511" t="s">
        <v>773</v>
      </c>
      <c r="C15" s="507">
        <v>20</v>
      </c>
      <c r="D15" s="508"/>
      <c r="E15" s="507">
        <v>1</v>
      </c>
      <c r="F15" s="502">
        <v>1</v>
      </c>
      <c r="G15" s="502">
        <v>2</v>
      </c>
      <c r="H15" s="602">
        <f>0.72+8*$C15/1000</f>
        <v>0.88</v>
      </c>
      <c r="I15" s="602">
        <v>3.3</v>
      </c>
      <c r="J15" s="602">
        <f>((0.98)/3)+0.1</f>
        <v>0.42666666666666664</v>
      </c>
      <c r="K15" s="509"/>
      <c r="L15" s="510">
        <f t="shared" ref="L15" si="10">SUM(H15:J15)+K15</f>
        <v>4.6066666666666665</v>
      </c>
      <c r="M15" s="510">
        <f t="shared" si="0"/>
        <v>0</v>
      </c>
      <c r="N15" s="510">
        <f t="shared" si="1"/>
        <v>0</v>
      </c>
      <c r="O15" s="510">
        <f t="shared" si="2"/>
        <v>0</v>
      </c>
      <c r="P15" s="510">
        <f t="shared" si="3"/>
        <v>0</v>
      </c>
      <c r="Q15" s="510">
        <f t="shared" si="4"/>
        <v>9.2100000000000009</v>
      </c>
      <c r="R15" s="510">
        <f t="shared" si="5"/>
        <v>0</v>
      </c>
    </row>
    <row r="16" spans="1:18">
      <c r="A16" s="505"/>
      <c r="B16" s="511" t="s">
        <v>775</v>
      </c>
      <c r="C16" s="507">
        <v>8</v>
      </c>
      <c r="D16" s="508">
        <v>100</v>
      </c>
      <c r="E16" s="507">
        <v>1</v>
      </c>
      <c r="F16" s="502">
        <v>1</v>
      </c>
      <c r="G16" s="502">
        <f>+ROUND(2/0.1,0)</f>
        <v>20</v>
      </c>
      <c r="H16" s="602"/>
      <c r="I16" s="602">
        <f>2*(0.15+0.45)+16*C16/1000</f>
        <v>1.3279999999999998</v>
      </c>
      <c r="J16" s="235"/>
      <c r="K16" s="589"/>
      <c r="L16" s="510">
        <f>SUM(H16:J16)+K16</f>
        <v>1.3279999999999998</v>
      </c>
      <c r="M16" s="510">
        <f t="shared" si="0"/>
        <v>26.56</v>
      </c>
      <c r="N16" s="510">
        <f t="shared" si="1"/>
        <v>0</v>
      </c>
      <c r="O16" s="510">
        <f t="shared" si="2"/>
        <v>0</v>
      </c>
      <c r="P16" s="510">
        <f t="shared" si="3"/>
        <v>0</v>
      </c>
      <c r="Q16" s="510">
        <f t="shared" si="4"/>
        <v>0</v>
      </c>
      <c r="R16" s="510">
        <f t="shared" si="5"/>
        <v>0</v>
      </c>
    </row>
    <row r="17" spans="1:18">
      <c r="A17" s="505"/>
      <c r="B17" s="511"/>
      <c r="C17" s="507">
        <v>8</v>
      </c>
      <c r="D17" s="508">
        <v>150</v>
      </c>
      <c r="E17" s="507">
        <v>1</v>
      </c>
      <c r="F17" s="502">
        <v>1</v>
      </c>
      <c r="G17" s="502">
        <f>+ROUND(1.3/0.15+1,0)</f>
        <v>10</v>
      </c>
      <c r="H17" s="602"/>
      <c r="I17" s="602">
        <f>2*(0.15+0.45)+16*C17/1000</f>
        <v>1.3279999999999998</v>
      </c>
      <c r="J17" s="235"/>
      <c r="K17" s="509"/>
      <c r="L17" s="510">
        <f>SUM(H17:J17)+K17</f>
        <v>1.3279999999999998</v>
      </c>
      <c r="M17" s="510">
        <f t="shared" si="0"/>
        <v>13.28</v>
      </c>
      <c r="N17" s="510">
        <f t="shared" si="1"/>
        <v>0</v>
      </c>
      <c r="O17" s="510">
        <f t="shared" si="2"/>
        <v>0</v>
      </c>
      <c r="P17" s="510">
        <f t="shared" si="3"/>
        <v>0</v>
      </c>
      <c r="Q17" s="510">
        <f t="shared" si="4"/>
        <v>0</v>
      </c>
      <c r="R17" s="510">
        <f t="shared" si="5"/>
        <v>0</v>
      </c>
    </row>
    <row r="18" spans="1:18">
      <c r="A18" s="505" t="s">
        <v>1070</v>
      </c>
      <c r="B18" s="520" t="s">
        <v>1071</v>
      </c>
      <c r="C18" s="507"/>
      <c r="D18" s="508"/>
      <c r="E18" s="507"/>
      <c r="F18" s="502"/>
      <c r="G18" s="502"/>
      <c r="H18" s="602"/>
      <c r="I18" s="602"/>
      <c r="J18" s="235"/>
      <c r="K18" s="509"/>
      <c r="L18" s="510">
        <f t="shared" ref="L18" si="11">SUM(H18:J18)+K18</f>
        <v>0</v>
      </c>
      <c r="M18" s="510">
        <f t="shared" si="0"/>
        <v>0</v>
      </c>
      <c r="N18" s="510">
        <f t="shared" si="1"/>
        <v>0</v>
      </c>
      <c r="O18" s="510">
        <f t="shared" si="2"/>
        <v>0</v>
      </c>
      <c r="P18" s="510">
        <f t="shared" si="3"/>
        <v>0</v>
      </c>
      <c r="Q18" s="510">
        <f t="shared" si="4"/>
        <v>0</v>
      </c>
      <c r="R18" s="510">
        <f t="shared" si="5"/>
        <v>0</v>
      </c>
    </row>
    <row r="19" spans="1:18">
      <c r="A19" s="505"/>
      <c r="B19" s="511" t="s">
        <v>740</v>
      </c>
      <c r="C19" s="507">
        <v>12</v>
      </c>
      <c r="D19" s="508"/>
      <c r="E19" s="507">
        <v>1</v>
      </c>
      <c r="F19" s="502">
        <v>1</v>
      </c>
      <c r="G19" s="502">
        <v>2</v>
      </c>
      <c r="H19" s="602">
        <f>0.36+8*$C19/1000</f>
        <v>0.45599999999999996</v>
      </c>
      <c r="I19" s="602">
        <v>1.395</v>
      </c>
      <c r="J19" s="602">
        <f>0.36+8*$C19/1000</f>
        <v>0.45599999999999996</v>
      </c>
      <c r="K19" s="509"/>
      <c r="L19" s="510">
        <f>SUM(H19:J19)+K19</f>
        <v>2.3069999999999999</v>
      </c>
      <c r="M19" s="510">
        <f t="shared" si="0"/>
        <v>0</v>
      </c>
      <c r="N19" s="510">
        <f t="shared" si="1"/>
        <v>0</v>
      </c>
      <c r="O19" s="510">
        <f t="shared" si="2"/>
        <v>4.6100000000000003</v>
      </c>
      <c r="P19" s="510">
        <f t="shared" si="3"/>
        <v>0</v>
      </c>
      <c r="Q19" s="510">
        <f t="shared" si="4"/>
        <v>0</v>
      </c>
      <c r="R19" s="510">
        <f t="shared" si="5"/>
        <v>0</v>
      </c>
    </row>
    <row r="20" spans="1:18">
      <c r="A20" s="505"/>
      <c r="B20" s="511" t="s">
        <v>773</v>
      </c>
      <c r="C20" s="507">
        <v>12</v>
      </c>
      <c r="D20" s="508"/>
      <c r="E20" s="507">
        <v>1</v>
      </c>
      <c r="F20" s="502">
        <v>1</v>
      </c>
      <c r="G20" s="502">
        <v>2</v>
      </c>
      <c r="H20" s="602">
        <f>0.36+8*$C20/1000</f>
        <v>0.45599999999999996</v>
      </c>
      <c r="I20" s="602">
        <v>1.395</v>
      </c>
      <c r="J20" s="602">
        <f>0.36+8*$C20/1000</f>
        <v>0.45599999999999996</v>
      </c>
      <c r="K20" s="509"/>
      <c r="L20" s="510">
        <f t="shared" ref="L20" si="12">SUM(H20:J20)+K20</f>
        <v>2.3069999999999999</v>
      </c>
      <c r="M20" s="510">
        <f t="shared" si="0"/>
        <v>0</v>
      </c>
      <c r="N20" s="510">
        <f t="shared" si="1"/>
        <v>0</v>
      </c>
      <c r="O20" s="510">
        <f t="shared" si="2"/>
        <v>4.6100000000000003</v>
      </c>
      <c r="P20" s="510">
        <f t="shared" si="3"/>
        <v>0</v>
      </c>
      <c r="Q20" s="510">
        <f t="shared" si="4"/>
        <v>0</v>
      </c>
      <c r="R20" s="510">
        <f t="shared" si="5"/>
        <v>0</v>
      </c>
    </row>
    <row r="21" spans="1:18">
      <c r="A21" s="505"/>
      <c r="B21" s="511" t="s">
        <v>775</v>
      </c>
      <c r="C21" s="507">
        <v>8</v>
      </c>
      <c r="D21" s="508">
        <v>150</v>
      </c>
      <c r="E21" s="507">
        <v>1</v>
      </c>
      <c r="F21" s="502">
        <v>1</v>
      </c>
      <c r="G21" s="502">
        <f>+ROUND(1.395/0.15+1,0)</f>
        <v>10</v>
      </c>
      <c r="H21" s="602"/>
      <c r="I21" s="602">
        <f>2*(0.05+0.3)+16*C21/1000</f>
        <v>0.82799999999999996</v>
      </c>
      <c r="J21" s="235"/>
      <c r="K21" s="589"/>
      <c r="L21" s="510">
        <f>SUM(H21:J21)+K21</f>
        <v>0.82799999999999996</v>
      </c>
      <c r="M21" s="510">
        <f t="shared" si="0"/>
        <v>8.2799999999999994</v>
      </c>
      <c r="N21" s="510">
        <f t="shared" si="1"/>
        <v>0</v>
      </c>
      <c r="O21" s="510">
        <f t="shared" si="2"/>
        <v>0</v>
      </c>
      <c r="P21" s="510">
        <f t="shared" si="3"/>
        <v>0</v>
      </c>
      <c r="Q21" s="510">
        <f t="shared" si="4"/>
        <v>0</v>
      </c>
      <c r="R21" s="510">
        <f t="shared" si="5"/>
        <v>0</v>
      </c>
    </row>
    <row r="22" spans="1:18">
      <c r="A22" s="505"/>
      <c r="B22" s="511"/>
      <c r="C22" s="507"/>
      <c r="D22" s="508"/>
      <c r="E22" s="507"/>
      <c r="F22" s="502"/>
      <c r="G22" s="502"/>
      <c r="H22" s="602"/>
      <c r="I22" s="602"/>
      <c r="J22" s="235"/>
      <c r="K22" s="589"/>
      <c r="L22" s="510"/>
      <c r="M22" s="510"/>
      <c r="N22" s="510"/>
      <c r="O22" s="510"/>
      <c r="P22" s="510"/>
      <c r="Q22" s="510"/>
      <c r="R22" s="510"/>
    </row>
    <row r="23" spans="1:18">
      <c r="A23" s="505" t="s">
        <v>1072</v>
      </c>
      <c r="B23" s="520" t="s">
        <v>1073</v>
      </c>
      <c r="C23" s="507"/>
      <c r="D23" s="508"/>
      <c r="E23" s="507"/>
      <c r="F23" s="502"/>
      <c r="G23" s="502"/>
      <c r="H23" s="602"/>
      <c r="I23" s="602"/>
      <c r="J23" s="235"/>
      <c r="K23" s="509"/>
      <c r="L23" s="510">
        <f t="shared" ref="L23" si="13">SUM(H23:J23)+K23</f>
        <v>0</v>
      </c>
      <c r="M23" s="510">
        <f t="shared" si="0"/>
        <v>0</v>
      </c>
      <c r="N23" s="510">
        <f t="shared" si="1"/>
        <v>0</v>
      </c>
      <c r="O23" s="510">
        <f t="shared" si="2"/>
        <v>0</v>
      </c>
      <c r="P23" s="510">
        <f t="shared" si="3"/>
        <v>0</v>
      </c>
      <c r="Q23" s="510">
        <f t="shared" si="4"/>
        <v>0</v>
      </c>
      <c r="R23" s="510">
        <f t="shared" si="5"/>
        <v>0</v>
      </c>
    </row>
    <row r="24" spans="1:18">
      <c r="A24" s="505"/>
      <c r="B24" s="511" t="s">
        <v>740</v>
      </c>
      <c r="C24" s="507">
        <v>16</v>
      </c>
      <c r="D24" s="508"/>
      <c r="E24" s="507">
        <v>2</v>
      </c>
      <c r="F24" s="502">
        <v>1</v>
      </c>
      <c r="G24" s="502">
        <v>2</v>
      </c>
      <c r="H24" s="602">
        <f>0.58+8*$C24/1000</f>
        <v>0.70799999999999996</v>
      </c>
      <c r="I24" s="602">
        <v>1.395</v>
      </c>
      <c r="J24" s="602">
        <f>0.58+8*$C24/1000</f>
        <v>0.70799999999999996</v>
      </c>
      <c r="K24" s="509"/>
      <c r="L24" s="510">
        <f>SUM(H24:J24)+K24</f>
        <v>2.8109999999999999</v>
      </c>
      <c r="M24" s="510">
        <f t="shared" si="0"/>
        <v>0</v>
      </c>
      <c r="N24" s="510">
        <f t="shared" si="1"/>
        <v>0</v>
      </c>
      <c r="O24" s="510">
        <f t="shared" si="2"/>
        <v>0</v>
      </c>
      <c r="P24" s="510">
        <f t="shared" si="3"/>
        <v>11.24</v>
      </c>
      <c r="Q24" s="510">
        <f t="shared" si="4"/>
        <v>0</v>
      </c>
      <c r="R24" s="510">
        <f t="shared" si="5"/>
        <v>0</v>
      </c>
    </row>
    <row r="25" spans="1:18">
      <c r="A25" s="505"/>
      <c r="B25" s="511" t="s">
        <v>773</v>
      </c>
      <c r="C25" s="507">
        <v>16</v>
      </c>
      <c r="D25" s="508"/>
      <c r="E25" s="507">
        <v>2</v>
      </c>
      <c r="F25" s="502">
        <v>1</v>
      </c>
      <c r="G25" s="502">
        <v>2</v>
      </c>
      <c r="H25" s="602">
        <f>0.58+8*$C25/1000</f>
        <v>0.70799999999999996</v>
      </c>
      <c r="I25" s="602">
        <v>1.395</v>
      </c>
      <c r="J25" s="602">
        <f>0.58+8*$C25/1000</f>
        <v>0.70799999999999996</v>
      </c>
      <c r="K25" s="509"/>
      <c r="L25" s="510">
        <f t="shared" ref="L25" si="14">SUM(H25:J25)+K25</f>
        <v>2.8109999999999999</v>
      </c>
      <c r="M25" s="510">
        <f t="shared" si="0"/>
        <v>0</v>
      </c>
      <c r="N25" s="510">
        <f t="shared" si="1"/>
        <v>0</v>
      </c>
      <c r="O25" s="510">
        <f t="shared" si="2"/>
        <v>0</v>
      </c>
      <c r="P25" s="510">
        <f t="shared" si="3"/>
        <v>11.24</v>
      </c>
      <c r="Q25" s="510">
        <f t="shared" si="4"/>
        <v>0</v>
      </c>
      <c r="R25" s="510">
        <f t="shared" si="5"/>
        <v>0</v>
      </c>
    </row>
    <row r="26" spans="1:18">
      <c r="A26" s="505"/>
      <c r="B26" s="511" t="s">
        <v>775</v>
      </c>
      <c r="C26" s="507">
        <v>8</v>
      </c>
      <c r="D26" s="508">
        <v>100</v>
      </c>
      <c r="E26" s="507">
        <v>2</v>
      </c>
      <c r="F26" s="502">
        <v>1</v>
      </c>
      <c r="G26" s="502">
        <f>+ROUND(1.395/0.1+1,0)</f>
        <v>15</v>
      </c>
      <c r="H26" s="602"/>
      <c r="I26" s="602">
        <f>2*(0.15+0.3)+16*C26/1000</f>
        <v>1.028</v>
      </c>
      <c r="J26" s="235"/>
      <c r="K26" s="589"/>
      <c r="L26" s="510">
        <f>SUM(H26:J26)+K26</f>
        <v>1.028</v>
      </c>
      <c r="M26" s="510">
        <f t="shared" si="0"/>
        <v>30.84</v>
      </c>
      <c r="N26" s="510">
        <f t="shared" si="1"/>
        <v>0</v>
      </c>
      <c r="O26" s="510">
        <f t="shared" si="2"/>
        <v>0</v>
      </c>
      <c r="P26" s="510">
        <f t="shared" si="3"/>
        <v>0</v>
      </c>
      <c r="Q26" s="510">
        <f t="shared" si="4"/>
        <v>0</v>
      </c>
      <c r="R26" s="510">
        <f t="shared" si="5"/>
        <v>0</v>
      </c>
    </row>
    <row r="27" spans="1:18">
      <c r="A27" s="505" t="s">
        <v>772</v>
      </c>
      <c r="B27" s="520" t="s">
        <v>1074</v>
      </c>
      <c r="C27" s="507"/>
      <c r="D27" s="508"/>
      <c r="E27" s="507"/>
      <c r="F27" s="502"/>
      <c r="G27" s="502"/>
      <c r="H27" s="602"/>
      <c r="I27" s="602"/>
      <c r="J27" s="235"/>
      <c r="K27" s="509"/>
      <c r="L27" s="510">
        <f t="shared" ref="L27" si="15">SUM(H27:J27)+K27</f>
        <v>0</v>
      </c>
      <c r="M27" s="510">
        <f t="shared" si="0"/>
        <v>0</v>
      </c>
      <c r="N27" s="510">
        <f t="shared" si="1"/>
        <v>0</v>
      </c>
      <c r="O27" s="510">
        <f t="shared" si="2"/>
        <v>0</v>
      </c>
      <c r="P27" s="510">
        <f t="shared" si="3"/>
        <v>0</v>
      </c>
      <c r="Q27" s="510">
        <f t="shared" si="4"/>
        <v>0</v>
      </c>
      <c r="R27" s="510">
        <f t="shared" si="5"/>
        <v>0</v>
      </c>
    </row>
    <row r="28" spans="1:18">
      <c r="A28" s="505"/>
      <c r="B28" s="511" t="s">
        <v>740</v>
      </c>
      <c r="C28" s="507">
        <v>16</v>
      </c>
      <c r="D28" s="508"/>
      <c r="E28" s="507">
        <v>1</v>
      </c>
      <c r="F28" s="502">
        <v>1</v>
      </c>
      <c r="G28" s="502">
        <v>2</v>
      </c>
      <c r="H28" s="602">
        <f>0.58+8*$C28/1000</f>
        <v>0.70799999999999996</v>
      </c>
      <c r="I28" s="602">
        <v>6.875</v>
      </c>
      <c r="J28" s="602">
        <f>((0.79)/3)+0.1</f>
        <v>0.3633333333333334</v>
      </c>
      <c r="K28" s="509"/>
      <c r="L28" s="510">
        <f>SUM(H28:J28)+K28</f>
        <v>7.9463333333333335</v>
      </c>
      <c r="M28" s="510">
        <f t="shared" si="0"/>
        <v>0</v>
      </c>
      <c r="N28" s="510">
        <f t="shared" si="1"/>
        <v>0</v>
      </c>
      <c r="O28" s="510">
        <f t="shared" si="2"/>
        <v>0</v>
      </c>
      <c r="P28" s="510">
        <f t="shared" si="3"/>
        <v>15.89</v>
      </c>
      <c r="Q28" s="510">
        <f t="shared" si="4"/>
        <v>0</v>
      </c>
      <c r="R28" s="510">
        <f t="shared" si="5"/>
        <v>0</v>
      </c>
    </row>
    <row r="29" spans="1:18">
      <c r="A29" s="505"/>
      <c r="B29" s="511" t="s">
        <v>773</v>
      </c>
      <c r="C29" s="507">
        <v>16</v>
      </c>
      <c r="D29" s="508"/>
      <c r="E29" s="507">
        <v>1</v>
      </c>
      <c r="F29" s="502">
        <v>1</v>
      </c>
      <c r="G29" s="502">
        <v>2</v>
      </c>
      <c r="H29" s="602">
        <f>0.58+8*$C29/1000</f>
        <v>0.70799999999999996</v>
      </c>
      <c r="I29" s="602">
        <v>6.875</v>
      </c>
      <c r="J29" s="602">
        <f>((0.79)/3)+0.1</f>
        <v>0.3633333333333334</v>
      </c>
      <c r="K29" s="509"/>
      <c r="L29" s="510">
        <f t="shared" ref="L29" si="16">SUM(H29:J29)+K29</f>
        <v>7.9463333333333335</v>
      </c>
      <c r="M29" s="510">
        <f t="shared" si="0"/>
        <v>0</v>
      </c>
      <c r="N29" s="510">
        <f t="shared" si="1"/>
        <v>0</v>
      </c>
      <c r="O29" s="510">
        <f t="shared" si="2"/>
        <v>0</v>
      </c>
      <c r="P29" s="510">
        <f t="shared" si="3"/>
        <v>15.89</v>
      </c>
      <c r="Q29" s="510">
        <f t="shared" si="4"/>
        <v>0</v>
      </c>
      <c r="R29" s="510">
        <f t="shared" si="5"/>
        <v>0</v>
      </c>
    </row>
    <row r="30" spans="1:18">
      <c r="A30" s="505"/>
      <c r="B30" s="511" t="s">
        <v>775</v>
      </c>
      <c r="C30" s="507">
        <v>8</v>
      </c>
      <c r="D30" s="508">
        <v>100</v>
      </c>
      <c r="E30" s="507">
        <v>1</v>
      </c>
      <c r="F30" s="502">
        <v>1</v>
      </c>
      <c r="G30" s="502">
        <f>+ROUND(1.8/0.1,0)</f>
        <v>18</v>
      </c>
      <c r="H30" s="602"/>
      <c r="I30" s="602">
        <f>2*(0.15+0.4)+16*C30/1000</f>
        <v>1.2280000000000002</v>
      </c>
      <c r="J30" s="235"/>
      <c r="K30" s="589"/>
      <c r="L30" s="510">
        <f>SUM(H30:J30)+K30</f>
        <v>1.2280000000000002</v>
      </c>
      <c r="M30" s="510">
        <f t="shared" si="0"/>
        <v>22.1</v>
      </c>
      <c r="N30" s="510">
        <f t="shared" si="1"/>
        <v>0</v>
      </c>
      <c r="O30" s="510">
        <f t="shared" si="2"/>
        <v>0</v>
      </c>
      <c r="P30" s="510">
        <f t="shared" si="3"/>
        <v>0</v>
      </c>
      <c r="Q30" s="510">
        <f t="shared" si="4"/>
        <v>0</v>
      </c>
      <c r="R30" s="510">
        <f t="shared" si="5"/>
        <v>0</v>
      </c>
    </row>
    <row r="31" spans="1:18">
      <c r="A31" s="505"/>
      <c r="B31" s="511"/>
      <c r="C31" s="507">
        <v>8</v>
      </c>
      <c r="D31" s="508">
        <v>150</v>
      </c>
      <c r="E31" s="507">
        <v>1</v>
      </c>
      <c r="F31" s="502">
        <v>1</v>
      </c>
      <c r="G31" s="502">
        <f>+ROUND(1.775/0.15+1,0)</f>
        <v>13</v>
      </c>
      <c r="H31" s="602"/>
      <c r="I31" s="602">
        <f>2*(0.15+0.4)+16*C31/1000</f>
        <v>1.2280000000000002</v>
      </c>
      <c r="J31" s="235"/>
      <c r="K31" s="509"/>
      <c r="L31" s="510">
        <f>SUM(H31:J31)+K31</f>
        <v>1.2280000000000002</v>
      </c>
      <c r="M31" s="510">
        <f t="shared" si="0"/>
        <v>15.96</v>
      </c>
      <c r="N31" s="510">
        <f t="shared" si="1"/>
        <v>0</v>
      </c>
      <c r="O31" s="510">
        <f t="shared" si="2"/>
        <v>0</v>
      </c>
      <c r="P31" s="510">
        <f t="shared" si="3"/>
        <v>0</v>
      </c>
      <c r="Q31" s="510">
        <f t="shared" si="4"/>
        <v>0</v>
      </c>
      <c r="R31" s="510">
        <f t="shared" si="5"/>
        <v>0</v>
      </c>
    </row>
    <row r="32" spans="1:18">
      <c r="A32" s="505"/>
      <c r="B32" s="511" t="s">
        <v>775</v>
      </c>
      <c r="C32" s="507">
        <v>8</v>
      </c>
      <c r="D32" s="508">
        <v>100</v>
      </c>
      <c r="E32" s="507">
        <v>1</v>
      </c>
      <c r="F32" s="502">
        <v>1</v>
      </c>
      <c r="G32" s="502">
        <f>+ROUND(1.8/0.1,0)</f>
        <v>18</v>
      </c>
      <c r="H32" s="602"/>
      <c r="I32" s="602">
        <f>2*(0.15+0.4)+16*C32/1000</f>
        <v>1.2280000000000002</v>
      </c>
      <c r="J32" s="235"/>
      <c r="K32" s="509"/>
      <c r="L32" s="510">
        <f t="shared" ref="L32:L34" si="17">SUM(H32:J32)+K32</f>
        <v>1.2280000000000002</v>
      </c>
      <c r="M32" s="510">
        <f t="shared" si="0"/>
        <v>22.1</v>
      </c>
      <c r="N32" s="510">
        <f t="shared" si="1"/>
        <v>0</v>
      </c>
      <c r="O32" s="510">
        <f t="shared" si="2"/>
        <v>0</v>
      </c>
      <c r="P32" s="510">
        <f t="shared" si="3"/>
        <v>0</v>
      </c>
      <c r="Q32" s="510">
        <f t="shared" si="4"/>
        <v>0</v>
      </c>
      <c r="R32" s="510">
        <f t="shared" si="5"/>
        <v>0</v>
      </c>
    </row>
    <row r="33" spans="1:18">
      <c r="A33" s="505"/>
      <c r="B33" s="511"/>
      <c r="C33" s="507">
        <v>8</v>
      </c>
      <c r="D33" s="508">
        <v>150</v>
      </c>
      <c r="E33" s="507">
        <v>1</v>
      </c>
      <c r="F33" s="502">
        <v>1</v>
      </c>
      <c r="G33" s="502">
        <f>+ROUND(1.3/0.15+1,0)</f>
        <v>10</v>
      </c>
      <c r="H33" s="602"/>
      <c r="I33" s="602">
        <f>2*(0.15+0.4)+16*C33/1000</f>
        <v>1.2280000000000002</v>
      </c>
      <c r="J33" s="235"/>
      <c r="K33" s="589"/>
      <c r="L33" s="510">
        <f t="shared" si="17"/>
        <v>1.2280000000000002</v>
      </c>
      <c r="M33" s="510">
        <f t="shared" si="0"/>
        <v>12.28</v>
      </c>
      <c r="N33" s="510">
        <f t="shared" si="1"/>
        <v>0</v>
      </c>
      <c r="O33" s="510">
        <f t="shared" si="2"/>
        <v>0</v>
      </c>
      <c r="P33" s="510">
        <f t="shared" si="3"/>
        <v>0</v>
      </c>
      <c r="Q33" s="510">
        <f t="shared" si="4"/>
        <v>0</v>
      </c>
      <c r="R33" s="510">
        <f t="shared" si="5"/>
        <v>0</v>
      </c>
    </row>
    <row r="34" spans="1:18">
      <c r="A34" s="505" t="s">
        <v>1075</v>
      </c>
      <c r="B34" s="520" t="s">
        <v>1076</v>
      </c>
      <c r="C34" s="507"/>
      <c r="D34" s="508"/>
      <c r="E34" s="507"/>
      <c r="F34" s="502"/>
      <c r="G34" s="502"/>
      <c r="H34" s="602"/>
      <c r="I34" s="602"/>
      <c r="J34" s="235"/>
      <c r="K34" s="509"/>
      <c r="L34" s="510">
        <f t="shared" si="17"/>
        <v>0</v>
      </c>
      <c r="M34" s="510">
        <f t="shared" si="0"/>
        <v>0</v>
      </c>
      <c r="N34" s="510">
        <f t="shared" si="1"/>
        <v>0</v>
      </c>
      <c r="O34" s="510">
        <f t="shared" si="2"/>
        <v>0</v>
      </c>
      <c r="P34" s="510">
        <f t="shared" si="3"/>
        <v>0</v>
      </c>
      <c r="Q34" s="510">
        <f t="shared" si="4"/>
        <v>0</v>
      </c>
      <c r="R34" s="510">
        <f t="shared" si="5"/>
        <v>0</v>
      </c>
    </row>
    <row r="35" spans="1:18">
      <c r="A35" s="505"/>
      <c r="B35" s="511" t="s">
        <v>740</v>
      </c>
      <c r="C35" s="507">
        <v>16</v>
      </c>
      <c r="D35" s="508"/>
      <c r="E35" s="507">
        <v>1</v>
      </c>
      <c r="F35" s="502">
        <v>1</v>
      </c>
      <c r="G35" s="502">
        <v>2</v>
      </c>
      <c r="H35" s="602">
        <f>0.58+8*$C35/1000</f>
        <v>0.70799999999999996</v>
      </c>
      <c r="I35" s="602">
        <f>3.16</f>
        <v>3.16</v>
      </c>
      <c r="J35" s="602">
        <f>0.58+8*$C35/1000</f>
        <v>0.70799999999999996</v>
      </c>
      <c r="K35" s="509"/>
      <c r="L35" s="510">
        <f>SUM(H35:J35)+K35</f>
        <v>4.5760000000000005</v>
      </c>
      <c r="M35" s="510">
        <f t="shared" si="0"/>
        <v>0</v>
      </c>
      <c r="N35" s="510">
        <f t="shared" si="1"/>
        <v>0</v>
      </c>
      <c r="O35" s="510">
        <f t="shared" si="2"/>
        <v>0</v>
      </c>
      <c r="P35" s="510">
        <f t="shared" si="3"/>
        <v>9.15</v>
      </c>
      <c r="Q35" s="510">
        <f t="shared" si="4"/>
        <v>0</v>
      </c>
      <c r="R35" s="510">
        <f t="shared" si="5"/>
        <v>0</v>
      </c>
    </row>
    <row r="36" spans="1:18">
      <c r="A36" s="505"/>
      <c r="B36" s="511" t="s">
        <v>773</v>
      </c>
      <c r="C36" s="507">
        <v>16</v>
      </c>
      <c r="D36" s="508"/>
      <c r="E36" s="507">
        <v>1</v>
      </c>
      <c r="F36" s="502">
        <v>1</v>
      </c>
      <c r="G36" s="502">
        <v>2</v>
      </c>
      <c r="H36" s="602">
        <f t="shared" ref="H36:J36" si="18">0.58+8*$C36/1000</f>
        <v>0.70799999999999996</v>
      </c>
      <c r="I36" s="602">
        <f>3.16</f>
        <v>3.16</v>
      </c>
      <c r="J36" s="602">
        <f t="shared" si="18"/>
        <v>0.70799999999999996</v>
      </c>
      <c r="K36" s="509"/>
      <c r="L36" s="510">
        <f t="shared" ref="L36:L37" si="19">SUM(H36:J36)+K36</f>
        <v>4.5760000000000005</v>
      </c>
      <c r="M36" s="510">
        <f t="shared" si="0"/>
        <v>0</v>
      </c>
      <c r="N36" s="510">
        <f t="shared" si="1"/>
        <v>0</v>
      </c>
      <c r="O36" s="510">
        <f t="shared" si="2"/>
        <v>0</v>
      </c>
      <c r="P36" s="510">
        <f t="shared" si="3"/>
        <v>9.15</v>
      </c>
      <c r="Q36" s="510">
        <f t="shared" si="4"/>
        <v>0</v>
      </c>
      <c r="R36" s="510">
        <f t="shared" si="5"/>
        <v>0</v>
      </c>
    </row>
    <row r="37" spans="1:18">
      <c r="A37" s="505"/>
      <c r="B37" s="511" t="s">
        <v>774</v>
      </c>
      <c r="C37" s="507">
        <v>12</v>
      </c>
      <c r="D37" s="508"/>
      <c r="E37" s="507">
        <v>1</v>
      </c>
      <c r="F37" s="502">
        <v>1</v>
      </c>
      <c r="G37" s="502">
        <v>2</v>
      </c>
      <c r="H37" s="602">
        <f>0.44+8*$C37/1000</f>
        <v>0.53600000000000003</v>
      </c>
      <c r="I37" s="602">
        <f>3.16</f>
        <v>3.16</v>
      </c>
      <c r="J37" s="235"/>
      <c r="K37" s="509"/>
      <c r="L37" s="510">
        <f t="shared" si="19"/>
        <v>3.6960000000000002</v>
      </c>
      <c r="M37" s="510">
        <f t="shared" si="0"/>
        <v>0</v>
      </c>
      <c r="N37" s="510">
        <f t="shared" si="1"/>
        <v>0</v>
      </c>
      <c r="O37" s="510">
        <f t="shared" si="2"/>
        <v>7.39</v>
      </c>
      <c r="P37" s="510">
        <f t="shared" si="3"/>
        <v>0</v>
      </c>
      <c r="Q37" s="510">
        <f t="shared" si="4"/>
        <v>0</v>
      </c>
      <c r="R37" s="510">
        <f t="shared" si="5"/>
        <v>0</v>
      </c>
    </row>
    <row r="38" spans="1:18">
      <c r="A38" s="505"/>
      <c r="B38" s="511" t="s">
        <v>775</v>
      </c>
      <c r="C38" s="507">
        <v>8</v>
      </c>
      <c r="D38" s="508">
        <v>100</v>
      </c>
      <c r="E38" s="507">
        <v>1</v>
      </c>
      <c r="F38" s="502">
        <v>1</v>
      </c>
      <c r="G38" s="502">
        <f>+ROUND(1.58/0.1,0)</f>
        <v>16</v>
      </c>
      <c r="H38" s="602"/>
      <c r="I38" s="602">
        <f>2*(0.18+0.3)+16*C38/1000</f>
        <v>1.0880000000000001</v>
      </c>
      <c r="J38" s="235"/>
      <c r="K38" s="589"/>
      <c r="L38" s="510">
        <f>SUM(H38:J38)+K38</f>
        <v>1.0880000000000001</v>
      </c>
      <c r="M38" s="510">
        <f t="shared" si="0"/>
        <v>17.41</v>
      </c>
      <c r="N38" s="510">
        <f t="shared" si="1"/>
        <v>0</v>
      </c>
      <c r="O38" s="510">
        <f t="shared" si="2"/>
        <v>0</v>
      </c>
      <c r="P38" s="510">
        <f t="shared" si="3"/>
        <v>0</v>
      </c>
      <c r="Q38" s="510">
        <f t="shared" si="4"/>
        <v>0</v>
      </c>
      <c r="R38" s="510">
        <f t="shared" si="5"/>
        <v>0</v>
      </c>
    </row>
    <row r="39" spans="1:18">
      <c r="A39" s="505"/>
      <c r="B39" s="511"/>
      <c r="C39" s="507">
        <v>8</v>
      </c>
      <c r="D39" s="508">
        <v>150</v>
      </c>
      <c r="E39" s="507">
        <v>1</v>
      </c>
      <c r="F39" s="502">
        <v>1</v>
      </c>
      <c r="G39" s="502">
        <f>+ROUND(1.58/0.15+1,0)</f>
        <v>12</v>
      </c>
      <c r="H39" s="602"/>
      <c r="I39" s="602">
        <f>2*(0.18+0.3)+16*C39/1000</f>
        <v>1.0880000000000001</v>
      </c>
      <c r="J39" s="235"/>
      <c r="K39" s="509"/>
      <c r="L39" s="510">
        <f t="shared" si="9"/>
        <v>1.0880000000000001</v>
      </c>
      <c r="M39" s="510">
        <f t="shared" si="0"/>
        <v>13.06</v>
      </c>
      <c r="N39" s="510">
        <f t="shared" si="1"/>
        <v>0</v>
      </c>
      <c r="O39" s="510">
        <f t="shared" si="2"/>
        <v>0</v>
      </c>
      <c r="P39" s="510">
        <f t="shared" si="3"/>
        <v>0</v>
      </c>
      <c r="Q39" s="510">
        <f t="shared" si="4"/>
        <v>0</v>
      </c>
      <c r="R39" s="510">
        <f t="shared" si="5"/>
        <v>0</v>
      </c>
    </row>
    <row r="40" spans="1:18">
      <c r="A40" s="505" t="s">
        <v>772</v>
      </c>
      <c r="B40" s="520" t="s">
        <v>1077</v>
      </c>
      <c r="C40" s="507"/>
      <c r="D40" s="508"/>
      <c r="E40" s="507"/>
      <c r="F40" s="502"/>
      <c r="G40" s="502"/>
      <c r="H40" s="602"/>
      <c r="I40" s="602"/>
      <c r="J40" s="235"/>
      <c r="K40" s="509"/>
      <c r="L40" s="510">
        <f t="shared" si="9"/>
        <v>0</v>
      </c>
      <c r="M40" s="510">
        <f t="shared" si="0"/>
        <v>0</v>
      </c>
      <c r="N40" s="510">
        <f t="shared" si="1"/>
        <v>0</v>
      </c>
      <c r="O40" s="510">
        <f t="shared" si="2"/>
        <v>0</v>
      </c>
      <c r="P40" s="510">
        <f t="shared" si="3"/>
        <v>0</v>
      </c>
      <c r="Q40" s="510">
        <f t="shared" si="4"/>
        <v>0</v>
      </c>
      <c r="R40" s="510">
        <f t="shared" si="5"/>
        <v>0</v>
      </c>
    </row>
    <row r="41" spans="1:18">
      <c r="A41" s="505"/>
      <c r="B41" s="511" t="s">
        <v>740</v>
      </c>
      <c r="C41" s="507">
        <v>16</v>
      </c>
      <c r="D41" s="508"/>
      <c r="E41" s="507">
        <v>1</v>
      </c>
      <c r="F41" s="502">
        <v>1</v>
      </c>
      <c r="G41" s="502">
        <v>2</v>
      </c>
      <c r="H41" s="602">
        <f>((0.79)/3)+0.1</f>
        <v>0.3633333333333334</v>
      </c>
      <c r="I41" s="602">
        <v>2.7</v>
      </c>
      <c r="J41" s="602">
        <f>0.58+8*$C41/1000</f>
        <v>0.70799999999999996</v>
      </c>
      <c r="K41" s="509"/>
      <c r="L41" s="510">
        <f>SUM(H41:J41)+K41</f>
        <v>3.7713333333333336</v>
      </c>
      <c r="M41" s="510">
        <f t="shared" si="0"/>
        <v>0</v>
      </c>
      <c r="N41" s="510">
        <f t="shared" si="1"/>
        <v>0</v>
      </c>
      <c r="O41" s="510">
        <f t="shared" si="2"/>
        <v>0</v>
      </c>
      <c r="P41" s="510">
        <f t="shared" si="3"/>
        <v>7.54</v>
      </c>
      <c r="Q41" s="510">
        <f t="shared" si="4"/>
        <v>0</v>
      </c>
      <c r="R41" s="510">
        <f t="shared" si="5"/>
        <v>0</v>
      </c>
    </row>
    <row r="42" spans="1:18">
      <c r="A42" s="505"/>
      <c r="B42" s="511" t="s">
        <v>773</v>
      </c>
      <c r="C42" s="507">
        <v>16</v>
      </c>
      <c r="D42" s="508"/>
      <c r="E42" s="507">
        <v>1</v>
      </c>
      <c r="F42" s="502">
        <v>1</v>
      </c>
      <c r="G42" s="502">
        <v>2</v>
      </c>
      <c r="H42" s="602">
        <f>((0.79)/3)+0.1</f>
        <v>0.3633333333333334</v>
      </c>
      <c r="I42" s="602">
        <v>2.7</v>
      </c>
      <c r="J42" s="602">
        <f t="shared" ref="J42" si="20">0.58+8*$C42/1000</f>
        <v>0.70799999999999996</v>
      </c>
      <c r="K42" s="509"/>
      <c r="L42" s="510">
        <f t="shared" ref="L42" si="21">SUM(H42:J42)+K42</f>
        <v>3.7713333333333336</v>
      </c>
      <c r="M42" s="510">
        <f t="shared" si="0"/>
        <v>0</v>
      </c>
      <c r="N42" s="510">
        <f t="shared" si="1"/>
        <v>0</v>
      </c>
      <c r="O42" s="510">
        <f t="shared" si="2"/>
        <v>0</v>
      </c>
      <c r="P42" s="510">
        <f t="shared" si="3"/>
        <v>7.54</v>
      </c>
      <c r="Q42" s="510">
        <f t="shared" si="4"/>
        <v>0</v>
      </c>
      <c r="R42" s="510">
        <f t="shared" si="5"/>
        <v>0</v>
      </c>
    </row>
    <row r="43" spans="1:18">
      <c r="A43" s="505"/>
      <c r="B43" s="511" t="s">
        <v>775</v>
      </c>
      <c r="C43" s="507">
        <v>8</v>
      </c>
      <c r="D43" s="508">
        <v>100</v>
      </c>
      <c r="E43" s="507">
        <v>1</v>
      </c>
      <c r="F43" s="502">
        <v>1</v>
      </c>
      <c r="G43" s="502">
        <f>+ROUND(1.8/0.1,0)</f>
        <v>18</v>
      </c>
      <c r="H43" s="602"/>
      <c r="I43" s="602">
        <f>2*(0.15+0.4)+16*C43/1000</f>
        <v>1.2280000000000002</v>
      </c>
      <c r="J43" s="235"/>
      <c r="K43" s="589"/>
      <c r="L43" s="510">
        <f>SUM(H43:J43)+K43</f>
        <v>1.2280000000000002</v>
      </c>
      <c r="M43" s="510">
        <f t="shared" si="0"/>
        <v>22.1</v>
      </c>
      <c r="N43" s="510">
        <f t="shared" si="1"/>
        <v>0</v>
      </c>
      <c r="O43" s="510">
        <f t="shared" si="2"/>
        <v>0</v>
      </c>
      <c r="P43" s="510">
        <f t="shared" si="3"/>
        <v>0</v>
      </c>
      <c r="Q43" s="510">
        <f t="shared" si="4"/>
        <v>0</v>
      </c>
      <c r="R43" s="510">
        <f t="shared" si="5"/>
        <v>0</v>
      </c>
    </row>
    <row r="44" spans="1:18">
      <c r="A44" s="505"/>
      <c r="B44" s="511"/>
      <c r="C44" s="507">
        <v>8</v>
      </c>
      <c r="D44" s="508">
        <v>150</v>
      </c>
      <c r="E44" s="507">
        <v>1</v>
      </c>
      <c r="F44" s="502">
        <v>1</v>
      </c>
      <c r="G44" s="502">
        <f>+ROUND(0.9/0.15+1,0)</f>
        <v>7</v>
      </c>
      <c r="H44" s="602"/>
      <c r="I44" s="602">
        <f>2*(0.15+0.4)+16*C44/1000</f>
        <v>1.2280000000000002</v>
      </c>
      <c r="J44" s="235"/>
      <c r="K44" s="509"/>
      <c r="L44" s="510">
        <f t="shared" ref="L44:L45" si="22">SUM(H44:J44)+K44</f>
        <v>1.2280000000000002</v>
      </c>
      <c r="M44" s="510">
        <f t="shared" si="0"/>
        <v>8.6</v>
      </c>
      <c r="N44" s="510">
        <f t="shared" si="1"/>
        <v>0</v>
      </c>
      <c r="O44" s="510">
        <f t="shared" si="2"/>
        <v>0</v>
      </c>
      <c r="P44" s="510">
        <f t="shared" si="3"/>
        <v>0</v>
      </c>
      <c r="Q44" s="510">
        <f t="shared" si="4"/>
        <v>0</v>
      </c>
      <c r="R44" s="510">
        <f t="shared" si="5"/>
        <v>0</v>
      </c>
    </row>
    <row r="45" spans="1:18">
      <c r="A45" s="505" t="s">
        <v>1067</v>
      </c>
      <c r="B45" s="520" t="s">
        <v>1078</v>
      </c>
      <c r="C45" s="507"/>
      <c r="D45" s="508"/>
      <c r="E45" s="507"/>
      <c r="F45" s="502"/>
      <c r="G45" s="502"/>
      <c r="H45" s="602"/>
      <c r="I45" s="602"/>
      <c r="J45" s="235"/>
      <c r="K45" s="509"/>
      <c r="L45" s="510">
        <f t="shared" si="22"/>
        <v>0</v>
      </c>
      <c r="M45" s="510">
        <f t="shared" si="0"/>
        <v>0</v>
      </c>
      <c r="N45" s="510">
        <f t="shared" si="1"/>
        <v>0</v>
      </c>
      <c r="O45" s="510">
        <f t="shared" si="2"/>
        <v>0</v>
      </c>
      <c r="P45" s="510">
        <f t="shared" si="3"/>
        <v>0</v>
      </c>
      <c r="Q45" s="510">
        <f t="shared" si="4"/>
        <v>0</v>
      </c>
      <c r="R45" s="510">
        <f t="shared" si="5"/>
        <v>0</v>
      </c>
    </row>
    <row r="46" spans="1:18">
      <c r="A46" s="505"/>
      <c r="B46" s="511" t="s">
        <v>740</v>
      </c>
      <c r="C46" s="507">
        <v>16</v>
      </c>
      <c r="D46" s="508"/>
      <c r="E46" s="507">
        <v>1</v>
      </c>
      <c r="F46" s="502">
        <v>1</v>
      </c>
      <c r="G46" s="502">
        <v>2</v>
      </c>
      <c r="H46" s="602">
        <f>0.58+8*$C46/1000</f>
        <v>0.70799999999999996</v>
      </c>
      <c r="I46" s="602">
        <v>2.875</v>
      </c>
      <c r="J46" s="602">
        <f>0.58+8*$C46/1000</f>
        <v>0.70799999999999996</v>
      </c>
      <c r="K46" s="509"/>
      <c r="L46" s="510">
        <f>SUM(H46:J46)+K46</f>
        <v>4.2910000000000004</v>
      </c>
      <c r="M46" s="510">
        <f t="shared" si="0"/>
        <v>0</v>
      </c>
      <c r="N46" s="510">
        <f t="shared" si="1"/>
        <v>0</v>
      </c>
      <c r="O46" s="510">
        <f t="shared" si="2"/>
        <v>0</v>
      </c>
      <c r="P46" s="510">
        <f t="shared" si="3"/>
        <v>8.58</v>
      </c>
      <c r="Q46" s="510">
        <f t="shared" si="4"/>
        <v>0</v>
      </c>
      <c r="R46" s="510">
        <f t="shared" si="5"/>
        <v>0</v>
      </c>
    </row>
    <row r="47" spans="1:18">
      <c r="A47" s="505"/>
      <c r="B47" s="511" t="s">
        <v>740</v>
      </c>
      <c r="C47" s="507">
        <v>16</v>
      </c>
      <c r="D47" s="508"/>
      <c r="E47" s="507">
        <v>1</v>
      </c>
      <c r="F47" s="502">
        <v>1</v>
      </c>
      <c r="G47" s="502">
        <v>2</v>
      </c>
      <c r="H47" s="602">
        <v>0.57999999999999996</v>
      </c>
      <c r="I47" s="602">
        <v>2.93</v>
      </c>
      <c r="J47" s="602">
        <f>((0.79)/3)+0.1</f>
        <v>0.3633333333333334</v>
      </c>
      <c r="K47" s="509"/>
      <c r="L47" s="510">
        <f>SUM(H47:J47)+K47</f>
        <v>3.8733333333333335</v>
      </c>
      <c r="M47" s="510">
        <f t="shared" si="0"/>
        <v>0</v>
      </c>
      <c r="N47" s="510">
        <f t="shared" si="1"/>
        <v>0</v>
      </c>
      <c r="O47" s="510">
        <f t="shared" si="2"/>
        <v>0</v>
      </c>
      <c r="P47" s="510">
        <f t="shared" si="3"/>
        <v>7.75</v>
      </c>
      <c r="Q47" s="510">
        <f t="shared" si="4"/>
        <v>0</v>
      </c>
      <c r="R47" s="510">
        <f t="shared" si="5"/>
        <v>0</v>
      </c>
    </row>
    <row r="48" spans="1:18">
      <c r="A48" s="505"/>
      <c r="B48" s="511" t="s">
        <v>773</v>
      </c>
      <c r="C48" s="507">
        <v>16</v>
      </c>
      <c r="D48" s="508"/>
      <c r="E48" s="507">
        <v>1</v>
      </c>
      <c r="F48" s="502">
        <v>1</v>
      </c>
      <c r="G48" s="502">
        <v>2</v>
      </c>
      <c r="H48" s="602">
        <f>0.58+8*$C48/1000</f>
        <v>0.70799999999999996</v>
      </c>
      <c r="I48" s="602">
        <v>6.4050000000000002</v>
      </c>
      <c r="J48" s="602">
        <f>((0.79)/3)+0.1</f>
        <v>0.3633333333333334</v>
      </c>
      <c r="K48" s="509"/>
      <c r="L48" s="510">
        <f t="shared" ref="L48" si="23">SUM(H48:J48)+K48</f>
        <v>7.4763333333333337</v>
      </c>
      <c r="M48" s="510">
        <f t="shared" si="0"/>
        <v>0</v>
      </c>
      <c r="N48" s="510">
        <f t="shared" si="1"/>
        <v>0</v>
      </c>
      <c r="O48" s="510">
        <f t="shared" si="2"/>
        <v>0</v>
      </c>
      <c r="P48" s="510">
        <f t="shared" si="3"/>
        <v>14.95</v>
      </c>
      <c r="Q48" s="510">
        <f t="shared" si="4"/>
        <v>0</v>
      </c>
      <c r="R48" s="510">
        <f t="shared" si="5"/>
        <v>0</v>
      </c>
    </row>
    <row r="49" spans="1:18">
      <c r="A49" s="505"/>
      <c r="B49" s="511" t="s">
        <v>1079</v>
      </c>
      <c r="C49" s="507">
        <v>8</v>
      </c>
      <c r="D49" s="508">
        <v>100</v>
      </c>
      <c r="E49" s="507">
        <v>1</v>
      </c>
      <c r="F49" s="502">
        <v>1</v>
      </c>
      <c r="G49" s="502">
        <f>+ROUND(2/0.1,0)</f>
        <v>20</v>
      </c>
      <c r="H49" s="602"/>
      <c r="I49" s="602">
        <f>2*(0.15+0.45)+16*C49/1000</f>
        <v>1.3279999999999998</v>
      </c>
      <c r="J49" s="235"/>
      <c r="K49" s="589"/>
      <c r="L49" s="510">
        <f>SUM(H49:J49)+K49</f>
        <v>1.3279999999999998</v>
      </c>
      <c r="M49" s="510">
        <f t="shared" si="0"/>
        <v>26.56</v>
      </c>
      <c r="N49" s="510">
        <f t="shared" si="1"/>
        <v>0</v>
      </c>
      <c r="O49" s="510">
        <f t="shared" si="2"/>
        <v>0</v>
      </c>
      <c r="P49" s="510">
        <f t="shared" si="3"/>
        <v>0</v>
      </c>
      <c r="Q49" s="510">
        <f t="shared" si="4"/>
        <v>0</v>
      </c>
      <c r="R49" s="510">
        <f t="shared" si="5"/>
        <v>0</v>
      </c>
    </row>
    <row r="50" spans="1:18">
      <c r="A50" s="505"/>
      <c r="B50" s="511"/>
      <c r="C50" s="507">
        <v>8</v>
      </c>
      <c r="D50" s="508">
        <v>150</v>
      </c>
      <c r="E50" s="507">
        <v>1</v>
      </c>
      <c r="F50" s="502">
        <v>1</v>
      </c>
      <c r="G50" s="502">
        <f>+ROUND(0.875/0.15+1,0)</f>
        <v>7</v>
      </c>
      <c r="H50" s="602"/>
      <c r="I50" s="602">
        <f t="shared" ref="I50:I52" si="24">2*(0.15+0.45)+16*C50/1000</f>
        <v>1.3279999999999998</v>
      </c>
      <c r="J50" s="235"/>
      <c r="K50" s="509"/>
      <c r="L50" s="510">
        <f t="shared" ref="L50" si="25">SUM(H50:J50)+K50</f>
        <v>1.3279999999999998</v>
      </c>
      <c r="M50" s="510">
        <f t="shared" si="0"/>
        <v>9.3000000000000007</v>
      </c>
      <c r="N50" s="510">
        <f t="shared" si="1"/>
        <v>0</v>
      </c>
      <c r="O50" s="510">
        <f t="shared" si="2"/>
        <v>0</v>
      </c>
      <c r="P50" s="510">
        <f t="shared" si="3"/>
        <v>0</v>
      </c>
      <c r="Q50" s="510">
        <f t="shared" si="4"/>
        <v>0</v>
      </c>
      <c r="R50" s="510">
        <f t="shared" si="5"/>
        <v>0</v>
      </c>
    </row>
    <row r="51" spans="1:18">
      <c r="A51" s="505"/>
      <c r="B51" s="511" t="s">
        <v>1080</v>
      </c>
      <c r="C51" s="507">
        <v>8</v>
      </c>
      <c r="D51" s="508">
        <v>100</v>
      </c>
      <c r="E51" s="507">
        <v>1</v>
      </c>
      <c r="F51" s="502">
        <v>1</v>
      </c>
      <c r="G51" s="502">
        <f>+ROUND(2/0.1,0)</f>
        <v>20</v>
      </c>
      <c r="H51" s="602"/>
      <c r="I51" s="602">
        <f t="shared" si="24"/>
        <v>1.3279999999999998</v>
      </c>
      <c r="J51" s="235"/>
      <c r="K51" s="589"/>
      <c r="L51" s="510">
        <f>SUM(H51:J51)+K51</f>
        <v>1.3279999999999998</v>
      </c>
      <c r="M51" s="510">
        <f t="shared" si="0"/>
        <v>26.56</v>
      </c>
      <c r="N51" s="510">
        <f t="shared" si="1"/>
        <v>0</v>
      </c>
      <c r="O51" s="510">
        <f t="shared" si="2"/>
        <v>0</v>
      </c>
      <c r="P51" s="510">
        <f t="shared" si="3"/>
        <v>0</v>
      </c>
      <c r="Q51" s="510">
        <f t="shared" si="4"/>
        <v>0</v>
      </c>
      <c r="R51" s="510">
        <f t="shared" si="5"/>
        <v>0</v>
      </c>
    </row>
    <row r="52" spans="1:18">
      <c r="A52" s="505"/>
      <c r="B52" s="511"/>
      <c r="C52" s="507">
        <v>8</v>
      </c>
      <c r="D52" s="508">
        <v>150</v>
      </c>
      <c r="E52" s="507">
        <v>1</v>
      </c>
      <c r="F52" s="502">
        <v>1</v>
      </c>
      <c r="G52" s="502">
        <f>+ROUND(0.93/0.15+1,0)</f>
        <v>7</v>
      </c>
      <c r="H52" s="602"/>
      <c r="I52" s="602">
        <f t="shared" si="24"/>
        <v>1.3279999999999998</v>
      </c>
      <c r="J52" s="235"/>
      <c r="K52" s="509"/>
      <c r="L52" s="510">
        <f t="shared" ref="L52:L53" si="26">SUM(H52:J52)+K52</f>
        <v>1.3279999999999998</v>
      </c>
      <c r="M52" s="510">
        <f t="shared" si="0"/>
        <v>9.3000000000000007</v>
      </c>
      <c r="N52" s="510">
        <f t="shared" si="1"/>
        <v>0</v>
      </c>
      <c r="O52" s="510">
        <f t="shared" si="2"/>
        <v>0</v>
      </c>
      <c r="P52" s="510">
        <f t="shared" si="3"/>
        <v>0</v>
      </c>
      <c r="Q52" s="510">
        <f t="shared" si="4"/>
        <v>0</v>
      </c>
      <c r="R52" s="510">
        <f t="shared" si="5"/>
        <v>0</v>
      </c>
    </row>
    <row r="53" spans="1:18">
      <c r="A53" s="505" t="s">
        <v>1067</v>
      </c>
      <c r="B53" s="520" t="s">
        <v>1081</v>
      </c>
      <c r="C53" s="507"/>
      <c r="D53" s="508"/>
      <c r="E53" s="507"/>
      <c r="F53" s="502"/>
      <c r="G53" s="502"/>
      <c r="H53" s="602"/>
      <c r="I53" s="602"/>
      <c r="J53" s="235"/>
      <c r="K53" s="509"/>
      <c r="L53" s="510">
        <f t="shared" si="26"/>
        <v>0</v>
      </c>
      <c r="M53" s="510">
        <f t="shared" si="0"/>
        <v>0</v>
      </c>
      <c r="N53" s="510">
        <f t="shared" si="1"/>
        <v>0</v>
      </c>
      <c r="O53" s="510">
        <f t="shared" si="2"/>
        <v>0</v>
      </c>
      <c r="P53" s="510">
        <f t="shared" si="3"/>
        <v>0</v>
      </c>
      <c r="Q53" s="510">
        <f t="shared" si="4"/>
        <v>0</v>
      </c>
      <c r="R53" s="510">
        <f t="shared" si="5"/>
        <v>0</v>
      </c>
    </row>
    <row r="54" spans="1:18">
      <c r="A54" s="505"/>
      <c r="B54" s="511" t="s">
        <v>740</v>
      </c>
      <c r="C54" s="507">
        <v>16</v>
      </c>
      <c r="D54" s="508"/>
      <c r="E54" s="507">
        <v>1</v>
      </c>
      <c r="F54" s="502">
        <v>1</v>
      </c>
      <c r="G54" s="502">
        <v>2</v>
      </c>
      <c r="H54" s="602">
        <f>0.58+8*$C54/1000</f>
        <v>0.70799999999999996</v>
      </c>
      <c r="I54" s="602">
        <v>4.6900000000000004</v>
      </c>
      <c r="J54" s="602">
        <f>0.58+8*$C54/1000</f>
        <v>0.70799999999999996</v>
      </c>
      <c r="K54" s="509"/>
      <c r="L54" s="510">
        <f>SUM(H54:J54)+K54</f>
        <v>6.1060000000000008</v>
      </c>
      <c r="M54" s="510">
        <f t="shared" si="0"/>
        <v>0</v>
      </c>
      <c r="N54" s="510">
        <f t="shared" si="1"/>
        <v>0</v>
      </c>
      <c r="O54" s="510">
        <f t="shared" si="2"/>
        <v>0</v>
      </c>
      <c r="P54" s="510">
        <f t="shared" si="3"/>
        <v>12.21</v>
      </c>
      <c r="Q54" s="510">
        <f t="shared" si="4"/>
        <v>0</v>
      </c>
      <c r="R54" s="510">
        <f t="shared" si="5"/>
        <v>0</v>
      </c>
    </row>
    <row r="55" spans="1:18">
      <c r="A55" s="505"/>
      <c r="B55" s="511" t="s">
        <v>773</v>
      </c>
      <c r="C55" s="507">
        <v>16</v>
      </c>
      <c r="D55" s="508"/>
      <c r="E55" s="507">
        <v>1</v>
      </c>
      <c r="F55" s="502">
        <v>1</v>
      </c>
      <c r="G55" s="502">
        <v>2</v>
      </c>
      <c r="H55" s="602">
        <f>0.58+8*$C55/1000</f>
        <v>0.70799999999999996</v>
      </c>
      <c r="I55" s="602">
        <v>4.6900000000000004</v>
      </c>
      <c r="J55" s="602">
        <f>0.58+8*$C55/1000</f>
        <v>0.70799999999999996</v>
      </c>
      <c r="K55" s="509"/>
      <c r="L55" s="510">
        <f t="shared" ref="L55" si="27">SUM(H55:J55)+K55</f>
        <v>6.1060000000000008</v>
      </c>
      <c r="M55" s="510">
        <f t="shared" si="0"/>
        <v>0</v>
      </c>
      <c r="N55" s="510">
        <f t="shared" si="1"/>
        <v>0</v>
      </c>
      <c r="O55" s="510">
        <f t="shared" si="2"/>
        <v>0</v>
      </c>
      <c r="P55" s="510">
        <f t="shared" si="3"/>
        <v>12.21</v>
      </c>
      <c r="Q55" s="510">
        <f t="shared" si="4"/>
        <v>0</v>
      </c>
      <c r="R55" s="510">
        <f t="shared" si="5"/>
        <v>0</v>
      </c>
    </row>
    <row r="56" spans="1:18">
      <c r="A56" s="505"/>
      <c r="B56" s="511" t="s">
        <v>778</v>
      </c>
      <c r="C56" s="507">
        <v>12</v>
      </c>
      <c r="D56" s="508"/>
      <c r="E56" s="507">
        <v>1</v>
      </c>
      <c r="F56" s="502">
        <v>1</v>
      </c>
      <c r="G56" s="502">
        <v>2</v>
      </c>
      <c r="H56" s="602"/>
      <c r="I56" s="602">
        <f>4.69-1.4</f>
        <v>3.2900000000000005</v>
      </c>
      <c r="J56" s="235"/>
      <c r="K56" s="509"/>
      <c r="L56" s="510">
        <f t="shared" ref="L56" si="28">SUM(H56:J56)+K56</f>
        <v>3.2900000000000005</v>
      </c>
      <c r="M56" s="510">
        <f t="shared" si="0"/>
        <v>0</v>
      </c>
      <c r="N56" s="510">
        <f t="shared" si="1"/>
        <v>0</v>
      </c>
      <c r="O56" s="510">
        <f t="shared" si="2"/>
        <v>6.58</v>
      </c>
      <c r="P56" s="510">
        <f t="shared" si="3"/>
        <v>0</v>
      </c>
      <c r="Q56" s="510">
        <f t="shared" si="4"/>
        <v>0</v>
      </c>
      <c r="R56" s="510">
        <f t="shared" si="5"/>
        <v>0</v>
      </c>
    </row>
    <row r="57" spans="1:18">
      <c r="A57" s="505"/>
      <c r="B57" s="511" t="s">
        <v>774</v>
      </c>
      <c r="C57" s="507">
        <v>16</v>
      </c>
      <c r="D57" s="508"/>
      <c r="E57" s="507">
        <v>1</v>
      </c>
      <c r="F57" s="502">
        <v>1</v>
      </c>
      <c r="G57" s="502">
        <v>4</v>
      </c>
      <c r="H57" s="602">
        <f>0.58+8*$C57/1000</f>
        <v>0.70799999999999996</v>
      </c>
      <c r="I57" s="602">
        <f>1.4</f>
        <v>1.4</v>
      </c>
      <c r="J57" s="235"/>
      <c r="K57" s="509"/>
      <c r="L57" s="510">
        <f t="shared" ref="L57" si="29">SUM(H57:J57)+K57</f>
        <v>2.1079999999999997</v>
      </c>
      <c r="M57" s="510">
        <f t="shared" si="0"/>
        <v>0</v>
      </c>
      <c r="N57" s="510">
        <f t="shared" si="1"/>
        <v>0</v>
      </c>
      <c r="O57" s="510">
        <f t="shared" si="2"/>
        <v>0</v>
      </c>
      <c r="P57" s="510">
        <f t="shared" si="3"/>
        <v>8.43</v>
      </c>
      <c r="Q57" s="510">
        <f t="shared" si="4"/>
        <v>0</v>
      </c>
      <c r="R57" s="510">
        <f t="shared" si="5"/>
        <v>0</v>
      </c>
    </row>
    <row r="58" spans="1:18">
      <c r="A58" s="505"/>
      <c r="B58" s="511" t="s">
        <v>775</v>
      </c>
      <c r="C58" s="507">
        <v>8</v>
      </c>
      <c r="D58" s="508">
        <v>100</v>
      </c>
      <c r="E58" s="507">
        <v>1</v>
      </c>
      <c r="F58" s="502">
        <v>1</v>
      </c>
      <c r="G58" s="502">
        <f>+ROUND(2.345/0.1,0)</f>
        <v>23</v>
      </c>
      <c r="H58" s="602"/>
      <c r="I58" s="602">
        <f>2*(0.15+0.45)+16*C58/1000</f>
        <v>1.3279999999999998</v>
      </c>
      <c r="J58" s="235"/>
      <c r="K58" s="589"/>
      <c r="L58" s="510">
        <f>SUM(H58:J58)+K58</f>
        <v>1.3279999999999998</v>
      </c>
      <c r="M58" s="510">
        <f t="shared" si="0"/>
        <v>30.54</v>
      </c>
      <c r="N58" s="510">
        <f t="shared" si="1"/>
        <v>0</v>
      </c>
      <c r="O58" s="510">
        <f t="shared" si="2"/>
        <v>0</v>
      </c>
      <c r="P58" s="510">
        <f t="shared" si="3"/>
        <v>0</v>
      </c>
      <c r="Q58" s="510">
        <f t="shared" si="4"/>
        <v>0</v>
      </c>
      <c r="R58" s="510">
        <f t="shared" si="5"/>
        <v>0</v>
      </c>
    </row>
    <row r="59" spans="1:18">
      <c r="A59" s="505"/>
      <c r="B59" s="511"/>
      <c r="C59" s="507">
        <v>8</v>
      </c>
      <c r="D59" s="508">
        <v>150</v>
      </c>
      <c r="E59" s="507">
        <v>1</v>
      </c>
      <c r="F59" s="502">
        <v>1</v>
      </c>
      <c r="G59" s="502">
        <f>+ROUND(2.345/0.15+1,0)</f>
        <v>17</v>
      </c>
      <c r="H59" s="602"/>
      <c r="I59" s="602">
        <f t="shared" ref="I59" si="30">2*(0.15+0.45)+16*C59/1000</f>
        <v>1.3279999999999998</v>
      </c>
      <c r="J59" s="235"/>
      <c r="K59" s="509"/>
      <c r="L59" s="510">
        <f t="shared" ref="L59" si="31">SUM(H59:J59)+K59</f>
        <v>1.3279999999999998</v>
      </c>
      <c r="M59" s="510">
        <f t="shared" si="0"/>
        <v>22.58</v>
      </c>
      <c r="N59" s="510">
        <f t="shared" si="1"/>
        <v>0</v>
      </c>
      <c r="O59" s="510">
        <f t="shared" si="2"/>
        <v>0</v>
      </c>
      <c r="P59" s="510">
        <f t="shared" si="3"/>
        <v>0</v>
      </c>
      <c r="Q59" s="510">
        <f t="shared" si="4"/>
        <v>0</v>
      </c>
      <c r="R59" s="510">
        <f t="shared" si="5"/>
        <v>0</v>
      </c>
    </row>
    <row r="60" spans="1:18">
      <c r="A60" s="505" t="s">
        <v>1067</v>
      </c>
      <c r="B60" s="520" t="s">
        <v>1082</v>
      </c>
      <c r="C60" s="507"/>
      <c r="D60" s="508"/>
      <c r="E60" s="507"/>
      <c r="F60" s="502"/>
      <c r="G60" s="502"/>
      <c r="H60" s="602"/>
      <c r="I60" s="602"/>
      <c r="J60" s="235"/>
      <c r="K60" s="509"/>
      <c r="L60" s="510">
        <f t="shared" ref="L60" si="32">SUM(H60:J60)+K60</f>
        <v>0</v>
      </c>
      <c r="M60" s="510">
        <f t="shared" si="0"/>
        <v>0</v>
      </c>
      <c r="N60" s="510">
        <f t="shared" si="1"/>
        <v>0</v>
      </c>
      <c r="O60" s="510">
        <f t="shared" si="2"/>
        <v>0</v>
      </c>
      <c r="P60" s="510">
        <f t="shared" si="3"/>
        <v>0</v>
      </c>
      <c r="Q60" s="510">
        <f t="shared" si="4"/>
        <v>0</v>
      </c>
      <c r="R60" s="510">
        <f t="shared" si="5"/>
        <v>0</v>
      </c>
    </row>
    <row r="61" spans="1:18">
      <c r="A61" s="505"/>
      <c r="B61" s="511" t="s">
        <v>740</v>
      </c>
      <c r="C61" s="507">
        <v>20</v>
      </c>
      <c r="D61" s="508"/>
      <c r="E61" s="507">
        <v>1</v>
      </c>
      <c r="F61" s="603">
        <v>0.5</v>
      </c>
      <c r="G61" s="502">
        <v>2</v>
      </c>
      <c r="H61" s="602">
        <f>((0.98)/3)+0.1</f>
        <v>0.42666666666666664</v>
      </c>
      <c r="I61" s="602">
        <v>6.3</v>
      </c>
      <c r="J61" s="602">
        <f>((0.98)/3)+0.1</f>
        <v>0.42666666666666664</v>
      </c>
      <c r="K61" s="509"/>
      <c r="L61" s="510">
        <f>SUM(H61:J61)+K61</f>
        <v>7.1533333333333333</v>
      </c>
      <c r="M61" s="510">
        <f t="shared" si="0"/>
        <v>0</v>
      </c>
      <c r="N61" s="510">
        <f t="shared" si="1"/>
        <v>0</v>
      </c>
      <c r="O61" s="510">
        <f t="shared" si="2"/>
        <v>0</v>
      </c>
      <c r="P61" s="510">
        <f t="shared" si="3"/>
        <v>0</v>
      </c>
      <c r="Q61" s="510">
        <f t="shared" si="4"/>
        <v>7.15</v>
      </c>
      <c r="R61" s="510">
        <f t="shared" si="5"/>
        <v>0</v>
      </c>
    </row>
    <row r="62" spans="1:18">
      <c r="A62" s="505"/>
      <c r="B62" s="511" t="s">
        <v>773</v>
      </c>
      <c r="C62" s="507">
        <v>25</v>
      </c>
      <c r="D62" s="508"/>
      <c r="E62" s="507">
        <v>1</v>
      </c>
      <c r="F62" s="603">
        <v>0.5</v>
      </c>
      <c r="G62" s="502">
        <v>2</v>
      </c>
      <c r="H62" s="602">
        <f>((1.225)/3)+0.1</f>
        <v>0.50833333333333341</v>
      </c>
      <c r="I62" s="602">
        <v>6.3</v>
      </c>
      <c r="J62" s="602">
        <f>((1.225)/3)+0.1</f>
        <v>0.50833333333333341</v>
      </c>
      <c r="K62" s="509"/>
      <c r="L62" s="510">
        <f t="shared" ref="L62:L63" si="33">SUM(H62:J62)+K62</f>
        <v>7.3166666666666673</v>
      </c>
      <c r="M62" s="510">
        <f t="shared" si="0"/>
        <v>0</v>
      </c>
      <c r="N62" s="510">
        <f t="shared" si="1"/>
        <v>0</v>
      </c>
      <c r="O62" s="510">
        <f t="shared" si="2"/>
        <v>0</v>
      </c>
      <c r="P62" s="510">
        <f t="shared" si="3"/>
        <v>0</v>
      </c>
      <c r="Q62" s="510">
        <f t="shared" si="4"/>
        <v>0</v>
      </c>
      <c r="R62" s="510">
        <f t="shared" si="5"/>
        <v>7.32</v>
      </c>
    </row>
    <row r="63" spans="1:18">
      <c r="A63" s="505"/>
      <c r="B63" s="511" t="s">
        <v>778</v>
      </c>
      <c r="C63" s="507">
        <v>12</v>
      </c>
      <c r="D63" s="508"/>
      <c r="E63" s="507">
        <v>1</v>
      </c>
      <c r="F63" s="603">
        <v>0.5</v>
      </c>
      <c r="G63" s="502">
        <v>2</v>
      </c>
      <c r="H63" s="602"/>
      <c r="I63" s="602">
        <f>6.3-1.2</f>
        <v>5.0999999999999996</v>
      </c>
      <c r="J63" s="235"/>
      <c r="K63" s="509"/>
      <c r="L63" s="510">
        <f t="shared" si="33"/>
        <v>5.0999999999999996</v>
      </c>
      <c r="M63" s="510">
        <f t="shared" si="0"/>
        <v>0</v>
      </c>
      <c r="N63" s="510">
        <f t="shared" si="1"/>
        <v>0</v>
      </c>
      <c r="O63" s="510">
        <f t="shared" si="2"/>
        <v>5.0999999999999996</v>
      </c>
      <c r="P63" s="510">
        <f t="shared" si="3"/>
        <v>0</v>
      </c>
      <c r="Q63" s="510">
        <f t="shared" si="4"/>
        <v>0</v>
      </c>
      <c r="R63" s="510">
        <f t="shared" si="5"/>
        <v>0</v>
      </c>
    </row>
    <row r="64" spans="1:18">
      <c r="A64" s="505"/>
      <c r="B64" s="511" t="s">
        <v>1079</v>
      </c>
      <c r="C64" s="507">
        <v>8</v>
      </c>
      <c r="D64" s="508">
        <v>100</v>
      </c>
      <c r="E64" s="507">
        <v>1</v>
      </c>
      <c r="F64" s="603">
        <v>0.5</v>
      </c>
      <c r="G64" s="502">
        <f>+ROUND(3.15/0.1,0)</f>
        <v>32</v>
      </c>
      <c r="H64" s="602"/>
      <c r="I64" s="602">
        <f>2*(0.15+0.45)+16*C64/1000</f>
        <v>1.3279999999999998</v>
      </c>
      <c r="J64" s="235"/>
      <c r="K64" s="589"/>
      <c r="L64" s="510">
        <f>SUM(H64:J64)+K64</f>
        <v>1.3279999999999998</v>
      </c>
      <c r="M64" s="510">
        <f t="shared" si="0"/>
        <v>21.25</v>
      </c>
      <c r="N64" s="510">
        <f t="shared" si="1"/>
        <v>0</v>
      </c>
      <c r="O64" s="510">
        <f t="shared" si="2"/>
        <v>0</v>
      </c>
      <c r="P64" s="510">
        <f t="shared" si="3"/>
        <v>0</v>
      </c>
      <c r="Q64" s="510">
        <f t="shared" si="4"/>
        <v>0</v>
      </c>
      <c r="R64" s="510">
        <f t="shared" si="5"/>
        <v>0</v>
      </c>
    </row>
    <row r="65" spans="1:18">
      <c r="A65" s="505"/>
      <c r="B65" s="511"/>
      <c r="C65" s="507">
        <v>8</v>
      </c>
      <c r="D65" s="508">
        <v>150</v>
      </c>
      <c r="E65" s="507">
        <v>1</v>
      </c>
      <c r="F65" s="603">
        <v>0.5</v>
      </c>
      <c r="G65" s="502">
        <f>+ROUND(3.15/0.15+1,0)</f>
        <v>22</v>
      </c>
      <c r="H65" s="602"/>
      <c r="I65" s="602">
        <f>2*(0.15+0.45)+16*C65/1000</f>
        <v>1.3279999999999998</v>
      </c>
      <c r="J65" s="235"/>
      <c r="K65" s="509"/>
      <c r="L65" s="510">
        <f t="shared" ref="L65:L66" si="34">SUM(H65:J65)+K65</f>
        <v>1.3279999999999998</v>
      </c>
      <c r="M65" s="510">
        <f t="shared" si="0"/>
        <v>14.61</v>
      </c>
      <c r="N65" s="510">
        <f t="shared" si="1"/>
        <v>0</v>
      </c>
      <c r="O65" s="510">
        <f t="shared" si="2"/>
        <v>0</v>
      </c>
      <c r="P65" s="510">
        <f t="shared" si="3"/>
        <v>0</v>
      </c>
      <c r="Q65" s="510">
        <f t="shared" si="4"/>
        <v>0</v>
      </c>
      <c r="R65" s="510">
        <f t="shared" si="5"/>
        <v>0</v>
      </c>
    </row>
    <row r="66" spans="1:18">
      <c r="A66" s="505" t="s">
        <v>772</v>
      </c>
      <c r="B66" s="520" t="s">
        <v>1083</v>
      </c>
      <c r="C66" s="507"/>
      <c r="D66" s="508"/>
      <c r="E66" s="507"/>
      <c r="F66" s="502"/>
      <c r="G66" s="502"/>
      <c r="H66" s="602"/>
      <c r="I66" s="602"/>
      <c r="J66" s="235"/>
      <c r="K66" s="509"/>
      <c r="L66" s="510">
        <f t="shared" si="34"/>
        <v>0</v>
      </c>
      <c r="M66" s="510">
        <f t="shared" si="0"/>
        <v>0</v>
      </c>
      <c r="N66" s="510">
        <f t="shared" si="1"/>
        <v>0</v>
      </c>
      <c r="O66" s="510">
        <f t="shared" si="2"/>
        <v>0</v>
      </c>
      <c r="P66" s="510">
        <f t="shared" si="3"/>
        <v>0</v>
      </c>
      <c r="Q66" s="510">
        <f t="shared" si="4"/>
        <v>0</v>
      </c>
      <c r="R66" s="510">
        <f t="shared" si="5"/>
        <v>0</v>
      </c>
    </row>
    <row r="67" spans="1:18">
      <c r="A67" s="505"/>
      <c r="B67" s="511" t="s">
        <v>740</v>
      </c>
      <c r="C67" s="507">
        <v>16</v>
      </c>
      <c r="D67" s="508"/>
      <c r="E67" s="507">
        <v>2</v>
      </c>
      <c r="F67" s="502">
        <v>1</v>
      </c>
      <c r="G67" s="502">
        <v>2</v>
      </c>
      <c r="H67" s="602">
        <f>0.58+8*$C67/1000</f>
        <v>0.70799999999999996</v>
      </c>
      <c r="I67" s="602">
        <v>4.6900000000000004</v>
      </c>
      <c r="J67" s="602">
        <f>0.58+8*$C67/1000</f>
        <v>0.70799999999999996</v>
      </c>
      <c r="K67" s="509"/>
      <c r="L67" s="510">
        <f>SUM(H67:J67)+K67</f>
        <v>6.1060000000000008</v>
      </c>
      <c r="M67" s="510">
        <f t="shared" si="0"/>
        <v>0</v>
      </c>
      <c r="N67" s="510">
        <f t="shared" si="1"/>
        <v>0</v>
      </c>
      <c r="O67" s="510">
        <f t="shared" si="2"/>
        <v>0</v>
      </c>
      <c r="P67" s="510">
        <f t="shared" si="3"/>
        <v>24.42</v>
      </c>
      <c r="Q67" s="510">
        <f t="shared" si="4"/>
        <v>0</v>
      </c>
      <c r="R67" s="510">
        <f t="shared" si="5"/>
        <v>0</v>
      </c>
    </row>
    <row r="68" spans="1:18">
      <c r="A68" s="505"/>
      <c r="B68" s="511" t="s">
        <v>773</v>
      </c>
      <c r="C68" s="507">
        <v>16</v>
      </c>
      <c r="D68" s="508"/>
      <c r="E68" s="507">
        <v>2</v>
      </c>
      <c r="F68" s="502">
        <v>1</v>
      </c>
      <c r="G68" s="502">
        <v>2</v>
      </c>
      <c r="H68" s="602">
        <f>0.58+8*$C68/1000</f>
        <v>0.70799999999999996</v>
      </c>
      <c r="I68" s="602">
        <v>4.6900000000000004</v>
      </c>
      <c r="J68" s="602">
        <f>0.58+8*$C68/1000</f>
        <v>0.70799999999999996</v>
      </c>
      <c r="K68" s="509"/>
      <c r="L68" s="510">
        <f t="shared" ref="L68" si="35">SUM(H68:J68)+K68</f>
        <v>6.1060000000000008</v>
      </c>
      <c r="M68" s="510">
        <f t="shared" si="0"/>
        <v>0</v>
      </c>
      <c r="N68" s="510">
        <f t="shared" si="1"/>
        <v>0</v>
      </c>
      <c r="O68" s="510">
        <f t="shared" si="2"/>
        <v>0</v>
      </c>
      <c r="P68" s="510">
        <f t="shared" si="3"/>
        <v>24.42</v>
      </c>
      <c r="Q68" s="510">
        <f t="shared" si="4"/>
        <v>0</v>
      </c>
      <c r="R68" s="510">
        <f t="shared" si="5"/>
        <v>0</v>
      </c>
    </row>
    <row r="69" spans="1:18">
      <c r="A69" s="505"/>
      <c r="B69" s="511" t="s">
        <v>778</v>
      </c>
      <c r="C69" s="507">
        <v>12</v>
      </c>
      <c r="D69" s="508"/>
      <c r="E69" s="507">
        <v>2</v>
      </c>
      <c r="F69" s="502">
        <v>1</v>
      </c>
      <c r="G69" s="502">
        <v>2</v>
      </c>
      <c r="H69" s="602"/>
      <c r="I69" s="602">
        <f>4.69-0.9</f>
        <v>3.7900000000000005</v>
      </c>
      <c r="J69" s="235"/>
      <c r="K69" s="509"/>
      <c r="L69" s="510">
        <f t="shared" ref="L69" si="36">SUM(H69:J69)+K69</f>
        <v>3.7900000000000005</v>
      </c>
      <c r="M69" s="510">
        <f t="shared" si="0"/>
        <v>0</v>
      </c>
      <c r="N69" s="510">
        <f t="shared" si="1"/>
        <v>0</v>
      </c>
      <c r="O69" s="510">
        <f t="shared" si="2"/>
        <v>15.16</v>
      </c>
      <c r="P69" s="510">
        <f t="shared" si="3"/>
        <v>0</v>
      </c>
      <c r="Q69" s="510">
        <f t="shared" si="4"/>
        <v>0</v>
      </c>
      <c r="R69" s="510">
        <f t="shared" si="5"/>
        <v>0</v>
      </c>
    </row>
    <row r="70" spans="1:18">
      <c r="A70" s="505"/>
      <c r="B70" s="511" t="s">
        <v>774</v>
      </c>
      <c r="C70" s="507">
        <v>12</v>
      </c>
      <c r="D70" s="508"/>
      <c r="E70" s="507">
        <v>2</v>
      </c>
      <c r="F70" s="502">
        <v>1</v>
      </c>
      <c r="G70" s="502">
        <v>4</v>
      </c>
      <c r="H70" s="602">
        <f>0.44+8*$C70/1000</f>
        <v>0.53600000000000003</v>
      </c>
      <c r="I70" s="602">
        <v>1.4</v>
      </c>
      <c r="J70" s="235"/>
      <c r="K70" s="509"/>
      <c r="L70" s="510">
        <f t="shared" ref="L70" si="37">SUM(H70:J70)+K70</f>
        <v>1.9359999999999999</v>
      </c>
      <c r="M70" s="510">
        <f t="shared" si="0"/>
        <v>0</v>
      </c>
      <c r="N70" s="510">
        <f t="shared" si="1"/>
        <v>0</v>
      </c>
      <c r="O70" s="510">
        <f t="shared" si="2"/>
        <v>15.49</v>
      </c>
      <c r="P70" s="510">
        <f t="shared" si="3"/>
        <v>0</v>
      </c>
      <c r="Q70" s="510">
        <f t="shared" si="4"/>
        <v>0</v>
      </c>
      <c r="R70" s="510">
        <f t="shared" si="5"/>
        <v>0</v>
      </c>
    </row>
    <row r="71" spans="1:18">
      <c r="A71" s="505"/>
      <c r="B71" s="511" t="s">
        <v>775</v>
      </c>
      <c r="C71" s="507">
        <v>8</v>
      </c>
      <c r="D71" s="508">
        <v>100</v>
      </c>
      <c r="E71" s="507">
        <v>2</v>
      </c>
      <c r="F71" s="502">
        <v>1</v>
      </c>
      <c r="G71" s="502">
        <f>+ROUND(2.345/0.1,0)</f>
        <v>23</v>
      </c>
      <c r="H71" s="602"/>
      <c r="I71" s="602">
        <f>2*(0.15+0.45)+16*C71/1000</f>
        <v>1.3279999999999998</v>
      </c>
      <c r="J71" s="235"/>
      <c r="K71" s="589"/>
      <c r="L71" s="510">
        <f>SUM(H71:J71)+K71</f>
        <v>1.3279999999999998</v>
      </c>
      <c r="M71" s="510">
        <f t="shared" si="0"/>
        <v>61.09</v>
      </c>
      <c r="N71" s="510">
        <f t="shared" si="1"/>
        <v>0</v>
      </c>
      <c r="O71" s="510">
        <f t="shared" si="2"/>
        <v>0</v>
      </c>
      <c r="P71" s="510">
        <f t="shared" si="3"/>
        <v>0</v>
      </c>
      <c r="Q71" s="510">
        <f t="shared" si="4"/>
        <v>0</v>
      </c>
      <c r="R71" s="510">
        <f t="shared" si="5"/>
        <v>0</v>
      </c>
    </row>
    <row r="72" spans="1:18">
      <c r="A72" s="505"/>
      <c r="B72" s="511"/>
      <c r="C72" s="507">
        <v>8</v>
      </c>
      <c r="D72" s="508">
        <v>150</v>
      </c>
      <c r="E72" s="507">
        <v>2</v>
      </c>
      <c r="F72" s="502">
        <v>1</v>
      </c>
      <c r="G72" s="502">
        <f>+ROUND(2.345/0.15+1,0)</f>
        <v>17</v>
      </c>
      <c r="H72" s="602"/>
      <c r="I72" s="602">
        <f>2*(0.15+0.45)+16*C72/1000</f>
        <v>1.3279999999999998</v>
      </c>
      <c r="J72" s="235"/>
      <c r="K72" s="509"/>
      <c r="L72" s="510">
        <f t="shared" ref="L72" si="38">SUM(H72:J72)+K72</f>
        <v>1.3279999999999998</v>
      </c>
      <c r="M72" s="510">
        <f t="shared" si="0"/>
        <v>45.15</v>
      </c>
      <c r="N72" s="510">
        <f t="shared" si="1"/>
        <v>0</v>
      </c>
      <c r="O72" s="510">
        <f t="shared" si="2"/>
        <v>0</v>
      </c>
      <c r="P72" s="510">
        <f t="shared" si="3"/>
        <v>0</v>
      </c>
      <c r="Q72" s="510">
        <f t="shared" si="4"/>
        <v>0</v>
      </c>
      <c r="R72" s="510">
        <f t="shared" si="5"/>
        <v>0</v>
      </c>
    </row>
    <row r="73" spans="1:18">
      <c r="A73" s="505" t="s">
        <v>772</v>
      </c>
      <c r="B73" s="520" t="s">
        <v>1084</v>
      </c>
      <c r="C73" s="507"/>
      <c r="D73" s="508"/>
      <c r="E73" s="507"/>
      <c r="F73" s="502"/>
      <c r="G73" s="502"/>
      <c r="H73" s="602"/>
      <c r="I73" s="602"/>
      <c r="J73" s="235"/>
      <c r="K73" s="509"/>
      <c r="L73" s="510">
        <f t="shared" ref="L73" si="39">SUM(H73:J73)+K73</f>
        <v>0</v>
      </c>
      <c r="M73" s="510">
        <f t="shared" si="0"/>
        <v>0</v>
      </c>
      <c r="N73" s="510">
        <f t="shared" si="1"/>
        <v>0</v>
      </c>
      <c r="O73" s="510">
        <f t="shared" si="2"/>
        <v>0</v>
      </c>
      <c r="P73" s="510">
        <f t="shared" si="3"/>
        <v>0</v>
      </c>
      <c r="Q73" s="510">
        <f t="shared" si="4"/>
        <v>0</v>
      </c>
      <c r="R73" s="510">
        <f t="shared" si="5"/>
        <v>0</v>
      </c>
    </row>
    <row r="74" spans="1:18">
      <c r="A74" s="505"/>
      <c r="B74" s="511" t="s">
        <v>740</v>
      </c>
      <c r="C74" s="507">
        <v>16</v>
      </c>
      <c r="D74" s="508"/>
      <c r="E74" s="507">
        <v>1</v>
      </c>
      <c r="F74" s="603">
        <v>0.5</v>
      </c>
      <c r="G74" s="502">
        <v>2</v>
      </c>
      <c r="H74" s="602">
        <f>0.58+8*$C74/1000</f>
        <v>0.70799999999999996</v>
      </c>
      <c r="I74" s="602">
        <v>11.75</v>
      </c>
      <c r="J74" s="602">
        <f>0.58+8*$C74/1000</f>
        <v>0.70799999999999996</v>
      </c>
      <c r="K74" s="604">
        <v>0.79</v>
      </c>
      <c r="L74" s="510">
        <f>SUM(H74:J74)+K74</f>
        <v>13.956</v>
      </c>
      <c r="M74" s="510">
        <f t="shared" si="0"/>
        <v>0</v>
      </c>
      <c r="N74" s="510">
        <f t="shared" si="1"/>
        <v>0</v>
      </c>
      <c r="O74" s="510">
        <f t="shared" si="2"/>
        <v>0</v>
      </c>
      <c r="P74" s="510">
        <f t="shared" si="3"/>
        <v>13.96</v>
      </c>
      <c r="Q74" s="510">
        <f t="shared" si="4"/>
        <v>0</v>
      </c>
      <c r="R74" s="510">
        <f t="shared" si="5"/>
        <v>0</v>
      </c>
    </row>
    <row r="75" spans="1:18">
      <c r="A75" s="505"/>
      <c r="B75" s="511" t="s">
        <v>773</v>
      </c>
      <c r="C75" s="507">
        <v>16</v>
      </c>
      <c r="D75" s="508"/>
      <c r="E75" s="507">
        <v>1</v>
      </c>
      <c r="F75" s="603">
        <v>0.5</v>
      </c>
      <c r="G75" s="502">
        <v>2</v>
      </c>
      <c r="H75" s="602">
        <f>0.58+8*$C75/1000</f>
        <v>0.70799999999999996</v>
      </c>
      <c r="I75" s="602">
        <v>11.75</v>
      </c>
      <c r="J75" s="602">
        <f>0.58+8*$C75/1000</f>
        <v>0.70799999999999996</v>
      </c>
      <c r="K75" s="604">
        <v>0.79</v>
      </c>
      <c r="L75" s="510">
        <f t="shared" ref="L75" si="40">SUM(H75:J75)+K75</f>
        <v>13.956</v>
      </c>
      <c r="M75" s="510">
        <f t="shared" si="0"/>
        <v>0</v>
      </c>
      <c r="N75" s="510">
        <f t="shared" si="1"/>
        <v>0</v>
      </c>
      <c r="O75" s="510">
        <f t="shared" si="2"/>
        <v>0</v>
      </c>
      <c r="P75" s="510">
        <f t="shared" si="3"/>
        <v>13.96</v>
      </c>
      <c r="Q75" s="510">
        <f t="shared" si="4"/>
        <v>0</v>
      </c>
      <c r="R75" s="510">
        <f t="shared" si="5"/>
        <v>0</v>
      </c>
    </row>
    <row r="76" spans="1:18">
      <c r="A76" s="505"/>
      <c r="B76" s="511" t="s">
        <v>778</v>
      </c>
      <c r="C76" s="507">
        <v>12</v>
      </c>
      <c r="D76" s="508"/>
      <c r="E76" s="507">
        <v>1</v>
      </c>
      <c r="F76" s="603">
        <v>0.5</v>
      </c>
      <c r="G76" s="502">
        <v>4</v>
      </c>
      <c r="H76" s="602"/>
      <c r="I76" s="602">
        <f>5.76-0.55-0.85</f>
        <v>4.3600000000000003</v>
      </c>
      <c r="J76" s="235"/>
      <c r="K76" s="509"/>
      <c r="L76" s="510">
        <f t="shared" ref="L76" si="41">SUM(H76:J76)+K76</f>
        <v>4.3600000000000003</v>
      </c>
      <c r="M76" s="510">
        <f t="shared" si="0"/>
        <v>0</v>
      </c>
      <c r="N76" s="510">
        <f t="shared" si="1"/>
        <v>0</v>
      </c>
      <c r="O76" s="510">
        <f t="shared" si="2"/>
        <v>8.7200000000000006</v>
      </c>
      <c r="P76" s="510">
        <f t="shared" si="3"/>
        <v>0</v>
      </c>
      <c r="Q76" s="510">
        <f t="shared" si="4"/>
        <v>0</v>
      </c>
      <c r="R76" s="510">
        <f t="shared" si="5"/>
        <v>0</v>
      </c>
    </row>
    <row r="77" spans="1:18">
      <c r="A77" s="505"/>
      <c r="B77" s="511" t="s">
        <v>774</v>
      </c>
      <c r="C77" s="507">
        <v>12</v>
      </c>
      <c r="D77" s="508"/>
      <c r="E77" s="507">
        <v>1</v>
      </c>
      <c r="F77" s="603">
        <v>0.5</v>
      </c>
      <c r="G77" s="502">
        <v>2</v>
      </c>
      <c r="H77" s="602"/>
      <c r="I77" s="602">
        <f>1.8+1.8+0.23</f>
        <v>3.83</v>
      </c>
      <c r="J77" s="235"/>
      <c r="K77" s="509"/>
      <c r="L77" s="510">
        <f t="shared" ref="L77" si="42">SUM(H77:J77)+K77</f>
        <v>3.83</v>
      </c>
      <c r="M77" s="510">
        <f t="shared" si="0"/>
        <v>0</v>
      </c>
      <c r="N77" s="510">
        <f t="shared" si="1"/>
        <v>0</v>
      </c>
      <c r="O77" s="510">
        <f t="shared" si="2"/>
        <v>3.83</v>
      </c>
      <c r="P77" s="510">
        <f t="shared" si="3"/>
        <v>0</v>
      </c>
      <c r="Q77" s="510">
        <f t="shared" si="4"/>
        <v>0</v>
      </c>
      <c r="R77" s="510">
        <f t="shared" si="5"/>
        <v>0</v>
      </c>
    </row>
    <row r="78" spans="1:18">
      <c r="A78" s="505"/>
      <c r="B78" s="511" t="s">
        <v>774</v>
      </c>
      <c r="C78" s="507">
        <v>12</v>
      </c>
      <c r="D78" s="508"/>
      <c r="E78" s="507">
        <v>1</v>
      </c>
      <c r="F78" s="603">
        <v>0.5</v>
      </c>
      <c r="G78" s="502">
        <v>4</v>
      </c>
      <c r="H78" s="602">
        <f>0.44+8*$C78/1000</f>
        <v>0.53600000000000003</v>
      </c>
      <c r="I78" s="602">
        <f>1.8</f>
        <v>1.8</v>
      </c>
      <c r="J78" s="235"/>
      <c r="K78" s="509"/>
      <c r="L78" s="510">
        <f t="shared" ref="L78" si="43">SUM(H78:J78)+K78</f>
        <v>2.3360000000000003</v>
      </c>
      <c r="M78" s="510">
        <f t="shared" si="0"/>
        <v>0</v>
      </c>
      <c r="N78" s="510">
        <f t="shared" si="1"/>
        <v>0</v>
      </c>
      <c r="O78" s="510">
        <f t="shared" si="2"/>
        <v>4.67</v>
      </c>
      <c r="P78" s="510">
        <f t="shared" si="3"/>
        <v>0</v>
      </c>
      <c r="Q78" s="510">
        <f t="shared" si="4"/>
        <v>0</v>
      </c>
      <c r="R78" s="510">
        <f t="shared" si="5"/>
        <v>0</v>
      </c>
    </row>
    <row r="79" spans="1:18">
      <c r="A79" s="505"/>
      <c r="B79" s="511" t="s">
        <v>775</v>
      </c>
      <c r="C79" s="507">
        <v>8</v>
      </c>
      <c r="D79" s="508">
        <v>100</v>
      </c>
      <c r="E79" s="507">
        <v>1</v>
      </c>
      <c r="F79" s="603">
        <v>0.5</v>
      </c>
      <c r="G79" s="502">
        <f>+ROUND(2.89/0.1,0)*2</f>
        <v>58</v>
      </c>
      <c r="H79" s="602"/>
      <c r="I79" s="602">
        <f>2*(0.15+0.4)+16*C79/1000</f>
        <v>1.2280000000000002</v>
      </c>
      <c r="J79" s="235"/>
      <c r="K79" s="589"/>
      <c r="L79" s="510">
        <f>SUM(H79:J79)+K79</f>
        <v>1.2280000000000002</v>
      </c>
      <c r="M79" s="510">
        <f t="shared" si="0"/>
        <v>35.61</v>
      </c>
      <c r="N79" s="510">
        <f t="shared" si="1"/>
        <v>0</v>
      </c>
      <c r="O79" s="510">
        <f t="shared" si="2"/>
        <v>0</v>
      </c>
      <c r="P79" s="510">
        <f t="shared" si="3"/>
        <v>0</v>
      </c>
      <c r="Q79" s="510">
        <f t="shared" si="4"/>
        <v>0</v>
      </c>
      <c r="R79" s="510">
        <f t="shared" si="5"/>
        <v>0</v>
      </c>
    </row>
    <row r="80" spans="1:18">
      <c r="A80" s="505"/>
      <c r="B80" s="511"/>
      <c r="C80" s="507">
        <v>8</v>
      </c>
      <c r="D80" s="508">
        <v>150</v>
      </c>
      <c r="E80" s="507">
        <v>1</v>
      </c>
      <c r="F80" s="603">
        <v>0.5</v>
      </c>
      <c r="G80" s="502">
        <f>+ROUND(2.89/0.15+1,0)*2</f>
        <v>40</v>
      </c>
      <c r="H80" s="602"/>
      <c r="I80" s="602">
        <f>2*(0.15+0.4)+16*C80/1000</f>
        <v>1.2280000000000002</v>
      </c>
      <c r="J80" s="235"/>
      <c r="K80" s="509"/>
      <c r="L80" s="510">
        <f t="shared" ref="L80:L81" si="44">SUM(H80:J80)+K80</f>
        <v>1.2280000000000002</v>
      </c>
      <c r="M80" s="510">
        <f t="shared" si="0"/>
        <v>24.56</v>
      </c>
      <c r="N80" s="510">
        <f t="shared" si="1"/>
        <v>0</v>
      </c>
      <c r="O80" s="510">
        <f t="shared" si="2"/>
        <v>0</v>
      </c>
      <c r="P80" s="510">
        <f t="shared" si="3"/>
        <v>0</v>
      </c>
      <c r="Q80" s="510">
        <f t="shared" si="4"/>
        <v>0</v>
      </c>
      <c r="R80" s="510">
        <f t="shared" si="5"/>
        <v>0</v>
      </c>
    </row>
    <row r="81" spans="1:18">
      <c r="A81" s="505" t="s">
        <v>772</v>
      </c>
      <c r="B81" s="520" t="s">
        <v>1085</v>
      </c>
      <c r="C81" s="507"/>
      <c r="D81" s="508"/>
      <c r="E81" s="507"/>
      <c r="F81" s="502"/>
      <c r="G81" s="502"/>
      <c r="H81" s="602"/>
      <c r="I81" s="602"/>
      <c r="J81" s="235"/>
      <c r="K81" s="509"/>
      <c r="L81" s="510">
        <f t="shared" si="44"/>
        <v>0</v>
      </c>
      <c r="M81" s="510">
        <f t="shared" si="0"/>
        <v>0</v>
      </c>
      <c r="N81" s="510">
        <f t="shared" si="1"/>
        <v>0</v>
      </c>
      <c r="O81" s="510">
        <f t="shared" si="2"/>
        <v>0</v>
      </c>
      <c r="P81" s="510">
        <f t="shared" si="3"/>
        <v>0</v>
      </c>
      <c r="Q81" s="510">
        <f t="shared" si="4"/>
        <v>0</v>
      </c>
      <c r="R81" s="510">
        <f t="shared" si="5"/>
        <v>0</v>
      </c>
    </row>
    <row r="82" spans="1:18">
      <c r="A82" s="505"/>
      <c r="B82" s="511" t="s">
        <v>740</v>
      </c>
      <c r="C82" s="507">
        <v>16</v>
      </c>
      <c r="D82" s="508"/>
      <c r="E82" s="507">
        <v>1</v>
      </c>
      <c r="F82" s="502">
        <v>1</v>
      </c>
      <c r="G82" s="502">
        <v>2</v>
      </c>
      <c r="H82" s="602">
        <f>((0.79)/3)+0.1</f>
        <v>0.3633333333333334</v>
      </c>
      <c r="I82" s="602">
        <v>4.1050000000000004</v>
      </c>
      <c r="J82" s="602">
        <f>0.58+8*$C82/1000</f>
        <v>0.70799999999999996</v>
      </c>
      <c r="K82" s="509"/>
      <c r="L82" s="510">
        <f>SUM(H82:J82)+K82</f>
        <v>5.1763333333333339</v>
      </c>
      <c r="M82" s="510">
        <f t="shared" si="0"/>
        <v>0</v>
      </c>
      <c r="N82" s="510">
        <f t="shared" si="1"/>
        <v>0</v>
      </c>
      <c r="O82" s="510">
        <f t="shared" si="2"/>
        <v>0</v>
      </c>
      <c r="P82" s="510">
        <f t="shared" si="3"/>
        <v>10.35</v>
      </c>
      <c r="Q82" s="510">
        <f t="shared" si="4"/>
        <v>0</v>
      </c>
      <c r="R82" s="510">
        <f t="shared" si="5"/>
        <v>0</v>
      </c>
    </row>
    <row r="83" spans="1:18">
      <c r="A83" s="505"/>
      <c r="B83" s="511" t="s">
        <v>740</v>
      </c>
      <c r="C83" s="507">
        <v>16</v>
      </c>
      <c r="D83" s="508"/>
      <c r="E83" s="507">
        <v>1</v>
      </c>
      <c r="F83" s="502">
        <v>1</v>
      </c>
      <c r="G83" s="502">
        <v>2</v>
      </c>
      <c r="H83" s="602">
        <v>0.79</v>
      </c>
      <c r="I83" s="602">
        <v>1.6</v>
      </c>
      <c r="J83" s="602">
        <f>0.58+8*$C83/1000</f>
        <v>0.70799999999999996</v>
      </c>
      <c r="K83" s="509"/>
      <c r="L83" s="510">
        <f>SUM(H83:J83)+K83</f>
        <v>3.0979999999999999</v>
      </c>
      <c r="M83" s="510">
        <f t="shared" si="0"/>
        <v>0</v>
      </c>
      <c r="N83" s="510">
        <f t="shared" si="1"/>
        <v>0</v>
      </c>
      <c r="O83" s="510">
        <f t="shared" si="2"/>
        <v>0</v>
      </c>
      <c r="P83" s="510">
        <f t="shared" si="3"/>
        <v>6.2</v>
      </c>
      <c r="Q83" s="510">
        <f t="shared" si="4"/>
        <v>0</v>
      </c>
      <c r="R83" s="510">
        <f t="shared" si="5"/>
        <v>0</v>
      </c>
    </row>
    <row r="84" spans="1:18">
      <c r="A84" s="505"/>
      <c r="B84" s="511" t="s">
        <v>773</v>
      </c>
      <c r="C84" s="507">
        <v>16</v>
      </c>
      <c r="D84" s="508"/>
      <c r="E84" s="507">
        <v>1</v>
      </c>
      <c r="F84" s="502">
        <v>1</v>
      </c>
      <c r="G84" s="502">
        <v>2</v>
      </c>
      <c r="H84" s="602">
        <f>((0.79)/3)+0.1</f>
        <v>0.3633333333333334</v>
      </c>
      <c r="I84" s="602">
        <v>5.9349999999999996</v>
      </c>
      <c r="J84" s="602">
        <f>0.58+8*$C84/1000</f>
        <v>0.70799999999999996</v>
      </c>
      <c r="K84" s="509"/>
      <c r="L84" s="510">
        <f t="shared" ref="L84" si="45">SUM(H84:J84)+K84</f>
        <v>7.0063333333333331</v>
      </c>
      <c r="M84" s="510">
        <f t="shared" si="0"/>
        <v>0</v>
      </c>
      <c r="N84" s="510">
        <f t="shared" si="1"/>
        <v>0</v>
      </c>
      <c r="O84" s="510">
        <f t="shared" si="2"/>
        <v>0</v>
      </c>
      <c r="P84" s="510">
        <f t="shared" si="3"/>
        <v>14.01</v>
      </c>
      <c r="Q84" s="510">
        <f t="shared" si="4"/>
        <v>0</v>
      </c>
      <c r="R84" s="510">
        <f t="shared" si="5"/>
        <v>0</v>
      </c>
    </row>
    <row r="85" spans="1:18">
      <c r="A85" s="505"/>
      <c r="B85" s="511" t="s">
        <v>777</v>
      </c>
      <c r="C85" s="507">
        <v>8</v>
      </c>
      <c r="D85" s="508">
        <v>100</v>
      </c>
      <c r="E85" s="507">
        <v>1</v>
      </c>
      <c r="F85" s="502">
        <v>1</v>
      </c>
      <c r="G85" s="502">
        <f>+ROUND(2.05/0.1,0)</f>
        <v>21</v>
      </c>
      <c r="H85" s="602"/>
      <c r="I85" s="602">
        <f>2*(0.15+0.4)+16*C85/1000</f>
        <v>1.2280000000000002</v>
      </c>
      <c r="J85" s="235"/>
      <c r="K85" s="589"/>
      <c r="L85" s="510">
        <f>SUM(H85:J85)+K85</f>
        <v>1.2280000000000002</v>
      </c>
      <c r="M85" s="510">
        <f t="shared" si="0"/>
        <v>25.79</v>
      </c>
      <c r="N85" s="510">
        <f t="shared" si="1"/>
        <v>0</v>
      </c>
      <c r="O85" s="510">
        <f t="shared" si="2"/>
        <v>0</v>
      </c>
      <c r="P85" s="510">
        <f t="shared" si="3"/>
        <v>0</v>
      </c>
      <c r="Q85" s="510">
        <f t="shared" si="4"/>
        <v>0</v>
      </c>
      <c r="R85" s="510">
        <f t="shared" si="5"/>
        <v>0</v>
      </c>
    </row>
    <row r="86" spans="1:18">
      <c r="A86" s="505"/>
      <c r="B86" s="511"/>
      <c r="C86" s="507">
        <v>8</v>
      </c>
      <c r="D86" s="508">
        <v>150</v>
      </c>
      <c r="E86" s="507">
        <v>1</v>
      </c>
      <c r="F86" s="502">
        <v>1</v>
      </c>
      <c r="G86" s="502">
        <f>+ROUND(2.05/0.15+1,0)</f>
        <v>15</v>
      </c>
      <c r="H86" s="602"/>
      <c r="I86" s="602">
        <f>2*(0.15+0.4)+16*C86/1000</f>
        <v>1.2280000000000002</v>
      </c>
      <c r="J86" s="235"/>
      <c r="K86" s="509"/>
      <c r="L86" s="510">
        <f t="shared" ref="L86" si="46">SUM(H86:J86)+K86</f>
        <v>1.2280000000000002</v>
      </c>
      <c r="M86" s="510">
        <f t="shared" si="0"/>
        <v>18.420000000000002</v>
      </c>
      <c r="N86" s="510">
        <f t="shared" si="1"/>
        <v>0</v>
      </c>
      <c r="O86" s="510">
        <f t="shared" si="2"/>
        <v>0</v>
      </c>
      <c r="P86" s="510">
        <f t="shared" si="3"/>
        <v>0</v>
      </c>
      <c r="Q86" s="510">
        <f t="shared" si="4"/>
        <v>0</v>
      </c>
      <c r="R86" s="510">
        <f t="shared" si="5"/>
        <v>0</v>
      </c>
    </row>
    <row r="87" spans="1:18">
      <c r="A87" s="505"/>
      <c r="B87" s="511" t="s">
        <v>1080</v>
      </c>
      <c r="C87" s="507">
        <v>8</v>
      </c>
      <c r="D87" s="508">
        <v>100</v>
      </c>
      <c r="E87" s="507">
        <v>1</v>
      </c>
      <c r="F87" s="502">
        <v>1</v>
      </c>
      <c r="G87" s="502">
        <f>+ROUND(1.6/0.1+1,0)</f>
        <v>17</v>
      </c>
      <c r="H87" s="602"/>
      <c r="I87" s="602">
        <f>2*(0.15+0.3)+24*C87/1000</f>
        <v>1.0919999999999999</v>
      </c>
      <c r="J87" s="235"/>
      <c r="K87" s="589"/>
      <c r="L87" s="510">
        <f>SUM(H87:J87)+K87</f>
        <v>1.0919999999999999</v>
      </c>
      <c r="M87" s="510">
        <f t="shared" si="0"/>
        <v>18.559999999999999</v>
      </c>
      <c r="N87" s="510">
        <f t="shared" si="1"/>
        <v>0</v>
      </c>
      <c r="O87" s="510">
        <f t="shared" si="2"/>
        <v>0</v>
      </c>
      <c r="P87" s="510">
        <f t="shared" si="3"/>
        <v>0</v>
      </c>
      <c r="Q87" s="510">
        <f t="shared" si="4"/>
        <v>0</v>
      </c>
      <c r="R87" s="510">
        <f t="shared" si="5"/>
        <v>0</v>
      </c>
    </row>
    <row r="88" spans="1:18">
      <c r="A88" s="505" t="s">
        <v>772</v>
      </c>
      <c r="B88" s="520" t="s">
        <v>1086</v>
      </c>
      <c r="C88" s="507"/>
      <c r="D88" s="508"/>
      <c r="E88" s="507"/>
      <c r="F88" s="502"/>
      <c r="G88" s="502"/>
      <c r="H88" s="602"/>
      <c r="I88" s="602"/>
      <c r="J88" s="235"/>
      <c r="K88" s="509"/>
      <c r="L88" s="510">
        <f t="shared" ref="L88" si="47">SUM(H88:J88)+K88</f>
        <v>0</v>
      </c>
      <c r="M88" s="510">
        <f t="shared" si="0"/>
        <v>0</v>
      </c>
      <c r="N88" s="510">
        <f t="shared" si="1"/>
        <v>0</v>
      </c>
      <c r="O88" s="510">
        <f t="shared" si="2"/>
        <v>0</v>
      </c>
      <c r="P88" s="510">
        <f t="shared" si="3"/>
        <v>0</v>
      </c>
      <c r="Q88" s="510">
        <f t="shared" si="4"/>
        <v>0</v>
      </c>
      <c r="R88" s="510">
        <f t="shared" si="5"/>
        <v>0</v>
      </c>
    </row>
    <row r="89" spans="1:18">
      <c r="A89" s="505"/>
      <c r="B89" s="511" t="s">
        <v>740</v>
      </c>
      <c r="C89" s="507">
        <v>20</v>
      </c>
      <c r="D89" s="508"/>
      <c r="E89" s="507">
        <v>1</v>
      </c>
      <c r="F89" s="502">
        <v>1</v>
      </c>
      <c r="G89" s="502">
        <v>2</v>
      </c>
      <c r="H89" s="602">
        <f>0.72+8*$C89/1000</f>
        <v>0.88</v>
      </c>
      <c r="I89" s="602">
        <v>4.9050000000000002</v>
      </c>
      <c r="J89" s="602">
        <f>((0.98)/3)+0.1</f>
        <v>0.42666666666666664</v>
      </c>
      <c r="K89" s="509"/>
      <c r="L89" s="510">
        <f>SUM(H89:J89)+K89</f>
        <v>6.2116666666666669</v>
      </c>
      <c r="M89" s="510">
        <f t="shared" si="0"/>
        <v>0</v>
      </c>
      <c r="N89" s="510">
        <f t="shared" si="1"/>
        <v>0</v>
      </c>
      <c r="O89" s="510">
        <f t="shared" si="2"/>
        <v>0</v>
      </c>
      <c r="P89" s="510">
        <f t="shared" si="3"/>
        <v>0</v>
      </c>
      <c r="Q89" s="510">
        <f t="shared" si="4"/>
        <v>12.42</v>
      </c>
      <c r="R89" s="510">
        <f t="shared" si="5"/>
        <v>0</v>
      </c>
    </row>
    <row r="90" spans="1:18">
      <c r="A90" s="505"/>
      <c r="B90" s="511" t="s">
        <v>773</v>
      </c>
      <c r="C90" s="507">
        <v>16</v>
      </c>
      <c r="D90" s="508"/>
      <c r="E90" s="507">
        <v>1</v>
      </c>
      <c r="F90" s="502">
        <v>1</v>
      </c>
      <c r="G90" s="502">
        <v>2</v>
      </c>
      <c r="H90" s="602">
        <f>0.58+8*$C90/1000</f>
        <v>0.70799999999999996</v>
      </c>
      <c r="I90" s="602">
        <v>4.9050000000000002</v>
      </c>
      <c r="J90" s="602">
        <f>((0.79)/3)+0.1</f>
        <v>0.3633333333333334</v>
      </c>
      <c r="K90" s="509"/>
      <c r="L90" s="510">
        <f t="shared" ref="L90" si="48">SUM(H90:J90)+K90</f>
        <v>5.9763333333333337</v>
      </c>
      <c r="M90" s="510">
        <f t="shared" si="0"/>
        <v>0</v>
      </c>
      <c r="N90" s="510">
        <f t="shared" si="1"/>
        <v>0</v>
      </c>
      <c r="O90" s="510">
        <f t="shared" si="2"/>
        <v>0</v>
      </c>
      <c r="P90" s="510">
        <f t="shared" si="3"/>
        <v>11.95</v>
      </c>
      <c r="Q90" s="510">
        <f t="shared" si="4"/>
        <v>0</v>
      </c>
      <c r="R90" s="510">
        <f t="shared" si="5"/>
        <v>0</v>
      </c>
    </row>
    <row r="91" spans="1:18">
      <c r="A91" s="505"/>
      <c r="B91" s="511" t="s">
        <v>774</v>
      </c>
      <c r="C91" s="507">
        <v>16</v>
      </c>
      <c r="D91" s="508"/>
      <c r="E91" s="507">
        <v>1</v>
      </c>
      <c r="F91" s="502">
        <v>1</v>
      </c>
      <c r="G91" s="502">
        <v>2</v>
      </c>
      <c r="H91" s="602"/>
      <c r="I91" s="602">
        <f>0.8+1.185+0.8</f>
        <v>2.7850000000000001</v>
      </c>
      <c r="J91" s="235"/>
      <c r="K91" s="509"/>
      <c r="L91" s="510">
        <f t="shared" ref="L91" si="49">SUM(H91:J91)+K91</f>
        <v>2.7850000000000001</v>
      </c>
      <c r="M91" s="510">
        <f t="shared" si="0"/>
        <v>0</v>
      </c>
      <c r="N91" s="510">
        <f t="shared" si="1"/>
        <v>0</v>
      </c>
      <c r="O91" s="510">
        <f t="shared" si="2"/>
        <v>0</v>
      </c>
      <c r="P91" s="510">
        <f t="shared" si="3"/>
        <v>5.57</v>
      </c>
      <c r="Q91" s="510">
        <f t="shared" si="4"/>
        <v>0</v>
      </c>
      <c r="R91" s="510">
        <f t="shared" si="5"/>
        <v>0</v>
      </c>
    </row>
    <row r="92" spans="1:18">
      <c r="A92" s="505"/>
      <c r="B92" s="511" t="s">
        <v>777</v>
      </c>
      <c r="C92" s="507">
        <v>8</v>
      </c>
      <c r="D92" s="508">
        <v>100</v>
      </c>
      <c r="E92" s="507">
        <v>1</v>
      </c>
      <c r="F92" s="502">
        <v>1</v>
      </c>
      <c r="G92" s="502">
        <f>+ROUND(2.22/0.1+1,0)</f>
        <v>23</v>
      </c>
      <c r="H92" s="602"/>
      <c r="I92" s="602">
        <f>2*(0.15+0.4)+16*C92/1000</f>
        <v>1.2280000000000002</v>
      </c>
      <c r="J92" s="235"/>
      <c r="K92" s="589"/>
      <c r="L92" s="510">
        <f>SUM(H92:J92)+K92</f>
        <v>1.2280000000000002</v>
      </c>
      <c r="M92" s="510">
        <f t="shared" si="0"/>
        <v>28.24</v>
      </c>
      <c r="N92" s="510">
        <f t="shared" si="1"/>
        <v>0</v>
      </c>
      <c r="O92" s="510">
        <f t="shared" si="2"/>
        <v>0</v>
      </c>
      <c r="P92" s="510">
        <f t="shared" si="3"/>
        <v>0</v>
      </c>
      <c r="Q92" s="510">
        <f t="shared" si="4"/>
        <v>0</v>
      </c>
      <c r="R92" s="510">
        <f t="shared" si="5"/>
        <v>0</v>
      </c>
    </row>
    <row r="93" spans="1:18">
      <c r="A93" s="505"/>
      <c r="B93" s="511" t="s">
        <v>777</v>
      </c>
      <c r="C93" s="507">
        <v>10</v>
      </c>
      <c r="D93" s="508">
        <v>100</v>
      </c>
      <c r="E93" s="507">
        <v>1</v>
      </c>
      <c r="F93" s="502">
        <v>1</v>
      </c>
      <c r="G93" s="502">
        <f>+ROUND(1.5/0.1+1,0)</f>
        <v>16</v>
      </c>
      <c r="H93" s="602"/>
      <c r="I93" s="602">
        <f>2*(0.15+0.4)+16*C93/1000</f>
        <v>1.26</v>
      </c>
      <c r="J93" s="235"/>
      <c r="K93" s="589"/>
      <c r="L93" s="510">
        <f>SUM(H93:J93)+K93</f>
        <v>1.26</v>
      </c>
      <c r="M93" s="510">
        <f t="shared" si="0"/>
        <v>0</v>
      </c>
      <c r="N93" s="510">
        <f t="shared" si="1"/>
        <v>20.16</v>
      </c>
      <c r="O93" s="510">
        <f t="shared" si="2"/>
        <v>0</v>
      </c>
      <c r="P93" s="510">
        <f t="shared" si="3"/>
        <v>0</v>
      </c>
      <c r="Q93" s="510">
        <f t="shared" si="4"/>
        <v>0</v>
      </c>
      <c r="R93" s="510">
        <f t="shared" si="5"/>
        <v>0</v>
      </c>
    </row>
    <row r="94" spans="1:18">
      <c r="A94" s="505" t="s">
        <v>1067</v>
      </c>
      <c r="B94" s="520" t="s">
        <v>1087</v>
      </c>
      <c r="C94" s="507"/>
      <c r="D94" s="508"/>
      <c r="E94" s="507"/>
      <c r="F94" s="502"/>
      <c r="G94" s="502"/>
      <c r="H94" s="602"/>
      <c r="I94" s="602"/>
      <c r="J94" s="235"/>
      <c r="K94" s="509"/>
      <c r="L94" s="510">
        <f t="shared" ref="L94" si="50">SUM(H94:J94)+K94</f>
        <v>0</v>
      </c>
      <c r="M94" s="510">
        <f t="shared" si="0"/>
        <v>0</v>
      </c>
      <c r="N94" s="510">
        <f t="shared" si="1"/>
        <v>0</v>
      </c>
      <c r="O94" s="510">
        <f t="shared" si="2"/>
        <v>0</v>
      </c>
      <c r="P94" s="510">
        <f t="shared" si="3"/>
        <v>0</v>
      </c>
      <c r="Q94" s="510">
        <f t="shared" si="4"/>
        <v>0</v>
      </c>
      <c r="R94" s="510">
        <f t="shared" si="5"/>
        <v>0</v>
      </c>
    </row>
    <row r="95" spans="1:18">
      <c r="A95" s="505"/>
      <c r="B95" s="511" t="s">
        <v>740</v>
      </c>
      <c r="C95" s="507">
        <v>16</v>
      </c>
      <c r="D95" s="508"/>
      <c r="E95" s="507">
        <v>1</v>
      </c>
      <c r="F95" s="502">
        <v>1</v>
      </c>
      <c r="G95" s="502">
        <v>2</v>
      </c>
      <c r="H95" s="602">
        <f>0.58+8*$C95/1000</f>
        <v>0.70799999999999996</v>
      </c>
      <c r="I95" s="602">
        <v>3.1150000000000002</v>
      </c>
      <c r="J95" s="602">
        <f>0.58+8*$C95/1000</f>
        <v>0.70799999999999996</v>
      </c>
      <c r="K95" s="509"/>
      <c r="L95" s="510">
        <f>SUM(H95:J95)+K95</f>
        <v>4.5310000000000006</v>
      </c>
      <c r="M95" s="510">
        <f t="shared" si="0"/>
        <v>0</v>
      </c>
      <c r="N95" s="510">
        <f t="shared" si="1"/>
        <v>0</v>
      </c>
      <c r="O95" s="510">
        <f t="shared" si="2"/>
        <v>0</v>
      </c>
      <c r="P95" s="510">
        <f t="shared" si="3"/>
        <v>9.06</v>
      </c>
      <c r="Q95" s="510">
        <f t="shared" si="4"/>
        <v>0</v>
      </c>
      <c r="R95" s="510">
        <f t="shared" si="5"/>
        <v>0</v>
      </c>
    </row>
    <row r="96" spans="1:18">
      <c r="A96" s="505"/>
      <c r="B96" s="511" t="s">
        <v>773</v>
      </c>
      <c r="C96" s="507">
        <v>16</v>
      </c>
      <c r="D96" s="508"/>
      <c r="E96" s="507">
        <v>1</v>
      </c>
      <c r="F96" s="502">
        <v>1</v>
      </c>
      <c r="G96" s="502">
        <v>2</v>
      </c>
      <c r="H96" s="602">
        <f>0.58+8*$C96/1000</f>
        <v>0.70799999999999996</v>
      </c>
      <c r="I96" s="602">
        <v>3.1150000000000002</v>
      </c>
      <c r="J96" s="602">
        <f>0.58+8*$C96/1000</f>
        <v>0.70799999999999996</v>
      </c>
      <c r="K96" s="509"/>
      <c r="L96" s="510">
        <f t="shared" ref="L96" si="51">SUM(H96:J96)+K96</f>
        <v>4.5310000000000006</v>
      </c>
      <c r="M96" s="510">
        <f t="shared" si="0"/>
        <v>0</v>
      </c>
      <c r="N96" s="510">
        <f t="shared" si="1"/>
        <v>0</v>
      </c>
      <c r="O96" s="510">
        <f t="shared" si="2"/>
        <v>0</v>
      </c>
      <c r="P96" s="510">
        <f t="shared" si="3"/>
        <v>9.06</v>
      </c>
      <c r="Q96" s="510">
        <f t="shared" si="4"/>
        <v>0</v>
      </c>
      <c r="R96" s="510">
        <f t="shared" si="5"/>
        <v>0</v>
      </c>
    </row>
    <row r="97" spans="1:18">
      <c r="A97" s="505"/>
      <c r="B97" s="511" t="s">
        <v>1079</v>
      </c>
      <c r="C97" s="507">
        <v>8</v>
      </c>
      <c r="D97" s="508">
        <v>100</v>
      </c>
      <c r="E97" s="507">
        <v>1</v>
      </c>
      <c r="F97" s="502">
        <v>1</v>
      </c>
      <c r="G97" s="502">
        <f>+ROUND(3.115/0.1+1,0)</f>
        <v>32</v>
      </c>
      <c r="H97" s="602"/>
      <c r="I97" s="602">
        <f>2*(0.15+0.45)+16*C97/1000</f>
        <v>1.3279999999999998</v>
      </c>
      <c r="J97" s="235"/>
      <c r="K97" s="589"/>
      <c r="L97" s="510">
        <f>SUM(H97:J97)+K97</f>
        <v>1.3279999999999998</v>
      </c>
      <c r="M97" s="510">
        <f t="shared" si="0"/>
        <v>42.5</v>
      </c>
      <c r="N97" s="510">
        <f t="shared" si="1"/>
        <v>0</v>
      </c>
      <c r="O97" s="510">
        <f t="shared" si="2"/>
        <v>0</v>
      </c>
      <c r="P97" s="510">
        <f t="shared" si="3"/>
        <v>0</v>
      </c>
      <c r="Q97" s="510">
        <f t="shared" si="4"/>
        <v>0</v>
      </c>
      <c r="R97" s="510">
        <f t="shared" si="5"/>
        <v>0</v>
      </c>
    </row>
    <row r="98" spans="1:18">
      <c r="A98" s="505" t="s">
        <v>1067</v>
      </c>
      <c r="B98" s="520" t="s">
        <v>1088</v>
      </c>
      <c r="C98" s="507"/>
      <c r="D98" s="508"/>
      <c r="E98" s="507"/>
      <c r="F98" s="502"/>
      <c r="G98" s="502"/>
      <c r="H98" s="602"/>
      <c r="I98" s="602"/>
      <c r="J98" s="235"/>
      <c r="K98" s="509"/>
      <c r="L98" s="510">
        <f t="shared" ref="L98" si="52">SUM(H98:J98)+K98</f>
        <v>0</v>
      </c>
      <c r="M98" s="510">
        <f t="shared" si="0"/>
        <v>0</v>
      </c>
      <c r="N98" s="510">
        <f t="shared" si="1"/>
        <v>0</v>
      </c>
      <c r="O98" s="510">
        <f t="shared" si="2"/>
        <v>0</v>
      </c>
      <c r="P98" s="510">
        <f t="shared" si="3"/>
        <v>0</v>
      </c>
      <c r="Q98" s="510">
        <f t="shared" si="4"/>
        <v>0</v>
      </c>
      <c r="R98" s="510">
        <f t="shared" si="5"/>
        <v>0</v>
      </c>
    </row>
    <row r="99" spans="1:18">
      <c r="A99" s="505"/>
      <c r="B99" s="511" t="s">
        <v>740</v>
      </c>
      <c r="C99" s="507">
        <v>16</v>
      </c>
      <c r="D99" s="508"/>
      <c r="E99" s="507">
        <v>3</v>
      </c>
      <c r="F99" s="502">
        <v>1</v>
      </c>
      <c r="G99" s="502">
        <v>2</v>
      </c>
      <c r="H99" s="602">
        <f>0.58+8*$C99/1000</f>
        <v>0.70799999999999996</v>
      </c>
      <c r="I99" s="602">
        <v>6.6849999999999996</v>
      </c>
      <c r="J99" s="602">
        <f>((0.79)/3)+0.1</f>
        <v>0.3633333333333334</v>
      </c>
      <c r="K99" s="509"/>
      <c r="L99" s="510">
        <f>SUM(H99:J99)+K99</f>
        <v>7.7563333333333331</v>
      </c>
      <c r="M99" s="510">
        <f t="shared" si="0"/>
        <v>0</v>
      </c>
      <c r="N99" s="510">
        <f t="shared" si="1"/>
        <v>0</v>
      </c>
      <c r="O99" s="510">
        <f t="shared" si="2"/>
        <v>0</v>
      </c>
      <c r="P99" s="510">
        <f t="shared" si="3"/>
        <v>46.54</v>
      </c>
      <c r="Q99" s="510">
        <f t="shared" si="4"/>
        <v>0</v>
      </c>
      <c r="R99" s="510">
        <f t="shared" si="5"/>
        <v>0</v>
      </c>
    </row>
    <row r="100" spans="1:18">
      <c r="A100" s="505"/>
      <c r="B100" s="511" t="s">
        <v>740</v>
      </c>
      <c r="C100" s="507">
        <v>16</v>
      </c>
      <c r="D100" s="508"/>
      <c r="E100" s="507">
        <v>3</v>
      </c>
      <c r="F100" s="502">
        <v>1</v>
      </c>
      <c r="G100" s="502">
        <v>2</v>
      </c>
      <c r="H100" s="602">
        <f>0.79+10*$C100/1000</f>
        <v>0.95000000000000007</v>
      </c>
      <c r="I100" s="602">
        <v>1.02</v>
      </c>
      <c r="J100" s="602">
        <f>0.58+8*$C100/1000</f>
        <v>0.70799999999999996</v>
      </c>
      <c r="K100" s="509"/>
      <c r="L100" s="510">
        <f>SUM(H100:J100)+K100</f>
        <v>2.6779999999999999</v>
      </c>
      <c r="M100" s="510">
        <f t="shared" si="0"/>
        <v>0</v>
      </c>
      <c r="N100" s="510">
        <f t="shared" si="1"/>
        <v>0</v>
      </c>
      <c r="O100" s="510">
        <f t="shared" si="2"/>
        <v>0</v>
      </c>
      <c r="P100" s="510">
        <f t="shared" si="3"/>
        <v>16.07</v>
      </c>
      <c r="Q100" s="510">
        <f t="shared" si="4"/>
        <v>0</v>
      </c>
      <c r="R100" s="510">
        <f t="shared" si="5"/>
        <v>0</v>
      </c>
    </row>
    <row r="101" spans="1:18">
      <c r="A101" s="505"/>
      <c r="B101" s="511" t="s">
        <v>773</v>
      </c>
      <c r="C101" s="507">
        <v>16</v>
      </c>
      <c r="D101" s="508"/>
      <c r="E101" s="507">
        <v>3</v>
      </c>
      <c r="F101" s="502">
        <v>1</v>
      </c>
      <c r="G101" s="502">
        <v>2</v>
      </c>
      <c r="H101" s="602">
        <f>0.58+8*$C101/1000</f>
        <v>0.70799999999999996</v>
      </c>
      <c r="I101" s="602">
        <v>7.9050000000000002</v>
      </c>
      <c r="J101" s="602">
        <f>0.58+8*$C101/1000</f>
        <v>0.70799999999999996</v>
      </c>
      <c r="K101" s="509"/>
      <c r="L101" s="510">
        <f t="shared" ref="L101" si="53">SUM(H101:J101)+K101</f>
        <v>9.3209999999999997</v>
      </c>
      <c r="M101" s="510">
        <f t="shared" si="0"/>
        <v>0</v>
      </c>
      <c r="N101" s="510">
        <f t="shared" si="1"/>
        <v>0</v>
      </c>
      <c r="O101" s="510">
        <f t="shared" si="2"/>
        <v>0</v>
      </c>
      <c r="P101" s="510">
        <f t="shared" si="3"/>
        <v>55.93</v>
      </c>
      <c r="Q101" s="510">
        <f t="shared" si="4"/>
        <v>0</v>
      </c>
      <c r="R101" s="510">
        <f t="shared" si="5"/>
        <v>0</v>
      </c>
    </row>
    <row r="102" spans="1:18">
      <c r="A102" s="505"/>
      <c r="B102" s="511" t="s">
        <v>778</v>
      </c>
      <c r="C102" s="507">
        <v>16</v>
      </c>
      <c r="D102" s="508"/>
      <c r="E102" s="507">
        <v>3</v>
      </c>
      <c r="F102" s="502">
        <v>1</v>
      </c>
      <c r="G102" s="502">
        <v>2</v>
      </c>
      <c r="H102" s="602">
        <f>0.79+10*$C102/1000</f>
        <v>0.95000000000000007</v>
      </c>
      <c r="I102" s="602">
        <v>1.02</v>
      </c>
      <c r="J102" s="602">
        <f>0.58+8*$C102/1000</f>
        <v>0.70799999999999996</v>
      </c>
      <c r="K102" s="509"/>
      <c r="L102" s="510">
        <f>SUM(H102:J102)+K102</f>
        <v>2.6779999999999999</v>
      </c>
      <c r="M102" s="510">
        <f t="shared" si="0"/>
        <v>0</v>
      </c>
      <c r="N102" s="510">
        <f t="shared" si="1"/>
        <v>0</v>
      </c>
      <c r="O102" s="510">
        <f t="shared" si="2"/>
        <v>0</v>
      </c>
      <c r="P102" s="510">
        <f t="shared" si="3"/>
        <v>16.07</v>
      </c>
      <c r="Q102" s="510">
        <f t="shared" si="4"/>
        <v>0</v>
      </c>
      <c r="R102" s="510">
        <f t="shared" si="5"/>
        <v>0</v>
      </c>
    </row>
    <row r="103" spans="1:18">
      <c r="A103" s="505"/>
      <c r="B103" s="511" t="s">
        <v>778</v>
      </c>
      <c r="C103" s="507">
        <v>12</v>
      </c>
      <c r="D103" s="508"/>
      <c r="E103" s="507">
        <v>3</v>
      </c>
      <c r="F103" s="502">
        <v>1</v>
      </c>
      <c r="G103" s="502">
        <v>2</v>
      </c>
      <c r="H103" s="602"/>
      <c r="I103" s="602">
        <f>3.15-0.65</f>
        <v>2.5</v>
      </c>
      <c r="J103" s="602">
        <f>((0.59)/3)+0.1</f>
        <v>0.29666666666666663</v>
      </c>
      <c r="K103" s="509"/>
      <c r="L103" s="510">
        <f>SUM(H103:J103)+K103</f>
        <v>2.7966666666666669</v>
      </c>
      <c r="M103" s="510">
        <f t="shared" si="0"/>
        <v>0</v>
      </c>
      <c r="N103" s="510">
        <f t="shared" si="1"/>
        <v>0</v>
      </c>
      <c r="O103" s="510">
        <f t="shared" si="2"/>
        <v>16.78</v>
      </c>
      <c r="P103" s="510">
        <f t="shared" si="3"/>
        <v>0</v>
      </c>
      <c r="Q103" s="510">
        <f t="shared" si="4"/>
        <v>0</v>
      </c>
      <c r="R103" s="510">
        <f t="shared" si="5"/>
        <v>0</v>
      </c>
    </row>
    <row r="104" spans="1:18">
      <c r="A104" s="505"/>
      <c r="B104" s="511" t="s">
        <v>774</v>
      </c>
      <c r="C104" s="507">
        <v>12</v>
      </c>
      <c r="D104" s="508"/>
      <c r="E104" s="507">
        <v>3</v>
      </c>
      <c r="F104" s="502">
        <v>1</v>
      </c>
      <c r="G104" s="502">
        <v>2</v>
      </c>
      <c r="H104" s="602"/>
      <c r="I104" s="602">
        <f>1.3+0.2+0.9</f>
        <v>2.4</v>
      </c>
      <c r="J104" s="235"/>
      <c r="K104" s="509"/>
      <c r="L104" s="510">
        <f t="shared" ref="L104" si="54">SUM(H104:J104)+K104</f>
        <v>2.4</v>
      </c>
      <c r="M104" s="510">
        <f t="shared" si="0"/>
        <v>0</v>
      </c>
      <c r="N104" s="510">
        <f t="shared" si="1"/>
        <v>0</v>
      </c>
      <c r="O104" s="510">
        <f t="shared" si="2"/>
        <v>14.4</v>
      </c>
      <c r="P104" s="510">
        <f t="shared" si="3"/>
        <v>0</v>
      </c>
      <c r="Q104" s="510">
        <f t="shared" si="4"/>
        <v>0</v>
      </c>
      <c r="R104" s="510">
        <f t="shared" si="5"/>
        <v>0</v>
      </c>
    </row>
    <row r="105" spans="1:18">
      <c r="A105" s="505"/>
      <c r="B105" s="511" t="s">
        <v>774</v>
      </c>
      <c r="C105" s="507">
        <v>16</v>
      </c>
      <c r="D105" s="508"/>
      <c r="E105" s="507">
        <v>3</v>
      </c>
      <c r="F105" s="502">
        <v>1</v>
      </c>
      <c r="G105" s="502">
        <v>2</v>
      </c>
      <c r="H105" s="602">
        <f>0.58+8*$C105/1000</f>
        <v>0.70799999999999996</v>
      </c>
      <c r="I105" s="602">
        <v>1.3</v>
      </c>
      <c r="J105" s="235"/>
      <c r="K105" s="509"/>
      <c r="L105" s="510">
        <f t="shared" ref="L105" si="55">SUM(H105:J105)+K105</f>
        <v>2.008</v>
      </c>
      <c r="M105" s="510">
        <f t="shared" si="0"/>
        <v>0</v>
      </c>
      <c r="N105" s="510">
        <f t="shared" si="1"/>
        <v>0</v>
      </c>
      <c r="O105" s="510">
        <f t="shared" si="2"/>
        <v>0</v>
      </c>
      <c r="P105" s="510">
        <f t="shared" si="3"/>
        <v>12.05</v>
      </c>
      <c r="Q105" s="510">
        <f t="shared" si="4"/>
        <v>0</v>
      </c>
      <c r="R105" s="510">
        <f t="shared" si="5"/>
        <v>0</v>
      </c>
    </row>
    <row r="106" spans="1:18">
      <c r="A106" s="505"/>
      <c r="B106" s="511" t="s">
        <v>1079</v>
      </c>
      <c r="C106" s="507">
        <v>8</v>
      </c>
      <c r="D106" s="508">
        <v>100</v>
      </c>
      <c r="E106" s="507">
        <v>3</v>
      </c>
      <c r="F106" s="502">
        <v>1</v>
      </c>
      <c r="G106" s="502">
        <f>+ROUND(3.342/0.1+1,0)</f>
        <v>34</v>
      </c>
      <c r="H106" s="602"/>
      <c r="I106" s="602">
        <f>2*(0.15+0.45)+24*C106/1000</f>
        <v>1.3919999999999999</v>
      </c>
      <c r="J106" s="235"/>
      <c r="K106" s="589"/>
      <c r="L106" s="510">
        <f>SUM(H106:J106)+K106</f>
        <v>1.3919999999999999</v>
      </c>
      <c r="M106" s="510">
        <f t="shared" si="0"/>
        <v>141.97999999999999</v>
      </c>
      <c r="N106" s="510">
        <f t="shared" si="1"/>
        <v>0</v>
      </c>
      <c r="O106" s="510">
        <f t="shared" si="2"/>
        <v>0</v>
      </c>
      <c r="P106" s="510">
        <f t="shared" si="3"/>
        <v>0</v>
      </c>
      <c r="Q106" s="510">
        <f t="shared" si="4"/>
        <v>0</v>
      </c>
      <c r="R106" s="510">
        <f t="shared" si="5"/>
        <v>0</v>
      </c>
    </row>
    <row r="107" spans="1:18">
      <c r="A107" s="505"/>
      <c r="B107" s="511"/>
      <c r="C107" s="507">
        <v>8</v>
      </c>
      <c r="D107" s="508">
        <v>150</v>
      </c>
      <c r="E107" s="507">
        <v>3</v>
      </c>
      <c r="F107" s="502">
        <v>1</v>
      </c>
      <c r="G107" s="502">
        <f>+ROUND(3.342/0.15+1,0)</f>
        <v>23</v>
      </c>
      <c r="H107" s="602"/>
      <c r="I107" s="602">
        <f>2*(0.15+0.45)+24*C107/1000</f>
        <v>1.3919999999999999</v>
      </c>
      <c r="J107" s="235"/>
      <c r="K107" s="589"/>
      <c r="L107" s="510">
        <f t="shared" ref="L107" si="56">SUM(H107:J107)+K107</f>
        <v>1.3919999999999999</v>
      </c>
      <c r="M107" s="510">
        <f t="shared" si="0"/>
        <v>96.05</v>
      </c>
      <c r="N107" s="510">
        <f t="shared" si="1"/>
        <v>0</v>
      </c>
      <c r="O107" s="510">
        <f t="shared" si="2"/>
        <v>0</v>
      </c>
      <c r="P107" s="510">
        <f t="shared" si="3"/>
        <v>0</v>
      </c>
      <c r="Q107" s="510">
        <f t="shared" si="4"/>
        <v>0</v>
      </c>
      <c r="R107" s="510">
        <f t="shared" si="5"/>
        <v>0</v>
      </c>
    </row>
    <row r="108" spans="1:18">
      <c r="A108" s="505"/>
      <c r="B108" s="511" t="s">
        <v>1080</v>
      </c>
      <c r="C108" s="507">
        <v>8</v>
      </c>
      <c r="D108" s="508">
        <v>100</v>
      </c>
      <c r="E108" s="507">
        <v>3</v>
      </c>
      <c r="F108" s="502">
        <v>1</v>
      </c>
      <c r="G108" s="502">
        <f>+ROUND(1.02/0.1+1,0)</f>
        <v>11</v>
      </c>
      <c r="H108" s="602"/>
      <c r="I108" s="602">
        <f>2*(0.15+0.3)+16*C108/1000</f>
        <v>1.028</v>
      </c>
      <c r="J108" s="235"/>
      <c r="K108" s="589"/>
      <c r="L108" s="510">
        <f>SUM(H108:J108)+K108</f>
        <v>1.028</v>
      </c>
      <c r="M108" s="510">
        <f t="shared" si="0"/>
        <v>33.92</v>
      </c>
      <c r="N108" s="510">
        <f t="shared" si="1"/>
        <v>0</v>
      </c>
      <c r="O108" s="510">
        <f t="shared" si="2"/>
        <v>0</v>
      </c>
      <c r="P108" s="510">
        <f t="shared" si="3"/>
        <v>0</v>
      </c>
      <c r="Q108" s="510">
        <f t="shared" si="4"/>
        <v>0</v>
      </c>
      <c r="R108" s="510">
        <f t="shared" si="5"/>
        <v>0</v>
      </c>
    </row>
    <row r="109" spans="1:18">
      <c r="A109" s="505"/>
      <c r="B109" s="511" t="s">
        <v>1079</v>
      </c>
      <c r="C109" s="507">
        <v>8</v>
      </c>
      <c r="D109" s="508">
        <v>100</v>
      </c>
      <c r="E109" s="507">
        <v>3</v>
      </c>
      <c r="F109" s="502">
        <v>1</v>
      </c>
      <c r="G109" s="502">
        <f>+ROUND(2/0.1,0)</f>
        <v>20</v>
      </c>
      <c r="H109" s="602"/>
      <c r="I109" s="602">
        <f>2*(0.15+0.45)+16*C109/1000</f>
        <v>1.3279999999999998</v>
      </c>
      <c r="J109" s="235"/>
      <c r="K109" s="589"/>
      <c r="L109" s="510">
        <f>SUM(H109:J109)+K109</f>
        <v>1.3279999999999998</v>
      </c>
      <c r="M109" s="510">
        <f t="shared" si="0"/>
        <v>79.680000000000007</v>
      </c>
      <c r="N109" s="510">
        <f t="shared" si="1"/>
        <v>0</v>
      </c>
      <c r="O109" s="510">
        <f t="shared" si="2"/>
        <v>0</v>
      </c>
      <c r="P109" s="510">
        <f t="shared" si="3"/>
        <v>0</v>
      </c>
      <c r="Q109" s="510">
        <f t="shared" si="4"/>
        <v>0</v>
      </c>
      <c r="R109" s="510">
        <f t="shared" si="5"/>
        <v>0</v>
      </c>
    </row>
    <row r="110" spans="1:18">
      <c r="A110" s="505"/>
      <c r="B110" s="511"/>
      <c r="C110" s="507">
        <v>8</v>
      </c>
      <c r="D110" s="508">
        <v>150</v>
      </c>
      <c r="E110" s="507">
        <v>3</v>
      </c>
      <c r="F110" s="502">
        <v>1</v>
      </c>
      <c r="G110" s="502">
        <f>+ROUND(1.15/0.15+1,0)</f>
        <v>9</v>
      </c>
      <c r="H110" s="602"/>
      <c r="I110" s="602">
        <f>2*(0.15+0.45)+16*C110/1000</f>
        <v>1.3279999999999998</v>
      </c>
      <c r="J110" s="235"/>
      <c r="K110" s="589"/>
      <c r="L110" s="510">
        <f t="shared" ref="L110:L111" si="57">SUM(H110:J110)+K110</f>
        <v>1.3279999999999998</v>
      </c>
      <c r="M110" s="510">
        <f t="shared" si="0"/>
        <v>35.86</v>
      </c>
      <c r="N110" s="510">
        <f t="shared" si="1"/>
        <v>0</v>
      </c>
      <c r="O110" s="510">
        <f t="shared" si="2"/>
        <v>0</v>
      </c>
      <c r="P110" s="510">
        <f t="shared" si="3"/>
        <v>0</v>
      </c>
      <c r="Q110" s="510">
        <f t="shared" si="4"/>
        <v>0</v>
      </c>
      <c r="R110" s="510">
        <f t="shared" si="5"/>
        <v>0</v>
      </c>
    </row>
    <row r="111" spans="1:18">
      <c r="A111" s="505" t="s">
        <v>1067</v>
      </c>
      <c r="B111" s="520" t="s">
        <v>1089</v>
      </c>
      <c r="C111" s="507"/>
      <c r="D111" s="508"/>
      <c r="E111" s="507"/>
      <c r="F111" s="502"/>
      <c r="G111" s="502"/>
      <c r="H111" s="602"/>
      <c r="I111" s="602"/>
      <c r="J111" s="235"/>
      <c r="K111" s="509"/>
      <c r="L111" s="510">
        <f t="shared" si="57"/>
        <v>0</v>
      </c>
      <c r="M111" s="510">
        <f t="shared" si="0"/>
        <v>0</v>
      </c>
      <c r="N111" s="510">
        <f t="shared" si="1"/>
        <v>0</v>
      </c>
      <c r="O111" s="510">
        <f t="shared" si="2"/>
        <v>0</v>
      </c>
      <c r="P111" s="510">
        <f t="shared" si="3"/>
        <v>0</v>
      </c>
      <c r="Q111" s="510">
        <f t="shared" si="4"/>
        <v>0</v>
      </c>
      <c r="R111" s="510">
        <f t="shared" si="5"/>
        <v>0</v>
      </c>
    </row>
    <row r="112" spans="1:18">
      <c r="A112" s="505"/>
      <c r="B112" s="511" t="s">
        <v>740</v>
      </c>
      <c r="C112" s="507">
        <v>16</v>
      </c>
      <c r="D112" s="508"/>
      <c r="E112" s="507">
        <v>1</v>
      </c>
      <c r="F112" s="502">
        <v>1</v>
      </c>
      <c r="G112" s="502">
        <v>2</v>
      </c>
      <c r="H112" s="602">
        <f>0.58+8*$C112/1000</f>
        <v>0.70799999999999996</v>
      </c>
      <c r="I112" s="602">
        <v>3.2149999999999999</v>
      </c>
      <c r="J112" s="602">
        <f>((0.79)/3)+0.1</f>
        <v>0.3633333333333334</v>
      </c>
      <c r="K112" s="509"/>
      <c r="L112" s="510">
        <f>SUM(H112:J112)+K112</f>
        <v>4.2863333333333333</v>
      </c>
      <c r="M112" s="510">
        <f t="shared" si="0"/>
        <v>0</v>
      </c>
      <c r="N112" s="510">
        <f t="shared" si="1"/>
        <v>0</v>
      </c>
      <c r="O112" s="510">
        <f t="shared" si="2"/>
        <v>0</v>
      </c>
      <c r="P112" s="510">
        <f t="shared" si="3"/>
        <v>8.57</v>
      </c>
      <c r="Q112" s="510">
        <f t="shared" si="4"/>
        <v>0</v>
      </c>
      <c r="R112" s="510">
        <f t="shared" si="5"/>
        <v>0</v>
      </c>
    </row>
    <row r="113" spans="1:18">
      <c r="A113" s="505"/>
      <c r="B113" s="511" t="s">
        <v>773</v>
      </c>
      <c r="C113" s="507">
        <v>16</v>
      </c>
      <c r="D113" s="508"/>
      <c r="E113" s="507">
        <v>1</v>
      </c>
      <c r="F113" s="502">
        <v>1</v>
      </c>
      <c r="G113" s="502">
        <v>2</v>
      </c>
      <c r="H113" s="602">
        <f>0.58+8*$C113/1000</f>
        <v>0.70799999999999996</v>
      </c>
      <c r="I113" s="602">
        <v>3.2149999999999999</v>
      </c>
      <c r="J113" s="602">
        <f>((0.79)/3)+0.1</f>
        <v>0.3633333333333334</v>
      </c>
      <c r="K113" s="509"/>
      <c r="L113" s="510">
        <f t="shared" ref="L113:L114" si="58">SUM(H113:J113)+K113</f>
        <v>4.2863333333333333</v>
      </c>
      <c r="M113" s="510">
        <f t="shared" si="0"/>
        <v>0</v>
      </c>
      <c r="N113" s="510">
        <f t="shared" si="1"/>
        <v>0</v>
      </c>
      <c r="O113" s="510">
        <f t="shared" si="2"/>
        <v>0</v>
      </c>
      <c r="P113" s="510">
        <f t="shared" si="3"/>
        <v>8.57</v>
      </c>
      <c r="Q113" s="510">
        <f t="shared" si="4"/>
        <v>0</v>
      </c>
      <c r="R113" s="510">
        <f t="shared" si="5"/>
        <v>0</v>
      </c>
    </row>
    <row r="114" spans="1:18">
      <c r="A114" s="505"/>
      <c r="B114" s="511" t="s">
        <v>774</v>
      </c>
      <c r="C114" s="507">
        <v>12</v>
      </c>
      <c r="D114" s="508"/>
      <c r="E114" s="507">
        <v>1</v>
      </c>
      <c r="F114" s="502">
        <v>1</v>
      </c>
      <c r="G114" s="502">
        <v>2</v>
      </c>
      <c r="H114" s="602"/>
      <c r="I114" s="602">
        <v>0.9</v>
      </c>
      <c r="J114" s="602">
        <f>0.44+8*$C114/1000</f>
        <v>0.53600000000000003</v>
      </c>
      <c r="K114" s="509"/>
      <c r="L114" s="510">
        <f t="shared" si="58"/>
        <v>1.4359999999999999</v>
      </c>
      <c r="M114" s="510">
        <f t="shared" si="0"/>
        <v>0</v>
      </c>
      <c r="N114" s="510">
        <f t="shared" si="1"/>
        <v>0</v>
      </c>
      <c r="O114" s="510">
        <f t="shared" si="2"/>
        <v>2.87</v>
      </c>
      <c r="P114" s="510">
        <f t="shared" si="3"/>
        <v>0</v>
      </c>
      <c r="Q114" s="510">
        <f t="shared" si="4"/>
        <v>0</v>
      </c>
      <c r="R114" s="510">
        <f t="shared" si="5"/>
        <v>0</v>
      </c>
    </row>
    <row r="115" spans="1:18">
      <c r="A115" s="505"/>
      <c r="B115" s="511" t="s">
        <v>1079</v>
      </c>
      <c r="C115" s="507">
        <v>8</v>
      </c>
      <c r="D115" s="508">
        <v>100</v>
      </c>
      <c r="E115" s="507">
        <v>1</v>
      </c>
      <c r="F115" s="502">
        <v>1</v>
      </c>
      <c r="G115" s="502">
        <f>+ROUND(2/0.1,0)</f>
        <v>20</v>
      </c>
      <c r="H115" s="602"/>
      <c r="I115" s="602">
        <f>2*(0.15+0.45)+16*C115/1000</f>
        <v>1.3279999999999998</v>
      </c>
      <c r="J115" s="235"/>
      <c r="K115" s="589"/>
      <c r="L115" s="510">
        <f>SUM(H115:J115)+K115</f>
        <v>1.3279999999999998</v>
      </c>
      <c r="M115" s="510">
        <f t="shared" si="0"/>
        <v>26.56</v>
      </c>
      <c r="N115" s="510">
        <f t="shared" si="1"/>
        <v>0</v>
      </c>
      <c r="O115" s="510">
        <f t="shared" si="2"/>
        <v>0</v>
      </c>
      <c r="P115" s="510">
        <f t="shared" si="3"/>
        <v>0</v>
      </c>
      <c r="Q115" s="510">
        <f t="shared" si="4"/>
        <v>0</v>
      </c>
      <c r="R115" s="510">
        <f t="shared" si="5"/>
        <v>0</v>
      </c>
    </row>
    <row r="116" spans="1:18">
      <c r="A116" s="505"/>
      <c r="B116" s="511"/>
      <c r="C116" s="507">
        <v>8</v>
      </c>
      <c r="D116" s="508">
        <v>150</v>
      </c>
      <c r="E116" s="507">
        <v>1</v>
      </c>
      <c r="F116" s="502">
        <v>1</v>
      </c>
      <c r="G116" s="502">
        <f>+ROUND(1.215/0.15+1,0)</f>
        <v>9</v>
      </c>
      <c r="H116" s="602"/>
      <c r="I116" s="602">
        <f>2*(0.15+0.45)+16*C116/1000</f>
        <v>1.3279999999999998</v>
      </c>
      <c r="J116" s="235"/>
      <c r="K116" s="509"/>
      <c r="L116" s="510">
        <f t="shared" ref="L116:L117" si="59">SUM(H116:J116)+K116</f>
        <v>1.3279999999999998</v>
      </c>
      <c r="M116" s="510">
        <f t="shared" si="0"/>
        <v>11.95</v>
      </c>
      <c r="N116" s="510">
        <f t="shared" si="1"/>
        <v>0</v>
      </c>
      <c r="O116" s="510">
        <f t="shared" si="2"/>
        <v>0</v>
      </c>
      <c r="P116" s="510">
        <f t="shared" si="3"/>
        <v>0</v>
      </c>
      <c r="Q116" s="510">
        <f t="shared" si="4"/>
        <v>0</v>
      </c>
      <c r="R116" s="510">
        <f t="shared" si="5"/>
        <v>0</v>
      </c>
    </row>
    <row r="117" spans="1:18">
      <c r="A117" s="505" t="s">
        <v>1090</v>
      </c>
      <c r="B117" s="520" t="s">
        <v>1091</v>
      </c>
      <c r="C117" s="507"/>
      <c r="D117" s="508"/>
      <c r="E117" s="507"/>
      <c r="F117" s="502"/>
      <c r="G117" s="502"/>
      <c r="H117" s="602"/>
      <c r="I117" s="602"/>
      <c r="J117" s="235"/>
      <c r="K117" s="509"/>
      <c r="L117" s="510">
        <f t="shared" si="59"/>
        <v>0</v>
      </c>
      <c r="M117" s="510">
        <f t="shared" si="0"/>
        <v>0</v>
      </c>
      <c r="N117" s="510">
        <f t="shared" si="1"/>
        <v>0</v>
      </c>
      <c r="O117" s="510">
        <f t="shared" si="2"/>
        <v>0</v>
      </c>
      <c r="P117" s="510">
        <f t="shared" si="3"/>
        <v>0</v>
      </c>
      <c r="Q117" s="510">
        <f t="shared" si="4"/>
        <v>0</v>
      </c>
      <c r="R117" s="510">
        <f t="shared" si="5"/>
        <v>0</v>
      </c>
    </row>
    <row r="118" spans="1:18">
      <c r="A118" s="505"/>
      <c r="B118" s="511" t="s">
        <v>740</v>
      </c>
      <c r="C118" s="507">
        <v>25</v>
      </c>
      <c r="D118" s="508"/>
      <c r="E118" s="507">
        <v>1</v>
      </c>
      <c r="F118" s="502">
        <v>1</v>
      </c>
      <c r="G118" s="502">
        <v>2</v>
      </c>
      <c r="H118" s="602">
        <f>0.9+8*$C118/1000</f>
        <v>1.1000000000000001</v>
      </c>
      <c r="I118" s="602">
        <v>2.76</v>
      </c>
      <c r="J118" s="602">
        <f>0.9+8*$C118/1000</f>
        <v>1.1000000000000001</v>
      </c>
      <c r="K118" s="509"/>
      <c r="L118" s="510">
        <f>SUM(H118:J118)+K118</f>
        <v>4.96</v>
      </c>
      <c r="M118" s="510">
        <f t="shared" si="0"/>
        <v>0</v>
      </c>
      <c r="N118" s="510">
        <f t="shared" si="1"/>
        <v>0</v>
      </c>
      <c r="O118" s="510">
        <f t="shared" si="2"/>
        <v>0</v>
      </c>
      <c r="P118" s="510">
        <f t="shared" si="3"/>
        <v>0</v>
      </c>
      <c r="Q118" s="510">
        <f t="shared" si="4"/>
        <v>0</v>
      </c>
      <c r="R118" s="510">
        <f t="shared" si="5"/>
        <v>9.92</v>
      </c>
    </row>
    <row r="119" spans="1:18">
      <c r="A119" s="505"/>
      <c r="B119" s="511" t="s">
        <v>773</v>
      </c>
      <c r="C119" s="507">
        <v>25</v>
      </c>
      <c r="D119" s="508"/>
      <c r="E119" s="507">
        <v>1</v>
      </c>
      <c r="F119" s="502">
        <v>1</v>
      </c>
      <c r="G119" s="502">
        <v>2</v>
      </c>
      <c r="H119" s="602">
        <f>0.9+8*$C119/1000</f>
        <v>1.1000000000000001</v>
      </c>
      <c r="I119" s="602">
        <v>2.76</v>
      </c>
      <c r="J119" s="602">
        <f>0.9+8*$C119/1000</f>
        <v>1.1000000000000001</v>
      </c>
      <c r="K119" s="509"/>
      <c r="L119" s="510">
        <f>SUM(H119:J119)+K119</f>
        <v>4.96</v>
      </c>
      <c r="M119" s="510">
        <f t="shared" si="0"/>
        <v>0</v>
      </c>
      <c r="N119" s="510">
        <f t="shared" si="1"/>
        <v>0</v>
      </c>
      <c r="O119" s="510">
        <f t="shared" si="2"/>
        <v>0</v>
      </c>
      <c r="P119" s="510">
        <f t="shared" si="3"/>
        <v>0</v>
      </c>
      <c r="Q119" s="510">
        <f t="shared" si="4"/>
        <v>0</v>
      </c>
      <c r="R119" s="510">
        <f t="shared" si="5"/>
        <v>9.92</v>
      </c>
    </row>
    <row r="120" spans="1:18">
      <c r="A120" s="505"/>
      <c r="B120" s="511" t="s">
        <v>774</v>
      </c>
      <c r="C120" s="507">
        <v>12</v>
      </c>
      <c r="D120" s="508"/>
      <c r="E120" s="507">
        <v>1</v>
      </c>
      <c r="F120" s="502">
        <v>1</v>
      </c>
      <c r="G120" s="502">
        <v>2</v>
      </c>
      <c r="H120" s="602">
        <f>0.44+8*$C120/1000</f>
        <v>0.53600000000000003</v>
      </c>
      <c r="I120" s="602">
        <v>2.76</v>
      </c>
      <c r="J120" s="602">
        <f>0.44+8*$C120/1000</f>
        <v>0.53600000000000003</v>
      </c>
      <c r="K120" s="509"/>
      <c r="L120" s="510">
        <f t="shared" ref="L120" si="60">SUM(H120:J120)+K120</f>
        <v>3.8319999999999999</v>
      </c>
      <c r="M120" s="510">
        <f t="shared" si="0"/>
        <v>0</v>
      </c>
      <c r="N120" s="510">
        <f t="shared" si="1"/>
        <v>0</v>
      </c>
      <c r="O120" s="510">
        <f t="shared" si="2"/>
        <v>7.66</v>
      </c>
      <c r="P120" s="510">
        <f t="shared" si="3"/>
        <v>0</v>
      </c>
      <c r="Q120" s="510">
        <f t="shared" si="4"/>
        <v>0</v>
      </c>
      <c r="R120" s="510">
        <f t="shared" si="5"/>
        <v>0</v>
      </c>
    </row>
    <row r="121" spans="1:18">
      <c r="A121" s="505"/>
      <c r="B121" s="511" t="s">
        <v>1079</v>
      </c>
      <c r="C121" s="507">
        <v>10</v>
      </c>
      <c r="D121" s="508">
        <v>100</v>
      </c>
      <c r="E121" s="507">
        <v>1</v>
      </c>
      <c r="F121" s="502">
        <v>1</v>
      </c>
      <c r="G121" s="502">
        <f>+ROUND(2/0.1,0)</f>
        <v>20</v>
      </c>
      <c r="H121" s="602"/>
      <c r="I121" s="602">
        <f>2*(0.18+0.45)+16*C121/1000</f>
        <v>1.42</v>
      </c>
      <c r="J121" s="235"/>
      <c r="K121" s="589"/>
      <c r="L121" s="510">
        <f>SUM(H121:J121)+K121</f>
        <v>1.42</v>
      </c>
      <c r="M121" s="510">
        <f t="shared" si="0"/>
        <v>0</v>
      </c>
      <c r="N121" s="510">
        <f t="shared" si="1"/>
        <v>28.4</v>
      </c>
      <c r="O121" s="510">
        <f t="shared" si="2"/>
        <v>0</v>
      </c>
      <c r="P121" s="510">
        <f t="shared" si="3"/>
        <v>0</v>
      </c>
      <c r="Q121" s="510">
        <f t="shared" si="4"/>
        <v>0</v>
      </c>
      <c r="R121" s="510">
        <f t="shared" si="5"/>
        <v>0</v>
      </c>
    </row>
    <row r="122" spans="1:18">
      <c r="A122" s="505"/>
      <c r="B122" s="511"/>
      <c r="C122" s="507">
        <v>10</v>
      </c>
      <c r="D122" s="508">
        <v>150</v>
      </c>
      <c r="E122" s="507">
        <v>1</v>
      </c>
      <c r="F122" s="502">
        <v>1</v>
      </c>
      <c r="G122" s="502">
        <f>+ROUND(0.76/0.15+1,0)</f>
        <v>6</v>
      </c>
      <c r="H122" s="602"/>
      <c r="I122" s="602">
        <f>2*(0.18+0.45)+16*C122/1000</f>
        <v>1.42</v>
      </c>
      <c r="J122" s="235"/>
      <c r="K122" s="509"/>
      <c r="L122" s="510">
        <f t="shared" ref="L122:L123" si="61">SUM(H122:J122)+K122</f>
        <v>1.42</v>
      </c>
      <c r="M122" s="510">
        <f t="shared" si="0"/>
        <v>0</v>
      </c>
      <c r="N122" s="510">
        <f t="shared" si="1"/>
        <v>8.52</v>
      </c>
      <c r="O122" s="510">
        <f t="shared" si="2"/>
        <v>0</v>
      </c>
      <c r="P122" s="510">
        <f t="shared" si="3"/>
        <v>0</v>
      </c>
      <c r="Q122" s="510">
        <f t="shared" si="4"/>
        <v>0</v>
      </c>
      <c r="R122" s="510">
        <f t="shared" si="5"/>
        <v>0</v>
      </c>
    </row>
    <row r="123" spans="1:18">
      <c r="A123" s="505" t="s">
        <v>772</v>
      </c>
      <c r="B123" s="520" t="s">
        <v>1092</v>
      </c>
      <c r="C123" s="507"/>
      <c r="D123" s="508"/>
      <c r="E123" s="507"/>
      <c r="F123" s="502"/>
      <c r="G123" s="502"/>
      <c r="H123" s="602"/>
      <c r="I123" s="602"/>
      <c r="J123" s="235"/>
      <c r="K123" s="509"/>
      <c r="L123" s="510">
        <f t="shared" si="61"/>
        <v>0</v>
      </c>
      <c r="M123" s="510">
        <f t="shared" si="0"/>
        <v>0</v>
      </c>
      <c r="N123" s="510">
        <f t="shared" si="1"/>
        <v>0</v>
      </c>
      <c r="O123" s="510">
        <f t="shared" si="2"/>
        <v>0</v>
      </c>
      <c r="P123" s="510">
        <f t="shared" si="3"/>
        <v>0</v>
      </c>
      <c r="Q123" s="510">
        <f t="shared" si="4"/>
        <v>0</v>
      </c>
      <c r="R123" s="510">
        <f t="shared" si="5"/>
        <v>0</v>
      </c>
    </row>
    <row r="124" spans="1:18">
      <c r="A124" s="505"/>
      <c r="B124" s="511" t="s">
        <v>740</v>
      </c>
      <c r="C124" s="507">
        <v>16</v>
      </c>
      <c r="D124" s="508"/>
      <c r="E124" s="507">
        <v>1</v>
      </c>
      <c r="F124" s="502">
        <v>1</v>
      </c>
      <c r="G124" s="502">
        <v>2</v>
      </c>
      <c r="H124" s="602">
        <f>0.58+8*$C124/1000</f>
        <v>0.70799999999999996</v>
      </c>
      <c r="I124" s="602">
        <v>6.79</v>
      </c>
      <c r="J124" s="602">
        <f>((0.79)/3)+0.1</f>
        <v>0.3633333333333334</v>
      </c>
      <c r="K124" s="509"/>
      <c r="L124" s="510">
        <f>SUM(H124:J124)+K124</f>
        <v>7.8613333333333335</v>
      </c>
      <c r="M124" s="510">
        <f t="shared" si="0"/>
        <v>0</v>
      </c>
      <c r="N124" s="510">
        <f t="shared" si="1"/>
        <v>0</v>
      </c>
      <c r="O124" s="510">
        <f t="shared" si="2"/>
        <v>0</v>
      </c>
      <c r="P124" s="510">
        <f t="shared" si="3"/>
        <v>15.72</v>
      </c>
      <c r="Q124" s="510">
        <f t="shared" si="4"/>
        <v>0</v>
      </c>
      <c r="R124" s="510">
        <f t="shared" si="5"/>
        <v>0</v>
      </c>
    </row>
    <row r="125" spans="1:18">
      <c r="A125" s="505"/>
      <c r="B125" s="511" t="s">
        <v>773</v>
      </c>
      <c r="C125" s="507">
        <v>16</v>
      </c>
      <c r="D125" s="508"/>
      <c r="E125" s="507">
        <v>1</v>
      </c>
      <c r="F125" s="502">
        <v>1</v>
      </c>
      <c r="G125" s="502">
        <v>2</v>
      </c>
      <c r="H125" s="602">
        <f>0.58+8*$C125/1000</f>
        <v>0.70799999999999996</v>
      </c>
      <c r="I125" s="602">
        <v>6.79</v>
      </c>
      <c r="J125" s="602">
        <f>((0.79)/3)+0.1</f>
        <v>0.3633333333333334</v>
      </c>
      <c r="K125" s="509"/>
      <c r="L125" s="510">
        <f t="shared" ref="L125" si="62">SUM(H125:J125)+K125</f>
        <v>7.8613333333333335</v>
      </c>
      <c r="M125" s="510">
        <f t="shared" si="0"/>
        <v>0</v>
      </c>
      <c r="N125" s="510">
        <f t="shared" si="1"/>
        <v>0</v>
      </c>
      <c r="O125" s="510">
        <f t="shared" si="2"/>
        <v>0</v>
      </c>
      <c r="P125" s="510">
        <f t="shared" si="3"/>
        <v>15.72</v>
      </c>
      <c r="Q125" s="510">
        <f t="shared" si="4"/>
        <v>0</v>
      </c>
      <c r="R125" s="510">
        <f t="shared" si="5"/>
        <v>0</v>
      </c>
    </row>
    <row r="126" spans="1:18">
      <c r="A126" s="505"/>
      <c r="B126" s="511" t="s">
        <v>778</v>
      </c>
      <c r="C126" s="507">
        <v>12</v>
      </c>
      <c r="D126" s="508"/>
      <c r="E126" s="507">
        <v>1</v>
      </c>
      <c r="F126" s="502">
        <v>1</v>
      </c>
      <c r="G126" s="502">
        <v>2</v>
      </c>
      <c r="H126" s="602"/>
      <c r="I126" s="602">
        <f>6.79-1.2</f>
        <v>5.59</v>
      </c>
      <c r="J126" s="235"/>
      <c r="K126" s="509"/>
      <c r="L126" s="510">
        <f t="shared" ref="L126" si="63">SUM(H126:J126)+K126</f>
        <v>5.59</v>
      </c>
      <c r="M126" s="510">
        <f t="shared" si="0"/>
        <v>0</v>
      </c>
      <c r="N126" s="510">
        <f t="shared" si="1"/>
        <v>0</v>
      </c>
      <c r="O126" s="510">
        <f t="shared" si="2"/>
        <v>11.18</v>
      </c>
      <c r="P126" s="510">
        <f t="shared" si="3"/>
        <v>0</v>
      </c>
      <c r="Q126" s="510">
        <f t="shared" si="4"/>
        <v>0</v>
      </c>
      <c r="R126" s="510">
        <f t="shared" si="5"/>
        <v>0</v>
      </c>
    </row>
    <row r="127" spans="1:18">
      <c r="A127" s="505"/>
      <c r="B127" s="511" t="s">
        <v>774</v>
      </c>
      <c r="C127" s="507">
        <v>16</v>
      </c>
      <c r="D127" s="508"/>
      <c r="E127" s="507">
        <v>1</v>
      </c>
      <c r="F127" s="502">
        <v>1</v>
      </c>
      <c r="G127" s="502">
        <v>2</v>
      </c>
      <c r="H127" s="602"/>
      <c r="I127" s="602">
        <v>2</v>
      </c>
      <c r="J127" s="602">
        <f>0.58+8*$C127/1000</f>
        <v>0.70799999999999996</v>
      </c>
      <c r="K127" s="509"/>
      <c r="L127" s="510">
        <f t="shared" ref="L127" si="64">SUM(H127:J127)+K127</f>
        <v>2.7080000000000002</v>
      </c>
      <c r="M127" s="510">
        <f t="shared" si="0"/>
        <v>0</v>
      </c>
      <c r="N127" s="510">
        <f t="shared" si="1"/>
        <v>0</v>
      </c>
      <c r="O127" s="510">
        <f t="shared" si="2"/>
        <v>0</v>
      </c>
      <c r="P127" s="510">
        <f t="shared" si="3"/>
        <v>5.42</v>
      </c>
      <c r="Q127" s="510">
        <f t="shared" si="4"/>
        <v>0</v>
      </c>
      <c r="R127" s="510">
        <f t="shared" si="5"/>
        <v>0</v>
      </c>
    </row>
    <row r="128" spans="1:18">
      <c r="A128" s="505"/>
      <c r="B128" s="511" t="s">
        <v>777</v>
      </c>
      <c r="C128" s="507">
        <v>8</v>
      </c>
      <c r="D128" s="508">
        <v>100</v>
      </c>
      <c r="E128" s="507">
        <v>1</v>
      </c>
      <c r="F128" s="502">
        <v>1</v>
      </c>
      <c r="G128" s="502">
        <f>+ROUND(3.395/0.1,0)</f>
        <v>34</v>
      </c>
      <c r="H128" s="602"/>
      <c r="I128" s="602">
        <f>2*(0.15+0.4)+16*C128/1000</f>
        <v>1.2280000000000002</v>
      </c>
      <c r="J128" s="235"/>
      <c r="K128" s="589"/>
      <c r="L128" s="510">
        <f>SUM(H128:J128)+K128</f>
        <v>1.2280000000000002</v>
      </c>
      <c r="M128" s="510">
        <f t="shared" si="0"/>
        <v>41.75</v>
      </c>
      <c r="N128" s="510">
        <f t="shared" si="1"/>
        <v>0</v>
      </c>
      <c r="O128" s="510">
        <f t="shared" si="2"/>
        <v>0</v>
      </c>
      <c r="P128" s="510">
        <f t="shared" si="3"/>
        <v>0</v>
      </c>
      <c r="Q128" s="510">
        <f t="shared" si="4"/>
        <v>0</v>
      </c>
      <c r="R128" s="510">
        <f t="shared" si="5"/>
        <v>0</v>
      </c>
    </row>
    <row r="129" spans="1:18">
      <c r="A129" s="505"/>
      <c r="B129" s="511"/>
      <c r="C129" s="507">
        <v>8</v>
      </c>
      <c r="D129" s="508">
        <v>150</v>
      </c>
      <c r="E129" s="507">
        <v>1</v>
      </c>
      <c r="F129" s="502">
        <v>1</v>
      </c>
      <c r="G129" s="502">
        <f>+ROUND(3.395/0.15+1,0)</f>
        <v>24</v>
      </c>
      <c r="H129" s="602"/>
      <c r="I129" s="602">
        <f>2*(0.15+0.4)+16*C129/1000</f>
        <v>1.2280000000000002</v>
      </c>
      <c r="J129" s="235"/>
      <c r="K129" s="509"/>
      <c r="L129" s="510">
        <f t="shared" ref="L129:L130" si="65">SUM(H129:J129)+K129</f>
        <v>1.2280000000000002</v>
      </c>
      <c r="M129" s="510">
        <f t="shared" si="0"/>
        <v>29.47</v>
      </c>
      <c r="N129" s="510">
        <f t="shared" si="1"/>
        <v>0</v>
      </c>
      <c r="O129" s="510">
        <f t="shared" si="2"/>
        <v>0</v>
      </c>
      <c r="P129" s="510">
        <f t="shared" si="3"/>
        <v>0</v>
      </c>
      <c r="Q129" s="510">
        <f t="shared" si="4"/>
        <v>0</v>
      </c>
      <c r="R129" s="510">
        <f t="shared" si="5"/>
        <v>0</v>
      </c>
    </row>
    <row r="130" spans="1:18">
      <c r="A130" s="505" t="s">
        <v>1075</v>
      </c>
      <c r="B130" s="520" t="s">
        <v>1093</v>
      </c>
      <c r="C130" s="507"/>
      <c r="D130" s="508"/>
      <c r="E130" s="507"/>
      <c r="F130" s="502"/>
      <c r="G130" s="502"/>
      <c r="H130" s="602"/>
      <c r="I130" s="602"/>
      <c r="J130" s="235"/>
      <c r="K130" s="509"/>
      <c r="L130" s="510">
        <f t="shared" si="65"/>
        <v>0</v>
      </c>
      <c r="M130" s="510">
        <f t="shared" si="0"/>
        <v>0</v>
      </c>
      <c r="N130" s="510">
        <f t="shared" si="1"/>
        <v>0</v>
      </c>
      <c r="O130" s="510">
        <f t="shared" si="2"/>
        <v>0</v>
      </c>
      <c r="P130" s="510">
        <f t="shared" si="3"/>
        <v>0</v>
      </c>
      <c r="Q130" s="510">
        <f t="shared" si="4"/>
        <v>0</v>
      </c>
      <c r="R130" s="510">
        <f t="shared" si="5"/>
        <v>0</v>
      </c>
    </row>
    <row r="131" spans="1:18">
      <c r="A131" s="505"/>
      <c r="B131" s="511" t="s">
        <v>740</v>
      </c>
      <c r="C131" s="507">
        <v>16</v>
      </c>
      <c r="D131" s="508"/>
      <c r="E131" s="507">
        <v>1</v>
      </c>
      <c r="F131" s="603">
        <v>0.5</v>
      </c>
      <c r="G131" s="502">
        <v>2</v>
      </c>
      <c r="H131" s="602">
        <f>((0.79)/3)+0.1</f>
        <v>0.3633333333333334</v>
      </c>
      <c r="I131" s="602">
        <v>5.05</v>
      </c>
      <c r="J131" s="602">
        <f>((0.79)/3)+0.1</f>
        <v>0.3633333333333334</v>
      </c>
      <c r="K131" s="509"/>
      <c r="L131" s="510">
        <f>SUM(H131:J131)+K131</f>
        <v>5.7766666666666664</v>
      </c>
      <c r="M131" s="510">
        <f t="shared" si="0"/>
        <v>0</v>
      </c>
      <c r="N131" s="510">
        <f t="shared" si="1"/>
        <v>0</v>
      </c>
      <c r="O131" s="510">
        <f t="shared" si="2"/>
        <v>0</v>
      </c>
      <c r="P131" s="510">
        <f t="shared" si="3"/>
        <v>5.78</v>
      </c>
      <c r="Q131" s="510">
        <f t="shared" si="4"/>
        <v>0</v>
      </c>
      <c r="R131" s="510">
        <f t="shared" si="5"/>
        <v>0</v>
      </c>
    </row>
    <row r="132" spans="1:18">
      <c r="A132" s="505"/>
      <c r="B132" s="511" t="s">
        <v>773</v>
      </c>
      <c r="C132" s="507">
        <v>20</v>
      </c>
      <c r="D132" s="508"/>
      <c r="E132" s="507">
        <v>1</v>
      </c>
      <c r="F132" s="603">
        <v>0.5</v>
      </c>
      <c r="G132" s="502">
        <v>2</v>
      </c>
      <c r="H132" s="602">
        <f>((0.98)/3)+0.1</f>
        <v>0.42666666666666664</v>
      </c>
      <c r="I132" s="602">
        <v>5.05</v>
      </c>
      <c r="J132" s="602">
        <f>((0.98)/3)+0.1</f>
        <v>0.42666666666666664</v>
      </c>
      <c r="K132" s="509"/>
      <c r="L132" s="510">
        <f t="shared" ref="L132" si="66">SUM(H132:J132)+K132</f>
        <v>5.9033333333333333</v>
      </c>
      <c r="M132" s="510">
        <f t="shared" si="0"/>
        <v>0</v>
      </c>
      <c r="N132" s="510">
        <f t="shared" si="1"/>
        <v>0</v>
      </c>
      <c r="O132" s="510">
        <f t="shared" si="2"/>
        <v>0</v>
      </c>
      <c r="P132" s="510">
        <f t="shared" si="3"/>
        <v>0</v>
      </c>
      <c r="Q132" s="510">
        <f t="shared" si="4"/>
        <v>5.9</v>
      </c>
      <c r="R132" s="510">
        <f t="shared" si="5"/>
        <v>0</v>
      </c>
    </row>
    <row r="133" spans="1:18">
      <c r="A133" s="505"/>
      <c r="B133" s="511" t="s">
        <v>780</v>
      </c>
      <c r="C133" s="507">
        <v>8</v>
      </c>
      <c r="D133" s="508">
        <v>100</v>
      </c>
      <c r="E133" s="507">
        <v>1</v>
      </c>
      <c r="F133" s="603">
        <v>0.5</v>
      </c>
      <c r="G133" s="502">
        <f>+ROUND(4.82/0.1+2,0)</f>
        <v>50</v>
      </c>
      <c r="H133" s="602"/>
      <c r="I133" s="602">
        <f>2*(0.18+0.3)+16*C133/1000</f>
        <v>1.0880000000000001</v>
      </c>
      <c r="J133" s="235"/>
      <c r="K133" s="589"/>
      <c r="L133" s="510">
        <f>SUM(H133:J133)+K133</f>
        <v>1.0880000000000001</v>
      </c>
      <c r="M133" s="510">
        <f t="shared" si="0"/>
        <v>27.2</v>
      </c>
      <c r="N133" s="510">
        <f t="shared" si="1"/>
        <v>0</v>
      </c>
      <c r="O133" s="510">
        <f t="shared" si="2"/>
        <v>0</v>
      </c>
      <c r="P133" s="510">
        <f t="shared" si="3"/>
        <v>0</v>
      </c>
      <c r="Q133" s="510">
        <f t="shared" si="4"/>
        <v>0</v>
      </c>
      <c r="R133" s="510">
        <f t="shared" si="5"/>
        <v>0</v>
      </c>
    </row>
    <row r="134" spans="1:18">
      <c r="A134" s="505" t="s">
        <v>779</v>
      </c>
      <c r="B134" s="520" t="s">
        <v>1094</v>
      </c>
      <c r="C134" s="507"/>
      <c r="D134" s="508"/>
      <c r="E134" s="507"/>
      <c r="F134" s="502"/>
      <c r="G134" s="502"/>
      <c r="H134" s="602"/>
      <c r="I134" s="602"/>
      <c r="J134" s="235"/>
      <c r="K134" s="509"/>
      <c r="L134" s="510">
        <f t="shared" ref="L134" si="67">SUM(H134:J134)+K134</f>
        <v>0</v>
      </c>
      <c r="M134" s="510">
        <f t="shared" si="0"/>
        <v>0</v>
      </c>
      <c r="N134" s="510">
        <f t="shared" si="1"/>
        <v>0</v>
      </c>
      <c r="O134" s="510">
        <f t="shared" si="2"/>
        <v>0</v>
      </c>
      <c r="P134" s="510">
        <f t="shared" si="3"/>
        <v>0</v>
      </c>
      <c r="Q134" s="510">
        <f t="shared" si="4"/>
        <v>0</v>
      </c>
      <c r="R134" s="510">
        <f t="shared" si="5"/>
        <v>0</v>
      </c>
    </row>
    <row r="135" spans="1:18">
      <c r="A135" s="505"/>
      <c r="B135" s="511" t="s">
        <v>740</v>
      </c>
      <c r="C135" s="507">
        <v>16</v>
      </c>
      <c r="D135" s="508"/>
      <c r="E135" s="507">
        <v>1</v>
      </c>
      <c r="F135" s="603">
        <v>0.5</v>
      </c>
      <c r="G135" s="502">
        <v>2</v>
      </c>
      <c r="H135" s="602">
        <f>0.58+8*$C135/1000</f>
        <v>0.70799999999999996</v>
      </c>
      <c r="I135" s="602">
        <v>11.75</v>
      </c>
      <c r="J135" s="602">
        <f>0.58+8*$C135/1000</f>
        <v>0.70799999999999996</v>
      </c>
      <c r="K135" s="509"/>
      <c r="L135" s="510">
        <f>SUM(H135:J135)+K135</f>
        <v>13.166</v>
      </c>
      <c r="M135" s="510">
        <f t="shared" si="0"/>
        <v>0</v>
      </c>
      <c r="N135" s="510">
        <f t="shared" si="1"/>
        <v>0</v>
      </c>
      <c r="O135" s="510">
        <f t="shared" si="2"/>
        <v>0</v>
      </c>
      <c r="P135" s="510">
        <f t="shared" si="3"/>
        <v>13.17</v>
      </c>
      <c r="Q135" s="510">
        <f t="shared" si="4"/>
        <v>0</v>
      </c>
      <c r="R135" s="510">
        <f t="shared" si="5"/>
        <v>0</v>
      </c>
    </row>
    <row r="136" spans="1:18">
      <c r="A136" s="505"/>
      <c r="B136" s="511" t="s">
        <v>773</v>
      </c>
      <c r="C136" s="507">
        <v>16</v>
      </c>
      <c r="D136" s="508"/>
      <c r="E136" s="507">
        <v>1</v>
      </c>
      <c r="F136" s="603">
        <v>0.5</v>
      </c>
      <c r="G136" s="502">
        <v>2</v>
      </c>
      <c r="H136" s="602">
        <f>0.58+8*$C136/1000</f>
        <v>0.70799999999999996</v>
      </c>
      <c r="I136" s="602">
        <v>11.75</v>
      </c>
      <c r="J136" s="602">
        <f>0.58+8*$C136/1000</f>
        <v>0.70799999999999996</v>
      </c>
      <c r="K136" s="509"/>
      <c r="L136" s="510">
        <f t="shared" ref="L136" si="68">SUM(H136:J136)+K136</f>
        <v>13.166</v>
      </c>
      <c r="M136" s="510">
        <f t="shared" si="0"/>
        <v>0</v>
      </c>
      <c r="N136" s="510">
        <f t="shared" si="1"/>
        <v>0</v>
      </c>
      <c r="O136" s="510">
        <f t="shared" si="2"/>
        <v>0</v>
      </c>
      <c r="P136" s="510">
        <f t="shared" si="3"/>
        <v>13.17</v>
      </c>
      <c r="Q136" s="510">
        <f t="shared" si="4"/>
        <v>0</v>
      </c>
      <c r="R136" s="510">
        <f t="shared" si="5"/>
        <v>0</v>
      </c>
    </row>
    <row r="137" spans="1:18">
      <c r="A137" s="505"/>
      <c r="B137" s="511" t="s">
        <v>778</v>
      </c>
      <c r="C137" s="507">
        <v>12</v>
      </c>
      <c r="D137" s="508"/>
      <c r="E137" s="507">
        <v>1</v>
      </c>
      <c r="F137" s="603">
        <v>0.5</v>
      </c>
      <c r="G137" s="502">
        <v>4</v>
      </c>
      <c r="H137" s="602"/>
      <c r="I137" s="602">
        <f>5.76-0.55-0.85</f>
        <v>4.3600000000000003</v>
      </c>
      <c r="J137" s="602"/>
      <c r="K137" s="509"/>
      <c r="L137" s="510">
        <f t="shared" ref="L137" si="69">SUM(H137:J137)+K137</f>
        <v>4.3600000000000003</v>
      </c>
      <c r="M137" s="510">
        <f t="shared" si="0"/>
        <v>0</v>
      </c>
      <c r="N137" s="510">
        <f t="shared" si="1"/>
        <v>0</v>
      </c>
      <c r="O137" s="510">
        <f t="shared" si="2"/>
        <v>8.7200000000000006</v>
      </c>
      <c r="P137" s="510">
        <f t="shared" si="3"/>
        <v>0</v>
      </c>
      <c r="Q137" s="510">
        <f t="shared" si="4"/>
        <v>0</v>
      </c>
      <c r="R137" s="510">
        <f t="shared" si="5"/>
        <v>0</v>
      </c>
    </row>
    <row r="138" spans="1:18">
      <c r="A138" s="505"/>
      <c r="B138" s="511" t="s">
        <v>774</v>
      </c>
      <c r="C138" s="507">
        <v>12</v>
      </c>
      <c r="D138" s="508"/>
      <c r="E138" s="507">
        <v>1</v>
      </c>
      <c r="F138" s="603">
        <v>0.5</v>
      </c>
      <c r="G138" s="502">
        <v>2</v>
      </c>
      <c r="H138" s="602"/>
      <c r="I138" s="602">
        <f>1.8+0.23+1.8</f>
        <v>3.83</v>
      </c>
      <c r="J138" s="602"/>
      <c r="K138" s="509"/>
      <c r="L138" s="510">
        <f t="shared" ref="L138" si="70">SUM(H138:J138)+K138</f>
        <v>3.83</v>
      </c>
      <c r="M138" s="510">
        <f t="shared" si="0"/>
        <v>0</v>
      </c>
      <c r="N138" s="510">
        <f t="shared" si="1"/>
        <v>0</v>
      </c>
      <c r="O138" s="510">
        <f t="shared" si="2"/>
        <v>3.83</v>
      </c>
      <c r="P138" s="510">
        <f t="shared" si="3"/>
        <v>0</v>
      </c>
      <c r="Q138" s="510">
        <f t="shared" si="4"/>
        <v>0</v>
      </c>
      <c r="R138" s="510">
        <f t="shared" si="5"/>
        <v>0</v>
      </c>
    </row>
    <row r="139" spans="1:18">
      <c r="A139" s="505"/>
      <c r="B139" s="511" t="s">
        <v>774</v>
      </c>
      <c r="C139" s="507">
        <v>12</v>
      </c>
      <c r="D139" s="508"/>
      <c r="E139" s="507">
        <v>1</v>
      </c>
      <c r="F139" s="603">
        <v>0.5</v>
      </c>
      <c r="G139" s="502">
        <v>4</v>
      </c>
      <c r="H139" s="602">
        <f>0.59+8*$C139/1000</f>
        <v>0.68599999999999994</v>
      </c>
      <c r="I139" s="602">
        <v>1.8</v>
      </c>
      <c r="J139" s="602"/>
      <c r="K139" s="509"/>
      <c r="L139" s="510">
        <f t="shared" ref="L139" si="71">SUM(H139:J139)+K139</f>
        <v>2.4859999999999998</v>
      </c>
      <c r="M139" s="510">
        <f t="shared" si="0"/>
        <v>0</v>
      </c>
      <c r="N139" s="510">
        <f t="shared" si="1"/>
        <v>0</v>
      </c>
      <c r="O139" s="510">
        <f t="shared" si="2"/>
        <v>4.97</v>
      </c>
      <c r="P139" s="510">
        <f t="shared" si="3"/>
        <v>0</v>
      </c>
      <c r="Q139" s="510">
        <f t="shared" si="4"/>
        <v>0</v>
      </c>
      <c r="R139" s="510">
        <f t="shared" si="5"/>
        <v>0</v>
      </c>
    </row>
    <row r="140" spans="1:18">
      <c r="A140" s="505"/>
      <c r="B140" s="511" t="s">
        <v>780</v>
      </c>
      <c r="C140" s="507">
        <v>8</v>
      </c>
      <c r="D140" s="508">
        <v>100</v>
      </c>
      <c r="E140" s="507">
        <v>1</v>
      </c>
      <c r="F140" s="603">
        <v>0.5</v>
      </c>
      <c r="G140" s="502">
        <f>+ROUND(2.88/0.1+1,0)*2</f>
        <v>60</v>
      </c>
      <c r="H140" s="602"/>
      <c r="I140" s="602">
        <f>2*(0.18+0.4)+16*C140/1000</f>
        <v>1.2880000000000003</v>
      </c>
      <c r="J140" s="235"/>
      <c r="K140" s="589"/>
      <c r="L140" s="510">
        <f>SUM(H140:J140)+K140</f>
        <v>1.2880000000000003</v>
      </c>
      <c r="M140" s="510">
        <f t="shared" si="0"/>
        <v>38.64</v>
      </c>
      <c r="N140" s="510">
        <f t="shared" si="1"/>
        <v>0</v>
      </c>
      <c r="O140" s="510">
        <f t="shared" si="2"/>
        <v>0</v>
      </c>
      <c r="P140" s="510">
        <f t="shared" si="3"/>
        <v>0</v>
      </c>
      <c r="Q140" s="510">
        <f t="shared" si="4"/>
        <v>0</v>
      </c>
      <c r="R140" s="510">
        <f t="shared" si="5"/>
        <v>0</v>
      </c>
    </row>
    <row r="141" spans="1:18">
      <c r="A141" s="505"/>
      <c r="B141" s="511" t="s">
        <v>780</v>
      </c>
      <c r="C141" s="507">
        <v>8</v>
      </c>
      <c r="D141" s="508">
        <v>150</v>
      </c>
      <c r="E141" s="507">
        <v>1</v>
      </c>
      <c r="F141" s="603">
        <v>0.5</v>
      </c>
      <c r="G141" s="502">
        <f>+ROUND(2.88/0.5+1,0)*2</f>
        <v>14</v>
      </c>
      <c r="H141" s="602"/>
      <c r="I141" s="602">
        <f>2*(0.18+0.4)+16*C141/1000</f>
        <v>1.2880000000000003</v>
      </c>
      <c r="J141" s="235"/>
      <c r="K141" s="589"/>
      <c r="L141" s="510">
        <f>SUM(H141:J141)+K141</f>
        <v>1.2880000000000003</v>
      </c>
      <c r="M141" s="510">
        <f t="shared" si="0"/>
        <v>9.02</v>
      </c>
      <c r="N141" s="510">
        <f t="shared" si="1"/>
        <v>0</v>
      </c>
      <c r="O141" s="510">
        <f t="shared" si="2"/>
        <v>0</v>
      </c>
      <c r="P141" s="510">
        <f t="shared" si="3"/>
        <v>0</v>
      </c>
      <c r="Q141" s="510">
        <f t="shared" si="4"/>
        <v>0</v>
      </c>
      <c r="R141" s="510">
        <f t="shared" si="5"/>
        <v>0</v>
      </c>
    </row>
    <row r="142" spans="1:18">
      <c r="A142" s="505" t="s">
        <v>772</v>
      </c>
      <c r="B142" s="520" t="s">
        <v>1095</v>
      </c>
      <c r="C142" s="507"/>
      <c r="D142" s="508"/>
      <c r="E142" s="507"/>
      <c r="F142" s="502"/>
      <c r="G142" s="502"/>
      <c r="H142" s="602"/>
      <c r="I142" s="602"/>
      <c r="J142" s="235"/>
      <c r="K142" s="509"/>
      <c r="L142" s="510">
        <f t="shared" ref="L142" si="72">SUM(H142:J142)+K142</f>
        <v>0</v>
      </c>
      <c r="M142" s="510">
        <f t="shared" si="0"/>
        <v>0</v>
      </c>
      <c r="N142" s="510">
        <f t="shared" si="1"/>
        <v>0</v>
      </c>
      <c r="O142" s="510">
        <f t="shared" si="2"/>
        <v>0</v>
      </c>
      <c r="P142" s="510">
        <f t="shared" si="3"/>
        <v>0</v>
      </c>
      <c r="Q142" s="510">
        <f t="shared" si="4"/>
        <v>0</v>
      </c>
      <c r="R142" s="510">
        <f t="shared" si="5"/>
        <v>0</v>
      </c>
    </row>
    <row r="143" spans="1:18">
      <c r="A143" s="505"/>
      <c r="B143" s="511" t="s">
        <v>740</v>
      </c>
      <c r="C143" s="507">
        <v>16</v>
      </c>
      <c r="D143" s="508"/>
      <c r="E143" s="507">
        <v>1</v>
      </c>
      <c r="F143" s="502">
        <v>1</v>
      </c>
      <c r="G143" s="502">
        <v>2</v>
      </c>
      <c r="H143" s="602">
        <f>0.58+8*$C143/1000</f>
        <v>0.70799999999999996</v>
      </c>
      <c r="I143" s="602">
        <v>2.2200000000000002</v>
      </c>
      <c r="J143" s="602">
        <f>0.58+8*$C143/1000</f>
        <v>0.70799999999999996</v>
      </c>
      <c r="K143" s="509"/>
      <c r="L143" s="510">
        <f>SUM(H143:J143)+K143</f>
        <v>3.6360000000000001</v>
      </c>
      <c r="M143" s="510">
        <f t="shared" si="0"/>
        <v>0</v>
      </c>
      <c r="N143" s="510">
        <f t="shared" si="1"/>
        <v>0</v>
      </c>
      <c r="O143" s="510">
        <f t="shared" si="2"/>
        <v>0</v>
      </c>
      <c r="P143" s="510">
        <f t="shared" si="3"/>
        <v>7.27</v>
      </c>
      <c r="Q143" s="510">
        <f t="shared" si="4"/>
        <v>0</v>
      </c>
      <c r="R143" s="510">
        <f t="shared" si="5"/>
        <v>0</v>
      </c>
    </row>
    <row r="144" spans="1:18">
      <c r="A144" s="505"/>
      <c r="B144" s="511" t="s">
        <v>773</v>
      </c>
      <c r="C144" s="507">
        <v>20</v>
      </c>
      <c r="D144" s="508"/>
      <c r="E144" s="507">
        <v>1</v>
      </c>
      <c r="F144" s="502">
        <v>1</v>
      </c>
      <c r="G144" s="502">
        <v>2</v>
      </c>
      <c r="H144" s="602">
        <f>0.72+8*$C144/1000</f>
        <v>0.88</v>
      </c>
      <c r="I144" s="602">
        <v>2.2200000000000002</v>
      </c>
      <c r="J144" s="602">
        <f>0.72+8*$C144/1000</f>
        <v>0.88</v>
      </c>
      <c r="K144" s="509"/>
      <c r="L144" s="510">
        <f t="shared" ref="L144" si="73">SUM(H144:J144)+K144</f>
        <v>3.98</v>
      </c>
      <c r="M144" s="510">
        <f t="shared" si="0"/>
        <v>0</v>
      </c>
      <c r="N144" s="510">
        <f t="shared" si="1"/>
        <v>0</v>
      </c>
      <c r="O144" s="510">
        <f t="shared" si="2"/>
        <v>0</v>
      </c>
      <c r="P144" s="510">
        <f t="shared" si="3"/>
        <v>0</v>
      </c>
      <c r="Q144" s="510">
        <f t="shared" si="4"/>
        <v>7.96</v>
      </c>
      <c r="R144" s="510">
        <f t="shared" si="5"/>
        <v>0</v>
      </c>
    </row>
    <row r="145" spans="1:18">
      <c r="A145" s="505"/>
      <c r="B145" s="511" t="s">
        <v>780</v>
      </c>
      <c r="C145" s="507">
        <v>8</v>
      </c>
      <c r="D145" s="508">
        <v>100</v>
      </c>
      <c r="E145" s="507">
        <v>1</v>
      </c>
      <c r="F145" s="502">
        <v>1</v>
      </c>
      <c r="G145" s="502">
        <f>+ROUND(2.22/0.1+1,0)</f>
        <v>23</v>
      </c>
      <c r="H145" s="602"/>
      <c r="I145" s="602">
        <f>2*(0.15+0.4)+16*C145/1000</f>
        <v>1.2280000000000002</v>
      </c>
      <c r="J145" s="235"/>
      <c r="K145" s="589"/>
      <c r="L145" s="510">
        <f>SUM(H145:J145)+K145</f>
        <v>1.2280000000000002</v>
      </c>
      <c r="M145" s="510">
        <f t="shared" si="0"/>
        <v>28.24</v>
      </c>
      <c r="N145" s="510">
        <f t="shared" si="1"/>
        <v>0</v>
      </c>
      <c r="O145" s="510">
        <f t="shared" si="2"/>
        <v>0</v>
      </c>
      <c r="P145" s="510">
        <f t="shared" si="3"/>
        <v>0</v>
      </c>
      <c r="Q145" s="510">
        <f t="shared" si="4"/>
        <v>0</v>
      </c>
      <c r="R145" s="510">
        <f t="shared" si="5"/>
        <v>0</v>
      </c>
    </row>
    <row r="146" spans="1:18">
      <c r="A146" s="505" t="s">
        <v>772</v>
      </c>
      <c r="B146" s="520" t="s">
        <v>1096</v>
      </c>
      <c r="C146" s="507"/>
      <c r="D146" s="508"/>
      <c r="E146" s="507"/>
      <c r="F146" s="502"/>
      <c r="G146" s="502"/>
      <c r="H146" s="602"/>
      <c r="I146" s="602"/>
      <c r="J146" s="235"/>
      <c r="K146" s="509"/>
      <c r="L146" s="510">
        <f t="shared" ref="L146" si="74">SUM(H146:J146)+K146</f>
        <v>0</v>
      </c>
      <c r="M146" s="510">
        <f t="shared" si="0"/>
        <v>0</v>
      </c>
      <c r="N146" s="510">
        <f t="shared" si="1"/>
        <v>0</v>
      </c>
      <c r="O146" s="510">
        <f t="shared" si="2"/>
        <v>0</v>
      </c>
      <c r="P146" s="510">
        <f t="shared" si="3"/>
        <v>0</v>
      </c>
      <c r="Q146" s="510">
        <f t="shared" si="4"/>
        <v>0</v>
      </c>
      <c r="R146" s="510">
        <f t="shared" si="5"/>
        <v>0</v>
      </c>
    </row>
    <row r="147" spans="1:18">
      <c r="A147" s="505"/>
      <c r="B147" s="511" t="s">
        <v>740</v>
      </c>
      <c r="C147" s="507">
        <v>16</v>
      </c>
      <c r="D147" s="508"/>
      <c r="E147" s="507">
        <v>1</v>
      </c>
      <c r="F147" s="502">
        <v>1</v>
      </c>
      <c r="G147" s="502">
        <v>2</v>
      </c>
      <c r="H147" s="602">
        <f>0.58+8*$C147/1000</f>
        <v>0.70799999999999996</v>
      </c>
      <c r="I147" s="602">
        <v>5.63</v>
      </c>
      <c r="J147" s="602">
        <f>0.58+8*$C147/1000</f>
        <v>0.70799999999999996</v>
      </c>
      <c r="K147" s="509"/>
      <c r="L147" s="510">
        <f>SUM(H147:J147)+K147</f>
        <v>7.0460000000000003</v>
      </c>
      <c r="M147" s="510">
        <f t="shared" si="0"/>
        <v>0</v>
      </c>
      <c r="N147" s="510">
        <f t="shared" si="1"/>
        <v>0</v>
      </c>
      <c r="O147" s="510">
        <f t="shared" si="2"/>
        <v>0</v>
      </c>
      <c r="P147" s="510">
        <f t="shared" si="3"/>
        <v>14.09</v>
      </c>
      <c r="Q147" s="510">
        <f t="shared" si="4"/>
        <v>0</v>
      </c>
      <c r="R147" s="510">
        <f t="shared" si="5"/>
        <v>0</v>
      </c>
    </row>
    <row r="148" spans="1:18">
      <c r="A148" s="505"/>
      <c r="B148" s="511" t="s">
        <v>773</v>
      </c>
      <c r="C148" s="507">
        <v>16</v>
      </c>
      <c r="D148" s="508"/>
      <c r="E148" s="507">
        <v>1</v>
      </c>
      <c r="F148" s="502">
        <v>1</v>
      </c>
      <c r="G148" s="502">
        <v>2</v>
      </c>
      <c r="H148" s="602">
        <f>0.58+8*$C148/1000</f>
        <v>0.70799999999999996</v>
      </c>
      <c r="I148" s="602">
        <v>5.63</v>
      </c>
      <c r="J148" s="602">
        <f>0.58+8*$C148/1000</f>
        <v>0.70799999999999996</v>
      </c>
      <c r="K148" s="509"/>
      <c r="L148" s="510">
        <f t="shared" ref="L148" si="75">SUM(H148:J148)+K148</f>
        <v>7.0460000000000003</v>
      </c>
      <c r="M148" s="510">
        <f t="shared" si="0"/>
        <v>0</v>
      </c>
      <c r="N148" s="510">
        <f t="shared" si="1"/>
        <v>0</v>
      </c>
      <c r="O148" s="510">
        <f t="shared" si="2"/>
        <v>0</v>
      </c>
      <c r="P148" s="510">
        <f t="shared" si="3"/>
        <v>14.09</v>
      </c>
      <c r="Q148" s="510">
        <f t="shared" si="4"/>
        <v>0</v>
      </c>
      <c r="R148" s="510">
        <f t="shared" si="5"/>
        <v>0</v>
      </c>
    </row>
    <row r="149" spans="1:18">
      <c r="A149" s="505"/>
      <c r="B149" s="511" t="s">
        <v>778</v>
      </c>
      <c r="C149" s="507">
        <v>12</v>
      </c>
      <c r="D149" s="508"/>
      <c r="E149" s="507">
        <v>1</v>
      </c>
      <c r="F149" s="502">
        <v>1</v>
      </c>
      <c r="G149" s="502">
        <v>2</v>
      </c>
      <c r="H149" s="602"/>
      <c r="I149" s="602">
        <f>5.63-1.1</f>
        <v>4.5299999999999994</v>
      </c>
      <c r="J149" s="235"/>
      <c r="K149" s="509"/>
      <c r="L149" s="510">
        <f t="shared" ref="L149:L150" si="76">SUM(H149:J149)+K149</f>
        <v>4.5299999999999994</v>
      </c>
      <c r="M149" s="510">
        <f t="shared" si="0"/>
        <v>0</v>
      </c>
      <c r="N149" s="510">
        <f t="shared" si="1"/>
        <v>0</v>
      </c>
      <c r="O149" s="510">
        <f t="shared" si="2"/>
        <v>9.06</v>
      </c>
      <c r="P149" s="510">
        <f t="shared" si="3"/>
        <v>0</v>
      </c>
      <c r="Q149" s="510">
        <f t="shared" si="4"/>
        <v>0</v>
      </c>
      <c r="R149" s="510">
        <f t="shared" si="5"/>
        <v>0</v>
      </c>
    </row>
    <row r="150" spans="1:18">
      <c r="A150" s="505"/>
      <c r="B150" s="511" t="s">
        <v>774</v>
      </c>
      <c r="C150" s="507">
        <v>12</v>
      </c>
      <c r="D150" s="508"/>
      <c r="E150" s="507">
        <v>1</v>
      </c>
      <c r="F150" s="502">
        <v>1</v>
      </c>
      <c r="G150" s="502">
        <v>4</v>
      </c>
      <c r="H150" s="602">
        <f>0.44+8*$C150/1000</f>
        <v>0.53600000000000003</v>
      </c>
      <c r="I150" s="602">
        <v>1.6</v>
      </c>
      <c r="J150" s="235"/>
      <c r="K150" s="509"/>
      <c r="L150" s="510">
        <f t="shared" si="76"/>
        <v>2.1360000000000001</v>
      </c>
      <c r="M150" s="510">
        <f t="shared" si="0"/>
        <v>0</v>
      </c>
      <c r="N150" s="510">
        <f t="shared" si="1"/>
        <v>0</v>
      </c>
      <c r="O150" s="510">
        <f t="shared" si="2"/>
        <v>8.5399999999999991</v>
      </c>
      <c r="P150" s="510">
        <f t="shared" si="3"/>
        <v>0</v>
      </c>
      <c r="Q150" s="510">
        <f t="shared" si="4"/>
        <v>0</v>
      </c>
      <c r="R150" s="510">
        <f t="shared" si="5"/>
        <v>0</v>
      </c>
    </row>
    <row r="151" spans="1:18">
      <c r="A151" s="505"/>
      <c r="B151" s="511" t="s">
        <v>777</v>
      </c>
      <c r="C151" s="507">
        <v>8</v>
      </c>
      <c r="D151" s="508">
        <v>100</v>
      </c>
      <c r="E151" s="507">
        <v>1</v>
      </c>
      <c r="F151" s="502">
        <v>1</v>
      </c>
      <c r="G151" s="502">
        <f>+ROUND(2.815/0.1,0)</f>
        <v>28</v>
      </c>
      <c r="H151" s="602"/>
      <c r="I151" s="602">
        <f>2*(0.15+0.4)+16*C151/1000</f>
        <v>1.2280000000000002</v>
      </c>
      <c r="J151" s="235"/>
      <c r="K151" s="589"/>
      <c r="L151" s="510">
        <f t="shared" ref="L151:L152" si="77">SUM(H151:J151)+K151</f>
        <v>1.2280000000000002</v>
      </c>
      <c r="M151" s="510">
        <f t="shared" si="0"/>
        <v>34.380000000000003</v>
      </c>
      <c r="N151" s="510">
        <f t="shared" si="1"/>
        <v>0</v>
      </c>
      <c r="O151" s="510">
        <f t="shared" si="2"/>
        <v>0</v>
      </c>
      <c r="P151" s="510">
        <f t="shared" si="3"/>
        <v>0</v>
      </c>
      <c r="Q151" s="510">
        <f t="shared" si="4"/>
        <v>0</v>
      </c>
      <c r="R151" s="510">
        <f t="shared" si="5"/>
        <v>0</v>
      </c>
    </row>
    <row r="152" spans="1:18">
      <c r="A152" s="505"/>
      <c r="B152" s="511"/>
      <c r="C152" s="507">
        <v>8</v>
      </c>
      <c r="D152" s="508">
        <v>150</v>
      </c>
      <c r="E152" s="507">
        <v>1</v>
      </c>
      <c r="F152" s="502">
        <v>1</v>
      </c>
      <c r="G152" s="502">
        <f>+ROUND(2.815/0.15+1,0)</f>
        <v>20</v>
      </c>
      <c r="H152" s="602"/>
      <c r="I152" s="602">
        <f>2*(0.15+0.4)+16*C152/1000</f>
        <v>1.2280000000000002</v>
      </c>
      <c r="J152" s="235"/>
      <c r="K152" s="589"/>
      <c r="L152" s="510">
        <f t="shared" si="77"/>
        <v>1.2280000000000002</v>
      </c>
      <c r="M152" s="510">
        <f t="shared" si="0"/>
        <v>24.56</v>
      </c>
      <c r="N152" s="510">
        <f t="shared" si="1"/>
        <v>0</v>
      </c>
      <c r="O152" s="510">
        <f t="shared" si="2"/>
        <v>0</v>
      </c>
      <c r="P152" s="510">
        <f t="shared" si="3"/>
        <v>0</v>
      </c>
      <c r="Q152" s="510">
        <f t="shared" si="4"/>
        <v>0</v>
      </c>
      <c r="R152" s="510">
        <f t="shared" si="5"/>
        <v>0</v>
      </c>
    </row>
    <row r="153" spans="1:18">
      <c r="A153" s="505" t="s">
        <v>772</v>
      </c>
      <c r="B153" s="520" t="s">
        <v>1097</v>
      </c>
      <c r="C153" s="507"/>
      <c r="D153" s="508"/>
      <c r="E153" s="507"/>
      <c r="F153" s="502"/>
      <c r="G153" s="502"/>
      <c r="H153" s="602"/>
      <c r="I153" s="602"/>
      <c r="J153" s="235"/>
      <c r="K153" s="509"/>
      <c r="L153" s="510">
        <f t="shared" ref="L153" si="78">SUM(H153:J153)+K153</f>
        <v>0</v>
      </c>
      <c r="M153" s="510">
        <f t="shared" si="0"/>
        <v>0</v>
      </c>
      <c r="N153" s="510">
        <f t="shared" si="1"/>
        <v>0</v>
      </c>
      <c r="O153" s="510">
        <f t="shared" si="2"/>
        <v>0</v>
      </c>
      <c r="P153" s="510">
        <f t="shared" si="3"/>
        <v>0</v>
      </c>
      <c r="Q153" s="510">
        <f t="shared" si="4"/>
        <v>0</v>
      </c>
      <c r="R153" s="510">
        <f t="shared" si="5"/>
        <v>0</v>
      </c>
    </row>
    <row r="154" spans="1:18">
      <c r="A154" s="505"/>
      <c r="B154" s="511" t="s">
        <v>740</v>
      </c>
      <c r="C154" s="507">
        <v>16</v>
      </c>
      <c r="D154" s="508"/>
      <c r="E154" s="507">
        <v>1</v>
      </c>
      <c r="F154" s="502">
        <v>1</v>
      </c>
      <c r="G154" s="502">
        <v>2</v>
      </c>
      <c r="H154" s="602">
        <f>((0.79)/3)+0.1</f>
        <v>0.3633333333333334</v>
      </c>
      <c r="I154" s="602">
        <v>9.8149999999999995</v>
      </c>
      <c r="J154" s="602">
        <f>((0.79)/3)+0.1</f>
        <v>0.3633333333333334</v>
      </c>
      <c r="K154" s="509"/>
      <c r="L154" s="510">
        <f>SUM(H154:J154)+K154</f>
        <v>10.541666666666666</v>
      </c>
      <c r="M154" s="510">
        <f t="shared" si="0"/>
        <v>0</v>
      </c>
      <c r="N154" s="510">
        <f t="shared" si="1"/>
        <v>0</v>
      </c>
      <c r="O154" s="510">
        <f t="shared" si="2"/>
        <v>0</v>
      </c>
      <c r="P154" s="510">
        <f t="shared" si="3"/>
        <v>21.08</v>
      </c>
      <c r="Q154" s="510">
        <f t="shared" si="4"/>
        <v>0</v>
      </c>
      <c r="R154" s="510">
        <f t="shared" si="5"/>
        <v>0</v>
      </c>
    </row>
    <row r="155" spans="1:18">
      <c r="A155" s="505"/>
      <c r="B155" s="511" t="s">
        <v>773</v>
      </c>
      <c r="C155" s="507">
        <v>16</v>
      </c>
      <c r="D155" s="508"/>
      <c r="E155" s="507">
        <v>1</v>
      </c>
      <c r="F155" s="502">
        <v>1</v>
      </c>
      <c r="G155" s="502">
        <v>2</v>
      </c>
      <c r="H155" s="602">
        <f>((0.79)/3)+0.1</f>
        <v>0.3633333333333334</v>
      </c>
      <c r="I155" s="602">
        <v>9.8149999999999995</v>
      </c>
      <c r="J155" s="602">
        <f>((0.79)/3)+0.1</f>
        <v>0.3633333333333334</v>
      </c>
      <c r="K155" s="509"/>
      <c r="L155" s="510">
        <f t="shared" ref="L155" si="79">SUM(H155:J155)+K155</f>
        <v>10.541666666666666</v>
      </c>
      <c r="M155" s="510">
        <f t="shared" si="0"/>
        <v>0</v>
      </c>
      <c r="N155" s="510">
        <f t="shared" si="1"/>
        <v>0</v>
      </c>
      <c r="O155" s="510">
        <f t="shared" si="2"/>
        <v>0</v>
      </c>
      <c r="P155" s="510">
        <f t="shared" si="3"/>
        <v>21.08</v>
      </c>
      <c r="Q155" s="510">
        <f t="shared" si="4"/>
        <v>0</v>
      </c>
      <c r="R155" s="510">
        <f t="shared" si="5"/>
        <v>0</v>
      </c>
    </row>
    <row r="156" spans="1:18">
      <c r="A156" s="505"/>
      <c r="B156" s="511" t="s">
        <v>778</v>
      </c>
      <c r="C156" s="507">
        <v>12</v>
      </c>
      <c r="D156" s="508"/>
      <c r="E156" s="507">
        <v>1</v>
      </c>
      <c r="F156" s="502">
        <v>1</v>
      </c>
      <c r="G156" s="502">
        <v>2</v>
      </c>
      <c r="H156" s="602"/>
      <c r="I156" s="602">
        <f>5.63-1.6</f>
        <v>4.0299999999999994</v>
      </c>
      <c r="J156" s="235"/>
      <c r="K156" s="509"/>
      <c r="L156" s="510">
        <f t="shared" ref="L156:L157" si="80">SUM(H156:J156)+K156</f>
        <v>4.0299999999999994</v>
      </c>
      <c r="M156" s="510">
        <f t="shared" si="0"/>
        <v>0</v>
      </c>
      <c r="N156" s="510">
        <f t="shared" si="1"/>
        <v>0</v>
      </c>
      <c r="O156" s="510">
        <f t="shared" si="2"/>
        <v>8.06</v>
      </c>
      <c r="P156" s="510">
        <f t="shared" si="3"/>
        <v>0</v>
      </c>
      <c r="Q156" s="510">
        <f t="shared" si="4"/>
        <v>0</v>
      </c>
      <c r="R156" s="510">
        <f t="shared" si="5"/>
        <v>0</v>
      </c>
    </row>
    <row r="157" spans="1:18">
      <c r="A157" s="505"/>
      <c r="B157" s="511" t="s">
        <v>774</v>
      </c>
      <c r="C157" s="507">
        <v>12</v>
      </c>
      <c r="D157" s="508"/>
      <c r="E157" s="507">
        <v>1</v>
      </c>
      <c r="F157" s="502">
        <v>1</v>
      </c>
      <c r="G157" s="502">
        <v>2</v>
      </c>
      <c r="H157" s="602"/>
      <c r="I157" s="602">
        <f>0.6+0.2+1.6</f>
        <v>2.4000000000000004</v>
      </c>
      <c r="J157" s="235"/>
      <c r="K157" s="509"/>
      <c r="L157" s="510">
        <f t="shared" si="80"/>
        <v>2.4000000000000004</v>
      </c>
      <c r="M157" s="510">
        <f t="shared" si="0"/>
        <v>0</v>
      </c>
      <c r="N157" s="510">
        <f t="shared" si="1"/>
        <v>0</v>
      </c>
      <c r="O157" s="510">
        <f t="shared" si="2"/>
        <v>4.8</v>
      </c>
      <c r="P157" s="510">
        <f t="shared" si="3"/>
        <v>0</v>
      </c>
      <c r="Q157" s="510">
        <f t="shared" si="4"/>
        <v>0</v>
      </c>
      <c r="R157" s="510">
        <f t="shared" si="5"/>
        <v>0</v>
      </c>
    </row>
    <row r="158" spans="1:18">
      <c r="A158" s="505"/>
      <c r="B158" s="511"/>
      <c r="C158" s="507">
        <v>12</v>
      </c>
      <c r="D158" s="508"/>
      <c r="E158" s="507">
        <v>1</v>
      </c>
      <c r="F158" s="502">
        <v>1</v>
      </c>
      <c r="G158" s="502">
        <v>2</v>
      </c>
      <c r="H158" s="602"/>
      <c r="I158" s="602">
        <f>0.4+0.23+1.6</f>
        <v>2.23</v>
      </c>
      <c r="J158" s="235"/>
      <c r="K158" s="509"/>
      <c r="L158" s="510">
        <f t="shared" ref="L158" si="81">SUM(H158:J158)+K158</f>
        <v>2.23</v>
      </c>
      <c r="M158" s="510">
        <f t="shared" si="0"/>
        <v>0</v>
      </c>
      <c r="N158" s="510">
        <f t="shared" si="1"/>
        <v>0</v>
      </c>
      <c r="O158" s="510">
        <f t="shared" si="2"/>
        <v>4.46</v>
      </c>
      <c r="P158" s="510">
        <f t="shared" si="3"/>
        <v>0</v>
      </c>
      <c r="Q158" s="510">
        <f t="shared" si="4"/>
        <v>0</v>
      </c>
      <c r="R158" s="510">
        <f t="shared" si="5"/>
        <v>0</v>
      </c>
    </row>
    <row r="159" spans="1:18">
      <c r="A159" s="505"/>
      <c r="B159" s="511"/>
      <c r="C159" s="507">
        <v>12</v>
      </c>
      <c r="D159" s="508"/>
      <c r="E159" s="507">
        <v>1</v>
      </c>
      <c r="F159" s="502">
        <v>1</v>
      </c>
      <c r="G159" s="502">
        <v>2</v>
      </c>
      <c r="H159" s="602"/>
      <c r="I159" s="602">
        <f>1.2-0.03</f>
        <v>1.17</v>
      </c>
      <c r="J159" s="235">
        <v>0.3</v>
      </c>
      <c r="K159" s="509"/>
      <c r="L159" s="510">
        <f t="shared" ref="L159" si="82">SUM(H159:J159)+K159</f>
        <v>1.47</v>
      </c>
      <c r="M159" s="510">
        <f t="shared" si="0"/>
        <v>0</v>
      </c>
      <c r="N159" s="510">
        <f t="shared" si="1"/>
        <v>0</v>
      </c>
      <c r="O159" s="510">
        <f t="shared" si="2"/>
        <v>2.94</v>
      </c>
      <c r="P159" s="510">
        <f t="shared" si="3"/>
        <v>0</v>
      </c>
      <c r="Q159" s="510">
        <f t="shared" si="4"/>
        <v>0</v>
      </c>
      <c r="R159" s="510">
        <f t="shared" si="5"/>
        <v>0</v>
      </c>
    </row>
    <row r="160" spans="1:18">
      <c r="A160" s="505"/>
      <c r="B160" s="511" t="s">
        <v>1079</v>
      </c>
      <c r="C160" s="507">
        <v>8</v>
      </c>
      <c r="D160" s="508">
        <v>100</v>
      </c>
      <c r="E160" s="507">
        <v>1</v>
      </c>
      <c r="F160" s="502">
        <v>1</v>
      </c>
      <c r="G160" s="502">
        <f>+ROUND(1.5/0.1+1,0)</f>
        <v>16</v>
      </c>
      <c r="H160" s="602"/>
      <c r="I160" s="602">
        <f>2*(0.15+0.45)+16*C160/1000</f>
        <v>1.3279999999999998</v>
      </c>
      <c r="J160" s="235"/>
      <c r="K160" s="589"/>
      <c r="L160" s="510">
        <f>SUM(H160:J160)+K160</f>
        <v>1.3279999999999998</v>
      </c>
      <c r="M160" s="510">
        <f>+ROUND(IF(C160=8,PRODUCT(E160,F160,G160,L160),0),2)</f>
        <v>21.25</v>
      </c>
      <c r="N160" s="510">
        <f>+ROUND(IF(C160=10,PRODUCT(E160,F160,G160,L160),0),2)</f>
        <v>0</v>
      </c>
      <c r="O160" s="510">
        <f>+ROUND(IF(C160=12,PRODUCT(E160,F160,G160,L160),0),2)</f>
        <v>0</v>
      </c>
      <c r="P160" s="510">
        <f>+ROUND(IF(C160=16,PRODUCT(E160,F160,G160,L160),0),2)</f>
        <v>0</v>
      </c>
      <c r="Q160" s="510">
        <f>+ROUND(IF(C160=20,PRODUCT(E160,F160,G160,L160),0),2)</f>
        <v>0</v>
      </c>
      <c r="R160" s="510">
        <f>+ROUND(IF(C160=25,PRODUCT(E160,F160,G160,L160),0),2)</f>
        <v>0</v>
      </c>
    </row>
    <row r="161" spans="1:18">
      <c r="A161" s="505"/>
      <c r="B161" s="511" t="s">
        <v>777</v>
      </c>
      <c r="C161" s="507">
        <v>8</v>
      </c>
      <c r="D161" s="508">
        <v>100</v>
      </c>
      <c r="E161" s="507">
        <v>1</v>
      </c>
      <c r="F161" s="502">
        <v>1</v>
      </c>
      <c r="G161" s="502">
        <f>+ROUND(2.815/0.1,0)</f>
        <v>28</v>
      </c>
      <c r="H161" s="602"/>
      <c r="I161" s="602">
        <f>2*(0.15+0.4)+16*C161/1000</f>
        <v>1.2280000000000002</v>
      </c>
      <c r="J161" s="235"/>
      <c r="K161" s="589"/>
      <c r="L161" s="510">
        <f t="shared" ref="L161:L214" si="83">SUM(H161:J161)+K161</f>
        <v>1.2280000000000002</v>
      </c>
      <c r="M161" s="510">
        <f t="shared" si="0"/>
        <v>34.380000000000003</v>
      </c>
      <c r="N161" s="510">
        <f t="shared" si="1"/>
        <v>0</v>
      </c>
      <c r="O161" s="510">
        <f t="shared" si="2"/>
        <v>0</v>
      </c>
      <c r="P161" s="510">
        <f t="shared" si="3"/>
        <v>0</v>
      </c>
      <c r="Q161" s="510">
        <f t="shared" si="4"/>
        <v>0</v>
      </c>
      <c r="R161" s="510">
        <f t="shared" si="5"/>
        <v>0</v>
      </c>
    </row>
    <row r="162" spans="1:18">
      <c r="A162" s="505"/>
      <c r="B162" s="511"/>
      <c r="C162" s="507">
        <v>8</v>
      </c>
      <c r="D162" s="508">
        <v>150</v>
      </c>
      <c r="E162" s="507">
        <v>1</v>
      </c>
      <c r="F162" s="502">
        <v>1</v>
      </c>
      <c r="G162" s="502">
        <f>+ROUND(2.815/0.15+1,0)</f>
        <v>20</v>
      </c>
      <c r="H162" s="602"/>
      <c r="I162" s="602">
        <f>2*(0.15+0.4)+16*C162/1000</f>
        <v>1.2280000000000002</v>
      </c>
      <c r="J162" s="235"/>
      <c r="K162" s="589"/>
      <c r="L162" s="510">
        <f t="shared" si="83"/>
        <v>1.2280000000000002</v>
      </c>
      <c r="M162" s="510">
        <f t="shared" si="0"/>
        <v>24.56</v>
      </c>
      <c r="N162" s="510">
        <f t="shared" si="1"/>
        <v>0</v>
      </c>
      <c r="O162" s="510">
        <f t="shared" si="2"/>
        <v>0</v>
      </c>
      <c r="P162" s="510">
        <f t="shared" si="3"/>
        <v>0</v>
      </c>
      <c r="Q162" s="510">
        <f t="shared" si="4"/>
        <v>0</v>
      </c>
      <c r="R162" s="510">
        <f t="shared" si="5"/>
        <v>0</v>
      </c>
    </row>
    <row r="163" spans="1:18">
      <c r="A163" s="505"/>
      <c r="B163" s="511"/>
      <c r="C163" s="507">
        <v>8</v>
      </c>
      <c r="D163" s="508">
        <v>100</v>
      </c>
      <c r="E163" s="507">
        <v>1</v>
      </c>
      <c r="F163" s="502">
        <v>1</v>
      </c>
      <c r="G163" s="502">
        <f>+ROUND(2.085/0.1+1,0)</f>
        <v>22</v>
      </c>
      <c r="H163" s="602"/>
      <c r="I163" s="602">
        <f>2*(0.15+0.4)+16*C163/1000</f>
        <v>1.2280000000000002</v>
      </c>
      <c r="J163" s="235"/>
      <c r="K163" s="589"/>
      <c r="L163" s="510">
        <f t="shared" si="83"/>
        <v>1.2280000000000002</v>
      </c>
      <c r="M163" s="510">
        <f t="shared" si="0"/>
        <v>27.02</v>
      </c>
      <c r="N163" s="510">
        <f t="shared" si="1"/>
        <v>0</v>
      </c>
      <c r="O163" s="510">
        <f t="shared" si="2"/>
        <v>0</v>
      </c>
      <c r="P163" s="510">
        <f t="shared" si="3"/>
        <v>0</v>
      </c>
      <c r="Q163" s="510">
        <f t="shared" si="4"/>
        <v>0</v>
      </c>
      <c r="R163" s="510">
        <f t="shared" si="5"/>
        <v>0</v>
      </c>
    </row>
    <row r="164" spans="1:18">
      <c r="A164" s="505" t="s">
        <v>1098</v>
      </c>
      <c r="B164" s="520" t="s">
        <v>1099</v>
      </c>
      <c r="C164" s="507"/>
      <c r="D164" s="508"/>
      <c r="E164" s="507"/>
      <c r="F164" s="502"/>
      <c r="G164" s="502"/>
      <c r="H164" s="602"/>
      <c r="I164" s="602"/>
      <c r="J164" s="235"/>
      <c r="K164" s="509"/>
      <c r="L164" s="510">
        <f t="shared" ref="L164" si="84">SUM(H164:J164)+K164</f>
        <v>0</v>
      </c>
      <c r="M164" s="510">
        <f t="shared" si="0"/>
        <v>0</v>
      </c>
      <c r="N164" s="510">
        <f t="shared" si="1"/>
        <v>0</v>
      </c>
      <c r="O164" s="510">
        <f t="shared" si="2"/>
        <v>0</v>
      </c>
      <c r="P164" s="510">
        <f t="shared" si="3"/>
        <v>0</v>
      </c>
      <c r="Q164" s="510">
        <f t="shared" si="4"/>
        <v>0</v>
      </c>
      <c r="R164" s="510">
        <f t="shared" si="5"/>
        <v>0</v>
      </c>
    </row>
    <row r="165" spans="1:18">
      <c r="A165" s="505"/>
      <c r="B165" s="511" t="s">
        <v>740</v>
      </c>
      <c r="C165" s="507">
        <v>16</v>
      </c>
      <c r="D165" s="508"/>
      <c r="E165" s="507">
        <v>3</v>
      </c>
      <c r="F165" s="502">
        <v>1</v>
      </c>
      <c r="G165" s="502">
        <v>2</v>
      </c>
      <c r="H165" s="602">
        <f>0.58+8*$C165/1000</f>
        <v>0.70799999999999996</v>
      </c>
      <c r="I165" s="602">
        <v>8.2550000000000008</v>
      </c>
      <c r="J165" s="602">
        <f>0.58+8*$C165/1000</f>
        <v>0.70799999999999996</v>
      </c>
      <c r="K165" s="509"/>
      <c r="L165" s="510">
        <f>SUM(H165:J165)+K165</f>
        <v>9.6710000000000012</v>
      </c>
      <c r="M165" s="510">
        <f t="shared" si="0"/>
        <v>0</v>
      </c>
      <c r="N165" s="510">
        <f t="shared" si="1"/>
        <v>0</v>
      </c>
      <c r="O165" s="510">
        <f t="shared" si="2"/>
        <v>0</v>
      </c>
      <c r="P165" s="510">
        <f t="shared" si="3"/>
        <v>58.03</v>
      </c>
      <c r="Q165" s="510">
        <f t="shared" si="4"/>
        <v>0</v>
      </c>
      <c r="R165" s="510">
        <f t="shared" si="5"/>
        <v>0</v>
      </c>
    </row>
    <row r="166" spans="1:18">
      <c r="A166" s="505"/>
      <c r="B166" s="511" t="s">
        <v>773</v>
      </c>
      <c r="C166" s="507">
        <v>16</v>
      </c>
      <c r="D166" s="508"/>
      <c r="E166" s="507">
        <v>3</v>
      </c>
      <c r="F166" s="502">
        <v>1</v>
      </c>
      <c r="G166" s="502">
        <v>2</v>
      </c>
      <c r="H166" s="602">
        <f>0.58+8*$C166/1000</f>
        <v>0.70799999999999996</v>
      </c>
      <c r="I166" s="602">
        <v>8.2550000000000008</v>
      </c>
      <c r="J166" s="602">
        <f>0.58+8*$C166/1000</f>
        <v>0.70799999999999996</v>
      </c>
      <c r="K166" s="509"/>
      <c r="L166" s="510">
        <f>SUM(H166:J166)+K166</f>
        <v>9.6710000000000012</v>
      </c>
      <c r="M166" s="510">
        <f t="shared" si="0"/>
        <v>0</v>
      </c>
      <c r="N166" s="510">
        <f t="shared" si="1"/>
        <v>0</v>
      </c>
      <c r="O166" s="510">
        <f t="shared" si="2"/>
        <v>0</v>
      </c>
      <c r="P166" s="510">
        <f t="shared" si="3"/>
        <v>58.03</v>
      </c>
      <c r="Q166" s="510">
        <f t="shared" si="4"/>
        <v>0</v>
      </c>
      <c r="R166" s="510">
        <f t="shared" si="5"/>
        <v>0</v>
      </c>
    </row>
    <row r="167" spans="1:18">
      <c r="A167" s="505"/>
      <c r="B167" s="511" t="s">
        <v>778</v>
      </c>
      <c r="C167" s="507">
        <v>12</v>
      </c>
      <c r="D167" s="508"/>
      <c r="E167" s="507">
        <v>3</v>
      </c>
      <c r="F167" s="502">
        <v>1</v>
      </c>
      <c r="G167" s="502">
        <v>2</v>
      </c>
      <c r="H167" s="602"/>
      <c r="I167" s="602">
        <f>4.72-0.45-0.7</f>
        <v>3.5699999999999994</v>
      </c>
      <c r="J167" s="235"/>
      <c r="K167" s="509"/>
      <c r="L167" s="510">
        <f t="shared" ref="L167" si="85">SUM(H167:J167)+K167</f>
        <v>3.5699999999999994</v>
      </c>
      <c r="M167" s="510">
        <f t="shared" si="0"/>
        <v>0</v>
      </c>
      <c r="N167" s="510">
        <f t="shared" si="1"/>
        <v>0</v>
      </c>
      <c r="O167" s="510">
        <f t="shared" si="2"/>
        <v>21.42</v>
      </c>
      <c r="P167" s="510">
        <f t="shared" si="3"/>
        <v>0</v>
      </c>
      <c r="Q167" s="510">
        <f t="shared" si="4"/>
        <v>0</v>
      </c>
      <c r="R167" s="510">
        <f t="shared" si="5"/>
        <v>0</v>
      </c>
    </row>
    <row r="168" spans="1:18">
      <c r="A168" s="505"/>
      <c r="B168" s="511" t="s">
        <v>774</v>
      </c>
      <c r="C168" s="507">
        <v>16</v>
      </c>
      <c r="D168" s="508"/>
      <c r="E168" s="507">
        <v>3</v>
      </c>
      <c r="F168" s="502">
        <v>1</v>
      </c>
      <c r="G168" s="502">
        <v>2</v>
      </c>
      <c r="H168" s="602"/>
      <c r="I168" s="602">
        <f>1.4+0.2+0.9</f>
        <v>2.5</v>
      </c>
      <c r="J168" s="235"/>
      <c r="K168" s="509"/>
      <c r="L168" s="510">
        <f t="shared" ref="L168" si="86">SUM(H168:J168)+K168</f>
        <v>2.5</v>
      </c>
      <c r="M168" s="510">
        <f t="shared" si="0"/>
        <v>0</v>
      </c>
      <c r="N168" s="510">
        <f t="shared" si="1"/>
        <v>0</v>
      </c>
      <c r="O168" s="510">
        <f t="shared" si="2"/>
        <v>0</v>
      </c>
      <c r="P168" s="510">
        <f t="shared" si="3"/>
        <v>15</v>
      </c>
      <c r="Q168" s="510">
        <f t="shared" si="4"/>
        <v>0</v>
      </c>
      <c r="R168" s="510">
        <f t="shared" si="5"/>
        <v>0</v>
      </c>
    </row>
    <row r="169" spans="1:18">
      <c r="A169" s="505"/>
      <c r="B169" s="511" t="s">
        <v>774</v>
      </c>
      <c r="C169" s="507">
        <v>12</v>
      </c>
      <c r="D169" s="508"/>
      <c r="E169" s="507">
        <v>3</v>
      </c>
      <c r="F169" s="502">
        <v>1</v>
      </c>
      <c r="G169" s="502">
        <v>2</v>
      </c>
      <c r="H169" s="602">
        <f>0.44+8*$C169/1000</f>
        <v>0.53600000000000003</v>
      </c>
      <c r="I169" s="602">
        <v>1.4</v>
      </c>
      <c r="J169" s="235"/>
      <c r="K169" s="509"/>
      <c r="L169" s="510">
        <f t="shared" ref="L169" si="87">SUM(H169:J169)+K169</f>
        <v>1.9359999999999999</v>
      </c>
      <c r="M169" s="510">
        <f t="shared" si="0"/>
        <v>0</v>
      </c>
      <c r="N169" s="510">
        <f t="shared" si="1"/>
        <v>0</v>
      </c>
      <c r="O169" s="510">
        <f t="shared" si="2"/>
        <v>11.62</v>
      </c>
      <c r="P169" s="510">
        <f t="shared" si="3"/>
        <v>0</v>
      </c>
      <c r="Q169" s="510">
        <f t="shared" si="4"/>
        <v>0</v>
      </c>
      <c r="R169" s="510">
        <f t="shared" si="5"/>
        <v>0</v>
      </c>
    </row>
    <row r="170" spans="1:18">
      <c r="A170" s="505"/>
      <c r="B170" s="511" t="s">
        <v>1079</v>
      </c>
      <c r="C170" s="507">
        <v>8</v>
      </c>
      <c r="D170" s="508">
        <v>100</v>
      </c>
      <c r="E170" s="507">
        <v>3</v>
      </c>
      <c r="F170" s="502">
        <v>1</v>
      </c>
      <c r="G170" s="502">
        <f>+ROUND(2.36/0.1,0)</f>
        <v>24</v>
      </c>
      <c r="H170" s="602"/>
      <c r="I170" s="602">
        <f>2*(0.15+0.45)+16*C170/1000</f>
        <v>1.3279999999999998</v>
      </c>
      <c r="J170" s="235"/>
      <c r="K170" s="589"/>
      <c r="L170" s="510">
        <f t="shared" ref="L170:L171" si="88">SUM(H170:J170)+K170</f>
        <v>1.3279999999999998</v>
      </c>
      <c r="M170" s="510">
        <f t="shared" si="0"/>
        <v>95.62</v>
      </c>
      <c r="N170" s="510">
        <f t="shared" si="1"/>
        <v>0</v>
      </c>
      <c r="O170" s="510">
        <f t="shared" si="2"/>
        <v>0</v>
      </c>
      <c r="P170" s="510">
        <f t="shared" si="3"/>
        <v>0</v>
      </c>
      <c r="Q170" s="510">
        <f t="shared" si="4"/>
        <v>0</v>
      </c>
      <c r="R170" s="510">
        <f t="shared" si="5"/>
        <v>0</v>
      </c>
    </row>
    <row r="171" spans="1:18">
      <c r="A171" s="505"/>
      <c r="B171" s="511"/>
      <c r="C171" s="507">
        <v>8</v>
      </c>
      <c r="D171" s="508">
        <v>150</v>
      </c>
      <c r="E171" s="507">
        <v>3</v>
      </c>
      <c r="F171" s="502">
        <v>1</v>
      </c>
      <c r="G171" s="502">
        <f>+ROUND(2.36/0.15+1,0)</f>
        <v>17</v>
      </c>
      <c r="H171" s="602"/>
      <c r="I171" s="602">
        <f t="shared" ref="I171:I173" si="89">2*(0.15+0.45)+16*C171/1000</f>
        <v>1.3279999999999998</v>
      </c>
      <c r="J171" s="235"/>
      <c r="K171" s="589"/>
      <c r="L171" s="510">
        <f t="shared" si="88"/>
        <v>1.3279999999999998</v>
      </c>
      <c r="M171" s="510">
        <f t="shared" si="0"/>
        <v>67.73</v>
      </c>
      <c r="N171" s="510">
        <f t="shared" si="1"/>
        <v>0</v>
      </c>
      <c r="O171" s="510">
        <f t="shared" si="2"/>
        <v>0</v>
      </c>
      <c r="P171" s="510">
        <f t="shared" si="3"/>
        <v>0</v>
      </c>
      <c r="Q171" s="510">
        <f t="shared" si="4"/>
        <v>0</v>
      </c>
      <c r="R171" s="510">
        <f t="shared" si="5"/>
        <v>0</v>
      </c>
    </row>
    <row r="172" spans="1:18">
      <c r="A172" s="505"/>
      <c r="B172" s="511" t="s">
        <v>1079</v>
      </c>
      <c r="C172" s="507">
        <v>8</v>
      </c>
      <c r="D172" s="508">
        <v>100</v>
      </c>
      <c r="E172" s="507">
        <v>3</v>
      </c>
      <c r="F172" s="502">
        <v>1</v>
      </c>
      <c r="G172" s="502">
        <f>+ROUND(2/0.1,0)</f>
        <v>20</v>
      </c>
      <c r="H172" s="602"/>
      <c r="I172" s="602">
        <f t="shared" si="89"/>
        <v>1.3279999999999998</v>
      </c>
      <c r="J172" s="235"/>
      <c r="K172" s="589"/>
      <c r="L172" s="510">
        <f>SUM(H172:J172)+K172</f>
        <v>1.3279999999999998</v>
      </c>
      <c r="M172" s="510">
        <f t="shared" si="0"/>
        <v>79.680000000000007</v>
      </c>
      <c r="N172" s="510">
        <f t="shared" si="1"/>
        <v>0</v>
      </c>
      <c r="O172" s="510">
        <f t="shared" si="2"/>
        <v>0</v>
      </c>
      <c r="P172" s="510">
        <f t="shared" si="3"/>
        <v>0</v>
      </c>
      <c r="Q172" s="510">
        <f t="shared" si="4"/>
        <v>0</v>
      </c>
      <c r="R172" s="510">
        <f t="shared" si="5"/>
        <v>0</v>
      </c>
    </row>
    <row r="173" spans="1:18">
      <c r="A173" s="505"/>
      <c r="B173" s="511"/>
      <c r="C173" s="507">
        <v>8</v>
      </c>
      <c r="D173" s="508">
        <v>100</v>
      </c>
      <c r="E173" s="507">
        <v>3</v>
      </c>
      <c r="F173" s="502">
        <v>1</v>
      </c>
      <c r="G173" s="502">
        <f>+ROUND(1.235/0.15+1,0)</f>
        <v>9</v>
      </c>
      <c r="H173" s="602"/>
      <c r="I173" s="602">
        <f t="shared" si="89"/>
        <v>1.3279999999999998</v>
      </c>
      <c r="J173" s="235"/>
      <c r="K173" s="589"/>
      <c r="L173" s="510">
        <f t="shared" ref="L173" si="90">SUM(H173:J173)+K173</f>
        <v>1.3279999999999998</v>
      </c>
      <c r="M173" s="510">
        <f t="shared" si="0"/>
        <v>35.86</v>
      </c>
      <c r="N173" s="510">
        <f t="shared" si="1"/>
        <v>0</v>
      </c>
      <c r="O173" s="510">
        <f t="shared" si="2"/>
        <v>0</v>
      </c>
      <c r="P173" s="510">
        <f t="shared" si="3"/>
        <v>0</v>
      </c>
      <c r="Q173" s="510">
        <f t="shared" si="4"/>
        <v>0</v>
      </c>
      <c r="R173" s="510">
        <f t="shared" si="5"/>
        <v>0</v>
      </c>
    </row>
    <row r="174" spans="1:18">
      <c r="A174" s="505" t="s">
        <v>1067</v>
      </c>
      <c r="B174" s="520" t="s">
        <v>1100</v>
      </c>
      <c r="C174" s="507"/>
      <c r="D174" s="508"/>
      <c r="E174" s="507"/>
      <c r="F174" s="502"/>
      <c r="G174" s="502"/>
      <c r="H174" s="602"/>
      <c r="I174" s="602"/>
      <c r="J174" s="235"/>
      <c r="K174" s="509"/>
      <c r="L174" s="510">
        <f t="shared" ref="L174" si="91">SUM(H174:J174)+K174</f>
        <v>0</v>
      </c>
      <c r="M174" s="510">
        <f t="shared" si="0"/>
        <v>0</v>
      </c>
      <c r="N174" s="510">
        <f t="shared" si="1"/>
        <v>0</v>
      </c>
      <c r="O174" s="510">
        <f t="shared" si="2"/>
        <v>0</v>
      </c>
      <c r="P174" s="510">
        <f t="shared" si="3"/>
        <v>0</v>
      </c>
      <c r="Q174" s="510">
        <f t="shared" si="4"/>
        <v>0</v>
      </c>
      <c r="R174" s="510">
        <f t="shared" si="5"/>
        <v>0</v>
      </c>
    </row>
    <row r="175" spans="1:18">
      <c r="A175" s="505"/>
      <c r="B175" s="511" t="s">
        <v>740</v>
      </c>
      <c r="C175" s="507">
        <v>16</v>
      </c>
      <c r="D175" s="508"/>
      <c r="E175" s="507">
        <v>3</v>
      </c>
      <c r="F175" s="502">
        <v>1</v>
      </c>
      <c r="G175" s="502">
        <v>2</v>
      </c>
      <c r="H175" s="602">
        <f>0.58+8*$C175/1000</f>
        <v>0.70799999999999996</v>
      </c>
      <c r="I175" s="602">
        <v>3.165</v>
      </c>
      <c r="J175" s="602">
        <f>0.58+8*$C175/1000</f>
        <v>0.70799999999999996</v>
      </c>
      <c r="K175" s="509"/>
      <c r="L175" s="510">
        <f>SUM(H175:J175)+K175</f>
        <v>4.5810000000000004</v>
      </c>
      <c r="M175" s="510">
        <f t="shared" si="0"/>
        <v>0</v>
      </c>
      <c r="N175" s="510">
        <f t="shared" si="1"/>
        <v>0</v>
      </c>
      <c r="O175" s="510">
        <f t="shared" si="2"/>
        <v>0</v>
      </c>
      <c r="P175" s="510">
        <f t="shared" si="3"/>
        <v>27.49</v>
      </c>
      <c r="Q175" s="510">
        <f t="shared" si="4"/>
        <v>0</v>
      </c>
      <c r="R175" s="510">
        <f t="shared" si="5"/>
        <v>0</v>
      </c>
    </row>
    <row r="176" spans="1:18">
      <c r="A176" s="505"/>
      <c r="B176" s="511" t="s">
        <v>740</v>
      </c>
      <c r="C176" s="507">
        <v>16</v>
      </c>
      <c r="D176" s="508"/>
      <c r="E176" s="507">
        <v>3</v>
      </c>
      <c r="F176" s="502">
        <v>1</v>
      </c>
      <c r="G176" s="502">
        <v>2</v>
      </c>
      <c r="H176" s="602">
        <v>0.79</v>
      </c>
      <c r="I176" s="602">
        <v>2.58</v>
      </c>
      <c r="J176" s="602">
        <f>0.58+8*$C176/1000</f>
        <v>0.70799999999999996</v>
      </c>
      <c r="K176" s="509"/>
      <c r="L176" s="510">
        <f>SUM(H176:J176)+K176</f>
        <v>4.0780000000000003</v>
      </c>
      <c r="M176" s="510">
        <f t="shared" si="0"/>
        <v>0</v>
      </c>
      <c r="N176" s="510">
        <f t="shared" si="1"/>
        <v>0</v>
      </c>
      <c r="O176" s="510">
        <f t="shared" si="2"/>
        <v>0</v>
      </c>
      <c r="P176" s="510">
        <f t="shared" si="3"/>
        <v>24.47</v>
      </c>
      <c r="Q176" s="510">
        <f t="shared" si="4"/>
        <v>0</v>
      </c>
      <c r="R176" s="510">
        <f t="shared" si="5"/>
        <v>0</v>
      </c>
    </row>
    <row r="177" spans="1:18">
      <c r="A177" s="505"/>
      <c r="B177" s="511" t="s">
        <v>773</v>
      </c>
      <c r="C177" s="507">
        <v>16</v>
      </c>
      <c r="D177" s="508"/>
      <c r="E177" s="507">
        <v>3</v>
      </c>
      <c r="F177" s="502">
        <v>1</v>
      </c>
      <c r="G177" s="502">
        <v>2</v>
      </c>
      <c r="H177" s="602">
        <f>0.58+8*$C177/1000</f>
        <v>0.70799999999999996</v>
      </c>
      <c r="I177" s="602">
        <v>6.3449999999999998</v>
      </c>
      <c r="J177" s="602">
        <f>0.58+8*$C177/1000</f>
        <v>0.70799999999999996</v>
      </c>
      <c r="K177" s="509"/>
      <c r="L177" s="510">
        <f t="shared" ref="L177" si="92">SUM(H177:J177)+K177</f>
        <v>7.7610000000000001</v>
      </c>
      <c r="M177" s="510">
        <f t="shared" si="0"/>
        <v>0</v>
      </c>
      <c r="N177" s="510">
        <f t="shared" si="1"/>
        <v>0</v>
      </c>
      <c r="O177" s="510">
        <f t="shared" si="2"/>
        <v>0</v>
      </c>
      <c r="P177" s="510">
        <f t="shared" si="3"/>
        <v>46.57</v>
      </c>
      <c r="Q177" s="510">
        <f t="shared" si="4"/>
        <v>0</v>
      </c>
      <c r="R177" s="510">
        <f t="shared" si="5"/>
        <v>0</v>
      </c>
    </row>
    <row r="178" spans="1:18">
      <c r="A178" s="505"/>
      <c r="B178" s="511" t="s">
        <v>774</v>
      </c>
      <c r="C178" s="507">
        <v>12</v>
      </c>
      <c r="D178" s="508"/>
      <c r="E178" s="507">
        <v>3</v>
      </c>
      <c r="F178" s="502">
        <v>1</v>
      </c>
      <c r="G178" s="502">
        <v>2</v>
      </c>
      <c r="H178" s="602"/>
      <c r="I178" s="602">
        <f>0.9+0.6+0.8</f>
        <v>2.2999999999999998</v>
      </c>
      <c r="J178" s="235"/>
      <c r="K178" s="509"/>
      <c r="L178" s="510">
        <f t="shared" ref="L178:L179" si="93">SUM(H178:J178)+K178</f>
        <v>2.2999999999999998</v>
      </c>
      <c r="M178" s="510">
        <f t="shared" si="0"/>
        <v>0</v>
      </c>
      <c r="N178" s="510">
        <f t="shared" si="1"/>
        <v>0</v>
      </c>
      <c r="O178" s="510">
        <f t="shared" si="2"/>
        <v>13.8</v>
      </c>
      <c r="P178" s="510">
        <f t="shared" si="3"/>
        <v>0</v>
      </c>
      <c r="Q178" s="510">
        <f t="shared" si="4"/>
        <v>0</v>
      </c>
      <c r="R178" s="510">
        <f t="shared" si="5"/>
        <v>0</v>
      </c>
    </row>
    <row r="179" spans="1:18">
      <c r="A179" s="505"/>
      <c r="B179" s="511" t="s">
        <v>774</v>
      </c>
      <c r="C179" s="507">
        <v>12</v>
      </c>
      <c r="D179" s="508"/>
      <c r="E179" s="507">
        <v>3</v>
      </c>
      <c r="F179" s="502">
        <v>1</v>
      </c>
      <c r="G179" s="502">
        <v>2</v>
      </c>
      <c r="H179" s="602">
        <f>0.44+8*$C179/1000</f>
        <v>0.53600000000000003</v>
      </c>
      <c r="I179" s="602">
        <v>0.9</v>
      </c>
      <c r="J179" s="235"/>
      <c r="K179" s="509"/>
      <c r="L179" s="510">
        <f t="shared" si="93"/>
        <v>1.4359999999999999</v>
      </c>
      <c r="M179" s="510">
        <f t="shared" si="0"/>
        <v>0</v>
      </c>
      <c r="N179" s="510">
        <f t="shared" si="1"/>
        <v>0</v>
      </c>
      <c r="O179" s="510">
        <f t="shared" si="2"/>
        <v>8.6199999999999992</v>
      </c>
      <c r="P179" s="510">
        <f t="shared" si="3"/>
        <v>0</v>
      </c>
      <c r="Q179" s="510">
        <f t="shared" si="4"/>
        <v>0</v>
      </c>
      <c r="R179" s="510">
        <f t="shared" si="5"/>
        <v>0</v>
      </c>
    </row>
    <row r="180" spans="1:18">
      <c r="A180" s="505"/>
      <c r="B180" s="511" t="s">
        <v>774</v>
      </c>
      <c r="C180" s="507">
        <v>12</v>
      </c>
      <c r="D180" s="508"/>
      <c r="E180" s="507">
        <v>3</v>
      </c>
      <c r="F180" s="502">
        <v>1</v>
      </c>
      <c r="G180" s="502">
        <v>2</v>
      </c>
      <c r="H180" s="602">
        <f>0.44+8*$C180/1000</f>
        <v>0.53600000000000003</v>
      </c>
      <c r="I180" s="602">
        <v>0.8</v>
      </c>
      <c r="J180" s="235"/>
      <c r="K180" s="509"/>
      <c r="L180" s="510">
        <f t="shared" ref="L180" si="94">SUM(H180:J180)+K180</f>
        <v>1.3360000000000001</v>
      </c>
      <c r="M180" s="510">
        <f t="shared" si="0"/>
        <v>0</v>
      </c>
      <c r="N180" s="510">
        <f t="shared" si="1"/>
        <v>0</v>
      </c>
      <c r="O180" s="510">
        <f t="shared" si="2"/>
        <v>8.02</v>
      </c>
      <c r="P180" s="510">
        <f t="shared" si="3"/>
        <v>0</v>
      </c>
      <c r="Q180" s="510">
        <f t="shared" si="4"/>
        <v>0</v>
      </c>
      <c r="R180" s="510">
        <f t="shared" si="5"/>
        <v>0</v>
      </c>
    </row>
    <row r="181" spans="1:18">
      <c r="A181" s="505"/>
      <c r="B181" s="511" t="s">
        <v>1079</v>
      </c>
      <c r="C181" s="507">
        <v>8</v>
      </c>
      <c r="D181" s="508">
        <v>100</v>
      </c>
      <c r="E181" s="507">
        <v>3</v>
      </c>
      <c r="F181" s="502">
        <v>1</v>
      </c>
      <c r="G181" s="502">
        <f>+ROUND(2/0.1,0)</f>
        <v>20</v>
      </c>
      <c r="H181" s="602"/>
      <c r="I181" s="602">
        <f>2*(0.15+0.45)+16*C181/1000</f>
        <v>1.3279999999999998</v>
      </c>
      <c r="J181" s="235"/>
      <c r="K181" s="589"/>
      <c r="L181" s="510">
        <f t="shared" ref="L181:L182" si="95">SUM(H181:J181)+K181</f>
        <v>1.3279999999999998</v>
      </c>
      <c r="M181" s="510">
        <f t="shared" si="0"/>
        <v>79.680000000000007</v>
      </c>
      <c r="N181" s="510">
        <f t="shared" si="1"/>
        <v>0</v>
      </c>
      <c r="O181" s="510">
        <f t="shared" si="2"/>
        <v>0</v>
      </c>
      <c r="P181" s="510">
        <f t="shared" si="3"/>
        <v>0</v>
      </c>
      <c r="Q181" s="510">
        <f t="shared" si="4"/>
        <v>0</v>
      </c>
      <c r="R181" s="510">
        <f t="shared" si="5"/>
        <v>0</v>
      </c>
    </row>
    <row r="182" spans="1:18">
      <c r="A182" s="505"/>
      <c r="B182" s="511"/>
      <c r="C182" s="507">
        <v>8</v>
      </c>
      <c r="D182" s="508">
        <v>150</v>
      </c>
      <c r="E182" s="507">
        <v>3</v>
      </c>
      <c r="F182" s="502">
        <v>1</v>
      </c>
      <c r="G182" s="502">
        <f>+ROUND(1.165/0.15+1,0)</f>
        <v>9</v>
      </c>
      <c r="H182" s="602"/>
      <c r="I182" s="602">
        <f>2*(0.15+0.45)+16*C182/1000</f>
        <v>1.3279999999999998</v>
      </c>
      <c r="J182" s="235"/>
      <c r="K182" s="589"/>
      <c r="L182" s="510">
        <f t="shared" si="95"/>
        <v>1.3279999999999998</v>
      </c>
      <c r="M182" s="510">
        <f t="shared" si="0"/>
        <v>35.86</v>
      </c>
      <c r="N182" s="510">
        <f t="shared" si="1"/>
        <v>0</v>
      </c>
      <c r="O182" s="510">
        <f t="shared" si="2"/>
        <v>0</v>
      </c>
      <c r="P182" s="510">
        <f t="shared" si="3"/>
        <v>0</v>
      </c>
      <c r="Q182" s="510">
        <f t="shared" si="4"/>
        <v>0</v>
      </c>
      <c r="R182" s="510">
        <f t="shared" si="5"/>
        <v>0</v>
      </c>
    </row>
    <row r="183" spans="1:18">
      <c r="A183" s="505"/>
      <c r="B183" s="511" t="s">
        <v>1080</v>
      </c>
      <c r="C183" s="507">
        <v>8</v>
      </c>
      <c r="D183" s="508">
        <v>100</v>
      </c>
      <c r="E183" s="507">
        <v>3</v>
      </c>
      <c r="F183" s="502">
        <v>1</v>
      </c>
      <c r="G183" s="502">
        <f>+ROUND(2/0.1,0)</f>
        <v>20</v>
      </c>
      <c r="H183" s="602"/>
      <c r="I183" s="602">
        <f>2*(0.15+0.3)+16*C183/1000</f>
        <v>1.028</v>
      </c>
      <c r="J183" s="235"/>
      <c r="K183" s="589"/>
      <c r="L183" s="510">
        <f t="shared" ref="L183:L185" si="96">SUM(H183:J183)+K183</f>
        <v>1.028</v>
      </c>
      <c r="M183" s="510">
        <f t="shared" si="0"/>
        <v>61.68</v>
      </c>
      <c r="N183" s="510">
        <f t="shared" si="1"/>
        <v>0</v>
      </c>
      <c r="O183" s="510">
        <f t="shared" si="2"/>
        <v>0</v>
      </c>
      <c r="P183" s="510">
        <f t="shared" si="3"/>
        <v>0</v>
      </c>
      <c r="Q183" s="510">
        <f t="shared" si="4"/>
        <v>0</v>
      </c>
      <c r="R183" s="510">
        <f t="shared" si="5"/>
        <v>0</v>
      </c>
    </row>
    <row r="184" spans="1:18">
      <c r="A184" s="505"/>
      <c r="B184" s="511"/>
      <c r="C184" s="507">
        <v>8</v>
      </c>
      <c r="D184" s="508">
        <v>150</v>
      </c>
      <c r="E184" s="507">
        <v>3</v>
      </c>
      <c r="F184" s="502">
        <v>1</v>
      </c>
      <c r="G184" s="502">
        <f>+ROUND(0.58/0.15+1,0)</f>
        <v>5</v>
      </c>
      <c r="H184" s="602"/>
      <c r="I184" s="602">
        <f>2*(0.15+0.3)+16*C184/1000</f>
        <v>1.028</v>
      </c>
      <c r="J184" s="235"/>
      <c r="K184" s="589"/>
      <c r="L184" s="510">
        <f t="shared" si="96"/>
        <v>1.028</v>
      </c>
      <c r="M184" s="510">
        <f t="shared" si="0"/>
        <v>15.42</v>
      </c>
      <c r="N184" s="510">
        <f t="shared" si="1"/>
        <v>0</v>
      </c>
      <c r="O184" s="510">
        <f t="shared" si="2"/>
        <v>0</v>
      </c>
      <c r="P184" s="510">
        <f t="shared" si="3"/>
        <v>0</v>
      </c>
      <c r="Q184" s="510">
        <f t="shared" si="4"/>
        <v>0</v>
      </c>
      <c r="R184" s="510">
        <f t="shared" si="5"/>
        <v>0</v>
      </c>
    </row>
    <row r="185" spans="1:18">
      <c r="A185" s="505" t="s">
        <v>772</v>
      </c>
      <c r="B185" s="520" t="s">
        <v>1101</v>
      </c>
      <c r="C185" s="507"/>
      <c r="D185" s="508"/>
      <c r="E185" s="507"/>
      <c r="F185" s="502"/>
      <c r="G185" s="502"/>
      <c r="H185" s="602"/>
      <c r="I185" s="602"/>
      <c r="J185" s="235"/>
      <c r="K185" s="509"/>
      <c r="L185" s="510">
        <f t="shared" si="96"/>
        <v>0</v>
      </c>
      <c r="M185" s="510">
        <f t="shared" si="0"/>
        <v>0</v>
      </c>
      <c r="N185" s="510">
        <f t="shared" si="1"/>
        <v>0</v>
      </c>
      <c r="O185" s="510">
        <f t="shared" si="2"/>
        <v>0</v>
      </c>
      <c r="P185" s="510">
        <f t="shared" si="3"/>
        <v>0</v>
      </c>
      <c r="Q185" s="510">
        <f t="shared" si="4"/>
        <v>0</v>
      </c>
      <c r="R185" s="510">
        <f t="shared" si="5"/>
        <v>0</v>
      </c>
    </row>
    <row r="186" spans="1:18">
      <c r="A186" s="505"/>
      <c r="B186" s="511" t="s">
        <v>740</v>
      </c>
      <c r="C186" s="507">
        <v>16</v>
      </c>
      <c r="D186" s="508"/>
      <c r="E186" s="507">
        <v>1</v>
      </c>
      <c r="F186" s="502">
        <v>1</v>
      </c>
      <c r="G186" s="502">
        <v>2</v>
      </c>
      <c r="H186" s="602">
        <f>0.58+8*$C186/1000</f>
        <v>0.70799999999999996</v>
      </c>
      <c r="I186" s="602">
        <v>5.125</v>
      </c>
      <c r="J186" s="602">
        <f>0.58+8*$C186/1000</f>
        <v>0.70799999999999996</v>
      </c>
      <c r="K186" s="509"/>
      <c r="L186" s="510">
        <f>SUM(H186:J186)+K186</f>
        <v>6.5410000000000004</v>
      </c>
      <c r="M186" s="510">
        <f t="shared" si="0"/>
        <v>0</v>
      </c>
      <c r="N186" s="510">
        <f t="shared" si="1"/>
        <v>0</v>
      </c>
      <c r="O186" s="510">
        <f t="shared" si="2"/>
        <v>0</v>
      </c>
      <c r="P186" s="510">
        <f t="shared" si="3"/>
        <v>13.08</v>
      </c>
      <c r="Q186" s="510">
        <f t="shared" si="4"/>
        <v>0</v>
      </c>
      <c r="R186" s="510">
        <f t="shared" si="5"/>
        <v>0</v>
      </c>
    </row>
    <row r="187" spans="1:18">
      <c r="A187" s="505"/>
      <c r="B187" s="511" t="s">
        <v>773</v>
      </c>
      <c r="C187" s="507">
        <v>16</v>
      </c>
      <c r="D187" s="508"/>
      <c r="E187" s="507">
        <v>1</v>
      </c>
      <c r="F187" s="502">
        <v>1</v>
      </c>
      <c r="G187" s="502">
        <v>2</v>
      </c>
      <c r="H187" s="602">
        <f>0.58+8*$C187/1000</f>
        <v>0.70799999999999996</v>
      </c>
      <c r="I187" s="602">
        <v>5.125</v>
      </c>
      <c r="J187" s="602">
        <f>0.58+8*$C187/1000</f>
        <v>0.70799999999999996</v>
      </c>
      <c r="K187" s="509"/>
      <c r="L187" s="510">
        <f t="shared" ref="L187" si="97">SUM(H187:J187)+K187</f>
        <v>6.5410000000000004</v>
      </c>
      <c r="M187" s="510">
        <f t="shared" si="0"/>
        <v>0</v>
      </c>
      <c r="N187" s="510">
        <f t="shared" si="1"/>
        <v>0</v>
      </c>
      <c r="O187" s="510">
        <f t="shared" si="2"/>
        <v>0</v>
      </c>
      <c r="P187" s="510">
        <f t="shared" si="3"/>
        <v>13.08</v>
      </c>
      <c r="Q187" s="510">
        <f t="shared" si="4"/>
        <v>0</v>
      </c>
      <c r="R187" s="510">
        <f t="shared" si="5"/>
        <v>0</v>
      </c>
    </row>
    <row r="188" spans="1:18">
      <c r="A188" s="505"/>
      <c r="B188" s="511" t="s">
        <v>778</v>
      </c>
      <c r="C188" s="507">
        <v>12</v>
      </c>
      <c r="D188" s="508"/>
      <c r="E188" s="507">
        <v>1</v>
      </c>
      <c r="F188" s="502">
        <v>1</v>
      </c>
      <c r="G188" s="502">
        <v>2</v>
      </c>
      <c r="H188" s="602"/>
      <c r="I188" s="602">
        <f>5.125-1</f>
        <v>4.125</v>
      </c>
      <c r="J188" s="602"/>
      <c r="K188" s="509"/>
      <c r="L188" s="510">
        <f t="shared" ref="L188" si="98">SUM(H188:J188)+K188</f>
        <v>4.125</v>
      </c>
      <c r="M188" s="510">
        <f t="shared" si="0"/>
        <v>0</v>
      </c>
      <c r="N188" s="510">
        <f t="shared" si="1"/>
        <v>0</v>
      </c>
      <c r="O188" s="510">
        <f t="shared" si="2"/>
        <v>8.25</v>
      </c>
      <c r="P188" s="510">
        <f t="shared" si="3"/>
        <v>0</v>
      </c>
      <c r="Q188" s="510">
        <f t="shared" si="4"/>
        <v>0</v>
      </c>
      <c r="R188" s="510">
        <f t="shared" si="5"/>
        <v>0</v>
      </c>
    </row>
    <row r="189" spans="1:18">
      <c r="A189" s="505"/>
      <c r="B189" s="511" t="s">
        <v>774</v>
      </c>
      <c r="C189" s="507">
        <v>12</v>
      </c>
      <c r="D189" s="508"/>
      <c r="E189" s="507">
        <v>1</v>
      </c>
      <c r="F189" s="502">
        <v>1</v>
      </c>
      <c r="G189" s="502">
        <v>4</v>
      </c>
      <c r="H189" s="602">
        <f>0.58+8*$C189/1000</f>
        <v>0.67599999999999993</v>
      </c>
      <c r="I189" s="602">
        <v>1.5</v>
      </c>
      <c r="J189" s="602"/>
      <c r="K189" s="509"/>
      <c r="L189" s="510">
        <f t="shared" ref="L189" si="99">SUM(H189:J189)+K189</f>
        <v>2.1760000000000002</v>
      </c>
      <c r="M189" s="510">
        <f t="shared" si="0"/>
        <v>0</v>
      </c>
      <c r="N189" s="510">
        <f t="shared" si="1"/>
        <v>0</v>
      </c>
      <c r="O189" s="510">
        <f t="shared" si="2"/>
        <v>8.6999999999999993</v>
      </c>
      <c r="P189" s="510">
        <f t="shared" si="3"/>
        <v>0</v>
      </c>
      <c r="Q189" s="510">
        <f t="shared" si="4"/>
        <v>0</v>
      </c>
      <c r="R189" s="510">
        <f t="shared" si="5"/>
        <v>0</v>
      </c>
    </row>
    <row r="190" spans="1:18">
      <c r="A190" s="505"/>
      <c r="B190" s="511" t="s">
        <v>777</v>
      </c>
      <c r="C190" s="507">
        <v>8</v>
      </c>
      <c r="D190" s="508">
        <v>100</v>
      </c>
      <c r="E190" s="507">
        <v>1</v>
      </c>
      <c r="F190" s="502">
        <v>1</v>
      </c>
      <c r="G190" s="502">
        <f>+ROUND(2.562/0.1+1,0)</f>
        <v>27</v>
      </c>
      <c r="H190" s="602"/>
      <c r="I190" s="602">
        <f>2*(0.15+0.4)+16*C190/1000</f>
        <v>1.2280000000000002</v>
      </c>
      <c r="J190" s="235"/>
      <c r="K190" s="589"/>
      <c r="L190" s="510">
        <f t="shared" ref="L190:L191" si="100">SUM(H190:J190)+K190</f>
        <v>1.2280000000000002</v>
      </c>
      <c r="M190" s="510">
        <f t="shared" si="0"/>
        <v>33.159999999999997</v>
      </c>
      <c r="N190" s="510">
        <f t="shared" si="1"/>
        <v>0</v>
      </c>
      <c r="O190" s="510">
        <f t="shared" si="2"/>
        <v>0</v>
      </c>
      <c r="P190" s="510">
        <f t="shared" si="3"/>
        <v>0</v>
      </c>
      <c r="Q190" s="510">
        <f t="shared" si="4"/>
        <v>0</v>
      </c>
      <c r="R190" s="510">
        <f t="shared" si="5"/>
        <v>0</v>
      </c>
    </row>
    <row r="191" spans="1:18">
      <c r="A191" s="505"/>
      <c r="B191" s="511"/>
      <c r="C191" s="507">
        <v>8</v>
      </c>
      <c r="D191" s="508">
        <v>150</v>
      </c>
      <c r="E191" s="507">
        <v>1</v>
      </c>
      <c r="F191" s="502">
        <v>1</v>
      </c>
      <c r="G191" s="502">
        <f>+ROUND(2.562/0.15+1,0)</f>
        <v>18</v>
      </c>
      <c r="H191" s="602"/>
      <c r="I191" s="602">
        <f>2*(0.15+0.4)+16*C191/1000</f>
        <v>1.2280000000000002</v>
      </c>
      <c r="J191" s="235"/>
      <c r="K191" s="589"/>
      <c r="L191" s="510">
        <f t="shared" si="100"/>
        <v>1.2280000000000002</v>
      </c>
      <c r="M191" s="510">
        <f t="shared" si="0"/>
        <v>22.1</v>
      </c>
      <c r="N191" s="510">
        <f t="shared" si="1"/>
        <v>0</v>
      </c>
      <c r="O191" s="510">
        <f t="shared" si="2"/>
        <v>0</v>
      </c>
      <c r="P191" s="510">
        <f t="shared" si="3"/>
        <v>0</v>
      </c>
      <c r="Q191" s="510">
        <f t="shared" si="4"/>
        <v>0</v>
      </c>
      <c r="R191" s="510">
        <f t="shared" si="5"/>
        <v>0</v>
      </c>
    </row>
    <row r="192" spans="1:18">
      <c r="A192" s="505"/>
      <c r="B192" s="511"/>
      <c r="C192" s="507"/>
      <c r="D192" s="508"/>
      <c r="E192" s="507"/>
      <c r="F192" s="502"/>
      <c r="G192" s="502"/>
      <c r="H192" s="602"/>
      <c r="I192" s="602"/>
      <c r="J192" s="235"/>
      <c r="K192" s="589"/>
      <c r="L192" s="510"/>
      <c r="M192" s="510"/>
      <c r="N192" s="510"/>
      <c r="O192" s="510"/>
      <c r="P192" s="510"/>
      <c r="Q192" s="510"/>
      <c r="R192" s="510"/>
    </row>
    <row r="193" spans="1:18">
      <c r="A193" s="505" t="s">
        <v>779</v>
      </c>
      <c r="B193" s="520" t="s">
        <v>1102</v>
      </c>
      <c r="C193" s="507"/>
      <c r="D193" s="508"/>
      <c r="E193" s="507"/>
      <c r="F193" s="502"/>
      <c r="G193" s="502"/>
      <c r="H193" s="602"/>
      <c r="I193" s="602"/>
      <c r="J193" s="235"/>
      <c r="K193" s="509"/>
      <c r="L193" s="510">
        <f t="shared" ref="L193" si="101">SUM(H193:J193)+K193</f>
        <v>0</v>
      </c>
      <c r="M193" s="510">
        <f t="shared" si="0"/>
        <v>0</v>
      </c>
      <c r="N193" s="510">
        <f t="shared" si="1"/>
        <v>0</v>
      </c>
      <c r="O193" s="510">
        <f t="shared" si="2"/>
        <v>0</v>
      </c>
      <c r="P193" s="510">
        <f t="shared" si="3"/>
        <v>0</v>
      </c>
      <c r="Q193" s="510">
        <f t="shared" si="4"/>
        <v>0</v>
      </c>
      <c r="R193" s="510">
        <f t="shared" si="5"/>
        <v>0</v>
      </c>
    </row>
    <row r="194" spans="1:18">
      <c r="A194" s="505"/>
      <c r="B194" s="511" t="s">
        <v>740</v>
      </c>
      <c r="C194" s="507">
        <v>16</v>
      </c>
      <c r="D194" s="508"/>
      <c r="E194" s="507">
        <v>1</v>
      </c>
      <c r="F194" s="502">
        <v>1</v>
      </c>
      <c r="G194" s="502">
        <v>2</v>
      </c>
      <c r="H194" s="602">
        <f>0.58+8*$C194/1000</f>
        <v>0.70799999999999996</v>
      </c>
      <c r="I194" s="602">
        <v>5.6349999999999998</v>
      </c>
      <c r="J194" s="602">
        <f>0.58+8*$C194/1000</f>
        <v>0.70799999999999996</v>
      </c>
      <c r="K194" s="509"/>
      <c r="L194" s="510">
        <f>SUM(H194:J194)+K194</f>
        <v>7.0510000000000002</v>
      </c>
      <c r="M194" s="510">
        <f t="shared" si="0"/>
        <v>0</v>
      </c>
      <c r="N194" s="510">
        <f t="shared" si="1"/>
        <v>0</v>
      </c>
      <c r="O194" s="510">
        <f t="shared" si="2"/>
        <v>0</v>
      </c>
      <c r="P194" s="510">
        <f t="shared" si="3"/>
        <v>14.1</v>
      </c>
      <c r="Q194" s="510">
        <f t="shared" si="4"/>
        <v>0</v>
      </c>
      <c r="R194" s="510">
        <f t="shared" si="5"/>
        <v>0</v>
      </c>
    </row>
    <row r="195" spans="1:18">
      <c r="A195" s="505"/>
      <c r="B195" s="511" t="s">
        <v>773</v>
      </c>
      <c r="C195" s="507">
        <v>16</v>
      </c>
      <c r="D195" s="508"/>
      <c r="E195" s="507">
        <v>1</v>
      </c>
      <c r="F195" s="502">
        <v>1</v>
      </c>
      <c r="G195" s="502">
        <v>2</v>
      </c>
      <c r="H195" s="602">
        <f>0.58+8*$C195/1000</f>
        <v>0.70799999999999996</v>
      </c>
      <c r="I195" s="602">
        <v>5.6349999999999998</v>
      </c>
      <c r="J195" s="602">
        <f>0.58+8*$C195/1000</f>
        <v>0.70799999999999996</v>
      </c>
      <c r="K195" s="509"/>
      <c r="L195" s="510">
        <f t="shared" ref="L195" si="102">SUM(H195:J195)+K195</f>
        <v>7.0510000000000002</v>
      </c>
      <c r="M195" s="510">
        <f t="shared" si="0"/>
        <v>0</v>
      </c>
      <c r="N195" s="510">
        <f t="shared" si="1"/>
        <v>0</v>
      </c>
      <c r="O195" s="510">
        <f t="shared" si="2"/>
        <v>0</v>
      </c>
      <c r="P195" s="510">
        <f t="shared" si="3"/>
        <v>14.1</v>
      </c>
      <c r="Q195" s="510">
        <f t="shared" si="4"/>
        <v>0</v>
      </c>
      <c r="R195" s="510">
        <f t="shared" si="5"/>
        <v>0</v>
      </c>
    </row>
    <row r="196" spans="1:18">
      <c r="A196" s="505"/>
      <c r="B196" s="511" t="s">
        <v>777</v>
      </c>
      <c r="C196" s="507">
        <v>8</v>
      </c>
      <c r="D196" s="508">
        <v>100</v>
      </c>
      <c r="E196" s="507">
        <v>1</v>
      </c>
      <c r="F196" s="502">
        <v>1</v>
      </c>
      <c r="G196" s="502">
        <f>+ROUND(1.9/0.1+1,0)</f>
        <v>20</v>
      </c>
      <c r="H196" s="602"/>
      <c r="I196" s="602">
        <f>2*(0.18+0.4)+16*C196/1000</f>
        <v>1.2880000000000003</v>
      </c>
      <c r="J196" s="235"/>
      <c r="K196" s="589"/>
      <c r="L196" s="510">
        <f t="shared" ref="L196:L197" si="103">SUM(H196:J196)+K196</f>
        <v>1.2880000000000003</v>
      </c>
      <c r="M196" s="510">
        <f t="shared" si="0"/>
        <v>25.76</v>
      </c>
      <c r="N196" s="510">
        <f t="shared" si="1"/>
        <v>0</v>
      </c>
      <c r="O196" s="510">
        <f t="shared" si="2"/>
        <v>0</v>
      </c>
      <c r="P196" s="510">
        <f t="shared" si="3"/>
        <v>0</v>
      </c>
      <c r="Q196" s="510">
        <f t="shared" si="4"/>
        <v>0</v>
      </c>
      <c r="R196" s="510">
        <f t="shared" si="5"/>
        <v>0</v>
      </c>
    </row>
    <row r="197" spans="1:18">
      <c r="A197" s="505"/>
      <c r="B197" s="511"/>
      <c r="C197" s="507">
        <v>8</v>
      </c>
      <c r="D197" s="508">
        <v>100</v>
      </c>
      <c r="E197" s="507">
        <v>1</v>
      </c>
      <c r="F197" s="502">
        <v>1</v>
      </c>
      <c r="G197" s="502">
        <f>+ROUND(1.9/0.1+1,0)</f>
        <v>20</v>
      </c>
      <c r="H197" s="602"/>
      <c r="I197" s="602">
        <f t="shared" ref="I197:I198" si="104">2*(0.18+0.4)+16*C197/1000</f>
        <v>1.2880000000000003</v>
      </c>
      <c r="J197" s="235"/>
      <c r="K197" s="589"/>
      <c r="L197" s="510">
        <f t="shared" si="103"/>
        <v>1.2880000000000003</v>
      </c>
      <c r="M197" s="510">
        <f t="shared" si="0"/>
        <v>25.76</v>
      </c>
      <c r="N197" s="510">
        <f t="shared" si="1"/>
        <v>0</v>
      </c>
      <c r="O197" s="510">
        <f t="shared" si="2"/>
        <v>0</v>
      </c>
      <c r="P197" s="510">
        <f t="shared" si="3"/>
        <v>0</v>
      </c>
      <c r="Q197" s="510">
        <f t="shared" si="4"/>
        <v>0</v>
      </c>
      <c r="R197" s="510">
        <f t="shared" si="5"/>
        <v>0</v>
      </c>
    </row>
    <row r="198" spans="1:18">
      <c r="A198" s="505"/>
      <c r="B198" s="511"/>
      <c r="C198" s="507">
        <v>8</v>
      </c>
      <c r="D198" s="508">
        <v>100</v>
      </c>
      <c r="E198" s="507">
        <v>1</v>
      </c>
      <c r="F198" s="502">
        <v>1</v>
      </c>
      <c r="G198" s="502">
        <f>+ROUND(1.4/0.1+1,0)</f>
        <v>15</v>
      </c>
      <c r="H198" s="602"/>
      <c r="I198" s="602">
        <f t="shared" si="104"/>
        <v>1.2880000000000003</v>
      </c>
      <c r="J198" s="235"/>
      <c r="K198" s="589"/>
      <c r="L198" s="510">
        <f t="shared" ref="L198" si="105">SUM(H198:J198)+K198</f>
        <v>1.2880000000000003</v>
      </c>
      <c r="M198" s="510">
        <f t="shared" si="0"/>
        <v>19.32</v>
      </c>
      <c r="N198" s="510">
        <f t="shared" si="1"/>
        <v>0</v>
      </c>
      <c r="O198" s="510">
        <f t="shared" si="2"/>
        <v>0</v>
      </c>
      <c r="P198" s="510">
        <f t="shared" si="3"/>
        <v>0</v>
      </c>
      <c r="Q198" s="510">
        <f t="shared" si="4"/>
        <v>0</v>
      </c>
      <c r="R198" s="510">
        <f t="shared" si="5"/>
        <v>0</v>
      </c>
    </row>
    <row r="199" spans="1:18">
      <c r="A199" s="505" t="s">
        <v>779</v>
      </c>
      <c r="B199" s="520" t="s">
        <v>1103</v>
      </c>
      <c r="C199" s="507"/>
      <c r="D199" s="508"/>
      <c r="E199" s="507"/>
      <c r="F199" s="502"/>
      <c r="G199" s="502"/>
      <c r="H199" s="602"/>
      <c r="I199" s="602"/>
      <c r="J199" s="235"/>
      <c r="K199" s="509"/>
      <c r="L199" s="510">
        <f t="shared" ref="L199" si="106">SUM(H199:J199)+K199</f>
        <v>0</v>
      </c>
      <c r="M199" s="510">
        <f t="shared" si="0"/>
        <v>0</v>
      </c>
      <c r="N199" s="510">
        <f t="shared" si="1"/>
        <v>0</v>
      </c>
      <c r="O199" s="510">
        <f t="shared" si="2"/>
        <v>0</v>
      </c>
      <c r="P199" s="510">
        <f t="shared" si="3"/>
        <v>0</v>
      </c>
      <c r="Q199" s="510">
        <f t="shared" si="4"/>
        <v>0</v>
      </c>
      <c r="R199" s="510">
        <f t="shared" si="5"/>
        <v>0</v>
      </c>
    </row>
    <row r="200" spans="1:18">
      <c r="A200" s="505"/>
      <c r="B200" s="511" t="s">
        <v>740</v>
      </c>
      <c r="C200" s="507">
        <v>16</v>
      </c>
      <c r="D200" s="508"/>
      <c r="E200" s="507">
        <v>1</v>
      </c>
      <c r="F200" s="502">
        <v>1</v>
      </c>
      <c r="G200" s="502">
        <v>2</v>
      </c>
      <c r="H200" s="602">
        <f>0.58+8*$C200/1000</f>
        <v>0.70799999999999996</v>
      </c>
      <c r="I200" s="602">
        <v>7.4249999999999998</v>
      </c>
      <c r="J200" s="602">
        <f>0.58+8*$C200/1000</f>
        <v>0.70799999999999996</v>
      </c>
      <c r="K200" s="509"/>
      <c r="L200" s="510">
        <f>SUM(H200:J200)+K200</f>
        <v>8.8409999999999993</v>
      </c>
      <c r="M200" s="510">
        <f t="shared" si="0"/>
        <v>0</v>
      </c>
      <c r="N200" s="510">
        <f t="shared" si="1"/>
        <v>0</v>
      </c>
      <c r="O200" s="510">
        <f t="shared" si="2"/>
        <v>0</v>
      </c>
      <c r="P200" s="510">
        <f t="shared" si="3"/>
        <v>17.68</v>
      </c>
      <c r="Q200" s="510">
        <f t="shared" si="4"/>
        <v>0</v>
      </c>
      <c r="R200" s="510">
        <f t="shared" si="5"/>
        <v>0</v>
      </c>
    </row>
    <row r="201" spans="1:18">
      <c r="A201" s="505"/>
      <c r="B201" s="511" t="s">
        <v>740</v>
      </c>
      <c r="C201" s="507">
        <v>16</v>
      </c>
      <c r="D201" s="508"/>
      <c r="E201" s="507">
        <v>1</v>
      </c>
      <c r="F201" s="502">
        <v>1</v>
      </c>
      <c r="G201" s="502">
        <v>2</v>
      </c>
      <c r="H201" s="602">
        <v>0.57999999999999996</v>
      </c>
      <c r="I201" s="602">
        <v>2.93</v>
      </c>
      <c r="J201" s="602">
        <f>0.58+8*$C201/1000</f>
        <v>0.70799999999999996</v>
      </c>
      <c r="K201" s="509"/>
      <c r="L201" s="510">
        <f>SUM(H201:J201)+K201</f>
        <v>4.218</v>
      </c>
      <c r="M201" s="510">
        <f t="shared" si="0"/>
        <v>0</v>
      </c>
      <c r="N201" s="510">
        <f t="shared" si="1"/>
        <v>0</v>
      </c>
      <c r="O201" s="510">
        <f t="shared" si="2"/>
        <v>0</v>
      </c>
      <c r="P201" s="510">
        <f t="shared" si="3"/>
        <v>8.44</v>
      </c>
      <c r="Q201" s="510">
        <f t="shared" si="4"/>
        <v>0</v>
      </c>
      <c r="R201" s="510">
        <f t="shared" si="5"/>
        <v>0</v>
      </c>
    </row>
    <row r="202" spans="1:18">
      <c r="A202" s="505"/>
      <c r="B202" s="511" t="s">
        <v>773</v>
      </c>
      <c r="C202" s="507">
        <v>16</v>
      </c>
      <c r="D202" s="508"/>
      <c r="E202" s="507">
        <v>1</v>
      </c>
      <c r="F202" s="502">
        <v>1</v>
      </c>
      <c r="G202" s="502">
        <v>2</v>
      </c>
      <c r="H202" s="602">
        <f>0.58+8*$C202/1000</f>
        <v>0.70799999999999996</v>
      </c>
      <c r="I202" s="602">
        <v>10.955</v>
      </c>
      <c r="J202" s="602">
        <f>0.58+8*$C202/1000</f>
        <v>0.70799999999999996</v>
      </c>
      <c r="K202" s="509"/>
      <c r="L202" s="510">
        <f t="shared" ref="L202" si="107">SUM(H202:J202)+K202</f>
        <v>12.371</v>
      </c>
      <c r="M202" s="510">
        <f t="shared" si="0"/>
        <v>0</v>
      </c>
      <c r="N202" s="510">
        <f t="shared" si="1"/>
        <v>0</v>
      </c>
      <c r="O202" s="510">
        <f t="shared" si="2"/>
        <v>0</v>
      </c>
      <c r="P202" s="510">
        <f t="shared" si="3"/>
        <v>24.74</v>
      </c>
      <c r="Q202" s="510">
        <f t="shared" si="4"/>
        <v>0</v>
      </c>
      <c r="R202" s="510">
        <f t="shared" si="5"/>
        <v>0</v>
      </c>
    </row>
    <row r="203" spans="1:18">
      <c r="A203" s="505"/>
      <c r="B203" s="511" t="s">
        <v>777</v>
      </c>
      <c r="C203" s="507">
        <v>8</v>
      </c>
      <c r="D203" s="508">
        <v>100</v>
      </c>
      <c r="E203" s="507">
        <v>1</v>
      </c>
      <c r="F203" s="502">
        <v>1</v>
      </c>
      <c r="G203" s="502">
        <f>+ROUND(3.95/0.1+1,0)</f>
        <v>41</v>
      </c>
      <c r="H203" s="602"/>
      <c r="I203" s="602">
        <f>2*(0.15+0.4)+16*C203/1000</f>
        <v>1.2280000000000002</v>
      </c>
      <c r="J203" s="235"/>
      <c r="K203" s="589"/>
      <c r="L203" s="510">
        <f t="shared" ref="L203" si="108">SUM(H203:J203)+K203</f>
        <v>1.2280000000000002</v>
      </c>
      <c r="M203" s="510">
        <f t="shared" si="0"/>
        <v>50.35</v>
      </c>
      <c r="N203" s="510">
        <f t="shared" si="1"/>
        <v>0</v>
      </c>
      <c r="O203" s="510">
        <f t="shared" si="2"/>
        <v>0</v>
      </c>
      <c r="P203" s="510">
        <f t="shared" si="3"/>
        <v>0</v>
      </c>
      <c r="Q203" s="510">
        <f t="shared" si="4"/>
        <v>0</v>
      </c>
      <c r="R203" s="510">
        <f t="shared" si="5"/>
        <v>0</v>
      </c>
    </row>
    <row r="204" spans="1:18">
      <c r="A204" s="505"/>
      <c r="B204" s="511" t="s">
        <v>1079</v>
      </c>
      <c r="C204" s="507">
        <v>8</v>
      </c>
      <c r="D204" s="508">
        <v>100</v>
      </c>
      <c r="E204" s="507">
        <v>1</v>
      </c>
      <c r="F204" s="502">
        <v>1</v>
      </c>
      <c r="G204" s="502">
        <f>+ROUND(2.875/0.1+1,0)</f>
        <v>30</v>
      </c>
      <c r="H204" s="602"/>
      <c r="I204" s="602">
        <f>2*(0.15+0.45)+16*C204/1000</f>
        <v>1.3279999999999998</v>
      </c>
      <c r="J204" s="235"/>
      <c r="K204" s="589"/>
      <c r="L204" s="510">
        <f t="shared" ref="L204" si="109">SUM(H204:J204)+K204</f>
        <v>1.3279999999999998</v>
      </c>
      <c r="M204" s="510">
        <f t="shared" si="0"/>
        <v>39.840000000000003</v>
      </c>
      <c r="N204" s="510">
        <f t="shared" si="1"/>
        <v>0</v>
      </c>
      <c r="O204" s="510">
        <f t="shared" si="2"/>
        <v>0</v>
      </c>
      <c r="P204" s="510">
        <f t="shared" si="3"/>
        <v>0</v>
      </c>
      <c r="Q204" s="510">
        <f t="shared" si="4"/>
        <v>0</v>
      </c>
      <c r="R204" s="510">
        <f t="shared" si="5"/>
        <v>0</v>
      </c>
    </row>
    <row r="205" spans="1:18">
      <c r="A205" s="505"/>
      <c r="B205" s="511" t="s">
        <v>1080</v>
      </c>
      <c r="C205" s="507">
        <v>8</v>
      </c>
      <c r="D205" s="508">
        <v>100</v>
      </c>
      <c r="E205" s="507">
        <v>1</v>
      </c>
      <c r="F205" s="502">
        <v>1</v>
      </c>
      <c r="G205" s="502">
        <f>+ROUND(2.93/0.1+1,0)</f>
        <v>30</v>
      </c>
      <c r="H205" s="602"/>
      <c r="I205" s="602">
        <f>2*(0.15+0.3)+16*C205/1000</f>
        <v>1.028</v>
      </c>
      <c r="J205" s="235"/>
      <c r="K205" s="589"/>
      <c r="L205" s="510">
        <f t="shared" ref="L205" si="110">SUM(H205:J205)+K205</f>
        <v>1.028</v>
      </c>
      <c r="M205" s="510">
        <f t="shared" si="0"/>
        <v>30.84</v>
      </c>
      <c r="N205" s="510">
        <f t="shared" si="1"/>
        <v>0</v>
      </c>
      <c r="O205" s="510">
        <f t="shared" si="2"/>
        <v>0</v>
      </c>
      <c r="P205" s="510">
        <f t="shared" si="3"/>
        <v>0</v>
      </c>
      <c r="Q205" s="510">
        <f t="shared" si="4"/>
        <v>0</v>
      </c>
      <c r="R205" s="510">
        <f t="shared" si="5"/>
        <v>0</v>
      </c>
    </row>
    <row r="206" spans="1:18">
      <c r="A206" s="505"/>
      <c r="B206" s="511"/>
      <c r="C206" s="507"/>
      <c r="D206" s="508"/>
      <c r="E206" s="507"/>
      <c r="F206" s="502"/>
      <c r="G206" s="502"/>
      <c r="H206" s="602"/>
      <c r="I206" s="602"/>
      <c r="J206" s="235"/>
      <c r="K206" s="589"/>
      <c r="L206" s="510"/>
      <c r="M206" s="510"/>
      <c r="N206" s="510"/>
      <c r="O206" s="510"/>
      <c r="P206" s="510"/>
      <c r="Q206" s="510"/>
      <c r="R206" s="510"/>
    </row>
    <row r="207" spans="1:18">
      <c r="A207" s="505" t="s">
        <v>1067</v>
      </c>
      <c r="B207" s="520" t="s">
        <v>1104</v>
      </c>
      <c r="C207" s="507"/>
      <c r="D207" s="508"/>
      <c r="E207" s="507"/>
      <c r="F207" s="502"/>
      <c r="G207" s="502"/>
      <c r="H207" s="602"/>
      <c r="I207" s="602"/>
      <c r="J207" s="235"/>
      <c r="K207" s="509"/>
      <c r="L207" s="510">
        <f t="shared" ref="L207" si="111">SUM(H207:J207)+K207</f>
        <v>0</v>
      </c>
      <c r="M207" s="510">
        <f t="shared" ref="M207:M213" si="112">+ROUND(IF(C207=8,PRODUCT(E207,F207,G207,L207),0),2)</f>
        <v>0</v>
      </c>
      <c r="N207" s="510">
        <f t="shared" ref="N207:N213" si="113">+ROUND(IF(C207=10,PRODUCT(E207,F207,G207,L207),0),2)</f>
        <v>0</v>
      </c>
      <c r="O207" s="510">
        <f t="shared" ref="O207:O213" si="114">+ROUND(IF(C207=12,PRODUCT(E207,F207,G207,L207),0),2)</f>
        <v>0</v>
      </c>
      <c r="P207" s="510">
        <f t="shared" ref="P207:P213" si="115">+ROUND(IF(C207=16,PRODUCT(E207,F207,G207,L207),0),2)</f>
        <v>0</v>
      </c>
      <c r="Q207" s="510">
        <f t="shared" ref="Q207:Q213" si="116">+ROUND(IF(C207=20,PRODUCT(E207,F207,G207,L207),0),2)</f>
        <v>0</v>
      </c>
      <c r="R207" s="510">
        <f t="shared" ref="R207:R213" si="117">+ROUND(IF(C207=25,PRODUCT(E207,F207,G207,L207),0),2)</f>
        <v>0</v>
      </c>
    </row>
    <row r="208" spans="1:18">
      <c r="A208" s="505"/>
      <c r="B208" s="511" t="s">
        <v>740</v>
      </c>
      <c r="C208" s="507">
        <v>16</v>
      </c>
      <c r="D208" s="508"/>
      <c r="E208" s="507">
        <v>1</v>
      </c>
      <c r="F208" s="603">
        <v>0.5</v>
      </c>
      <c r="G208" s="502">
        <v>2</v>
      </c>
      <c r="H208" s="602">
        <f>0.58+8*$C208/1000</f>
        <v>0.70799999999999996</v>
      </c>
      <c r="I208" s="602">
        <v>16.88</v>
      </c>
      <c r="J208" s="602">
        <f>0.58+8*$C208/1000</f>
        <v>0.70799999999999996</v>
      </c>
      <c r="K208" s="509"/>
      <c r="L208" s="510">
        <f>SUM(H208:J208)+K208</f>
        <v>18.295999999999996</v>
      </c>
      <c r="M208" s="510">
        <f t="shared" si="112"/>
        <v>0</v>
      </c>
      <c r="N208" s="510">
        <f t="shared" si="113"/>
        <v>0</v>
      </c>
      <c r="O208" s="510">
        <f t="shared" si="114"/>
        <v>0</v>
      </c>
      <c r="P208" s="510">
        <f t="shared" si="115"/>
        <v>18.3</v>
      </c>
      <c r="Q208" s="510">
        <f t="shared" si="116"/>
        <v>0</v>
      </c>
      <c r="R208" s="510">
        <f t="shared" si="117"/>
        <v>0</v>
      </c>
    </row>
    <row r="209" spans="1:18">
      <c r="A209" s="505"/>
      <c r="B209" s="511" t="s">
        <v>773</v>
      </c>
      <c r="C209" s="507">
        <v>16</v>
      </c>
      <c r="D209" s="508"/>
      <c r="E209" s="507">
        <v>1</v>
      </c>
      <c r="F209" s="603">
        <v>0.5</v>
      </c>
      <c r="G209" s="502">
        <v>2</v>
      </c>
      <c r="H209" s="602">
        <f>0.58+8*$C209/1000</f>
        <v>0.70799999999999996</v>
      </c>
      <c r="I209" s="602">
        <v>16.88</v>
      </c>
      <c r="J209" s="602">
        <f>0.58+8*$C209/1000</f>
        <v>0.70799999999999996</v>
      </c>
      <c r="K209" s="509"/>
      <c r="L209" s="510">
        <f t="shared" ref="L209" si="118">SUM(H209:J209)+K209</f>
        <v>18.295999999999996</v>
      </c>
      <c r="M209" s="510">
        <f t="shared" si="112"/>
        <v>0</v>
      </c>
      <c r="N209" s="510">
        <f t="shared" si="113"/>
        <v>0</v>
      </c>
      <c r="O209" s="510">
        <f t="shared" si="114"/>
        <v>0</v>
      </c>
      <c r="P209" s="510">
        <f t="shared" si="115"/>
        <v>18.3</v>
      </c>
      <c r="Q209" s="510">
        <f t="shared" si="116"/>
        <v>0</v>
      </c>
      <c r="R209" s="510">
        <f t="shared" si="117"/>
        <v>0</v>
      </c>
    </row>
    <row r="210" spans="1:18">
      <c r="A210" s="505"/>
      <c r="B210" s="511" t="s">
        <v>778</v>
      </c>
      <c r="C210" s="507">
        <v>12</v>
      </c>
      <c r="D210" s="508"/>
      <c r="E210" s="507">
        <v>1</v>
      </c>
      <c r="F210" s="603">
        <v>0.5</v>
      </c>
      <c r="G210" s="502">
        <v>4</v>
      </c>
      <c r="H210" s="602"/>
      <c r="I210" s="602">
        <f>4.69-0.5-0.75</f>
        <v>3.4400000000000004</v>
      </c>
      <c r="J210" s="235"/>
      <c r="K210" s="509"/>
      <c r="L210" s="510">
        <f t="shared" ref="L210" si="119">SUM(H210:J210)+K210</f>
        <v>3.4400000000000004</v>
      </c>
      <c r="M210" s="510">
        <f t="shared" si="112"/>
        <v>0</v>
      </c>
      <c r="N210" s="510">
        <f t="shared" si="113"/>
        <v>0</v>
      </c>
      <c r="O210" s="510">
        <f t="shared" si="114"/>
        <v>6.88</v>
      </c>
      <c r="P210" s="510">
        <f t="shared" si="115"/>
        <v>0</v>
      </c>
      <c r="Q210" s="510">
        <f t="shared" si="116"/>
        <v>0</v>
      </c>
      <c r="R210" s="510">
        <f t="shared" si="117"/>
        <v>0</v>
      </c>
    </row>
    <row r="211" spans="1:18">
      <c r="A211" s="505"/>
      <c r="B211" s="511" t="s">
        <v>774</v>
      </c>
      <c r="C211" s="507">
        <v>16</v>
      </c>
      <c r="D211" s="508"/>
      <c r="E211" s="507">
        <v>1</v>
      </c>
      <c r="F211" s="603">
        <v>0.5</v>
      </c>
      <c r="G211" s="502">
        <v>4</v>
      </c>
      <c r="H211" s="602"/>
      <c r="I211" s="602">
        <f>1.4+0.6+1.8</f>
        <v>3.8</v>
      </c>
      <c r="J211" s="235"/>
      <c r="K211" s="509"/>
      <c r="L211" s="510">
        <f t="shared" ref="L211" si="120">SUM(H211:J211)+K211</f>
        <v>3.8</v>
      </c>
      <c r="M211" s="510">
        <f t="shared" si="112"/>
        <v>0</v>
      </c>
      <c r="N211" s="510">
        <f t="shared" si="113"/>
        <v>0</v>
      </c>
      <c r="O211" s="510">
        <f t="shared" si="114"/>
        <v>0</v>
      </c>
      <c r="P211" s="510">
        <f t="shared" si="115"/>
        <v>7.6</v>
      </c>
      <c r="Q211" s="510">
        <f t="shared" si="116"/>
        <v>0</v>
      </c>
      <c r="R211" s="510">
        <f t="shared" si="117"/>
        <v>0</v>
      </c>
    </row>
    <row r="212" spans="1:18">
      <c r="A212" s="505"/>
      <c r="B212" s="511" t="s">
        <v>774</v>
      </c>
      <c r="C212" s="507">
        <v>16</v>
      </c>
      <c r="D212" s="508"/>
      <c r="E212" s="507">
        <v>1</v>
      </c>
      <c r="F212" s="603">
        <v>0.5</v>
      </c>
      <c r="G212" s="502">
        <v>4</v>
      </c>
      <c r="H212" s="602">
        <f>0.58+8*$C212/1000</f>
        <v>0.70799999999999996</v>
      </c>
      <c r="I212" s="602">
        <v>1.4</v>
      </c>
      <c r="J212" s="235"/>
      <c r="K212" s="509"/>
      <c r="L212" s="510">
        <f t="shared" ref="L212" si="121">SUM(H212:J212)+K212</f>
        <v>2.1079999999999997</v>
      </c>
      <c r="M212" s="510">
        <f t="shared" si="112"/>
        <v>0</v>
      </c>
      <c r="N212" s="510">
        <f t="shared" si="113"/>
        <v>0</v>
      </c>
      <c r="O212" s="510">
        <f t="shared" si="114"/>
        <v>0</v>
      </c>
      <c r="P212" s="510">
        <f t="shared" si="115"/>
        <v>4.22</v>
      </c>
      <c r="Q212" s="510">
        <f t="shared" si="116"/>
        <v>0</v>
      </c>
      <c r="R212" s="510">
        <f t="shared" si="117"/>
        <v>0</v>
      </c>
    </row>
    <row r="213" spans="1:18">
      <c r="A213" s="505"/>
      <c r="B213" s="511" t="s">
        <v>1079</v>
      </c>
      <c r="C213" s="507">
        <v>8</v>
      </c>
      <c r="D213" s="508">
        <v>100</v>
      </c>
      <c r="E213" s="507">
        <v>1</v>
      </c>
      <c r="F213" s="603">
        <v>0.5</v>
      </c>
      <c r="G213" s="502">
        <f>+ROUND(2.345/0.1+1,0)*2</f>
        <v>48</v>
      </c>
      <c r="H213" s="602"/>
      <c r="I213" s="602">
        <f>2*(0.15+0.45)+16*C213/1000</f>
        <v>1.3279999999999998</v>
      </c>
      <c r="J213" s="235"/>
      <c r="K213" s="589"/>
      <c r="L213" s="510">
        <f t="shared" ref="L213" si="122">SUM(H213:J213)+K213</f>
        <v>1.3279999999999998</v>
      </c>
      <c r="M213" s="510">
        <f t="shared" si="112"/>
        <v>31.87</v>
      </c>
      <c r="N213" s="510">
        <f t="shared" si="113"/>
        <v>0</v>
      </c>
      <c r="O213" s="510">
        <f t="shared" si="114"/>
        <v>0</v>
      </c>
      <c r="P213" s="510">
        <f t="shared" si="115"/>
        <v>0</v>
      </c>
      <c r="Q213" s="510">
        <f t="shared" si="116"/>
        <v>0</v>
      </c>
      <c r="R213" s="510">
        <f t="shared" si="117"/>
        <v>0</v>
      </c>
    </row>
    <row r="214" spans="1:18">
      <c r="A214" s="505"/>
      <c r="B214" s="511"/>
      <c r="C214" s="507">
        <v>8</v>
      </c>
      <c r="D214" s="508">
        <v>150</v>
      </c>
      <c r="E214" s="507">
        <v>1</v>
      </c>
      <c r="F214" s="603">
        <v>0.5</v>
      </c>
      <c r="G214" s="502">
        <f>+ROUND(2.345/0.15+1,0)*2</f>
        <v>34</v>
      </c>
      <c r="H214" s="602"/>
      <c r="I214" s="602">
        <f>2*(0.15+0.45)+16*C214/1000</f>
        <v>1.3279999999999998</v>
      </c>
      <c r="J214" s="235"/>
      <c r="K214" s="589"/>
      <c r="L214" s="510">
        <f t="shared" si="83"/>
        <v>1.3279999999999998</v>
      </c>
      <c r="M214" s="510">
        <f t="shared" si="0"/>
        <v>22.58</v>
      </c>
      <c r="N214" s="510">
        <f t="shared" si="1"/>
        <v>0</v>
      </c>
      <c r="O214" s="510">
        <f t="shared" si="2"/>
        <v>0</v>
      </c>
      <c r="P214" s="510">
        <f t="shared" si="3"/>
        <v>0</v>
      </c>
      <c r="Q214" s="510">
        <f t="shared" si="4"/>
        <v>0</v>
      </c>
      <c r="R214" s="510">
        <f t="shared" si="5"/>
        <v>0</v>
      </c>
    </row>
    <row r="215" spans="1:18">
      <c r="A215" s="505"/>
      <c r="B215" s="511" t="s">
        <v>1079</v>
      </c>
      <c r="C215" s="507">
        <v>8</v>
      </c>
      <c r="D215" s="508">
        <v>100</v>
      </c>
      <c r="E215" s="507">
        <v>1</v>
      </c>
      <c r="F215" s="603">
        <v>0.5</v>
      </c>
      <c r="G215" s="502">
        <f>+ROUND(3.15/0.1+1,0)</f>
        <v>33</v>
      </c>
      <c r="H215" s="602"/>
      <c r="I215" s="602">
        <f>2*(0.15+0.45)+16*C215/1000</f>
        <v>1.3279999999999998</v>
      </c>
      <c r="J215" s="235"/>
      <c r="K215" s="589"/>
      <c r="L215" s="510">
        <f t="shared" ref="L215:L216" si="123">SUM(H215:J215)+K215</f>
        <v>1.3279999999999998</v>
      </c>
      <c r="M215" s="510">
        <f t="shared" si="0"/>
        <v>21.91</v>
      </c>
      <c r="N215" s="510">
        <f t="shared" si="1"/>
        <v>0</v>
      </c>
      <c r="O215" s="510">
        <f t="shared" si="2"/>
        <v>0</v>
      </c>
      <c r="P215" s="510">
        <f t="shared" si="3"/>
        <v>0</v>
      </c>
      <c r="Q215" s="510">
        <f t="shared" si="4"/>
        <v>0</v>
      </c>
      <c r="R215" s="510">
        <f t="shared" si="5"/>
        <v>0</v>
      </c>
    </row>
    <row r="216" spans="1:18">
      <c r="A216" s="505"/>
      <c r="B216" s="511"/>
      <c r="C216" s="507">
        <v>8</v>
      </c>
      <c r="D216" s="508">
        <v>150</v>
      </c>
      <c r="E216" s="507">
        <v>1</v>
      </c>
      <c r="F216" s="603">
        <v>0.5</v>
      </c>
      <c r="G216" s="502">
        <f>+ROUND(3.15/0.15+1,0)</f>
        <v>22</v>
      </c>
      <c r="H216" s="602"/>
      <c r="I216" s="602">
        <f>2*(0.15+0.45)+16*C216/1000</f>
        <v>1.3279999999999998</v>
      </c>
      <c r="J216" s="235"/>
      <c r="K216" s="589"/>
      <c r="L216" s="510">
        <f t="shared" si="123"/>
        <v>1.3279999999999998</v>
      </c>
      <c r="M216" s="510">
        <f t="shared" si="0"/>
        <v>14.61</v>
      </c>
      <c r="N216" s="510">
        <f t="shared" si="1"/>
        <v>0</v>
      </c>
      <c r="O216" s="510">
        <f t="shared" si="2"/>
        <v>0</v>
      </c>
      <c r="P216" s="510">
        <f t="shared" si="3"/>
        <v>0</v>
      </c>
      <c r="Q216" s="510">
        <f t="shared" si="4"/>
        <v>0</v>
      </c>
      <c r="R216" s="510">
        <f t="shared" si="5"/>
        <v>0</v>
      </c>
    </row>
    <row r="217" spans="1:18">
      <c r="A217" s="505" t="s">
        <v>779</v>
      </c>
      <c r="B217" s="520" t="s">
        <v>1105</v>
      </c>
      <c r="C217" s="507"/>
      <c r="D217" s="508"/>
      <c r="E217" s="507"/>
      <c r="F217" s="502"/>
      <c r="G217" s="502"/>
      <c r="H217" s="602"/>
      <c r="I217" s="602"/>
      <c r="J217" s="235"/>
      <c r="K217" s="509"/>
      <c r="L217" s="510">
        <f t="shared" ref="L217" si="124">SUM(H217:J217)+K217</f>
        <v>0</v>
      </c>
      <c r="M217" s="510">
        <f t="shared" si="0"/>
        <v>0</v>
      </c>
      <c r="N217" s="510">
        <f t="shared" si="1"/>
        <v>0</v>
      </c>
      <c r="O217" s="510">
        <f t="shared" si="2"/>
        <v>0</v>
      </c>
      <c r="P217" s="510">
        <f t="shared" si="3"/>
        <v>0</v>
      </c>
      <c r="Q217" s="510">
        <f t="shared" si="4"/>
        <v>0</v>
      </c>
      <c r="R217" s="510">
        <f t="shared" si="5"/>
        <v>0</v>
      </c>
    </row>
    <row r="218" spans="1:18">
      <c r="A218" s="505"/>
      <c r="B218" s="511" t="s">
        <v>740</v>
      </c>
      <c r="C218" s="507">
        <v>16</v>
      </c>
      <c r="D218" s="508"/>
      <c r="E218" s="507">
        <v>1</v>
      </c>
      <c r="F218" s="502">
        <v>1</v>
      </c>
      <c r="G218" s="502">
        <v>2</v>
      </c>
      <c r="H218" s="602">
        <f>0.58+8*$C218/1000</f>
        <v>0.70799999999999996</v>
      </c>
      <c r="I218" s="602">
        <v>4.0049999999999999</v>
      </c>
      <c r="J218" s="602">
        <f>0.58+8*$C218/1000</f>
        <v>0.70799999999999996</v>
      </c>
      <c r="K218" s="509"/>
      <c r="L218" s="510">
        <f>SUM(H218:J218)+K218</f>
        <v>5.4210000000000003</v>
      </c>
      <c r="M218" s="510">
        <f t="shared" si="0"/>
        <v>0</v>
      </c>
      <c r="N218" s="510">
        <f t="shared" si="1"/>
        <v>0</v>
      </c>
      <c r="O218" s="510">
        <f t="shared" si="2"/>
        <v>0</v>
      </c>
      <c r="P218" s="510">
        <f t="shared" si="3"/>
        <v>10.84</v>
      </c>
      <c r="Q218" s="510">
        <f t="shared" si="4"/>
        <v>0</v>
      </c>
      <c r="R218" s="510">
        <f t="shared" si="5"/>
        <v>0</v>
      </c>
    </row>
    <row r="219" spans="1:18">
      <c r="A219" s="505"/>
      <c r="B219" s="511" t="s">
        <v>773</v>
      </c>
      <c r="C219" s="507">
        <v>16</v>
      </c>
      <c r="D219" s="508"/>
      <c r="E219" s="507">
        <v>1</v>
      </c>
      <c r="F219" s="502">
        <v>1</v>
      </c>
      <c r="G219" s="502">
        <v>2</v>
      </c>
      <c r="H219" s="602">
        <f>0.58+8*$C219/1000</f>
        <v>0.70799999999999996</v>
      </c>
      <c r="I219" s="602">
        <v>4.0049999999999999</v>
      </c>
      <c r="J219" s="602">
        <f>0.58+8*$C219/1000</f>
        <v>0.70799999999999996</v>
      </c>
      <c r="K219" s="509"/>
      <c r="L219" s="510">
        <f t="shared" ref="L219" si="125">SUM(H219:J219)+K219</f>
        <v>5.4210000000000003</v>
      </c>
      <c r="M219" s="510">
        <f t="shared" si="0"/>
        <v>0</v>
      </c>
      <c r="N219" s="510">
        <f t="shared" si="1"/>
        <v>0</v>
      </c>
      <c r="O219" s="510">
        <f t="shared" si="2"/>
        <v>0</v>
      </c>
      <c r="P219" s="510">
        <f t="shared" si="3"/>
        <v>10.84</v>
      </c>
      <c r="Q219" s="510">
        <f t="shared" si="4"/>
        <v>0</v>
      </c>
      <c r="R219" s="510">
        <f t="shared" si="5"/>
        <v>0</v>
      </c>
    </row>
    <row r="220" spans="1:18">
      <c r="A220" s="505"/>
      <c r="B220" s="511" t="s">
        <v>781</v>
      </c>
      <c r="C220" s="507">
        <v>8</v>
      </c>
      <c r="D220" s="508">
        <v>100</v>
      </c>
      <c r="E220" s="507">
        <v>1</v>
      </c>
      <c r="F220" s="502">
        <v>2</v>
      </c>
      <c r="G220" s="502">
        <f>+ROUND(1.9/0.1,0)</f>
        <v>19</v>
      </c>
      <c r="H220" s="602"/>
      <c r="I220" s="602">
        <f>2*(0.18+0.4)+16*C220/1000</f>
        <v>1.2880000000000003</v>
      </c>
      <c r="J220" s="235"/>
      <c r="K220" s="589"/>
      <c r="L220" s="510">
        <f t="shared" ref="L220:L221" si="126">SUM(H220:J220)+K220</f>
        <v>1.2880000000000003</v>
      </c>
      <c r="M220" s="510">
        <f t="shared" si="0"/>
        <v>48.94</v>
      </c>
      <c r="N220" s="510">
        <f t="shared" si="1"/>
        <v>0</v>
      </c>
      <c r="O220" s="510">
        <f t="shared" si="2"/>
        <v>0</v>
      </c>
      <c r="P220" s="510">
        <f t="shared" si="3"/>
        <v>0</v>
      </c>
      <c r="Q220" s="510">
        <f t="shared" si="4"/>
        <v>0</v>
      </c>
      <c r="R220" s="510">
        <f t="shared" si="5"/>
        <v>0</v>
      </c>
    </row>
    <row r="221" spans="1:18">
      <c r="A221" s="505"/>
      <c r="B221" s="511"/>
      <c r="C221" s="507">
        <v>8</v>
      </c>
      <c r="D221" s="508">
        <v>150</v>
      </c>
      <c r="E221" s="507">
        <v>1</v>
      </c>
      <c r="F221" s="502">
        <v>2</v>
      </c>
      <c r="G221" s="502">
        <f>+ROUND(1.9/0.1,0)</f>
        <v>19</v>
      </c>
      <c r="H221" s="602"/>
      <c r="I221" s="602">
        <f>2*(0.18+0.4)+16*C221/1000</f>
        <v>1.2880000000000003</v>
      </c>
      <c r="J221" s="235"/>
      <c r="K221" s="589"/>
      <c r="L221" s="510">
        <f t="shared" si="126"/>
        <v>1.2880000000000003</v>
      </c>
      <c r="M221" s="510">
        <f t="shared" si="0"/>
        <v>48.94</v>
      </c>
      <c r="N221" s="510">
        <f t="shared" si="1"/>
        <v>0</v>
      </c>
      <c r="O221" s="510">
        <f t="shared" si="2"/>
        <v>0</v>
      </c>
      <c r="P221" s="510">
        <f t="shared" si="3"/>
        <v>0</v>
      </c>
      <c r="Q221" s="510">
        <f t="shared" si="4"/>
        <v>0</v>
      </c>
      <c r="R221" s="510">
        <f t="shared" si="5"/>
        <v>0</v>
      </c>
    </row>
    <row r="222" spans="1:18">
      <c r="A222" s="505" t="s">
        <v>1072</v>
      </c>
      <c r="B222" s="520" t="s">
        <v>1106</v>
      </c>
      <c r="C222" s="507"/>
      <c r="D222" s="508"/>
      <c r="E222" s="507"/>
      <c r="F222" s="502"/>
      <c r="G222" s="502"/>
      <c r="H222" s="602"/>
      <c r="I222" s="602"/>
      <c r="J222" s="235"/>
      <c r="K222" s="509"/>
      <c r="L222" s="510">
        <f t="shared" ref="L222" si="127">SUM(H222:J222)+K222</f>
        <v>0</v>
      </c>
      <c r="M222" s="510">
        <f t="shared" si="0"/>
        <v>0</v>
      </c>
      <c r="N222" s="510">
        <f t="shared" si="1"/>
        <v>0</v>
      </c>
      <c r="O222" s="510">
        <f t="shared" si="2"/>
        <v>0</v>
      </c>
      <c r="P222" s="510">
        <f t="shared" si="3"/>
        <v>0</v>
      </c>
      <c r="Q222" s="510">
        <f t="shared" si="4"/>
        <v>0</v>
      </c>
      <c r="R222" s="510">
        <f t="shared" si="5"/>
        <v>0</v>
      </c>
    </row>
    <row r="223" spans="1:18">
      <c r="A223" s="505"/>
      <c r="B223" s="511" t="s">
        <v>740</v>
      </c>
      <c r="C223" s="507">
        <v>16</v>
      </c>
      <c r="D223" s="508"/>
      <c r="E223" s="507">
        <v>1</v>
      </c>
      <c r="F223" s="502">
        <v>1</v>
      </c>
      <c r="G223" s="502">
        <v>2</v>
      </c>
      <c r="H223" s="602">
        <f>0.58+8*$C223/1000</f>
        <v>0.70799999999999996</v>
      </c>
      <c r="I223" s="602">
        <v>5.0350000000000001</v>
      </c>
      <c r="J223" s="602">
        <f>((0.79)/3)+0.1</f>
        <v>0.3633333333333334</v>
      </c>
      <c r="K223" s="509"/>
      <c r="L223" s="510">
        <f>SUM(H223:J223)+K223</f>
        <v>6.1063333333333336</v>
      </c>
      <c r="M223" s="510">
        <f t="shared" si="0"/>
        <v>0</v>
      </c>
      <c r="N223" s="510">
        <f t="shared" si="1"/>
        <v>0</v>
      </c>
      <c r="O223" s="510">
        <f t="shared" si="2"/>
        <v>0</v>
      </c>
      <c r="P223" s="510">
        <f t="shared" si="3"/>
        <v>12.21</v>
      </c>
      <c r="Q223" s="510">
        <f t="shared" si="4"/>
        <v>0</v>
      </c>
      <c r="R223" s="510">
        <f t="shared" si="5"/>
        <v>0</v>
      </c>
    </row>
    <row r="224" spans="1:18">
      <c r="A224" s="505"/>
      <c r="B224" s="511" t="s">
        <v>773</v>
      </c>
      <c r="C224" s="507">
        <v>16</v>
      </c>
      <c r="D224" s="508"/>
      <c r="E224" s="507">
        <v>1</v>
      </c>
      <c r="F224" s="502">
        <v>1</v>
      </c>
      <c r="G224" s="502">
        <v>2</v>
      </c>
      <c r="H224" s="602">
        <f>0.58+8*$C224/1000</f>
        <v>0.70799999999999996</v>
      </c>
      <c r="I224" s="602">
        <v>5.0350000000000001</v>
      </c>
      <c r="J224" s="602">
        <f>((0.79)/3)+0.1</f>
        <v>0.3633333333333334</v>
      </c>
      <c r="K224" s="509"/>
      <c r="L224" s="510">
        <f t="shared" ref="L224" si="128">SUM(H224:J224)+K224</f>
        <v>6.1063333333333336</v>
      </c>
      <c r="M224" s="510">
        <f t="shared" si="0"/>
        <v>0</v>
      </c>
      <c r="N224" s="510">
        <f t="shared" si="1"/>
        <v>0</v>
      </c>
      <c r="O224" s="510">
        <f t="shared" si="2"/>
        <v>0</v>
      </c>
      <c r="P224" s="510">
        <f t="shared" si="3"/>
        <v>12.21</v>
      </c>
      <c r="Q224" s="510">
        <f t="shared" si="4"/>
        <v>0</v>
      </c>
      <c r="R224" s="510">
        <f t="shared" si="5"/>
        <v>0</v>
      </c>
    </row>
    <row r="225" spans="1:18">
      <c r="A225" s="505"/>
      <c r="B225" s="511" t="s">
        <v>1080</v>
      </c>
      <c r="C225" s="507">
        <v>8</v>
      </c>
      <c r="D225" s="508">
        <v>100</v>
      </c>
      <c r="E225" s="507">
        <v>1</v>
      </c>
      <c r="F225" s="502">
        <v>2</v>
      </c>
      <c r="G225" s="502">
        <f>+ROUND(2/0.1+1,0)</f>
        <v>21</v>
      </c>
      <c r="H225" s="602"/>
      <c r="I225" s="602">
        <f>2*(0.15+0.3)+16*C225/1000</f>
        <v>1.028</v>
      </c>
      <c r="J225" s="235"/>
      <c r="K225" s="589"/>
      <c r="L225" s="510">
        <f t="shared" ref="L225:L227" si="129">SUM(H225:J225)+K225</f>
        <v>1.028</v>
      </c>
      <c r="M225" s="510">
        <f t="shared" si="0"/>
        <v>43.18</v>
      </c>
      <c r="N225" s="510">
        <f t="shared" si="1"/>
        <v>0</v>
      </c>
      <c r="O225" s="510">
        <f t="shared" si="2"/>
        <v>0</v>
      </c>
      <c r="P225" s="510">
        <f t="shared" si="3"/>
        <v>0</v>
      </c>
      <c r="Q225" s="510">
        <f t="shared" si="4"/>
        <v>0</v>
      </c>
      <c r="R225" s="510">
        <f t="shared" si="5"/>
        <v>0</v>
      </c>
    </row>
    <row r="226" spans="1:18">
      <c r="A226" s="505"/>
      <c r="B226" s="511"/>
      <c r="C226" s="507">
        <v>8</v>
      </c>
      <c r="D226" s="508">
        <v>100</v>
      </c>
      <c r="E226" s="507">
        <v>1</v>
      </c>
      <c r="F226" s="502">
        <v>2</v>
      </c>
      <c r="G226" s="502">
        <f>+ROUND(2/0.1+1,0)</f>
        <v>21</v>
      </c>
      <c r="H226" s="602"/>
      <c r="I226" s="602">
        <f>2*(0.15+0.3)+16*C226/1000</f>
        <v>1.028</v>
      </c>
      <c r="J226" s="235"/>
      <c r="K226" s="589"/>
      <c r="L226" s="510">
        <f t="shared" si="129"/>
        <v>1.028</v>
      </c>
      <c r="M226" s="510">
        <f t="shared" si="0"/>
        <v>43.18</v>
      </c>
      <c r="N226" s="510">
        <f t="shared" si="1"/>
        <v>0</v>
      </c>
      <c r="O226" s="510">
        <f t="shared" si="2"/>
        <v>0</v>
      </c>
      <c r="P226" s="510">
        <f t="shared" si="3"/>
        <v>0</v>
      </c>
      <c r="Q226" s="510">
        <f t="shared" si="4"/>
        <v>0</v>
      </c>
      <c r="R226" s="510">
        <f t="shared" si="5"/>
        <v>0</v>
      </c>
    </row>
    <row r="227" spans="1:18">
      <c r="A227" s="505"/>
      <c r="B227" s="511"/>
      <c r="C227" s="507">
        <v>8</v>
      </c>
      <c r="D227" s="508">
        <v>150</v>
      </c>
      <c r="E227" s="507">
        <v>1</v>
      </c>
      <c r="F227" s="502">
        <v>2</v>
      </c>
      <c r="G227" s="502">
        <f>+ROUND(1.035/0.15+1,0)</f>
        <v>8</v>
      </c>
      <c r="H227" s="602"/>
      <c r="I227" s="602">
        <f>2*(0.15+0.3)+16*C227/1000</f>
        <v>1.028</v>
      </c>
      <c r="J227" s="235"/>
      <c r="K227" s="589"/>
      <c r="L227" s="510">
        <f t="shared" si="129"/>
        <v>1.028</v>
      </c>
      <c r="M227" s="510">
        <f t="shared" si="0"/>
        <v>16.45</v>
      </c>
      <c r="N227" s="510">
        <f t="shared" si="1"/>
        <v>0</v>
      </c>
      <c r="O227" s="510">
        <f t="shared" si="2"/>
        <v>0</v>
      </c>
      <c r="P227" s="510">
        <f t="shared" si="3"/>
        <v>0</v>
      </c>
      <c r="Q227" s="510">
        <f t="shared" si="4"/>
        <v>0</v>
      </c>
      <c r="R227" s="510">
        <f t="shared" si="5"/>
        <v>0</v>
      </c>
    </row>
    <row r="228" spans="1:18">
      <c r="A228" s="505" t="s">
        <v>772</v>
      </c>
      <c r="B228" s="520" t="s">
        <v>1107</v>
      </c>
      <c r="C228" s="507"/>
      <c r="D228" s="508"/>
      <c r="E228" s="507"/>
      <c r="F228" s="502"/>
      <c r="G228" s="502"/>
      <c r="H228" s="602"/>
      <c r="I228" s="602"/>
      <c r="J228" s="235"/>
      <c r="K228" s="509"/>
      <c r="L228" s="510">
        <f t="shared" ref="L228" si="130">SUM(H228:J228)+K228</f>
        <v>0</v>
      </c>
      <c r="M228" s="510">
        <f t="shared" si="0"/>
        <v>0</v>
      </c>
      <c r="N228" s="510">
        <f t="shared" si="1"/>
        <v>0</v>
      </c>
      <c r="O228" s="510">
        <f t="shared" si="2"/>
        <v>0</v>
      </c>
      <c r="P228" s="510">
        <f t="shared" si="3"/>
        <v>0</v>
      </c>
      <c r="Q228" s="510">
        <f t="shared" si="4"/>
        <v>0</v>
      </c>
      <c r="R228" s="510">
        <f t="shared" si="5"/>
        <v>0</v>
      </c>
    </row>
    <row r="229" spans="1:18">
      <c r="A229" s="505"/>
      <c r="B229" s="511" t="s">
        <v>740</v>
      </c>
      <c r="C229" s="507">
        <v>16</v>
      </c>
      <c r="D229" s="508"/>
      <c r="E229" s="507">
        <v>1</v>
      </c>
      <c r="F229" s="502">
        <v>1</v>
      </c>
      <c r="G229" s="502">
        <v>2</v>
      </c>
      <c r="H229" s="602">
        <f>0.58+8*$C229/1000</f>
        <v>0.70799999999999996</v>
      </c>
      <c r="I229" s="602">
        <v>10.5</v>
      </c>
      <c r="J229" s="602">
        <f>0.58+8*$C229/1000</f>
        <v>0.70799999999999996</v>
      </c>
      <c r="K229" s="509"/>
      <c r="L229" s="510">
        <f>SUM(H229:J229)+K229</f>
        <v>11.916</v>
      </c>
      <c r="M229" s="510">
        <f t="shared" si="0"/>
        <v>0</v>
      </c>
      <c r="N229" s="510">
        <f t="shared" si="1"/>
        <v>0</v>
      </c>
      <c r="O229" s="510">
        <f t="shared" si="2"/>
        <v>0</v>
      </c>
      <c r="P229" s="510">
        <f t="shared" si="3"/>
        <v>23.83</v>
      </c>
      <c r="Q229" s="510">
        <f t="shared" si="4"/>
        <v>0</v>
      </c>
      <c r="R229" s="510">
        <f t="shared" si="5"/>
        <v>0</v>
      </c>
    </row>
    <row r="230" spans="1:18">
      <c r="A230" s="505"/>
      <c r="B230" s="511" t="s">
        <v>773</v>
      </c>
      <c r="C230" s="507">
        <v>16</v>
      </c>
      <c r="D230" s="508"/>
      <c r="E230" s="507">
        <v>1</v>
      </c>
      <c r="F230" s="502">
        <v>1</v>
      </c>
      <c r="G230" s="502">
        <v>2</v>
      </c>
      <c r="H230" s="602">
        <f>0.58+8*$C230/1000</f>
        <v>0.70799999999999996</v>
      </c>
      <c r="I230" s="602">
        <v>10.5</v>
      </c>
      <c r="J230" s="602">
        <f>0.58+8*$C230/1000</f>
        <v>0.70799999999999996</v>
      </c>
      <c r="K230" s="509"/>
      <c r="L230" s="510">
        <f t="shared" ref="L230:L233" si="131">SUM(H230:J230)+K230</f>
        <v>11.916</v>
      </c>
      <c r="M230" s="510">
        <f t="shared" si="0"/>
        <v>0</v>
      </c>
      <c r="N230" s="510">
        <f t="shared" si="1"/>
        <v>0</v>
      </c>
      <c r="O230" s="510">
        <f t="shared" si="2"/>
        <v>0</v>
      </c>
      <c r="P230" s="510">
        <f t="shared" si="3"/>
        <v>23.83</v>
      </c>
      <c r="Q230" s="510">
        <f t="shared" si="4"/>
        <v>0</v>
      </c>
      <c r="R230" s="510">
        <f t="shared" si="5"/>
        <v>0</v>
      </c>
    </row>
    <row r="231" spans="1:18">
      <c r="A231" s="505"/>
      <c r="B231" s="511" t="s">
        <v>778</v>
      </c>
      <c r="C231" s="507">
        <v>12</v>
      </c>
      <c r="D231" s="508"/>
      <c r="E231" s="507">
        <v>1</v>
      </c>
      <c r="F231" s="502">
        <v>1</v>
      </c>
      <c r="G231" s="502">
        <v>4</v>
      </c>
      <c r="H231" s="602"/>
      <c r="I231" s="602">
        <f>5.1-0.5-0.75</f>
        <v>3.8499999999999996</v>
      </c>
      <c r="J231" s="602"/>
      <c r="K231" s="509"/>
      <c r="L231" s="510">
        <f t="shared" ref="L231" si="132">SUM(H231:J231)+K231</f>
        <v>3.8499999999999996</v>
      </c>
      <c r="M231" s="510">
        <f t="shared" si="0"/>
        <v>0</v>
      </c>
      <c r="N231" s="510">
        <f t="shared" si="1"/>
        <v>0</v>
      </c>
      <c r="O231" s="510">
        <f t="shared" si="2"/>
        <v>15.4</v>
      </c>
      <c r="P231" s="510">
        <f t="shared" si="3"/>
        <v>0</v>
      </c>
      <c r="Q231" s="510">
        <f t="shared" si="4"/>
        <v>0</v>
      </c>
      <c r="R231" s="510">
        <f t="shared" si="5"/>
        <v>0</v>
      </c>
    </row>
    <row r="232" spans="1:18">
      <c r="A232" s="505"/>
      <c r="B232" s="511" t="s">
        <v>774</v>
      </c>
      <c r="C232" s="507">
        <v>12</v>
      </c>
      <c r="D232" s="508"/>
      <c r="E232" s="507">
        <v>1</v>
      </c>
      <c r="F232" s="502">
        <v>1</v>
      </c>
      <c r="G232" s="502">
        <v>2</v>
      </c>
      <c r="H232" s="602"/>
      <c r="I232" s="602">
        <f>1.5+0.3+1.5</f>
        <v>3.3</v>
      </c>
      <c r="J232" s="602"/>
      <c r="K232" s="509"/>
      <c r="L232" s="510">
        <f t="shared" ref="L232" si="133">SUM(H232:J232)+K232</f>
        <v>3.3</v>
      </c>
      <c r="M232" s="510">
        <f t="shared" si="0"/>
        <v>0</v>
      </c>
      <c r="N232" s="510">
        <f t="shared" si="1"/>
        <v>0</v>
      </c>
      <c r="O232" s="510">
        <f t="shared" si="2"/>
        <v>6.6</v>
      </c>
      <c r="P232" s="510">
        <f t="shared" si="3"/>
        <v>0</v>
      </c>
      <c r="Q232" s="510">
        <f t="shared" si="4"/>
        <v>0</v>
      </c>
      <c r="R232" s="510">
        <f t="shared" si="5"/>
        <v>0</v>
      </c>
    </row>
    <row r="233" spans="1:18">
      <c r="A233" s="505"/>
      <c r="B233" s="511" t="s">
        <v>774</v>
      </c>
      <c r="C233" s="507">
        <v>12</v>
      </c>
      <c r="D233" s="508"/>
      <c r="E233" s="507">
        <v>1</v>
      </c>
      <c r="F233" s="502">
        <v>1</v>
      </c>
      <c r="G233" s="502">
        <v>4</v>
      </c>
      <c r="H233" s="602"/>
      <c r="I233" s="602">
        <v>1.5</v>
      </c>
      <c r="J233" s="602">
        <f>0.44+8*$C233/1000</f>
        <v>0.53600000000000003</v>
      </c>
      <c r="K233" s="509"/>
      <c r="L233" s="510">
        <f t="shared" si="131"/>
        <v>2.036</v>
      </c>
      <c r="M233" s="510">
        <f t="shared" si="0"/>
        <v>0</v>
      </c>
      <c r="N233" s="510">
        <f t="shared" si="1"/>
        <v>0</v>
      </c>
      <c r="O233" s="510">
        <f t="shared" si="2"/>
        <v>8.14</v>
      </c>
      <c r="P233" s="510">
        <f t="shared" si="3"/>
        <v>0</v>
      </c>
      <c r="Q233" s="510">
        <f t="shared" si="4"/>
        <v>0</v>
      </c>
      <c r="R233" s="510">
        <f t="shared" si="5"/>
        <v>0</v>
      </c>
    </row>
    <row r="234" spans="1:18">
      <c r="A234" s="505"/>
      <c r="B234" s="511" t="s">
        <v>777</v>
      </c>
      <c r="C234" s="507">
        <v>8</v>
      </c>
      <c r="D234" s="508">
        <v>100</v>
      </c>
      <c r="E234" s="507">
        <v>1</v>
      </c>
      <c r="F234" s="502">
        <v>2</v>
      </c>
      <c r="G234" s="502">
        <f>+ROUND(2.55/0.1,0)</f>
        <v>26</v>
      </c>
      <c r="H234" s="602"/>
      <c r="I234" s="602">
        <f>2*(0.14+0.4)+15*C234/1000</f>
        <v>1.2000000000000002</v>
      </c>
      <c r="J234" s="235"/>
      <c r="K234" s="589"/>
      <c r="L234" s="510">
        <f t="shared" ref="L234:L235" si="134">SUM(H234:J234)+K234</f>
        <v>1.2000000000000002</v>
      </c>
      <c r="M234" s="510">
        <f t="shared" si="0"/>
        <v>62.4</v>
      </c>
      <c r="N234" s="510">
        <f t="shared" si="1"/>
        <v>0</v>
      </c>
      <c r="O234" s="510">
        <f t="shared" si="2"/>
        <v>0</v>
      </c>
      <c r="P234" s="510">
        <f t="shared" si="3"/>
        <v>0</v>
      </c>
      <c r="Q234" s="510">
        <f t="shared" si="4"/>
        <v>0</v>
      </c>
      <c r="R234" s="510">
        <f t="shared" si="5"/>
        <v>0</v>
      </c>
    </row>
    <row r="235" spans="1:18">
      <c r="A235" s="505"/>
      <c r="B235" s="511"/>
      <c r="C235" s="507">
        <v>8</v>
      </c>
      <c r="D235" s="508">
        <v>150</v>
      </c>
      <c r="E235" s="507">
        <v>1</v>
      </c>
      <c r="F235" s="502">
        <v>2</v>
      </c>
      <c r="G235" s="502">
        <f>+ROUND(2.55/0.15+1,0)</f>
        <v>18</v>
      </c>
      <c r="H235" s="602"/>
      <c r="I235" s="602">
        <f>2*(0.14+0.4)+15*C235/1000</f>
        <v>1.2000000000000002</v>
      </c>
      <c r="J235" s="235"/>
      <c r="K235" s="589"/>
      <c r="L235" s="510">
        <f t="shared" si="134"/>
        <v>1.2000000000000002</v>
      </c>
      <c r="M235" s="510">
        <f t="shared" si="0"/>
        <v>43.2</v>
      </c>
      <c r="N235" s="510">
        <f t="shared" si="1"/>
        <v>0</v>
      </c>
      <c r="O235" s="510">
        <f t="shared" si="2"/>
        <v>0</v>
      </c>
      <c r="P235" s="510">
        <f t="shared" si="3"/>
        <v>0</v>
      </c>
      <c r="Q235" s="510">
        <f t="shared" si="4"/>
        <v>0</v>
      </c>
      <c r="R235" s="510">
        <f t="shared" si="5"/>
        <v>0</v>
      </c>
    </row>
    <row r="236" spans="1:18">
      <c r="A236" s="505"/>
      <c r="B236" s="511"/>
      <c r="C236" s="507"/>
      <c r="D236" s="508"/>
      <c r="E236" s="507"/>
      <c r="F236" s="502"/>
      <c r="G236" s="502"/>
      <c r="H236" s="602"/>
      <c r="I236" s="602"/>
      <c r="J236" s="235"/>
      <c r="K236" s="589"/>
      <c r="L236" s="510"/>
      <c r="M236" s="510"/>
      <c r="N236" s="510"/>
      <c r="O236" s="510"/>
      <c r="P236" s="510"/>
      <c r="Q236" s="510"/>
      <c r="R236" s="510"/>
    </row>
    <row r="237" spans="1:18">
      <c r="A237" s="505" t="s">
        <v>1067</v>
      </c>
      <c r="B237" s="520" t="s">
        <v>1108</v>
      </c>
      <c r="C237" s="507"/>
      <c r="D237" s="508"/>
      <c r="E237" s="507"/>
      <c r="F237" s="502"/>
      <c r="G237" s="502"/>
      <c r="H237" s="602"/>
      <c r="I237" s="602"/>
      <c r="J237" s="235"/>
      <c r="K237" s="509"/>
      <c r="L237" s="510">
        <f t="shared" ref="L237" si="135">SUM(H237:J237)+K237</f>
        <v>0</v>
      </c>
      <c r="M237" s="510">
        <f t="shared" si="0"/>
        <v>0</v>
      </c>
      <c r="N237" s="510">
        <f t="shared" si="1"/>
        <v>0</v>
      </c>
      <c r="O237" s="510">
        <f t="shared" si="2"/>
        <v>0</v>
      </c>
      <c r="P237" s="510">
        <f t="shared" si="3"/>
        <v>0</v>
      </c>
      <c r="Q237" s="510">
        <f t="shared" si="4"/>
        <v>0</v>
      </c>
      <c r="R237" s="510">
        <f t="shared" si="5"/>
        <v>0</v>
      </c>
    </row>
    <row r="238" spans="1:18">
      <c r="A238" s="505"/>
      <c r="B238" s="511" t="s">
        <v>740</v>
      </c>
      <c r="C238" s="507">
        <v>16</v>
      </c>
      <c r="D238" s="508"/>
      <c r="E238" s="507">
        <v>1</v>
      </c>
      <c r="F238" s="502">
        <v>1</v>
      </c>
      <c r="G238" s="502">
        <v>2</v>
      </c>
      <c r="H238" s="602">
        <f>((0.79)/3)+0.1</f>
        <v>0.3633333333333334</v>
      </c>
      <c r="I238" s="602">
        <v>6.68</v>
      </c>
      <c r="J238" s="602">
        <f>((0.79)/3)+0.1</f>
        <v>0.3633333333333334</v>
      </c>
      <c r="K238" s="509"/>
      <c r="L238" s="510">
        <f>SUM(H238:J238)+K238</f>
        <v>7.4066666666666663</v>
      </c>
      <c r="M238" s="510">
        <f t="shared" si="0"/>
        <v>0</v>
      </c>
      <c r="N238" s="510">
        <f t="shared" si="1"/>
        <v>0</v>
      </c>
      <c r="O238" s="510">
        <f t="shared" si="2"/>
        <v>0</v>
      </c>
      <c r="P238" s="510">
        <f t="shared" si="3"/>
        <v>14.81</v>
      </c>
      <c r="Q238" s="510">
        <f t="shared" si="4"/>
        <v>0</v>
      </c>
      <c r="R238" s="510">
        <f t="shared" si="5"/>
        <v>0</v>
      </c>
    </row>
    <row r="239" spans="1:18">
      <c r="A239" s="505"/>
      <c r="B239" s="511" t="s">
        <v>773</v>
      </c>
      <c r="C239" s="507">
        <v>16</v>
      </c>
      <c r="D239" s="508"/>
      <c r="E239" s="507">
        <v>1</v>
      </c>
      <c r="F239" s="502">
        <v>1</v>
      </c>
      <c r="G239" s="502">
        <v>2</v>
      </c>
      <c r="H239" s="602">
        <f>((0.79)/3)+0.1</f>
        <v>0.3633333333333334</v>
      </c>
      <c r="I239" s="602">
        <v>6.68</v>
      </c>
      <c r="J239" s="602">
        <f>((0.79)/3)+0.1</f>
        <v>0.3633333333333334</v>
      </c>
      <c r="K239" s="509"/>
      <c r="L239" s="510">
        <f>SUM(H239:J239)+K239</f>
        <v>7.4066666666666663</v>
      </c>
      <c r="M239" s="510">
        <f t="shared" si="0"/>
        <v>0</v>
      </c>
      <c r="N239" s="510">
        <f t="shared" si="1"/>
        <v>0</v>
      </c>
      <c r="O239" s="510">
        <f t="shared" si="2"/>
        <v>0</v>
      </c>
      <c r="P239" s="510">
        <f t="shared" si="3"/>
        <v>14.81</v>
      </c>
      <c r="Q239" s="510">
        <f t="shared" si="4"/>
        <v>0</v>
      </c>
      <c r="R239" s="510">
        <f t="shared" si="5"/>
        <v>0</v>
      </c>
    </row>
    <row r="240" spans="1:18">
      <c r="A240" s="505"/>
      <c r="B240" s="511" t="s">
        <v>774</v>
      </c>
      <c r="C240" s="507">
        <v>12</v>
      </c>
      <c r="D240" s="508"/>
      <c r="E240" s="507">
        <v>1</v>
      </c>
      <c r="F240" s="502">
        <v>1</v>
      </c>
      <c r="G240" s="502">
        <v>2</v>
      </c>
      <c r="H240" s="602"/>
      <c r="I240" s="602">
        <f>0.9+0.3+0.9</f>
        <v>2.1</v>
      </c>
      <c r="J240" s="235"/>
      <c r="K240" s="509"/>
      <c r="L240" s="510">
        <f t="shared" ref="L240" si="136">SUM(H240:J240)+K240</f>
        <v>2.1</v>
      </c>
      <c r="M240" s="510">
        <f t="shared" si="0"/>
        <v>0</v>
      </c>
      <c r="N240" s="510">
        <f t="shared" si="1"/>
        <v>0</v>
      </c>
      <c r="O240" s="510">
        <f t="shared" si="2"/>
        <v>4.2</v>
      </c>
      <c r="P240" s="510">
        <f t="shared" si="3"/>
        <v>0</v>
      </c>
      <c r="Q240" s="510">
        <f t="shared" si="4"/>
        <v>0</v>
      </c>
      <c r="R240" s="510">
        <f t="shared" si="5"/>
        <v>0</v>
      </c>
    </row>
    <row r="241" spans="1:18">
      <c r="A241" s="505"/>
      <c r="B241" s="511" t="s">
        <v>1079</v>
      </c>
      <c r="C241" s="507">
        <v>8</v>
      </c>
      <c r="D241" s="508">
        <v>100</v>
      </c>
      <c r="E241" s="507">
        <v>1</v>
      </c>
      <c r="F241" s="502">
        <v>2</v>
      </c>
      <c r="G241" s="502">
        <f>+ROUND(2/0.1,0)</f>
        <v>20</v>
      </c>
      <c r="H241" s="602"/>
      <c r="I241" s="602">
        <f>2*(0.15+0.45)+16*C241/1000</f>
        <v>1.3279999999999998</v>
      </c>
      <c r="J241" s="235"/>
      <c r="K241" s="589"/>
      <c r="L241" s="510">
        <f t="shared" ref="L241:L242" si="137">SUM(H241:J241)+K241</f>
        <v>1.3279999999999998</v>
      </c>
      <c r="M241" s="510">
        <f t="shared" si="0"/>
        <v>53.12</v>
      </c>
      <c r="N241" s="510">
        <f t="shared" si="1"/>
        <v>0</v>
      </c>
      <c r="O241" s="510">
        <f t="shared" si="2"/>
        <v>0</v>
      </c>
      <c r="P241" s="510">
        <f t="shared" si="3"/>
        <v>0</v>
      </c>
      <c r="Q241" s="510">
        <f t="shared" si="4"/>
        <v>0</v>
      </c>
      <c r="R241" s="510">
        <f t="shared" si="5"/>
        <v>0</v>
      </c>
    </row>
    <row r="242" spans="1:18">
      <c r="A242" s="505"/>
      <c r="B242" s="511"/>
      <c r="C242" s="507">
        <v>8</v>
      </c>
      <c r="D242" s="508">
        <v>150</v>
      </c>
      <c r="E242" s="507">
        <v>1</v>
      </c>
      <c r="F242" s="502">
        <v>2</v>
      </c>
      <c r="G242" s="502">
        <f>+ROUND(1.19/0.15+1,0)</f>
        <v>9</v>
      </c>
      <c r="H242" s="602"/>
      <c r="I242" s="602">
        <f>2*(0.15+0.45)+16*C242/1000</f>
        <v>1.3279999999999998</v>
      </c>
      <c r="J242" s="235"/>
      <c r="K242" s="589"/>
      <c r="L242" s="510">
        <f t="shared" si="137"/>
        <v>1.3279999999999998</v>
      </c>
      <c r="M242" s="510">
        <f t="shared" si="0"/>
        <v>23.9</v>
      </c>
      <c r="N242" s="510">
        <f t="shared" si="1"/>
        <v>0</v>
      </c>
      <c r="O242" s="510">
        <f t="shared" si="2"/>
        <v>0</v>
      </c>
      <c r="P242" s="510">
        <f t="shared" si="3"/>
        <v>0</v>
      </c>
      <c r="Q242" s="510">
        <f t="shared" si="4"/>
        <v>0</v>
      </c>
      <c r="R242" s="510">
        <f t="shared" si="5"/>
        <v>0</v>
      </c>
    </row>
    <row r="243" spans="1:18">
      <c r="A243" s="505"/>
      <c r="B243" s="511"/>
      <c r="C243" s="507"/>
      <c r="D243" s="508"/>
      <c r="E243" s="507"/>
      <c r="F243" s="502"/>
      <c r="G243" s="502"/>
      <c r="H243" s="602"/>
      <c r="I243" s="602"/>
      <c r="J243" s="235"/>
      <c r="K243" s="589"/>
      <c r="L243" s="510"/>
      <c r="M243" s="510"/>
      <c r="N243" s="510"/>
      <c r="O243" s="510"/>
      <c r="P243" s="510"/>
      <c r="Q243" s="510"/>
      <c r="R243" s="510"/>
    </row>
    <row r="244" spans="1:18">
      <c r="A244" s="505" t="s">
        <v>772</v>
      </c>
      <c r="B244" s="520" t="s">
        <v>1109</v>
      </c>
      <c r="C244" s="507"/>
      <c r="D244" s="508"/>
      <c r="E244" s="507"/>
      <c r="F244" s="502"/>
      <c r="G244" s="502"/>
      <c r="H244" s="602"/>
      <c r="I244" s="602"/>
      <c r="J244" s="235"/>
      <c r="K244" s="509"/>
      <c r="L244" s="510">
        <f t="shared" ref="L244" si="138">SUM(H244:J244)+K244</f>
        <v>0</v>
      </c>
      <c r="M244" s="510">
        <f t="shared" ref="M244:M287" si="139">+ROUND(IF(C244=8,PRODUCT(E244,F244,G244,L244),0),2)</f>
        <v>0</v>
      </c>
      <c r="N244" s="510">
        <f t="shared" ref="N244:N287" si="140">+ROUND(IF(C244=10,PRODUCT(E244,F244,G244,L244),0),2)</f>
        <v>0</v>
      </c>
      <c r="O244" s="510">
        <f t="shared" ref="O244:O287" si="141">+ROUND(IF(C244=12,PRODUCT(E244,F244,G244,L244),0),2)</f>
        <v>0</v>
      </c>
      <c r="P244" s="510">
        <f t="shared" ref="P244:P287" si="142">+ROUND(IF(C244=16,PRODUCT(E244,F244,G244,L244),0),2)</f>
        <v>0</v>
      </c>
      <c r="Q244" s="510">
        <f t="shared" ref="Q244:Q287" si="143">+ROUND(IF(C244=20,PRODUCT(E244,F244,G244,L244),0),2)</f>
        <v>0</v>
      </c>
      <c r="R244" s="510">
        <f t="shared" ref="R244:R287" si="144">+ROUND(IF(C244=25,PRODUCT(E244,F244,G244,L244),0),2)</f>
        <v>0</v>
      </c>
    </row>
    <row r="245" spans="1:18">
      <c r="A245" s="505"/>
      <c r="B245" s="511" t="s">
        <v>740</v>
      </c>
      <c r="C245" s="507">
        <v>16</v>
      </c>
      <c r="D245" s="508"/>
      <c r="E245" s="507">
        <v>3</v>
      </c>
      <c r="F245" s="502">
        <v>1</v>
      </c>
      <c r="G245" s="502">
        <v>2</v>
      </c>
      <c r="H245" s="602">
        <f>0.58+8*$C245/1000</f>
        <v>0.70799999999999996</v>
      </c>
      <c r="I245" s="602">
        <v>8.2249999999999996</v>
      </c>
      <c r="J245" s="602">
        <f>((0.79)/3)+0.1</f>
        <v>0.3633333333333334</v>
      </c>
      <c r="K245" s="509"/>
      <c r="L245" s="510">
        <f>SUM(H245:J245)+K245</f>
        <v>9.2963333333333331</v>
      </c>
      <c r="M245" s="510">
        <f t="shared" si="139"/>
        <v>0</v>
      </c>
      <c r="N245" s="510">
        <f t="shared" si="140"/>
        <v>0</v>
      </c>
      <c r="O245" s="510">
        <f t="shared" si="141"/>
        <v>0</v>
      </c>
      <c r="P245" s="510">
        <f t="shared" si="142"/>
        <v>55.78</v>
      </c>
      <c r="Q245" s="510">
        <f t="shared" si="143"/>
        <v>0</v>
      </c>
      <c r="R245" s="510">
        <f t="shared" si="144"/>
        <v>0</v>
      </c>
    </row>
    <row r="246" spans="1:18">
      <c r="A246" s="505"/>
      <c r="B246" s="511" t="s">
        <v>773</v>
      </c>
      <c r="C246" s="507">
        <v>16</v>
      </c>
      <c r="D246" s="508"/>
      <c r="E246" s="507">
        <v>3</v>
      </c>
      <c r="F246" s="502">
        <v>1</v>
      </c>
      <c r="G246" s="502">
        <v>2</v>
      </c>
      <c r="H246" s="602">
        <f>0.58+8*$C246/1000</f>
        <v>0.70799999999999996</v>
      </c>
      <c r="I246" s="602">
        <v>8.2249999999999996</v>
      </c>
      <c r="J246" s="602">
        <f>((0.79)/3)+0.1</f>
        <v>0.3633333333333334</v>
      </c>
      <c r="K246" s="509"/>
      <c r="L246" s="510">
        <f>SUM(H246:J246)+K246</f>
        <v>9.2963333333333331</v>
      </c>
      <c r="M246" s="510">
        <f t="shared" si="139"/>
        <v>0</v>
      </c>
      <c r="N246" s="510">
        <f t="shared" si="140"/>
        <v>0</v>
      </c>
      <c r="O246" s="510">
        <f t="shared" si="141"/>
        <v>0</v>
      </c>
      <c r="P246" s="510">
        <f t="shared" si="142"/>
        <v>55.78</v>
      </c>
      <c r="Q246" s="510">
        <f t="shared" si="143"/>
        <v>0</v>
      </c>
      <c r="R246" s="510">
        <f t="shared" si="144"/>
        <v>0</v>
      </c>
    </row>
    <row r="247" spans="1:18">
      <c r="A247" s="505"/>
      <c r="B247" s="511" t="s">
        <v>774</v>
      </c>
      <c r="C247" s="507">
        <v>16</v>
      </c>
      <c r="D247" s="508"/>
      <c r="E247" s="507">
        <v>3</v>
      </c>
      <c r="F247" s="502">
        <v>1</v>
      </c>
      <c r="G247" s="502">
        <v>2</v>
      </c>
      <c r="H247" s="602"/>
      <c r="I247" s="602">
        <f>0.6+2.265</f>
        <v>2.8650000000000002</v>
      </c>
      <c r="J247" s="602">
        <f>((0.79)/3)+0.05</f>
        <v>0.31333333333333335</v>
      </c>
      <c r="K247" s="509"/>
      <c r="L247" s="510">
        <f>SUM(H247:J247)+K247</f>
        <v>3.1783333333333337</v>
      </c>
      <c r="M247" s="510">
        <f t="shared" si="139"/>
        <v>0</v>
      </c>
      <c r="N247" s="510">
        <f t="shared" si="140"/>
        <v>0</v>
      </c>
      <c r="O247" s="510">
        <f t="shared" si="141"/>
        <v>0</v>
      </c>
      <c r="P247" s="510">
        <f t="shared" si="142"/>
        <v>19.07</v>
      </c>
      <c r="Q247" s="510">
        <f t="shared" si="143"/>
        <v>0</v>
      </c>
      <c r="R247" s="510">
        <f t="shared" si="144"/>
        <v>0</v>
      </c>
    </row>
    <row r="248" spans="1:18">
      <c r="A248" s="505"/>
      <c r="B248" s="511" t="s">
        <v>1110</v>
      </c>
      <c r="C248" s="507">
        <v>8</v>
      </c>
      <c r="D248" s="508">
        <v>100</v>
      </c>
      <c r="E248" s="507">
        <v>3</v>
      </c>
      <c r="F248" s="502">
        <v>2</v>
      </c>
      <c r="G248" s="502">
        <f>+ROUND(0.415/0.1+1,0)</f>
        <v>5</v>
      </c>
      <c r="H248" s="602"/>
      <c r="I248" s="602">
        <f>2*(0.18+0.45)+16*C248/1000</f>
        <v>1.3879999999999999</v>
      </c>
      <c r="J248" s="235"/>
      <c r="K248" s="589"/>
      <c r="L248" s="510">
        <f t="shared" ref="L248:L251" si="145">SUM(H248:J248)+K248</f>
        <v>1.3879999999999999</v>
      </c>
      <c r="M248" s="510">
        <f t="shared" si="139"/>
        <v>41.64</v>
      </c>
      <c r="N248" s="510">
        <f t="shared" si="140"/>
        <v>0</v>
      </c>
      <c r="O248" s="510">
        <f t="shared" si="141"/>
        <v>0</v>
      </c>
      <c r="P248" s="510">
        <f t="shared" si="142"/>
        <v>0</v>
      </c>
      <c r="Q248" s="510">
        <f t="shared" si="143"/>
        <v>0</v>
      </c>
      <c r="R248" s="510">
        <f t="shared" si="144"/>
        <v>0</v>
      </c>
    </row>
    <row r="249" spans="1:18">
      <c r="A249" s="505"/>
      <c r="B249" s="511" t="s">
        <v>1110</v>
      </c>
      <c r="C249" s="507">
        <v>8</v>
      </c>
      <c r="D249" s="508">
        <v>100</v>
      </c>
      <c r="E249" s="507">
        <v>3</v>
      </c>
      <c r="F249" s="502">
        <v>2</v>
      </c>
      <c r="G249" s="502">
        <f>+ROUND(1.81/0.1+1,0)</f>
        <v>19</v>
      </c>
      <c r="H249" s="602"/>
      <c r="I249" s="602">
        <f>2*(0.18+0.45)+16*C249/1000</f>
        <v>1.3879999999999999</v>
      </c>
      <c r="J249" s="235"/>
      <c r="K249" s="589"/>
      <c r="L249" s="510">
        <f t="shared" si="145"/>
        <v>1.3879999999999999</v>
      </c>
      <c r="M249" s="510">
        <f t="shared" si="139"/>
        <v>158.22999999999999</v>
      </c>
      <c r="N249" s="510">
        <f t="shared" si="140"/>
        <v>0</v>
      </c>
      <c r="O249" s="510">
        <f t="shared" si="141"/>
        <v>0</v>
      </c>
      <c r="P249" s="510">
        <f t="shared" si="142"/>
        <v>0</v>
      </c>
      <c r="Q249" s="510">
        <f t="shared" si="143"/>
        <v>0</v>
      </c>
      <c r="R249" s="510">
        <f t="shared" si="144"/>
        <v>0</v>
      </c>
    </row>
    <row r="250" spans="1:18">
      <c r="A250" s="505"/>
      <c r="B250" s="511" t="s">
        <v>1079</v>
      </c>
      <c r="C250" s="507">
        <v>8</v>
      </c>
      <c r="D250" s="508">
        <v>100</v>
      </c>
      <c r="E250" s="507">
        <v>3</v>
      </c>
      <c r="F250" s="502">
        <v>2</v>
      </c>
      <c r="G250" s="502">
        <f>+ROUND(2/0.1,0)</f>
        <v>20</v>
      </c>
      <c r="H250" s="602"/>
      <c r="I250" s="602">
        <f>2*(0.15+0.45)+24*C250/1000</f>
        <v>1.3919999999999999</v>
      </c>
      <c r="J250" s="235"/>
      <c r="K250" s="589"/>
      <c r="L250" s="510">
        <f t="shared" si="145"/>
        <v>1.3919999999999999</v>
      </c>
      <c r="M250" s="510">
        <f t="shared" si="139"/>
        <v>167.04</v>
      </c>
      <c r="N250" s="510">
        <f t="shared" si="140"/>
        <v>0</v>
      </c>
      <c r="O250" s="510">
        <f t="shared" si="141"/>
        <v>0</v>
      </c>
      <c r="P250" s="510">
        <f t="shared" si="142"/>
        <v>0</v>
      </c>
      <c r="Q250" s="510">
        <f t="shared" si="143"/>
        <v>0</v>
      </c>
      <c r="R250" s="510">
        <f t="shared" si="144"/>
        <v>0</v>
      </c>
    </row>
    <row r="251" spans="1:18">
      <c r="A251" s="505"/>
      <c r="B251" s="511"/>
      <c r="C251" s="507">
        <v>8</v>
      </c>
      <c r="D251" s="508">
        <v>150</v>
      </c>
      <c r="E251" s="507">
        <v>3</v>
      </c>
      <c r="F251" s="502">
        <v>2</v>
      </c>
      <c r="G251" s="502">
        <f>+ROUND(1.55/0.15+1,0)</f>
        <v>11</v>
      </c>
      <c r="H251" s="602"/>
      <c r="I251" s="602">
        <f>2*(0.15+0.45)+24*C251/1000</f>
        <v>1.3919999999999999</v>
      </c>
      <c r="J251" s="235"/>
      <c r="K251" s="589"/>
      <c r="L251" s="510">
        <f t="shared" si="145"/>
        <v>1.3919999999999999</v>
      </c>
      <c r="M251" s="510">
        <f t="shared" si="139"/>
        <v>91.87</v>
      </c>
      <c r="N251" s="510">
        <f t="shared" si="140"/>
        <v>0</v>
      </c>
      <c r="O251" s="510">
        <f t="shared" si="141"/>
        <v>0</v>
      </c>
      <c r="P251" s="510">
        <f t="shared" si="142"/>
        <v>0</v>
      </c>
      <c r="Q251" s="510">
        <f t="shared" si="143"/>
        <v>0</v>
      </c>
      <c r="R251" s="510">
        <f t="shared" si="144"/>
        <v>0</v>
      </c>
    </row>
    <row r="252" spans="1:18">
      <c r="A252" s="505" t="s">
        <v>772</v>
      </c>
      <c r="B252" s="520" t="s">
        <v>1111</v>
      </c>
      <c r="C252" s="507"/>
      <c r="D252" s="508"/>
      <c r="E252" s="507"/>
      <c r="F252" s="502"/>
      <c r="G252" s="502"/>
      <c r="H252" s="602"/>
      <c r="I252" s="602"/>
      <c r="J252" s="235"/>
      <c r="K252" s="509"/>
      <c r="L252" s="510">
        <f t="shared" ref="L252" si="146">SUM(H252:J252)+K252</f>
        <v>0</v>
      </c>
      <c r="M252" s="510">
        <f t="shared" si="139"/>
        <v>0</v>
      </c>
      <c r="N252" s="510">
        <f t="shared" si="140"/>
        <v>0</v>
      </c>
      <c r="O252" s="510">
        <f t="shared" si="141"/>
        <v>0</v>
      </c>
      <c r="P252" s="510">
        <f t="shared" si="142"/>
        <v>0</v>
      </c>
      <c r="Q252" s="510">
        <f t="shared" si="143"/>
        <v>0</v>
      </c>
      <c r="R252" s="510">
        <f t="shared" si="144"/>
        <v>0</v>
      </c>
    </row>
    <row r="253" spans="1:18">
      <c r="A253" s="505"/>
      <c r="B253" s="511" t="s">
        <v>740</v>
      </c>
      <c r="C253" s="507">
        <v>16</v>
      </c>
      <c r="D253" s="508"/>
      <c r="E253" s="507">
        <v>3</v>
      </c>
      <c r="F253" s="502">
        <v>1</v>
      </c>
      <c r="G253" s="502">
        <v>2</v>
      </c>
      <c r="H253" s="602">
        <f>((0.79)/3)+0.1</f>
        <v>0.3633333333333334</v>
      </c>
      <c r="I253" s="602">
        <v>3.86</v>
      </c>
      <c r="J253" s="602">
        <f>((0.79)/3)+0.1</f>
        <v>0.3633333333333334</v>
      </c>
      <c r="K253" s="509"/>
      <c r="L253" s="510">
        <f>SUM(H253:J253)+K253</f>
        <v>4.5866666666666669</v>
      </c>
      <c r="M253" s="510">
        <f t="shared" si="139"/>
        <v>0</v>
      </c>
      <c r="N253" s="510">
        <f t="shared" si="140"/>
        <v>0</v>
      </c>
      <c r="O253" s="510">
        <f t="shared" si="141"/>
        <v>0</v>
      </c>
      <c r="P253" s="510">
        <f t="shared" si="142"/>
        <v>27.52</v>
      </c>
      <c r="Q253" s="510">
        <f t="shared" si="143"/>
        <v>0</v>
      </c>
      <c r="R253" s="510">
        <f t="shared" si="144"/>
        <v>0</v>
      </c>
    </row>
    <row r="254" spans="1:18">
      <c r="A254" s="505"/>
      <c r="B254" s="511" t="s">
        <v>740</v>
      </c>
      <c r="C254" s="507">
        <v>16</v>
      </c>
      <c r="D254" s="508"/>
      <c r="E254" s="507">
        <v>3</v>
      </c>
      <c r="F254" s="502">
        <v>1</v>
      </c>
      <c r="G254" s="502">
        <v>2</v>
      </c>
      <c r="H254" s="602">
        <f>0.79+10*$C254/1000</f>
        <v>0.95000000000000007</v>
      </c>
      <c r="I254" s="602">
        <v>0.41499999999999998</v>
      </c>
      <c r="J254" s="602">
        <f>((0.79)/3)+0.1</f>
        <v>0.3633333333333334</v>
      </c>
      <c r="K254" s="509"/>
      <c r="L254" s="510">
        <f>SUM(H254:J254)+K254</f>
        <v>1.7283333333333335</v>
      </c>
      <c r="M254" s="510">
        <f t="shared" si="139"/>
        <v>0</v>
      </c>
      <c r="N254" s="510">
        <f t="shared" si="140"/>
        <v>0</v>
      </c>
      <c r="O254" s="510">
        <f t="shared" si="141"/>
        <v>0</v>
      </c>
      <c r="P254" s="510">
        <f t="shared" si="142"/>
        <v>10.37</v>
      </c>
      <c r="Q254" s="510">
        <f t="shared" si="143"/>
        <v>0</v>
      </c>
      <c r="R254" s="510">
        <f t="shared" si="144"/>
        <v>0</v>
      </c>
    </row>
    <row r="255" spans="1:18">
      <c r="A255" s="505"/>
      <c r="B255" s="511" t="s">
        <v>773</v>
      </c>
      <c r="C255" s="507">
        <v>16</v>
      </c>
      <c r="D255" s="508"/>
      <c r="E255" s="507">
        <v>3</v>
      </c>
      <c r="F255" s="502">
        <v>1</v>
      </c>
      <c r="G255" s="502">
        <v>2</v>
      </c>
      <c r="H255" s="602">
        <f>((0.79)/3)+0.1</f>
        <v>0.3633333333333334</v>
      </c>
      <c r="I255" s="602">
        <v>4.4749999999999996</v>
      </c>
      <c r="J255" s="602">
        <f>((0.79)/3)+0.1</f>
        <v>0.3633333333333334</v>
      </c>
      <c r="K255" s="509"/>
      <c r="L255" s="510">
        <f>SUM(H255:J255)+K255</f>
        <v>5.2016666666666662</v>
      </c>
      <c r="M255" s="510">
        <f t="shared" si="139"/>
        <v>0</v>
      </c>
      <c r="N255" s="510">
        <f t="shared" si="140"/>
        <v>0</v>
      </c>
      <c r="O255" s="510">
        <f t="shared" si="141"/>
        <v>0</v>
      </c>
      <c r="P255" s="510">
        <f t="shared" si="142"/>
        <v>31.21</v>
      </c>
      <c r="Q255" s="510">
        <f t="shared" si="143"/>
        <v>0</v>
      </c>
      <c r="R255" s="510">
        <f t="shared" si="144"/>
        <v>0</v>
      </c>
    </row>
    <row r="256" spans="1:18">
      <c r="A256" s="505"/>
      <c r="B256" s="511" t="s">
        <v>777</v>
      </c>
      <c r="C256" s="507">
        <v>8</v>
      </c>
      <c r="D256" s="508">
        <v>100</v>
      </c>
      <c r="E256" s="507">
        <v>3</v>
      </c>
      <c r="F256" s="502">
        <v>1</v>
      </c>
      <c r="G256" s="502">
        <f>+ROUND(1.93/0.1,0)</f>
        <v>19</v>
      </c>
      <c r="H256" s="602"/>
      <c r="I256" s="602">
        <f>2*(0.15+0.4)+16*C256/1000</f>
        <v>1.2280000000000002</v>
      </c>
      <c r="J256" s="235"/>
      <c r="K256" s="589"/>
      <c r="L256" s="510">
        <f t="shared" ref="L256:L257" si="147">SUM(H256:J256)+K256</f>
        <v>1.2280000000000002</v>
      </c>
      <c r="M256" s="510">
        <f t="shared" si="139"/>
        <v>70</v>
      </c>
      <c r="N256" s="510">
        <f t="shared" si="140"/>
        <v>0</v>
      </c>
      <c r="O256" s="510">
        <f t="shared" si="141"/>
        <v>0</v>
      </c>
      <c r="P256" s="510">
        <f t="shared" si="142"/>
        <v>0</v>
      </c>
      <c r="Q256" s="510">
        <f t="shared" si="143"/>
        <v>0</v>
      </c>
      <c r="R256" s="510">
        <f t="shared" si="144"/>
        <v>0</v>
      </c>
    </row>
    <row r="257" spans="1:18">
      <c r="A257" s="505"/>
      <c r="B257" s="511"/>
      <c r="C257" s="507">
        <v>8</v>
      </c>
      <c r="D257" s="508">
        <v>150</v>
      </c>
      <c r="E257" s="507">
        <v>3</v>
      </c>
      <c r="F257" s="502">
        <v>1</v>
      </c>
      <c r="G257" s="502">
        <f>+ROUND(1.93/0.15+1,0)</f>
        <v>14</v>
      </c>
      <c r="H257" s="602"/>
      <c r="I257" s="602">
        <f>2*(0.15+0.4)+16*C257/1000</f>
        <v>1.2280000000000002</v>
      </c>
      <c r="J257" s="235"/>
      <c r="K257" s="589"/>
      <c r="L257" s="510">
        <f t="shared" si="147"/>
        <v>1.2280000000000002</v>
      </c>
      <c r="M257" s="510">
        <f t="shared" si="139"/>
        <v>51.58</v>
      </c>
      <c r="N257" s="510">
        <f t="shared" si="140"/>
        <v>0</v>
      </c>
      <c r="O257" s="510">
        <f t="shared" si="141"/>
        <v>0</v>
      </c>
      <c r="P257" s="510">
        <f t="shared" si="142"/>
        <v>0</v>
      </c>
      <c r="Q257" s="510">
        <f t="shared" si="143"/>
        <v>0</v>
      </c>
      <c r="R257" s="510">
        <f t="shared" si="144"/>
        <v>0</v>
      </c>
    </row>
    <row r="258" spans="1:18">
      <c r="A258" s="505"/>
      <c r="B258" s="511" t="s">
        <v>1112</v>
      </c>
      <c r="C258" s="507">
        <v>8</v>
      </c>
      <c r="D258" s="508">
        <v>100</v>
      </c>
      <c r="E258" s="507">
        <v>3</v>
      </c>
      <c r="F258" s="502">
        <v>1</v>
      </c>
      <c r="G258" s="502">
        <f>+ROUND(0.415/0.1+1,0)</f>
        <v>5</v>
      </c>
      <c r="H258" s="602"/>
      <c r="I258" s="602">
        <f>2*(0.05+0.3)+16*C258/1000</f>
        <v>0.82799999999999996</v>
      </c>
      <c r="J258" s="235"/>
      <c r="K258" s="589"/>
      <c r="L258" s="510">
        <f t="shared" ref="L258" si="148">SUM(H258:J258)+K258</f>
        <v>0.82799999999999996</v>
      </c>
      <c r="M258" s="510">
        <f t="shared" si="139"/>
        <v>12.42</v>
      </c>
      <c r="N258" s="510">
        <f t="shared" si="140"/>
        <v>0</v>
      </c>
      <c r="O258" s="510">
        <f t="shared" si="141"/>
        <v>0</v>
      </c>
      <c r="P258" s="510">
        <f t="shared" si="142"/>
        <v>0</v>
      </c>
      <c r="Q258" s="510">
        <f t="shared" si="143"/>
        <v>0</v>
      </c>
      <c r="R258" s="510">
        <f t="shared" si="144"/>
        <v>0</v>
      </c>
    </row>
    <row r="259" spans="1:18">
      <c r="A259" s="505"/>
      <c r="B259" s="511"/>
      <c r="C259" s="507"/>
      <c r="D259" s="508"/>
      <c r="E259" s="507"/>
      <c r="F259" s="502"/>
      <c r="G259" s="502"/>
      <c r="H259" s="602"/>
      <c r="I259" s="602"/>
      <c r="J259" s="235"/>
      <c r="K259" s="589"/>
      <c r="L259" s="510"/>
      <c r="M259" s="510"/>
      <c r="N259" s="510"/>
      <c r="O259" s="510"/>
      <c r="P259" s="510"/>
      <c r="Q259" s="510"/>
      <c r="R259" s="510"/>
    </row>
    <row r="260" spans="1:18">
      <c r="A260" s="505" t="s">
        <v>772</v>
      </c>
      <c r="B260" s="520" t="s">
        <v>1113</v>
      </c>
      <c r="C260" s="507"/>
      <c r="D260" s="508"/>
      <c r="E260" s="507"/>
      <c r="F260" s="502"/>
      <c r="G260" s="502"/>
      <c r="H260" s="602"/>
      <c r="I260" s="602"/>
      <c r="J260" s="235"/>
      <c r="K260" s="509"/>
      <c r="L260" s="510">
        <f t="shared" ref="L260" si="149">SUM(H260:J260)+K260</f>
        <v>0</v>
      </c>
      <c r="M260" s="510">
        <f t="shared" si="139"/>
        <v>0</v>
      </c>
      <c r="N260" s="510">
        <f t="shared" si="140"/>
        <v>0</v>
      </c>
      <c r="O260" s="510">
        <f t="shared" si="141"/>
        <v>0</v>
      </c>
      <c r="P260" s="510">
        <f t="shared" si="142"/>
        <v>0</v>
      </c>
      <c r="Q260" s="510">
        <f t="shared" si="143"/>
        <v>0</v>
      </c>
      <c r="R260" s="510">
        <f t="shared" si="144"/>
        <v>0</v>
      </c>
    </row>
    <row r="261" spans="1:18">
      <c r="A261" s="505"/>
      <c r="B261" s="511" t="s">
        <v>740</v>
      </c>
      <c r="C261" s="507">
        <v>16</v>
      </c>
      <c r="D261" s="508"/>
      <c r="E261" s="507">
        <v>3</v>
      </c>
      <c r="F261" s="502">
        <v>1</v>
      </c>
      <c r="G261" s="502">
        <v>2</v>
      </c>
      <c r="H261" s="602">
        <f>0.58+8*$C261/1000</f>
        <v>0.70799999999999996</v>
      </c>
      <c r="I261" s="602">
        <v>3.52</v>
      </c>
      <c r="J261" s="602">
        <f>((0.79)/3)+0.1</f>
        <v>0.3633333333333334</v>
      </c>
      <c r="K261" s="509"/>
      <c r="L261" s="510">
        <f>SUM(H261:J261)+K261</f>
        <v>4.591333333333333</v>
      </c>
      <c r="M261" s="510">
        <f t="shared" si="139"/>
        <v>0</v>
      </c>
      <c r="N261" s="510">
        <f t="shared" si="140"/>
        <v>0</v>
      </c>
      <c r="O261" s="510">
        <f t="shared" si="141"/>
        <v>0</v>
      </c>
      <c r="P261" s="510">
        <f t="shared" si="142"/>
        <v>27.55</v>
      </c>
      <c r="Q261" s="510">
        <f t="shared" si="143"/>
        <v>0</v>
      </c>
      <c r="R261" s="510">
        <f t="shared" si="144"/>
        <v>0</v>
      </c>
    </row>
    <row r="262" spans="1:18">
      <c r="A262" s="505"/>
      <c r="B262" s="511" t="s">
        <v>773</v>
      </c>
      <c r="C262" s="507">
        <v>16</v>
      </c>
      <c r="D262" s="508"/>
      <c r="E262" s="507">
        <v>3</v>
      </c>
      <c r="F262" s="502">
        <v>1</v>
      </c>
      <c r="G262" s="502">
        <v>2</v>
      </c>
      <c r="H262" s="602">
        <f>0.58+8*$C262/1000</f>
        <v>0.70799999999999996</v>
      </c>
      <c r="I262" s="602">
        <v>3.52</v>
      </c>
      <c r="J262" s="602">
        <f>((0.79)/3)+0.1</f>
        <v>0.3633333333333334</v>
      </c>
      <c r="K262" s="509"/>
      <c r="L262" s="510">
        <f>SUM(H262:J262)+K262</f>
        <v>4.591333333333333</v>
      </c>
      <c r="M262" s="510">
        <f t="shared" si="139"/>
        <v>0</v>
      </c>
      <c r="N262" s="510">
        <f t="shared" si="140"/>
        <v>0</v>
      </c>
      <c r="O262" s="510">
        <f t="shared" si="141"/>
        <v>0</v>
      </c>
      <c r="P262" s="510">
        <f t="shared" si="142"/>
        <v>27.55</v>
      </c>
      <c r="Q262" s="510">
        <f t="shared" si="143"/>
        <v>0</v>
      </c>
      <c r="R262" s="510">
        <f t="shared" si="144"/>
        <v>0</v>
      </c>
    </row>
    <row r="263" spans="1:18">
      <c r="A263" s="505"/>
      <c r="B263" s="511" t="s">
        <v>777</v>
      </c>
      <c r="C263" s="507">
        <v>8</v>
      </c>
      <c r="D263" s="508">
        <v>100</v>
      </c>
      <c r="E263" s="507">
        <v>3</v>
      </c>
      <c r="F263" s="502">
        <v>1</v>
      </c>
      <c r="G263" s="502">
        <f>+ROUND(1.8/0.1,0)</f>
        <v>18</v>
      </c>
      <c r="H263" s="602"/>
      <c r="I263" s="602">
        <f>2*(0.15+0.4)+16*C263/1000</f>
        <v>1.2280000000000002</v>
      </c>
      <c r="J263" s="235"/>
      <c r="K263" s="589"/>
      <c r="L263" s="510">
        <f t="shared" ref="L263:L265" si="150">SUM(H263:J263)+K263</f>
        <v>1.2280000000000002</v>
      </c>
      <c r="M263" s="510">
        <f t="shared" si="139"/>
        <v>66.31</v>
      </c>
      <c r="N263" s="510">
        <f t="shared" si="140"/>
        <v>0</v>
      </c>
      <c r="O263" s="510">
        <f t="shared" si="141"/>
        <v>0</v>
      </c>
      <c r="P263" s="510">
        <f t="shared" si="142"/>
        <v>0</v>
      </c>
      <c r="Q263" s="510">
        <f t="shared" si="143"/>
        <v>0</v>
      </c>
      <c r="R263" s="510">
        <f t="shared" si="144"/>
        <v>0</v>
      </c>
    </row>
    <row r="264" spans="1:18">
      <c r="A264" s="505"/>
      <c r="B264" s="511"/>
      <c r="C264" s="507">
        <v>8</v>
      </c>
      <c r="D264" s="508">
        <v>150</v>
      </c>
      <c r="E264" s="507">
        <v>3</v>
      </c>
      <c r="F264" s="502">
        <v>1</v>
      </c>
      <c r="G264" s="502">
        <f>+ROUND(1.72/0.15+1,0)</f>
        <v>12</v>
      </c>
      <c r="H264" s="602"/>
      <c r="I264" s="602">
        <f>2*(0.15+0.4)+16*C264/1000</f>
        <v>1.2280000000000002</v>
      </c>
      <c r="J264" s="235"/>
      <c r="K264" s="589"/>
      <c r="L264" s="510">
        <f t="shared" si="150"/>
        <v>1.2280000000000002</v>
      </c>
      <c r="M264" s="510">
        <f t="shared" si="139"/>
        <v>44.21</v>
      </c>
      <c r="N264" s="510">
        <f t="shared" si="140"/>
        <v>0</v>
      </c>
      <c r="O264" s="510">
        <f t="shared" si="141"/>
        <v>0</v>
      </c>
      <c r="P264" s="510">
        <f t="shared" si="142"/>
        <v>0</v>
      </c>
      <c r="Q264" s="510">
        <f t="shared" si="143"/>
        <v>0</v>
      </c>
      <c r="R264" s="510">
        <f t="shared" si="144"/>
        <v>0</v>
      </c>
    </row>
    <row r="265" spans="1:18">
      <c r="A265" s="505" t="s">
        <v>772</v>
      </c>
      <c r="B265" s="520" t="s">
        <v>1114</v>
      </c>
      <c r="C265" s="507"/>
      <c r="D265" s="508"/>
      <c r="E265" s="507"/>
      <c r="F265" s="502"/>
      <c r="G265" s="502"/>
      <c r="H265" s="602"/>
      <c r="I265" s="602"/>
      <c r="J265" s="235"/>
      <c r="K265" s="509"/>
      <c r="L265" s="510">
        <f t="shared" si="150"/>
        <v>0</v>
      </c>
      <c r="M265" s="510">
        <f t="shared" si="139"/>
        <v>0</v>
      </c>
      <c r="N265" s="510">
        <f t="shared" si="140"/>
        <v>0</v>
      </c>
      <c r="O265" s="510">
        <f t="shared" si="141"/>
        <v>0</v>
      </c>
      <c r="P265" s="510">
        <f t="shared" si="142"/>
        <v>0</v>
      </c>
      <c r="Q265" s="510">
        <f t="shared" si="143"/>
        <v>0</v>
      </c>
      <c r="R265" s="510">
        <f t="shared" si="144"/>
        <v>0</v>
      </c>
    </row>
    <row r="266" spans="1:18">
      <c r="A266" s="505"/>
      <c r="B266" s="511" t="s">
        <v>740</v>
      </c>
      <c r="C266" s="507">
        <v>16</v>
      </c>
      <c r="D266" s="508"/>
      <c r="E266" s="507">
        <v>1</v>
      </c>
      <c r="F266" s="502">
        <v>2</v>
      </c>
      <c r="G266" s="502">
        <v>2</v>
      </c>
      <c r="H266" s="602">
        <f>((0.79)/3)+0.1</f>
        <v>0.3633333333333334</v>
      </c>
      <c r="I266" s="602">
        <v>3.55</v>
      </c>
      <c r="J266" s="235">
        <v>0.57999999999999996</v>
      </c>
      <c r="K266" s="509"/>
      <c r="L266" s="510">
        <f>SUM(H266:J266)+K266</f>
        <v>4.4933333333333332</v>
      </c>
      <c r="M266" s="510">
        <f t="shared" si="139"/>
        <v>0</v>
      </c>
      <c r="N266" s="510">
        <f t="shared" si="140"/>
        <v>0</v>
      </c>
      <c r="O266" s="510">
        <f t="shared" si="141"/>
        <v>0</v>
      </c>
      <c r="P266" s="510">
        <f t="shared" si="142"/>
        <v>17.97</v>
      </c>
      <c r="Q266" s="510">
        <f t="shared" si="143"/>
        <v>0</v>
      </c>
      <c r="R266" s="510">
        <f t="shared" si="144"/>
        <v>0</v>
      </c>
    </row>
    <row r="267" spans="1:18">
      <c r="A267" s="505"/>
      <c r="B267" s="511" t="s">
        <v>740</v>
      </c>
      <c r="C267" s="507">
        <v>16</v>
      </c>
      <c r="D267" s="508"/>
      <c r="E267" s="507">
        <v>1</v>
      </c>
      <c r="F267" s="502">
        <v>1</v>
      </c>
      <c r="G267" s="502">
        <v>2</v>
      </c>
      <c r="H267" s="602">
        <f>0.58+8*$C267/1000</f>
        <v>0.70799999999999996</v>
      </c>
      <c r="I267" s="602">
        <v>2.9550000000000001</v>
      </c>
      <c r="J267" s="602">
        <f>0.58+8*$C267/1000</f>
        <v>0.70799999999999996</v>
      </c>
      <c r="K267" s="509"/>
      <c r="L267" s="510">
        <f>SUM(H267:J267)+K267</f>
        <v>4.3710000000000004</v>
      </c>
      <c r="M267" s="510">
        <f t="shared" si="139"/>
        <v>0</v>
      </c>
      <c r="N267" s="510">
        <f t="shared" si="140"/>
        <v>0</v>
      </c>
      <c r="O267" s="510">
        <f t="shared" si="141"/>
        <v>0</v>
      </c>
      <c r="P267" s="510">
        <f t="shared" si="142"/>
        <v>8.74</v>
      </c>
      <c r="Q267" s="510">
        <f t="shared" si="143"/>
        <v>0</v>
      </c>
      <c r="R267" s="510">
        <f t="shared" si="144"/>
        <v>0</v>
      </c>
    </row>
    <row r="268" spans="1:18">
      <c r="A268" s="505"/>
      <c r="B268" s="511" t="s">
        <v>773</v>
      </c>
      <c r="C268" s="507">
        <v>16</v>
      </c>
      <c r="D268" s="508"/>
      <c r="E268" s="507">
        <v>1</v>
      </c>
      <c r="F268" s="502">
        <v>1</v>
      </c>
      <c r="G268" s="502">
        <v>2</v>
      </c>
      <c r="H268" s="602">
        <f>((0.79)/3)+0.1</f>
        <v>0.3633333333333334</v>
      </c>
      <c r="I268" s="602">
        <v>7.21</v>
      </c>
      <c r="J268" s="602">
        <f>0.58+8*$C268/1000</f>
        <v>0.70799999999999996</v>
      </c>
      <c r="K268" s="509">
        <f>49*C268/1000</f>
        <v>0.78400000000000003</v>
      </c>
      <c r="L268" s="510">
        <f>SUM(H268:J268)+K268</f>
        <v>9.0653333333333332</v>
      </c>
      <c r="M268" s="510">
        <f t="shared" si="139"/>
        <v>0</v>
      </c>
      <c r="N268" s="510">
        <f t="shared" si="140"/>
        <v>0</v>
      </c>
      <c r="O268" s="510">
        <f t="shared" si="141"/>
        <v>0</v>
      </c>
      <c r="P268" s="510">
        <f t="shared" si="142"/>
        <v>18.13</v>
      </c>
      <c r="Q268" s="510">
        <f t="shared" si="143"/>
        <v>0</v>
      </c>
      <c r="R268" s="510">
        <f t="shared" si="144"/>
        <v>0</v>
      </c>
    </row>
    <row r="269" spans="1:18">
      <c r="A269" s="505"/>
      <c r="B269" s="511" t="s">
        <v>1080</v>
      </c>
      <c r="C269" s="507">
        <v>8</v>
      </c>
      <c r="D269" s="508">
        <v>100</v>
      </c>
      <c r="E269" s="507">
        <v>1</v>
      </c>
      <c r="F269" s="502">
        <v>2</v>
      </c>
      <c r="G269" s="502">
        <f>+ROUND(1.8/0.1,0)</f>
        <v>18</v>
      </c>
      <c r="H269" s="602"/>
      <c r="I269" s="602">
        <f>2*(0.15+0.3)+16*C269/1000</f>
        <v>1.028</v>
      </c>
      <c r="J269" s="235"/>
      <c r="K269" s="589"/>
      <c r="L269" s="510">
        <f t="shared" ref="L269:L270" si="151">SUM(H269:J269)+K269</f>
        <v>1.028</v>
      </c>
      <c r="M269" s="510">
        <f t="shared" si="139"/>
        <v>37.01</v>
      </c>
      <c r="N269" s="510">
        <f t="shared" si="140"/>
        <v>0</v>
      </c>
      <c r="O269" s="510">
        <f t="shared" si="141"/>
        <v>0</v>
      </c>
      <c r="P269" s="510">
        <f t="shared" si="142"/>
        <v>0</v>
      </c>
      <c r="Q269" s="510">
        <f t="shared" si="143"/>
        <v>0</v>
      </c>
      <c r="R269" s="510">
        <f t="shared" si="144"/>
        <v>0</v>
      </c>
    </row>
    <row r="270" spans="1:18">
      <c r="A270" s="505"/>
      <c r="B270" s="511"/>
      <c r="C270" s="507">
        <v>8</v>
      </c>
      <c r="D270" s="508">
        <v>150</v>
      </c>
      <c r="E270" s="507">
        <v>1</v>
      </c>
      <c r="F270" s="502">
        <v>2</v>
      </c>
      <c r="G270" s="502">
        <f>+ROUND(1.75/0.15+1,0)</f>
        <v>13</v>
      </c>
      <c r="H270" s="602"/>
      <c r="I270" s="602">
        <f>2*(0.15+0.3)+16*C270/1000</f>
        <v>1.028</v>
      </c>
      <c r="J270" s="235"/>
      <c r="K270" s="589"/>
      <c r="L270" s="510">
        <f t="shared" si="151"/>
        <v>1.028</v>
      </c>
      <c r="M270" s="510">
        <f t="shared" si="139"/>
        <v>26.73</v>
      </c>
      <c r="N270" s="510">
        <f t="shared" si="140"/>
        <v>0</v>
      </c>
      <c r="O270" s="510">
        <f t="shared" si="141"/>
        <v>0</v>
      </c>
      <c r="P270" s="510">
        <f t="shared" si="142"/>
        <v>0</v>
      </c>
      <c r="Q270" s="510">
        <f t="shared" si="143"/>
        <v>0</v>
      </c>
      <c r="R270" s="510">
        <f t="shared" si="144"/>
        <v>0</v>
      </c>
    </row>
    <row r="271" spans="1:18">
      <c r="A271" s="505"/>
      <c r="B271" s="511" t="s">
        <v>777</v>
      </c>
      <c r="C271" s="507">
        <v>8</v>
      </c>
      <c r="D271" s="508">
        <v>100</v>
      </c>
      <c r="E271" s="507">
        <v>1</v>
      </c>
      <c r="F271" s="502">
        <v>1</v>
      </c>
      <c r="G271" s="502">
        <f>+ROUND(1.8/0.1,0)</f>
        <v>18</v>
      </c>
      <c r="H271" s="602"/>
      <c r="I271" s="602">
        <f>2*(0.15+0.4)+16*C271/1000</f>
        <v>1.2280000000000002</v>
      </c>
      <c r="J271" s="235"/>
      <c r="K271" s="589"/>
      <c r="L271" s="510">
        <f t="shared" ref="L271:L272" si="152">SUM(H271:J271)+K271</f>
        <v>1.2280000000000002</v>
      </c>
      <c r="M271" s="510">
        <f t="shared" si="139"/>
        <v>22.1</v>
      </c>
      <c r="N271" s="510">
        <f t="shared" si="140"/>
        <v>0</v>
      </c>
      <c r="O271" s="510">
        <f t="shared" si="141"/>
        <v>0</v>
      </c>
      <c r="P271" s="510">
        <f t="shared" si="142"/>
        <v>0</v>
      </c>
      <c r="Q271" s="510">
        <f t="shared" si="143"/>
        <v>0</v>
      </c>
      <c r="R271" s="510">
        <f t="shared" si="144"/>
        <v>0</v>
      </c>
    </row>
    <row r="272" spans="1:18">
      <c r="A272" s="505"/>
      <c r="B272" s="511"/>
      <c r="C272" s="507">
        <v>8</v>
      </c>
      <c r="D272" s="508">
        <v>150</v>
      </c>
      <c r="E272" s="507">
        <v>1</v>
      </c>
      <c r="F272" s="502">
        <v>1</v>
      </c>
      <c r="G272" s="502">
        <f>+ROUND(1.155/0.15+1,0)</f>
        <v>9</v>
      </c>
      <c r="H272" s="602"/>
      <c r="I272" s="602">
        <f>2*(0.15+0.4)+16*C272/1000</f>
        <v>1.2280000000000002</v>
      </c>
      <c r="J272" s="235"/>
      <c r="K272" s="589"/>
      <c r="L272" s="510">
        <f t="shared" si="152"/>
        <v>1.2280000000000002</v>
      </c>
      <c r="M272" s="510">
        <f t="shared" si="139"/>
        <v>11.05</v>
      </c>
      <c r="N272" s="510">
        <f t="shared" si="140"/>
        <v>0</v>
      </c>
      <c r="O272" s="510">
        <f t="shared" si="141"/>
        <v>0</v>
      </c>
      <c r="P272" s="510">
        <f t="shared" si="142"/>
        <v>0</v>
      </c>
      <c r="Q272" s="510">
        <f t="shared" si="143"/>
        <v>0</v>
      </c>
      <c r="R272" s="510">
        <f t="shared" si="144"/>
        <v>0</v>
      </c>
    </row>
    <row r="273" spans="1:18">
      <c r="A273" s="505" t="s">
        <v>772</v>
      </c>
      <c r="B273" s="520" t="s">
        <v>1115</v>
      </c>
      <c r="C273" s="507"/>
      <c r="D273" s="508"/>
      <c r="E273" s="507"/>
      <c r="F273" s="502"/>
      <c r="G273" s="502"/>
      <c r="H273" s="602"/>
      <c r="I273" s="602"/>
      <c r="J273" s="235"/>
      <c r="K273" s="509"/>
      <c r="L273" s="510">
        <f t="shared" ref="L273" si="153">SUM(H273:J273)+K273</f>
        <v>0</v>
      </c>
      <c r="M273" s="510">
        <f t="shared" si="139"/>
        <v>0</v>
      </c>
      <c r="N273" s="510">
        <f t="shared" si="140"/>
        <v>0</v>
      </c>
      <c r="O273" s="510">
        <f t="shared" si="141"/>
        <v>0</v>
      </c>
      <c r="P273" s="510">
        <f t="shared" si="142"/>
        <v>0</v>
      </c>
      <c r="Q273" s="510">
        <f t="shared" si="143"/>
        <v>0</v>
      </c>
      <c r="R273" s="510">
        <f t="shared" si="144"/>
        <v>0</v>
      </c>
    </row>
    <row r="274" spans="1:18">
      <c r="A274" s="505"/>
      <c r="B274" s="511" t="s">
        <v>740</v>
      </c>
      <c r="C274" s="507">
        <v>16</v>
      </c>
      <c r="D274" s="508"/>
      <c r="E274" s="507">
        <v>1</v>
      </c>
      <c r="F274" s="502">
        <v>1</v>
      </c>
      <c r="G274" s="502">
        <v>4</v>
      </c>
      <c r="H274" s="602">
        <f>((0.79)/3)+0.1</f>
        <v>0.3633333333333334</v>
      </c>
      <c r="I274" s="602">
        <v>3</v>
      </c>
      <c r="J274" s="602">
        <f>0.58+8*$C274/1000</f>
        <v>0.70799999999999996</v>
      </c>
      <c r="K274" s="509"/>
      <c r="L274" s="510">
        <f>SUM(H274:J274)+K274</f>
        <v>4.0713333333333335</v>
      </c>
      <c r="M274" s="510">
        <f t="shared" si="139"/>
        <v>0</v>
      </c>
      <c r="N274" s="510">
        <f t="shared" si="140"/>
        <v>0</v>
      </c>
      <c r="O274" s="510">
        <f t="shared" si="141"/>
        <v>0</v>
      </c>
      <c r="P274" s="510">
        <f t="shared" si="142"/>
        <v>16.29</v>
      </c>
      <c r="Q274" s="510">
        <f t="shared" si="143"/>
        <v>0</v>
      </c>
      <c r="R274" s="510">
        <f t="shared" si="144"/>
        <v>0</v>
      </c>
    </row>
    <row r="275" spans="1:18">
      <c r="A275" s="505"/>
      <c r="B275" s="511" t="s">
        <v>740</v>
      </c>
      <c r="C275" s="507">
        <v>16</v>
      </c>
      <c r="D275" s="508"/>
      <c r="E275" s="507">
        <v>1</v>
      </c>
      <c r="F275" s="502">
        <v>1</v>
      </c>
      <c r="G275" s="502">
        <v>2</v>
      </c>
      <c r="H275" s="602">
        <v>0.57999999999999996</v>
      </c>
      <c r="I275" s="602">
        <v>4.13</v>
      </c>
      <c r="J275" s="602">
        <v>0.57999999999999996</v>
      </c>
      <c r="K275" s="509"/>
      <c r="L275" s="510">
        <f>SUM(H275:J275)+K275</f>
        <v>5.29</v>
      </c>
      <c r="M275" s="510">
        <f t="shared" si="139"/>
        <v>0</v>
      </c>
      <c r="N275" s="510">
        <f t="shared" si="140"/>
        <v>0</v>
      </c>
      <c r="O275" s="510">
        <f t="shared" si="141"/>
        <v>0</v>
      </c>
      <c r="P275" s="510">
        <f t="shared" si="142"/>
        <v>10.58</v>
      </c>
      <c r="Q275" s="510">
        <f t="shared" si="143"/>
        <v>0</v>
      </c>
      <c r="R275" s="510">
        <f t="shared" si="144"/>
        <v>0</v>
      </c>
    </row>
    <row r="276" spans="1:18">
      <c r="A276" s="505"/>
      <c r="B276" s="511" t="s">
        <v>773</v>
      </c>
      <c r="C276" s="507">
        <v>16</v>
      </c>
      <c r="D276" s="508"/>
      <c r="E276" s="507">
        <v>1</v>
      </c>
      <c r="F276" s="502">
        <v>1</v>
      </c>
      <c r="G276" s="502">
        <v>2</v>
      </c>
      <c r="H276" s="602">
        <f>((0.79)/3)+0.1</f>
        <v>0.3633333333333334</v>
      </c>
      <c r="I276" s="602">
        <v>11.63</v>
      </c>
      <c r="J276" s="602">
        <f>((0.79)/3)+0.1</f>
        <v>0.3633333333333334</v>
      </c>
      <c r="K276" s="509"/>
      <c r="L276" s="510">
        <f>SUM(H276:J276)+K276</f>
        <v>12.356666666666667</v>
      </c>
      <c r="M276" s="510">
        <f t="shared" si="139"/>
        <v>0</v>
      </c>
      <c r="N276" s="510">
        <f t="shared" si="140"/>
        <v>0</v>
      </c>
      <c r="O276" s="510">
        <f t="shared" si="141"/>
        <v>0</v>
      </c>
      <c r="P276" s="510">
        <f t="shared" si="142"/>
        <v>24.71</v>
      </c>
      <c r="Q276" s="510">
        <f t="shared" si="143"/>
        <v>0</v>
      </c>
      <c r="R276" s="510">
        <f t="shared" si="144"/>
        <v>0</v>
      </c>
    </row>
    <row r="277" spans="1:18">
      <c r="A277" s="505"/>
      <c r="B277" s="511" t="s">
        <v>778</v>
      </c>
      <c r="C277" s="507">
        <v>12</v>
      </c>
      <c r="D277" s="508"/>
      <c r="E277" s="507">
        <v>1</v>
      </c>
      <c r="F277" s="502">
        <v>1</v>
      </c>
      <c r="G277" s="502">
        <v>2</v>
      </c>
      <c r="H277" s="602"/>
      <c r="I277" s="602">
        <f>4.13-0.8</f>
        <v>3.33</v>
      </c>
      <c r="J277" s="602"/>
      <c r="K277" s="509"/>
      <c r="L277" s="510">
        <f>SUM(H277:J277)+K277</f>
        <v>3.33</v>
      </c>
      <c r="M277" s="510">
        <f t="shared" si="139"/>
        <v>0</v>
      </c>
      <c r="N277" s="510">
        <f t="shared" si="140"/>
        <v>0</v>
      </c>
      <c r="O277" s="510">
        <f t="shared" si="141"/>
        <v>6.66</v>
      </c>
      <c r="P277" s="510">
        <f t="shared" si="142"/>
        <v>0</v>
      </c>
      <c r="Q277" s="510">
        <f t="shared" si="143"/>
        <v>0</v>
      </c>
      <c r="R277" s="510">
        <f t="shared" si="144"/>
        <v>0</v>
      </c>
    </row>
    <row r="278" spans="1:18">
      <c r="A278" s="505"/>
      <c r="B278" s="511" t="s">
        <v>774</v>
      </c>
      <c r="C278" s="507">
        <v>12</v>
      </c>
      <c r="D278" s="508"/>
      <c r="E278" s="507">
        <v>1</v>
      </c>
      <c r="F278" s="502">
        <v>1</v>
      </c>
      <c r="G278" s="502">
        <v>4</v>
      </c>
      <c r="H278" s="602"/>
      <c r="I278" s="602">
        <f>0.9+0.75+1.2</f>
        <v>2.8499999999999996</v>
      </c>
      <c r="J278" s="602"/>
      <c r="K278" s="509"/>
      <c r="L278" s="510">
        <f>SUM(H278:J278)+K278</f>
        <v>2.8499999999999996</v>
      </c>
      <c r="M278" s="510">
        <f t="shared" si="139"/>
        <v>0</v>
      </c>
      <c r="N278" s="510">
        <f t="shared" si="140"/>
        <v>0</v>
      </c>
      <c r="O278" s="510">
        <f t="shared" si="141"/>
        <v>11.4</v>
      </c>
      <c r="P278" s="510">
        <f t="shared" si="142"/>
        <v>0</v>
      </c>
      <c r="Q278" s="510">
        <f t="shared" si="143"/>
        <v>0</v>
      </c>
      <c r="R278" s="510">
        <f t="shared" si="144"/>
        <v>0</v>
      </c>
    </row>
    <row r="279" spans="1:18">
      <c r="A279" s="505"/>
      <c r="B279" s="511" t="s">
        <v>777</v>
      </c>
      <c r="C279" s="507">
        <v>8</v>
      </c>
      <c r="D279" s="508">
        <v>100</v>
      </c>
      <c r="E279" s="507">
        <v>1</v>
      </c>
      <c r="F279" s="502">
        <v>2</v>
      </c>
      <c r="G279" s="502">
        <f>+ROUND(1.8/0.1,0)</f>
        <v>18</v>
      </c>
      <c r="H279" s="602"/>
      <c r="I279" s="602">
        <f>2*(0.15+0.4)+16*C279/1000</f>
        <v>1.2280000000000002</v>
      </c>
      <c r="J279" s="235"/>
      <c r="K279" s="589"/>
      <c r="L279" s="510">
        <f t="shared" ref="L279:L280" si="154">SUM(H279:J279)+K279</f>
        <v>1.2280000000000002</v>
      </c>
      <c r="M279" s="510">
        <f t="shared" si="139"/>
        <v>44.21</v>
      </c>
      <c r="N279" s="510">
        <f t="shared" si="140"/>
        <v>0</v>
      </c>
      <c r="O279" s="510">
        <f t="shared" si="141"/>
        <v>0</v>
      </c>
      <c r="P279" s="510">
        <f t="shared" si="142"/>
        <v>0</v>
      </c>
      <c r="Q279" s="510">
        <f t="shared" si="143"/>
        <v>0</v>
      </c>
      <c r="R279" s="510">
        <f t="shared" si="144"/>
        <v>0</v>
      </c>
    </row>
    <row r="280" spans="1:18">
      <c r="A280" s="505"/>
      <c r="B280" s="511"/>
      <c r="C280" s="507">
        <v>8</v>
      </c>
      <c r="D280" s="508">
        <v>150</v>
      </c>
      <c r="E280" s="507">
        <v>1</v>
      </c>
      <c r="F280" s="502">
        <v>2</v>
      </c>
      <c r="G280" s="502">
        <f>+ROUND(1.2/0.15+1,0)</f>
        <v>9</v>
      </c>
      <c r="H280" s="602"/>
      <c r="I280" s="602">
        <f>2*(0.15+0.4)+16*C280/1000</f>
        <v>1.2280000000000002</v>
      </c>
      <c r="J280" s="235"/>
      <c r="K280" s="589"/>
      <c r="L280" s="510">
        <f t="shared" si="154"/>
        <v>1.2280000000000002</v>
      </c>
      <c r="M280" s="510">
        <f t="shared" si="139"/>
        <v>22.1</v>
      </c>
      <c r="N280" s="510">
        <f t="shared" si="140"/>
        <v>0</v>
      </c>
      <c r="O280" s="510">
        <f t="shared" si="141"/>
        <v>0</v>
      </c>
      <c r="P280" s="510">
        <f t="shared" si="142"/>
        <v>0</v>
      </c>
      <c r="Q280" s="510">
        <f t="shared" si="143"/>
        <v>0</v>
      </c>
      <c r="R280" s="510">
        <f t="shared" si="144"/>
        <v>0</v>
      </c>
    </row>
    <row r="281" spans="1:18">
      <c r="A281" s="505"/>
      <c r="B281" s="511" t="s">
        <v>1080</v>
      </c>
      <c r="C281" s="507">
        <v>8</v>
      </c>
      <c r="D281" s="508">
        <v>100</v>
      </c>
      <c r="E281" s="507">
        <v>1</v>
      </c>
      <c r="F281" s="502">
        <v>1</v>
      </c>
      <c r="G281" s="502">
        <f>+ROUND(2.065/0.1,0)</f>
        <v>21</v>
      </c>
      <c r="H281" s="602"/>
      <c r="I281" s="602">
        <f>2*(0.15+0.3)+16*C281/1000</f>
        <v>1.028</v>
      </c>
      <c r="J281" s="235"/>
      <c r="K281" s="589"/>
      <c r="L281" s="510">
        <f t="shared" ref="L281:L282" si="155">SUM(H281:J281)+K281</f>
        <v>1.028</v>
      </c>
      <c r="M281" s="510">
        <f t="shared" si="139"/>
        <v>21.59</v>
      </c>
      <c r="N281" s="510">
        <f t="shared" si="140"/>
        <v>0</v>
      </c>
      <c r="O281" s="510">
        <f t="shared" si="141"/>
        <v>0</v>
      </c>
      <c r="P281" s="510">
        <f t="shared" si="142"/>
        <v>0</v>
      </c>
      <c r="Q281" s="510">
        <f t="shared" si="143"/>
        <v>0</v>
      </c>
      <c r="R281" s="510">
        <f t="shared" si="144"/>
        <v>0</v>
      </c>
    </row>
    <row r="282" spans="1:18">
      <c r="A282" s="505"/>
      <c r="B282" s="511"/>
      <c r="C282" s="507">
        <v>8</v>
      </c>
      <c r="D282" s="508">
        <v>150</v>
      </c>
      <c r="E282" s="507">
        <v>1</v>
      </c>
      <c r="F282" s="502">
        <v>1</v>
      </c>
      <c r="G282" s="502">
        <f>+ROUND(2.065/0.15+1,0)</f>
        <v>15</v>
      </c>
      <c r="H282" s="602"/>
      <c r="I282" s="602">
        <f>2*(0.15+0.3)+16*C282/1000</f>
        <v>1.028</v>
      </c>
      <c r="J282" s="235"/>
      <c r="K282" s="589"/>
      <c r="L282" s="510">
        <f t="shared" si="155"/>
        <v>1.028</v>
      </c>
      <c r="M282" s="510">
        <f t="shared" si="139"/>
        <v>15.42</v>
      </c>
      <c r="N282" s="510">
        <f t="shared" si="140"/>
        <v>0</v>
      </c>
      <c r="O282" s="510">
        <f t="shared" si="141"/>
        <v>0</v>
      </c>
      <c r="P282" s="510">
        <f t="shared" si="142"/>
        <v>0</v>
      </c>
      <c r="Q282" s="510">
        <f t="shared" si="143"/>
        <v>0</v>
      </c>
      <c r="R282" s="510">
        <f t="shared" si="144"/>
        <v>0</v>
      </c>
    </row>
    <row r="283" spans="1:18">
      <c r="A283" s="505" t="s">
        <v>1067</v>
      </c>
      <c r="B283" s="520" t="s">
        <v>1116</v>
      </c>
      <c r="C283" s="507"/>
      <c r="D283" s="508"/>
      <c r="E283" s="507"/>
      <c r="F283" s="502"/>
      <c r="G283" s="502"/>
      <c r="H283" s="602"/>
      <c r="I283" s="602"/>
      <c r="J283" s="235"/>
      <c r="K283" s="509"/>
      <c r="L283" s="510">
        <f t="shared" ref="L283" si="156">SUM(H283:J283)+K283</f>
        <v>0</v>
      </c>
      <c r="M283" s="510">
        <f t="shared" si="139"/>
        <v>0</v>
      </c>
      <c r="N283" s="510">
        <f t="shared" si="140"/>
        <v>0</v>
      </c>
      <c r="O283" s="510">
        <f t="shared" si="141"/>
        <v>0</v>
      </c>
      <c r="P283" s="510">
        <f t="shared" si="142"/>
        <v>0</v>
      </c>
      <c r="Q283" s="510">
        <f t="shared" si="143"/>
        <v>0</v>
      </c>
      <c r="R283" s="510">
        <f t="shared" si="144"/>
        <v>0</v>
      </c>
    </row>
    <row r="284" spans="1:18">
      <c r="A284" s="505"/>
      <c r="B284" s="511" t="s">
        <v>740</v>
      </c>
      <c r="C284" s="507">
        <v>16</v>
      </c>
      <c r="D284" s="508"/>
      <c r="E284" s="507">
        <v>3</v>
      </c>
      <c r="F284" s="502">
        <v>1</v>
      </c>
      <c r="G284" s="502">
        <v>2</v>
      </c>
      <c r="H284" s="602">
        <f>0.58+8*$C284/1000</f>
        <v>0.70799999999999996</v>
      </c>
      <c r="I284" s="602">
        <v>3.31</v>
      </c>
      <c r="J284" s="602">
        <f>0.58+8*$C284/1000</f>
        <v>0.70799999999999996</v>
      </c>
      <c r="K284" s="509"/>
      <c r="L284" s="510">
        <f>SUM(H284:J284)+K284</f>
        <v>4.726</v>
      </c>
      <c r="M284" s="510">
        <f t="shared" si="139"/>
        <v>0</v>
      </c>
      <c r="N284" s="510">
        <f t="shared" si="140"/>
        <v>0</v>
      </c>
      <c r="O284" s="510">
        <f t="shared" si="141"/>
        <v>0</v>
      </c>
      <c r="P284" s="510">
        <f t="shared" si="142"/>
        <v>28.36</v>
      </c>
      <c r="Q284" s="510">
        <f t="shared" si="143"/>
        <v>0</v>
      </c>
      <c r="R284" s="510">
        <f t="shared" si="144"/>
        <v>0</v>
      </c>
    </row>
    <row r="285" spans="1:18">
      <c r="A285" s="505"/>
      <c r="B285" s="511" t="s">
        <v>773</v>
      </c>
      <c r="C285" s="507">
        <v>16</v>
      </c>
      <c r="D285" s="508"/>
      <c r="E285" s="507">
        <v>3</v>
      </c>
      <c r="F285" s="502">
        <v>1</v>
      </c>
      <c r="G285" s="502">
        <v>2</v>
      </c>
      <c r="H285" s="602">
        <f>0.58+8*$C285/1000</f>
        <v>0.70799999999999996</v>
      </c>
      <c r="I285" s="602">
        <v>3.31</v>
      </c>
      <c r="J285" s="602">
        <f>0.58+8*$C285/1000</f>
        <v>0.70799999999999996</v>
      </c>
      <c r="K285" s="509"/>
      <c r="L285" s="510">
        <f>SUM(H285:J285)+K285</f>
        <v>4.726</v>
      </c>
      <c r="M285" s="510">
        <f t="shared" si="139"/>
        <v>0</v>
      </c>
      <c r="N285" s="510">
        <f t="shared" si="140"/>
        <v>0</v>
      </c>
      <c r="O285" s="510">
        <f t="shared" si="141"/>
        <v>0</v>
      </c>
      <c r="P285" s="510">
        <f t="shared" si="142"/>
        <v>28.36</v>
      </c>
      <c r="Q285" s="510">
        <f t="shared" si="143"/>
        <v>0</v>
      </c>
      <c r="R285" s="510">
        <f t="shared" si="144"/>
        <v>0</v>
      </c>
    </row>
    <row r="286" spans="1:18">
      <c r="A286" s="505"/>
      <c r="B286" s="511" t="s">
        <v>1079</v>
      </c>
      <c r="C286" s="507">
        <v>8</v>
      </c>
      <c r="D286" s="508">
        <v>100</v>
      </c>
      <c r="E286" s="507">
        <v>3</v>
      </c>
      <c r="F286" s="502">
        <v>1</v>
      </c>
      <c r="G286" s="502">
        <f>+ROUND(1.8/0.1+2,0)</f>
        <v>20</v>
      </c>
      <c r="H286" s="602"/>
      <c r="I286" s="602">
        <f>2*(0.15+0.45)+16*C286/1000</f>
        <v>1.3279999999999998</v>
      </c>
      <c r="J286" s="235"/>
      <c r="K286" s="589"/>
      <c r="L286" s="510">
        <f t="shared" ref="L286:L287" si="157">SUM(H286:J286)+K286</f>
        <v>1.3279999999999998</v>
      </c>
      <c r="M286" s="510">
        <f t="shared" si="139"/>
        <v>79.680000000000007</v>
      </c>
      <c r="N286" s="510">
        <f t="shared" si="140"/>
        <v>0</v>
      </c>
      <c r="O286" s="510">
        <f t="shared" si="141"/>
        <v>0</v>
      </c>
      <c r="P286" s="510">
        <f t="shared" si="142"/>
        <v>0</v>
      </c>
      <c r="Q286" s="510">
        <f t="shared" si="143"/>
        <v>0</v>
      </c>
      <c r="R286" s="510">
        <f t="shared" si="144"/>
        <v>0</v>
      </c>
    </row>
    <row r="287" spans="1:18">
      <c r="A287" s="505"/>
      <c r="B287" s="511"/>
      <c r="C287" s="507">
        <v>8</v>
      </c>
      <c r="D287" s="508">
        <v>150</v>
      </c>
      <c r="E287" s="507">
        <v>3</v>
      </c>
      <c r="F287" s="502">
        <v>1</v>
      </c>
      <c r="G287" s="502">
        <f>+ROUND(1.51/0.15+1,0)</f>
        <v>11</v>
      </c>
      <c r="H287" s="602"/>
      <c r="I287" s="602">
        <f>2*(0.15+0.45)+16*C287/1000</f>
        <v>1.3279999999999998</v>
      </c>
      <c r="J287" s="235"/>
      <c r="K287" s="589"/>
      <c r="L287" s="510">
        <f t="shared" si="157"/>
        <v>1.3279999999999998</v>
      </c>
      <c r="M287" s="510">
        <f t="shared" si="139"/>
        <v>43.82</v>
      </c>
      <c r="N287" s="510">
        <f t="shared" si="140"/>
        <v>0</v>
      </c>
      <c r="O287" s="510">
        <f t="shared" si="141"/>
        <v>0</v>
      </c>
      <c r="P287" s="510">
        <f t="shared" si="142"/>
        <v>0</v>
      </c>
      <c r="Q287" s="510">
        <f t="shared" si="143"/>
        <v>0</v>
      </c>
      <c r="R287" s="510">
        <f t="shared" si="144"/>
        <v>0</v>
      </c>
    </row>
    <row r="288" spans="1:18">
      <c r="A288" s="505"/>
      <c r="B288" s="511"/>
      <c r="C288" s="507"/>
      <c r="D288" s="508"/>
      <c r="E288" s="507"/>
      <c r="F288" s="502"/>
      <c r="G288" s="502"/>
      <c r="H288" s="602"/>
      <c r="I288" s="602"/>
      <c r="J288" s="235"/>
      <c r="K288" s="589"/>
      <c r="L288" s="510"/>
      <c r="M288" s="510"/>
      <c r="N288" s="510"/>
      <c r="O288" s="510"/>
      <c r="P288" s="510"/>
      <c r="Q288" s="510"/>
      <c r="R288" s="510"/>
    </row>
    <row r="289" spans="1:18">
      <c r="A289" s="505" t="s">
        <v>772</v>
      </c>
      <c r="B289" s="520" t="s">
        <v>1117</v>
      </c>
      <c r="C289" s="507"/>
      <c r="D289" s="508"/>
      <c r="E289" s="507"/>
      <c r="F289" s="502"/>
      <c r="G289" s="502"/>
      <c r="H289" s="602"/>
      <c r="I289" s="602"/>
      <c r="J289" s="235"/>
      <c r="K289" s="509"/>
      <c r="L289" s="510">
        <f t="shared" ref="L289" si="158">SUM(H289:J289)+K289</f>
        <v>0</v>
      </c>
      <c r="M289" s="510">
        <f t="shared" ref="M289:M301" si="159">+ROUND(IF(C289=8,PRODUCT(E289,F289,G289,L289),0),2)</f>
        <v>0</v>
      </c>
      <c r="N289" s="510">
        <f t="shared" ref="N289:N301" si="160">+ROUND(IF(C289=10,PRODUCT(E289,F289,G289,L289),0),2)</f>
        <v>0</v>
      </c>
      <c r="O289" s="510">
        <f t="shared" ref="O289:O301" si="161">+ROUND(IF(C289=12,PRODUCT(E289,F289,G289,L289),0),2)</f>
        <v>0</v>
      </c>
      <c r="P289" s="510">
        <f t="shared" ref="P289:P301" si="162">+ROUND(IF(C289=16,PRODUCT(E289,F289,G289,L289),0),2)</f>
        <v>0</v>
      </c>
      <c r="Q289" s="510">
        <f t="shared" ref="Q289:Q301" si="163">+ROUND(IF(C289=20,PRODUCT(E289,F289,G289,L289),0),2)</f>
        <v>0</v>
      </c>
      <c r="R289" s="510">
        <f t="shared" ref="R289:R301" si="164">+ROUND(IF(C289=25,PRODUCT(E289,F289,G289,L289),0),2)</f>
        <v>0</v>
      </c>
    </row>
    <row r="290" spans="1:18">
      <c r="A290" s="505"/>
      <c r="B290" s="511" t="s">
        <v>740</v>
      </c>
      <c r="C290" s="507">
        <v>16</v>
      </c>
      <c r="D290" s="508"/>
      <c r="E290" s="507">
        <v>1</v>
      </c>
      <c r="F290" s="502">
        <v>1</v>
      </c>
      <c r="G290" s="502">
        <v>2</v>
      </c>
      <c r="H290" s="602">
        <f>((0.79)/3)+0.1</f>
        <v>0.3633333333333334</v>
      </c>
      <c r="I290" s="602">
        <v>4.79</v>
      </c>
      <c r="J290" s="602">
        <f>((0.79)/3)+0.1</f>
        <v>0.3633333333333334</v>
      </c>
      <c r="K290" s="509"/>
      <c r="L290" s="510">
        <f>SUM(H290:J290)+K290</f>
        <v>5.5166666666666666</v>
      </c>
      <c r="M290" s="510">
        <f t="shared" si="159"/>
        <v>0</v>
      </c>
      <c r="N290" s="510">
        <f t="shared" si="160"/>
        <v>0</v>
      </c>
      <c r="O290" s="510">
        <f t="shared" si="161"/>
        <v>0</v>
      </c>
      <c r="P290" s="510">
        <f t="shared" si="162"/>
        <v>11.03</v>
      </c>
      <c r="Q290" s="510">
        <f t="shared" si="163"/>
        <v>0</v>
      </c>
      <c r="R290" s="510">
        <f t="shared" si="164"/>
        <v>0</v>
      </c>
    </row>
    <row r="291" spans="1:18">
      <c r="A291" s="505"/>
      <c r="B291" s="511" t="s">
        <v>773</v>
      </c>
      <c r="C291" s="507">
        <v>16</v>
      </c>
      <c r="D291" s="508"/>
      <c r="E291" s="507">
        <v>1</v>
      </c>
      <c r="F291" s="502">
        <v>1</v>
      </c>
      <c r="G291" s="502">
        <v>2</v>
      </c>
      <c r="H291" s="602">
        <f>((0.79)/3)+0.1</f>
        <v>0.3633333333333334</v>
      </c>
      <c r="I291" s="602">
        <v>4.79</v>
      </c>
      <c r="J291" s="602">
        <f>((0.79)/3)+0.1</f>
        <v>0.3633333333333334</v>
      </c>
      <c r="K291" s="509"/>
      <c r="L291" s="510">
        <f>SUM(H291:J291)+K291</f>
        <v>5.5166666666666666</v>
      </c>
      <c r="M291" s="510">
        <f t="shared" si="159"/>
        <v>0</v>
      </c>
      <c r="N291" s="510">
        <f t="shared" si="160"/>
        <v>0</v>
      </c>
      <c r="O291" s="510">
        <f t="shared" si="161"/>
        <v>0</v>
      </c>
      <c r="P291" s="510">
        <f t="shared" si="162"/>
        <v>11.03</v>
      </c>
      <c r="Q291" s="510">
        <f t="shared" si="163"/>
        <v>0</v>
      </c>
      <c r="R291" s="510">
        <f t="shared" si="164"/>
        <v>0</v>
      </c>
    </row>
    <row r="292" spans="1:18">
      <c r="A292" s="505"/>
      <c r="B292" s="511" t="s">
        <v>777</v>
      </c>
      <c r="C292" s="507">
        <v>8</v>
      </c>
      <c r="D292" s="508">
        <v>100</v>
      </c>
      <c r="E292" s="507">
        <v>1</v>
      </c>
      <c r="F292" s="502">
        <v>2</v>
      </c>
      <c r="G292" s="502">
        <f>+ROUND(2.195/0.1+1,0)</f>
        <v>23</v>
      </c>
      <c r="H292" s="602"/>
      <c r="I292" s="602">
        <f>2*(0.15+0.4)+16*C292/1000</f>
        <v>1.2280000000000002</v>
      </c>
      <c r="J292" s="235"/>
      <c r="K292" s="589"/>
      <c r="L292" s="510">
        <f t="shared" ref="L292" si="165">SUM(H292:J292)+K292</f>
        <v>1.2280000000000002</v>
      </c>
      <c r="M292" s="510">
        <f t="shared" si="159"/>
        <v>56.49</v>
      </c>
      <c r="N292" s="510">
        <f t="shared" si="160"/>
        <v>0</v>
      </c>
      <c r="O292" s="510">
        <f t="shared" si="161"/>
        <v>0</v>
      </c>
      <c r="P292" s="510">
        <f t="shared" si="162"/>
        <v>0</v>
      </c>
      <c r="Q292" s="510">
        <f t="shared" si="163"/>
        <v>0</v>
      </c>
      <c r="R292" s="510">
        <f t="shared" si="164"/>
        <v>0</v>
      </c>
    </row>
    <row r="293" spans="1:18">
      <c r="A293" s="505"/>
      <c r="B293" s="511"/>
      <c r="C293" s="507"/>
      <c r="D293" s="508"/>
      <c r="E293" s="507"/>
      <c r="F293" s="502"/>
      <c r="G293" s="502"/>
      <c r="H293" s="602"/>
      <c r="I293" s="602"/>
      <c r="J293" s="235"/>
      <c r="K293" s="589"/>
      <c r="L293" s="510">
        <f>SUM(H293:J293)+K293</f>
        <v>0</v>
      </c>
      <c r="M293" s="510">
        <f t="shared" si="159"/>
        <v>0</v>
      </c>
      <c r="N293" s="510">
        <f t="shared" si="160"/>
        <v>0</v>
      </c>
      <c r="O293" s="510">
        <f t="shared" si="161"/>
        <v>0</v>
      </c>
      <c r="P293" s="510">
        <f t="shared" si="162"/>
        <v>0</v>
      </c>
      <c r="Q293" s="510">
        <f t="shared" si="163"/>
        <v>0</v>
      </c>
      <c r="R293" s="510">
        <f t="shared" si="164"/>
        <v>0</v>
      </c>
    </row>
    <row r="294" spans="1:18">
      <c r="A294" s="505" t="s">
        <v>772</v>
      </c>
      <c r="B294" s="520" t="s">
        <v>1118</v>
      </c>
      <c r="C294" s="507"/>
      <c r="D294" s="508"/>
      <c r="E294" s="507"/>
      <c r="F294" s="502"/>
      <c r="G294" s="502"/>
      <c r="H294" s="602"/>
      <c r="I294" s="602"/>
      <c r="J294" s="235"/>
      <c r="K294" s="509"/>
      <c r="L294" s="510">
        <f t="shared" ref="L294" si="166">SUM(H294:J294)+K294</f>
        <v>0</v>
      </c>
      <c r="M294" s="510">
        <f t="shared" si="159"/>
        <v>0</v>
      </c>
      <c r="N294" s="510">
        <f t="shared" si="160"/>
        <v>0</v>
      </c>
      <c r="O294" s="510">
        <f t="shared" si="161"/>
        <v>0</v>
      </c>
      <c r="P294" s="510">
        <f t="shared" si="162"/>
        <v>0</v>
      </c>
      <c r="Q294" s="510">
        <f t="shared" si="163"/>
        <v>0</v>
      </c>
      <c r="R294" s="510">
        <f t="shared" si="164"/>
        <v>0</v>
      </c>
    </row>
    <row r="295" spans="1:18">
      <c r="A295" s="505"/>
      <c r="B295" s="511" t="s">
        <v>740</v>
      </c>
      <c r="C295" s="507">
        <v>16</v>
      </c>
      <c r="D295" s="508"/>
      <c r="E295" s="507">
        <v>1</v>
      </c>
      <c r="F295" s="502">
        <v>1</v>
      </c>
      <c r="G295" s="502">
        <v>2</v>
      </c>
      <c r="H295" s="602">
        <f>((0.79)/3)+0.1</f>
        <v>0.3633333333333334</v>
      </c>
      <c r="I295" s="602">
        <v>7.7949999999999999</v>
      </c>
      <c r="J295" s="602">
        <f>0.58+8*$C295/1000</f>
        <v>0.70799999999999996</v>
      </c>
      <c r="K295" s="509"/>
      <c r="L295" s="510">
        <f>SUM(H295:J295)+K295</f>
        <v>8.8663333333333334</v>
      </c>
      <c r="M295" s="510">
        <f t="shared" si="159"/>
        <v>0</v>
      </c>
      <c r="N295" s="510">
        <f t="shared" si="160"/>
        <v>0</v>
      </c>
      <c r="O295" s="510">
        <f t="shared" si="161"/>
        <v>0</v>
      </c>
      <c r="P295" s="510">
        <f t="shared" si="162"/>
        <v>17.73</v>
      </c>
      <c r="Q295" s="510">
        <f t="shared" si="163"/>
        <v>0</v>
      </c>
      <c r="R295" s="510">
        <f t="shared" si="164"/>
        <v>0</v>
      </c>
    </row>
    <row r="296" spans="1:18">
      <c r="A296" s="505"/>
      <c r="B296" s="511" t="s">
        <v>773</v>
      </c>
      <c r="C296" s="507">
        <v>16</v>
      </c>
      <c r="D296" s="508"/>
      <c r="E296" s="507">
        <v>1</v>
      </c>
      <c r="F296" s="502">
        <v>1</v>
      </c>
      <c r="G296" s="502">
        <v>2</v>
      </c>
      <c r="H296" s="602">
        <f>((0.79)/3)+0.1</f>
        <v>0.3633333333333334</v>
      </c>
      <c r="I296" s="602">
        <v>7.7949999999999999</v>
      </c>
      <c r="J296" s="602">
        <f>0.58+8*$C296/1000</f>
        <v>0.70799999999999996</v>
      </c>
      <c r="K296" s="509"/>
      <c r="L296" s="510">
        <f>SUM(H296:J296)+K296</f>
        <v>8.8663333333333334</v>
      </c>
      <c r="M296" s="510">
        <f t="shared" si="159"/>
        <v>0</v>
      </c>
      <c r="N296" s="510">
        <f t="shared" si="160"/>
        <v>0</v>
      </c>
      <c r="O296" s="510">
        <f t="shared" si="161"/>
        <v>0</v>
      </c>
      <c r="P296" s="510">
        <f t="shared" si="162"/>
        <v>17.73</v>
      </c>
      <c r="Q296" s="510">
        <f t="shared" si="163"/>
        <v>0</v>
      </c>
      <c r="R296" s="510">
        <f t="shared" si="164"/>
        <v>0</v>
      </c>
    </row>
    <row r="297" spans="1:18">
      <c r="A297" s="505"/>
      <c r="B297" s="511" t="s">
        <v>778</v>
      </c>
      <c r="C297" s="507">
        <v>12</v>
      </c>
      <c r="D297" s="508"/>
      <c r="E297" s="507">
        <v>1</v>
      </c>
      <c r="F297" s="502">
        <v>1</v>
      </c>
      <c r="G297" s="502">
        <v>2</v>
      </c>
      <c r="H297" s="602"/>
      <c r="I297" s="602">
        <f>5.245-0.75-0.5</f>
        <v>3.9950000000000001</v>
      </c>
      <c r="J297" s="235"/>
      <c r="K297" s="509"/>
      <c r="L297" s="510">
        <f t="shared" ref="L297" si="167">SUM(H297:J297)+K297</f>
        <v>3.9950000000000001</v>
      </c>
      <c r="M297" s="510">
        <f t="shared" si="159"/>
        <v>0</v>
      </c>
      <c r="N297" s="510">
        <f t="shared" si="160"/>
        <v>0</v>
      </c>
      <c r="O297" s="510">
        <f t="shared" si="161"/>
        <v>7.99</v>
      </c>
      <c r="P297" s="510">
        <f t="shared" si="162"/>
        <v>0</v>
      </c>
      <c r="Q297" s="510">
        <f t="shared" si="163"/>
        <v>0</v>
      </c>
      <c r="R297" s="510">
        <f t="shared" si="164"/>
        <v>0</v>
      </c>
    </row>
    <row r="298" spans="1:18">
      <c r="A298" s="505"/>
      <c r="B298" s="511" t="s">
        <v>774</v>
      </c>
      <c r="C298" s="507">
        <v>12</v>
      </c>
      <c r="D298" s="508"/>
      <c r="E298" s="507">
        <v>1</v>
      </c>
      <c r="F298" s="502">
        <v>2</v>
      </c>
      <c r="G298" s="502">
        <v>2</v>
      </c>
      <c r="H298" s="602"/>
      <c r="I298" s="602">
        <f>1+0.75+1.5</f>
        <v>3.25</v>
      </c>
      <c r="J298" s="235"/>
      <c r="K298" s="509"/>
      <c r="L298" s="510">
        <f>SUM(H298:J298)+K298</f>
        <v>3.25</v>
      </c>
      <c r="M298" s="510">
        <f t="shared" si="159"/>
        <v>0</v>
      </c>
      <c r="N298" s="510">
        <f t="shared" si="160"/>
        <v>0</v>
      </c>
      <c r="O298" s="510">
        <f t="shared" si="161"/>
        <v>13</v>
      </c>
      <c r="P298" s="510">
        <f t="shared" si="162"/>
        <v>0</v>
      </c>
      <c r="Q298" s="510">
        <f t="shared" si="163"/>
        <v>0</v>
      </c>
      <c r="R298" s="510">
        <f t="shared" si="164"/>
        <v>0</v>
      </c>
    </row>
    <row r="299" spans="1:18">
      <c r="A299" s="505"/>
      <c r="B299" s="511" t="s">
        <v>774</v>
      </c>
      <c r="C299" s="507">
        <v>12</v>
      </c>
      <c r="D299" s="508"/>
      <c r="E299" s="507">
        <v>1</v>
      </c>
      <c r="F299" s="502">
        <v>2</v>
      </c>
      <c r="G299" s="502">
        <v>2</v>
      </c>
      <c r="H299" s="602"/>
      <c r="I299" s="602">
        <v>1.5</v>
      </c>
      <c r="J299" s="602">
        <f>0.44+8*$C299/1000</f>
        <v>0.53600000000000003</v>
      </c>
      <c r="K299" s="509"/>
      <c r="L299" s="510">
        <f>SUM(H299:J299)+K299</f>
        <v>2.036</v>
      </c>
      <c r="M299" s="510">
        <f t="shared" si="159"/>
        <v>0</v>
      </c>
      <c r="N299" s="510">
        <f t="shared" si="160"/>
        <v>0</v>
      </c>
      <c r="O299" s="510">
        <f t="shared" si="161"/>
        <v>8.14</v>
      </c>
      <c r="P299" s="510">
        <f t="shared" si="162"/>
        <v>0</v>
      </c>
      <c r="Q299" s="510">
        <f t="shared" si="163"/>
        <v>0</v>
      </c>
      <c r="R299" s="510">
        <f t="shared" si="164"/>
        <v>0</v>
      </c>
    </row>
    <row r="300" spans="1:18">
      <c r="A300" s="505"/>
      <c r="B300" s="511" t="s">
        <v>777</v>
      </c>
      <c r="C300" s="507">
        <v>8</v>
      </c>
      <c r="D300" s="508">
        <v>100</v>
      </c>
      <c r="E300" s="507">
        <v>1</v>
      </c>
      <c r="F300" s="502">
        <v>1</v>
      </c>
      <c r="G300" s="502">
        <f>+ROUND(2/0.1+1,0)</f>
        <v>21</v>
      </c>
      <c r="H300" s="602"/>
      <c r="I300" s="602">
        <f t="shared" ref="I300:I302" si="168">2*(0.14+0.44)+24*C300/1000</f>
        <v>1.3520000000000001</v>
      </c>
      <c r="J300" s="235"/>
      <c r="K300" s="589"/>
      <c r="L300" s="510">
        <f t="shared" ref="L300:L301" si="169">SUM(H300:J300)+K300</f>
        <v>1.3520000000000001</v>
      </c>
      <c r="M300" s="510">
        <f t="shared" si="159"/>
        <v>28.39</v>
      </c>
      <c r="N300" s="510">
        <f t="shared" si="160"/>
        <v>0</v>
      </c>
      <c r="O300" s="510">
        <f t="shared" si="161"/>
        <v>0</v>
      </c>
      <c r="P300" s="510">
        <f t="shared" si="162"/>
        <v>0</v>
      </c>
      <c r="Q300" s="510">
        <f t="shared" si="163"/>
        <v>0</v>
      </c>
      <c r="R300" s="510">
        <f t="shared" si="164"/>
        <v>0</v>
      </c>
    </row>
    <row r="301" spans="1:18">
      <c r="A301" s="505"/>
      <c r="B301" s="511"/>
      <c r="C301" s="507">
        <v>8</v>
      </c>
      <c r="D301" s="508">
        <v>100</v>
      </c>
      <c r="E301" s="507">
        <v>1</v>
      </c>
      <c r="F301" s="502">
        <v>1</v>
      </c>
      <c r="G301" s="502">
        <f>+ROUND(2.572/0.1,0)</f>
        <v>26</v>
      </c>
      <c r="H301" s="602"/>
      <c r="I301" s="602">
        <f t="shared" si="168"/>
        <v>1.3520000000000001</v>
      </c>
      <c r="J301" s="235"/>
      <c r="K301" s="589"/>
      <c r="L301" s="510">
        <f t="shared" si="169"/>
        <v>1.3520000000000001</v>
      </c>
      <c r="M301" s="510">
        <f t="shared" si="159"/>
        <v>35.15</v>
      </c>
      <c r="N301" s="510">
        <f t="shared" si="160"/>
        <v>0</v>
      </c>
      <c r="O301" s="510">
        <f t="shared" si="161"/>
        <v>0</v>
      </c>
      <c r="P301" s="510">
        <f t="shared" si="162"/>
        <v>0</v>
      </c>
      <c r="Q301" s="510">
        <f t="shared" si="163"/>
        <v>0</v>
      </c>
      <c r="R301" s="510">
        <f t="shared" si="164"/>
        <v>0</v>
      </c>
    </row>
    <row r="302" spans="1:18">
      <c r="A302" s="505"/>
      <c r="B302" s="511"/>
      <c r="C302" s="507">
        <v>8</v>
      </c>
      <c r="D302" s="508">
        <v>150</v>
      </c>
      <c r="E302" s="507">
        <v>1</v>
      </c>
      <c r="F302" s="502">
        <v>1</v>
      </c>
      <c r="G302" s="502">
        <f>+ROUND(2.572/0.15+1,0)</f>
        <v>18</v>
      </c>
      <c r="H302" s="602"/>
      <c r="I302" s="602">
        <f t="shared" si="168"/>
        <v>1.3520000000000001</v>
      </c>
      <c r="J302" s="235"/>
      <c r="K302" s="509"/>
      <c r="L302" s="510">
        <f t="shared" ref="L302" si="170">SUM(H302:J302)+K302</f>
        <v>1.3520000000000001</v>
      </c>
      <c r="M302" s="510">
        <f t="shared" si="0"/>
        <v>24.34</v>
      </c>
      <c r="N302" s="510">
        <f t="shared" si="1"/>
        <v>0</v>
      </c>
      <c r="O302" s="510">
        <f t="shared" si="2"/>
        <v>0</v>
      </c>
      <c r="P302" s="510">
        <f t="shared" si="3"/>
        <v>0</v>
      </c>
      <c r="Q302" s="510">
        <f t="shared" si="4"/>
        <v>0</v>
      </c>
      <c r="R302" s="510">
        <f t="shared" si="5"/>
        <v>0</v>
      </c>
    </row>
    <row r="303" spans="1:18">
      <c r="A303" s="505" t="s">
        <v>772</v>
      </c>
      <c r="B303" s="520" t="s">
        <v>1119</v>
      </c>
      <c r="C303" s="507"/>
      <c r="D303" s="508"/>
      <c r="E303" s="507"/>
      <c r="F303" s="502"/>
      <c r="G303" s="502"/>
      <c r="H303" s="602"/>
      <c r="I303" s="602"/>
      <c r="J303" s="235"/>
      <c r="K303" s="509"/>
      <c r="L303" s="510">
        <f t="shared" ref="L303" si="171">SUM(H303:J303)+K303</f>
        <v>0</v>
      </c>
      <c r="M303" s="510">
        <f t="shared" si="0"/>
        <v>0</v>
      </c>
      <c r="N303" s="510">
        <f t="shared" si="1"/>
        <v>0</v>
      </c>
      <c r="O303" s="510">
        <f t="shared" si="2"/>
        <v>0</v>
      </c>
      <c r="P303" s="510">
        <f t="shared" si="3"/>
        <v>0</v>
      </c>
      <c r="Q303" s="510">
        <f t="shared" si="4"/>
        <v>0</v>
      </c>
      <c r="R303" s="510">
        <f t="shared" si="5"/>
        <v>0</v>
      </c>
    </row>
    <row r="304" spans="1:18">
      <c r="A304" s="505"/>
      <c r="B304" s="511" t="s">
        <v>740</v>
      </c>
      <c r="C304" s="507">
        <v>16</v>
      </c>
      <c r="D304" s="508"/>
      <c r="E304" s="507">
        <v>1</v>
      </c>
      <c r="F304" s="502">
        <v>1</v>
      </c>
      <c r="G304" s="502">
        <v>2</v>
      </c>
      <c r="H304" s="602">
        <f>((0.79)/3)+0.1</f>
        <v>0.3633333333333334</v>
      </c>
      <c r="I304" s="602">
        <v>3</v>
      </c>
      <c r="J304" s="602">
        <f>0.58+8*$C304/1000</f>
        <v>0.70799999999999996</v>
      </c>
      <c r="K304" s="509"/>
      <c r="L304" s="510">
        <f>SUM(H304:J304)+K304</f>
        <v>4.0713333333333335</v>
      </c>
      <c r="M304" s="510">
        <f t="shared" si="0"/>
        <v>0</v>
      </c>
      <c r="N304" s="510">
        <f t="shared" si="1"/>
        <v>0</v>
      </c>
      <c r="O304" s="510">
        <f t="shared" si="2"/>
        <v>0</v>
      </c>
      <c r="P304" s="510">
        <f t="shared" si="3"/>
        <v>8.14</v>
      </c>
      <c r="Q304" s="510">
        <f t="shared" si="4"/>
        <v>0</v>
      </c>
      <c r="R304" s="510">
        <f t="shared" si="5"/>
        <v>0</v>
      </c>
    </row>
    <row r="305" spans="1:18">
      <c r="A305" s="505"/>
      <c r="B305" s="511" t="s">
        <v>740</v>
      </c>
      <c r="C305" s="507">
        <v>16</v>
      </c>
      <c r="D305" s="508"/>
      <c r="E305" s="507">
        <v>1</v>
      </c>
      <c r="F305" s="502">
        <v>1</v>
      </c>
      <c r="G305" s="502">
        <v>2</v>
      </c>
      <c r="H305" s="602">
        <v>0.57999999999999996</v>
      </c>
      <c r="I305" s="602">
        <v>1.95</v>
      </c>
      <c r="J305" s="602">
        <f>((0.79)/3)+0.1</f>
        <v>0.3633333333333334</v>
      </c>
      <c r="K305" s="509"/>
      <c r="L305" s="510">
        <f>SUM(H305:J305)+K305</f>
        <v>2.8933333333333331</v>
      </c>
      <c r="M305" s="510">
        <f t="shared" si="0"/>
        <v>0</v>
      </c>
      <c r="N305" s="510">
        <f t="shared" si="1"/>
        <v>0</v>
      </c>
      <c r="O305" s="510">
        <f t="shared" si="2"/>
        <v>0</v>
      </c>
      <c r="P305" s="510">
        <f t="shared" si="3"/>
        <v>5.79</v>
      </c>
      <c r="Q305" s="510">
        <f t="shared" si="4"/>
        <v>0</v>
      </c>
      <c r="R305" s="510">
        <f t="shared" si="5"/>
        <v>0</v>
      </c>
    </row>
    <row r="306" spans="1:18">
      <c r="A306" s="505"/>
      <c r="B306" s="511" t="s">
        <v>773</v>
      </c>
      <c r="C306" s="507">
        <v>16</v>
      </c>
      <c r="D306" s="508"/>
      <c r="E306" s="507">
        <v>1</v>
      </c>
      <c r="F306" s="502">
        <v>1</v>
      </c>
      <c r="G306" s="502">
        <v>2</v>
      </c>
      <c r="H306" s="602">
        <f>((0.79)/3)+0.1</f>
        <v>0.3633333333333334</v>
      </c>
      <c r="I306" s="602">
        <v>5.7</v>
      </c>
      <c r="J306" s="602">
        <f>((0.79)/3)+0.1</f>
        <v>0.3633333333333334</v>
      </c>
      <c r="K306" s="509"/>
      <c r="L306" s="510">
        <f>SUM(H306:J306)+K306</f>
        <v>6.4266666666666667</v>
      </c>
      <c r="M306" s="510">
        <f t="shared" si="0"/>
        <v>0</v>
      </c>
      <c r="N306" s="510">
        <f t="shared" si="1"/>
        <v>0</v>
      </c>
      <c r="O306" s="510">
        <f t="shared" si="2"/>
        <v>0</v>
      </c>
      <c r="P306" s="510">
        <f t="shared" si="3"/>
        <v>12.85</v>
      </c>
      <c r="Q306" s="510">
        <f t="shared" si="4"/>
        <v>0</v>
      </c>
      <c r="R306" s="510">
        <f t="shared" si="5"/>
        <v>0</v>
      </c>
    </row>
    <row r="307" spans="1:18">
      <c r="A307" s="505"/>
      <c r="B307" s="511" t="s">
        <v>777</v>
      </c>
      <c r="C307" s="507">
        <v>8</v>
      </c>
      <c r="D307" s="508">
        <v>100</v>
      </c>
      <c r="E307" s="507">
        <v>1</v>
      </c>
      <c r="F307" s="502">
        <v>1</v>
      </c>
      <c r="G307" s="502">
        <f>+ROUND(3/0.1+1,0)</f>
        <v>31</v>
      </c>
      <c r="H307" s="602"/>
      <c r="I307" s="602">
        <f>2*(0.15+0.45)+16*C307/1000</f>
        <v>1.3279999999999998</v>
      </c>
      <c r="J307" s="235"/>
      <c r="K307" s="589"/>
      <c r="L307" s="510">
        <f t="shared" ref="L307" si="172">SUM(H307:J307)+K307</f>
        <v>1.3279999999999998</v>
      </c>
      <c r="M307" s="510">
        <f t="shared" si="0"/>
        <v>41.17</v>
      </c>
      <c r="N307" s="510">
        <f t="shared" si="1"/>
        <v>0</v>
      </c>
      <c r="O307" s="510">
        <f t="shared" si="2"/>
        <v>0</v>
      </c>
      <c r="P307" s="510">
        <f t="shared" si="3"/>
        <v>0</v>
      </c>
      <c r="Q307" s="510">
        <f t="shared" si="4"/>
        <v>0</v>
      </c>
      <c r="R307" s="510">
        <f t="shared" si="5"/>
        <v>0</v>
      </c>
    </row>
    <row r="308" spans="1:18">
      <c r="A308" s="505"/>
      <c r="B308" s="511" t="s">
        <v>1080</v>
      </c>
      <c r="C308" s="507">
        <v>8</v>
      </c>
      <c r="D308" s="508">
        <v>100</v>
      </c>
      <c r="E308" s="507">
        <v>1</v>
      </c>
      <c r="F308" s="502">
        <v>1</v>
      </c>
      <c r="G308" s="502">
        <f>+ROUND(1.95/0.1+1,0)</f>
        <v>21</v>
      </c>
      <c r="H308" s="602"/>
      <c r="I308" s="602">
        <f>2*(0.15+0.3)+16*C308/1000</f>
        <v>1.028</v>
      </c>
      <c r="J308" s="235"/>
      <c r="K308" s="509"/>
      <c r="L308" s="510">
        <f t="shared" ref="L308" si="173">SUM(H308:J308)+K308</f>
        <v>1.028</v>
      </c>
      <c r="M308" s="510">
        <f t="shared" si="0"/>
        <v>21.59</v>
      </c>
      <c r="N308" s="510">
        <f t="shared" si="1"/>
        <v>0</v>
      </c>
      <c r="O308" s="510">
        <f t="shared" si="2"/>
        <v>0</v>
      </c>
      <c r="P308" s="510">
        <f t="shared" si="3"/>
        <v>0</v>
      </c>
      <c r="Q308" s="510">
        <f t="shared" si="4"/>
        <v>0</v>
      </c>
      <c r="R308" s="510">
        <f t="shared" si="5"/>
        <v>0</v>
      </c>
    </row>
    <row r="309" spans="1:18">
      <c r="A309" s="505"/>
      <c r="B309" s="511"/>
      <c r="C309" s="507"/>
      <c r="D309" s="508"/>
      <c r="E309" s="507"/>
      <c r="F309" s="502"/>
      <c r="G309" s="502"/>
      <c r="H309" s="602"/>
      <c r="I309" s="602"/>
      <c r="J309" s="235"/>
      <c r="K309" s="509"/>
      <c r="L309" s="510"/>
      <c r="M309" s="510"/>
      <c r="N309" s="510"/>
      <c r="O309" s="510"/>
      <c r="P309" s="510"/>
      <c r="Q309" s="510"/>
      <c r="R309" s="510"/>
    </row>
    <row r="310" spans="1:18">
      <c r="A310" s="505" t="s">
        <v>772</v>
      </c>
      <c r="B310" s="520" t="s">
        <v>1120</v>
      </c>
      <c r="C310" s="507"/>
      <c r="D310" s="508"/>
      <c r="E310" s="507"/>
      <c r="F310" s="502"/>
      <c r="G310" s="502"/>
      <c r="H310" s="602"/>
      <c r="I310" s="602"/>
      <c r="J310" s="235"/>
      <c r="K310" s="509"/>
      <c r="L310" s="510">
        <f t="shared" ref="L310" si="174">SUM(H310:J310)+K310</f>
        <v>0</v>
      </c>
      <c r="M310" s="510">
        <f t="shared" si="0"/>
        <v>0</v>
      </c>
      <c r="N310" s="510">
        <f t="shared" si="1"/>
        <v>0</v>
      </c>
      <c r="O310" s="510">
        <f t="shared" si="2"/>
        <v>0</v>
      </c>
      <c r="P310" s="510">
        <f t="shared" si="3"/>
        <v>0</v>
      </c>
      <c r="Q310" s="510">
        <f t="shared" si="4"/>
        <v>0</v>
      </c>
      <c r="R310" s="510">
        <f t="shared" si="5"/>
        <v>0</v>
      </c>
    </row>
    <row r="311" spans="1:18">
      <c r="A311" s="505"/>
      <c r="B311" s="511" t="s">
        <v>740</v>
      </c>
      <c r="C311" s="507">
        <v>16</v>
      </c>
      <c r="D311" s="508"/>
      <c r="E311" s="507">
        <v>1</v>
      </c>
      <c r="F311" s="502">
        <v>1</v>
      </c>
      <c r="G311" s="502">
        <v>2</v>
      </c>
      <c r="H311" s="602">
        <f>((0.79)/3)+0.1</f>
        <v>0.3633333333333334</v>
      </c>
      <c r="I311" s="602">
        <v>2.23</v>
      </c>
      <c r="J311" s="602">
        <f>0.58+10*$C311/1000</f>
        <v>0.74</v>
      </c>
      <c r="K311" s="509"/>
      <c r="L311" s="510">
        <f>SUM(H311:J311)+K311</f>
        <v>3.333333333333333</v>
      </c>
      <c r="M311" s="510">
        <f t="shared" si="0"/>
        <v>0</v>
      </c>
      <c r="N311" s="510">
        <f t="shared" si="1"/>
        <v>0</v>
      </c>
      <c r="O311" s="510">
        <f t="shared" si="2"/>
        <v>0</v>
      </c>
      <c r="P311" s="510">
        <f t="shared" si="3"/>
        <v>6.67</v>
      </c>
      <c r="Q311" s="510">
        <f t="shared" si="4"/>
        <v>0</v>
      </c>
      <c r="R311" s="510">
        <f t="shared" si="5"/>
        <v>0</v>
      </c>
    </row>
    <row r="312" spans="1:18">
      <c r="A312" s="505"/>
      <c r="B312" s="511" t="s">
        <v>773</v>
      </c>
      <c r="C312" s="507">
        <v>16</v>
      </c>
      <c r="D312" s="508"/>
      <c r="E312" s="507">
        <v>1</v>
      </c>
      <c r="F312" s="502">
        <v>1</v>
      </c>
      <c r="G312" s="502">
        <v>2</v>
      </c>
      <c r="H312" s="602">
        <f>((0.79)/3)+0.1</f>
        <v>0.3633333333333334</v>
      </c>
      <c r="I312" s="602">
        <v>2.23</v>
      </c>
      <c r="J312" s="602">
        <f>0.58+10*$C312/1000</f>
        <v>0.74</v>
      </c>
      <c r="K312" s="509"/>
      <c r="L312" s="510">
        <f>SUM(H312:J312)+K312</f>
        <v>3.333333333333333</v>
      </c>
      <c r="M312" s="510">
        <f t="shared" si="0"/>
        <v>0</v>
      </c>
      <c r="N312" s="510">
        <f t="shared" si="1"/>
        <v>0</v>
      </c>
      <c r="O312" s="510">
        <f t="shared" si="2"/>
        <v>0</v>
      </c>
      <c r="P312" s="510">
        <f t="shared" si="3"/>
        <v>6.67</v>
      </c>
      <c r="Q312" s="510">
        <f t="shared" si="4"/>
        <v>0</v>
      </c>
      <c r="R312" s="510">
        <f t="shared" si="5"/>
        <v>0</v>
      </c>
    </row>
    <row r="313" spans="1:18">
      <c r="A313" s="505"/>
      <c r="B313" s="511" t="s">
        <v>777</v>
      </c>
      <c r="C313" s="507">
        <v>8</v>
      </c>
      <c r="D313" s="508">
        <v>100</v>
      </c>
      <c r="E313" s="507">
        <v>1</v>
      </c>
      <c r="F313" s="502">
        <v>1</v>
      </c>
      <c r="G313" s="502">
        <f>+ROUND(2.23/0.1+1,0)</f>
        <v>23</v>
      </c>
      <c r="H313" s="602"/>
      <c r="I313" s="602">
        <f>2*(0.15+0.4)+16*C313/1000</f>
        <v>1.2280000000000002</v>
      </c>
      <c r="J313" s="235"/>
      <c r="K313" s="589"/>
      <c r="L313" s="510">
        <f t="shared" ref="L313" si="175">SUM(H313:J313)+K313</f>
        <v>1.2280000000000002</v>
      </c>
      <c r="M313" s="510">
        <f t="shared" si="0"/>
        <v>28.24</v>
      </c>
      <c r="N313" s="510">
        <f t="shared" si="1"/>
        <v>0</v>
      </c>
      <c r="O313" s="510">
        <f t="shared" si="2"/>
        <v>0</v>
      </c>
      <c r="P313" s="510">
        <f t="shared" si="3"/>
        <v>0</v>
      </c>
      <c r="Q313" s="510">
        <f t="shared" si="4"/>
        <v>0</v>
      </c>
      <c r="R313" s="510">
        <f t="shared" si="5"/>
        <v>0</v>
      </c>
    </row>
    <row r="314" spans="1:18">
      <c r="A314" s="505"/>
      <c r="B314" s="511"/>
      <c r="C314" s="507"/>
      <c r="D314" s="508"/>
      <c r="E314" s="507"/>
      <c r="F314" s="502"/>
      <c r="G314" s="502"/>
      <c r="H314" s="602"/>
      <c r="I314" s="602"/>
      <c r="J314" s="235"/>
      <c r="K314" s="589"/>
      <c r="L314" s="510"/>
      <c r="M314" s="510"/>
      <c r="N314" s="510"/>
      <c r="O314" s="510"/>
      <c r="P314" s="510"/>
      <c r="Q314" s="510"/>
      <c r="R314" s="510"/>
    </row>
    <row r="315" spans="1:18">
      <c r="A315" s="505" t="s">
        <v>1067</v>
      </c>
      <c r="B315" s="520" t="s">
        <v>1121</v>
      </c>
      <c r="C315" s="507"/>
      <c r="D315" s="508"/>
      <c r="E315" s="507"/>
      <c r="F315" s="502"/>
      <c r="G315" s="502"/>
      <c r="H315" s="602"/>
      <c r="I315" s="602"/>
      <c r="J315" s="235"/>
      <c r="K315" s="509"/>
      <c r="L315" s="510">
        <f t="shared" ref="L315" si="176">SUM(H315:J315)+K315</f>
        <v>0</v>
      </c>
      <c r="M315" s="510">
        <f t="shared" ref="M315:M341" si="177">+ROUND(IF(C315=8,PRODUCT(E315,F315,G315,L315),0),2)</f>
        <v>0</v>
      </c>
      <c r="N315" s="510">
        <f t="shared" ref="N315:N341" si="178">+ROUND(IF(C315=10,PRODUCT(E315,F315,G315,L315),0),2)</f>
        <v>0</v>
      </c>
      <c r="O315" s="510">
        <f t="shared" ref="O315:O341" si="179">+ROUND(IF(C315=12,PRODUCT(E315,F315,G315,L315),0),2)</f>
        <v>0</v>
      </c>
      <c r="P315" s="510">
        <f t="shared" ref="P315:P341" si="180">+ROUND(IF(C315=16,PRODUCT(E315,F315,G315,L315),0),2)</f>
        <v>0</v>
      </c>
      <c r="Q315" s="510">
        <f t="shared" ref="Q315:Q341" si="181">+ROUND(IF(C315=20,PRODUCT(E315,F315,G315,L315),0),2)</f>
        <v>0</v>
      </c>
      <c r="R315" s="510">
        <f t="shared" ref="R315:R341" si="182">+ROUND(IF(C315=25,PRODUCT(E315,F315,G315,L315),0),2)</f>
        <v>0</v>
      </c>
    </row>
    <row r="316" spans="1:18">
      <c r="A316" s="505"/>
      <c r="B316" s="511" t="s">
        <v>740</v>
      </c>
      <c r="C316" s="507">
        <v>16</v>
      </c>
      <c r="D316" s="508"/>
      <c r="E316" s="507">
        <v>1</v>
      </c>
      <c r="F316" s="502">
        <v>1</v>
      </c>
      <c r="G316" s="502">
        <v>2</v>
      </c>
      <c r="H316" s="602">
        <f>0.58+8*$C316/1000</f>
        <v>0.70799999999999996</v>
      </c>
      <c r="I316" s="602">
        <v>5.1449999999999996</v>
      </c>
      <c r="J316" s="602">
        <f>0.58+8*$C316/1000</f>
        <v>0.70799999999999996</v>
      </c>
      <c r="K316" s="509"/>
      <c r="L316" s="510">
        <f>SUM(H316:J316)+K316</f>
        <v>6.5609999999999999</v>
      </c>
      <c r="M316" s="510">
        <f t="shared" si="177"/>
        <v>0</v>
      </c>
      <c r="N316" s="510">
        <f t="shared" si="178"/>
        <v>0</v>
      </c>
      <c r="O316" s="510">
        <f t="shared" si="179"/>
        <v>0</v>
      </c>
      <c r="P316" s="510">
        <f t="shared" si="180"/>
        <v>13.12</v>
      </c>
      <c r="Q316" s="510">
        <f t="shared" si="181"/>
        <v>0</v>
      </c>
      <c r="R316" s="510">
        <f t="shared" si="182"/>
        <v>0</v>
      </c>
    </row>
    <row r="317" spans="1:18">
      <c r="A317" s="505"/>
      <c r="B317" s="511" t="s">
        <v>773</v>
      </c>
      <c r="C317" s="507">
        <v>16</v>
      </c>
      <c r="D317" s="508"/>
      <c r="E317" s="507">
        <v>1</v>
      </c>
      <c r="F317" s="502">
        <v>1</v>
      </c>
      <c r="G317" s="502">
        <v>2</v>
      </c>
      <c r="H317" s="602">
        <f>0.58+8*$C317/1000</f>
        <v>0.70799999999999996</v>
      </c>
      <c r="I317" s="602">
        <v>5.1449999999999996</v>
      </c>
      <c r="J317" s="602">
        <f>0.58+8*$C317/1000</f>
        <v>0.70799999999999996</v>
      </c>
      <c r="K317" s="509"/>
      <c r="L317" s="510">
        <f>SUM(H317:J317)+K317</f>
        <v>6.5609999999999999</v>
      </c>
      <c r="M317" s="510">
        <f t="shared" si="177"/>
        <v>0</v>
      </c>
      <c r="N317" s="510">
        <f t="shared" si="178"/>
        <v>0</v>
      </c>
      <c r="O317" s="510">
        <f t="shared" si="179"/>
        <v>0</v>
      </c>
      <c r="P317" s="510">
        <f t="shared" si="180"/>
        <v>13.12</v>
      </c>
      <c r="Q317" s="510">
        <f t="shared" si="181"/>
        <v>0</v>
      </c>
      <c r="R317" s="510">
        <f t="shared" si="182"/>
        <v>0</v>
      </c>
    </row>
    <row r="318" spans="1:18">
      <c r="A318" s="505"/>
      <c r="B318" s="511" t="s">
        <v>778</v>
      </c>
      <c r="C318" s="507">
        <v>12</v>
      </c>
      <c r="D318" s="508"/>
      <c r="E318" s="507">
        <v>1</v>
      </c>
      <c r="F318" s="502">
        <v>1</v>
      </c>
      <c r="G318" s="502">
        <v>2</v>
      </c>
      <c r="H318" s="602"/>
      <c r="I318" s="602">
        <f>5.145-1</f>
        <v>4.1449999999999996</v>
      </c>
      <c r="J318" s="602"/>
      <c r="K318" s="509"/>
      <c r="L318" s="510">
        <f>SUM(H318:J318)+K318</f>
        <v>4.1449999999999996</v>
      </c>
      <c r="M318" s="510">
        <f t="shared" si="177"/>
        <v>0</v>
      </c>
      <c r="N318" s="510">
        <f t="shared" si="178"/>
        <v>0</v>
      </c>
      <c r="O318" s="510">
        <f t="shared" si="179"/>
        <v>8.2899999999999991</v>
      </c>
      <c r="P318" s="510">
        <f t="shared" si="180"/>
        <v>0</v>
      </c>
      <c r="Q318" s="510">
        <f t="shared" si="181"/>
        <v>0</v>
      </c>
      <c r="R318" s="510">
        <f t="shared" si="182"/>
        <v>0</v>
      </c>
    </row>
    <row r="319" spans="1:18">
      <c r="A319" s="505"/>
      <c r="B319" s="511" t="s">
        <v>774</v>
      </c>
      <c r="C319" s="507">
        <v>12</v>
      </c>
      <c r="D319" s="508"/>
      <c r="E319" s="507">
        <v>1</v>
      </c>
      <c r="F319" s="502">
        <v>1</v>
      </c>
      <c r="G319" s="502">
        <v>4</v>
      </c>
      <c r="H319" s="602">
        <f>0.44+8*$C319/1000</f>
        <v>0.53600000000000003</v>
      </c>
      <c r="I319" s="602">
        <v>1.5</v>
      </c>
      <c r="J319" s="602"/>
      <c r="K319" s="509"/>
      <c r="L319" s="510">
        <f>SUM(H319:J319)+K319</f>
        <v>2.036</v>
      </c>
      <c r="M319" s="510">
        <f t="shared" si="177"/>
        <v>0</v>
      </c>
      <c r="N319" s="510">
        <f t="shared" si="178"/>
        <v>0</v>
      </c>
      <c r="O319" s="510">
        <f t="shared" si="179"/>
        <v>8.14</v>
      </c>
      <c r="P319" s="510">
        <f t="shared" si="180"/>
        <v>0</v>
      </c>
      <c r="Q319" s="510">
        <f t="shared" si="181"/>
        <v>0</v>
      </c>
      <c r="R319" s="510">
        <f t="shared" si="182"/>
        <v>0</v>
      </c>
    </row>
    <row r="320" spans="1:18">
      <c r="A320" s="505"/>
      <c r="B320" s="511" t="s">
        <v>1079</v>
      </c>
      <c r="C320" s="507">
        <v>8</v>
      </c>
      <c r="D320" s="508">
        <v>100</v>
      </c>
      <c r="E320" s="507">
        <v>1</v>
      </c>
      <c r="F320" s="502">
        <v>1</v>
      </c>
      <c r="G320" s="502">
        <f>+ROUND(2.572/0.1,0)</f>
        <v>26</v>
      </c>
      <c r="H320" s="602"/>
      <c r="I320" s="602">
        <f>2*(0.15+0.45)+16*C320/1000</f>
        <v>1.3279999999999998</v>
      </c>
      <c r="J320" s="235"/>
      <c r="K320" s="589"/>
      <c r="L320" s="510">
        <f t="shared" ref="L320:L321" si="183">SUM(H320:J320)+K320</f>
        <v>1.3279999999999998</v>
      </c>
      <c r="M320" s="510">
        <f t="shared" si="177"/>
        <v>34.53</v>
      </c>
      <c r="N320" s="510">
        <f t="shared" si="178"/>
        <v>0</v>
      </c>
      <c r="O320" s="510">
        <f t="shared" si="179"/>
        <v>0</v>
      </c>
      <c r="P320" s="510">
        <f t="shared" si="180"/>
        <v>0</v>
      </c>
      <c r="Q320" s="510">
        <f t="shared" si="181"/>
        <v>0</v>
      </c>
      <c r="R320" s="510">
        <f t="shared" si="182"/>
        <v>0</v>
      </c>
    </row>
    <row r="321" spans="1:18">
      <c r="A321" s="505"/>
      <c r="B321" s="511"/>
      <c r="C321" s="507">
        <v>8</v>
      </c>
      <c r="D321" s="508">
        <v>150</v>
      </c>
      <c r="E321" s="507">
        <v>1</v>
      </c>
      <c r="F321" s="502">
        <v>1</v>
      </c>
      <c r="G321" s="502">
        <f>+ROUND(2.572/0.15+1,0)</f>
        <v>18</v>
      </c>
      <c r="H321" s="602"/>
      <c r="I321" s="602">
        <f>2*(0.15+0.45)+16*C321/1000</f>
        <v>1.3279999999999998</v>
      </c>
      <c r="J321" s="235"/>
      <c r="K321" s="509"/>
      <c r="L321" s="510">
        <f t="shared" si="183"/>
        <v>1.3279999999999998</v>
      </c>
      <c r="M321" s="510">
        <f t="shared" si="177"/>
        <v>23.9</v>
      </c>
      <c r="N321" s="510">
        <f t="shared" si="178"/>
        <v>0</v>
      </c>
      <c r="O321" s="510">
        <f t="shared" si="179"/>
        <v>0</v>
      </c>
      <c r="P321" s="510">
        <f t="shared" si="180"/>
        <v>0</v>
      </c>
      <c r="Q321" s="510">
        <f t="shared" si="181"/>
        <v>0</v>
      </c>
      <c r="R321" s="510">
        <f t="shared" si="182"/>
        <v>0</v>
      </c>
    </row>
    <row r="322" spans="1:18">
      <c r="A322" s="505" t="s">
        <v>1067</v>
      </c>
      <c r="B322" s="520" t="s">
        <v>1122</v>
      </c>
      <c r="C322" s="507"/>
      <c r="D322" s="508"/>
      <c r="E322" s="507"/>
      <c r="F322" s="502"/>
      <c r="G322" s="502"/>
      <c r="H322" s="602"/>
      <c r="I322" s="602"/>
      <c r="J322" s="235"/>
      <c r="K322" s="509"/>
      <c r="L322" s="510">
        <f t="shared" ref="L322" si="184">SUM(H322:J322)+K322</f>
        <v>0</v>
      </c>
      <c r="M322" s="510">
        <f t="shared" si="177"/>
        <v>0</v>
      </c>
      <c r="N322" s="510">
        <f t="shared" si="178"/>
        <v>0</v>
      </c>
      <c r="O322" s="510">
        <f t="shared" si="179"/>
        <v>0</v>
      </c>
      <c r="P322" s="510">
        <f t="shared" si="180"/>
        <v>0</v>
      </c>
      <c r="Q322" s="510">
        <f t="shared" si="181"/>
        <v>0</v>
      </c>
      <c r="R322" s="510">
        <f t="shared" si="182"/>
        <v>0</v>
      </c>
    </row>
    <row r="323" spans="1:18">
      <c r="A323" s="505"/>
      <c r="B323" s="511" t="s">
        <v>740</v>
      </c>
      <c r="C323" s="507">
        <v>16</v>
      </c>
      <c r="D323" s="508"/>
      <c r="E323" s="507">
        <v>1</v>
      </c>
      <c r="F323" s="502">
        <v>1</v>
      </c>
      <c r="G323" s="502">
        <v>2</v>
      </c>
      <c r="H323" s="602">
        <f>0.58+8*$C323/1000</f>
        <v>0.70799999999999996</v>
      </c>
      <c r="I323" s="602">
        <v>3.8</v>
      </c>
      <c r="J323" s="602">
        <f>0.58+8*$C323/1000</f>
        <v>0.70799999999999996</v>
      </c>
      <c r="K323" s="509"/>
      <c r="L323" s="510">
        <f>SUM(H323:J323)+K323</f>
        <v>5.2160000000000002</v>
      </c>
      <c r="M323" s="510">
        <f t="shared" si="177"/>
        <v>0</v>
      </c>
      <c r="N323" s="510">
        <f t="shared" si="178"/>
        <v>0</v>
      </c>
      <c r="O323" s="510">
        <f t="shared" si="179"/>
        <v>0</v>
      </c>
      <c r="P323" s="510">
        <f t="shared" si="180"/>
        <v>10.43</v>
      </c>
      <c r="Q323" s="510">
        <f t="shared" si="181"/>
        <v>0</v>
      </c>
      <c r="R323" s="510">
        <f t="shared" si="182"/>
        <v>0</v>
      </c>
    </row>
    <row r="324" spans="1:18">
      <c r="A324" s="505"/>
      <c r="B324" s="511" t="s">
        <v>773</v>
      </c>
      <c r="C324" s="507">
        <v>16</v>
      </c>
      <c r="D324" s="508"/>
      <c r="E324" s="507">
        <v>1</v>
      </c>
      <c r="F324" s="502">
        <v>1</v>
      </c>
      <c r="G324" s="502">
        <v>2</v>
      </c>
      <c r="H324" s="602">
        <f>0.58+8*$C324/1000</f>
        <v>0.70799999999999996</v>
      </c>
      <c r="I324" s="602">
        <v>3.8</v>
      </c>
      <c r="J324" s="602">
        <f>0.58+8*$C324/1000</f>
        <v>0.70799999999999996</v>
      </c>
      <c r="K324" s="509"/>
      <c r="L324" s="510">
        <f>SUM(H324:J324)+K324</f>
        <v>5.2160000000000002</v>
      </c>
      <c r="M324" s="510">
        <f t="shared" si="177"/>
        <v>0</v>
      </c>
      <c r="N324" s="510">
        <f t="shared" si="178"/>
        <v>0</v>
      </c>
      <c r="O324" s="510">
        <f t="shared" si="179"/>
        <v>0</v>
      </c>
      <c r="P324" s="510">
        <f t="shared" si="180"/>
        <v>10.43</v>
      </c>
      <c r="Q324" s="510">
        <f t="shared" si="181"/>
        <v>0</v>
      </c>
      <c r="R324" s="510">
        <f t="shared" si="182"/>
        <v>0</v>
      </c>
    </row>
    <row r="325" spans="1:18">
      <c r="A325" s="505"/>
      <c r="B325" s="511" t="s">
        <v>1079</v>
      </c>
      <c r="C325" s="507">
        <v>8</v>
      </c>
      <c r="D325" s="508">
        <v>100</v>
      </c>
      <c r="E325" s="507">
        <v>1</v>
      </c>
      <c r="F325" s="502">
        <v>1</v>
      </c>
      <c r="G325" s="502">
        <f>+ROUND(2/0.1,0)</f>
        <v>20</v>
      </c>
      <c r="H325" s="602"/>
      <c r="I325" s="602">
        <f>2*(0.15+0.45)+16*C325/1000</f>
        <v>1.3279999999999998</v>
      </c>
      <c r="J325" s="235"/>
      <c r="K325" s="589"/>
      <c r="L325" s="510">
        <f t="shared" ref="L325:L326" si="185">SUM(H325:J325)+K325</f>
        <v>1.3279999999999998</v>
      </c>
      <c r="M325" s="510">
        <f t="shared" si="177"/>
        <v>26.56</v>
      </c>
      <c r="N325" s="510">
        <f t="shared" si="178"/>
        <v>0</v>
      </c>
      <c r="O325" s="510">
        <f t="shared" si="179"/>
        <v>0</v>
      </c>
      <c r="P325" s="510">
        <f t="shared" si="180"/>
        <v>0</v>
      </c>
      <c r="Q325" s="510">
        <f t="shared" si="181"/>
        <v>0</v>
      </c>
      <c r="R325" s="510">
        <f t="shared" si="182"/>
        <v>0</v>
      </c>
    </row>
    <row r="326" spans="1:18">
      <c r="A326" s="505"/>
      <c r="B326" s="511"/>
      <c r="C326" s="507">
        <v>8</v>
      </c>
      <c r="D326" s="508">
        <v>150</v>
      </c>
      <c r="E326" s="507">
        <v>1</v>
      </c>
      <c r="F326" s="502">
        <v>1</v>
      </c>
      <c r="G326" s="502">
        <f>+ROUND(1.8/0.15+1,0)</f>
        <v>13</v>
      </c>
      <c r="H326" s="602"/>
      <c r="I326" s="602">
        <f>2*(0.15+0.45)+16*C326/1000</f>
        <v>1.3279999999999998</v>
      </c>
      <c r="J326" s="235"/>
      <c r="K326" s="509"/>
      <c r="L326" s="510">
        <f t="shared" si="185"/>
        <v>1.3279999999999998</v>
      </c>
      <c r="M326" s="510">
        <f t="shared" si="177"/>
        <v>17.260000000000002</v>
      </c>
      <c r="N326" s="510">
        <f t="shared" si="178"/>
        <v>0</v>
      </c>
      <c r="O326" s="510">
        <f t="shared" si="179"/>
        <v>0</v>
      </c>
      <c r="P326" s="510">
        <f t="shared" si="180"/>
        <v>0</v>
      </c>
      <c r="Q326" s="510">
        <f t="shared" si="181"/>
        <v>0</v>
      </c>
      <c r="R326" s="510">
        <f t="shared" si="182"/>
        <v>0</v>
      </c>
    </row>
    <row r="327" spans="1:18">
      <c r="A327" s="505" t="s">
        <v>1072</v>
      </c>
      <c r="B327" s="520" t="s">
        <v>1123</v>
      </c>
      <c r="C327" s="507"/>
      <c r="D327" s="508"/>
      <c r="E327" s="507"/>
      <c r="F327" s="502"/>
      <c r="G327" s="502"/>
      <c r="H327" s="602"/>
      <c r="I327" s="602"/>
      <c r="J327" s="235"/>
      <c r="K327" s="509"/>
      <c r="L327" s="510">
        <f t="shared" ref="L327" si="186">SUM(H327:J327)+K327</f>
        <v>0</v>
      </c>
      <c r="M327" s="510">
        <f t="shared" si="177"/>
        <v>0</v>
      </c>
      <c r="N327" s="510">
        <f t="shared" si="178"/>
        <v>0</v>
      </c>
      <c r="O327" s="510">
        <f t="shared" si="179"/>
        <v>0</v>
      </c>
      <c r="P327" s="510">
        <f t="shared" si="180"/>
        <v>0</v>
      </c>
      <c r="Q327" s="510">
        <f t="shared" si="181"/>
        <v>0</v>
      </c>
      <c r="R327" s="510">
        <f t="shared" si="182"/>
        <v>0</v>
      </c>
    </row>
    <row r="328" spans="1:18">
      <c r="A328" s="505"/>
      <c r="B328" s="511" t="s">
        <v>740</v>
      </c>
      <c r="C328" s="507">
        <v>16</v>
      </c>
      <c r="D328" s="508"/>
      <c r="E328" s="507">
        <v>1</v>
      </c>
      <c r="F328" s="502">
        <v>1</v>
      </c>
      <c r="G328" s="502">
        <v>2</v>
      </c>
      <c r="H328" s="602">
        <f>0.58+8*$C328/1000</f>
        <v>0.70799999999999996</v>
      </c>
      <c r="I328" s="602">
        <v>2.95</v>
      </c>
      <c r="J328" s="602">
        <f>((0.79)/3)+0.1</f>
        <v>0.3633333333333334</v>
      </c>
      <c r="K328" s="509"/>
      <c r="L328" s="510">
        <f>SUM(H328:J328)+K328</f>
        <v>4.0213333333333336</v>
      </c>
      <c r="M328" s="510">
        <f t="shared" si="177"/>
        <v>0</v>
      </c>
      <c r="N328" s="510">
        <f t="shared" si="178"/>
        <v>0</v>
      </c>
      <c r="O328" s="510">
        <f t="shared" si="179"/>
        <v>0</v>
      </c>
      <c r="P328" s="510">
        <f t="shared" si="180"/>
        <v>8.0399999999999991</v>
      </c>
      <c r="Q328" s="510">
        <f t="shared" si="181"/>
        <v>0</v>
      </c>
      <c r="R328" s="510">
        <f t="shared" si="182"/>
        <v>0</v>
      </c>
    </row>
    <row r="329" spans="1:18">
      <c r="A329" s="505"/>
      <c r="B329" s="511" t="s">
        <v>773</v>
      </c>
      <c r="C329" s="507">
        <v>16</v>
      </c>
      <c r="D329" s="508"/>
      <c r="E329" s="507">
        <v>1</v>
      </c>
      <c r="F329" s="502">
        <v>1</v>
      </c>
      <c r="G329" s="502">
        <v>2</v>
      </c>
      <c r="H329" s="602">
        <f>0.58+8*$C329/1000</f>
        <v>0.70799999999999996</v>
      </c>
      <c r="I329" s="602">
        <v>2.95</v>
      </c>
      <c r="J329" s="602">
        <f>((0.79)/3)+0.1</f>
        <v>0.3633333333333334</v>
      </c>
      <c r="K329" s="509"/>
      <c r="L329" s="510">
        <f>SUM(H329:J329)+K329</f>
        <v>4.0213333333333336</v>
      </c>
      <c r="M329" s="510">
        <f t="shared" si="177"/>
        <v>0</v>
      </c>
      <c r="N329" s="510">
        <f t="shared" si="178"/>
        <v>0</v>
      </c>
      <c r="O329" s="510">
        <f t="shared" si="179"/>
        <v>0</v>
      </c>
      <c r="P329" s="510">
        <f t="shared" si="180"/>
        <v>8.0399999999999991</v>
      </c>
      <c r="Q329" s="510">
        <f t="shared" si="181"/>
        <v>0</v>
      </c>
      <c r="R329" s="510">
        <f t="shared" si="182"/>
        <v>0</v>
      </c>
    </row>
    <row r="330" spans="1:18">
      <c r="A330" s="505"/>
      <c r="B330" s="511" t="s">
        <v>1080</v>
      </c>
      <c r="C330" s="507">
        <v>8</v>
      </c>
      <c r="D330" s="508">
        <v>100</v>
      </c>
      <c r="E330" s="507">
        <v>1</v>
      </c>
      <c r="F330" s="502">
        <v>1</v>
      </c>
      <c r="G330" s="502">
        <f>+ROUND(1.475/0.1,0)</f>
        <v>15</v>
      </c>
      <c r="H330" s="602"/>
      <c r="I330" s="602">
        <f>2*(0.15+0.3)+16*C330/1000</f>
        <v>1.028</v>
      </c>
      <c r="J330" s="235"/>
      <c r="K330" s="589"/>
      <c r="L330" s="510">
        <f t="shared" ref="L330:L331" si="187">SUM(H330:J330)+K330</f>
        <v>1.028</v>
      </c>
      <c r="M330" s="510">
        <f t="shared" si="177"/>
        <v>15.42</v>
      </c>
      <c r="N330" s="510">
        <f t="shared" si="178"/>
        <v>0</v>
      </c>
      <c r="O330" s="510">
        <f t="shared" si="179"/>
        <v>0</v>
      </c>
      <c r="P330" s="510">
        <f t="shared" si="180"/>
        <v>0</v>
      </c>
      <c r="Q330" s="510">
        <f t="shared" si="181"/>
        <v>0</v>
      </c>
      <c r="R330" s="510">
        <f t="shared" si="182"/>
        <v>0</v>
      </c>
    </row>
    <row r="331" spans="1:18">
      <c r="A331" s="505"/>
      <c r="B331" s="511"/>
      <c r="C331" s="507">
        <v>8</v>
      </c>
      <c r="D331" s="508">
        <v>150</v>
      </c>
      <c r="E331" s="507">
        <v>1</v>
      </c>
      <c r="F331" s="502">
        <v>1</v>
      </c>
      <c r="G331" s="502">
        <f>+ROUND(1.475/0.15+1,0)</f>
        <v>11</v>
      </c>
      <c r="H331" s="602"/>
      <c r="I331" s="602">
        <f>2*(0.15+0.3)+16*C331/1000</f>
        <v>1.028</v>
      </c>
      <c r="J331" s="235"/>
      <c r="K331" s="509"/>
      <c r="L331" s="510">
        <f t="shared" si="187"/>
        <v>1.028</v>
      </c>
      <c r="M331" s="510">
        <f t="shared" si="177"/>
        <v>11.31</v>
      </c>
      <c r="N331" s="510">
        <f t="shared" si="178"/>
        <v>0</v>
      </c>
      <c r="O331" s="510">
        <f t="shared" si="179"/>
        <v>0</v>
      </c>
      <c r="P331" s="510">
        <f t="shared" si="180"/>
        <v>0</v>
      </c>
      <c r="Q331" s="510">
        <f t="shared" si="181"/>
        <v>0</v>
      </c>
      <c r="R331" s="510">
        <f t="shared" si="182"/>
        <v>0</v>
      </c>
    </row>
    <row r="332" spans="1:18">
      <c r="A332" s="505" t="s">
        <v>772</v>
      </c>
      <c r="B332" s="520" t="s">
        <v>1124</v>
      </c>
      <c r="C332" s="507"/>
      <c r="D332" s="508"/>
      <c r="E332" s="507"/>
      <c r="F332" s="502"/>
      <c r="G332" s="502"/>
      <c r="H332" s="602"/>
      <c r="I332" s="602"/>
      <c r="J332" s="235"/>
      <c r="K332" s="509"/>
      <c r="L332" s="510">
        <f t="shared" ref="L332" si="188">SUM(H332:J332)+K332</f>
        <v>0</v>
      </c>
      <c r="M332" s="510">
        <f t="shared" si="177"/>
        <v>0</v>
      </c>
      <c r="N332" s="510">
        <f t="shared" si="178"/>
        <v>0</v>
      </c>
      <c r="O332" s="510">
        <f t="shared" si="179"/>
        <v>0</v>
      </c>
      <c r="P332" s="510">
        <f t="shared" si="180"/>
        <v>0</v>
      </c>
      <c r="Q332" s="510">
        <f t="shared" si="181"/>
        <v>0</v>
      </c>
      <c r="R332" s="510">
        <f t="shared" si="182"/>
        <v>0</v>
      </c>
    </row>
    <row r="333" spans="1:18">
      <c r="A333" s="505"/>
      <c r="B333" s="511" t="s">
        <v>740</v>
      </c>
      <c r="C333" s="507">
        <v>16</v>
      </c>
      <c r="D333" s="508"/>
      <c r="E333" s="507">
        <v>1</v>
      </c>
      <c r="F333" s="502">
        <v>1</v>
      </c>
      <c r="G333" s="502">
        <v>2</v>
      </c>
      <c r="H333" s="602">
        <f>0.58+8*$C333/1000</f>
        <v>0.70799999999999996</v>
      </c>
      <c r="I333" s="602">
        <v>4.55</v>
      </c>
      <c r="J333" s="602">
        <f>0.58+8*$C333/1000</f>
        <v>0.70799999999999996</v>
      </c>
      <c r="K333" s="509"/>
      <c r="L333" s="510">
        <f>SUM(H333:J333)+K333</f>
        <v>5.9660000000000002</v>
      </c>
      <c r="M333" s="510">
        <f t="shared" si="177"/>
        <v>0</v>
      </c>
      <c r="N333" s="510">
        <f t="shared" si="178"/>
        <v>0</v>
      </c>
      <c r="O333" s="510">
        <f t="shared" si="179"/>
        <v>0</v>
      </c>
      <c r="P333" s="510">
        <f t="shared" si="180"/>
        <v>11.93</v>
      </c>
      <c r="Q333" s="510">
        <f t="shared" si="181"/>
        <v>0</v>
      </c>
      <c r="R333" s="510">
        <f t="shared" si="182"/>
        <v>0</v>
      </c>
    </row>
    <row r="334" spans="1:18">
      <c r="A334" s="505"/>
      <c r="B334" s="511" t="s">
        <v>773</v>
      </c>
      <c r="C334" s="507">
        <v>16</v>
      </c>
      <c r="D334" s="508"/>
      <c r="E334" s="507">
        <v>1</v>
      </c>
      <c r="F334" s="502">
        <v>1</v>
      </c>
      <c r="G334" s="502">
        <v>2</v>
      </c>
      <c r="H334" s="602">
        <f>0.58+8*$C334/1000</f>
        <v>0.70799999999999996</v>
      </c>
      <c r="I334" s="602">
        <v>4.55</v>
      </c>
      <c r="J334" s="602">
        <f>0.58+8*$C334/1000</f>
        <v>0.70799999999999996</v>
      </c>
      <c r="K334" s="509"/>
      <c r="L334" s="510">
        <f>SUM(H334:J334)+K334</f>
        <v>5.9660000000000002</v>
      </c>
      <c r="M334" s="510">
        <f t="shared" si="177"/>
        <v>0</v>
      </c>
      <c r="N334" s="510">
        <f t="shared" si="178"/>
        <v>0</v>
      </c>
      <c r="O334" s="510">
        <f t="shared" si="179"/>
        <v>0</v>
      </c>
      <c r="P334" s="510">
        <f t="shared" si="180"/>
        <v>11.93</v>
      </c>
      <c r="Q334" s="510">
        <f t="shared" si="181"/>
        <v>0</v>
      </c>
      <c r="R334" s="510">
        <f t="shared" si="182"/>
        <v>0</v>
      </c>
    </row>
    <row r="335" spans="1:18">
      <c r="A335" s="505"/>
      <c r="B335" s="511" t="s">
        <v>777</v>
      </c>
      <c r="C335" s="507">
        <v>8</v>
      </c>
      <c r="D335" s="508">
        <v>100</v>
      </c>
      <c r="E335" s="507">
        <v>1</v>
      </c>
      <c r="F335" s="502">
        <v>1</v>
      </c>
      <c r="G335" s="502">
        <f>+ROUND(2.275/0.1,0)</f>
        <v>23</v>
      </c>
      <c r="H335" s="602"/>
      <c r="I335" s="602">
        <f>2*(0.15+0.4)+16*C335/1000</f>
        <v>1.2280000000000002</v>
      </c>
      <c r="J335" s="235"/>
      <c r="K335" s="589"/>
      <c r="L335" s="510">
        <f t="shared" ref="L335:L336" si="189">SUM(H335:J335)+K335</f>
        <v>1.2280000000000002</v>
      </c>
      <c r="M335" s="510">
        <f t="shared" si="177"/>
        <v>28.24</v>
      </c>
      <c r="N335" s="510">
        <f t="shared" si="178"/>
        <v>0</v>
      </c>
      <c r="O335" s="510">
        <f t="shared" si="179"/>
        <v>0</v>
      </c>
      <c r="P335" s="510">
        <f t="shared" si="180"/>
        <v>0</v>
      </c>
      <c r="Q335" s="510">
        <f t="shared" si="181"/>
        <v>0</v>
      </c>
      <c r="R335" s="510">
        <f t="shared" si="182"/>
        <v>0</v>
      </c>
    </row>
    <row r="336" spans="1:18">
      <c r="A336" s="505"/>
      <c r="B336" s="511"/>
      <c r="C336" s="507">
        <v>8</v>
      </c>
      <c r="D336" s="508">
        <v>150</v>
      </c>
      <c r="E336" s="507">
        <v>1</v>
      </c>
      <c r="F336" s="502">
        <v>1</v>
      </c>
      <c r="G336" s="502">
        <f>+ROUND(2.275/0.15+1,0)</f>
        <v>16</v>
      </c>
      <c r="H336" s="602"/>
      <c r="I336" s="602">
        <f>2*(0.15+0.4)+16*C336/1000</f>
        <v>1.2280000000000002</v>
      </c>
      <c r="J336" s="235"/>
      <c r="K336" s="509"/>
      <c r="L336" s="510">
        <f t="shared" si="189"/>
        <v>1.2280000000000002</v>
      </c>
      <c r="M336" s="510">
        <f t="shared" si="177"/>
        <v>19.649999999999999</v>
      </c>
      <c r="N336" s="510">
        <f t="shared" si="178"/>
        <v>0</v>
      </c>
      <c r="O336" s="510">
        <f t="shared" si="179"/>
        <v>0</v>
      </c>
      <c r="P336" s="510">
        <f t="shared" si="180"/>
        <v>0</v>
      </c>
      <c r="Q336" s="510">
        <f t="shared" si="181"/>
        <v>0</v>
      </c>
      <c r="R336" s="510">
        <f t="shared" si="182"/>
        <v>0</v>
      </c>
    </row>
    <row r="337" spans="1:18">
      <c r="A337" s="505" t="s">
        <v>1067</v>
      </c>
      <c r="B337" s="520" t="s">
        <v>1125</v>
      </c>
      <c r="C337" s="507"/>
      <c r="D337" s="508"/>
      <c r="E337" s="507"/>
      <c r="F337" s="502"/>
      <c r="G337" s="502"/>
      <c r="H337" s="602"/>
      <c r="I337" s="602"/>
      <c r="J337" s="235"/>
      <c r="K337" s="509"/>
      <c r="L337" s="510">
        <f t="shared" ref="L337" si="190">SUM(H337:J337)+K337</f>
        <v>0</v>
      </c>
      <c r="M337" s="510">
        <f t="shared" si="177"/>
        <v>0</v>
      </c>
      <c r="N337" s="510">
        <f t="shared" si="178"/>
        <v>0</v>
      </c>
      <c r="O337" s="510">
        <f t="shared" si="179"/>
        <v>0</v>
      </c>
      <c r="P337" s="510">
        <f t="shared" si="180"/>
        <v>0</v>
      </c>
      <c r="Q337" s="510">
        <f t="shared" si="181"/>
        <v>0</v>
      </c>
      <c r="R337" s="510">
        <f t="shared" si="182"/>
        <v>0</v>
      </c>
    </row>
    <row r="338" spans="1:18">
      <c r="A338" s="505"/>
      <c r="B338" s="511" t="s">
        <v>740</v>
      </c>
      <c r="C338" s="507">
        <v>16</v>
      </c>
      <c r="D338" s="508"/>
      <c r="E338" s="507">
        <v>1</v>
      </c>
      <c r="F338" s="502">
        <v>1</v>
      </c>
      <c r="G338" s="502">
        <v>2</v>
      </c>
      <c r="H338" s="602">
        <f>0.58+8*$C338/1000</f>
        <v>0.70799999999999996</v>
      </c>
      <c r="I338" s="602">
        <v>3.05</v>
      </c>
      <c r="J338" s="602">
        <f>0.58+8*$C338/1000</f>
        <v>0.70799999999999996</v>
      </c>
      <c r="K338" s="509"/>
      <c r="L338" s="510">
        <f>SUM(H338:J338)+K338</f>
        <v>4.4660000000000002</v>
      </c>
      <c r="M338" s="510">
        <f t="shared" si="177"/>
        <v>0</v>
      </c>
      <c r="N338" s="510">
        <f t="shared" si="178"/>
        <v>0</v>
      </c>
      <c r="O338" s="510">
        <f t="shared" si="179"/>
        <v>0</v>
      </c>
      <c r="P338" s="510">
        <f t="shared" si="180"/>
        <v>8.93</v>
      </c>
      <c r="Q338" s="510">
        <f t="shared" si="181"/>
        <v>0</v>
      </c>
      <c r="R338" s="510">
        <f t="shared" si="182"/>
        <v>0</v>
      </c>
    </row>
    <row r="339" spans="1:18">
      <c r="A339" s="505"/>
      <c r="B339" s="511" t="s">
        <v>773</v>
      </c>
      <c r="C339" s="507">
        <v>16</v>
      </c>
      <c r="D339" s="508"/>
      <c r="E339" s="507">
        <v>1</v>
      </c>
      <c r="F339" s="502">
        <v>1</v>
      </c>
      <c r="G339" s="502">
        <v>2</v>
      </c>
      <c r="H339" s="602">
        <f>0.58+8*$C339/1000</f>
        <v>0.70799999999999996</v>
      </c>
      <c r="I339" s="602">
        <v>3.05</v>
      </c>
      <c r="J339" s="602">
        <f>0.58+8*$C339/1000</f>
        <v>0.70799999999999996</v>
      </c>
      <c r="K339" s="509"/>
      <c r="L339" s="510">
        <f>SUM(H339:J339)+K339</f>
        <v>4.4660000000000002</v>
      </c>
      <c r="M339" s="510">
        <f t="shared" si="177"/>
        <v>0</v>
      </c>
      <c r="N339" s="510">
        <f t="shared" si="178"/>
        <v>0</v>
      </c>
      <c r="O339" s="510">
        <f t="shared" si="179"/>
        <v>0</v>
      </c>
      <c r="P339" s="510">
        <f t="shared" si="180"/>
        <v>8.93</v>
      </c>
      <c r="Q339" s="510">
        <f t="shared" si="181"/>
        <v>0</v>
      </c>
      <c r="R339" s="510">
        <f t="shared" si="182"/>
        <v>0</v>
      </c>
    </row>
    <row r="340" spans="1:18">
      <c r="A340" s="505"/>
      <c r="B340" s="511" t="s">
        <v>1079</v>
      </c>
      <c r="C340" s="507">
        <v>8</v>
      </c>
      <c r="D340" s="508">
        <v>100</v>
      </c>
      <c r="E340" s="507">
        <v>1</v>
      </c>
      <c r="F340" s="502">
        <v>1</v>
      </c>
      <c r="G340" s="502">
        <f>+ROUND(2/0.1,0)</f>
        <v>20</v>
      </c>
      <c r="H340" s="602"/>
      <c r="I340" s="602">
        <f>2*(0.15+0.45)+16*C340/1000</f>
        <v>1.3279999999999998</v>
      </c>
      <c r="J340" s="235"/>
      <c r="K340" s="589"/>
      <c r="L340" s="510">
        <f t="shared" ref="L340:L341" si="191">SUM(H340:J340)+K340</f>
        <v>1.3279999999999998</v>
      </c>
      <c r="M340" s="510">
        <f t="shared" si="177"/>
        <v>26.56</v>
      </c>
      <c r="N340" s="510">
        <f t="shared" si="178"/>
        <v>0</v>
      </c>
      <c r="O340" s="510">
        <f t="shared" si="179"/>
        <v>0</v>
      </c>
      <c r="P340" s="510">
        <f t="shared" si="180"/>
        <v>0</v>
      </c>
      <c r="Q340" s="510">
        <f t="shared" si="181"/>
        <v>0</v>
      </c>
      <c r="R340" s="510">
        <f t="shared" si="182"/>
        <v>0</v>
      </c>
    </row>
    <row r="341" spans="1:18">
      <c r="A341" s="505"/>
      <c r="B341" s="511"/>
      <c r="C341" s="507">
        <v>8</v>
      </c>
      <c r="D341" s="508">
        <v>150</v>
      </c>
      <c r="E341" s="507">
        <v>1</v>
      </c>
      <c r="F341" s="502">
        <v>1</v>
      </c>
      <c r="G341" s="502">
        <f>+ROUND(1.05/0.15+1,0)</f>
        <v>8</v>
      </c>
      <c r="H341" s="602"/>
      <c r="I341" s="602">
        <f>2*(0.15+0.45)+16*C341/1000</f>
        <v>1.3279999999999998</v>
      </c>
      <c r="J341" s="235"/>
      <c r="K341" s="589"/>
      <c r="L341" s="510">
        <f t="shared" si="191"/>
        <v>1.3279999999999998</v>
      </c>
      <c r="M341" s="510">
        <f t="shared" si="177"/>
        <v>10.62</v>
      </c>
      <c r="N341" s="510">
        <f t="shared" si="178"/>
        <v>0</v>
      </c>
      <c r="O341" s="510">
        <f t="shared" si="179"/>
        <v>0</v>
      </c>
      <c r="P341" s="510">
        <f t="shared" si="180"/>
        <v>0</v>
      </c>
      <c r="Q341" s="510">
        <f t="shared" si="181"/>
        <v>0</v>
      </c>
      <c r="R341" s="510">
        <f t="shared" si="182"/>
        <v>0</v>
      </c>
    </row>
    <row r="342" spans="1:18">
      <c r="A342" s="505"/>
      <c r="B342" s="511"/>
      <c r="C342" s="507"/>
      <c r="D342" s="508"/>
      <c r="E342" s="507"/>
      <c r="F342" s="502"/>
      <c r="G342" s="502"/>
      <c r="H342" s="602"/>
      <c r="I342" s="602"/>
      <c r="J342" s="235"/>
      <c r="K342" s="589"/>
      <c r="L342" s="510"/>
      <c r="M342" s="510"/>
      <c r="N342" s="510"/>
      <c r="O342" s="510"/>
      <c r="P342" s="510"/>
      <c r="Q342" s="510"/>
      <c r="R342" s="510"/>
    </row>
    <row r="343" spans="1:18">
      <c r="A343" s="505" t="s">
        <v>772</v>
      </c>
      <c r="B343" s="520" t="s">
        <v>1126</v>
      </c>
      <c r="C343" s="507"/>
      <c r="D343" s="508"/>
      <c r="E343" s="507"/>
      <c r="F343" s="502"/>
      <c r="G343" s="502"/>
      <c r="H343" s="602"/>
      <c r="I343" s="602"/>
      <c r="J343" s="235"/>
      <c r="K343" s="509"/>
      <c r="L343" s="510">
        <f t="shared" ref="L343" si="192">SUM(H343:J343)+K343</f>
        <v>0</v>
      </c>
      <c r="M343" s="510">
        <f t="shared" ref="M343:M346" si="193">+ROUND(IF(C343=8,PRODUCT(E343,F343,G343,L343),0),2)</f>
        <v>0</v>
      </c>
      <c r="N343" s="510">
        <f t="shared" ref="N343:N346" si="194">+ROUND(IF(C343=10,PRODUCT(E343,F343,G343,L343),0),2)</f>
        <v>0</v>
      </c>
      <c r="O343" s="510">
        <f t="shared" ref="O343:O346" si="195">+ROUND(IF(C343=12,PRODUCT(E343,F343,G343,L343),0),2)</f>
        <v>0</v>
      </c>
      <c r="P343" s="510">
        <f t="shared" ref="P343:P346" si="196">+ROUND(IF(C343=16,PRODUCT(E343,F343,G343,L343),0),2)</f>
        <v>0</v>
      </c>
      <c r="Q343" s="510">
        <f t="shared" ref="Q343:Q346" si="197">+ROUND(IF(C343=20,PRODUCT(E343,F343,G343,L343),0),2)</f>
        <v>0</v>
      </c>
      <c r="R343" s="510">
        <f t="shared" ref="R343:R346" si="198">+ROUND(IF(C343=25,PRODUCT(E343,F343,G343,L343),0),2)</f>
        <v>0</v>
      </c>
    </row>
    <row r="344" spans="1:18">
      <c r="A344" s="505"/>
      <c r="B344" s="511" t="s">
        <v>740</v>
      </c>
      <c r="C344" s="507">
        <v>16</v>
      </c>
      <c r="D344" s="508"/>
      <c r="E344" s="507">
        <v>1</v>
      </c>
      <c r="F344" s="502">
        <v>1</v>
      </c>
      <c r="G344" s="502">
        <v>2</v>
      </c>
      <c r="H344" s="602">
        <f>0.58+8*$C344/1000</f>
        <v>0.70799999999999996</v>
      </c>
      <c r="I344" s="602">
        <v>2.5150000000000001</v>
      </c>
      <c r="J344" s="602">
        <f>((0.79)/3)+0.1</f>
        <v>0.3633333333333334</v>
      </c>
      <c r="K344" s="509"/>
      <c r="L344" s="510">
        <f>SUM(H344:J344)+K344</f>
        <v>3.5863333333333332</v>
      </c>
      <c r="M344" s="510">
        <f t="shared" si="193"/>
        <v>0</v>
      </c>
      <c r="N344" s="510">
        <f t="shared" si="194"/>
        <v>0</v>
      </c>
      <c r="O344" s="510">
        <f t="shared" si="195"/>
        <v>0</v>
      </c>
      <c r="P344" s="510">
        <f t="shared" si="196"/>
        <v>7.17</v>
      </c>
      <c r="Q344" s="510">
        <f t="shared" si="197"/>
        <v>0</v>
      </c>
      <c r="R344" s="510">
        <f t="shared" si="198"/>
        <v>0</v>
      </c>
    </row>
    <row r="345" spans="1:18">
      <c r="A345" s="505"/>
      <c r="B345" s="511" t="s">
        <v>773</v>
      </c>
      <c r="C345" s="507">
        <v>16</v>
      </c>
      <c r="D345" s="508"/>
      <c r="E345" s="507">
        <v>1</v>
      </c>
      <c r="F345" s="502">
        <v>1</v>
      </c>
      <c r="G345" s="502">
        <v>2</v>
      </c>
      <c r="H345" s="602">
        <f>0.58+8*$C345/1000</f>
        <v>0.70799999999999996</v>
      </c>
      <c r="I345" s="602">
        <v>2.5150000000000001</v>
      </c>
      <c r="J345" s="602">
        <f>((0.79)/3)+0.1</f>
        <v>0.3633333333333334</v>
      </c>
      <c r="K345" s="509"/>
      <c r="L345" s="510">
        <f>SUM(H345:J345)+K345</f>
        <v>3.5863333333333332</v>
      </c>
      <c r="M345" s="510">
        <f t="shared" si="193"/>
        <v>0</v>
      </c>
      <c r="N345" s="510">
        <f t="shared" si="194"/>
        <v>0</v>
      </c>
      <c r="O345" s="510">
        <f t="shared" si="195"/>
        <v>0</v>
      </c>
      <c r="P345" s="510">
        <f t="shared" si="196"/>
        <v>7.17</v>
      </c>
      <c r="Q345" s="510">
        <f t="shared" si="197"/>
        <v>0</v>
      </c>
      <c r="R345" s="510">
        <f t="shared" si="198"/>
        <v>0</v>
      </c>
    </row>
    <row r="346" spans="1:18">
      <c r="A346" s="505"/>
      <c r="B346" s="511" t="s">
        <v>777</v>
      </c>
      <c r="C346" s="507">
        <v>8</v>
      </c>
      <c r="D346" s="508">
        <v>100</v>
      </c>
      <c r="E346" s="507">
        <v>1</v>
      </c>
      <c r="F346" s="502">
        <v>1</v>
      </c>
      <c r="G346" s="502">
        <f>+ROUND(2.515/0.1,0)</f>
        <v>25</v>
      </c>
      <c r="H346" s="602"/>
      <c r="I346" s="602">
        <f>2*(0.15+0.4)+16*C346/1000</f>
        <v>1.2280000000000002</v>
      </c>
      <c r="J346" s="235"/>
      <c r="K346" s="589"/>
      <c r="L346" s="510">
        <f t="shared" ref="L346" si="199">SUM(H346:J346)+K346</f>
        <v>1.2280000000000002</v>
      </c>
      <c r="M346" s="510">
        <f t="shared" si="193"/>
        <v>30.7</v>
      </c>
      <c r="N346" s="510">
        <f t="shared" si="194"/>
        <v>0</v>
      </c>
      <c r="O346" s="510">
        <f t="shared" si="195"/>
        <v>0</v>
      </c>
      <c r="P346" s="510">
        <f t="shared" si="196"/>
        <v>0</v>
      </c>
      <c r="Q346" s="510">
        <f t="shared" si="197"/>
        <v>0</v>
      </c>
      <c r="R346" s="510">
        <f t="shared" si="198"/>
        <v>0</v>
      </c>
    </row>
    <row r="347" spans="1:18">
      <c r="A347" s="505"/>
      <c r="B347" s="511"/>
      <c r="C347" s="507"/>
      <c r="D347" s="508"/>
      <c r="E347" s="507"/>
      <c r="F347" s="502"/>
      <c r="G347" s="502"/>
      <c r="H347" s="602"/>
      <c r="I347" s="602"/>
      <c r="J347" s="235"/>
      <c r="K347" s="589"/>
      <c r="L347" s="510"/>
      <c r="M347" s="510"/>
      <c r="N347" s="510"/>
      <c r="O347" s="510"/>
      <c r="P347" s="510"/>
      <c r="Q347" s="510"/>
      <c r="R347" s="510"/>
    </row>
    <row r="348" spans="1:18">
      <c r="A348" s="505" t="s">
        <v>779</v>
      </c>
      <c r="B348" s="520" t="s">
        <v>1127</v>
      </c>
      <c r="C348" s="507"/>
      <c r="D348" s="508"/>
      <c r="E348" s="507"/>
      <c r="F348" s="502"/>
      <c r="G348" s="502"/>
      <c r="H348" s="602"/>
      <c r="I348" s="602"/>
      <c r="J348" s="235"/>
      <c r="K348" s="509"/>
      <c r="L348" s="510">
        <f t="shared" ref="L348" si="200">SUM(H348:J348)+K348</f>
        <v>0</v>
      </c>
      <c r="M348" s="510">
        <f t="shared" ref="M348:M352" si="201">+ROUND(IF(C348=8,PRODUCT(E348,F348,G348,L348),0),2)</f>
        <v>0</v>
      </c>
      <c r="N348" s="510">
        <f t="shared" ref="N348:N352" si="202">+ROUND(IF(C348=10,PRODUCT(E348,F348,G348,L348),0),2)</f>
        <v>0</v>
      </c>
      <c r="O348" s="510">
        <f t="shared" ref="O348:O352" si="203">+ROUND(IF(C348=12,PRODUCT(E348,F348,G348,L348),0),2)</f>
        <v>0</v>
      </c>
      <c r="P348" s="510">
        <f t="shared" ref="P348:P352" si="204">+ROUND(IF(C348=16,PRODUCT(E348,F348,G348,L348),0),2)</f>
        <v>0</v>
      </c>
      <c r="Q348" s="510">
        <f t="shared" ref="Q348:Q352" si="205">+ROUND(IF(C348=20,PRODUCT(E348,F348,G348,L348),0),2)</f>
        <v>0</v>
      </c>
      <c r="R348" s="510">
        <f t="shared" ref="R348:R352" si="206">+ROUND(IF(C348=25,PRODUCT(E348,F348,G348,L348),0),2)</f>
        <v>0</v>
      </c>
    </row>
    <row r="349" spans="1:18">
      <c r="A349" s="505"/>
      <c r="B349" s="511" t="s">
        <v>740</v>
      </c>
      <c r="C349" s="507">
        <v>16</v>
      </c>
      <c r="D349" s="508"/>
      <c r="E349" s="507">
        <v>1</v>
      </c>
      <c r="F349" s="502">
        <v>1</v>
      </c>
      <c r="G349" s="502">
        <v>2</v>
      </c>
      <c r="H349" s="602">
        <f>0.58+8*$C349/1000</f>
        <v>0.70799999999999996</v>
      </c>
      <c r="I349" s="602">
        <v>3.1150000000000002</v>
      </c>
      <c r="J349" s="602">
        <f>((0.79)/3)+0.1</f>
        <v>0.3633333333333334</v>
      </c>
      <c r="K349" s="509"/>
      <c r="L349" s="510">
        <f>SUM(H349:J349)+K349</f>
        <v>4.1863333333333337</v>
      </c>
      <c r="M349" s="510">
        <f t="shared" si="201"/>
        <v>0</v>
      </c>
      <c r="N349" s="510">
        <f t="shared" si="202"/>
        <v>0</v>
      </c>
      <c r="O349" s="510">
        <f t="shared" si="203"/>
        <v>0</v>
      </c>
      <c r="P349" s="510">
        <f t="shared" si="204"/>
        <v>8.3699999999999992</v>
      </c>
      <c r="Q349" s="510">
        <f t="shared" si="205"/>
        <v>0</v>
      </c>
      <c r="R349" s="510">
        <f t="shared" si="206"/>
        <v>0</v>
      </c>
    </row>
    <row r="350" spans="1:18">
      <c r="A350" s="505"/>
      <c r="B350" s="511" t="s">
        <v>773</v>
      </c>
      <c r="C350" s="507">
        <v>16</v>
      </c>
      <c r="D350" s="508"/>
      <c r="E350" s="507">
        <v>1</v>
      </c>
      <c r="F350" s="502">
        <v>1</v>
      </c>
      <c r="G350" s="502">
        <v>2</v>
      </c>
      <c r="H350" s="602">
        <f>0.58+8*$C350/1000</f>
        <v>0.70799999999999996</v>
      </c>
      <c r="I350" s="602">
        <v>3.1150000000000002</v>
      </c>
      <c r="J350" s="602">
        <f>((0.79)/3)+0.1</f>
        <v>0.3633333333333334</v>
      </c>
      <c r="K350" s="509"/>
      <c r="L350" s="510">
        <f>SUM(H350:J350)+K350</f>
        <v>4.1863333333333337</v>
      </c>
      <c r="M350" s="510">
        <f t="shared" si="201"/>
        <v>0</v>
      </c>
      <c r="N350" s="510">
        <f t="shared" si="202"/>
        <v>0</v>
      </c>
      <c r="O350" s="510">
        <f t="shared" si="203"/>
        <v>0</v>
      </c>
      <c r="P350" s="510">
        <f t="shared" si="204"/>
        <v>8.3699999999999992</v>
      </c>
      <c r="Q350" s="510">
        <f t="shared" si="205"/>
        <v>0</v>
      </c>
      <c r="R350" s="510">
        <f t="shared" si="206"/>
        <v>0</v>
      </c>
    </row>
    <row r="351" spans="1:18">
      <c r="A351" s="505"/>
      <c r="B351" s="511" t="s">
        <v>781</v>
      </c>
      <c r="C351" s="507">
        <v>8</v>
      </c>
      <c r="D351" s="508">
        <v>100</v>
      </c>
      <c r="E351" s="507">
        <v>1</v>
      </c>
      <c r="F351" s="502">
        <v>1</v>
      </c>
      <c r="G351" s="502">
        <f>+ROUND(1.8/0.1+1,0)</f>
        <v>19</v>
      </c>
      <c r="H351" s="602"/>
      <c r="I351" s="602">
        <f>2*(0.18+0.4)+16*C351/1000</f>
        <v>1.2880000000000003</v>
      </c>
      <c r="J351" s="235"/>
      <c r="K351" s="589"/>
      <c r="L351" s="510">
        <f t="shared" ref="L351:L352" si="207">SUM(H351:J351)+K351</f>
        <v>1.2880000000000003</v>
      </c>
      <c r="M351" s="510">
        <f t="shared" si="201"/>
        <v>24.47</v>
      </c>
      <c r="N351" s="510">
        <f t="shared" si="202"/>
        <v>0</v>
      </c>
      <c r="O351" s="510">
        <f t="shared" si="203"/>
        <v>0</v>
      </c>
      <c r="P351" s="510">
        <f t="shared" si="204"/>
        <v>0</v>
      </c>
      <c r="Q351" s="510">
        <f t="shared" si="205"/>
        <v>0</v>
      </c>
      <c r="R351" s="510">
        <f t="shared" si="206"/>
        <v>0</v>
      </c>
    </row>
    <row r="352" spans="1:18">
      <c r="A352" s="505"/>
      <c r="B352" s="511"/>
      <c r="C352" s="507">
        <v>8</v>
      </c>
      <c r="D352" s="508">
        <v>150</v>
      </c>
      <c r="E352" s="507">
        <v>1</v>
      </c>
      <c r="F352" s="502">
        <v>1</v>
      </c>
      <c r="G352" s="502">
        <f>+ROUND(1.315/0.15+1,0)</f>
        <v>10</v>
      </c>
      <c r="H352" s="602"/>
      <c r="I352" s="602">
        <f>2*(0.18+0.4)+16*C352/1000</f>
        <v>1.2880000000000003</v>
      </c>
      <c r="J352" s="235"/>
      <c r="K352" s="589"/>
      <c r="L352" s="510">
        <f t="shared" si="207"/>
        <v>1.2880000000000003</v>
      </c>
      <c r="M352" s="510">
        <f t="shared" si="201"/>
        <v>12.88</v>
      </c>
      <c r="N352" s="510">
        <f t="shared" si="202"/>
        <v>0</v>
      </c>
      <c r="O352" s="510">
        <f t="shared" si="203"/>
        <v>0</v>
      </c>
      <c r="P352" s="510">
        <f t="shared" si="204"/>
        <v>0</v>
      </c>
      <c r="Q352" s="510">
        <f t="shared" si="205"/>
        <v>0</v>
      </c>
      <c r="R352" s="510">
        <f t="shared" si="206"/>
        <v>0</v>
      </c>
    </row>
    <row r="353" spans="1:18">
      <c r="A353" s="505"/>
      <c r="B353" s="511"/>
      <c r="C353" s="507"/>
      <c r="D353" s="508"/>
      <c r="E353" s="507"/>
      <c r="F353" s="502"/>
      <c r="G353" s="502"/>
      <c r="H353" s="602"/>
      <c r="I353" s="602"/>
      <c r="J353" s="235"/>
      <c r="K353" s="589"/>
      <c r="L353" s="510"/>
      <c r="M353" s="510"/>
      <c r="N353" s="510"/>
      <c r="O353" s="510"/>
      <c r="P353" s="510"/>
      <c r="Q353" s="510"/>
      <c r="R353" s="510"/>
    </row>
    <row r="354" spans="1:18">
      <c r="A354" s="505" t="s">
        <v>1072</v>
      </c>
      <c r="B354" s="520" t="s">
        <v>1128</v>
      </c>
      <c r="C354" s="507"/>
      <c r="D354" s="508"/>
      <c r="E354" s="507"/>
      <c r="F354" s="502"/>
      <c r="G354" s="502"/>
      <c r="H354" s="602"/>
      <c r="I354" s="602"/>
      <c r="J354" s="235"/>
      <c r="K354" s="509"/>
      <c r="L354" s="510">
        <f t="shared" ref="L354" si="208">SUM(H354:J354)+K354</f>
        <v>0</v>
      </c>
      <c r="M354" s="510">
        <f t="shared" ref="M354:M367" si="209">+ROUND(IF(C354=8,PRODUCT(E354,F354,G354,L354),0),2)</f>
        <v>0</v>
      </c>
      <c r="N354" s="510">
        <f t="shared" ref="N354:N367" si="210">+ROUND(IF(C354=10,PRODUCT(E354,F354,G354,L354),0),2)</f>
        <v>0</v>
      </c>
      <c r="O354" s="510">
        <f t="shared" ref="O354:O367" si="211">+ROUND(IF(C354=12,PRODUCT(E354,F354,G354,L354),0),2)</f>
        <v>0</v>
      </c>
      <c r="P354" s="510">
        <f t="shared" ref="P354:P367" si="212">+ROUND(IF(C354=16,PRODUCT(E354,F354,G354,L354),0),2)</f>
        <v>0</v>
      </c>
      <c r="Q354" s="510">
        <f t="shared" ref="Q354:Q367" si="213">+ROUND(IF(C354=20,PRODUCT(E354,F354,G354,L354),0),2)</f>
        <v>0</v>
      </c>
      <c r="R354" s="510">
        <f t="shared" ref="R354:R367" si="214">+ROUND(IF(C354=25,PRODUCT(E354,F354,G354,L354),0),2)</f>
        <v>0</v>
      </c>
    </row>
    <row r="355" spans="1:18">
      <c r="A355" s="505"/>
      <c r="B355" s="511" t="s">
        <v>740</v>
      </c>
      <c r="C355" s="507">
        <v>12</v>
      </c>
      <c r="D355" s="508"/>
      <c r="E355" s="507">
        <v>1</v>
      </c>
      <c r="F355" s="502">
        <v>1</v>
      </c>
      <c r="G355" s="502">
        <v>2</v>
      </c>
      <c r="H355" s="602">
        <f>((0.59)/3)+0.1</f>
        <v>0.29666666666666663</v>
      </c>
      <c r="I355" s="602">
        <v>2.3450000000000002</v>
      </c>
      <c r="J355" s="602">
        <f>((0.59)/3)+0.1</f>
        <v>0.29666666666666663</v>
      </c>
      <c r="K355" s="509"/>
      <c r="L355" s="510">
        <f>SUM(H355:J355)+K355</f>
        <v>2.9383333333333335</v>
      </c>
      <c r="M355" s="510">
        <f t="shared" si="209"/>
        <v>0</v>
      </c>
      <c r="N355" s="510">
        <f t="shared" si="210"/>
        <v>0</v>
      </c>
      <c r="O355" s="510">
        <f t="shared" si="211"/>
        <v>5.88</v>
      </c>
      <c r="P355" s="510">
        <f t="shared" si="212"/>
        <v>0</v>
      </c>
      <c r="Q355" s="510">
        <f t="shared" si="213"/>
        <v>0</v>
      </c>
      <c r="R355" s="510">
        <f t="shared" si="214"/>
        <v>0</v>
      </c>
    </row>
    <row r="356" spans="1:18">
      <c r="A356" s="505"/>
      <c r="B356" s="511" t="s">
        <v>773</v>
      </c>
      <c r="C356" s="507">
        <v>12</v>
      </c>
      <c r="D356" s="508"/>
      <c r="E356" s="507">
        <v>1</v>
      </c>
      <c r="F356" s="502">
        <v>1</v>
      </c>
      <c r="G356" s="502">
        <v>2</v>
      </c>
      <c r="H356" s="602">
        <f>((0.59)/3)+0.1</f>
        <v>0.29666666666666663</v>
      </c>
      <c r="I356" s="602">
        <v>2.3450000000000002</v>
      </c>
      <c r="J356" s="602">
        <f>((0.59)/3)+0.1</f>
        <v>0.29666666666666663</v>
      </c>
      <c r="K356" s="509"/>
      <c r="L356" s="510">
        <f>SUM(H356:J356)+K356</f>
        <v>2.9383333333333335</v>
      </c>
      <c r="M356" s="510">
        <f t="shared" si="209"/>
        <v>0</v>
      </c>
      <c r="N356" s="510">
        <f t="shared" si="210"/>
        <v>0</v>
      </c>
      <c r="O356" s="510">
        <f t="shared" si="211"/>
        <v>5.88</v>
      </c>
      <c r="P356" s="510">
        <f t="shared" si="212"/>
        <v>0</v>
      </c>
      <c r="Q356" s="510">
        <f t="shared" si="213"/>
        <v>0</v>
      </c>
      <c r="R356" s="510">
        <f t="shared" si="214"/>
        <v>0</v>
      </c>
    </row>
    <row r="357" spans="1:18">
      <c r="A357" s="505"/>
      <c r="B357" s="511" t="s">
        <v>1080</v>
      </c>
      <c r="C357" s="507">
        <v>10</v>
      </c>
      <c r="D357" s="508">
        <v>100</v>
      </c>
      <c r="E357" s="507">
        <v>1</v>
      </c>
      <c r="F357" s="502">
        <v>1</v>
      </c>
      <c r="G357" s="502">
        <f>+ROUND(2.345/0.1+1,0)</f>
        <v>24</v>
      </c>
      <c r="H357" s="602"/>
      <c r="I357" s="602">
        <f>2*(0.15+0.3)+16*C357/1000</f>
        <v>1.0599999999999998</v>
      </c>
      <c r="J357" s="235"/>
      <c r="K357" s="589"/>
      <c r="L357" s="510">
        <f t="shared" ref="L357" si="215">SUM(H357:J357)+K357</f>
        <v>1.0599999999999998</v>
      </c>
      <c r="M357" s="510">
        <f t="shared" si="209"/>
        <v>0</v>
      </c>
      <c r="N357" s="510">
        <f t="shared" si="210"/>
        <v>25.44</v>
      </c>
      <c r="O357" s="510">
        <f t="shared" si="211"/>
        <v>0</v>
      </c>
      <c r="P357" s="510">
        <f t="shared" si="212"/>
        <v>0</v>
      </c>
      <c r="Q357" s="510">
        <f t="shared" si="213"/>
        <v>0</v>
      </c>
      <c r="R357" s="510">
        <f t="shared" si="214"/>
        <v>0</v>
      </c>
    </row>
    <row r="358" spans="1:18">
      <c r="A358" s="505"/>
      <c r="B358" s="511"/>
      <c r="C358" s="507"/>
      <c r="D358" s="508"/>
      <c r="E358" s="507"/>
      <c r="F358" s="502"/>
      <c r="G358" s="502"/>
      <c r="H358" s="602"/>
      <c r="I358" s="602"/>
      <c r="J358" s="235"/>
      <c r="K358" s="589"/>
      <c r="L358" s="510"/>
      <c r="M358" s="510"/>
      <c r="N358" s="510"/>
      <c r="O358" s="510"/>
      <c r="P358" s="510"/>
      <c r="Q358" s="510"/>
      <c r="R358" s="510"/>
    </row>
    <row r="359" spans="1:18">
      <c r="A359" s="505" t="s">
        <v>1090</v>
      </c>
      <c r="B359" s="520" t="s">
        <v>1129</v>
      </c>
      <c r="C359" s="507"/>
      <c r="D359" s="508"/>
      <c r="E359" s="507"/>
      <c r="F359" s="502"/>
      <c r="G359" s="502"/>
      <c r="H359" s="602"/>
      <c r="I359" s="602"/>
      <c r="J359" s="235"/>
      <c r="K359" s="509"/>
      <c r="L359" s="510">
        <f t="shared" ref="L359" si="216">SUM(H359:J359)+K359</f>
        <v>0</v>
      </c>
      <c r="M359" s="510">
        <f t="shared" si="209"/>
        <v>0</v>
      </c>
      <c r="N359" s="510">
        <f t="shared" si="210"/>
        <v>0</v>
      </c>
      <c r="O359" s="510">
        <f t="shared" si="211"/>
        <v>0</v>
      </c>
      <c r="P359" s="510">
        <f t="shared" si="212"/>
        <v>0</v>
      </c>
      <c r="Q359" s="510">
        <f t="shared" si="213"/>
        <v>0</v>
      </c>
      <c r="R359" s="510">
        <f t="shared" si="214"/>
        <v>0</v>
      </c>
    </row>
    <row r="360" spans="1:18">
      <c r="A360" s="505"/>
      <c r="B360" s="511" t="s">
        <v>740</v>
      </c>
      <c r="C360" s="507">
        <v>16</v>
      </c>
      <c r="D360" s="508"/>
      <c r="E360" s="507">
        <v>1</v>
      </c>
      <c r="F360" s="502">
        <v>1</v>
      </c>
      <c r="G360" s="502">
        <v>2</v>
      </c>
      <c r="H360" s="602">
        <f>0.58+8*$C360/1000</f>
        <v>0.70799999999999996</v>
      </c>
      <c r="I360" s="602">
        <v>3.2</v>
      </c>
      <c r="J360" s="602">
        <f>0.58+8*$C360/1000</f>
        <v>0.70799999999999996</v>
      </c>
      <c r="K360" s="509"/>
      <c r="L360" s="510">
        <f>SUM(H360:J360)+K360</f>
        <v>4.6160000000000005</v>
      </c>
      <c r="M360" s="510">
        <f t="shared" si="209"/>
        <v>0</v>
      </c>
      <c r="N360" s="510">
        <f t="shared" si="210"/>
        <v>0</v>
      </c>
      <c r="O360" s="510">
        <f t="shared" si="211"/>
        <v>0</v>
      </c>
      <c r="P360" s="510">
        <f t="shared" si="212"/>
        <v>9.23</v>
      </c>
      <c r="Q360" s="510">
        <f t="shared" si="213"/>
        <v>0</v>
      </c>
      <c r="R360" s="510">
        <f t="shared" si="214"/>
        <v>0</v>
      </c>
    </row>
    <row r="361" spans="1:18">
      <c r="A361" s="505"/>
      <c r="B361" s="511" t="s">
        <v>773</v>
      </c>
      <c r="C361" s="507">
        <v>16</v>
      </c>
      <c r="D361" s="508"/>
      <c r="E361" s="507">
        <v>1</v>
      </c>
      <c r="F361" s="502">
        <v>1</v>
      </c>
      <c r="G361" s="502">
        <v>2</v>
      </c>
      <c r="H361" s="602">
        <f>0.58+8*$C361/1000</f>
        <v>0.70799999999999996</v>
      </c>
      <c r="I361" s="602">
        <v>3.2</v>
      </c>
      <c r="J361" s="602">
        <f>0.58+8*$C361/1000</f>
        <v>0.70799999999999996</v>
      </c>
      <c r="K361" s="509"/>
      <c r="L361" s="510">
        <f>SUM(H361:J361)+K361</f>
        <v>4.6160000000000005</v>
      </c>
      <c r="M361" s="510">
        <f t="shared" si="209"/>
        <v>0</v>
      </c>
      <c r="N361" s="510">
        <f t="shared" si="210"/>
        <v>0</v>
      </c>
      <c r="O361" s="510">
        <f t="shared" si="211"/>
        <v>0</v>
      </c>
      <c r="P361" s="510">
        <f t="shared" si="212"/>
        <v>9.23</v>
      </c>
      <c r="Q361" s="510">
        <f t="shared" si="213"/>
        <v>0</v>
      </c>
      <c r="R361" s="510">
        <f t="shared" si="214"/>
        <v>0</v>
      </c>
    </row>
    <row r="362" spans="1:18">
      <c r="A362" s="505"/>
      <c r="B362" s="511" t="s">
        <v>1110</v>
      </c>
      <c r="C362" s="507">
        <v>10</v>
      </c>
      <c r="D362" s="508">
        <v>100</v>
      </c>
      <c r="E362" s="507">
        <v>1</v>
      </c>
      <c r="F362" s="502">
        <v>1</v>
      </c>
      <c r="G362" s="502">
        <f>+ROUND(1.8/0.1,0)</f>
        <v>18</v>
      </c>
      <c r="H362" s="602"/>
      <c r="I362" s="602">
        <f>2*(0.18+0.45)+16*C362/1000</f>
        <v>1.42</v>
      </c>
      <c r="J362" s="235"/>
      <c r="K362" s="589"/>
      <c r="L362" s="510">
        <f t="shared" ref="L362:L363" si="217">SUM(H362:J362)+K362</f>
        <v>1.42</v>
      </c>
      <c r="M362" s="510">
        <f t="shared" si="209"/>
        <v>0</v>
      </c>
      <c r="N362" s="510">
        <f t="shared" si="210"/>
        <v>25.56</v>
      </c>
      <c r="O362" s="510">
        <f t="shared" si="211"/>
        <v>0</v>
      </c>
      <c r="P362" s="510">
        <f t="shared" si="212"/>
        <v>0</v>
      </c>
      <c r="Q362" s="510">
        <f t="shared" si="213"/>
        <v>0</v>
      </c>
      <c r="R362" s="510">
        <f t="shared" si="214"/>
        <v>0</v>
      </c>
    </row>
    <row r="363" spans="1:18">
      <c r="A363" s="505"/>
      <c r="B363" s="511"/>
      <c r="C363" s="507">
        <v>10</v>
      </c>
      <c r="D363" s="508">
        <v>150</v>
      </c>
      <c r="E363" s="507">
        <v>1</v>
      </c>
      <c r="F363" s="502">
        <v>1</v>
      </c>
      <c r="G363" s="502">
        <f>+ROUND(1.2/0.15+1,0)</f>
        <v>9</v>
      </c>
      <c r="H363" s="602"/>
      <c r="I363" s="602">
        <f>2*(0.18+0.45)+16*C363/1000</f>
        <v>1.42</v>
      </c>
      <c r="J363" s="235"/>
      <c r="K363" s="589"/>
      <c r="L363" s="510">
        <f t="shared" si="217"/>
        <v>1.42</v>
      </c>
      <c r="M363" s="510">
        <f t="shared" si="209"/>
        <v>0</v>
      </c>
      <c r="N363" s="510">
        <f t="shared" si="210"/>
        <v>12.78</v>
      </c>
      <c r="O363" s="510">
        <f t="shared" si="211"/>
        <v>0</v>
      </c>
      <c r="P363" s="510">
        <f t="shared" si="212"/>
        <v>0</v>
      </c>
      <c r="Q363" s="510">
        <f t="shared" si="213"/>
        <v>0</v>
      </c>
      <c r="R363" s="510">
        <f t="shared" si="214"/>
        <v>0</v>
      </c>
    </row>
    <row r="364" spans="1:18">
      <c r="A364" s="505" t="s">
        <v>779</v>
      </c>
      <c r="B364" s="520" t="s">
        <v>1130</v>
      </c>
      <c r="C364" s="507"/>
      <c r="D364" s="508"/>
      <c r="E364" s="507"/>
      <c r="F364" s="502"/>
      <c r="G364" s="502"/>
      <c r="H364" s="602"/>
      <c r="I364" s="602"/>
      <c r="J364" s="235"/>
      <c r="K364" s="509"/>
      <c r="L364" s="510">
        <f t="shared" ref="L364" si="218">SUM(H364:J364)+K364</f>
        <v>0</v>
      </c>
      <c r="M364" s="510">
        <f t="shared" si="209"/>
        <v>0</v>
      </c>
      <c r="N364" s="510">
        <f t="shared" si="210"/>
        <v>0</v>
      </c>
      <c r="O364" s="510">
        <f t="shared" si="211"/>
        <v>0</v>
      </c>
      <c r="P364" s="510">
        <f t="shared" si="212"/>
        <v>0</v>
      </c>
      <c r="Q364" s="510">
        <f t="shared" si="213"/>
        <v>0</v>
      </c>
      <c r="R364" s="510">
        <f t="shared" si="214"/>
        <v>0</v>
      </c>
    </row>
    <row r="365" spans="1:18">
      <c r="A365" s="505"/>
      <c r="B365" s="511" t="s">
        <v>740</v>
      </c>
      <c r="C365" s="507">
        <v>12</v>
      </c>
      <c r="D365" s="508"/>
      <c r="E365" s="507">
        <v>1</v>
      </c>
      <c r="F365" s="502">
        <v>1</v>
      </c>
      <c r="G365" s="502">
        <v>2</v>
      </c>
      <c r="H365" s="602">
        <f>((0.59)/3)+0.1</f>
        <v>0.29666666666666663</v>
      </c>
      <c r="I365" s="602">
        <v>0.35</v>
      </c>
      <c r="J365" s="602">
        <f>((0.59)/3)+0.1</f>
        <v>0.29666666666666663</v>
      </c>
      <c r="K365" s="509"/>
      <c r="L365" s="510">
        <f>SUM(H365:J365)+K365</f>
        <v>0.94333333333333325</v>
      </c>
      <c r="M365" s="510">
        <f t="shared" si="209"/>
        <v>0</v>
      </c>
      <c r="N365" s="510">
        <f t="shared" si="210"/>
        <v>0</v>
      </c>
      <c r="O365" s="510">
        <f t="shared" si="211"/>
        <v>1.89</v>
      </c>
      <c r="P365" s="510">
        <f t="shared" si="212"/>
        <v>0</v>
      </c>
      <c r="Q365" s="510">
        <f t="shared" si="213"/>
        <v>0</v>
      </c>
      <c r="R365" s="510">
        <f t="shared" si="214"/>
        <v>0</v>
      </c>
    </row>
    <row r="366" spans="1:18">
      <c r="A366" s="505"/>
      <c r="B366" s="511" t="s">
        <v>773</v>
      </c>
      <c r="C366" s="507">
        <v>12</v>
      </c>
      <c r="D366" s="508"/>
      <c r="E366" s="507">
        <v>1</v>
      </c>
      <c r="F366" s="502">
        <v>1</v>
      </c>
      <c r="G366" s="502">
        <v>2</v>
      </c>
      <c r="H366" s="602">
        <f>((0.59)/3)+0.1</f>
        <v>0.29666666666666663</v>
      </c>
      <c r="I366" s="602">
        <v>0.35</v>
      </c>
      <c r="J366" s="602">
        <f>((0.59)/3)+0.1</f>
        <v>0.29666666666666663</v>
      </c>
      <c r="K366" s="509"/>
      <c r="L366" s="510">
        <f>SUM(H366:J366)+K366</f>
        <v>0.94333333333333325</v>
      </c>
      <c r="M366" s="510">
        <f t="shared" si="209"/>
        <v>0</v>
      </c>
      <c r="N366" s="510">
        <f t="shared" si="210"/>
        <v>0</v>
      </c>
      <c r="O366" s="510">
        <f t="shared" si="211"/>
        <v>1.89</v>
      </c>
      <c r="P366" s="510">
        <f t="shared" si="212"/>
        <v>0</v>
      </c>
      <c r="Q366" s="510">
        <f t="shared" si="213"/>
        <v>0</v>
      </c>
      <c r="R366" s="510">
        <f t="shared" si="214"/>
        <v>0</v>
      </c>
    </row>
    <row r="367" spans="1:18">
      <c r="A367" s="505"/>
      <c r="B367" s="511" t="s">
        <v>781</v>
      </c>
      <c r="C367" s="507">
        <v>10</v>
      </c>
      <c r="D367" s="508">
        <v>100</v>
      </c>
      <c r="E367" s="507">
        <v>1</v>
      </c>
      <c r="F367" s="502">
        <v>1</v>
      </c>
      <c r="G367" s="502">
        <f>+ROUND(0.35/0.1+1,0)</f>
        <v>5</v>
      </c>
      <c r="H367" s="602"/>
      <c r="I367" s="602">
        <f>2*(0.18+0.4)+16*C367/1000</f>
        <v>1.32</v>
      </c>
      <c r="J367" s="235"/>
      <c r="K367" s="589"/>
      <c r="L367" s="510">
        <f t="shared" ref="L367" si="219">SUM(H367:J367)+K367</f>
        <v>1.32</v>
      </c>
      <c r="M367" s="510">
        <f t="shared" si="209"/>
        <v>0</v>
      </c>
      <c r="N367" s="510">
        <f t="shared" si="210"/>
        <v>6.6</v>
      </c>
      <c r="O367" s="510">
        <f t="shared" si="211"/>
        <v>0</v>
      </c>
      <c r="P367" s="510">
        <f t="shared" si="212"/>
        <v>0</v>
      </c>
      <c r="Q367" s="510">
        <f t="shared" si="213"/>
        <v>0</v>
      </c>
      <c r="R367" s="510">
        <f t="shared" si="214"/>
        <v>0</v>
      </c>
    </row>
    <row r="368" spans="1:18">
      <c r="A368" s="505"/>
      <c r="B368" s="511"/>
      <c r="C368" s="507"/>
      <c r="D368" s="508"/>
      <c r="E368" s="507"/>
      <c r="F368" s="502"/>
      <c r="G368" s="502"/>
      <c r="H368" s="602"/>
      <c r="I368" s="602"/>
      <c r="J368" s="235"/>
      <c r="K368" s="589"/>
      <c r="L368" s="510"/>
      <c r="M368" s="510"/>
      <c r="N368" s="510"/>
      <c r="O368" s="510"/>
      <c r="P368" s="510"/>
      <c r="Q368" s="510"/>
      <c r="R368" s="510"/>
    </row>
    <row r="369" spans="1:18">
      <c r="A369" s="505" t="s">
        <v>772</v>
      </c>
      <c r="B369" s="520" t="s">
        <v>1131</v>
      </c>
      <c r="C369" s="507"/>
      <c r="D369" s="508"/>
      <c r="E369" s="507"/>
      <c r="F369" s="502"/>
      <c r="G369" s="502"/>
      <c r="H369" s="602"/>
      <c r="I369" s="602"/>
      <c r="J369" s="235"/>
      <c r="K369" s="509"/>
      <c r="L369" s="510">
        <f t="shared" ref="L369" si="220">SUM(H369:J369)+K369</f>
        <v>0</v>
      </c>
      <c r="M369" s="510">
        <f t="shared" ref="M369:M374" si="221">+ROUND(IF(C369=8,PRODUCT(E369,F369,G369,L369),0),2)</f>
        <v>0</v>
      </c>
      <c r="N369" s="510">
        <f t="shared" ref="N369:N374" si="222">+ROUND(IF(C369=10,PRODUCT(E369,F369,G369,L369),0),2)</f>
        <v>0</v>
      </c>
      <c r="O369" s="510">
        <f t="shared" ref="O369:O374" si="223">+ROUND(IF(C369=12,PRODUCT(E369,F369,G369,L369),0),2)</f>
        <v>0</v>
      </c>
      <c r="P369" s="510">
        <f t="shared" ref="P369:P374" si="224">+ROUND(IF(C369=16,PRODUCT(E369,F369,G369,L369),0),2)</f>
        <v>0</v>
      </c>
      <c r="Q369" s="510">
        <f t="shared" ref="Q369:Q374" si="225">+ROUND(IF(C369=20,PRODUCT(E369,F369,G369,L369),0),2)</f>
        <v>0</v>
      </c>
      <c r="R369" s="510">
        <f t="shared" ref="R369:R374" si="226">+ROUND(IF(C369=25,PRODUCT(E369,F369,G369,L369),0),2)</f>
        <v>0</v>
      </c>
    </row>
    <row r="370" spans="1:18">
      <c r="A370" s="505"/>
      <c r="B370" s="511" t="s">
        <v>740</v>
      </c>
      <c r="C370" s="507">
        <v>16</v>
      </c>
      <c r="D370" s="508"/>
      <c r="E370" s="507">
        <v>1</v>
      </c>
      <c r="F370" s="502">
        <v>1</v>
      </c>
      <c r="G370" s="502">
        <v>2</v>
      </c>
      <c r="H370" s="602">
        <f>0.58+10*$C370/1000</f>
        <v>0.74</v>
      </c>
      <c r="I370" s="602">
        <v>2.36</v>
      </c>
      <c r="J370" s="602">
        <f>((0.79)/3)+0.1</f>
        <v>0.3633333333333334</v>
      </c>
      <c r="K370" s="509"/>
      <c r="L370" s="510">
        <f>SUM(H370:J370)+K370</f>
        <v>3.4633333333333329</v>
      </c>
      <c r="M370" s="510">
        <f t="shared" si="221"/>
        <v>0</v>
      </c>
      <c r="N370" s="510">
        <f t="shared" si="222"/>
        <v>0</v>
      </c>
      <c r="O370" s="510">
        <f t="shared" si="223"/>
        <v>0</v>
      </c>
      <c r="P370" s="510">
        <f t="shared" si="224"/>
        <v>6.93</v>
      </c>
      <c r="Q370" s="510">
        <f t="shared" si="225"/>
        <v>0</v>
      </c>
      <c r="R370" s="510">
        <f t="shared" si="226"/>
        <v>0</v>
      </c>
    </row>
    <row r="371" spans="1:18">
      <c r="A371" s="505"/>
      <c r="B371" s="511" t="s">
        <v>773</v>
      </c>
      <c r="C371" s="507">
        <v>16</v>
      </c>
      <c r="D371" s="508"/>
      <c r="E371" s="507">
        <v>1</v>
      </c>
      <c r="F371" s="502">
        <v>1</v>
      </c>
      <c r="G371" s="502">
        <v>2</v>
      </c>
      <c r="H371" s="602">
        <f>0.58+10*$C371/1000</f>
        <v>0.74</v>
      </c>
      <c r="I371" s="602">
        <v>2.36</v>
      </c>
      <c r="J371" s="602">
        <f>((0.79)/3)+0.1</f>
        <v>0.3633333333333334</v>
      </c>
      <c r="K371" s="509"/>
      <c r="L371" s="510">
        <f>SUM(H371:J371)+K371</f>
        <v>3.4633333333333329</v>
      </c>
      <c r="M371" s="510">
        <f t="shared" si="221"/>
        <v>0</v>
      </c>
      <c r="N371" s="510">
        <f t="shared" si="222"/>
        <v>0</v>
      </c>
      <c r="O371" s="510">
        <f t="shared" si="223"/>
        <v>0</v>
      </c>
      <c r="P371" s="510">
        <f t="shared" si="224"/>
        <v>6.93</v>
      </c>
      <c r="Q371" s="510">
        <f t="shared" si="225"/>
        <v>0</v>
      </c>
      <c r="R371" s="510">
        <f t="shared" si="226"/>
        <v>0</v>
      </c>
    </row>
    <row r="372" spans="1:18">
      <c r="A372" s="505"/>
      <c r="B372" s="511" t="s">
        <v>774</v>
      </c>
      <c r="C372" s="507">
        <v>12</v>
      </c>
      <c r="D372" s="508"/>
      <c r="E372" s="507">
        <v>1</v>
      </c>
      <c r="F372" s="502">
        <v>1</v>
      </c>
      <c r="G372" s="502">
        <v>2</v>
      </c>
      <c r="H372" s="602">
        <f>0.44+10*$C372/1000</f>
        <v>0.56000000000000005</v>
      </c>
      <c r="I372" s="602">
        <v>0.6</v>
      </c>
      <c r="J372" s="235"/>
      <c r="K372" s="509"/>
      <c r="L372" s="510">
        <f>SUM(H372:J372)+K372</f>
        <v>1.1600000000000001</v>
      </c>
      <c r="M372" s="510">
        <f t="shared" si="221"/>
        <v>0</v>
      </c>
      <c r="N372" s="510">
        <f t="shared" si="222"/>
        <v>0</v>
      </c>
      <c r="O372" s="510">
        <f t="shared" si="223"/>
        <v>2.3199999999999998</v>
      </c>
      <c r="P372" s="510">
        <f t="shared" si="224"/>
        <v>0</v>
      </c>
      <c r="Q372" s="510">
        <f t="shared" si="225"/>
        <v>0</v>
      </c>
      <c r="R372" s="510">
        <f t="shared" si="226"/>
        <v>0</v>
      </c>
    </row>
    <row r="373" spans="1:18">
      <c r="A373" s="505"/>
      <c r="B373" s="511" t="s">
        <v>777</v>
      </c>
      <c r="C373" s="507">
        <v>8</v>
      </c>
      <c r="D373" s="508">
        <v>100</v>
      </c>
      <c r="E373" s="507">
        <v>1</v>
      </c>
      <c r="F373" s="502">
        <v>1</v>
      </c>
      <c r="G373" s="502">
        <f>+ROUND(1.82/0.1,0)</f>
        <v>18</v>
      </c>
      <c r="H373" s="602"/>
      <c r="I373" s="602">
        <f>2*(0.15+0.4)+16*C373/1000</f>
        <v>1.2280000000000002</v>
      </c>
      <c r="J373" s="235"/>
      <c r="K373" s="589"/>
      <c r="L373" s="510">
        <f t="shared" ref="L373:L374" si="227">SUM(H373:J373)+K373</f>
        <v>1.2280000000000002</v>
      </c>
      <c r="M373" s="510">
        <f t="shared" si="221"/>
        <v>22.1</v>
      </c>
      <c r="N373" s="510">
        <f t="shared" si="222"/>
        <v>0</v>
      </c>
      <c r="O373" s="510">
        <f t="shared" si="223"/>
        <v>0</v>
      </c>
      <c r="P373" s="510">
        <f t="shared" si="224"/>
        <v>0</v>
      </c>
      <c r="Q373" s="510">
        <f t="shared" si="225"/>
        <v>0</v>
      </c>
      <c r="R373" s="510">
        <f t="shared" si="226"/>
        <v>0</v>
      </c>
    </row>
    <row r="374" spans="1:18">
      <c r="A374" s="505"/>
      <c r="B374" s="511"/>
      <c r="C374" s="507">
        <v>8</v>
      </c>
      <c r="D374" s="508">
        <v>100</v>
      </c>
      <c r="E374" s="507">
        <v>1</v>
      </c>
      <c r="F374" s="502">
        <v>1</v>
      </c>
      <c r="G374" s="502">
        <f>+ROUND(0.35/0.1+1,0)</f>
        <v>5</v>
      </c>
      <c r="H374" s="602"/>
      <c r="I374" s="602">
        <f>2*(0.15+0.4)+16*C374/1000</f>
        <v>1.2280000000000002</v>
      </c>
      <c r="J374" s="235"/>
      <c r="K374" s="589"/>
      <c r="L374" s="510">
        <f t="shared" si="227"/>
        <v>1.2280000000000002</v>
      </c>
      <c r="M374" s="510">
        <f t="shared" si="221"/>
        <v>6.14</v>
      </c>
      <c r="N374" s="510">
        <f t="shared" si="222"/>
        <v>0</v>
      </c>
      <c r="O374" s="510">
        <f t="shared" si="223"/>
        <v>0</v>
      </c>
      <c r="P374" s="510">
        <f t="shared" si="224"/>
        <v>0</v>
      </c>
      <c r="Q374" s="510">
        <f t="shared" si="225"/>
        <v>0</v>
      </c>
      <c r="R374" s="510">
        <f t="shared" si="226"/>
        <v>0</v>
      </c>
    </row>
    <row r="375" spans="1:18">
      <c r="A375" s="505"/>
      <c r="B375" s="511"/>
      <c r="C375" s="507"/>
      <c r="D375" s="508"/>
      <c r="E375" s="507"/>
      <c r="F375" s="502"/>
      <c r="G375" s="502"/>
      <c r="H375" s="602"/>
      <c r="I375" s="602"/>
      <c r="J375" s="235"/>
      <c r="K375" s="509"/>
      <c r="L375" s="510"/>
      <c r="M375" s="510"/>
      <c r="N375" s="510"/>
      <c r="O375" s="510"/>
      <c r="P375" s="510"/>
      <c r="Q375" s="510"/>
      <c r="R375" s="510"/>
    </row>
    <row r="376" spans="1:18">
      <c r="A376" s="505" t="s">
        <v>779</v>
      </c>
      <c r="B376" s="520" t="s">
        <v>1132</v>
      </c>
      <c r="C376" s="507"/>
      <c r="D376" s="508"/>
      <c r="E376" s="507"/>
      <c r="F376" s="502"/>
      <c r="G376" s="502"/>
      <c r="H376" s="602"/>
      <c r="I376" s="602"/>
      <c r="J376" s="235"/>
      <c r="K376" s="509"/>
      <c r="L376" s="510">
        <f t="shared" ref="L376" si="228">SUM(H376:J376)+K376</f>
        <v>0</v>
      </c>
      <c r="M376" s="510">
        <f t="shared" si="0"/>
        <v>0</v>
      </c>
      <c r="N376" s="510">
        <f t="shared" si="1"/>
        <v>0</v>
      </c>
      <c r="O376" s="510">
        <f t="shared" si="2"/>
        <v>0</v>
      </c>
      <c r="P376" s="510">
        <f t="shared" si="3"/>
        <v>0</v>
      </c>
      <c r="Q376" s="510">
        <f t="shared" si="4"/>
        <v>0</v>
      </c>
      <c r="R376" s="510">
        <f t="shared" si="5"/>
        <v>0</v>
      </c>
    </row>
    <row r="377" spans="1:18">
      <c r="A377" s="505"/>
      <c r="B377" s="511" t="s">
        <v>740</v>
      </c>
      <c r="C377" s="507">
        <v>16</v>
      </c>
      <c r="D377" s="508"/>
      <c r="E377" s="507">
        <v>1</v>
      </c>
      <c r="F377" s="502">
        <v>1</v>
      </c>
      <c r="G377" s="502">
        <v>2</v>
      </c>
      <c r="H377" s="602">
        <f>0.58+8*$C377/1000</f>
        <v>0.70799999999999996</v>
      </c>
      <c r="I377" s="602">
        <v>5.7750000000000004</v>
      </c>
      <c r="J377" s="602">
        <f>((0.79)/3)+0.1</f>
        <v>0.3633333333333334</v>
      </c>
      <c r="K377" s="509"/>
      <c r="L377" s="510">
        <f>SUM(H377:J377)+K377</f>
        <v>6.8463333333333338</v>
      </c>
      <c r="M377" s="510">
        <f t="shared" si="0"/>
        <v>0</v>
      </c>
      <c r="N377" s="510">
        <f t="shared" si="1"/>
        <v>0</v>
      </c>
      <c r="O377" s="510">
        <f t="shared" si="2"/>
        <v>0</v>
      </c>
      <c r="P377" s="510">
        <f t="shared" si="3"/>
        <v>13.69</v>
      </c>
      <c r="Q377" s="510">
        <f t="shared" si="4"/>
        <v>0</v>
      </c>
      <c r="R377" s="510">
        <f t="shared" si="5"/>
        <v>0</v>
      </c>
    </row>
    <row r="378" spans="1:18">
      <c r="A378" s="505"/>
      <c r="B378" s="511" t="s">
        <v>773</v>
      </c>
      <c r="C378" s="507">
        <v>16</v>
      </c>
      <c r="D378" s="508"/>
      <c r="E378" s="507">
        <v>1</v>
      </c>
      <c r="F378" s="502">
        <v>1</v>
      </c>
      <c r="G378" s="502">
        <v>2</v>
      </c>
      <c r="H378" s="602">
        <f>0.58+8*$C378/1000</f>
        <v>0.70799999999999996</v>
      </c>
      <c r="I378" s="602">
        <v>5.7750000000000004</v>
      </c>
      <c r="J378" s="602">
        <f>((0.79)/3)+0.1</f>
        <v>0.3633333333333334</v>
      </c>
      <c r="K378" s="509"/>
      <c r="L378" s="510">
        <f>SUM(H378:J378)+K378</f>
        <v>6.8463333333333338</v>
      </c>
      <c r="M378" s="510">
        <f t="shared" si="0"/>
        <v>0</v>
      </c>
      <c r="N378" s="510">
        <f t="shared" si="1"/>
        <v>0</v>
      </c>
      <c r="O378" s="510">
        <f t="shared" si="2"/>
        <v>0</v>
      </c>
      <c r="P378" s="510">
        <f t="shared" si="3"/>
        <v>13.69</v>
      </c>
      <c r="Q378" s="510">
        <f t="shared" si="4"/>
        <v>0</v>
      </c>
      <c r="R378" s="510">
        <f t="shared" si="5"/>
        <v>0</v>
      </c>
    </row>
    <row r="379" spans="1:18">
      <c r="A379" s="505"/>
      <c r="B379" s="511" t="s">
        <v>774</v>
      </c>
      <c r="C379" s="507">
        <v>12</v>
      </c>
      <c r="D379" s="508"/>
      <c r="E379" s="507">
        <v>1</v>
      </c>
      <c r="F379" s="502">
        <v>1</v>
      </c>
      <c r="G379" s="502">
        <v>2</v>
      </c>
      <c r="H379" s="602"/>
      <c r="I379" s="602">
        <f>0.9+0.23+0.8</f>
        <v>1.9300000000000002</v>
      </c>
      <c r="J379" s="235"/>
      <c r="K379" s="509"/>
      <c r="L379" s="510">
        <f>SUM(H379:J379)+K379</f>
        <v>1.9300000000000002</v>
      </c>
      <c r="M379" s="510">
        <f t="shared" si="0"/>
        <v>0</v>
      </c>
      <c r="N379" s="510">
        <f t="shared" si="1"/>
        <v>0</v>
      </c>
      <c r="O379" s="510">
        <f t="shared" si="2"/>
        <v>3.86</v>
      </c>
      <c r="P379" s="510">
        <f t="shared" si="3"/>
        <v>0</v>
      </c>
      <c r="Q379" s="510">
        <f t="shared" si="4"/>
        <v>0</v>
      </c>
      <c r="R379" s="510">
        <f t="shared" si="5"/>
        <v>0</v>
      </c>
    </row>
    <row r="380" spans="1:18">
      <c r="A380" s="505"/>
      <c r="B380" s="511" t="s">
        <v>781</v>
      </c>
      <c r="C380" s="507">
        <v>8</v>
      </c>
      <c r="D380" s="508">
        <v>100</v>
      </c>
      <c r="E380" s="507">
        <v>1</v>
      </c>
      <c r="F380" s="502">
        <v>1</v>
      </c>
      <c r="G380" s="502">
        <f>+ROUND(1.8/0.1,0)</f>
        <v>18</v>
      </c>
      <c r="H380" s="602"/>
      <c r="I380" s="602">
        <f>2*(0.18+0.4)+16*C380/1000</f>
        <v>1.2880000000000003</v>
      </c>
      <c r="J380" s="235"/>
      <c r="K380" s="589"/>
      <c r="L380" s="510">
        <f t="shared" ref="L380:L382" si="229">SUM(H380:J380)+K380</f>
        <v>1.2880000000000003</v>
      </c>
      <c r="M380" s="510">
        <f t="shared" si="0"/>
        <v>23.18</v>
      </c>
      <c r="N380" s="510">
        <f t="shared" si="1"/>
        <v>0</v>
      </c>
      <c r="O380" s="510">
        <f t="shared" si="2"/>
        <v>0</v>
      </c>
      <c r="P380" s="510">
        <f t="shared" si="3"/>
        <v>0</v>
      </c>
      <c r="Q380" s="510">
        <f t="shared" si="4"/>
        <v>0</v>
      </c>
      <c r="R380" s="510">
        <f t="shared" si="5"/>
        <v>0</v>
      </c>
    </row>
    <row r="381" spans="1:18">
      <c r="A381" s="505"/>
      <c r="B381" s="511"/>
      <c r="C381" s="507">
        <v>8</v>
      </c>
      <c r="D381" s="508">
        <v>150</v>
      </c>
      <c r="E381" s="507">
        <v>1</v>
      </c>
      <c r="F381" s="502">
        <v>1</v>
      </c>
      <c r="G381" s="502">
        <f>+ROUND(1.4/0.15+1,0)</f>
        <v>10</v>
      </c>
      <c r="H381" s="602"/>
      <c r="I381" s="602">
        <f t="shared" ref="I381:I383" si="230">2*(0.18+0.4)+16*C381/1000</f>
        <v>1.2880000000000003</v>
      </c>
      <c r="J381" s="235"/>
      <c r="K381" s="589"/>
      <c r="L381" s="510">
        <f t="shared" si="229"/>
        <v>1.2880000000000003</v>
      </c>
      <c r="M381" s="510">
        <f t="shared" si="0"/>
        <v>12.88</v>
      </c>
      <c r="N381" s="510">
        <f t="shared" si="1"/>
        <v>0</v>
      </c>
      <c r="O381" s="510">
        <f t="shared" si="2"/>
        <v>0</v>
      </c>
      <c r="P381" s="510">
        <f t="shared" si="3"/>
        <v>0</v>
      </c>
      <c r="Q381" s="510">
        <f t="shared" si="4"/>
        <v>0</v>
      </c>
      <c r="R381" s="510">
        <f t="shared" si="5"/>
        <v>0</v>
      </c>
    </row>
    <row r="382" spans="1:18">
      <c r="A382" s="505"/>
      <c r="B382" s="511" t="s">
        <v>781</v>
      </c>
      <c r="C382" s="507">
        <v>8</v>
      </c>
      <c r="D382" s="508">
        <v>100</v>
      </c>
      <c r="E382" s="507">
        <v>1</v>
      </c>
      <c r="F382" s="502">
        <v>1</v>
      </c>
      <c r="G382" s="502">
        <f>+ROUND(1.8/0.1+1,0)</f>
        <v>19</v>
      </c>
      <c r="H382" s="602"/>
      <c r="I382" s="602">
        <f t="shared" si="230"/>
        <v>1.2880000000000003</v>
      </c>
      <c r="J382" s="235"/>
      <c r="K382" s="589"/>
      <c r="L382" s="510">
        <f t="shared" si="229"/>
        <v>1.2880000000000003</v>
      </c>
      <c r="M382" s="510">
        <f t="shared" si="0"/>
        <v>24.47</v>
      </c>
      <c r="N382" s="510">
        <f t="shared" si="1"/>
        <v>0</v>
      </c>
      <c r="O382" s="510">
        <f t="shared" si="2"/>
        <v>0</v>
      </c>
      <c r="P382" s="510">
        <f t="shared" si="3"/>
        <v>0</v>
      </c>
      <c r="Q382" s="510">
        <f t="shared" si="4"/>
        <v>0</v>
      </c>
      <c r="R382" s="510">
        <f t="shared" si="5"/>
        <v>0</v>
      </c>
    </row>
    <row r="383" spans="1:18">
      <c r="A383" s="505"/>
      <c r="B383" s="511"/>
      <c r="C383" s="507">
        <v>8</v>
      </c>
      <c r="D383" s="508">
        <v>150</v>
      </c>
      <c r="E383" s="507">
        <v>1</v>
      </c>
      <c r="F383" s="502">
        <v>1</v>
      </c>
      <c r="G383" s="502">
        <f>+ROUND(0.535/0.15+1,0)</f>
        <v>5</v>
      </c>
      <c r="H383" s="602"/>
      <c r="I383" s="602">
        <f t="shared" si="230"/>
        <v>1.2880000000000003</v>
      </c>
      <c r="J383" s="235"/>
      <c r="K383" s="589"/>
      <c r="L383" s="510">
        <f t="shared" ref="L383" si="231">SUM(H383:J383)+K383</f>
        <v>1.2880000000000003</v>
      </c>
      <c r="M383" s="510">
        <f t="shared" si="0"/>
        <v>6.44</v>
      </c>
      <c r="N383" s="510">
        <f t="shared" si="1"/>
        <v>0</v>
      </c>
      <c r="O383" s="510">
        <f t="shared" si="2"/>
        <v>0</v>
      </c>
      <c r="P383" s="510">
        <f t="shared" si="3"/>
        <v>0</v>
      </c>
      <c r="Q383" s="510">
        <f t="shared" si="4"/>
        <v>0</v>
      </c>
      <c r="R383" s="510">
        <f t="shared" si="5"/>
        <v>0</v>
      </c>
    </row>
    <row r="384" spans="1:18">
      <c r="A384" s="505"/>
      <c r="B384" s="511"/>
      <c r="C384" s="507"/>
      <c r="D384" s="508"/>
      <c r="E384" s="507"/>
      <c r="F384" s="502"/>
      <c r="G384" s="502"/>
      <c r="H384" s="602"/>
      <c r="I384" s="602"/>
      <c r="J384" s="235"/>
      <c r="K384" s="589"/>
      <c r="L384" s="510"/>
      <c r="M384" s="510"/>
      <c r="N384" s="510"/>
      <c r="O384" s="510"/>
      <c r="P384" s="510"/>
      <c r="Q384" s="510"/>
      <c r="R384" s="510"/>
    </row>
    <row r="385" spans="1:18" ht="30">
      <c r="A385" s="605" t="s">
        <v>1133</v>
      </c>
      <c r="B385" s="606" t="s">
        <v>1134</v>
      </c>
      <c r="C385" s="507"/>
      <c r="D385" s="508"/>
      <c r="E385" s="507"/>
      <c r="F385" s="502"/>
      <c r="G385" s="502"/>
      <c r="H385" s="602"/>
      <c r="I385" s="602"/>
      <c r="J385" s="235"/>
      <c r="K385" s="509"/>
      <c r="L385" s="510">
        <f t="shared" ref="L385" si="232">SUM(H385:J385)+K385</f>
        <v>0</v>
      </c>
      <c r="M385" s="510">
        <f t="shared" ref="M385:M391" si="233">+ROUND(IF(C385=8,PRODUCT(E385,F385,G385,L385),0),2)</f>
        <v>0</v>
      </c>
      <c r="N385" s="510">
        <f t="shared" ref="N385:N391" si="234">+ROUND(IF(C385=10,PRODUCT(E385,F385,G385,L385),0),2)</f>
        <v>0</v>
      </c>
      <c r="O385" s="510">
        <f t="shared" ref="O385:O391" si="235">+ROUND(IF(C385=12,PRODUCT(E385,F385,G385,L385),0),2)</f>
        <v>0</v>
      </c>
      <c r="P385" s="510">
        <f t="shared" ref="P385:P391" si="236">+ROUND(IF(C385=16,PRODUCT(E385,F385,G385,L385),0),2)</f>
        <v>0</v>
      </c>
      <c r="Q385" s="510">
        <f t="shared" ref="Q385:Q391" si="237">+ROUND(IF(C385=20,PRODUCT(E385,F385,G385,L385),0),2)</f>
        <v>0</v>
      </c>
      <c r="R385" s="510">
        <f t="shared" ref="R385:R391" si="238">+ROUND(IF(C385=25,PRODUCT(E385,F385,G385,L385),0),2)</f>
        <v>0</v>
      </c>
    </row>
    <row r="386" spans="1:18">
      <c r="A386" s="505"/>
      <c r="B386" s="511" t="s">
        <v>740</v>
      </c>
      <c r="C386" s="507">
        <v>16</v>
      </c>
      <c r="D386" s="508"/>
      <c r="E386" s="507">
        <v>1</v>
      </c>
      <c r="F386" s="502">
        <v>1</v>
      </c>
      <c r="G386" s="502">
        <v>2</v>
      </c>
      <c r="H386" s="602">
        <f>0.58+8*$C386/1000</f>
        <v>0.70799999999999996</v>
      </c>
      <c r="I386" s="602">
        <v>6.27</v>
      </c>
      <c r="J386" s="602">
        <f>0.58+8*$C386/1000</f>
        <v>0.70799999999999996</v>
      </c>
      <c r="K386" s="509"/>
      <c r="L386" s="510">
        <f>SUM(H386:J386)+K386</f>
        <v>7.6859999999999999</v>
      </c>
      <c r="M386" s="510">
        <f t="shared" si="233"/>
        <v>0</v>
      </c>
      <c r="N386" s="510">
        <f t="shared" si="234"/>
        <v>0</v>
      </c>
      <c r="O386" s="510">
        <f t="shared" si="235"/>
        <v>0</v>
      </c>
      <c r="P386" s="510">
        <f t="shared" si="236"/>
        <v>15.37</v>
      </c>
      <c r="Q386" s="510">
        <f t="shared" si="237"/>
        <v>0</v>
      </c>
      <c r="R386" s="510">
        <f t="shared" si="238"/>
        <v>0</v>
      </c>
    </row>
    <row r="387" spans="1:18">
      <c r="A387" s="505"/>
      <c r="B387" s="511" t="s">
        <v>773</v>
      </c>
      <c r="C387" s="507">
        <v>16</v>
      </c>
      <c r="D387" s="508"/>
      <c r="E387" s="507">
        <v>1</v>
      </c>
      <c r="F387" s="502">
        <v>1</v>
      </c>
      <c r="G387" s="502">
        <v>2</v>
      </c>
      <c r="H387" s="602">
        <f>0.58+8*$C387/1000</f>
        <v>0.70799999999999996</v>
      </c>
      <c r="I387" s="602">
        <v>6.27</v>
      </c>
      <c r="J387" s="602">
        <f>0.58+8*$C387/1000</f>
        <v>0.70799999999999996</v>
      </c>
      <c r="K387" s="509"/>
      <c r="L387" s="510">
        <f>SUM(H387:J387)+K387</f>
        <v>7.6859999999999999</v>
      </c>
      <c r="M387" s="510">
        <f t="shared" si="233"/>
        <v>0</v>
      </c>
      <c r="N387" s="510">
        <f t="shared" si="234"/>
        <v>0</v>
      </c>
      <c r="O387" s="510">
        <f t="shared" si="235"/>
        <v>0</v>
      </c>
      <c r="P387" s="510">
        <f t="shared" si="236"/>
        <v>15.37</v>
      </c>
      <c r="Q387" s="510">
        <f t="shared" si="237"/>
        <v>0</v>
      </c>
      <c r="R387" s="510">
        <f t="shared" si="238"/>
        <v>0</v>
      </c>
    </row>
    <row r="388" spans="1:18">
      <c r="A388" s="505"/>
      <c r="B388" s="511" t="s">
        <v>1110</v>
      </c>
      <c r="C388" s="507">
        <v>8</v>
      </c>
      <c r="D388" s="508">
        <v>100</v>
      </c>
      <c r="E388" s="507">
        <v>1</v>
      </c>
      <c r="F388" s="502">
        <v>1</v>
      </c>
      <c r="G388" s="502">
        <f>+ROUND(2/0.1+1,0)</f>
        <v>21</v>
      </c>
      <c r="H388" s="602"/>
      <c r="I388" s="602">
        <f>2*(0.18+0.45)+16*C388/1000</f>
        <v>1.3879999999999999</v>
      </c>
      <c r="J388" s="235"/>
      <c r="K388" s="589"/>
      <c r="L388" s="510">
        <f t="shared" ref="L388:L390" si="239">SUM(H388:J388)+K388</f>
        <v>1.3879999999999999</v>
      </c>
      <c r="M388" s="510">
        <f t="shared" si="233"/>
        <v>29.15</v>
      </c>
      <c r="N388" s="510">
        <f t="shared" si="234"/>
        <v>0</v>
      </c>
      <c r="O388" s="510">
        <f t="shared" si="235"/>
        <v>0</v>
      </c>
      <c r="P388" s="510">
        <f t="shared" si="236"/>
        <v>0</v>
      </c>
      <c r="Q388" s="510">
        <f t="shared" si="237"/>
        <v>0</v>
      </c>
      <c r="R388" s="510">
        <f t="shared" si="238"/>
        <v>0</v>
      </c>
    </row>
    <row r="389" spans="1:18">
      <c r="A389" s="505"/>
      <c r="B389" s="511"/>
      <c r="C389" s="507">
        <v>8</v>
      </c>
      <c r="D389" s="508">
        <v>150</v>
      </c>
      <c r="E389" s="507">
        <v>1</v>
      </c>
      <c r="F389" s="502">
        <v>1</v>
      </c>
      <c r="G389" s="502">
        <f>+ROUND(0.54/0.15+1,0)</f>
        <v>5</v>
      </c>
      <c r="H389" s="602"/>
      <c r="I389" s="602">
        <f>2*(0.18+0.45)+16*C389/1000</f>
        <v>1.3879999999999999</v>
      </c>
      <c r="J389" s="235"/>
      <c r="K389" s="589"/>
      <c r="L389" s="510">
        <f t="shared" si="239"/>
        <v>1.3879999999999999</v>
      </c>
      <c r="M389" s="510">
        <f t="shared" si="233"/>
        <v>6.94</v>
      </c>
      <c r="N389" s="510">
        <f t="shared" si="234"/>
        <v>0</v>
      </c>
      <c r="O389" s="510">
        <f t="shared" si="235"/>
        <v>0</v>
      </c>
      <c r="P389" s="510">
        <f t="shared" si="236"/>
        <v>0</v>
      </c>
      <c r="Q389" s="510">
        <f t="shared" si="237"/>
        <v>0</v>
      </c>
      <c r="R389" s="510">
        <f t="shared" si="238"/>
        <v>0</v>
      </c>
    </row>
    <row r="390" spans="1:18">
      <c r="A390" s="505"/>
      <c r="B390" s="511" t="s">
        <v>781</v>
      </c>
      <c r="C390" s="507">
        <v>8</v>
      </c>
      <c r="D390" s="508">
        <v>100</v>
      </c>
      <c r="E390" s="507">
        <v>1</v>
      </c>
      <c r="F390" s="502">
        <v>1</v>
      </c>
      <c r="G390" s="502">
        <f>+ROUND(2/0.1+1,0)</f>
        <v>21</v>
      </c>
      <c r="H390" s="602"/>
      <c r="I390" s="602">
        <f>2*(0.18+0.4)+16*C390/1000</f>
        <v>1.2880000000000003</v>
      </c>
      <c r="J390" s="235"/>
      <c r="K390" s="589"/>
      <c r="L390" s="510">
        <f t="shared" si="239"/>
        <v>1.2880000000000003</v>
      </c>
      <c r="M390" s="510">
        <f t="shared" si="233"/>
        <v>27.05</v>
      </c>
      <c r="N390" s="510">
        <f t="shared" si="234"/>
        <v>0</v>
      </c>
      <c r="O390" s="510">
        <f t="shared" si="235"/>
        <v>0</v>
      </c>
      <c r="P390" s="510">
        <f t="shared" si="236"/>
        <v>0</v>
      </c>
      <c r="Q390" s="510">
        <f t="shared" si="237"/>
        <v>0</v>
      </c>
      <c r="R390" s="510">
        <f t="shared" si="238"/>
        <v>0</v>
      </c>
    </row>
    <row r="391" spans="1:18">
      <c r="A391" s="505"/>
      <c r="B391" s="511"/>
      <c r="C391" s="507">
        <v>8</v>
      </c>
      <c r="D391" s="508">
        <v>150</v>
      </c>
      <c r="E391" s="507">
        <v>1</v>
      </c>
      <c r="F391" s="502">
        <v>1</v>
      </c>
      <c r="G391" s="502">
        <f>+ROUND(1.43/0.15+1,0)</f>
        <v>11</v>
      </c>
      <c r="H391" s="602"/>
      <c r="I391" s="602">
        <f>2*(0.18+0.4)+16*C391/1000</f>
        <v>1.2880000000000003</v>
      </c>
      <c r="J391" s="235"/>
      <c r="K391" s="589"/>
      <c r="L391" s="510">
        <f t="shared" ref="L391" si="240">SUM(H391:J391)+K391</f>
        <v>1.2880000000000003</v>
      </c>
      <c r="M391" s="510">
        <f t="shared" si="233"/>
        <v>14.17</v>
      </c>
      <c r="N391" s="510">
        <f t="shared" si="234"/>
        <v>0</v>
      </c>
      <c r="O391" s="510">
        <f t="shared" si="235"/>
        <v>0</v>
      </c>
      <c r="P391" s="510">
        <f t="shared" si="236"/>
        <v>0</v>
      </c>
      <c r="Q391" s="510">
        <f t="shared" si="237"/>
        <v>0</v>
      </c>
      <c r="R391" s="510">
        <f t="shared" si="238"/>
        <v>0</v>
      </c>
    </row>
    <row r="392" spans="1:18">
      <c r="A392" s="505"/>
      <c r="B392" s="511"/>
      <c r="C392" s="507"/>
      <c r="D392" s="508"/>
      <c r="E392" s="507"/>
      <c r="F392" s="502"/>
      <c r="G392" s="502"/>
      <c r="H392" s="602"/>
      <c r="I392" s="602"/>
      <c r="J392" s="235"/>
      <c r="K392" s="589"/>
      <c r="L392" s="510"/>
      <c r="M392" s="510"/>
      <c r="N392" s="510"/>
      <c r="O392" s="510"/>
      <c r="P392" s="510"/>
      <c r="Q392" s="510"/>
      <c r="R392" s="510"/>
    </row>
    <row r="393" spans="1:18">
      <c r="A393" s="505" t="s">
        <v>1067</v>
      </c>
      <c r="B393" s="520" t="s">
        <v>1135</v>
      </c>
      <c r="C393" s="507"/>
      <c r="D393" s="508"/>
      <c r="E393" s="507"/>
      <c r="F393" s="502"/>
      <c r="G393" s="502"/>
      <c r="H393" s="602"/>
      <c r="I393" s="602"/>
      <c r="J393" s="235"/>
      <c r="K393" s="509"/>
      <c r="L393" s="510">
        <f t="shared" ref="L393" si="241">SUM(H393:J393)+K393</f>
        <v>0</v>
      </c>
      <c r="M393" s="510">
        <f t="shared" ref="M393:M396" si="242">+ROUND(IF(C393=8,PRODUCT(E393,F393,G393,L393),0),2)</f>
        <v>0</v>
      </c>
      <c r="N393" s="510">
        <f t="shared" ref="N393:N396" si="243">+ROUND(IF(C393=10,PRODUCT(E393,F393,G393,L393),0),2)</f>
        <v>0</v>
      </c>
      <c r="O393" s="510">
        <f t="shared" ref="O393:O396" si="244">+ROUND(IF(C393=12,PRODUCT(E393,F393,G393,L393),0),2)</f>
        <v>0</v>
      </c>
      <c r="P393" s="510">
        <f t="shared" ref="P393:P396" si="245">+ROUND(IF(C393=16,PRODUCT(E393,F393,G393,L393),0),2)</f>
        <v>0</v>
      </c>
      <c r="Q393" s="510">
        <f t="shared" ref="Q393:Q396" si="246">+ROUND(IF(C393=20,PRODUCT(E393,F393,G393,L393),0),2)</f>
        <v>0</v>
      </c>
      <c r="R393" s="510">
        <f t="shared" ref="R393:R396" si="247">+ROUND(IF(C393=25,PRODUCT(E393,F393,G393,L393),0),2)</f>
        <v>0</v>
      </c>
    </row>
    <row r="394" spans="1:18">
      <c r="A394" s="505"/>
      <c r="B394" s="511" t="s">
        <v>740</v>
      </c>
      <c r="C394" s="507">
        <v>16</v>
      </c>
      <c r="D394" s="508"/>
      <c r="E394" s="507">
        <v>2</v>
      </c>
      <c r="F394" s="502">
        <v>1</v>
      </c>
      <c r="G394" s="502">
        <v>2</v>
      </c>
      <c r="H394" s="602">
        <f>0.58+8*$C394/1000</f>
        <v>0.70799999999999996</v>
      </c>
      <c r="I394" s="602">
        <v>2.2250000000000001</v>
      </c>
      <c r="J394" s="602">
        <f>((0.79)/3)+0.1</f>
        <v>0.3633333333333334</v>
      </c>
      <c r="K394" s="509"/>
      <c r="L394" s="510">
        <f>SUM(H394:J394)+K394</f>
        <v>3.2963333333333331</v>
      </c>
      <c r="M394" s="510">
        <f t="shared" si="242"/>
        <v>0</v>
      </c>
      <c r="N394" s="510">
        <f t="shared" si="243"/>
        <v>0</v>
      </c>
      <c r="O394" s="510">
        <f t="shared" si="244"/>
        <v>0</v>
      </c>
      <c r="P394" s="510">
        <f t="shared" si="245"/>
        <v>13.19</v>
      </c>
      <c r="Q394" s="510">
        <f t="shared" si="246"/>
        <v>0</v>
      </c>
      <c r="R394" s="510">
        <f t="shared" si="247"/>
        <v>0</v>
      </c>
    </row>
    <row r="395" spans="1:18">
      <c r="A395" s="505"/>
      <c r="B395" s="511" t="s">
        <v>773</v>
      </c>
      <c r="C395" s="507">
        <v>16</v>
      </c>
      <c r="D395" s="508"/>
      <c r="E395" s="507">
        <v>2</v>
      </c>
      <c r="F395" s="502">
        <v>1</v>
      </c>
      <c r="G395" s="502">
        <v>2</v>
      </c>
      <c r="H395" s="602">
        <f>0.58+8*$C395/1000</f>
        <v>0.70799999999999996</v>
      </c>
      <c r="I395" s="602">
        <v>2.2250000000000001</v>
      </c>
      <c r="J395" s="602">
        <f>((0.79)/3)+0.1</f>
        <v>0.3633333333333334</v>
      </c>
      <c r="K395" s="509"/>
      <c r="L395" s="510">
        <f>SUM(H395:J395)+K395</f>
        <v>3.2963333333333331</v>
      </c>
      <c r="M395" s="510">
        <f t="shared" si="242"/>
        <v>0</v>
      </c>
      <c r="N395" s="510">
        <f t="shared" si="243"/>
        <v>0</v>
      </c>
      <c r="O395" s="510">
        <f t="shared" si="244"/>
        <v>0</v>
      </c>
      <c r="P395" s="510">
        <f t="shared" si="245"/>
        <v>13.19</v>
      </c>
      <c r="Q395" s="510">
        <f t="shared" si="246"/>
        <v>0</v>
      </c>
      <c r="R395" s="510">
        <f t="shared" si="247"/>
        <v>0</v>
      </c>
    </row>
    <row r="396" spans="1:18">
      <c r="A396" s="505"/>
      <c r="B396" s="511" t="s">
        <v>1079</v>
      </c>
      <c r="C396" s="507">
        <v>8</v>
      </c>
      <c r="D396" s="508">
        <v>100</v>
      </c>
      <c r="E396" s="507">
        <v>2</v>
      </c>
      <c r="F396" s="502">
        <v>1</v>
      </c>
      <c r="G396" s="502">
        <f>+ROUND(2.225/0.1+1,0)</f>
        <v>23</v>
      </c>
      <c r="H396" s="602"/>
      <c r="I396" s="602">
        <f>2*(0.15+0.45)+16*C396/1000</f>
        <v>1.3279999999999998</v>
      </c>
      <c r="J396" s="235"/>
      <c r="K396" s="589"/>
      <c r="L396" s="510">
        <f t="shared" ref="L396" si="248">SUM(H396:J396)+K396</f>
        <v>1.3279999999999998</v>
      </c>
      <c r="M396" s="510">
        <f t="shared" si="242"/>
        <v>61.09</v>
      </c>
      <c r="N396" s="510">
        <f t="shared" si="243"/>
        <v>0</v>
      </c>
      <c r="O396" s="510">
        <f t="shared" si="244"/>
        <v>0</v>
      </c>
      <c r="P396" s="510">
        <f t="shared" si="245"/>
        <v>0</v>
      </c>
      <c r="Q396" s="510">
        <f t="shared" si="246"/>
        <v>0</v>
      </c>
      <c r="R396" s="510">
        <f t="shared" si="247"/>
        <v>0</v>
      </c>
    </row>
    <row r="397" spans="1:18">
      <c r="A397" s="505"/>
      <c r="B397" s="511"/>
      <c r="C397" s="507"/>
      <c r="D397" s="508"/>
      <c r="E397" s="507"/>
      <c r="F397" s="502"/>
      <c r="G397" s="502"/>
      <c r="H397" s="602"/>
      <c r="I397" s="602"/>
      <c r="J397" s="235"/>
      <c r="K397" s="589"/>
      <c r="L397" s="510"/>
      <c r="M397" s="510"/>
      <c r="N397" s="510"/>
      <c r="O397" s="510"/>
      <c r="P397" s="510"/>
      <c r="Q397" s="510"/>
      <c r="R397" s="510"/>
    </row>
    <row r="398" spans="1:18">
      <c r="A398" s="505" t="s">
        <v>772</v>
      </c>
      <c r="B398" s="520" t="s">
        <v>1136</v>
      </c>
      <c r="C398" s="507"/>
      <c r="D398" s="508"/>
      <c r="E398" s="507"/>
      <c r="F398" s="502"/>
      <c r="G398" s="502"/>
      <c r="H398" s="602"/>
      <c r="I398" s="602"/>
      <c r="J398" s="235"/>
      <c r="K398" s="509"/>
      <c r="L398" s="510">
        <f t="shared" ref="L398" si="249">SUM(H398:J398)+K398</f>
        <v>0</v>
      </c>
      <c r="M398" s="510">
        <f t="shared" si="0"/>
        <v>0</v>
      </c>
      <c r="N398" s="510">
        <f t="shared" si="1"/>
        <v>0</v>
      </c>
      <c r="O398" s="510">
        <f t="shared" si="2"/>
        <v>0</v>
      </c>
      <c r="P398" s="510">
        <f t="shared" si="3"/>
        <v>0</v>
      </c>
      <c r="Q398" s="510">
        <f t="shared" si="4"/>
        <v>0</v>
      </c>
      <c r="R398" s="510">
        <f t="shared" si="5"/>
        <v>0</v>
      </c>
    </row>
    <row r="399" spans="1:18">
      <c r="A399" s="505"/>
      <c r="B399" s="511" t="s">
        <v>740</v>
      </c>
      <c r="C399" s="507">
        <v>16</v>
      </c>
      <c r="D399" s="508"/>
      <c r="E399" s="507">
        <v>1</v>
      </c>
      <c r="F399" s="502">
        <v>1</v>
      </c>
      <c r="G399" s="502">
        <v>2</v>
      </c>
      <c r="H399" s="602">
        <f>0.58+8*$C399/1000</f>
        <v>0.70799999999999996</v>
      </c>
      <c r="I399" s="602">
        <v>3.14</v>
      </c>
      <c r="J399" s="602">
        <f>0.58+8*$C399/1000</f>
        <v>0.70799999999999996</v>
      </c>
      <c r="K399" s="509"/>
      <c r="L399" s="510">
        <f>SUM(H399:J399)+K399</f>
        <v>4.556</v>
      </c>
      <c r="M399" s="510">
        <f t="shared" si="0"/>
        <v>0</v>
      </c>
      <c r="N399" s="510">
        <f t="shared" si="1"/>
        <v>0</v>
      </c>
      <c r="O399" s="510">
        <f t="shared" si="2"/>
        <v>0</v>
      </c>
      <c r="P399" s="510">
        <f t="shared" si="3"/>
        <v>9.11</v>
      </c>
      <c r="Q399" s="510">
        <f t="shared" si="4"/>
        <v>0</v>
      </c>
      <c r="R399" s="510">
        <f t="shared" si="5"/>
        <v>0</v>
      </c>
    </row>
    <row r="400" spans="1:18">
      <c r="A400" s="505"/>
      <c r="B400" s="511" t="s">
        <v>773</v>
      </c>
      <c r="C400" s="507">
        <v>16</v>
      </c>
      <c r="D400" s="508"/>
      <c r="E400" s="507">
        <v>1</v>
      </c>
      <c r="F400" s="502">
        <v>1</v>
      </c>
      <c r="G400" s="502">
        <v>2</v>
      </c>
      <c r="H400" s="602">
        <f>0.58+8*$C400/1000</f>
        <v>0.70799999999999996</v>
      </c>
      <c r="I400" s="602">
        <v>3.14</v>
      </c>
      <c r="J400" s="602">
        <f>0.58+8*$C400/1000</f>
        <v>0.70799999999999996</v>
      </c>
      <c r="K400" s="509"/>
      <c r="L400" s="510">
        <f>SUM(H400:J400)+K400</f>
        <v>4.556</v>
      </c>
      <c r="M400" s="510">
        <f t="shared" si="0"/>
        <v>0</v>
      </c>
      <c r="N400" s="510">
        <f t="shared" si="1"/>
        <v>0</v>
      </c>
      <c r="O400" s="510">
        <f t="shared" si="2"/>
        <v>0</v>
      </c>
      <c r="P400" s="510">
        <f t="shared" si="3"/>
        <v>9.11</v>
      </c>
      <c r="Q400" s="510">
        <f t="shared" si="4"/>
        <v>0</v>
      </c>
      <c r="R400" s="510">
        <f t="shared" si="5"/>
        <v>0</v>
      </c>
    </row>
    <row r="401" spans="1:18">
      <c r="A401" s="505"/>
      <c r="B401" s="511" t="s">
        <v>780</v>
      </c>
      <c r="C401" s="507">
        <v>8</v>
      </c>
      <c r="D401" s="508">
        <v>100</v>
      </c>
      <c r="E401" s="507">
        <v>1</v>
      </c>
      <c r="F401" s="502">
        <v>1</v>
      </c>
      <c r="G401" s="502">
        <f>+ROUND(1.8/0.1,0)</f>
        <v>18</v>
      </c>
      <c r="H401" s="602"/>
      <c r="I401" s="602">
        <f>2*(0.15+0.4)+16*C401/1000</f>
        <v>1.2280000000000002</v>
      </c>
      <c r="J401" s="235"/>
      <c r="K401" s="589"/>
      <c r="L401" s="510">
        <f t="shared" ref="L401:L402" si="250">SUM(H401:J401)+K401</f>
        <v>1.2280000000000002</v>
      </c>
      <c r="M401" s="510">
        <f t="shared" si="0"/>
        <v>22.1</v>
      </c>
      <c r="N401" s="510">
        <f t="shared" si="1"/>
        <v>0</v>
      </c>
      <c r="O401" s="510">
        <f t="shared" si="2"/>
        <v>0</v>
      </c>
      <c r="P401" s="510">
        <f t="shared" si="3"/>
        <v>0</v>
      </c>
      <c r="Q401" s="510">
        <f t="shared" si="4"/>
        <v>0</v>
      </c>
      <c r="R401" s="510">
        <f t="shared" si="5"/>
        <v>0</v>
      </c>
    </row>
    <row r="402" spans="1:18">
      <c r="A402" s="505"/>
      <c r="B402" s="511"/>
      <c r="C402" s="507">
        <v>8</v>
      </c>
      <c r="D402" s="508">
        <v>150</v>
      </c>
      <c r="E402" s="507">
        <v>1</v>
      </c>
      <c r="F402" s="502">
        <v>1</v>
      </c>
      <c r="G402" s="502">
        <f>+ROUND(1.34/0.15+1,0)</f>
        <v>10</v>
      </c>
      <c r="H402" s="602"/>
      <c r="I402" s="602">
        <f>2*(0.15+0.4)+16*C402/1000</f>
        <v>1.2280000000000002</v>
      </c>
      <c r="J402" s="235"/>
      <c r="K402" s="589"/>
      <c r="L402" s="510">
        <f t="shared" si="250"/>
        <v>1.2280000000000002</v>
      </c>
      <c r="M402" s="510">
        <f t="shared" si="0"/>
        <v>12.28</v>
      </c>
      <c r="N402" s="510">
        <f t="shared" si="1"/>
        <v>0</v>
      </c>
      <c r="O402" s="510">
        <f t="shared" si="2"/>
        <v>0</v>
      </c>
      <c r="P402" s="510">
        <f t="shared" si="3"/>
        <v>0</v>
      </c>
      <c r="Q402" s="510">
        <f t="shared" si="4"/>
        <v>0</v>
      </c>
      <c r="R402" s="510">
        <f t="shared" si="5"/>
        <v>0</v>
      </c>
    </row>
    <row r="403" spans="1:18">
      <c r="A403" s="505"/>
      <c r="B403" s="511"/>
      <c r="C403" s="507"/>
      <c r="D403" s="508"/>
      <c r="E403" s="507"/>
      <c r="F403" s="502"/>
      <c r="G403" s="502"/>
      <c r="H403" s="602"/>
      <c r="I403" s="602"/>
      <c r="J403" s="235"/>
      <c r="K403" s="589"/>
      <c r="L403" s="510"/>
      <c r="M403" s="510"/>
      <c r="N403" s="510"/>
      <c r="O403" s="510"/>
      <c r="P403" s="510"/>
      <c r="Q403" s="510"/>
      <c r="R403" s="510"/>
    </row>
    <row r="404" spans="1:18" ht="30">
      <c r="A404" s="605" t="s">
        <v>1137</v>
      </c>
      <c r="B404" s="606" t="s">
        <v>1138</v>
      </c>
      <c r="C404" s="507"/>
      <c r="D404" s="508"/>
      <c r="E404" s="507"/>
      <c r="F404" s="502"/>
      <c r="G404" s="502"/>
      <c r="H404" s="602"/>
      <c r="I404" s="602"/>
      <c r="J404" s="235"/>
      <c r="K404" s="509"/>
      <c r="L404" s="510">
        <f t="shared" ref="L404" si="251">SUM(H404:J404)+K404</f>
        <v>0</v>
      </c>
      <c r="M404" s="510">
        <f t="shared" si="0"/>
        <v>0</v>
      </c>
      <c r="N404" s="510">
        <f t="shared" si="1"/>
        <v>0</v>
      </c>
      <c r="O404" s="510">
        <f t="shared" si="2"/>
        <v>0</v>
      </c>
      <c r="P404" s="510">
        <f t="shared" si="3"/>
        <v>0</v>
      </c>
      <c r="Q404" s="510">
        <f t="shared" si="4"/>
        <v>0</v>
      </c>
      <c r="R404" s="510">
        <f t="shared" si="5"/>
        <v>0</v>
      </c>
    </row>
    <row r="405" spans="1:18">
      <c r="A405" s="505"/>
      <c r="B405" s="511" t="s">
        <v>740</v>
      </c>
      <c r="C405" s="507">
        <v>16</v>
      </c>
      <c r="D405" s="508"/>
      <c r="E405" s="507">
        <v>1</v>
      </c>
      <c r="F405" s="502">
        <v>1</v>
      </c>
      <c r="G405" s="502">
        <v>2</v>
      </c>
      <c r="H405" s="602">
        <f>0.58+8*$C405/1000</f>
        <v>0.70799999999999996</v>
      </c>
      <c r="I405" s="602">
        <v>5.72</v>
      </c>
      <c r="J405" s="602">
        <f>0.58+8*$C405/1000</f>
        <v>0.70799999999999996</v>
      </c>
      <c r="K405" s="509"/>
      <c r="L405" s="510">
        <f>SUM(H405:J405)+K405</f>
        <v>7.1360000000000001</v>
      </c>
      <c r="M405" s="510">
        <f t="shared" si="0"/>
        <v>0</v>
      </c>
      <c r="N405" s="510">
        <f t="shared" si="1"/>
        <v>0</v>
      </c>
      <c r="O405" s="510">
        <f t="shared" si="2"/>
        <v>0</v>
      </c>
      <c r="P405" s="510">
        <f t="shared" si="3"/>
        <v>14.27</v>
      </c>
      <c r="Q405" s="510">
        <f t="shared" si="4"/>
        <v>0</v>
      </c>
      <c r="R405" s="510">
        <f t="shared" si="5"/>
        <v>0</v>
      </c>
    </row>
    <row r="406" spans="1:18">
      <c r="A406" s="505"/>
      <c r="B406" s="511" t="s">
        <v>773</v>
      </c>
      <c r="C406" s="507">
        <v>16</v>
      </c>
      <c r="D406" s="508"/>
      <c r="E406" s="507">
        <v>1</v>
      </c>
      <c r="F406" s="502">
        <v>1</v>
      </c>
      <c r="G406" s="502">
        <v>2</v>
      </c>
      <c r="H406" s="602">
        <f>0.58+8*$C406/1000</f>
        <v>0.70799999999999996</v>
      </c>
      <c r="I406" s="602">
        <v>5.72</v>
      </c>
      <c r="J406" s="602">
        <f>0.58+8*$C406/1000</f>
        <v>0.70799999999999996</v>
      </c>
      <c r="K406" s="509"/>
      <c r="L406" s="510">
        <f>SUM(H406:J406)+K406</f>
        <v>7.1360000000000001</v>
      </c>
      <c r="M406" s="510">
        <f t="shared" si="0"/>
        <v>0</v>
      </c>
      <c r="N406" s="510">
        <f t="shared" si="1"/>
        <v>0</v>
      </c>
      <c r="O406" s="510">
        <f t="shared" si="2"/>
        <v>0</v>
      </c>
      <c r="P406" s="510">
        <f t="shared" si="3"/>
        <v>14.27</v>
      </c>
      <c r="Q406" s="510">
        <f t="shared" si="4"/>
        <v>0</v>
      </c>
      <c r="R406" s="510">
        <f t="shared" si="5"/>
        <v>0</v>
      </c>
    </row>
    <row r="407" spans="1:18">
      <c r="A407" s="505"/>
      <c r="B407" s="511" t="s">
        <v>777</v>
      </c>
      <c r="C407" s="507">
        <v>8</v>
      </c>
      <c r="D407" s="508">
        <v>100</v>
      </c>
      <c r="E407" s="507">
        <v>1</v>
      </c>
      <c r="F407" s="502">
        <v>1</v>
      </c>
      <c r="G407" s="502">
        <f>+ROUND(1.8/0.1+1,0)</f>
        <v>19</v>
      </c>
      <c r="H407" s="602"/>
      <c r="I407" s="602">
        <f>2*(0.15+0.4)+16*C407/1000</f>
        <v>1.2280000000000002</v>
      </c>
      <c r="J407" s="235"/>
      <c r="K407" s="589"/>
      <c r="L407" s="510">
        <f t="shared" ref="L407:L409" si="252">SUM(H407:J407)+K407</f>
        <v>1.2280000000000002</v>
      </c>
      <c r="M407" s="510">
        <f t="shared" si="0"/>
        <v>23.33</v>
      </c>
      <c r="N407" s="510">
        <f t="shared" si="1"/>
        <v>0</v>
      </c>
      <c r="O407" s="510">
        <f t="shared" si="2"/>
        <v>0</v>
      </c>
      <c r="P407" s="510">
        <f t="shared" si="3"/>
        <v>0</v>
      </c>
      <c r="Q407" s="510">
        <f t="shared" si="4"/>
        <v>0</v>
      </c>
      <c r="R407" s="510">
        <f t="shared" si="5"/>
        <v>0</v>
      </c>
    </row>
    <row r="408" spans="1:18">
      <c r="A408" s="505"/>
      <c r="B408" s="511"/>
      <c r="C408" s="507">
        <v>8</v>
      </c>
      <c r="D408" s="508">
        <v>150</v>
      </c>
      <c r="E408" s="507">
        <v>1</v>
      </c>
      <c r="F408" s="502">
        <v>1</v>
      </c>
      <c r="G408" s="502">
        <f>+ROUND(1.63/0.15+1,0)</f>
        <v>12</v>
      </c>
      <c r="H408" s="602"/>
      <c r="I408" s="602">
        <f>2*(0.15+0.4)+16*C408/1000</f>
        <v>1.2280000000000002</v>
      </c>
      <c r="J408" s="235"/>
      <c r="K408" s="589"/>
      <c r="L408" s="510">
        <f t="shared" si="252"/>
        <v>1.2280000000000002</v>
      </c>
      <c r="M408" s="510">
        <f t="shared" si="0"/>
        <v>14.74</v>
      </c>
      <c r="N408" s="510">
        <f t="shared" si="1"/>
        <v>0</v>
      </c>
      <c r="O408" s="510">
        <f t="shared" si="2"/>
        <v>0</v>
      </c>
      <c r="P408" s="510">
        <f t="shared" si="3"/>
        <v>0</v>
      </c>
      <c r="Q408" s="510">
        <f t="shared" si="4"/>
        <v>0</v>
      </c>
      <c r="R408" s="510">
        <f t="shared" si="5"/>
        <v>0</v>
      </c>
    </row>
    <row r="409" spans="1:18">
      <c r="A409" s="505"/>
      <c r="B409" s="511" t="s">
        <v>781</v>
      </c>
      <c r="C409" s="507">
        <v>8</v>
      </c>
      <c r="D409" s="508">
        <v>100</v>
      </c>
      <c r="E409" s="507">
        <v>1</v>
      </c>
      <c r="F409" s="502">
        <v>1</v>
      </c>
      <c r="G409" s="502">
        <f>+ROUND(1.99/0.1+1,0)</f>
        <v>21</v>
      </c>
      <c r="H409" s="602"/>
      <c r="I409" s="602">
        <f>2*(0.18+0.4)+16*C409/1000</f>
        <v>1.2880000000000003</v>
      </c>
      <c r="J409" s="235"/>
      <c r="K409" s="589"/>
      <c r="L409" s="510">
        <f t="shared" si="252"/>
        <v>1.2880000000000003</v>
      </c>
      <c r="M409" s="510">
        <f t="shared" ref="M409" si="253">+ROUND(IF(C409=8,PRODUCT(E409,F409,G409,L409),0),2)</f>
        <v>27.05</v>
      </c>
      <c r="N409" s="510">
        <f t="shared" ref="N409" si="254">+ROUND(IF(C409=10,PRODUCT(E409,F409,G409,L409),0),2)</f>
        <v>0</v>
      </c>
      <c r="O409" s="510">
        <f t="shared" ref="O409" si="255">+ROUND(IF(C409=12,PRODUCT(E409,F409,G409,L409),0),2)</f>
        <v>0</v>
      </c>
      <c r="P409" s="510">
        <f t="shared" ref="P409" si="256">+ROUND(IF(C409=16,PRODUCT(E409,F409,G409,L409),0),2)</f>
        <v>0</v>
      </c>
      <c r="Q409" s="510">
        <f t="shared" ref="Q409" si="257">+ROUND(IF(C409=20,PRODUCT(E409,F409,G409,L409),0),2)</f>
        <v>0</v>
      </c>
      <c r="R409" s="510">
        <f t="shared" ref="R409" si="258">+ROUND(IF(C409=25,PRODUCT(E409,F409,G409,L409),0),2)</f>
        <v>0</v>
      </c>
    </row>
    <row r="410" spans="1:18">
      <c r="A410" s="505"/>
      <c r="B410" s="511"/>
      <c r="C410" s="507"/>
      <c r="D410" s="508"/>
      <c r="E410" s="507"/>
      <c r="F410" s="502"/>
      <c r="G410" s="502"/>
      <c r="H410" s="602"/>
      <c r="I410" s="602"/>
      <c r="J410" s="235"/>
      <c r="K410" s="589"/>
      <c r="L410" s="510"/>
      <c r="M410" s="510"/>
      <c r="N410" s="510"/>
      <c r="O410" s="510"/>
      <c r="P410" s="510"/>
      <c r="Q410" s="510"/>
      <c r="R410" s="510"/>
    </row>
    <row r="411" spans="1:18">
      <c r="A411" s="505" t="s">
        <v>772</v>
      </c>
      <c r="B411" s="520" t="s">
        <v>1139</v>
      </c>
      <c r="C411" s="507"/>
      <c r="D411" s="508"/>
      <c r="E411" s="507"/>
      <c r="F411" s="502"/>
      <c r="G411" s="502"/>
      <c r="H411" s="602"/>
      <c r="I411" s="602"/>
      <c r="J411" s="235"/>
      <c r="K411" s="509"/>
      <c r="L411" s="510">
        <f t="shared" ref="L411" si="259">SUM(H411:J411)+K411</f>
        <v>0</v>
      </c>
      <c r="M411" s="510">
        <f t="shared" ref="M411:M415" si="260">+ROUND(IF(C411=8,PRODUCT(E411,F411,G411,L411),0),2)</f>
        <v>0</v>
      </c>
      <c r="N411" s="510">
        <f t="shared" ref="N411:N415" si="261">+ROUND(IF(C411=10,PRODUCT(E411,F411,G411,L411),0),2)</f>
        <v>0</v>
      </c>
      <c r="O411" s="510">
        <f t="shared" ref="O411:O415" si="262">+ROUND(IF(C411=12,PRODUCT(E411,F411,G411,L411),0),2)</f>
        <v>0</v>
      </c>
      <c r="P411" s="510">
        <f t="shared" ref="P411:P415" si="263">+ROUND(IF(C411=16,PRODUCT(E411,F411,G411,L411),0),2)</f>
        <v>0</v>
      </c>
      <c r="Q411" s="510">
        <f t="shared" ref="Q411:Q415" si="264">+ROUND(IF(C411=20,PRODUCT(E411,F411,G411,L411),0),2)</f>
        <v>0</v>
      </c>
      <c r="R411" s="510">
        <f t="shared" ref="R411:R415" si="265">+ROUND(IF(C411=25,PRODUCT(E411,F411,G411,L411),0),2)</f>
        <v>0</v>
      </c>
    </row>
    <row r="412" spans="1:18">
      <c r="A412" s="505"/>
      <c r="B412" s="511" t="s">
        <v>740</v>
      </c>
      <c r="C412" s="507">
        <v>16</v>
      </c>
      <c r="D412" s="508"/>
      <c r="E412" s="507">
        <v>2</v>
      </c>
      <c r="F412" s="502">
        <v>1</v>
      </c>
      <c r="G412" s="502">
        <v>2</v>
      </c>
      <c r="H412" s="602">
        <f>0.58+8*$C412/1000</f>
        <v>0.70799999999999996</v>
      </c>
      <c r="I412" s="602">
        <v>3.06</v>
      </c>
      <c r="J412" s="602">
        <f>0.58+8*$C412/1000</f>
        <v>0.70799999999999996</v>
      </c>
      <c r="K412" s="509"/>
      <c r="L412" s="510">
        <f>SUM(H412:J412)+K412</f>
        <v>4.476</v>
      </c>
      <c r="M412" s="510">
        <f t="shared" si="260"/>
        <v>0</v>
      </c>
      <c r="N412" s="510">
        <f t="shared" si="261"/>
        <v>0</v>
      </c>
      <c r="O412" s="510">
        <f t="shared" si="262"/>
        <v>0</v>
      </c>
      <c r="P412" s="510">
        <f t="shared" si="263"/>
        <v>17.899999999999999</v>
      </c>
      <c r="Q412" s="510">
        <f t="shared" si="264"/>
        <v>0</v>
      </c>
      <c r="R412" s="510">
        <f t="shared" si="265"/>
        <v>0</v>
      </c>
    </row>
    <row r="413" spans="1:18">
      <c r="A413" s="505"/>
      <c r="B413" s="511" t="s">
        <v>773</v>
      </c>
      <c r="C413" s="507">
        <v>16</v>
      </c>
      <c r="D413" s="508"/>
      <c r="E413" s="507">
        <v>2</v>
      </c>
      <c r="F413" s="502">
        <v>1</v>
      </c>
      <c r="G413" s="502">
        <v>2</v>
      </c>
      <c r="H413" s="602">
        <f>0.58+8*$C413/1000</f>
        <v>0.70799999999999996</v>
      </c>
      <c r="I413" s="602">
        <v>3.06</v>
      </c>
      <c r="J413" s="602">
        <f>0.58+8*$C413/1000</f>
        <v>0.70799999999999996</v>
      </c>
      <c r="K413" s="509">
        <f>49*C413/1000</f>
        <v>0.78400000000000003</v>
      </c>
      <c r="L413" s="510">
        <f>SUM(H413:J413)+K413</f>
        <v>5.26</v>
      </c>
      <c r="M413" s="510">
        <f t="shared" si="260"/>
        <v>0</v>
      </c>
      <c r="N413" s="510">
        <f t="shared" si="261"/>
        <v>0</v>
      </c>
      <c r="O413" s="510">
        <f t="shared" si="262"/>
        <v>0</v>
      </c>
      <c r="P413" s="510">
        <f t="shared" si="263"/>
        <v>21.04</v>
      </c>
      <c r="Q413" s="510">
        <f t="shared" si="264"/>
        <v>0</v>
      </c>
      <c r="R413" s="510">
        <f t="shared" si="265"/>
        <v>0</v>
      </c>
    </row>
    <row r="414" spans="1:18">
      <c r="A414" s="505"/>
      <c r="B414" s="511" t="s">
        <v>777</v>
      </c>
      <c r="C414" s="507">
        <v>8</v>
      </c>
      <c r="D414" s="508">
        <v>100</v>
      </c>
      <c r="E414" s="507">
        <v>2</v>
      </c>
      <c r="F414" s="502">
        <v>2</v>
      </c>
      <c r="G414" s="502">
        <f>+ROUND(1.8/0.1,0)</f>
        <v>18</v>
      </c>
      <c r="H414" s="602"/>
      <c r="I414" s="602">
        <f t="shared" ref="I414:I415" si="266">2*(0.14+0.39)+24*C414/1000</f>
        <v>1.252</v>
      </c>
      <c r="J414" s="235"/>
      <c r="K414" s="589"/>
      <c r="L414" s="510">
        <f t="shared" ref="L414:L415" si="267">SUM(H414:J414)+K414</f>
        <v>1.252</v>
      </c>
      <c r="M414" s="510">
        <f t="shared" si="260"/>
        <v>90.14</v>
      </c>
      <c r="N414" s="510">
        <f t="shared" si="261"/>
        <v>0</v>
      </c>
      <c r="O414" s="510">
        <f t="shared" si="262"/>
        <v>0</v>
      </c>
      <c r="P414" s="510">
        <f t="shared" si="263"/>
        <v>0</v>
      </c>
      <c r="Q414" s="510">
        <f t="shared" si="264"/>
        <v>0</v>
      </c>
      <c r="R414" s="510">
        <f t="shared" si="265"/>
        <v>0</v>
      </c>
    </row>
    <row r="415" spans="1:18">
      <c r="A415" s="505"/>
      <c r="B415" s="511"/>
      <c r="C415" s="507">
        <v>8</v>
      </c>
      <c r="D415" s="508">
        <v>150</v>
      </c>
      <c r="E415" s="507">
        <v>2</v>
      </c>
      <c r="F415" s="502">
        <v>2</v>
      </c>
      <c r="G415" s="502">
        <f>+ROUND(1.26/0.15+1,0)</f>
        <v>9</v>
      </c>
      <c r="H415" s="602"/>
      <c r="I415" s="602">
        <f t="shared" si="266"/>
        <v>1.252</v>
      </c>
      <c r="J415" s="235"/>
      <c r="K415" s="589"/>
      <c r="L415" s="510">
        <f t="shared" si="267"/>
        <v>1.252</v>
      </c>
      <c r="M415" s="510">
        <f t="shared" si="260"/>
        <v>45.07</v>
      </c>
      <c r="N415" s="510">
        <f t="shared" si="261"/>
        <v>0</v>
      </c>
      <c r="O415" s="510">
        <f t="shared" si="262"/>
        <v>0</v>
      </c>
      <c r="P415" s="510">
        <f t="shared" si="263"/>
        <v>0</v>
      </c>
      <c r="Q415" s="510">
        <f t="shared" si="264"/>
        <v>0</v>
      </c>
      <c r="R415" s="510">
        <f t="shared" si="265"/>
        <v>0</v>
      </c>
    </row>
    <row r="416" spans="1:18">
      <c r="A416" s="505"/>
      <c r="B416" s="511"/>
      <c r="C416" s="507"/>
      <c r="D416" s="508"/>
      <c r="E416" s="507"/>
      <c r="F416" s="502"/>
      <c r="G416" s="502"/>
      <c r="H416" s="602"/>
      <c r="I416" s="602"/>
      <c r="J416" s="235"/>
      <c r="K416" s="589"/>
      <c r="L416" s="510"/>
      <c r="M416" s="510"/>
      <c r="N416" s="510"/>
      <c r="O416" s="510"/>
      <c r="P416" s="510"/>
      <c r="Q416" s="510"/>
      <c r="R416" s="510"/>
    </row>
    <row r="417" spans="1:18">
      <c r="A417" s="505" t="s">
        <v>1072</v>
      </c>
      <c r="B417" s="520" t="s">
        <v>1140</v>
      </c>
      <c r="C417" s="507"/>
      <c r="D417" s="508"/>
      <c r="E417" s="507"/>
      <c r="F417" s="502"/>
      <c r="G417" s="502"/>
      <c r="H417" s="602"/>
      <c r="I417" s="602"/>
      <c r="J417" s="235"/>
      <c r="K417" s="509"/>
      <c r="L417" s="510">
        <f t="shared" ref="L417" si="268">SUM(H417:J417)+K417</f>
        <v>0</v>
      </c>
      <c r="M417" s="510">
        <f t="shared" ref="M417:M461" si="269">+ROUND(IF(C417=8,PRODUCT(E417,F417,G417,L417),0),2)</f>
        <v>0</v>
      </c>
      <c r="N417" s="510">
        <f t="shared" ref="N417:N461" si="270">+ROUND(IF(C417=10,PRODUCT(E417,F417,G417,L417),0),2)</f>
        <v>0</v>
      </c>
      <c r="O417" s="510">
        <f t="shared" ref="O417:O461" si="271">+ROUND(IF(C417=12,PRODUCT(E417,F417,G417,L417),0),2)</f>
        <v>0</v>
      </c>
      <c r="P417" s="510">
        <f t="shared" ref="P417:P461" si="272">+ROUND(IF(C417=16,PRODUCT(E417,F417,G417,L417),0),2)</f>
        <v>0</v>
      </c>
      <c r="Q417" s="510">
        <f t="shared" ref="Q417:Q461" si="273">+ROUND(IF(C417=20,PRODUCT(E417,F417,G417,L417),0),2)</f>
        <v>0</v>
      </c>
      <c r="R417" s="510">
        <f t="shared" ref="R417:R461" si="274">+ROUND(IF(C417=25,PRODUCT(E417,F417,G417,L417),0),2)</f>
        <v>0</v>
      </c>
    </row>
    <row r="418" spans="1:18">
      <c r="A418" s="505"/>
      <c r="B418" s="511" t="s">
        <v>740</v>
      </c>
      <c r="C418" s="507">
        <v>16</v>
      </c>
      <c r="D418" s="508"/>
      <c r="E418" s="507">
        <v>2</v>
      </c>
      <c r="F418" s="502">
        <v>1</v>
      </c>
      <c r="G418" s="502">
        <v>2</v>
      </c>
      <c r="H418" s="602">
        <f>0.58+8*$C418/1000</f>
        <v>0.70799999999999996</v>
      </c>
      <c r="I418" s="602">
        <v>3.63</v>
      </c>
      <c r="J418" s="602">
        <f>0.58+8*$C418/1000</f>
        <v>0.70799999999999996</v>
      </c>
      <c r="K418" s="509"/>
      <c r="L418" s="510">
        <f>SUM(H418:J418)+K418</f>
        <v>5.0460000000000003</v>
      </c>
      <c r="M418" s="510">
        <f t="shared" si="269"/>
        <v>0</v>
      </c>
      <c r="N418" s="510">
        <f t="shared" si="270"/>
        <v>0</v>
      </c>
      <c r="O418" s="510">
        <f t="shared" si="271"/>
        <v>0</v>
      </c>
      <c r="P418" s="510">
        <f t="shared" si="272"/>
        <v>20.18</v>
      </c>
      <c r="Q418" s="510">
        <f t="shared" si="273"/>
        <v>0</v>
      </c>
      <c r="R418" s="510">
        <f t="shared" si="274"/>
        <v>0</v>
      </c>
    </row>
    <row r="419" spans="1:18">
      <c r="A419" s="505"/>
      <c r="B419" s="511" t="s">
        <v>773</v>
      </c>
      <c r="C419" s="507">
        <v>16</v>
      </c>
      <c r="D419" s="508"/>
      <c r="E419" s="507">
        <v>2</v>
      </c>
      <c r="F419" s="502">
        <v>1</v>
      </c>
      <c r="G419" s="502">
        <v>2</v>
      </c>
      <c r="H419" s="602">
        <f>0.58+8*$C419/1000</f>
        <v>0.70799999999999996</v>
      </c>
      <c r="I419" s="602">
        <v>3.63</v>
      </c>
      <c r="J419" s="602">
        <f>0.58+8*$C419/1000</f>
        <v>0.70799999999999996</v>
      </c>
      <c r="K419" s="509"/>
      <c r="L419" s="510">
        <f>SUM(H419:J419)+K419</f>
        <v>5.0460000000000003</v>
      </c>
      <c r="M419" s="510">
        <f t="shared" si="269"/>
        <v>0</v>
      </c>
      <c r="N419" s="510">
        <f t="shared" si="270"/>
        <v>0</v>
      </c>
      <c r="O419" s="510">
        <f t="shared" si="271"/>
        <v>0</v>
      </c>
      <c r="P419" s="510">
        <f t="shared" si="272"/>
        <v>20.18</v>
      </c>
      <c r="Q419" s="510">
        <f t="shared" si="273"/>
        <v>0</v>
      </c>
      <c r="R419" s="510">
        <f t="shared" si="274"/>
        <v>0</v>
      </c>
    </row>
    <row r="420" spans="1:18">
      <c r="A420" s="505"/>
      <c r="B420" s="511" t="s">
        <v>774</v>
      </c>
      <c r="C420" s="507">
        <v>12</v>
      </c>
      <c r="D420" s="508"/>
      <c r="E420" s="507">
        <v>2</v>
      </c>
      <c r="F420" s="502">
        <v>1</v>
      </c>
      <c r="G420" s="502">
        <v>2</v>
      </c>
      <c r="H420" s="602"/>
      <c r="I420" s="602">
        <v>0.85</v>
      </c>
      <c r="J420" s="235"/>
      <c r="K420" s="509"/>
      <c r="L420" s="510">
        <f>SUM(H420:J420)+K420</f>
        <v>0.85</v>
      </c>
      <c r="M420" s="510">
        <f t="shared" si="269"/>
        <v>0</v>
      </c>
      <c r="N420" s="510">
        <f t="shared" si="270"/>
        <v>0</v>
      </c>
      <c r="O420" s="510">
        <f t="shared" si="271"/>
        <v>3.4</v>
      </c>
      <c r="P420" s="510">
        <f t="shared" si="272"/>
        <v>0</v>
      </c>
      <c r="Q420" s="510">
        <f t="shared" si="273"/>
        <v>0</v>
      </c>
      <c r="R420" s="510">
        <f t="shared" si="274"/>
        <v>0</v>
      </c>
    </row>
    <row r="421" spans="1:18">
      <c r="A421" s="505"/>
      <c r="B421" s="511" t="s">
        <v>1141</v>
      </c>
      <c r="C421" s="507">
        <v>8</v>
      </c>
      <c r="D421" s="508">
        <v>100</v>
      </c>
      <c r="E421" s="507">
        <v>2</v>
      </c>
      <c r="F421" s="502">
        <v>2</v>
      </c>
      <c r="G421" s="502">
        <f>+ROUND(0.28/0.1+1,0)</f>
        <v>4</v>
      </c>
      <c r="H421" s="602"/>
      <c r="I421" s="602">
        <f>2*(0.15+0.3)+16*C421/1000</f>
        <v>1.028</v>
      </c>
      <c r="J421" s="235"/>
      <c r="K421" s="589"/>
      <c r="L421" s="510">
        <f t="shared" ref="L421:L423" si="275">SUM(H421:J421)+K421</f>
        <v>1.028</v>
      </c>
      <c r="M421" s="510">
        <f t="shared" si="269"/>
        <v>16.45</v>
      </c>
      <c r="N421" s="510">
        <f t="shared" si="270"/>
        <v>0</v>
      </c>
      <c r="O421" s="510">
        <f t="shared" si="271"/>
        <v>0</v>
      </c>
      <c r="P421" s="510">
        <f t="shared" si="272"/>
        <v>0</v>
      </c>
      <c r="Q421" s="510">
        <f t="shared" si="273"/>
        <v>0</v>
      </c>
      <c r="R421" s="510">
        <f t="shared" si="274"/>
        <v>0</v>
      </c>
    </row>
    <row r="422" spans="1:18">
      <c r="A422" s="505"/>
      <c r="B422" s="511" t="s">
        <v>1141</v>
      </c>
      <c r="C422" s="507">
        <v>8</v>
      </c>
      <c r="D422" s="508">
        <v>100</v>
      </c>
      <c r="E422" s="507">
        <v>2</v>
      </c>
      <c r="F422" s="502">
        <v>2</v>
      </c>
      <c r="G422" s="502">
        <f>+ROUND(1.525/0.1,0)</f>
        <v>15</v>
      </c>
      <c r="H422" s="602"/>
      <c r="I422" s="602">
        <f>2*(0.15+0.3)+16*C422/1000</f>
        <v>1.028</v>
      </c>
      <c r="J422" s="235"/>
      <c r="K422" s="589"/>
      <c r="L422" s="510">
        <f t="shared" si="275"/>
        <v>1.028</v>
      </c>
      <c r="M422" s="510">
        <f t="shared" si="269"/>
        <v>61.68</v>
      </c>
      <c r="N422" s="510">
        <f t="shared" si="270"/>
        <v>0</v>
      </c>
      <c r="O422" s="510">
        <f t="shared" si="271"/>
        <v>0</v>
      </c>
      <c r="P422" s="510">
        <f t="shared" si="272"/>
        <v>0</v>
      </c>
      <c r="Q422" s="510">
        <f t="shared" si="273"/>
        <v>0</v>
      </c>
      <c r="R422" s="510">
        <f t="shared" si="274"/>
        <v>0</v>
      </c>
    </row>
    <row r="423" spans="1:18">
      <c r="A423" s="505"/>
      <c r="B423" s="511"/>
      <c r="C423" s="507">
        <v>8</v>
      </c>
      <c r="D423" s="508">
        <v>150</v>
      </c>
      <c r="E423" s="507">
        <v>2</v>
      </c>
      <c r="F423" s="502">
        <v>2</v>
      </c>
      <c r="G423" s="502">
        <f>+ROUND(1.525/0.15+1,0)</f>
        <v>11</v>
      </c>
      <c r="H423" s="602"/>
      <c r="I423" s="602">
        <f>2*(0.15+0.3)+16*C423/1000</f>
        <v>1.028</v>
      </c>
      <c r="J423" s="235"/>
      <c r="K423" s="589"/>
      <c r="L423" s="510">
        <f t="shared" si="275"/>
        <v>1.028</v>
      </c>
      <c r="M423" s="510">
        <f t="shared" si="269"/>
        <v>45.23</v>
      </c>
      <c r="N423" s="510">
        <f t="shared" si="270"/>
        <v>0</v>
      </c>
      <c r="O423" s="510">
        <f t="shared" si="271"/>
        <v>0</v>
      </c>
      <c r="P423" s="510">
        <f t="shared" si="272"/>
        <v>0</v>
      </c>
      <c r="Q423" s="510">
        <f t="shared" si="273"/>
        <v>0</v>
      </c>
      <c r="R423" s="510">
        <f t="shared" si="274"/>
        <v>0</v>
      </c>
    </row>
    <row r="424" spans="1:18">
      <c r="A424" s="505" t="s">
        <v>772</v>
      </c>
      <c r="B424" s="520" t="s">
        <v>1142</v>
      </c>
      <c r="C424" s="507"/>
      <c r="D424" s="508"/>
      <c r="E424" s="507"/>
      <c r="F424" s="502"/>
      <c r="G424" s="502"/>
      <c r="H424" s="602"/>
      <c r="I424" s="602"/>
      <c r="J424" s="235"/>
      <c r="K424" s="509"/>
      <c r="L424" s="510">
        <f t="shared" ref="L424" si="276">SUM(H424:J424)+K424</f>
        <v>0</v>
      </c>
      <c r="M424" s="510">
        <f t="shared" si="269"/>
        <v>0</v>
      </c>
      <c r="N424" s="510">
        <f t="shared" si="270"/>
        <v>0</v>
      </c>
      <c r="O424" s="510">
        <f t="shared" si="271"/>
        <v>0</v>
      </c>
      <c r="P424" s="510">
        <f t="shared" si="272"/>
        <v>0</v>
      </c>
      <c r="Q424" s="510">
        <f t="shared" si="273"/>
        <v>0</v>
      </c>
      <c r="R424" s="510">
        <f t="shared" si="274"/>
        <v>0</v>
      </c>
    </row>
    <row r="425" spans="1:18">
      <c r="A425" s="505"/>
      <c r="B425" s="511" t="s">
        <v>740</v>
      </c>
      <c r="C425" s="507">
        <v>16</v>
      </c>
      <c r="D425" s="508"/>
      <c r="E425" s="507">
        <v>1</v>
      </c>
      <c r="F425" s="502">
        <v>1</v>
      </c>
      <c r="G425" s="502">
        <v>2</v>
      </c>
      <c r="H425" s="602">
        <f>((0.79)/3)+0.1</f>
        <v>0.3633333333333334</v>
      </c>
      <c r="I425" s="602">
        <v>7</v>
      </c>
      <c r="J425" s="602">
        <f>((0.79)/3)+0.1</f>
        <v>0.3633333333333334</v>
      </c>
      <c r="K425" s="509"/>
      <c r="L425" s="510">
        <f>SUM(H425:J425)+K425</f>
        <v>7.7266666666666666</v>
      </c>
      <c r="M425" s="510">
        <f t="shared" si="269"/>
        <v>0</v>
      </c>
      <c r="N425" s="510">
        <f t="shared" si="270"/>
        <v>0</v>
      </c>
      <c r="O425" s="510">
        <f t="shared" si="271"/>
        <v>0</v>
      </c>
      <c r="P425" s="510">
        <f t="shared" si="272"/>
        <v>15.45</v>
      </c>
      <c r="Q425" s="510">
        <f t="shared" si="273"/>
        <v>0</v>
      </c>
      <c r="R425" s="510">
        <f t="shared" si="274"/>
        <v>0</v>
      </c>
    </row>
    <row r="426" spans="1:18">
      <c r="A426" s="505"/>
      <c r="B426" s="511" t="s">
        <v>773</v>
      </c>
      <c r="C426" s="507">
        <v>16</v>
      </c>
      <c r="D426" s="508"/>
      <c r="E426" s="507">
        <v>1</v>
      </c>
      <c r="F426" s="502">
        <v>1</v>
      </c>
      <c r="G426" s="502">
        <v>2</v>
      </c>
      <c r="H426" s="602">
        <f>((0.79)/3)+0.1</f>
        <v>0.3633333333333334</v>
      </c>
      <c r="I426" s="602">
        <v>7</v>
      </c>
      <c r="J426" s="602">
        <f>((0.79)/3)+0.1</f>
        <v>0.3633333333333334</v>
      </c>
      <c r="K426" s="509"/>
      <c r="L426" s="510">
        <f>SUM(H426:J426)+K426</f>
        <v>7.7266666666666666</v>
      </c>
      <c r="M426" s="510">
        <f t="shared" si="269"/>
        <v>0</v>
      </c>
      <c r="N426" s="510">
        <f t="shared" si="270"/>
        <v>0</v>
      </c>
      <c r="O426" s="510">
        <f t="shared" si="271"/>
        <v>0</v>
      </c>
      <c r="P426" s="510">
        <f t="shared" si="272"/>
        <v>15.45</v>
      </c>
      <c r="Q426" s="510">
        <f t="shared" si="273"/>
        <v>0</v>
      </c>
      <c r="R426" s="510">
        <f t="shared" si="274"/>
        <v>0</v>
      </c>
    </row>
    <row r="427" spans="1:18">
      <c r="A427" s="505"/>
      <c r="B427" s="511" t="s">
        <v>780</v>
      </c>
      <c r="C427" s="507">
        <v>8</v>
      </c>
      <c r="D427" s="508">
        <v>100</v>
      </c>
      <c r="E427" s="507">
        <v>1</v>
      </c>
      <c r="F427" s="502">
        <v>2</v>
      </c>
      <c r="G427" s="502">
        <f>+ROUND(1.8/0.1,0)</f>
        <v>18</v>
      </c>
      <c r="H427" s="602"/>
      <c r="I427" s="602">
        <f>2*(0.15+0.4)+16*C427/1000</f>
        <v>1.2280000000000002</v>
      </c>
      <c r="J427" s="235"/>
      <c r="K427" s="589"/>
      <c r="L427" s="510">
        <f t="shared" ref="L427:L429" si="277">SUM(H427:J427)+K427</f>
        <v>1.2280000000000002</v>
      </c>
      <c r="M427" s="510">
        <f t="shared" si="269"/>
        <v>44.21</v>
      </c>
      <c r="N427" s="510">
        <f t="shared" si="270"/>
        <v>0</v>
      </c>
      <c r="O427" s="510">
        <f t="shared" si="271"/>
        <v>0</v>
      </c>
      <c r="P427" s="510">
        <f t="shared" si="272"/>
        <v>0</v>
      </c>
      <c r="Q427" s="510">
        <f t="shared" si="273"/>
        <v>0</v>
      </c>
      <c r="R427" s="510">
        <f t="shared" si="274"/>
        <v>0</v>
      </c>
    </row>
    <row r="428" spans="1:18">
      <c r="A428" s="505"/>
      <c r="B428" s="511"/>
      <c r="C428" s="507">
        <v>8</v>
      </c>
      <c r="D428" s="508">
        <v>150</v>
      </c>
      <c r="E428" s="507">
        <v>1</v>
      </c>
      <c r="F428" s="502">
        <v>2</v>
      </c>
      <c r="G428" s="502">
        <f>+ROUND(1.585/0.15+1,0)</f>
        <v>12</v>
      </c>
      <c r="H428" s="602"/>
      <c r="I428" s="602">
        <f>2*(0.15+0.4)+16*C428/1000</f>
        <v>1.2280000000000002</v>
      </c>
      <c r="J428" s="235"/>
      <c r="K428" s="589"/>
      <c r="L428" s="510">
        <f t="shared" si="277"/>
        <v>1.2280000000000002</v>
      </c>
      <c r="M428" s="510">
        <f t="shared" si="269"/>
        <v>29.47</v>
      </c>
      <c r="N428" s="510">
        <f t="shared" si="270"/>
        <v>0</v>
      </c>
      <c r="O428" s="510">
        <f t="shared" si="271"/>
        <v>0</v>
      </c>
      <c r="P428" s="510">
        <f t="shared" si="272"/>
        <v>0</v>
      </c>
      <c r="Q428" s="510">
        <f t="shared" si="273"/>
        <v>0</v>
      </c>
      <c r="R428" s="510">
        <f t="shared" si="274"/>
        <v>0</v>
      </c>
    </row>
    <row r="429" spans="1:18">
      <c r="A429" s="505" t="s">
        <v>772</v>
      </c>
      <c r="B429" s="520" t="s">
        <v>1143</v>
      </c>
      <c r="C429" s="507"/>
      <c r="D429" s="508"/>
      <c r="E429" s="507"/>
      <c r="F429" s="502"/>
      <c r="G429" s="502"/>
      <c r="H429" s="602"/>
      <c r="I429" s="602"/>
      <c r="J429" s="235"/>
      <c r="K429" s="509"/>
      <c r="L429" s="510">
        <f t="shared" si="277"/>
        <v>0</v>
      </c>
      <c r="M429" s="510">
        <f t="shared" si="269"/>
        <v>0</v>
      </c>
      <c r="N429" s="510">
        <f t="shared" si="270"/>
        <v>0</v>
      </c>
      <c r="O429" s="510">
        <f t="shared" si="271"/>
        <v>0</v>
      </c>
      <c r="P429" s="510">
        <f t="shared" si="272"/>
        <v>0</v>
      </c>
      <c r="Q429" s="510">
        <f t="shared" si="273"/>
        <v>0</v>
      </c>
      <c r="R429" s="510">
        <f t="shared" si="274"/>
        <v>0</v>
      </c>
    </row>
    <row r="430" spans="1:18">
      <c r="A430" s="505"/>
      <c r="B430" s="511" t="s">
        <v>740</v>
      </c>
      <c r="C430" s="507">
        <v>16</v>
      </c>
      <c r="D430" s="508"/>
      <c r="E430" s="507">
        <v>1</v>
      </c>
      <c r="F430" s="502">
        <v>2</v>
      </c>
      <c r="G430" s="502">
        <v>2</v>
      </c>
      <c r="H430" s="602">
        <f>0.58+8*$C430/1000</f>
        <v>0.70799999999999996</v>
      </c>
      <c r="I430" s="602">
        <v>5.15</v>
      </c>
      <c r="J430" s="602">
        <f>((0.79)/3)+0.1</f>
        <v>0.3633333333333334</v>
      </c>
      <c r="K430" s="509"/>
      <c r="L430" s="510">
        <f>SUM(H430:J430)+K430</f>
        <v>6.2213333333333338</v>
      </c>
      <c r="M430" s="510">
        <f t="shared" si="269"/>
        <v>0</v>
      </c>
      <c r="N430" s="510">
        <f t="shared" si="270"/>
        <v>0</v>
      </c>
      <c r="O430" s="510">
        <f t="shared" si="271"/>
        <v>0</v>
      </c>
      <c r="P430" s="510">
        <f t="shared" si="272"/>
        <v>24.89</v>
      </c>
      <c r="Q430" s="510">
        <f t="shared" si="273"/>
        <v>0</v>
      </c>
      <c r="R430" s="510">
        <f t="shared" si="274"/>
        <v>0</v>
      </c>
    </row>
    <row r="431" spans="1:18">
      <c r="A431" s="505"/>
      <c r="B431" s="511" t="s">
        <v>740</v>
      </c>
      <c r="C431" s="507">
        <v>16</v>
      </c>
      <c r="D431" s="508"/>
      <c r="E431" s="507">
        <v>1</v>
      </c>
      <c r="F431" s="502">
        <v>1</v>
      </c>
      <c r="G431" s="502">
        <v>2</v>
      </c>
      <c r="H431" s="602">
        <v>0.79</v>
      </c>
      <c r="I431" s="602">
        <v>3</v>
      </c>
      <c r="J431" s="602">
        <v>0.79</v>
      </c>
      <c r="K431" s="509"/>
      <c r="L431" s="510">
        <f>SUM(H431:J431)+K431</f>
        <v>4.58</v>
      </c>
      <c r="M431" s="510">
        <f t="shared" si="269"/>
        <v>0</v>
      </c>
      <c r="N431" s="510">
        <f t="shared" si="270"/>
        <v>0</v>
      </c>
      <c r="O431" s="510">
        <f t="shared" si="271"/>
        <v>0</v>
      </c>
      <c r="P431" s="510">
        <f t="shared" si="272"/>
        <v>9.16</v>
      </c>
      <c r="Q431" s="510">
        <f t="shared" si="273"/>
        <v>0</v>
      </c>
      <c r="R431" s="510">
        <f t="shared" si="274"/>
        <v>0</v>
      </c>
    </row>
    <row r="432" spans="1:18">
      <c r="A432" s="505"/>
      <c r="B432" s="511" t="s">
        <v>773</v>
      </c>
      <c r="C432" s="507">
        <v>16</v>
      </c>
      <c r="D432" s="508"/>
      <c r="E432" s="507">
        <v>1</v>
      </c>
      <c r="F432" s="502">
        <v>1</v>
      </c>
      <c r="G432" s="502">
        <v>2</v>
      </c>
      <c r="H432" s="602">
        <f>0.58+8*$C432/1000</f>
        <v>0.70799999999999996</v>
      </c>
      <c r="I432" s="602">
        <v>13.9</v>
      </c>
      <c r="J432" s="602">
        <f>0.58+8*$C432/1000</f>
        <v>0.70799999999999996</v>
      </c>
      <c r="K432" s="509">
        <v>0.79</v>
      </c>
      <c r="L432" s="510">
        <f>SUM(H432:J432)+K432</f>
        <v>16.106000000000002</v>
      </c>
      <c r="M432" s="510">
        <f t="shared" si="269"/>
        <v>0</v>
      </c>
      <c r="N432" s="510">
        <f t="shared" si="270"/>
        <v>0</v>
      </c>
      <c r="O432" s="510">
        <f t="shared" si="271"/>
        <v>0</v>
      </c>
      <c r="P432" s="510">
        <f t="shared" si="272"/>
        <v>32.21</v>
      </c>
      <c r="Q432" s="510">
        <f t="shared" si="273"/>
        <v>0</v>
      </c>
      <c r="R432" s="510">
        <f t="shared" si="274"/>
        <v>0</v>
      </c>
    </row>
    <row r="433" spans="1:18">
      <c r="A433" s="505"/>
      <c r="B433" s="511" t="s">
        <v>777</v>
      </c>
      <c r="C433" s="507">
        <v>8</v>
      </c>
      <c r="D433" s="508">
        <v>100</v>
      </c>
      <c r="E433" s="507">
        <v>1</v>
      </c>
      <c r="F433" s="502">
        <v>2</v>
      </c>
      <c r="G433" s="502">
        <f>+ROUND(1.8/0.1,0)</f>
        <v>18</v>
      </c>
      <c r="H433" s="602"/>
      <c r="I433" s="602">
        <f t="shared" ref="I433:I434" si="278">2*(0.15+0.4)+16*C433/1000</f>
        <v>1.2280000000000002</v>
      </c>
      <c r="J433" s="235"/>
      <c r="K433" s="589"/>
      <c r="L433" s="510">
        <f t="shared" ref="L433:L435" si="279">SUM(H433:J433)+K433</f>
        <v>1.2280000000000002</v>
      </c>
      <c r="M433" s="510">
        <f t="shared" si="269"/>
        <v>44.21</v>
      </c>
      <c r="N433" s="510">
        <f t="shared" si="270"/>
        <v>0</v>
      </c>
      <c r="O433" s="510">
        <f t="shared" si="271"/>
        <v>0</v>
      </c>
      <c r="P433" s="510">
        <f t="shared" si="272"/>
        <v>0</v>
      </c>
      <c r="Q433" s="510">
        <f t="shared" si="273"/>
        <v>0</v>
      </c>
      <c r="R433" s="510">
        <f t="shared" si="274"/>
        <v>0</v>
      </c>
    </row>
    <row r="434" spans="1:18">
      <c r="A434" s="505"/>
      <c r="B434" s="511"/>
      <c r="C434" s="507">
        <v>8</v>
      </c>
      <c r="D434" s="508">
        <v>150</v>
      </c>
      <c r="E434" s="507">
        <v>1</v>
      </c>
      <c r="F434" s="502">
        <v>2</v>
      </c>
      <c r="G434" s="502">
        <f>+ROUND(1.45/0.15+1,0)</f>
        <v>11</v>
      </c>
      <c r="H434" s="602"/>
      <c r="I434" s="602">
        <f t="shared" si="278"/>
        <v>1.2280000000000002</v>
      </c>
      <c r="J434" s="235"/>
      <c r="K434" s="589"/>
      <c r="L434" s="510">
        <f t="shared" si="279"/>
        <v>1.2280000000000002</v>
      </c>
      <c r="M434" s="510">
        <f t="shared" si="269"/>
        <v>27.02</v>
      </c>
      <c r="N434" s="510">
        <f t="shared" si="270"/>
        <v>0</v>
      </c>
      <c r="O434" s="510">
        <f t="shared" si="271"/>
        <v>0</v>
      </c>
      <c r="P434" s="510">
        <f t="shared" si="272"/>
        <v>0</v>
      </c>
      <c r="Q434" s="510">
        <f t="shared" si="273"/>
        <v>0</v>
      </c>
      <c r="R434" s="510">
        <f t="shared" si="274"/>
        <v>0</v>
      </c>
    </row>
    <row r="435" spans="1:18">
      <c r="A435" s="505"/>
      <c r="B435" s="511" t="s">
        <v>777</v>
      </c>
      <c r="C435" s="507">
        <v>8</v>
      </c>
      <c r="D435" s="508">
        <v>100</v>
      </c>
      <c r="E435" s="507">
        <v>1</v>
      </c>
      <c r="F435" s="502">
        <v>2</v>
      </c>
      <c r="G435" s="502">
        <f>+ROUND(1.7/0.1+1,0)</f>
        <v>18</v>
      </c>
      <c r="H435" s="602"/>
      <c r="I435" s="602">
        <f>2*(0.15+0.4)+16*C435/1000</f>
        <v>1.2280000000000002</v>
      </c>
      <c r="J435" s="235"/>
      <c r="K435" s="589"/>
      <c r="L435" s="510">
        <f t="shared" si="279"/>
        <v>1.2280000000000002</v>
      </c>
      <c r="M435" s="510">
        <f t="shared" si="269"/>
        <v>44.21</v>
      </c>
      <c r="N435" s="510">
        <f t="shared" si="270"/>
        <v>0</v>
      </c>
      <c r="O435" s="510">
        <f t="shared" si="271"/>
        <v>0</v>
      </c>
      <c r="P435" s="510">
        <f t="shared" si="272"/>
        <v>0</v>
      </c>
      <c r="Q435" s="510">
        <f t="shared" si="273"/>
        <v>0</v>
      </c>
      <c r="R435" s="510">
        <f t="shared" si="274"/>
        <v>0</v>
      </c>
    </row>
    <row r="436" spans="1:18">
      <c r="A436" s="505"/>
      <c r="B436" s="511" t="s">
        <v>1080</v>
      </c>
      <c r="C436" s="507">
        <v>8</v>
      </c>
      <c r="D436" s="508">
        <v>100</v>
      </c>
      <c r="E436" s="507">
        <v>1</v>
      </c>
      <c r="F436" s="502">
        <v>2</v>
      </c>
      <c r="G436" s="502">
        <f>+ROUND(1.385/0.1+1,0)</f>
        <v>15</v>
      </c>
      <c r="H436" s="602"/>
      <c r="I436" s="602">
        <f>2*(0.15+0.3)+16*C436/1000</f>
        <v>1.028</v>
      </c>
      <c r="J436" s="235"/>
      <c r="K436" s="589"/>
      <c r="L436" s="510">
        <f t="shared" ref="L436" si="280">SUM(H436:J436)+K436</f>
        <v>1.028</v>
      </c>
      <c r="M436" s="510">
        <f t="shared" si="269"/>
        <v>30.84</v>
      </c>
      <c r="N436" s="510">
        <f t="shared" si="270"/>
        <v>0</v>
      </c>
      <c r="O436" s="510">
        <f t="shared" si="271"/>
        <v>0</v>
      </c>
      <c r="P436" s="510">
        <f t="shared" si="272"/>
        <v>0</v>
      </c>
      <c r="Q436" s="510">
        <f t="shared" si="273"/>
        <v>0</v>
      </c>
      <c r="R436" s="510">
        <f t="shared" si="274"/>
        <v>0</v>
      </c>
    </row>
    <row r="437" spans="1:18">
      <c r="A437" s="505"/>
      <c r="B437" s="511"/>
      <c r="C437" s="507">
        <v>8</v>
      </c>
      <c r="D437" s="508">
        <v>150</v>
      </c>
      <c r="E437" s="507">
        <v>1</v>
      </c>
      <c r="F437" s="502">
        <v>2</v>
      </c>
      <c r="G437" s="502">
        <f>+ROUND(1.585/0.15+1,0)</f>
        <v>12</v>
      </c>
      <c r="H437" s="602"/>
      <c r="I437" s="602">
        <f>2*(0.15+0.4)+16*C437/1000</f>
        <v>1.2280000000000002</v>
      </c>
      <c r="J437" s="235"/>
      <c r="K437" s="589"/>
      <c r="L437" s="510">
        <f t="shared" ref="L437" si="281">SUM(H437:J437)+K437</f>
        <v>1.2280000000000002</v>
      </c>
      <c r="M437" s="510">
        <f t="shared" si="269"/>
        <v>29.47</v>
      </c>
      <c r="N437" s="510">
        <f t="shared" si="270"/>
        <v>0</v>
      </c>
      <c r="O437" s="510">
        <f t="shared" si="271"/>
        <v>0</v>
      </c>
      <c r="P437" s="510">
        <f t="shared" si="272"/>
        <v>0</v>
      </c>
      <c r="Q437" s="510">
        <f t="shared" si="273"/>
        <v>0</v>
      </c>
      <c r="R437" s="510">
        <f t="shared" si="274"/>
        <v>0</v>
      </c>
    </row>
    <row r="438" spans="1:18">
      <c r="A438" s="505" t="s">
        <v>772</v>
      </c>
      <c r="B438" s="520" t="s">
        <v>1144</v>
      </c>
      <c r="C438" s="507"/>
      <c r="D438" s="508"/>
      <c r="E438" s="507"/>
      <c r="F438" s="502"/>
      <c r="G438" s="502"/>
      <c r="H438" s="602"/>
      <c r="I438" s="602"/>
      <c r="J438" s="235"/>
      <c r="K438" s="509"/>
      <c r="L438" s="510">
        <f t="shared" ref="L438" si="282">SUM(H438:J438)+K438</f>
        <v>0</v>
      </c>
      <c r="M438" s="510">
        <f t="shared" si="269"/>
        <v>0</v>
      </c>
      <c r="N438" s="510">
        <f t="shared" si="270"/>
        <v>0</v>
      </c>
      <c r="O438" s="510">
        <f t="shared" si="271"/>
        <v>0</v>
      </c>
      <c r="P438" s="510">
        <f t="shared" si="272"/>
        <v>0</v>
      </c>
      <c r="Q438" s="510">
        <f t="shared" si="273"/>
        <v>0</v>
      </c>
      <c r="R438" s="510">
        <f t="shared" si="274"/>
        <v>0</v>
      </c>
    </row>
    <row r="439" spans="1:18">
      <c r="A439" s="505"/>
      <c r="B439" s="511" t="s">
        <v>740</v>
      </c>
      <c r="C439" s="507">
        <v>16</v>
      </c>
      <c r="D439" s="508"/>
      <c r="E439" s="507">
        <v>2</v>
      </c>
      <c r="F439" s="502">
        <v>1</v>
      </c>
      <c r="G439" s="502">
        <v>2</v>
      </c>
      <c r="H439" s="602">
        <f>0.58+8*$C439/1000</f>
        <v>0.70799999999999996</v>
      </c>
      <c r="I439" s="602">
        <v>5.05</v>
      </c>
      <c r="J439" s="602">
        <f>((0.79)/3)+0.1</f>
        <v>0.3633333333333334</v>
      </c>
      <c r="K439" s="509"/>
      <c r="L439" s="510">
        <f>SUM(H439:J439)+K439</f>
        <v>6.1213333333333333</v>
      </c>
      <c r="M439" s="510">
        <f t="shared" si="269"/>
        <v>0</v>
      </c>
      <c r="N439" s="510">
        <f t="shared" si="270"/>
        <v>0</v>
      </c>
      <c r="O439" s="510">
        <f t="shared" si="271"/>
        <v>0</v>
      </c>
      <c r="P439" s="510">
        <f t="shared" si="272"/>
        <v>24.49</v>
      </c>
      <c r="Q439" s="510">
        <f t="shared" si="273"/>
        <v>0</v>
      </c>
      <c r="R439" s="510">
        <f t="shared" si="274"/>
        <v>0</v>
      </c>
    </row>
    <row r="440" spans="1:18">
      <c r="A440" s="505"/>
      <c r="B440" s="511" t="s">
        <v>773</v>
      </c>
      <c r="C440" s="507">
        <v>16</v>
      </c>
      <c r="D440" s="508"/>
      <c r="E440" s="507">
        <v>2</v>
      </c>
      <c r="F440" s="502">
        <v>1</v>
      </c>
      <c r="G440" s="502">
        <v>2</v>
      </c>
      <c r="H440" s="602">
        <f>0.58+8*$C440/1000</f>
        <v>0.70799999999999996</v>
      </c>
      <c r="I440" s="602">
        <v>5.05</v>
      </c>
      <c r="J440" s="602">
        <f>((0.79)/3)+0.1</f>
        <v>0.3633333333333334</v>
      </c>
      <c r="K440" s="509">
        <v>0.79</v>
      </c>
      <c r="L440" s="510">
        <f>SUM(H440:J440)+K440</f>
        <v>6.9113333333333333</v>
      </c>
      <c r="M440" s="510">
        <f t="shared" si="269"/>
        <v>0</v>
      </c>
      <c r="N440" s="510">
        <f t="shared" si="270"/>
        <v>0</v>
      </c>
      <c r="O440" s="510">
        <f t="shared" si="271"/>
        <v>0</v>
      </c>
      <c r="P440" s="510">
        <f t="shared" si="272"/>
        <v>27.65</v>
      </c>
      <c r="Q440" s="510">
        <f t="shared" si="273"/>
        <v>0</v>
      </c>
      <c r="R440" s="510">
        <f t="shared" si="274"/>
        <v>0</v>
      </c>
    </row>
    <row r="441" spans="1:18">
      <c r="A441" s="505"/>
      <c r="B441" s="511" t="s">
        <v>777</v>
      </c>
      <c r="C441" s="507">
        <v>8</v>
      </c>
      <c r="D441" s="508">
        <v>100</v>
      </c>
      <c r="E441" s="507">
        <v>2</v>
      </c>
      <c r="F441" s="502">
        <v>1</v>
      </c>
      <c r="G441" s="502">
        <f>+ROUND(1.8/0.1,0)</f>
        <v>18</v>
      </c>
      <c r="H441" s="602"/>
      <c r="I441" s="602">
        <f t="shared" ref="I441:I442" si="283">2*(0.15+0.4)+16*C441/1000</f>
        <v>1.2280000000000002</v>
      </c>
      <c r="J441" s="235"/>
      <c r="K441" s="589"/>
      <c r="L441" s="510">
        <f t="shared" ref="L441:L444" si="284">SUM(H441:J441)+K441</f>
        <v>1.2280000000000002</v>
      </c>
      <c r="M441" s="510">
        <f t="shared" si="269"/>
        <v>44.21</v>
      </c>
      <c r="N441" s="510">
        <f t="shared" si="270"/>
        <v>0</v>
      </c>
      <c r="O441" s="510">
        <f t="shared" si="271"/>
        <v>0</v>
      </c>
      <c r="P441" s="510">
        <f t="shared" si="272"/>
        <v>0</v>
      </c>
      <c r="Q441" s="510">
        <f t="shared" si="273"/>
        <v>0</v>
      </c>
      <c r="R441" s="510">
        <f t="shared" si="274"/>
        <v>0</v>
      </c>
    </row>
    <row r="442" spans="1:18">
      <c r="A442" s="505"/>
      <c r="B442" s="511"/>
      <c r="C442" s="507">
        <v>8</v>
      </c>
      <c r="D442" s="508">
        <v>150</v>
      </c>
      <c r="E442" s="507">
        <v>2</v>
      </c>
      <c r="F442" s="502">
        <v>1</v>
      </c>
      <c r="G442" s="502">
        <f>+ROUND(1.45/0.15+1,0)</f>
        <v>11</v>
      </c>
      <c r="H442" s="602"/>
      <c r="I442" s="602">
        <f t="shared" si="283"/>
        <v>1.2280000000000002</v>
      </c>
      <c r="J442" s="235"/>
      <c r="K442" s="589"/>
      <c r="L442" s="510">
        <f t="shared" si="284"/>
        <v>1.2280000000000002</v>
      </c>
      <c r="M442" s="510">
        <f t="shared" si="269"/>
        <v>27.02</v>
      </c>
      <c r="N442" s="510">
        <f t="shared" si="270"/>
        <v>0</v>
      </c>
      <c r="O442" s="510">
        <f t="shared" si="271"/>
        <v>0</v>
      </c>
      <c r="P442" s="510">
        <f t="shared" si="272"/>
        <v>0</v>
      </c>
      <c r="Q442" s="510">
        <f t="shared" si="273"/>
        <v>0</v>
      </c>
      <c r="R442" s="510">
        <f t="shared" si="274"/>
        <v>0</v>
      </c>
    </row>
    <row r="443" spans="1:18">
      <c r="A443" s="505"/>
      <c r="B443" s="511" t="s">
        <v>777</v>
      </c>
      <c r="C443" s="507">
        <v>8</v>
      </c>
      <c r="D443" s="508">
        <v>100</v>
      </c>
      <c r="E443" s="507">
        <v>2</v>
      </c>
      <c r="F443" s="502">
        <v>1</v>
      </c>
      <c r="G443" s="502">
        <f>+ROUND(1.7/0.1+1,0)</f>
        <v>18</v>
      </c>
      <c r="H443" s="602"/>
      <c r="I443" s="602">
        <f>2*(0.15+0.4)+16*C443/1000</f>
        <v>1.2280000000000002</v>
      </c>
      <c r="J443" s="235"/>
      <c r="K443" s="589"/>
      <c r="L443" s="510">
        <f t="shared" si="284"/>
        <v>1.2280000000000002</v>
      </c>
      <c r="M443" s="510">
        <f t="shared" si="269"/>
        <v>44.21</v>
      </c>
      <c r="N443" s="510">
        <f t="shared" si="270"/>
        <v>0</v>
      </c>
      <c r="O443" s="510">
        <f t="shared" si="271"/>
        <v>0</v>
      </c>
      <c r="P443" s="510">
        <f t="shared" si="272"/>
        <v>0</v>
      </c>
      <c r="Q443" s="510">
        <f t="shared" si="273"/>
        <v>0</v>
      </c>
      <c r="R443" s="510">
        <f t="shared" si="274"/>
        <v>0</v>
      </c>
    </row>
    <row r="444" spans="1:18">
      <c r="A444" s="505"/>
      <c r="B444" s="511"/>
      <c r="C444" s="507">
        <v>8</v>
      </c>
      <c r="D444" s="508">
        <v>150</v>
      </c>
      <c r="E444" s="507">
        <v>2</v>
      </c>
      <c r="F444" s="502">
        <v>2</v>
      </c>
      <c r="G444" s="502">
        <f>+ROUND(1.585/0.15+1,0)</f>
        <v>12</v>
      </c>
      <c r="H444" s="602"/>
      <c r="I444" s="602">
        <f>2*(0.15+0.4)+16*C444/1000</f>
        <v>1.2280000000000002</v>
      </c>
      <c r="J444" s="235"/>
      <c r="K444" s="589"/>
      <c r="L444" s="510">
        <f t="shared" si="284"/>
        <v>1.2280000000000002</v>
      </c>
      <c r="M444" s="510">
        <f t="shared" si="269"/>
        <v>58.94</v>
      </c>
      <c r="N444" s="510">
        <f t="shared" si="270"/>
        <v>0</v>
      </c>
      <c r="O444" s="510">
        <f t="shared" si="271"/>
        <v>0</v>
      </c>
      <c r="P444" s="510">
        <f t="shared" si="272"/>
        <v>0</v>
      </c>
      <c r="Q444" s="510">
        <f t="shared" si="273"/>
        <v>0</v>
      </c>
      <c r="R444" s="510">
        <f t="shared" si="274"/>
        <v>0</v>
      </c>
    </row>
    <row r="445" spans="1:18">
      <c r="A445" s="505" t="s">
        <v>1072</v>
      </c>
      <c r="B445" s="520" t="s">
        <v>1145</v>
      </c>
      <c r="C445" s="507"/>
      <c r="D445" s="508"/>
      <c r="E445" s="507"/>
      <c r="F445" s="502"/>
      <c r="G445" s="502"/>
      <c r="H445" s="602"/>
      <c r="I445" s="602"/>
      <c r="J445" s="235"/>
      <c r="K445" s="509"/>
      <c r="L445" s="510">
        <f t="shared" ref="L445" si="285">SUM(H445:J445)+K445</f>
        <v>0</v>
      </c>
      <c r="M445" s="510">
        <f t="shared" si="269"/>
        <v>0</v>
      </c>
      <c r="N445" s="510">
        <f t="shared" si="270"/>
        <v>0</v>
      </c>
      <c r="O445" s="510">
        <f t="shared" si="271"/>
        <v>0</v>
      </c>
      <c r="P445" s="510">
        <f t="shared" si="272"/>
        <v>0</v>
      </c>
      <c r="Q445" s="510">
        <f t="shared" si="273"/>
        <v>0</v>
      </c>
      <c r="R445" s="510">
        <f t="shared" si="274"/>
        <v>0</v>
      </c>
    </row>
    <row r="446" spans="1:18">
      <c r="A446" s="505"/>
      <c r="B446" s="511" t="s">
        <v>740</v>
      </c>
      <c r="C446" s="507">
        <v>16</v>
      </c>
      <c r="D446" s="508"/>
      <c r="E446" s="507">
        <v>1</v>
      </c>
      <c r="F446" s="502">
        <v>1</v>
      </c>
      <c r="G446" s="502">
        <v>2</v>
      </c>
      <c r="H446" s="602">
        <f>((0.79)/3)+0.1</f>
        <v>0.3633333333333334</v>
      </c>
      <c r="I446" s="602">
        <v>3.17</v>
      </c>
      <c r="J446" s="602">
        <f>((0.79)/3)+0.1</f>
        <v>0.3633333333333334</v>
      </c>
      <c r="K446" s="509"/>
      <c r="L446" s="510">
        <f>SUM(H446:J446)+K446</f>
        <v>3.8966666666666665</v>
      </c>
      <c r="M446" s="510">
        <f t="shared" si="269"/>
        <v>0</v>
      </c>
      <c r="N446" s="510">
        <f t="shared" si="270"/>
        <v>0</v>
      </c>
      <c r="O446" s="510">
        <f t="shared" si="271"/>
        <v>0</v>
      </c>
      <c r="P446" s="510">
        <f t="shared" si="272"/>
        <v>7.79</v>
      </c>
      <c r="Q446" s="510">
        <f t="shared" si="273"/>
        <v>0</v>
      </c>
      <c r="R446" s="510">
        <f t="shared" si="274"/>
        <v>0</v>
      </c>
    </row>
    <row r="447" spans="1:18">
      <c r="A447" s="505"/>
      <c r="B447" s="511" t="s">
        <v>773</v>
      </c>
      <c r="C447" s="507">
        <v>16</v>
      </c>
      <c r="D447" s="508"/>
      <c r="E447" s="507">
        <v>1</v>
      </c>
      <c r="F447" s="502">
        <v>1</v>
      </c>
      <c r="G447" s="502">
        <v>2</v>
      </c>
      <c r="H447" s="602">
        <f>((0.79)/3)+0.1</f>
        <v>0.3633333333333334</v>
      </c>
      <c r="I447" s="602">
        <v>3.17</v>
      </c>
      <c r="J447" s="602">
        <f>((0.79)/3)+0.1</f>
        <v>0.3633333333333334</v>
      </c>
      <c r="K447" s="509">
        <v>0.79</v>
      </c>
      <c r="L447" s="510">
        <f>SUM(H447:J447)+K447</f>
        <v>4.6866666666666665</v>
      </c>
      <c r="M447" s="510">
        <f t="shared" si="269"/>
        <v>0</v>
      </c>
      <c r="N447" s="510">
        <f t="shared" si="270"/>
        <v>0</v>
      </c>
      <c r="O447" s="510">
        <f t="shared" si="271"/>
        <v>0</v>
      </c>
      <c r="P447" s="510">
        <f t="shared" si="272"/>
        <v>9.3699999999999992</v>
      </c>
      <c r="Q447" s="510">
        <f t="shared" si="273"/>
        <v>0</v>
      </c>
      <c r="R447" s="510">
        <f t="shared" si="274"/>
        <v>0</v>
      </c>
    </row>
    <row r="448" spans="1:18">
      <c r="A448" s="505"/>
      <c r="B448" s="511" t="s">
        <v>1080</v>
      </c>
      <c r="C448" s="507">
        <v>8</v>
      </c>
      <c r="D448" s="508">
        <v>100</v>
      </c>
      <c r="E448" s="507">
        <v>1</v>
      </c>
      <c r="F448" s="502">
        <v>1</v>
      </c>
      <c r="G448" s="502">
        <f>+ROUND(1.585/0.1,0)</f>
        <v>16</v>
      </c>
      <c r="H448" s="602"/>
      <c r="I448" s="602">
        <f>2*(0.15+0.3)+16*C448/1000</f>
        <v>1.028</v>
      </c>
      <c r="J448" s="235"/>
      <c r="K448" s="589"/>
      <c r="L448" s="510">
        <f t="shared" ref="L448:L449" si="286">SUM(H448:J448)+K448</f>
        <v>1.028</v>
      </c>
      <c r="M448" s="510">
        <f t="shared" si="269"/>
        <v>16.45</v>
      </c>
      <c r="N448" s="510">
        <f t="shared" si="270"/>
        <v>0</v>
      </c>
      <c r="O448" s="510">
        <f t="shared" si="271"/>
        <v>0</v>
      </c>
      <c r="P448" s="510">
        <f t="shared" si="272"/>
        <v>0</v>
      </c>
      <c r="Q448" s="510">
        <f t="shared" si="273"/>
        <v>0</v>
      </c>
      <c r="R448" s="510">
        <f t="shared" si="274"/>
        <v>0</v>
      </c>
    </row>
    <row r="449" spans="1:18">
      <c r="A449" s="505"/>
      <c r="B449" s="511"/>
      <c r="C449" s="507">
        <v>8</v>
      </c>
      <c r="D449" s="508">
        <v>150</v>
      </c>
      <c r="E449" s="507">
        <v>1</v>
      </c>
      <c r="F449" s="502">
        <v>1</v>
      </c>
      <c r="G449" s="502">
        <f>+ROUND(1.585/0.15+1,0)</f>
        <v>12</v>
      </c>
      <c r="H449" s="602"/>
      <c r="I449" s="602">
        <f>2*(0.15+0.3)+16*C449/1000</f>
        <v>1.028</v>
      </c>
      <c r="J449" s="235"/>
      <c r="K449" s="589"/>
      <c r="L449" s="510">
        <f t="shared" si="286"/>
        <v>1.028</v>
      </c>
      <c r="M449" s="510">
        <f t="shared" si="269"/>
        <v>12.34</v>
      </c>
      <c r="N449" s="510">
        <f t="shared" si="270"/>
        <v>0</v>
      </c>
      <c r="O449" s="510">
        <f t="shared" si="271"/>
        <v>0</v>
      </c>
      <c r="P449" s="510">
        <f t="shared" si="272"/>
        <v>0</v>
      </c>
      <c r="Q449" s="510">
        <f t="shared" si="273"/>
        <v>0</v>
      </c>
      <c r="R449" s="510">
        <f t="shared" si="274"/>
        <v>0</v>
      </c>
    </row>
    <row r="450" spans="1:18">
      <c r="A450" s="505"/>
      <c r="B450" s="511"/>
      <c r="C450" s="507">
        <v>8</v>
      </c>
      <c r="D450" s="508">
        <v>150</v>
      </c>
      <c r="E450" s="507">
        <v>1</v>
      </c>
      <c r="F450" s="502">
        <v>2</v>
      </c>
      <c r="G450" s="502">
        <f>+ROUND(1.585/0.15+1,0)</f>
        <v>12</v>
      </c>
      <c r="H450" s="602"/>
      <c r="I450" s="602">
        <f>2*(0.15+0.4)+16*C450/1000</f>
        <v>1.2280000000000002</v>
      </c>
      <c r="J450" s="235"/>
      <c r="K450" s="589"/>
      <c r="L450" s="510">
        <f t="shared" ref="L450" si="287">SUM(H450:J450)+K450</f>
        <v>1.2280000000000002</v>
      </c>
      <c r="M450" s="510">
        <f t="shared" si="269"/>
        <v>29.47</v>
      </c>
      <c r="N450" s="510">
        <f t="shared" si="270"/>
        <v>0</v>
      </c>
      <c r="O450" s="510">
        <f t="shared" si="271"/>
        <v>0</v>
      </c>
      <c r="P450" s="510">
        <f t="shared" si="272"/>
        <v>0</v>
      </c>
      <c r="Q450" s="510">
        <f t="shared" si="273"/>
        <v>0</v>
      </c>
      <c r="R450" s="510">
        <f t="shared" si="274"/>
        <v>0</v>
      </c>
    </row>
    <row r="451" spans="1:18">
      <c r="A451" s="505" t="s">
        <v>772</v>
      </c>
      <c r="B451" s="520" t="s">
        <v>1146</v>
      </c>
      <c r="C451" s="507"/>
      <c r="D451" s="508"/>
      <c r="E451" s="507"/>
      <c r="F451" s="502"/>
      <c r="G451" s="502"/>
      <c r="H451" s="602"/>
      <c r="I451" s="602"/>
      <c r="J451" s="235"/>
      <c r="K451" s="509"/>
      <c r="L451" s="510">
        <f t="shared" ref="L451" si="288">SUM(H451:J451)+K451</f>
        <v>0</v>
      </c>
      <c r="M451" s="510">
        <f t="shared" si="269"/>
        <v>0</v>
      </c>
      <c r="N451" s="510">
        <f t="shared" si="270"/>
        <v>0</v>
      </c>
      <c r="O451" s="510">
        <f t="shared" si="271"/>
        <v>0</v>
      </c>
      <c r="P451" s="510">
        <f t="shared" si="272"/>
        <v>0</v>
      </c>
      <c r="Q451" s="510">
        <f t="shared" si="273"/>
        <v>0</v>
      </c>
      <c r="R451" s="510">
        <f t="shared" si="274"/>
        <v>0</v>
      </c>
    </row>
    <row r="452" spans="1:18">
      <c r="A452" s="505"/>
      <c r="B452" s="511" t="s">
        <v>740</v>
      </c>
      <c r="C452" s="507">
        <v>16</v>
      </c>
      <c r="D452" s="508"/>
      <c r="E452" s="507">
        <v>1</v>
      </c>
      <c r="F452" s="603">
        <v>0.5</v>
      </c>
      <c r="G452" s="502">
        <v>2</v>
      </c>
      <c r="H452" s="602">
        <f>((0.79)/3)+0.1</f>
        <v>0.3633333333333334</v>
      </c>
      <c r="I452" s="602">
        <v>5.58</v>
      </c>
      <c r="J452" s="602">
        <v>0.57999999999999996</v>
      </c>
      <c r="K452" s="509"/>
      <c r="L452" s="510">
        <f>SUM(H452:J452)+K452</f>
        <v>6.5233333333333334</v>
      </c>
      <c r="M452" s="510">
        <f t="shared" si="269"/>
        <v>0</v>
      </c>
      <c r="N452" s="510">
        <f t="shared" si="270"/>
        <v>0</v>
      </c>
      <c r="O452" s="510">
        <f t="shared" si="271"/>
        <v>0</v>
      </c>
      <c r="P452" s="510">
        <f t="shared" si="272"/>
        <v>6.52</v>
      </c>
      <c r="Q452" s="510">
        <f t="shared" si="273"/>
        <v>0</v>
      </c>
      <c r="R452" s="510">
        <f t="shared" si="274"/>
        <v>0</v>
      </c>
    </row>
    <row r="453" spans="1:18">
      <c r="A453" s="505"/>
      <c r="B453" s="511" t="s">
        <v>773</v>
      </c>
      <c r="C453" s="507">
        <v>16</v>
      </c>
      <c r="D453" s="508"/>
      <c r="E453" s="507">
        <v>1</v>
      </c>
      <c r="F453" s="603">
        <v>0.5</v>
      </c>
      <c r="G453" s="502">
        <v>2</v>
      </c>
      <c r="H453" s="602">
        <f>((0.79)/3)+0.1</f>
        <v>0.3633333333333334</v>
      </c>
      <c r="I453" s="602">
        <v>5.58</v>
      </c>
      <c r="J453" s="602">
        <v>0.57999999999999996</v>
      </c>
      <c r="K453" s="509">
        <v>0.79</v>
      </c>
      <c r="L453" s="510">
        <f>SUM(H453:J453)+K453</f>
        <v>7.3133333333333335</v>
      </c>
      <c r="M453" s="510">
        <f t="shared" si="269"/>
        <v>0</v>
      </c>
      <c r="N453" s="510">
        <f t="shared" si="270"/>
        <v>0</v>
      </c>
      <c r="O453" s="510">
        <f t="shared" si="271"/>
        <v>0</v>
      </c>
      <c r="P453" s="510">
        <f t="shared" si="272"/>
        <v>7.31</v>
      </c>
      <c r="Q453" s="510">
        <f t="shared" si="273"/>
        <v>0</v>
      </c>
      <c r="R453" s="510">
        <f t="shared" si="274"/>
        <v>0</v>
      </c>
    </row>
    <row r="454" spans="1:18">
      <c r="A454" s="505"/>
      <c r="B454" s="511" t="s">
        <v>777</v>
      </c>
      <c r="C454" s="507">
        <v>8</v>
      </c>
      <c r="D454" s="508">
        <v>100</v>
      </c>
      <c r="E454" s="507">
        <v>1</v>
      </c>
      <c r="F454" s="603">
        <v>0.5</v>
      </c>
      <c r="G454" s="502">
        <f>+ROUND(1.8/0.1,0)</f>
        <v>18</v>
      </c>
      <c r="H454" s="602"/>
      <c r="I454" s="602">
        <f>2*(0.15+0.4)+16*C454/1000</f>
        <v>1.2280000000000002</v>
      </c>
      <c r="J454" s="235"/>
      <c r="K454" s="589"/>
      <c r="L454" s="510">
        <f t="shared" ref="L454:L456" si="289">SUM(H454:J454)+K454</f>
        <v>1.2280000000000002</v>
      </c>
      <c r="M454" s="510">
        <f t="shared" si="269"/>
        <v>11.05</v>
      </c>
      <c r="N454" s="510">
        <f t="shared" si="270"/>
        <v>0</v>
      </c>
      <c r="O454" s="510">
        <f t="shared" si="271"/>
        <v>0</v>
      </c>
      <c r="P454" s="510">
        <f t="shared" si="272"/>
        <v>0</v>
      </c>
      <c r="Q454" s="510">
        <f t="shared" si="273"/>
        <v>0</v>
      </c>
      <c r="R454" s="510">
        <f t="shared" si="274"/>
        <v>0</v>
      </c>
    </row>
    <row r="455" spans="1:18">
      <c r="A455" s="505"/>
      <c r="B455" s="511"/>
      <c r="C455" s="507">
        <v>8</v>
      </c>
      <c r="D455" s="508">
        <v>150</v>
      </c>
      <c r="E455" s="507">
        <v>1</v>
      </c>
      <c r="F455" s="603">
        <v>0.5</v>
      </c>
      <c r="G455" s="502">
        <f>+ROUND(1.78/0.15+1,0)</f>
        <v>13</v>
      </c>
      <c r="H455" s="602"/>
      <c r="I455" s="602">
        <f>2*(0.15+0.4)+16*C455/1000</f>
        <v>1.2280000000000002</v>
      </c>
      <c r="J455" s="235"/>
      <c r="K455" s="589"/>
      <c r="L455" s="510">
        <f t="shared" si="289"/>
        <v>1.2280000000000002</v>
      </c>
      <c r="M455" s="510">
        <f t="shared" si="269"/>
        <v>7.98</v>
      </c>
      <c r="N455" s="510">
        <f t="shared" si="270"/>
        <v>0</v>
      </c>
      <c r="O455" s="510">
        <f t="shared" si="271"/>
        <v>0</v>
      </c>
      <c r="P455" s="510">
        <f t="shared" si="272"/>
        <v>0</v>
      </c>
      <c r="Q455" s="510">
        <f t="shared" si="273"/>
        <v>0</v>
      </c>
      <c r="R455" s="510">
        <f t="shared" si="274"/>
        <v>0</v>
      </c>
    </row>
    <row r="456" spans="1:18">
      <c r="A456" s="505"/>
      <c r="B456" s="511" t="s">
        <v>777</v>
      </c>
      <c r="C456" s="507">
        <v>8</v>
      </c>
      <c r="D456" s="508">
        <v>100</v>
      </c>
      <c r="E456" s="507">
        <v>1</v>
      </c>
      <c r="F456" s="603">
        <v>0.5</v>
      </c>
      <c r="G456" s="502">
        <f>+ROUND(2/0.1+1,0)</f>
        <v>21</v>
      </c>
      <c r="H456" s="602"/>
      <c r="I456" s="602">
        <f>2*(0.15+0.4)+16*C456/1000</f>
        <v>1.2280000000000002</v>
      </c>
      <c r="J456" s="235"/>
      <c r="K456" s="589"/>
      <c r="L456" s="510">
        <f t="shared" si="289"/>
        <v>1.2280000000000002</v>
      </c>
      <c r="M456" s="510">
        <f t="shared" si="269"/>
        <v>12.89</v>
      </c>
      <c r="N456" s="510">
        <f t="shared" si="270"/>
        <v>0</v>
      </c>
      <c r="O456" s="510">
        <f t="shared" si="271"/>
        <v>0</v>
      </c>
      <c r="P456" s="510">
        <f t="shared" si="272"/>
        <v>0</v>
      </c>
      <c r="Q456" s="510">
        <f t="shared" si="273"/>
        <v>0</v>
      </c>
      <c r="R456" s="510">
        <f t="shared" si="274"/>
        <v>0</v>
      </c>
    </row>
    <row r="457" spans="1:18">
      <c r="A457" s="505"/>
      <c r="B457" s="511"/>
      <c r="C457" s="507">
        <v>8</v>
      </c>
      <c r="D457" s="508">
        <v>150</v>
      </c>
      <c r="E457" s="507">
        <v>1</v>
      </c>
      <c r="F457" s="502">
        <v>1</v>
      </c>
      <c r="G457" s="502">
        <f>+ROUND(1.3/0.15+1,0)</f>
        <v>10</v>
      </c>
      <c r="H457" s="602"/>
      <c r="I457" s="602">
        <f>2*(0.15+0.45)+16*C457/1000</f>
        <v>1.3279999999999998</v>
      </c>
      <c r="J457" s="235"/>
      <c r="K457" s="509"/>
      <c r="L457" s="510">
        <f>SUM(H457:J457)+K457</f>
        <v>1.3279999999999998</v>
      </c>
      <c r="M457" s="510">
        <f t="shared" si="269"/>
        <v>13.28</v>
      </c>
      <c r="N457" s="510">
        <f t="shared" si="270"/>
        <v>0</v>
      </c>
      <c r="O457" s="510">
        <f t="shared" si="271"/>
        <v>0</v>
      </c>
      <c r="P457" s="510">
        <f t="shared" si="272"/>
        <v>0</v>
      </c>
      <c r="Q457" s="510">
        <f t="shared" si="273"/>
        <v>0</v>
      </c>
      <c r="R457" s="510">
        <f t="shared" si="274"/>
        <v>0</v>
      </c>
    </row>
    <row r="458" spans="1:18">
      <c r="A458" s="505" t="s">
        <v>1070</v>
      </c>
      <c r="B458" s="520" t="s">
        <v>1071</v>
      </c>
      <c r="C458" s="507"/>
      <c r="D458" s="508"/>
      <c r="E458" s="507"/>
      <c r="F458" s="502"/>
      <c r="G458" s="502"/>
      <c r="H458" s="602"/>
      <c r="I458" s="602"/>
      <c r="J458" s="235"/>
      <c r="K458" s="509"/>
      <c r="L458" s="510">
        <f t="shared" ref="L458" si="290">SUM(H458:J458)+K458</f>
        <v>0</v>
      </c>
      <c r="M458" s="510">
        <f t="shared" si="269"/>
        <v>0</v>
      </c>
      <c r="N458" s="510">
        <f t="shared" si="270"/>
        <v>0</v>
      </c>
      <c r="O458" s="510">
        <f t="shared" si="271"/>
        <v>0</v>
      </c>
      <c r="P458" s="510">
        <f t="shared" si="272"/>
        <v>0</v>
      </c>
      <c r="Q458" s="510">
        <f t="shared" si="273"/>
        <v>0</v>
      </c>
      <c r="R458" s="510">
        <f t="shared" si="274"/>
        <v>0</v>
      </c>
    </row>
    <row r="459" spans="1:18">
      <c r="A459" s="505"/>
      <c r="B459" s="511" t="s">
        <v>740</v>
      </c>
      <c r="C459" s="507">
        <v>12</v>
      </c>
      <c r="D459" s="508"/>
      <c r="E459" s="507">
        <v>3</v>
      </c>
      <c r="F459" s="502">
        <v>1</v>
      </c>
      <c r="G459" s="502">
        <v>2</v>
      </c>
      <c r="H459" s="602">
        <f>0.36+8*$C459/1000</f>
        <v>0.45599999999999996</v>
      </c>
      <c r="I459" s="602">
        <v>1.5249999999999999</v>
      </c>
      <c r="J459" s="602">
        <f>0.36+8*$C459/1000</f>
        <v>0.45599999999999996</v>
      </c>
      <c r="K459" s="509"/>
      <c r="L459" s="510">
        <f>SUM(H459:J459)+K459</f>
        <v>2.4369999999999998</v>
      </c>
      <c r="M459" s="510">
        <f t="shared" si="269"/>
        <v>0</v>
      </c>
      <c r="N459" s="510">
        <f t="shared" si="270"/>
        <v>0</v>
      </c>
      <c r="O459" s="510">
        <f t="shared" si="271"/>
        <v>14.62</v>
      </c>
      <c r="P459" s="510">
        <f t="shared" si="272"/>
        <v>0</v>
      </c>
      <c r="Q459" s="510">
        <f t="shared" si="273"/>
        <v>0</v>
      </c>
      <c r="R459" s="510">
        <f t="shared" si="274"/>
        <v>0</v>
      </c>
    </row>
    <row r="460" spans="1:18">
      <c r="A460" s="505"/>
      <c r="B460" s="511" t="s">
        <v>773</v>
      </c>
      <c r="C460" s="507">
        <v>12</v>
      </c>
      <c r="D460" s="508"/>
      <c r="E460" s="507">
        <v>3</v>
      </c>
      <c r="F460" s="502">
        <v>1</v>
      </c>
      <c r="G460" s="502">
        <v>2</v>
      </c>
      <c r="H460" s="602">
        <f>0.36+8*$C460/1000</f>
        <v>0.45599999999999996</v>
      </c>
      <c r="I460" s="602">
        <v>1.5249999999999999</v>
      </c>
      <c r="J460" s="602">
        <f>0.36+8*$C460/1000</f>
        <v>0.45599999999999996</v>
      </c>
      <c r="K460" s="509"/>
      <c r="L460" s="510">
        <f t="shared" ref="L460" si="291">SUM(H460:J460)+K460</f>
        <v>2.4369999999999998</v>
      </c>
      <c r="M460" s="510">
        <f t="shared" si="269"/>
        <v>0</v>
      </c>
      <c r="N460" s="510">
        <f t="shared" si="270"/>
        <v>0</v>
      </c>
      <c r="O460" s="510">
        <f t="shared" si="271"/>
        <v>14.62</v>
      </c>
      <c r="P460" s="510">
        <f t="shared" si="272"/>
        <v>0</v>
      </c>
      <c r="Q460" s="510">
        <f t="shared" si="273"/>
        <v>0</v>
      </c>
      <c r="R460" s="510">
        <f t="shared" si="274"/>
        <v>0</v>
      </c>
    </row>
    <row r="461" spans="1:18">
      <c r="A461" s="505"/>
      <c r="B461" s="511" t="s">
        <v>775</v>
      </c>
      <c r="C461" s="507">
        <v>8</v>
      </c>
      <c r="D461" s="508">
        <v>150</v>
      </c>
      <c r="E461" s="507">
        <v>3</v>
      </c>
      <c r="F461" s="502">
        <v>1</v>
      </c>
      <c r="G461" s="502">
        <f>+ROUND(1.525/0.15+1,0)</f>
        <v>11</v>
      </c>
      <c r="H461" s="602"/>
      <c r="I461" s="602">
        <f>2*(0.05+0.3)+16*C461/1000</f>
        <v>0.82799999999999996</v>
      </c>
      <c r="J461" s="235"/>
      <c r="K461" s="589"/>
      <c r="L461" s="510">
        <f>SUM(H461:J461)+K461</f>
        <v>0.82799999999999996</v>
      </c>
      <c r="M461" s="510">
        <f t="shared" si="269"/>
        <v>27.32</v>
      </c>
      <c r="N461" s="510">
        <f t="shared" si="270"/>
        <v>0</v>
      </c>
      <c r="O461" s="510">
        <f t="shared" si="271"/>
        <v>0</v>
      </c>
      <c r="P461" s="510">
        <f t="shared" si="272"/>
        <v>0</v>
      </c>
      <c r="Q461" s="510">
        <f t="shared" si="273"/>
        <v>0</v>
      </c>
      <c r="R461" s="510">
        <f t="shared" si="274"/>
        <v>0</v>
      </c>
    </row>
    <row r="462" spans="1:18">
      <c r="A462" s="505"/>
      <c r="B462" s="511"/>
      <c r="C462" s="507"/>
      <c r="D462" s="508"/>
      <c r="E462" s="507"/>
      <c r="F462" s="502"/>
      <c r="G462" s="502"/>
      <c r="H462" s="602"/>
      <c r="I462" s="602"/>
      <c r="J462" s="235"/>
      <c r="K462" s="509"/>
      <c r="L462" s="510"/>
      <c r="M462" s="510"/>
      <c r="N462" s="510"/>
      <c r="O462" s="510"/>
      <c r="P462" s="510"/>
      <c r="Q462" s="510"/>
      <c r="R462" s="510"/>
    </row>
    <row r="463" spans="1:18">
      <c r="A463" s="505" t="s">
        <v>1070</v>
      </c>
      <c r="B463" s="520" t="s">
        <v>1071</v>
      </c>
      <c r="C463" s="507"/>
      <c r="D463" s="508"/>
      <c r="E463" s="507"/>
      <c r="F463" s="502"/>
      <c r="G463" s="502"/>
      <c r="H463" s="602"/>
      <c r="I463" s="602"/>
      <c r="J463" s="235"/>
      <c r="K463" s="509"/>
      <c r="L463" s="510">
        <f t="shared" ref="L463" si="292">SUM(H463:J463)+K463</f>
        <v>0</v>
      </c>
      <c r="M463" s="510">
        <f t="shared" ref="M463:M466" si="293">+ROUND(IF(C463=8,PRODUCT(E463,F463,G463,L463),0),2)</f>
        <v>0</v>
      </c>
      <c r="N463" s="510">
        <f t="shared" ref="N463:N466" si="294">+ROUND(IF(C463=10,PRODUCT(E463,F463,G463,L463),0),2)</f>
        <v>0</v>
      </c>
      <c r="O463" s="510">
        <f t="shared" ref="O463:O466" si="295">+ROUND(IF(C463=12,PRODUCT(E463,F463,G463,L463),0),2)</f>
        <v>0</v>
      </c>
      <c r="P463" s="510">
        <f t="shared" ref="P463:P466" si="296">+ROUND(IF(C463=16,PRODUCT(E463,F463,G463,L463),0),2)</f>
        <v>0</v>
      </c>
      <c r="Q463" s="510">
        <f t="shared" ref="Q463:Q466" si="297">+ROUND(IF(C463=20,PRODUCT(E463,F463,G463,L463),0),2)</f>
        <v>0</v>
      </c>
      <c r="R463" s="510">
        <f t="shared" ref="R463:R466" si="298">+ROUND(IF(C463=25,PRODUCT(E463,F463,G463,L463),0),2)</f>
        <v>0</v>
      </c>
    </row>
    <row r="464" spans="1:18">
      <c r="A464" s="505"/>
      <c r="B464" s="511" t="s">
        <v>740</v>
      </c>
      <c r="C464" s="507">
        <v>12</v>
      </c>
      <c r="D464" s="508"/>
      <c r="E464" s="507">
        <v>5</v>
      </c>
      <c r="F464" s="502">
        <v>1</v>
      </c>
      <c r="G464" s="502">
        <v>2</v>
      </c>
      <c r="H464" s="602">
        <f>0.36+8*$C464/1000</f>
        <v>0.45599999999999996</v>
      </c>
      <c r="I464" s="602">
        <v>1.9</v>
      </c>
      <c r="J464" s="602">
        <f>0.36+8*$C464/1000</f>
        <v>0.45599999999999996</v>
      </c>
      <c r="K464" s="509"/>
      <c r="L464" s="510">
        <f>SUM(H464:J464)+K464</f>
        <v>2.8119999999999998</v>
      </c>
      <c r="M464" s="510">
        <f t="shared" si="293"/>
        <v>0</v>
      </c>
      <c r="N464" s="510">
        <f t="shared" si="294"/>
        <v>0</v>
      </c>
      <c r="O464" s="510">
        <f t="shared" si="295"/>
        <v>28.12</v>
      </c>
      <c r="P464" s="510">
        <f t="shared" si="296"/>
        <v>0</v>
      </c>
      <c r="Q464" s="510">
        <f t="shared" si="297"/>
        <v>0</v>
      </c>
      <c r="R464" s="510">
        <f t="shared" si="298"/>
        <v>0</v>
      </c>
    </row>
    <row r="465" spans="1:18">
      <c r="A465" s="505"/>
      <c r="B465" s="511" t="s">
        <v>773</v>
      </c>
      <c r="C465" s="507">
        <v>12</v>
      </c>
      <c r="D465" s="508"/>
      <c r="E465" s="507">
        <v>5</v>
      </c>
      <c r="F465" s="502">
        <v>1</v>
      </c>
      <c r="G465" s="502">
        <v>2</v>
      </c>
      <c r="H465" s="602">
        <f>0.36+8*$C465/1000</f>
        <v>0.45599999999999996</v>
      </c>
      <c r="I465" s="602">
        <v>1.9</v>
      </c>
      <c r="J465" s="602">
        <f>0.36+8*$C465/1000</f>
        <v>0.45599999999999996</v>
      </c>
      <c r="K465" s="509"/>
      <c r="L465" s="510">
        <f t="shared" ref="L465" si="299">SUM(H465:J465)+K465</f>
        <v>2.8119999999999998</v>
      </c>
      <c r="M465" s="510">
        <f t="shared" si="293"/>
        <v>0</v>
      </c>
      <c r="N465" s="510">
        <f t="shared" si="294"/>
        <v>0</v>
      </c>
      <c r="O465" s="510">
        <f t="shared" si="295"/>
        <v>28.12</v>
      </c>
      <c r="P465" s="510">
        <f t="shared" si="296"/>
        <v>0</v>
      </c>
      <c r="Q465" s="510">
        <f t="shared" si="297"/>
        <v>0</v>
      </c>
      <c r="R465" s="510">
        <f t="shared" si="298"/>
        <v>0</v>
      </c>
    </row>
    <row r="466" spans="1:18">
      <c r="A466" s="505"/>
      <c r="B466" s="511" t="s">
        <v>775</v>
      </c>
      <c r="C466" s="507">
        <v>8</v>
      </c>
      <c r="D466" s="508">
        <v>150</v>
      </c>
      <c r="E466" s="507">
        <v>5</v>
      </c>
      <c r="F466" s="502">
        <v>1</v>
      </c>
      <c r="G466" s="502">
        <f>+ROUND(1.9/0.15+1,0)</f>
        <v>14</v>
      </c>
      <c r="H466" s="602"/>
      <c r="I466" s="602">
        <f>2*(0.05+0.3)+16*C466/1000</f>
        <v>0.82799999999999996</v>
      </c>
      <c r="J466" s="235"/>
      <c r="K466" s="589"/>
      <c r="L466" s="510">
        <f>SUM(H466:J466)+K466</f>
        <v>0.82799999999999996</v>
      </c>
      <c r="M466" s="510">
        <f t="shared" si="293"/>
        <v>57.96</v>
      </c>
      <c r="N466" s="510">
        <f t="shared" si="294"/>
        <v>0</v>
      </c>
      <c r="O466" s="510">
        <f t="shared" si="295"/>
        <v>0</v>
      </c>
      <c r="P466" s="510">
        <f t="shared" si="296"/>
        <v>0</v>
      </c>
      <c r="Q466" s="510">
        <f t="shared" si="297"/>
        <v>0</v>
      </c>
      <c r="R466" s="510">
        <f t="shared" si="298"/>
        <v>0</v>
      </c>
    </row>
    <row r="467" spans="1:18">
      <c r="A467" s="505"/>
      <c r="B467" s="511"/>
      <c r="C467" s="507"/>
      <c r="D467" s="508"/>
      <c r="E467" s="507"/>
      <c r="F467" s="502"/>
      <c r="G467" s="502"/>
      <c r="H467" s="602"/>
      <c r="I467" s="602"/>
      <c r="J467" s="235"/>
      <c r="K467" s="509"/>
      <c r="L467" s="510"/>
      <c r="M467" s="510"/>
      <c r="N467" s="510"/>
      <c r="O467" s="510"/>
      <c r="P467" s="510"/>
      <c r="Q467" s="510"/>
      <c r="R467" s="510"/>
    </row>
    <row r="468" spans="1:18">
      <c r="A468" s="505" t="s">
        <v>1072</v>
      </c>
      <c r="B468" s="520" t="s">
        <v>1071</v>
      </c>
      <c r="C468" s="507"/>
      <c r="D468" s="508"/>
      <c r="E468" s="507"/>
      <c r="F468" s="502"/>
      <c r="G468" s="502"/>
      <c r="H468" s="602"/>
      <c r="I468" s="602"/>
      <c r="J468" s="235"/>
      <c r="K468" s="509"/>
      <c r="L468" s="510">
        <f t="shared" ref="L468" si="300">SUM(H468:J468)+K468</f>
        <v>0</v>
      </c>
      <c r="M468" s="510">
        <f t="shared" ref="M468:M471" si="301">+ROUND(IF(C468=8,PRODUCT(E468,F468,G468,L468),0),2)</f>
        <v>0</v>
      </c>
      <c r="N468" s="510">
        <f t="shared" ref="N468:N471" si="302">+ROUND(IF(C468=10,PRODUCT(E468,F468,G468,L468),0),2)</f>
        <v>0</v>
      </c>
      <c r="O468" s="510">
        <f t="shared" ref="O468:O471" si="303">+ROUND(IF(C468=12,PRODUCT(E468,F468,G468,L468),0),2)</f>
        <v>0</v>
      </c>
      <c r="P468" s="510">
        <f t="shared" ref="P468:P471" si="304">+ROUND(IF(C468=16,PRODUCT(E468,F468,G468,L468),0),2)</f>
        <v>0</v>
      </c>
      <c r="Q468" s="510">
        <f t="shared" ref="Q468:Q471" si="305">+ROUND(IF(C468=20,PRODUCT(E468,F468,G468,L468),0),2)</f>
        <v>0</v>
      </c>
      <c r="R468" s="510">
        <f t="shared" ref="R468:R471" si="306">+ROUND(IF(C468=25,PRODUCT(E468,F468,G468,L468),0),2)</f>
        <v>0</v>
      </c>
    </row>
    <row r="469" spans="1:18">
      <c r="A469" s="505"/>
      <c r="B469" s="511" t="s">
        <v>740</v>
      </c>
      <c r="C469" s="507">
        <v>12</v>
      </c>
      <c r="D469" s="508"/>
      <c r="E469" s="507">
        <v>3</v>
      </c>
      <c r="F469" s="502">
        <v>1</v>
      </c>
      <c r="G469" s="502">
        <v>2</v>
      </c>
      <c r="H469" s="602">
        <f>0.36+8*$C469/1000</f>
        <v>0.45599999999999996</v>
      </c>
      <c r="I469" s="602">
        <v>0.315</v>
      </c>
      <c r="J469" s="602">
        <f>0.36+8*$C469/1000</f>
        <v>0.45599999999999996</v>
      </c>
      <c r="K469" s="509"/>
      <c r="L469" s="510">
        <f>SUM(H469:J469)+K469</f>
        <v>1.2269999999999999</v>
      </c>
      <c r="M469" s="510">
        <f t="shared" si="301"/>
        <v>0</v>
      </c>
      <c r="N469" s="510">
        <f t="shared" si="302"/>
        <v>0</v>
      </c>
      <c r="O469" s="510">
        <f t="shared" si="303"/>
        <v>7.36</v>
      </c>
      <c r="P469" s="510">
        <f t="shared" si="304"/>
        <v>0</v>
      </c>
      <c r="Q469" s="510">
        <f t="shared" si="305"/>
        <v>0</v>
      </c>
      <c r="R469" s="510">
        <f t="shared" si="306"/>
        <v>0</v>
      </c>
    </row>
    <row r="470" spans="1:18">
      <c r="A470" s="505"/>
      <c r="B470" s="511" t="s">
        <v>773</v>
      </c>
      <c r="C470" s="507">
        <v>12</v>
      </c>
      <c r="D470" s="508"/>
      <c r="E470" s="507">
        <v>3</v>
      </c>
      <c r="F470" s="502">
        <v>1</v>
      </c>
      <c r="G470" s="502">
        <v>2</v>
      </c>
      <c r="H470" s="602">
        <f>0.36+8*$C470/1000</f>
        <v>0.45599999999999996</v>
      </c>
      <c r="I470" s="602">
        <v>0.315</v>
      </c>
      <c r="J470" s="602">
        <f>0.36+8*$C470/1000</f>
        <v>0.45599999999999996</v>
      </c>
      <c r="K470" s="509"/>
      <c r="L470" s="510">
        <f t="shared" ref="L470" si="307">SUM(H470:J470)+K470</f>
        <v>1.2269999999999999</v>
      </c>
      <c r="M470" s="510">
        <f t="shared" si="301"/>
        <v>0</v>
      </c>
      <c r="N470" s="510">
        <f t="shared" si="302"/>
        <v>0</v>
      </c>
      <c r="O470" s="510">
        <f t="shared" si="303"/>
        <v>7.36</v>
      </c>
      <c r="P470" s="510">
        <f t="shared" si="304"/>
        <v>0</v>
      </c>
      <c r="Q470" s="510">
        <f t="shared" si="305"/>
        <v>0</v>
      </c>
      <c r="R470" s="510">
        <f t="shared" si="306"/>
        <v>0</v>
      </c>
    </row>
    <row r="471" spans="1:18">
      <c r="A471" s="505"/>
      <c r="B471" s="511" t="s">
        <v>775</v>
      </c>
      <c r="C471" s="507">
        <v>8</v>
      </c>
      <c r="D471" s="508">
        <v>150</v>
      </c>
      <c r="E471" s="507">
        <v>3</v>
      </c>
      <c r="F471" s="502">
        <v>1</v>
      </c>
      <c r="G471" s="502">
        <f>+ROUND(0.315/0.15+1,0)</f>
        <v>3</v>
      </c>
      <c r="H471" s="602"/>
      <c r="I471" s="602">
        <f>2*(0.1+0.3)+16*C471/1000</f>
        <v>0.92800000000000005</v>
      </c>
      <c r="J471" s="235"/>
      <c r="K471" s="589"/>
      <c r="L471" s="510">
        <f>SUM(H471:J471)+K471</f>
        <v>0.92800000000000005</v>
      </c>
      <c r="M471" s="510">
        <f t="shared" si="301"/>
        <v>8.35</v>
      </c>
      <c r="N471" s="510">
        <f t="shared" si="302"/>
        <v>0</v>
      </c>
      <c r="O471" s="510">
        <f t="shared" si="303"/>
        <v>0</v>
      </c>
      <c r="P471" s="510">
        <f t="shared" si="304"/>
        <v>0</v>
      </c>
      <c r="Q471" s="510">
        <f t="shared" si="305"/>
        <v>0</v>
      </c>
      <c r="R471" s="510">
        <f t="shared" si="306"/>
        <v>0</v>
      </c>
    </row>
    <row r="472" spans="1:18">
      <c r="A472" s="505"/>
      <c r="B472" s="511"/>
      <c r="C472" s="507"/>
      <c r="D472" s="508"/>
      <c r="E472" s="507"/>
      <c r="F472" s="502"/>
      <c r="G472" s="502"/>
      <c r="H472" s="602"/>
      <c r="I472" s="602"/>
      <c r="J472" s="235"/>
      <c r="K472" s="509"/>
      <c r="L472" s="510"/>
      <c r="M472" s="510"/>
      <c r="N472" s="510"/>
      <c r="O472" s="510"/>
      <c r="P472" s="510"/>
      <c r="Q472" s="510"/>
      <c r="R472" s="510"/>
    </row>
    <row r="473" spans="1:18">
      <c r="A473" s="505" t="s">
        <v>1147</v>
      </c>
      <c r="B473" s="520" t="s">
        <v>1071</v>
      </c>
      <c r="C473" s="507"/>
      <c r="D473" s="508"/>
      <c r="E473" s="507"/>
      <c r="F473" s="502"/>
      <c r="G473" s="502"/>
      <c r="H473" s="602"/>
      <c r="I473" s="602"/>
      <c r="J473" s="235"/>
      <c r="K473" s="509"/>
      <c r="L473" s="510">
        <f t="shared" ref="L473" si="308">SUM(H473:J473)+K473</f>
        <v>0</v>
      </c>
      <c r="M473" s="510">
        <f t="shared" ref="M473:M476" si="309">+ROUND(IF(C473=8,PRODUCT(E473,F473,G473,L473),0),2)</f>
        <v>0</v>
      </c>
      <c r="N473" s="510">
        <f t="shared" ref="N473:N476" si="310">+ROUND(IF(C473=10,PRODUCT(E473,F473,G473,L473),0),2)</f>
        <v>0</v>
      </c>
      <c r="O473" s="510">
        <f t="shared" ref="O473:O476" si="311">+ROUND(IF(C473=12,PRODUCT(E473,F473,G473,L473),0),2)</f>
        <v>0</v>
      </c>
      <c r="P473" s="510">
        <f t="shared" ref="P473:P476" si="312">+ROUND(IF(C473=16,PRODUCT(E473,F473,G473,L473),0),2)</f>
        <v>0</v>
      </c>
      <c r="Q473" s="510">
        <f t="shared" ref="Q473:Q476" si="313">+ROUND(IF(C473=20,PRODUCT(E473,F473,G473,L473),0),2)</f>
        <v>0</v>
      </c>
      <c r="R473" s="510">
        <f t="shared" ref="R473:R476" si="314">+ROUND(IF(C473=25,PRODUCT(E473,F473,G473,L473),0),2)</f>
        <v>0</v>
      </c>
    </row>
    <row r="474" spans="1:18">
      <c r="A474" s="505"/>
      <c r="B474" s="511" t="s">
        <v>740</v>
      </c>
      <c r="C474" s="507">
        <v>12</v>
      </c>
      <c r="D474" s="508"/>
      <c r="E474" s="507">
        <v>1</v>
      </c>
      <c r="F474" s="502">
        <v>1</v>
      </c>
      <c r="G474" s="502">
        <v>2</v>
      </c>
      <c r="H474" s="602">
        <f>0.36+8*$C474/1000</f>
        <v>0.45599999999999996</v>
      </c>
      <c r="I474" s="602">
        <v>1.3049999999999999</v>
      </c>
      <c r="J474" s="602">
        <f>0.36+8*$C474/1000</f>
        <v>0.45599999999999996</v>
      </c>
      <c r="K474" s="509"/>
      <c r="L474" s="510">
        <f>SUM(H474:J474)+K474</f>
        <v>2.2169999999999996</v>
      </c>
      <c r="M474" s="510">
        <f t="shared" si="309"/>
        <v>0</v>
      </c>
      <c r="N474" s="510">
        <f t="shared" si="310"/>
        <v>0</v>
      </c>
      <c r="O474" s="510">
        <f t="shared" si="311"/>
        <v>4.43</v>
      </c>
      <c r="P474" s="510">
        <f t="shared" si="312"/>
        <v>0</v>
      </c>
      <c r="Q474" s="510">
        <f t="shared" si="313"/>
        <v>0</v>
      </c>
      <c r="R474" s="510">
        <f t="shared" si="314"/>
        <v>0</v>
      </c>
    </row>
    <row r="475" spans="1:18">
      <c r="A475" s="505"/>
      <c r="B475" s="511" t="s">
        <v>773</v>
      </c>
      <c r="C475" s="507">
        <v>12</v>
      </c>
      <c r="D475" s="508"/>
      <c r="E475" s="507">
        <v>1</v>
      </c>
      <c r="F475" s="502">
        <v>1</v>
      </c>
      <c r="G475" s="502">
        <v>2</v>
      </c>
      <c r="H475" s="602">
        <f>0.36+8*$C475/1000</f>
        <v>0.45599999999999996</v>
      </c>
      <c r="I475" s="602">
        <v>1.3049999999999999</v>
      </c>
      <c r="J475" s="602">
        <f>0.36+8*$C475/1000</f>
        <v>0.45599999999999996</v>
      </c>
      <c r="K475" s="509"/>
      <c r="L475" s="510">
        <f t="shared" ref="L475" si="315">SUM(H475:J475)+K475</f>
        <v>2.2169999999999996</v>
      </c>
      <c r="M475" s="510">
        <f t="shared" si="309"/>
        <v>0</v>
      </c>
      <c r="N475" s="510">
        <f t="shared" si="310"/>
        <v>0</v>
      </c>
      <c r="O475" s="510">
        <f t="shared" si="311"/>
        <v>4.43</v>
      </c>
      <c r="P475" s="510">
        <f t="shared" si="312"/>
        <v>0</v>
      </c>
      <c r="Q475" s="510">
        <f t="shared" si="313"/>
        <v>0</v>
      </c>
      <c r="R475" s="510">
        <f t="shared" si="314"/>
        <v>0</v>
      </c>
    </row>
    <row r="476" spans="1:18">
      <c r="A476" s="505"/>
      <c r="B476" s="511" t="s">
        <v>775</v>
      </c>
      <c r="C476" s="507">
        <v>8</v>
      </c>
      <c r="D476" s="508">
        <v>150</v>
      </c>
      <c r="E476" s="507">
        <v>1</v>
      </c>
      <c r="F476" s="502">
        <v>1</v>
      </c>
      <c r="G476" s="502">
        <f>+ROUND(1.395/0.15+1,0)</f>
        <v>10</v>
      </c>
      <c r="H476" s="602"/>
      <c r="I476" s="602">
        <f>2*(0.065+0.3)+16*C476/1000</f>
        <v>0.85799999999999998</v>
      </c>
      <c r="J476" s="235"/>
      <c r="K476" s="589"/>
      <c r="L476" s="510">
        <f>SUM(H476:J476)+K476</f>
        <v>0.85799999999999998</v>
      </c>
      <c r="M476" s="510">
        <f t="shared" si="309"/>
        <v>8.58</v>
      </c>
      <c r="N476" s="510">
        <f t="shared" si="310"/>
        <v>0</v>
      </c>
      <c r="O476" s="510">
        <f t="shared" si="311"/>
        <v>0</v>
      </c>
      <c r="P476" s="510">
        <f t="shared" si="312"/>
        <v>0</v>
      </c>
      <c r="Q476" s="510">
        <f t="shared" si="313"/>
        <v>0</v>
      </c>
      <c r="R476" s="510">
        <f t="shared" si="314"/>
        <v>0</v>
      </c>
    </row>
    <row r="477" spans="1:18">
      <c r="A477" s="505"/>
      <c r="B477" s="511"/>
      <c r="C477" s="507"/>
      <c r="D477" s="508"/>
      <c r="E477" s="507"/>
      <c r="F477" s="502"/>
      <c r="G477" s="502"/>
      <c r="H477" s="602"/>
      <c r="I477" s="602"/>
      <c r="J477" s="235"/>
      <c r="K477" s="509"/>
      <c r="L477" s="510"/>
      <c r="M477" s="510"/>
      <c r="N477" s="510"/>
      <c r="O477" s="510"/>
      <c r="P477" s="510"/>
      <c r="Q477" s="510"/>
      <c r="R477" s="510"/>
    </row>
    <row r="478" spans="1:18">
      <c r="A478" s="505" t="s">
        <v>1070</v>
      </c>
      <c r="B478" s="520" t="s">
        <v>1071</v>
      </c>
      <c r="C478" s="507"/>
      <c r="D478" s="508"/>
      <c r="E478" s="507"/>
      <c r="F478" s="502"/>
      <c r="G478" s="502"/>
      <c r="H478" s="602"/>
      <c r="I478" s="602"/>
      <c r="J478" s="235"/>
      <c r="K478" s="509"/>
      <c r="L478" s="510">
        <f t="shared" ref="L478" si="316">SUM(H478:J478)+K478</f>
        <v>0</v>
      </c>
      <c r="M478" s="510">
        <f t="shared" ref="M478:M481" si="317">+ROUND(IF(C478=8,PRODUCT(E478,F478,G478,L478),0),2)</f>
        <v>0</v>
      </c>
      <c r="N478" s="510">
        <f t="shared" ref="N478:N481" si="318">+ROUND(IF(C478=10,PRODUCT(E478,F478,G478,L478),0),2)</f>
        <v>0</v>
      </c>
      <c r="O478" s="510">
        <f t="shared" ref="O478:O481" si="319">+ROUND(IF(C478=12,PRODUCT(E478,F478,G478,L478),0),2)</f>
        <v>0</v>
      </c>
      <c r="P478" s="510">
        <f t="shared" ref="P478:P481" si="320">+ROUND(IF(C478=16,PRODUCT(E478,F478,G478,L478),0),2)</f>
        <v>0</v>
      </c>
      <c r="Q478" s="510">
        <f t="shared" ref="Q478:Q481" si="321">+ROUND(IF(C478=20,PRODUCT(E478,F478,G478,L478),0),2)</f>
        <v>0</v>
      </c>
      <c r="R478" s="510">
        <f t="shared" ref="R478:R481" si="322">+ROUND(IF(C478=25,PRODUCT(E478,F478,G478,L478),0),2)</f>
        <v>0</v>
      </c>
    </row>
    <row r="479" spans="1:18">
      <c r="A479" s="505"/>
      <c r="B479" s="511" t="s">
        <v>740</v>
      </c>
      <c r="C479" s="507">
        <v>12</v>
      </c>
      <c r="D479" s="508"/>
      <c r="E479" s="507">
        <v>3</v>
      </c>
      <c r="F479" s="502">
        <v>1</v>
      </c>
      <c r="G479" s="502">
        <v>2</v>
      </c>
      <c r="H479" s="602">
        <f>0.36+8*$C479/1000</f>
        <v>0.45599999999999996</v>
      </c>
      <c r="I479" s="602">
        <v>1.385</v>
      </c>
      <c r="J479" s="602">
        <f>0.36+8*$C479/1000</f>
        <v>0.45599999999999996</v>
      </c>
      <c r="K479" s="509"/>
      <c r="L479" s="510">
        <f>SUM(H479:J479)+K479</f>
        <v>2.2969999999999997</v>
      </c>
      <c r="M479" s="510">
        <f t="shared" si="317"/>
        <v>0</v>
      </c>
      <c r="N479" s="510">
        <f t="shared" si="318"/>
        <v>0</v>
      </c>
      <c r="O479" s="510">
        <f t="shared" si="319"/>
        <v>13.78</v>
      </c>
      <c r="P479" s="510">
        <f t="shared" si="320"/>
        <v>0</v>
      </c>
      <c r="Q479" s="510">
        <f t="shared" si="321"/>
        <v>0</v>
      </c>
      <c r="R479" s="510">
        <f t="shared" si="322"/>
        <v>0</v>
      </c>
    </row>
    <row r="480" spans="1:18">
      <c r="A480" s="505"/>
      <c r="B480" s="511" t="s">
        <v>773</v>
      </c>
      <c r="C480" s="507">
        <v>12</v>
      </c>
      <c r="D480" s="508"/>
      <c r="E480" s="507">
        <v>3</v>
      </c>
      <c r="F480" s="502">
        <v>1</v>
      </c>
      <c r="G480" s="502">
        <v>2</v>
      </c>
      <c r="H480" s="602">
        <f>0.36+8*$C480/1000</f>
        <v>0.45599999999999996</v>
      </c>
      <c r="I480" s="602">
        <v>1.385</v>
      </c>
      <c r="J480" s="602">
        <f>0.36+8*$C480/1000</f>
        <v>0.45599999999999996</v>
      </c>
      <c r="K480" s="509"/>
      <c r="L480" s="510">
        <f t="shared" ref="L480" si="323">SUM(H480:J480)+K480</f>
        <v>2.2969999999999997</v>
      </c>
      <c r="M480" s="510">
        <f t="shared" si="317"/>
        <v>0</v>
      </c>
      <c r="N480" s="510">
        <f t="shared" si="318"/>
        <v>0</v>
      </c>
      <c r="O480" s="510">
        <f t="shared" si="319"/>
        <v>13.78</v>
      </c>
      <c r="P480" s="510">
        <f t="shared" si="320"/>
        <v>0</v>
      </c>
      <c r="Q480" s="510">
        <f t="shared" si="321"/>
        <v>0</v>
      </c>
      <c r="R480" s="510">
        <f t="shared" si="322"/>
        <v>0</v>
      </c>
    </row>
    <row r="481" spans="1:22">
      <c r="A481" s="505"/>
      <c r="B481" s="511" t="s">
        <v>775</v>
      </c>
      <c r="C481" s="507">
        <v>8</v>
      </c>
      <c r="D481" s="508">
        <v>150</v>
      </c>
      <c r="E481" s="507">
        <v>3</v>
      </c>
      <c r="F481" s="502">
        <v>1</v>
      </c>
      <c r="G481" s="502">
        <f>+ROUND(1.385/0.15+1,0)</f>
        <v>10</v>
      </c>
      <c r="H481" s="602"/>
      <c r="I481" s="602">
        <f>2*(0.05+0.3)+16*C481/1000</f>
        <v>0.82799999999999996</v>
      </c>
      <c r="J481" s="235"/>
      <c r="K481" s="589"/>
      <c r="L481" s="510">
        <f>SUM(H481:J481)+K481</f>
        <v>0.82799999999999996</v>
      </c>
      <c r="M481" s="510">
        <f t="shared" si="317"/>
        <v>24.84</v>
      </c>
      <c r="N481" s="510">
        <f t="shared" si="318"/>
        <v>0</v>
      </c>
      <c r="O481" s="510">
        <f t="shared" si="319"/>
        <v>0</v>
      </c>
      <c r="P481" s="510">
        <f t="shared" si="320"/>
        <v>0</v>
      </c>
      <c r="Q481" s="510">
        <f t="shared" si="321"/>
        <v>0</v>
      </c>
      <c r="R481" s="510">
        <f t="shared" si="322"/>
        <v>0</v>
      </c>
    </row>
    <row r="482" spans="1:22">
      <c r="A482" s="505"/>
      <c r="B482" s="511"/>
      <c r="C482" s="507"/>
      <c r="D482" s="508"/>
      <c r="E482" s="507"/>
      <c r="F482" s="502"/>
      <c r="G482" s="502"/>
      <c r="H482" s="602"/>
      <c r="I482" s="602"/>
      <c r="J482" s="235"/>
      <c r="K482" s="509"/>
      <c r="L482" s="510"/>
      <c r="M482" s="510"/>
      <c r="N482" s="510"/>
      <c r="O482" s="510"/>
      <c r="P482" s="510"/>
      <c r="Q482" s="510"/>
      <c r="R482" s="510"/>
    </row>
    <row r="483" spans="1:22">
      <c r="A483" s="505" t="s">
        <v>1070</v>
      </c>
      <c r="B483" s="520" t="s">
        <v>1071</v>
      </c>
      <c r="C483" s="507"/>
      <c r="D483" s="508"/>
      <c r="E483" s="507"/>
      <c r="F483" s="502"/>
      <c r="G483" s="502"/>
      <c r="H483" s="602"/>
      <c r="I483" s="602"/>
      <c r="J483" s="235"/>
      <c r="K483" s="509"/>
      <c r="L483" s="510">
        <f t="shared" ref="L483" si="324">SUM(H483:J483)+K483</f>
        <v>0</v>
      </c>
      <c r="M483" s="510">
        <f t="shared" ref="M483:M523" si="325">+ROUND(IF(C483=8,PRODUCT(E483,F483,G483,L483),0),2)</f>
        <v>0</v>
      </c>
      <c r="N483" s="510">
        <f t="shared" ref="N483:N523" si="326">+ROUND(IF(C483=10,PRODUCT(E483,F483,G483,L483),0),2)</f>
        <v>0</v>
      </c>
      <c r="O483" s="510">
        <f t="shared" ref="O483:O523" si="327">+ROUND(IF(C483=12,PRODUCT(E483,F483,G483,L483),0),2)</f>
        <v>0</v>
      </c>
      <c r="P483" s="510">
        <f t="shared" ref="P483:P523" si="328">+ROUND(IF(C483=16,PRODUCT(E483,F483,G483,L483),0),2)</f>
        <v>0</v>
      </c>
      <c r="Q483" s="510">
        <f t="shared" ref="Q483:Q523" si="329">+ROUND(IF(C483=20,PRODUCT(E483,F483,G483,L483),0),2)</f>
        <v>0</v>
      </c>
      <c r="R483" s="510">
        <f t="shared" ref="R483:R523" si="330">+ROUND(IF(C483=25,PRODUCT(E483,F483,G483,L483),0),2)</f>
        <v>0</v>
      </c>
    </row>
    <row r="484" spans="1:22">
      <c r="A484" s="505"/>
      <c r="B484" s="511" t="s">
        <v>740</v>
      </c>
      <c r="C484" s="507">
        <v>12</v>
      </c>
      <c r="D484" s="508"/>
      <c r="E484" s="507">
        <v>1</v>
      </c>
      <c r="F484" s="502">
        <v>1</v>
      </c>
      <c r="G484" s="502">
        <v>2</v>
      </c>
      <c r="H484" s="602">
        <f>0.36+8*$C484/1000</f>
        <v>0.45599999999999996</v>
      </c>
      <c r="I484" s="602">
        <v>1.885</v>
      </c>
      <c r="J484" s="602">
        <f>0.36+8*$C484/1000</f>
        <v>0.45599999999999996</v>
      </c>
      <c r="K484" s="509"/>
      <c r="L484" s="510">
        <f>SUM(H484:J484)+K484</f>
        <v>2.7970000000000002</v>
      </c>
      <c r="M484" s="510">
        <f t="shared" si="325"/>
        <v>0</v>
      </c>
      <c r="N484" s="510">
        <f t="shared" si="326"/>
        <v>0</v>
      </c>
      <c r="O484" s="510">
        <f t="shared" si="327"/>
        <v>5.59</v>
      </c>
      <c r="P484" s="510">
        <f t="shared" si="328"/>
        <v>0</v>
      </c>
      <c r="Q484" s="510">
        <f t="shared" si="329"/>
        <v>0</v>
      </c>
      <c r="R484" s="510">
        <f t="shared" si="330"/>
        <v>0</v>
      </c>
    </row>
    <row r="485" spans="1:22">
      <c r="A485" s="505"/>
      <c r="B485" s="511" t="s">
        <v>773</v>
      </c>
      <c r="C485" s="507">
        <v>12</v>
      </c>
      <c r="D485" s="508"/>
      <c r="E485" s="507">
        <v>1</v>
      </c>
      <c r="F485" s="502">
        <v>1</v>
      </c>
      <c r="G485" s="502">
        <v>2</v>
      </c>
      <c r="H485" s="602">
        <f>0.36+8*$C485/1000</f>
        <v>0.45599999999999996</v>
      </c>
      <c r="I485" s="602">
        <v>1.885</v>
      </c>
      <c r="J485" s="602">
        <f>0.36+8*$C485/1000</f>
        <v>0.45599999999999996</v>
      </c>
      <c r="K485" s="509"/>
      <c r="L485" s="510">
        <f t="shared" ref="L485" si="331">SUM(H485:J485)+K485</f>
        <v>2.7970000000000002</v>
      </c>
      <c r="M485" s="510">
        <f t="shared" si="325"/>
        <v>0</v>
      </c>
      <c r="N485" s="510">
        <f t="shared" si="326"/>
        <v>0</v>
      </c>
      <c r="O485" s="510">
        <f t="shared" si="327"/>
        <v>5.59</v>
      </c>
      <c r="P485" s="510">
        <f t="shared" si="328"/>
        <v>0</v>
      </c>
      <c r="Q485" s="510">
        <f t="shared" si="329"/>
        <v>0</v>
      </c>
      <c r="R485" s="510">
        <f t="shared" si="330"/>
        <v>0</v>
      </c>
    </row>
    <row r="486" spans="1:22">
      <c r="A486" s="505"/>
      <c r="B486" s="511" t="s">
        <v>775</v>
      </c>
      <c r="C486" s="507">
        <v>8</v>
      </c>
      <c r="D486" s="508">
        <v>150</v>
      </c>
      <c r="E486" s="507">
        <v>1</v>
      </c>
      <c r="F486" s="502">
        <v>1</v>
      </c>
      <c r="G486" s="502">
        <f>+ROUND(1.185/0.15+1,0)</f>
        <v>9</v>
      </c>
      <c r="H486" s="602"/>
      <c r="I486" s="602">
        <f>2*(0.05+0.3)+16*C486/1000</f>
        <v>0.82799999999999996</v>
      </c>
      <c r="J486" s="235"/>
      <c r="K486" s="589"/>
      <c r="L486" s="510">
        <f>SUM(H486:J486)+K486</f>
        <v>0.82799999999999996</v>
      </c>
      <c r="M486" s="510">
        <f t="shared" si="325"/>
        <v>7.45</v>
      </c>
      <c r="N486" s="510">
        <f t="shared" si="326"/>
        <v>0</v>
      </c>
      <c r="O486" s="510">
        <f t="shared" si="327"/>
        <v>0</v>
      </c>
      <c r="P486" s="510">
        <f t="shared" si="328"/>
        <v>0</v>
      </c>
      <c r="Q486" s="510">
        <f t="shared" si="329"/>
        <v>0</v>
      </c>
      <c r="R486" s="510">
        <f t="shared" si="330"/>
        <v>0</v>
      </c>
    </row>
    <row r="487" spans="1:22">
      <c r="A487" s="505"/>
      <c r="B487" s="511"/>
      <c r="C487" s="507"/>
      <c r="D487" s="508"/>
      <c r="E487" s="507"/>
      <c r="F487" s="502"/>
      <c r="G487" s="502"/>
      <c r="H487" s="503"/>
      <c r="I487" s="503"/>
      <c r="J487" s="589"/>
      <c r="K487" s="509"/>
      <c r="L487" s="510">
        <f>SUM(H487:J487)+K487</f>
        <v>0</v>
      </c>
      <c r="M487" s="510">
        <f t="shared" si="325"/>
        <v>0</v>
      </c>
      <c r="N487" s="510">
        <f t="shared" si="326"/>
        <v>0</v>
      </c>
      <c r="O487" s="510">
        <f t="shared" si="327"/>
        <v>0</v>
      </c>
      <c r="P487" s="510">
        <f t="shared" si="328"/>
        <v>0</v>
      </c>
      <c r="Q487" s="510">
        <f t="shared" si="329"/>
        <v>0</v>
      </c>
      <c r="R487" s="510">
        <f t="shared" si="330"/>
        <v>0</v>
      </c>
    </row>
    <row r="488" spans="1:22">
      <c r="A488" s="505"/>
      <c r="B488" s="520" t="s">
        <v>1148</v>
      </c>
      <c r="C488" s="521"/>
      <c r="D488" s="522"/>
      <c r="E488" s="521"/>
      <c r="F488" s="523"/>
      <c r="G488" s="523"/>
      <c r="H488" s="524"/>
      <c r="I488" s="524"/>
      <c r="J488" s="467"/>
      <c r="K488" s="525"/>
      <c r="L488" s="524"/>
      <c r="M488" s="526">
        <f>SUM(M5:M487)</f>
        <v>5502.2400000000025</v>
      </c>
      <c r="N488" s="526">
        <f t="shared" ref="N488:R488" si="332">SUM(N5:N487)</f>
        <v>127.46</v>
      </c>
      <c r="O488" s="526">
        <f t="shared" si="332"/>
        <v>545.3900000000001</v>
      </c>
      <c r="P488" s="526">
        <f t="shared" si="332"/>
        <v>2200.309999999999</v>
      </c>
      <c r="Q488" s="526">
        <f t="shared" si="332"/>
        <v>58.410000000000004</v>
      </c>
      <c r="R488" s="526">
        <f t="shared" si="332"/>
        <v>27.160000000000004</v>
      </c>
      <c r="S488" s="527"/>
    </row>
    <row r="489" spans="1:22" ht="15.75">
      <c r="A489" s="505"/>
      <c r="B489" s="511" t="s">
        <v>1149</v>
      </c>
      <c r="C489" s="507"/>
      <c r="D489" s="508"/>
      <c r="E489" s="507"/>
      <c r="F489" s="502"/>
      <c r="G489" s="502"/>
      <c r="H489" s="503"/>
      <c r="I489" s="503"/>
      <c r="J489" s="589"/>
      <c r="K489" s="509"/>
      <c r="L489" s="503"/>
      <c r="M489" s="602">
        <v>0.39500000000000002</v>
      </c>
      <c r="N489" s="503">
        <v>0.61699999999999999</v>
      </c>
      <c r="O489" s="503">
        <v>0.88800000000000001</v>
      </c>
      <c r="P489" s="503">
        <v>1.58</v>
      </c>
      <c r="Q489" s="503">
        <v>2.4700000000000002</v>
      </c>
      <c r="R489" s="503">
        <v>3.85</v>
      </c>
      <c r="S489" s="612" t="s">
        <v>229</v>
      </c>
    </row>
    <row r="490" spans="1:22" ht="15.75">
      <c r="A490" s="509"/>
      <c r="B490" s="509" t="s">
        <v>1150</v>
      </c>
      <c r="C490" s="533"/>
      <c r="D490" s="251"/>
      <c r="E490" s="533"/>
      <c r="F490" s="533"/>
      <c r="G490" s="533"/>
      <c r="H490" s="509"/>
      <c r="I490" s="509"/>
      <c r="J490" s="589"/>
      <c r="K490" s="509"/>
      <c r="L490" s="509"/>
      <c r="M490" s="604">
        <f>M488*M489</f>
        <v>2173.3848000000012</v>
      </c>
      <c r="N490" s="604">
        <f t="shared" ref="N490:R490" si="333">N488*N489</f>
        <v>78.64282</v>
      </c>
      <c r="O490" s="604">
        <f t="shared" si="333"/>
        <v>484.30632000000008</v>
      </c>
      <c r="P490" s="604">
        <f t="shared" si="333"/>
        <v>3476.4897999999985</v>
      </c>
      <c r="Q490" s="604">
        <f t="shared" si="333"/>
        <v>144.27270000000001</v>
      </c>
      <c r="R490" s="604">
        <f t="shared" si="333"/>
        <v>104.56600000000002</v>
      </c>
      <c r="S490" s="610">
        <f>SUM(M490:R490)</f>
        <v>6461.6624400000001</v>
      </c>
      <c r="V490" s="538"/>
    </row>
    <row r="491" spans="1:22">
      <c r="A491" s="505"/>
      <c r="B491" s="506"/>
      <c r="C491" s="507"/>
      <c r="D491" s="508"/>
      <c r="E491" s="507"/>
      <c r="F491" s="502"/>
      <c r="G491" s="502"/>
      <c r="H491" s="503"/>
      <c r="I491" s="503"/>
      <c r="J491" s="589"/>
      <c r="K491" s="509"/>
      <c r="L491" s="510"/>
      <c r="M491" s="510"/>
      <c r="N491" s="510"/>
      <c r="O491" s="510"/>
      <c r="P491" s="510"/>
      <c r="Q491" s="510"/>
      <c r="R491" s="510"/>
    </row>
    <row r="492" spans="1:22">
      <c r="A492" s="505"/>
      <c r="B492" s="520" t="s">
        <v>1151</v>
      </c>
      <c r="C492" s="507"/>
      <c r="D492" s="508"/>
      <c r="E492" s="507"/>
      <c r="F492" s="502"/>
      <c r="G492" s="502"/>
      <c r="H492" s="503"/>
      <c r="I492" s="503"/>
      <c r="J492" s="589"/>
      <c r="K492" s="509"/>
      <c r="L492" s="510"/>
      <c r="M492" s="510"/>
      <c r="N492" s="510"/>
      <c r="O492" s="510"/>
      <c r="P492" s="510"/>
      <c r="Q492" s="510"/>
      <c r="R492" s="510"/>
    </row>
    <row r="493" spans="1:22">
      <c r="A493" s="505"/>
      <c r="B493" s="520" t="s">
        <v>1152</v>
      </c>
      <c r="C493" s="507"/>
      <c r="D493" s="508"/>
      <c r="E493" s="507"/>
      <c r="F493" s="502"/>
      <c r="G493" s="502"/>
      <c r="H493" s="503"/>
      <c r="I493" s="503"/>
      <c r="J493" s="589"/>
      <c r="K493" s="509"/>
      <c r="L493" s="510"/>
      <c r="M493" s="510"/>
      <c r="N493" s="510"/>
      <c r="O493" s="510"/>
      <c r="P493" s="510"/>
      <c r="Q493" s="510"/>
      <c r="R493" s="510"/>
    </row>
    <row r="494" spans="1:22">
      <c r="A494" s="505"/>
      <c r="B494" s="506" t="s">
        <v>1153</v>
      </c>
      <c r="C494" s="507"/>
      <c r="D494" s="508"/>
      <c r="E494" s="507"/>
      <c r="F494" s="502"/>
      <c r="G494" s="502"/>
      <c r="H494" s="503"/>
      <c r="I494" s="503"/>
      <c r="J494" s="589"/>
      <c r="K494" s="509"/>
      <c r="L494" s="510"/>
      <c r="M494" s="510">
        <f t="shared" ref="M494:M508" si="334">+ROUND(IF(C494=8,PRODUCT(E494,F494,G494,L494),0),2)</f>
        <v>0</v>
      </c>
      <c r="N494" s="510">
        <f t="shared" ref="N494:N508" si="335">+ROUND(IF(C494=10,PRODUCT(E494,F494,G494,L494),0),2)</f>
        <v>0</v>
      </c>
      <c r="O494" s="510">
        <f t="shared" ref="O494:O508" si="336">+ROUND(IF(C494=12,PRODUCT(E494,F494,G494,L494),0),2)</f>
        <v>0</v>
      </c>
      <c r="P494" s="510">
        <f t="shared" ref="P494:P508" si="337">+ROUND(IF(C494=16,PRODUCT(E494,F494,G494,L494),0),2)</f>
        <v>0</v>
      </c>
      <c r="Q494" s="510">
        <f t="shared" ref="Q494:Q508" si="338">+ROUND(IF(C494=20,PRODUCT(E494,F494,G494,L494),0),2)</f>
        <v>0</v>
      </c>
      <c r="R494" s="510">
        <f t="shared" ref="R494:R508" si="339">+ROUND(IF(C494=25,PRODUCT(E494,F494,G494,L494),0),2)</f>
        <v>0</v>
      </c>
    </row>
    <row r="495" spans="1:22">
      <c r="A495" s="505"/>
      <c r="B495" s="607" t="s">
        <v>1154</v>
      </c>
      <c r="C495" s="507">
        <v>8</v>
      </c>
      <c r="D495" s="508">
        <v>200</v>
      </c>
      <c r="E495" s="507">
        <v>1</v>
      </c>
      <c r="F495" s="502">
        <v>1</v>
      </c>
      <c r="G495" s="502">
        <v>19</v>
      </c>
      <c r="H495" s="602"/>
      <c r="I495" s="602">
        <f>3.2+0.175+0.175</f>
        <v>3.55</v>
      </c>
      <c r="J495" s="235"/>
      <c r="K495" s="509"/>
      <c r="L495" s="510">
        <f t="shared" ref="L495" si="340">SUM(H495:J495)+K495</f>
        <v>3.55</v>
      </c>
      <c r="M495" s="510">
        <f t="shared" si="334"/>
        <v>67.45</v>
      </c>
      <c r="N495" s="510">
        <f t="shared" si="335"/>
        <v>0</v>
      </c>
      <c r="O495" s="510">
        <f t="shared" si="336"/>
        <v>0</v>
      </c>
      <c r="P495" s="510">
        <f t="shared" si="337"/>
        <v>0</v>
      </c>
      <c r="Q495" s="510">
        <f t="shared" si="338"/>
        <v>0</v>
      </c>
      <c r="R495" s="510">
        <f t="shared" si="339"/>
        <v>0</v>
      </c>
    </row>
    <row r="496" spans="1:22">
      <c r="A496" s="505"/>
      <c r="B496" s="607" t="s">
        <v>1155</v>
      </c>
      <c r="C496" s="507">
        <v>8</v>
      </c>
      <c r="D496" s="508">
        <v>200</v>
      </c>
      <c r="E496" s="507">
        <v>1</v>
      </c>
      <c r="F496" s="502">
        <v>1</v>
      </c>
      <c r="G496" s="502">
        <f>+ROUND(3.2/(D496/1000)+1,0)</f>
        <v>17</v>
      </c>
      <c r="H496" s="602"/>
      <c r="I496" s="602">
        <f>0.175+3.55+0.2+0.5</f>
        <v>4.4249999999999998</v>
      </c>
      <c r="J496" s="235"/>
      <c r="K496" s="589"/>
      <c r="L496" s="510">
        <f>SUM(H496:J496)+K496</f>
        <v>4.4249999999999998</v>
      </c>
      <c r="M496" s="510">
        <f t="shared" si="334"/>
        <v>75.23</v>
      </c>
      <c r="N496" s="510">
        <f t="shared" si="335"/>
        <v>0</v>
      </c>
      <c r="O496" s="510">
        <f t="shared" si="336"/>
        <v>0</v>
      </c>
      <c r="P496" s="510">
        <f t="shared" si="337"/>
        <v>0</v>
      </c>
      <c r="Q496" s="510">
        <f t="shared" si="338"/>
        <v>0</v>
      </c>
      <c r="R496" s="510">
        <f t="shared" si="339"/>
        <v>0</v>
      </c>
    </row>
    <row r="497" spans="1:18">
      <c r="A497" s="505"/>
      <c r="B497" s="607" t="s">
        <v>1156</v>
      </c>
      <c r="C497" s="507">
        <v>8</v>
      </c>
      <c r="D497" s="508">
        <v>200</v>
      </c>
      <c r="E497" s="507">
        <v>1</v>
      </c>
      <c r="F497" s="502">
        <v>1</v>
      </c>
      <c r="G497" s="502">
        <v>9</v>
      </c>
      <c r="H497" s="602"/>
      <c r="I497" s="602">
        <f>0.1+0.55+0.55</f>
        <v>1.2000000000000002</v>
      </c>
      <c r="J497" s="235"/>
      <c r="K497" s="509"/>
      <c r="L497" s="510">
        <f>SUM(H497:J497)+K497</f>
        <v>1.2000000000000002</v>
      </c>
      <c r="M497" s="510">
        <f t="shared" si="334"/>
        <v>10.8</v>
      </c>
      <c r="N497" s="510">
        <f t="shared" si="335"/>
        <v>0</v>
      </c>
      <c r="O497" s="510">
        <f t="shared" si="336"/>
        <v>0</v>
      </c>
      <c r="P497" s="510">
        <f t="shared" si="337"/>
        <v>0</v>
      </c>
      <c r="Q497" s="510">
        <f t="shared" si="338"/>
        <v>0</v>
      </c>
      <c r="R497" s="510">
        <f t="shared" si="339"/>
        <v>0</v>
      </c>
    </row>
    <row r="498" spans="1:18">
      <c r="A498" s="505"/>
      <c r="B498" s="607" t="s">
        <v>1156</v>
      </c>
      <c r="C498" s="507">
        <v>8</v>
      </c>
      <c r="D498" s="508">
        <v>200</v>
      </c>
      <c r="E498" s="507">
        <v>1</v>
      </c>
      <c r="F498" s="502">
        <v>1</v>
      </c>
      <c r="G498" s="502">
        <v>9</v>
      </c>
      <c r="H498" s="602"/>
      <c r="I498" s="602">
        <f>0.1+0.55</f>
        <v>0.65</v>
      </c>
      <c r="J498" s="235"/>
      <c r="K498" s="509"/>
      <c r="L498" s="510">
        <f t="shared" ref="L498" si="341">SUM(H498:J498)+K498</f>
        <v>0.65</v>
      </c>
      <c r="M498" s="510">
        <f t="shared" si="334"/>
        <v>5.85</v>
      </c>
      <c r="N498" s="510">
        <f t="shared" si="335"/>
        <v>0</v>
      </c>
      <c r="O498" s="510">
        <f t="shared" si="336"/>
        <v>0</v>
      </c>
      <c r="P498" s="510">
        <f t="shared" si="337"/>
        <v>0</v>
      </c>
      <c r="Q498" s="510">
        <f t="shared" si="338"/>
        <v>0</v>
      </c>
      <c r="R498" s="510">
        <f t="shared" si="339"/>
        <v>0</v>
      </c>
    </row>
    <row r="499" spans="1:18">
      <c r="A499" s="505"/>
      <c r="B499" s="607" t="s">
        <v>1156</v>
      </c>
      <c r="C499" s="507">
        <v>8</v>
      </c>
      <c r="D499" s="508">
        <v>200</v>
      </c>
      <c r="E499" s="507">
        <v>1</v>
      </c>
      <c r="F499" s="502">
        <v>1</v>
      </c>
      <c r="G499" s="502">
        <v>17</v>
      </c>
      <c r="H499" s="602">
        <v>0.1</v>
      </c>
      <c r="I499" s="602">
        <f>0.55+0.175</f>
        <v>0.72500000000000009</v>
      </c>
      <c r="J499" s="235"/>
      <c r="K499" s="509"/>
      <c r="L499" s="510">
        <f t="shared" ref="L499:L507" si="342">SUM(H499:J499)+K499</f>
        <v>0.82500000000000007</v>
      </c>
      <c r="M499" s="510">
        <f t="shared" si="334"/>
        <v>14.03</v>
      </c>
      <c r="N499" s="510">
        <f t="shared" si="335"/>
        <v>0</v>
      </c>
      <c r="O499" s="510">
        <f t="shared" si="336"/>
        <v>0</v>
      </c>
      <c r="P499" s="510">
        <f t="shared" si="337"/>
        <v>0</v>
      </c>
      <c r="Q499" s="510">
        <f t="shared" si="338"/>
        <v>0</v>
      </c>
      <c r="R499" s="510">
        <f t="shared" si="339"/>
        <v>0</v>
      </c>
    </row>
    <row r="500" spans="1:18">
      <c r="A500" s="505"/>
      <c r="B500" s="607" t="s">
        <v>1157</v>
      </c>
      <c r="C500" s="507">
        <v>8</v>
      </c>
      <c r="D500" s="508">
        <v>100</v>
      </c>
      <c r="E500" s="507">
        <v>1</v>
      </c>
      <c r="F500" s="502">
        <v>1</v>
      </c>
      <c r="G500" s="502">
        <v>11</v>
      </c>
      <c r="H500" s="602"/>
      <c r="I500" s="602">
        <f>0.1+0.55+0.55</f>
        <v>1.2000000000000002</v>
      </c>
      <c r="J500" s="235"/>
      <c r="K500" s="509"/>
      <c r="L500" s="510">
        <f t="shared" si="342"/>
        <v>1.2000000000000002</v>
      </c>
      <c r="M500" s="510">
        <f t="shared" si="334"/>
        <v>13.2</v>
      </c>
      <c r="N500" s="510">
        <f t="shared" si="335"/>
        <v>0</v>
      </c>
      <c r="O500" s="510">
        <f t="shared" si="336"/>
        <v>0</v>
      </c>
      <c r="P500" s="510">
        <f t="shared" si="337"/>
        <v>0</v>
      </c>
      <c r="Q500" s="510">
        <f t="shared" si="338"/>
        <v>0</v>
      </c>
      <c r="R500" s="510">
        <f t="shared" si="339"/>
        <v>0</v>
      </c>
    </row>
    <row r="501" spans="1:18">
      <c r="A501" s="505"/>
      <c r="B501" s="607" t="s">
        <v>1157</v>
      </c>
      <c r="C501" s="507">
        <v>8</v>
      </c>
      <c r="D501" s="508">
        <v>100</v>
      </c>
      <c r="E501" s="507">
        <v>1</v>
      </c>
      <c r="F501" s="502">
        <v>1</v>
      </c>
      <c r="G501" s="502">
        <v>10</v>
      </c>
      <c r="H501" s="602"/>
      <c r="I501" s="602">
        <f>0.1+0.55</f>
        <v>0.65</v>
      </c>
      <c r="J501" s="235"/>
      <c r="K501" s="509"/>
      <c r="L501" s="510">
        <f t="shared" si="342"/>
        <v>0.65</v>
      </c>
      <c r="M501" s="510">
        <f t="shared" si="334"/>
        <v>6.5</v>
      </c>
      <c r="N501" s="510">
        <f t="shared" si="335"/>
        <v>0</v>
      </c>
      <c r="O501" s="510">
        <f t="shared" si="336"/>
        <v>0</v>
      </c>
      <c r="P501" s="510">
        <f t="shared" si="337"/>
        <v>0</v>
      </c>
      <c r="Q501" s="510">
        <f t="shared" si="338"/>
        <v>0</v>
      </c>
      <c r="R501" s="510">
        <f t="shared" si="339"/>
        <v>0</v>
      </c>
    </row>
    <row r="502" spans="1:18">
      <c r="A502" s="505"/>
      <c r="B502" s="607" t="s">
        <v>1158</v>
      </c>
      <c r="C502" s="507">
        <v>8</v>
      </c>
      <c r="D502" s="508">
        <v>175</v>
      </c>
      <c r="E502" s="507">
        <v>1</v>
      </c>
      <c r="F502" s="502">
        <v>1</v>
      </c>
      <c r="G502" s="502">
        <f>+ROUND(3.2/(D502/1000)+1,0)/2</f>
        <v>9.5</v>
      </c>
      <c r="H502" s="602"/>
      <c r="I502" s="602">
        <f>0.1+1.2</f>
        <v>1.3</v>
      </c>
      <c r="J502" s="235"/>
      <c r="K502" s="509"/>
      <c r="L502" s="510">
        <f t="shared" si="342"/>
        <v>1.3</v>
      </c>
      <c r="M502" s="510">
        <f t="shared" si="334"/>
        <v>12.35</v>
      </c>
      <c r="N502" s="510">
        <f t="shared" si="335"/>
        <v>0</v>
      </c>
      <c r="O502" s="510">
        <f t="shared" si="336"/>
        <v>0</v>
      </c>
      <c r="P502" s="510">
        <f t="shared" si="337"/>
        <v>0</v>
      </c>
      <c r="Q502" s="510">
        <f t="shared" si="338"/>
        <v>0</v>
      </c>
      <c r="R502" s="510">
        <f t="shared" si="339"/>
        <v>0</v>
      </c>
    </row>
    <row r="503" spans="1:18">
      <c r="A503" s="505"/>
      <c r="B503" s="607" t="s">
        <v>1158</v>
      </c>
      <c r="C503" s="507">
        <v>8</v>
      </c>
      <c r="D503" s="508">
        <v>175</v>
      </c>
      <c r="E503" s="507">
        <v>1</v>
      </c>
      <c r="F503" s="502">
        <v>1</v>
      </c>
      <c r="G503" s="502">
        <f>+ROUND(3.2/(D503/1000)+1,0)/2</f>
        <v>9.5</v>
      </c>
      <c r="H503" s="602"/>
      <c r="I503" s="602">
        <f>0.1+0.6</f>
        <v>0.7</v>
      </c>
      <c r="J503" s="235"/>
      <c r="K503" s="509"/>
      <c r="L503" s="510">
        <f t="shared" si="342"/>
        <v>0.7</v>
      </c>
      <c r="M503" s="510">
        <f t="shared" si="334"/>
        <v>6.65</v>
      </c>
      <c r="N503" s="510">
        <f t="shared" si="335"/>
        <v>0</v>
      </c>
      <c r="O503" s="510">
        <f t="shared" si="336"/>
        <v>0</v>
      </c>
      <c r="P503" s="510">
        <f t="shared" si="337"/>
        <v>0</v>
      </c>
      <c r="Q503" s="510">
        <f t="shared" si="338"/>
        <v>0</v>
      </c>
      <c r="R503" s="510">
        <f t="shared" si="339"/>
        <v>0</v>
      </c>
    </row>
    <row r="504" spans="1:18">
      <c r="A504" s="505"/>
      <c r="B504" s="607" t="s">
        <v>1159</v>
      </c>
      <c r="C504" s="507">
        <v>8</v>
      </c>
      <c r="D504" s="508">
        <v>200</v>
      </c>
      <c r="E504" s="507">
        <v>1</v>
      </c>
      <c r="F504" s="502">
        <v>1</v>
      </c>
      <c r="G504" s="502">
        <f>+ROUND(1.1/(D504/1000)+1,0)</f>
        <v>7</v>
      </c>
      <c r="H504" s="602">
        <v>0.2</v>
      </c>
      <c r="I504" s="602">
        <v>3.55</v>
      </c>
      <c r="J504" s="235"/>
      <c r="K504" s="509"/>
      <c r="L504" s="510">
        <f t="shared" si="342"/>
        <v>3.75</v>
      </c>
      <c r="M504" s="510">
        <f t="shared" si="334"/>
        <v>26.25</v>
      </c>
      <c r="N504" s="510">
        <f t="shared" si="335"/>
        <v>0</v>
      </c>
      <c r="O504" s="510">
        <f t="shared" si="336"/>
        <v>0</v>
      </c>
      <c r="P504" s="510">
        <f t="shared" si="337"/>
        <v>0</v>
      </c>
      <c r="Q504" s="510">
        <f t="shared" si="338"/>
        <v>0</v>
      </c>
      <c r="R504" s="510">
        <f t="shared" si="339"/>
        <v>0</v>
      </c>
    </row>
    <row r="505" spans="1:18">
      <c r="A505" s="505"/>
      <c r="B505" s="607" t="s">
        <v>1159</v>
      </c>
      <c r="C505" s="507">
        <v>8</v>
      </c>
      <c r="D505" s="508">
        <v>200</v>
      </c>
      <c r="E505" s="507">
        <v>1</v>
      </c>
      <c r="F505" s="502">
        <v>1</v>
      </c>
      <c r="G505" s="502">
        <f>+ROUND(1.1/(D505/1000)+1,0)</f>
        <v>7</v>
      </c>
      <c r="H505" s="602">
        <v>0.2</v>
      </c>
      <c r="I505" s="602">
        <v>3.55</v>
      </c>
      <c r="J505" s="235"/>
      <c r="K505" s="509"/>
      <c r="L505" s="510">
        <f t="shared" si="342"/>
        <v>3.75</v>
      </c>
      <c r="M505" s="510">
        <f t="shared" si="334"/>
        <v>26.25</v>
      </c>
      <c r="N505" s="510">
        <f t="shared" si="335"/>
        <v>0</v>
      </c>
      <c r="O505" s="510">
        <f t="shared" si="336"/>
        <v>0</v>
      </c>
      <c r="P505" s="510">
        <f t="shared" si="337"/>
        <v>0</v>
      </c>
      <c r="Q505" s="510">
        <f t="shared" si="338"/>
        <v>0</v>
      </c>
      <c r="R505" s="510">
        <f t="shared" si="339"/>
        <v>0</v>
      </c>
    </row>
    <row r="506" spans="1:18">
      <c r="A506" s="505"/>
      <c r="B506" s="607" t="s">
        <v>1159</v>
      </c>
      <c r="C506" s="507">
        <v>8</v>
      </c>
      <c r="D506" s="508">
        <v>200</v>
      </c>
      <c r="E506" s="507">
        <v>1</v>
      </c>
      <c r="F506" s="502">
        <v>1</v>
      </c>
      <c r="G506" s="502">
        <f>+ROUND(0.6/(D506/1000)+1,0)</f>
        <v>4</v>
      </c>
      <c r="H506" s="602">
        <v>0.2</v>
      </c>
      <c r="I506" s="602">
        <v>3.2</v>
      </c>
      <c r="J506" s="235"/>
      <c r="K506" s="509"/>
      <c r="L506" s="510">
        <f t="shared" si="342"/>
        <v>3.4000000000000004</v>
      </c>
      <c r="M506" s="510">
        <f t="shared" si="334"/>
        <v>13.6</v>
      </c>
      <c r="N506" s="510">
        <f t="shared" si="335"/>
        <v>0</v>
      </c>
      <c r="O506" s="510">
        <f t="shared" si="336"/>
        <v>0</v>
      </c>
      <c r="P506" s="510">
        <f t="shared" si="337"/>
        <v>0</v>
      </c>
      <c r="Q506" s="510">
        <f t="shared" si="338"/>
        <v>0</v>
      </c>
      <c r="R506" s="510">
        <f t="shared" si="339"/>
        <v>0</v>
      </c>
    </row>
    <row r="507" spans="1:18">
      <c r="A507" s="505"/>
      <c r="B507" s="607" t="s">
        <v>1159</v>
      </c>
      <c r="C507" s="507">
        <v>8</v>
      </c>
      <c r="D507" s="508">
        <v>200</v>
      </c>
      <c r="E507" s="507">
        <v>1</v>
      </c>
      <c r="F507" s="502">
        <v>1</v>
      </c>
      <c r="G507" s="502">
        <f>+ROUND(1.2/(D507/1000)+1,0)</f>
        <v>7</v>
      </c>
      <c r="H507" s="602">
        <v>0.2</v>
      </c>
      <c r="I507" s="602">
        <v>3.2</v>
      </c>
      <c r="J507" s="235"/>
      <c r="K507" s="509"/>
      <c r="L507" s="510">
        <f t="shared" si="342"/>
        <v>3.4000000000000004</v>
      </c>
      <c r="M507" s="510">
        <f t="shared" si="334"/>
        <v>23.8</v>
      </c>
      <c r="N507" s="510">
        <f t="shared" si="335"/>
        <v>0</v>
      </c>
      <c r="O507" s="510">
        <f t="shared" si="336"/>
        <v>0</v>
      </c>
      <c r="P507" s="510">
        <f t="shared" si="337"/>
        <v>0</v>
      </c>
      <c r="Q507" s="510">
        <f t="shared" si="338"/>
        <v>0</v>
      </c>
      <c r="R507" s="510">
        <f t="shared" si="339"/>
        <v>0</v>
      </c>
    </row>
    <row r="508" spans="1:18">
      <c r="A508" s="505"/>
      <c r="B508" s="607" t="s">
        <v>1156</v>
      </c>
      <c r="C508" s="507">
        <v>8</v>
      </c>
      <c r="D508" s="508">
        <v>200</v>
      </c>
      <c r="E508" s="507">
        <v>1</v>
      </c>
      <c r="F508" s="502">
        <v>1</v>
      </c>
      <c r="G508" s="502">
        <v>7</v>
      </c>
      <c r="H508" s="602">
        <v>0.1</v>
      </c>
      <c r="I508" s="602">
        <v>0.72499999999999998</v>
      </c>
      <c r="J508" s="235"/>
      <c r="K508" s="509"/>
      <c r="L508" s="510">
        <f t="shared" ref="L508" si="343">SUM(H508:J508)+K508</f>
        <v>0.82499999999999996</v>
      </c>
      <c r="M508" s="510">
        <f t="shared" si="334"/>
        <v>5.78</v>
      </c>
      <c r="N508" s="510">
        <f t="shared" si="335"/>
        <v>0</v>
      </c>
      <c r="O508" s="510">
        <f t="shared" si="336"/>
        <v>0</v>
      </c>
      <c r="P508" s="510">
        <f t="shared" si="337"/>
        <v>0</v>
      </c>
      <c r="Q508" s="510">
        <f t="shared" si="338"/>
        <v>0</v>
      </c>
      <c r="R508" s="510">
        <f t="shared" si="339"/>
        <v>0</v>
      </c>
    </row>
    <row r="509" spans="1:18">
      <c r="A509" s="505"/>
      <c r="B509" s="511"/>
      <c r="C509" s="507"/>
      <c r="D509" s="508"/>
      <c r="E509" s="507"/>
      <c r="F509" s="502"/>
      <c r="G509" s="502"/>
      <c r="H509" s="602"/>
      <c r="I509" s="602"/>
      <c r="J509" s="235"/>
      <c r="K509" s="509"/>
      <c r="L509" s="510"/>
      <c r="M509" s="510"/>
      <c r="N509" s="510"/>
      <c r="O509" s="510"/>
      <c r="P509" s="510"/>
      <c r="Q509" s="510"/>
      <c r="R509" s="510"/>
    </row>
    <row r="510" spans="1:18">
      <c r="A510" s="505"/>
      <c r="B510" s="506" t="s">
        <v>1160</v>
      </c>
      <c r="C510" s="507"/>
      <c r="D510" s="508"/>
      <c r="E510" s="507"/>
      <c r="F510" s="502"/>
      <c r="G510" s="502"/>
      <c r="H510" s="503"/>
      <c r="I510" s="503"/>
      <c r="J510" s="589"/>
      <c r="K510" s="509"/>
      <c r="L510" s="510"/>
      <c r="M510" s="510">
        <f t="shared" si="325"/>
        <v>0</v>
      </c>
      <c r="N510" s="510">
        <f t="shared" si="326"/>
        <v>0</v>
      </c>
      <c r="O510" s="510">
        <f t="shared" si="327"/>
        <v>0</v>
      </c>
      <c r="P510" s="510">
        <f t="shared" si="328"/>
        <v>0</v>
      </c>
      <c r="Q510" s="510">
        <f t="shared" si="329"/>
        <v>0</v>
      </c>
      <c r="R510" s="510">
        <f t="shared" si="330"/>
        <v>0</v>
      </c>
    </row>
    <row r="511" spans="1:18">
      <c r="A511" s="505"/>
      <c r="B511" s="607" t="s">
        <v>1154</v>
      </c>
      <c r="C511" s="507">
        <v>8</v>
      </c>
      <c r="D511" s="508">
        <v>200</v>
      </c>
      <c r="E511" s="507">
        <v>1</v>
      </c>
      <c r="F511" s="502">
        <v>1</v>
      </c>
      <c r="G511" s="502">
        <v>18</v>
      </c>
      <c r="H511" s="602"/>
      <c r="I511" s="602">
        <f>3.575+0.175+0.175</f>
        <v>3.9249999999999998</v>
      </c>
      <c r="J511" s="235"/>
      <c r="K511" s="509"/>
      <c r="L511" s="510">
        <f t="shared" ref="L511" si="344">SUM(H511:J511)+K511</f>
        <v>3.9249999999999998</v>
      </c>
      <c r="M511" s="510">
        <f t="shared" si="325"/>
        <v>70.650000000000006</v>
      </c>
      <c r="N511" s="510">
        <f t="shared" si="326"/>
        <v>0</v>
      </c>
      <c r="O511" s="510">
        <f t="shared" si="327"/>
        <v>0</v>
      </c>
      <c r="P511" s="510">
        <f t="shared" si="328"/>
        <v>0</v>
      </c>
      <c r="Q511" s="510">
        <f t="shared" si="329"/>
        <v>0</v>
      </c>
      <c r="R511" s="510">
        <f t="shared" si="330"/>
        <v>0</v>
      </c>
    </row>
    <row r="512" spans="1:18">
      <c r="A512" s="505"/>
      <c r="B512" s="607" t="s">
        <v>1155</v>
      </c>
      <c r="C512" s="507">
        <v>8</v>
      </c>
      <c r="D512" s="508">
        <v>200</v>
      </c>
      <c r="E512" s="507">
        <v>1</v>
      </c>
      <c r="F512" s="502">
        <v>1</v>
      </c>
      <c r="G512" s="502">
        <v>18</v>
      </c>
      <c r="H512" s="602"/>
      <c r="I512" s="602">
        <f>0.175+3.55+0.2+0.5</f>
        <v>4.4249999999999998</v>
      </c>
      <c r="J512" s="235"/>
      <c r="K512" s="589"/>
      <c r="L512" s="510">
        <f>SUM(H512:J512)+K512</f>
        <v>4.4249999999999998</v>
      </c>
      <c r="M512" s="510">
        <f t="shared" si="325"/>
        <v>79.650000000000006</v>
      </c>
      <c r="N512" s="510">
        <f t="shared" si="326"/>
        <v>0</v>
      </c>
      <c r="O512" s="510">
        <f t="shared" si="327"/>
        <v>0</v>
      </c>
      <c r="P512" s="510">
        <f t="shared" si="328"/>
        <v>0</v>
      </c>
      <c r="Q512" s="510">
        <f t="shared" si="329"/>
        <v>0</v>
      </c>
      <c r="R512" s="510">
        <f t="shared" si="330"/>
        <v>0</v>
      </c>
    </row>
    <row r="513" spans="1:18">
      <c r="A513" s="505"/>
      <c r="B513" s="607" t="s">
        <v>1156</v>
      </c>
      <c r="C513" s="507">
        <v>8</v>
      </c>
      <c r="D513" s="508">
        <v>200</v>
      </c>
      <c r="E513" s="507">
        <v>1</v>
      </c>
      <c r="F513" s="502">
        <v>1</v>
      </c>
      <c r="G513" s="502">
        <f>+ROUND(3.55/(D513/1000)+1,0)</f>
        <v>19</v>
      </c>
      <c r="H513" s="602">
        <v>0.1</v>
      </c>
      <c r="I513" s="602">
        <f>0.6+0.175</f>
        <v>0.77499999999999991</v>
      </c>
      <c r="J513" s="235"/>
      <c r="K513" s="509"/>
      <c r="L513" s="510">
        <f>SUM(H513:J513)+K513</f>
        <v>0.87499999999999989</v>
      </c>
      <c r="M513" s="510">
        <f t="shared" si="325"/>
        <v>16.63</v>
      </c>
      <c r="N513" s="510">
        <f t="shared" si="326"/>
        <v>0</v>
      </c>
      <c r="O513" s="510">
        <f t="shared" si="327"/>
        <v>0</v>
      </c>
      <c r="P513" s="510">
        <f t="shared" si="328"/>
        <v>0</v>
      </c>
      <c r="Q513" s="510">
        <f t="shared" si="329"/>
        <v>0</v>
      </c>
      <c r="R513" s="510">
        <f t="shared" si="330"/>
        <v>0</v>
      </c>
    </row>
    <row r="514" spans="1:18">
      <c r="A514" s="505"/>
      <c r="B514" s="607" t="s">
        <v>1156</v>
      </c>
      <c r="C514" s="507">
        <v>8</v>
      </c>
      <c r="D514" s="508">
        <v>200</v>
      </c>
      <c r="E514" s="507">
        <v>1</v>
      </c>
      <c r="F514" s="502">
        <v>1</v>
      </c>
      <c r="G514" s="502">
        <v>18</v>
      </c>
      <c r="H514" s="602">
        <v>0.1</v>
      </c>
      <c r="I514" s="602">
        <f>0.6+0.175</f>
        <v>0.77499999999999991</v>
      </c>
      <c r="J514" s="235"/>
      <c r="K514" s="509"/>
      <c r="L514" s="510">
        <f t="shared" ref="L514:L523" si="345">SUM(H514:J514)+K514</f>
        <v>0.87499999999999989</v>
      </c>
      <c r="M514" s="510">
        <f t="shared" si="325"/>
        <v>15.75</v>
      </c>
      <c r="N514" s="510">
        <f t="shared" si="326"/>
        <v>0</v>
      </c>
      <c r="O514" s="510">
        <f t="shared" si="327"/>
        <v>0</v>
      </c>
      <c r="P514" s="510">
        <f t="shared" si="328"/>
        <v>0</v>
      </c>
      <c r="Q514" s="510">
        <f t="shared" si="329"/>
        <v>0</v>
      </c>
      <c r="R514" s="510">
        <f t="shared" si="330"/>
        <v>0</v>
      </c>
    </row>
    <row r="515" spans="1:18">
      <c r="A515" s="505"/>
      <c r="B515" s="607" t="s">
        <v>1156</v>
      </c>
      <c r="C515" s="507">
        <v>8</v>
      </c>
      <c r="D515" s="508">
        <v>200</v>
      </c>
      <c r="E515" s="507">
        <v>1</v>
      </c>
      <c r="F515" s="502">
        <v>1</v>
      </c>
      <c r="G515" s="502">
        <v>11</v>
      </c>
      <c r="H515" s="602">
        <v>0.1</v>
      </c>
      <c r="I515" s="602">
        <f>0.6+0.175</f>
        <v>0.77499999999999991</v>
      </c>
      <c r="J515" s="235"/>
      <c r="K515" s="509"/>
      <c r="L515" s="510">
        <f t="shared" si="345"/>
        <v>0.87499999999999989</v>
      </c>
      <c r="M515" s="510">
        <f t="shared" si="325"/>
        <v>9.6300000000000008</v>
      </c>
      <c r="N515" s="510">
        <f t="shared" si="326"/>
        <v>0</v>
      </c>
      <c r="O515" s="510">
        <f t="shared" si="327"/>
        <v>0</v>
      </c>
      <c r="P515" s="510">
        <f t="shared" si="328"/>
        <v>0</v>
      </c>
      <c r="Q515" s="510">
        <f t="shared" si="329"/>
        <v>0</v>
      </c>
      <c r="R515" s="510">
        <f t="shared" si="330"/>
        <v>0</v>
      </c>
    </row>
    <row r="516" spans="1:18">
      <c r="A516" s="505"/>
      <c r="B516" s="607" t="s">
        <v>1158</v>
      </c>
      <c r="C516" s="507">
        <v>8</v>
      </c>
      <c r="D516" s="508">
        <v>175</v>
      </c>
      <c r="E516" s="507">
        <v>1</v>
      </c>
      <c r="F516" s="502">
        <v>1</v>
      </c>
      <c r="G516" s="502">
        <v>3</v>
      </c>
      <c r="H516" s="602"/>
      <c r="I516" s="602">
        <f>0.1+1.2</f>
        <v>1.3</v>
      </c>
      <c r="J516" s="235"/>
      <c r="K516" s="509"/>
      <c r="L516" s="510">
        <f t="shared" si="345"/>
        <v>1.3</v>
      </c>
      <c r="M516" s="510">
        <f t="shared" si="325"/>
        <v>3.9</v>
      </c>
      <c r="N516" s="510">
        <f t="shared" si="326"/>
        <v>0</v>
      </c>
      <c r="O516" s="510">
        <f t="shared" si="327"/>
        <v>0</v>
      </c>
      <c r="P516" s="510">
        <f t="shared" si="328"/>
        <v>0</v>
      </c>
      <c r="Q516" s="510">
        <f t="shared" si="329"/>
        <v>0</v>
      </c>
      <c r="R516" s="510">
        <f t="shared" si="330"/>
        <v>0</v>
      </c>
    </row>
    <row r="517" spans="1:18">
      <c r="A517" s="505"/>
      <c r="B517" s="607" t="s">
        <v>1158</v>
      </c>
      <c r="C517" s="507">
        <v>8</v>
      </c>
      <c r="D517" s="508">
        <v>175</v>
      </c>
      <c r="E517" s="507">
        <v>1</v>
      </c>
      <c r="F517" s="502">
        <v>1</v>
      </c>
      <c r="G517" s="502">
        <v>3</v>
      </c>
      <c r="H517" s="602"/>
      <c r="I517" s="602">
        <f>0.1+0.6</f>
        <v>0.7</v>
      </c>
      <c r="J517" s="235"/>
      <c r="K517" s="509"/>
      <c r="L517" s="510">
        <f t="shared" si="345"/>
        <v>0.7</v>
      </c>
      <c r="M517" s="510">
        <f t="shared" si="325"/>
        <v>2.1</v>
      </c>
      <c r="N517" s="510">
        <f t="shared" si="326"/>
        <v>0</v>
      </c>
      <c r="O517" s="510">
        <f t="shared" si="327"/>
        <v>0</v>
      </c>
      <c r="P517" s="510">
        <f t="shared" si="328"/>
        <v>0</v>
      </c>
      <c r="Q517" s="510">
        <f t="shared" si="329"/>
        <v>0</v>
      </c>
      <c r="R517" s="510">
        <f t="shared" si="330"/>
        <v>0</v>
      </c>
    </row>
    <row r="518" spans="1:18">
      <c r="A518" s="505"/>
      <c r="B518" s="607" t="s">
        <v>1156</v>
      </c>
      <c r="C518" s="507">
        <v>8</v>
      </c>
      <c r="D518" s="508">
        <v>200</v>
      </c>
      <c r="E518" s="507">
        <v>1</v>
      </c>
      <c r="F518" s="502">
        <v>1</v>
      </c>
      <c r="G518" s="502">
        <v>9</v>
      </c>
      <c r="H518" s="602"/>
      <c r="I518" s="602">
        <f>0.1+1.2</f>
        <v>1.3</v>
      </c>
      <c r="J518" s="235"/>
      <c r="K518" s="509"/>
      <c r="L518" s="510">
        <f t="shared" si="345"/>
        <v>1.3</v>
      </c>
      <c r="M518" s="510">
        <f t="shared" si="325"/>
        <v>11.7</v>
      </c>
      <c r="N518" s="510">
        <f t="shared" si="326"/>
        <v>0</v>
      </c>
      <c r="O518" s="510">
        <f t="shared" si="327"/>
        <v>0</v>
      </c>
      <c r="P518" s="510">
        <f t="shared" si="328"/>
        <v>0</v>
      </c>
      <c r="Q518" s="510">
        <f t="shared" si="329"/>
        <v>0</v>
      </c>
      <c r="R518" s="510">
        <f t="shared" si="330"/>
        <v>0</v>
      </c>
    </row>
    <row r="519" spans="1:18">
      <c r="A519" s="505"/>
      <c r="B519" s="607" t="s">
        <v>1156</v>
      </c>
      <c r="C519" s="507">
        <v>8</v>
      </c>
      <c r="D519" s="508">
        <v>200</v>
      </c>
      <c r="E519" s="507">
        <v>1</v>
      </c>
      <c r="F519" s="502">
        <v>1</v>
      </c>
      <c r="G519" s="502">
        <v>9</v>
      </c>
      <c r="H519" s="602"/>
      <c r="I519" s="602">
        <f>0.1+0.6</f>
        <v>0.7</v>
      </c>
      <c r="J519" s="235"/>
      <c r="K519" s="509"/>
      <c r="L519" s="510">
        <f t="shared" si="345"/>
        <v>0.7</v>
      </c>
      <c r="M519" s="510">
        <f t="shared" si="325"/>
        <v>6.3</v>
      </c>
      <c r="N519" s="510">
        <f t="shared" si="326"/>
        <v>0</v>
      </c>
      <c r="O519" s="510">
        <f t="shared" si="327"/>
        <v>0</v>
      </c>
      <c r="P519" s="510">
        <f t="shared" si="328"/>
        <v>0</v>
      </c>
      <c r="Q519" s="510">
        <f t="shared" si="329"/>
        <v>0</v>
      </c>
      <c r="R519" s="510">
        <f t="shared" si="330"/>
        <v>0</v>
      </c>
    </row>
    <row r="520" spans="1:18">
      <c r="A520" s="505"/>
      <c r="B520" s="607" t="s">
        <v>1159</v>
      </c>
      <c r="C520" s="507">
        <v>8</v>
      </c>
      <c r="D520" s="508">
        <v>200</v>
      </c>
      <c r="E520" s="507">
        <v>1</v>
      </c>
      <c r="F520" s="502">
        <v>1</v>
      </c>
      <c r="G520" s="502">
        <f>+ROUND(0.6/(D520/1000)+1,0)</f>
        <v>4</v>
      </c>
      <c r="H520" s="602">
        <v>0.2</v>
      </c>
      <c r="I520" s="602">
        <v>2.9</v>
      </c>
      <c r="J520" s="235"/>
      <c r="K520" s="509"/>
      <c r="L520" s="510">
        <f t="shared" si="345"/>
        <v>3.1</v>
      </c>
      <c r="M520" s="510">
        <f t="shared" si="325"/>
        <v>12.4</v>
      </c>
      <c r="N520" s="510">
        <f t="shared" si="326"/>
        <v>0</v>
      </c>
      <c r="O520" s="510">
        <f t="shared" si="327"/>
        <v>0</v>
      </c>
      <c r="P520" s="510">
        <f t="shared" si="328"/>
        <v>0</v>
      </c>
      <c r="Q520" s="510">
        <f t="shared" si="329"/>
        <v>0</v>
      </c>
      <c r="R520" s="510">
        <f t="shared" si="330"/>
        <v>0</v>
      </c>
    </row>
    <row r="521" spans="1:18">
      <c r="A521" s="505"/>
      <c r="B521" s="607" t="s">
        <v>1159</v>
      </c>
      <c r="C521" s="507">
        <v>8</v>
      </c>
      <c r="D521" s="508">
        <v>200</v>
      </c>
      <c r="E521" s="507">
        <v>1</v>
      </c>
      <c r="F521" s="502">
        <v>1</v>
      </c>
      <c r="G521" s="502">
        <f>+ROUND(1.2/(D521/1000)+1,0)</f>
        <v>7</v>
      </c>
      <c r="H521" s="602">
        <v>0.2</v>
      </c>
      <c r="I521" s="602">
        <v>2.9</v>
      </c>
      <c r="J521" s="235"/>
      <c r="K521" s="509"/>
      <c r="L521" s="510">
        <f t="shared" si="345"/>
        <v>3.1</v>
      </c>
      <c r="M521" s="510">
        <f t="shared" si="325"/>
        <v>21.7</v>
      </c>
      <c r="N521" s="510">
        <f t="shared" si="326"/>
        <v>0</v>
      </c>
      <c r="O521" s="510">
        <f t="shared" si="327"/>
        <v>0</v>
      </c>
      <c r="P521" s="510">
        <f t="shared" si="328"/>
        <v>0</v>
      </c>
      <c r="Q521" s="510">
        <f t="shared" si="329"/>
        <v>0</v>
      </c>
      <c r="R521" s="510">
        <f t="shared" si="330"/>
        <v>0</v>
      </c>
    </row>
    <row r="522" spans="1:18">
      <c r="A522" s="505"/>
      <c r="B522" s="607" t="s">
        <v>1159</v>
      </c>
      <c r="C522" s="507">
        <v>8</v>
      </c>
      <c r="D522" s="508">
        <v>200</v>
      </c>
      <c r="E522" s="507">
        <v>1</v>
      </c>
      <c r="F522" s="502">
        <v>1</v>
      </c>
      <c r="G522" s="502">
        <f>+ROUND(0.6/(D522/1000)+1,0)</f>
        <v>4</v>
      </c>
      <c r="H522" s="602">
        <v>0.2</v>
      </c>
      <c r="I522" s="602">
        <v>2.6</v>
      </c>
      <c r="J522" s="235"/>
      <c r="K522" s="509"/>
      <c r="L522" s="510">
        <f t="shared" si="345"/>
        <v>2.8000000000000003</v>
      </c>
      <c r="M522" s="510">
        <f t="shared" si="325"/>
        <v>11.2</v>
      </c>
      <c r="N522" s="510">
        <f t="shared" si="326"/>
        <v>0</v>
      </c>
      <c r="O522" s="510">
        <f t="shared" si="327"/>
        <v>0</v>
      </c>
      <c r="P522" s="510">
        <f t="shared" si="328"/>
        <v>0</v>
      </c>
      <c r="Q522" s="510">
        <f t="shared" si="329"/>
        <v>0</v>
      </c>
      <c r="R522" s="510">
        <f t="shared" si="330"/>
        <v>0</v>
      </c>
    </row>
    <row r="523" spans="1:18">
      <c r="A523" s="505"/>
      <c r="B523" s="607" t="s">
        <v>1159</v>
      </c>
      <c r="C523" s="507">
        <v>8</v>
      </c>
      <c r="D523" s="508">
        <v>200</v>
      </c>
      <c r="E523" s="507">
        <v>1</v>
      </c>
      <c r="F523" s="502">
        <v>1</v>
      </c>
      <c r="G523" s="502">
        <f>+ROUND(1.2/(D523/1000)+1,0)</f>
        <v>7</v>
      </c>
      <c r="H523" s="602">
        <v>0.2</v>
      </c>
      <c r="I523" s="602">
        <v>2.6</v>
      </c>
      <c r="J523" s="235"/>
      <c r="K523" s="509"/>
      <c r="L523" s="510">
        <f t="shared" si="345"/>
        <v>2.8000000000000003</v>
      </c>
      <c r="M523" s="510">
        <f t="shared" si="325"/>
        <v>19.600000000000001</v>
      </c>
      <c r="N523" s="510">
        <f t="shared" si="326"/>
        <v>0</v>
      </c>
      <c r="O523" s="510">
        <f t="shared" si="327"/>
        <v>0</v>
      </c>
      <c r="P523" s="510">
        <f t="shared" si="328"/>
        <v>0</v>
      </c>
      <c r="Q523" s="510">
        <f t="shared" si="329"/>
        <v>0</v>
      </c>
      <c r="R523" s="510">
        <f t="shared" si="330"/>
        <v>0</v>
      </c>
    </row>
    <row r="524" spans="1:18">
      <c r="A524" s="505"/>
      <c r="B524" s="511"/>
      <c r="C524" s="507"/>
      <c r="D524" s="508"/>
      <c r="E524" s="507"/>
      <c r="F524" s="502"/>
      <c r="G524" s="502"/>
      <c r="H524" s="602"/>
      <c r="I524" s="602"/>
      <c r="J524" s="235"/>
      <c r="K524" s="509"/>
      <c r="L524" s="510"/>
      <c r="M524" s="510"/>
      <c r="N524" s="510"/>
      <c r="O524" s="510"/>
      <c r="P524" s="510"/>
      <c r="Q524" s="510"/>
      <c r="R524" s="510"/>
    </row>
    <row r="525" spans="1:18">
      <c r="A525" s="505"/>
      <c r="B525" s="506" t="s">
        <v>1161</v>
      </c>
      <c r="C525" s="507"/>
      <c r="D525" s="508"/>
      <c r="E525" s="507"/>
      <c r="F525" s="502"/>
      <c r="G525" s="502"/>
      <c r="H525" s="503"/>
      <c r="I525" s="503"/>
      <c r="J525" s="589"/>
      <c r="K525" s="509"/>
      <c r="L525" s="510"/>
      <c r="M525" s="510">
        <f t="shared" ref="M525:M535" si="346">+ROUND(IF(C525=8,PRODUCT(E525,F525,G525,L525),0),2)</f>
        <v>0</v>
      </c>
      <c r="N525" s="510">
        <f t="shared" ref="N525:N535" si="347">+ROUND(IF(C525=10,PRODUCT(E525,F525,G525,L525),0),2)</f>
        <v>0</v>
      </c>
      <c r="O525" s="510">
        <f t="shared" ref="O525:O535" si="348">+ROUND(IF(C525=12,PRODUCT(E525,F525,G525,L525),0),2)</f>
        <v>0</v>
      </c>
      <c r="P525" s="510">
        <f t="shared" ref="P525:P535" si="349">+ROUND(IF(C525=16,PRODUCT(E525,F525,G525,L525),0),2)</f>
        <v>0</v>
      </c>
      <c r="Q525" s="510">
        <f t="shared" ref="Q525:Q535" si="350">+ROUND(IF(C525=20,PRODUCT(E525,F525,G525,L525),0),2)</f>
        <v>0</v>
      </c>
      <c r="R525" s="510">
        <f t="shared" ref="R525:R535" si="351">+ROUND(IF(C525=25,PRODUCT(E525,F525,G525,L525),0),2)</f>
        <v>0</v>
      </c>
    </row>
    <row r="526" spans="1:18">
      <c r="A526" s="505"/>
      <c r="B526" s="607" t="s">
        <v>1154</v>
      </c>
      <c r="C526" s="507">
        <v>8</v>
      </c>
      <c r="D526" s="508">
        <v>200</v>
      </c>
      <c r="E526" s="507">
        <v>1</v>
      </c>
      <c r="F526" s="502">
        <v>1</v>
      </c>
      <c r="G526" s="502">
        <f>+ROUND(2.785/(D526/1000)+1,0)</f>
        <v>15</v>
      </c>
      <c r="H526" s="602"/>
      <c r="I526" s="602">
        <f>0.175+1.2+0.175</f>
        <v>1.55</v>
      </c>
      <c r="J526" s="235"/>
      <c r="K526" s="509"/>
      <c r="L526" s="510">
        <f t="shared" ref="L526" si="352">SUM(H526:J526)+K526</f>
        <v>1.55</v>
      </c>
      <c r="M526" s="510">
        <f t="shared" si="346"/>
        <v>23.25</v>
      </c>
      <c r="N526" s="510">
        <f t="shared" si="347"/>
        <v>0</v>
      </c>
      <c r="O526" s="510">
        <f t="shared" si="348"/>
        <v>0</v>
      </c>
      <c r="P526" s="510">
        <f t="shared" si="349"/>
        <v>0</v>
      </c>
      <c r="Q526" s="510">
        <f t="shared" si="350"/>
        <v>0</v>
      </c>
      <c r="R526" s="510">
        <f t="shared" si="351"/>
        <v>0</v>
      </c>
    </row>
    <row r="527" spans="1:18">
      <c r="A527" s="505"/>
      <c r="B527" s="607" t="s">
        <v>1155</v>
      </c>
      <c r="C527" s="507">
        <v>8</v>
      </c>
      <c r="D527" s="508">
        <v>200</v>
      </c>
      <c r="E527" s="507">
        <v>1</v>
      </c>
      <c r="F527" s="502">
        <v>1</v>
      </c>
      <c r="G527" s="502">
        <f>+ROUND(1.2/(D527/1000)+1,0)</f>
        <v>7</v>
      </c>
      <c r="H527" s="602"/>
      <c r="I527" s="602">
        <f>0.175+2.785+0.175</f>
        <v>3.1349999999999998</v>
      </c>
      <c r="J527" s="235"/>
      <c r="K527" s="589"/>
      <c r="L527" s="510">
        <f>SUM(H527:J527)+K527</f>
        <v>3.1349999999999998</v>
      </c>
      <c r="M527" s="510">
        <f t="shared" si="346"/>
        <v>21.95</v>
      </c>
      <c r="N527" s="510">
        <f t="shared" si="347"/>
        <v>0</v>
      </c>
      <c r="O527" s="510">
        <f t="shared" si="348"/>
        <v>0</v>
      </c>
      <c r="P527" s="510">
        <f t="shared" si="349"/>
        <v>0</v>
      </c>
      <c r="Q527" s="510">
        <f t="shared" si="350"/>
        <v>0</v>
      </c>
      <c r="R527" s="510">
        <f t="shared" si="351"/>
        <v>0</v>
      </c>
    </row>
    <row r="528" spans="1:18">
      <c r="A528" s="505"/>
      <c r="B528" s="607" t="s">
        <v>1156</v>
      </c>
      <c r="C528" s="507">
        <v>8</v>
      </c>
      <c r="D528" s="508">
        <v>200</v>
      </c>
      <c r="E528" s="507">
        <v>1</v>
      </c>
      <c r="F528" s="502">
        <v>1</v>
      </c>
      <c r="G528" s="502">
        <v>6</v>
      </c>
      <c r="H528" s="602"/>
      <c r="I528" s="602">
        <f>0.1+0.9</f>
        <v>1</v>
      </c>
      <c r="J528" s="235"/>
      <c r="K528" s="509"/>
      <c r="L528" s="510">
        <f>SUM(H528:J528)+K528</f>
        <v>1</v>
      </c>
      <c r="M528" s="510">
        <f t="shared" si="346"/>
        <v>6</v>
      </c>
      <c r="N528" s="510">
        <f t="shared" si="347"/>
        <v>0</v>
      </c>
      <c r="O528" s="510">
        <f t="shared" si="348"/>
        <v>0</v>
      </c>
      <c r="P528" s="510">
        <f t="shared" si="349"/>
        <v>0</v>
      </c>
      <c r="Q528" s="510">
        <f t="shared" si="350"/>
        <v>0</v>
      </c>
      <c r="R528" s="510">
        <f t="shared" si="351"/>
        <v>0</v>
      </c>
    </row>
    <row r="529" spans="1:18">
      <c r="A529" s="505"/>
      <c r="B529" s="607" t="s">
        <v>1156</v>
      </c>
      <c r="C529" s="507">
        <v>8</v>
      </c>
      <c r="D529" s="508">
        <v>200</v>
      </c>
      <c r="E529" s="507">
        <v>1</v>
      </c>
      <c r="F529" s="502">
        <v>1</v>
      </c>
      <c r="G529" s="502">
        <v>5</v>
      </c>
      <c r="H529" s="602"/>
      <c r="I529" s="602">
        <v>0.55000000000000004</v>
      </c>
      <c r="J529" s="235"/>
      <c r="K529" s="509"/>
      <c r="L529" s="510">
        <f t="shared" ref="L529" si="353">SUM(H529:J529)+K529</f>
        <v>0.55000000000000004</v>
      </c>
      <c r="M529" s="510">
        <f t="shared" si="346"/>
        <v>2.75</v>
      </c>
      <c r="N529" s="510">
        <f t="shared" si="347"/>
        <v>0</v>
      </c>
      <c r="O529" s="510">
        <f t="shared" si="348"/>
        <v>0</v>
      </c>
      <c r="P529" s="510">
        <f t="shared" si="349"/>
        <v>0</v>
      </c>
      <c r="Q529" s="510">
        <f t="shared" si="350"/>
        <v>0</v>
      </c>
      <c r="R529" s="510">
        <f t="shared" si="351"/>
        <v>0</v>
      </c>
    </row>
    <row r="530" spans="1:18">
      <c r="A530" s="505"/>
      <c r="B530" s="607" t="s">
        <v>1156</v>
      </c>
      <c r="C530" s="507">
        <v>8</v>
      </c>
      <c r="D530" s="508">
        <v>200</v>
      </c>
      <c r="E530" s="507">
        <v>1</v>
      </c>
      <c r="F530" s="502">
        <v>1</v>
      </c>
      <c r="G530" s="502">
        <v>5</v>
      </c>
      <c r="H530" s="602"/>
      <c r="I530" s="602">
        <f>0.1+0.55</f>
        <v>0.65</v>
      </c>
      <c r="J530" s="235"/>
      <c r="K530" s="509"/>
      <c r="L530" s="510">
        <f t="shared" ref="L530:L535" si="354">SUM(H530:J530)+K530</f>
        <v>0.65</v>
      </c>
      <c r="M530" s="510">
        <f t="shared" si="346"/>
        <v>3.25</v>
      </c>
      <c r="N530" s="510">
        <f t="shared" si="347"/>
        <v>0</v>
      </c>
      <c r="O530" s="510">
        <f t="shared" si="348"/>
        <v>0</v>
      </c>
      <c r="P530" s="510">
        <f t="shared" si="349"/>
        <v>0</v>
      </c>
      <c r="Q530" s="510">
        <f t="shared" si="350"/>
        <v>0</v>
      </c>
      <c r="R530" s="510">
        <f t="shared" si="351"/>
        <v>0</v>
      </c>
    </row>
    <row r="531" spans="1:18">
      <c r="A531" s="505"/>
      <c r="B531" s="607" t="s">
        <v>1158</v>
      </c>
      <c r="C531" s="507">
        <v>8</v>
      </c>
      <c r="D531" s="508">
        <v>175</v>
      </c>
      <c r="E531" s="507">
        <v>1</v>
      </c>
      <c r="F531" s="502">
        <v>1</v>
      </c>
      <c r="G531" s="502">
        <f>+ROUND(2.785/(D531/1000)+1,0)</f>
        <v>17</v>
      </c>
      <c r="H531" s="602"/>
      <c r="I531" s="602">
        <f>0.1+0.45</f>
        <v>0.55000000000000004</v>
      </c>
      <c r="J531" s="235"/>
      <c r="K531" s="509"/>
      <c r="L531" s="510">
        <f t="shared" si="354"/>
        <v>0.55000000000000004</v>
      </c>
      <c r="M531" s="510">
        <f t="shared" si="346"/>
        <v>9.35</v>
      </c>
      <c r="N531" s="510">
        <f t="shared" si="347"/>
        <v>0</v>
      </c>
      <c r="O531" s="510">
        <f t="shared" si="348"/>
        <v>0</v>
      </c>
      <c r="P531" s="510">
        <f t="shared" si="349"/>
        <v>0</v>
      </c>
      <c r="Q531" s="510">
        <f t="shared" si="350"/>
        <v>0</v>
      </c>
      <c r="R531" s="510">
        <f t="shared" si="351"/>
        <v>0</v>
      </c>
    </row>
    <row r="532" spans="1:18">
      <c r="A532" s="505"/>
      <c r="B532" s="607" t="s">
        <v>1159</v>
      </c>
      <c r="C532" s="507">
        <v>8</v>
      </c>
      <c r="D532" s="508">
        <v>200</v>
      </c>
      <c r="E532" s="507">
        <v>1</v>
      </c>
      <c r="F532" s="502">
        <v>1</v>
      </c>
      <c r="G532" s="502">
        <f>+ROUND(0.9/(D532/1000)+1,0)</f>
        <v>6</v>
      </c>
      <c r="H532" s="602">
        <v>0.2</v>
      </c>
      <c r="I532" s="602">
        <v>1.2</v>
      </c>
      <c r="J532" s="235"/>
      <c r="K532" s="509"/>
      <c r="L532" s="510">
        <f t="shared" si="354"/>
        <v>1.4</v>
      </c>
      <c r="M532" s="510">
        <f t="shared" si="346"/>
        <v>8.4</v>
      </c>
      <c r="N532" s="510">
        <f t="shared" si="347"/>
        <v>0</v>
      </c>
      <c r="O532" s="510">
        <f t="shared" si="348"/>
        <v>0</v>
      </c>
      <c r="P532" s="510">
        <f t="shared" si="349"/>
        <v>0</v>
      </c>
      <c r="Q532" s="510">
        <f t="shared" si="350"/>
        <v>0</v>
      </c>
      <c r="R532" s="510">
        <f t="shared" si="351"/>
        <v>0</v>
      </c>
    </row>
    <row r="533" spans="1:18">
      <c r="A533" s="505"/>
      <c r="B533" s="607" t="s">
        <v>1159</v>
      </c>
      <c r="C533" s="507">
        <v>8</v>
      </c>
      <c r="D533" s="508">
        <v>200</v>
      </c>
      <c r="E533" s="507">
        <v>1</v>
      </c>
      <c r="F533" s="502">
        <v>1</v>
      </c>
      <c r="G533" s="502">
        <f>+ROUND(1.1/(D533/1000)+1,0)</f>
        <v>7</v>
      </c>
      <c r="H533" s="602">
        <v>0.2</v>
      </c>
      <c r="I533" s="602">
        <v>1.2</v>
      </c>
      <c r="J533" s="235"/>
      <c r="K533" s="509"/>
      <c r="L533" s="510">
        <f t="shared" si="354"/>
        <v>1.4</v>
      </c>
      <c r="M533" s="510">
        <f t="shared" si="346"/>
        <v>9.8000000000000007</v>
      </c>
      <c r="N533" s="510">
        <f t="shared" si="347"/>
        <v>0</v>
      </c>
      <c r="O533" s="510">
        <f t="shared" si="348"/>
        <v>0</v>
      </c>
      <c r="P533" s="510">
        <f t="shared" si="349"/>
        <v>0</v>
      </c>
      <c r="Q533" s="510">
        <f t="shared" si="350"/>
        <v>0</v>
      </c>
      <c r="R533" s="510">
        <f t="shared" si="351"/>
        <v>0</v>
      </c>
    </row>
    <row r="534" spans="1:18">
      <c r="A534" s="505"/>
      <c r="B534" s="607" t="s">
        <v>1159</v>
      </c>
      <c r="C534" s="507">
        <v>8</v>
      </c>
      <c r="D534" s="508">
        <v>200</v>
      </c>
      <c r="E534" s="507">
        <v>1</v>
      </c>
      <c r="F534" s="502">
        <v>1</v>
      </c>
      <c r="G534" s="502">
        <f>+ROUND(0.45/(D534/1000)+1,0)</f>
        <v>3</v>
      </c>
      <c r="H534" s="602">
        <v>0.2</v>
      </c>
      <c r="I534" s="602">
        <v>2.7850000000000001</v>
      </c>
      <c r="J534" s="235"/>
      <c r="K534" s="509"/>
      <c r="L534" s="510">
        <f t="shared" si="354"/>
        <v>2.9850000000000003</v>
      </c>
      <c r="M534" s="510">
        <f t="shared" si="346"/>
        <v>8.9600000000000009</v>
      </c>
      <c r="N534" s="510">
        <f t="shared" si="347"/>
        <v>0</v>
      </c>
      <c r="O534" s="510">
        <f t="shared" si="348"/>
        <v>0</v>
      </c>
      <c r="P534" s="510">
        <f t="shared" si="349"/>
        <v>0</v>
      </c>
      <c r="Q534" s="510">
        <f t="shared" si="350"/>
        <v>0</v>
      </c>
      <c r="R534" s="510">
        <f t="shared" si="351"/>
        <v>0</v>
      </c>
    </row>
    <row r="535" spans="1:18">
      <c r="A535" s="505"/>
      <c r="B535" s="607" t="s">
        <v>1156</v>
      </c>
      <c r="C535" s="507">
        <v>8</v>
      </c>
      <c r="D535" s="508">
        <v>200</v>
      </c>
      <c r="E535" s="507">
        <v>1</v>
      </c>
      <c r="F535" s="502">
        <v>1</v>
      </c>
      <c r="G535" s="502">
        <v>11</v>
      </c>
      <c r="H535" s="602">
        <v>0.2</v>
      </c>
      <c r="I535" s="602">
        <v>0.57499999999999996</v>
      </c>
      <c r="J535" s="235"/>
      <c r="K535" s="509"/>
      <c r="L535" s="510">
        <f t="shared" si="354"/>
        <v>0.77499999999999991</v>
      </c>
      <c r="M535" s="510">
        <f t="shared" si="346"/>
        <v>8.5299999999999994</v>
      </c>
      <c r="N535" s="510">
        <f t="shared" si="347"/>
        <v>0</v>
      </c>
      <c r="O535" s="510">
        <f t="shared" si="348"/>
        <v>0</v>
      </c>
      <c r="P535" s="510">
        <f t="shared" si="349"/>
        <v>0</v>
      </c>
      <c r="Q535" s="510">
        <f t="shared" si="350"/>
        <v>0</v>
      </c>
      <c r="R535" s="510">
        <f t="shared" si="351"/>
        <v>0</v>
      </c>
    </row>
    <row r="536" spans="1:18">
      <c r="A536" s="505"/>
      <c r="B536" s="511"/>
      <c r="C536" s="507"/>
      <c r="D536" s="508"/>
      <c r="E536" s="507"/>
      <c r="F536" s="502"/>
      <c r="G536" s="502"/>
      <c r="H536" s="602"/>
      <c r="I536" s="602"/>
      <c r="J536" s="235"/>
      <c r="K536" s="509"/>
      <c r="L536" s="510"/>
      <c r="M536" s="510"/>
      <c r="N536" s="510"/>
      <c r="O536" s="510"/>
      <c r="P536" s="510"/>
      <c r="Q536" s="510"/>
      <c r="R536" s="510"/>
    </row>
    <row r="537" spans="1:18">
      <c r="A537" s="505"/>
      <c r="B537" s="506" t="s">
        <v>1162</v>
      </c>
      <c r="C537" s="507"/>
      <c r="D537" s="508"/>
      <c r="E537" s="507"/>
      <c r="F537" s="502"/>
      <c r="G537" s="502"/>
      <c r="H537" s="503"/>
      <c r="I537" s="503"/>
      <c r="J537" s="589"/>
      <c r="K537" s="509"/>
      <c r="L537" s="510"/>
      <c r="M537" s="510">
        <f t="shared" ref="M537:M549" si="355">+ROUND(IF(C537=8,PRODUCT(E537,F537,G537,L537),0),2)</f>
        <v>0</v>
      </c>
      <c r="N537" s="510">
        <f t="shared" ref="N537:N549" si="356">+ROUND(IF(C537=10,PRODUCT(E537,F537,G537,L537),0),2)</f>
        <v>0</v>
      </c>
      <c r="O537" s="510">
        <f t="shared" ref="O537:O549" si="357">+ROUND(IF(C537=12,PRODUCT(E537,F537,G537,L537),0),2)</f>
        <v>0</v>
      </c>
      <c r="P537" s="510">
        <f t="shared" ref="P537:P549" si="358">+ROUND(IF(C537=16,PRODUCT(E537,F537,G537,L537),0),2)</f>
        <v>0</v>
      </c>
      <c r="Q537" s="510">
        <f t="shared" ref="Q537:Q549" si="359">+ROUND(IF(C537=20,PRODUCT(E537,F537,G537,L537),0),2)</f>
        <v>0</v>
      </c>
      <c r="R537" s="510">
        <f t="shared" ref="R537:R549" si="360">+ROUND(IF(C537=25,PRODUCT(E537,F537,G537,L537),0),2)</f>
        <v>0</v>
      </c>
    </row>
    <row r="538" spans="1:18">
      <c r="A538" s="505"/>
      <c r="B538" s="607" t="s">
        <v>1154</v>
      </c>
      <c r="C538" s="507">
        <v>8</v>
      </c>
      <c r="D538" s="508">
        <v>200</v>
      </c>
      <c r="E538" s="507">
        <v>1</v>
      </c>
      <c r="F538" s="502">
        <v>1</v>
      </c>
      <c r="G538" s="502">
        <v>18</v>
      </c>
      <c r="H538" s="602"/>
      <c r="I538" s="602">
        <f>0.175+1.57+0.175</f>
        <v>1.9200000000000002</v>
      </c>
      <c r="J538" s="235"/>
      <c r="K538" s="509"/>
      <c r="L538" s="510">
        <f t="shared" ref="L538" si="361">SUM(H538:J538)+K538</f>
        <v>1.9200000000000002</v>
      </c>
      <c r="M538" s="510">
        <f t="shared" si="355"/>
        <v>34.56</v>
      </c>
      <c r="N538" s="510">
        <f t="shared" si="356"/>
        <v>0</v>
      </c>
      <c r="O538" s="510">
        <f t="shared" si="357"/>
        <v>0</v>
      </c>
      <c r="P538" s="510">
        <f t="shared" si="358"/>
        <v>0</v>
      </c>
      <c r="Q538" s="510">
        <f t="shared" si="359"/>
        <v>0</v>
      </c>
      <c r="R538" s="510">
        <f t="shared" si="360"/>
        <v>0</v>
      </c>
    </row>
    <row r="539" spans="1:18">
      <c r="A539" s="505"/>
      <c r="B539" s="607" t="s">
        <v>1155</v>
      </c>
      <c r="C539" s="507">
        <v>8</v>
      </c>
      <c r="D539" s="508">
        <v>200</v>
      </c>
      <c r="E539" s="507">
        <v>1</v>
      </c>
      <c r="F539" s="502">
        <v>1</v>
      </c>
      <c r="G539" s="502">
        <f>+ROUND(1.57/(D539/1000)+1,0)</f>
        <v>9</v>
      </c>
      <c r="H539" s="602"/>
      <c r="I539" s="602">
        <f>0.175+3.575+0.175</f>
        <v>3.9249999999999998</v>
      </c>
      <c r="J539" s="235"/>
      <c r="K539" s="589"/>
      <c r="L539" s="510">
        <f>SUM(H539:J539)+K539</f>
        <v>3.9249999999999998</v>
      </c>
      <c r="M539" s="510">
        <f t="shared" si="355"/>
        <v>35.33</v>
      </c>
      <c r="N539" s="510">
        <f t="shared" si="356"/>
        <v>0</v>
      </c>
      <c r="O539" s="510">
        <f t="shared" si="357"/>
        <v>0</v>
      </c>
      <c r="P539" s="510">
        <f t="shared" si="358"/>
        <v>0</v>
      </c>
      <c r="Q539" s="510">
        <f t="shared" si="359"/>
        <v>0</v>
      </c>
      <c r="R539" s="510">
        <f t="shared" si="360"/>
        <v>0</v>
      </c>
    </row>
    <row r="540" spans="1:18">
      <c r="A540" s="505"/>
      <c r="B540" s="607" t="s">
        <v>1156</v>
      </c>
      <c r="C540" s="507">
        <v>8</v>
      </c>
      <c r="D540" s="508">
        <v>200</v>
      </c>
      <c r="E540" s="507">
        <v>1</v>
      </c>
      <c r="F540" s="502">
        <v>1</v>
      </c>
      <c r="G540" s="502">
        <f>+ROUND(1.57/(D540/1000)+1,0)</f>
        <v>9</v>
      </c>
      <c r="H540" s="602">
        <v>0.1</v>
      </c>
      <c r="I540" s="602">
        <f>0.6+0.175</f>
        <v>0.77499999999999991</v>
      </c>
      <c r="J540" s="235"/>
      <c r="K540" s="509"/>
      <c r="L540" s="510">
        <f>SUM(H540:J540)+K540</f>
        <v>0.87499999999999989</v>
      </c>
      <c r="M540" s="510">
        <f t="shared" si="355"/>
        <v>7.88</v>
      </c>
      <c r="N540" s="510">
        <f t="shared" si="356"/>
        <v>0</v>
      </c>
      <c r="O540" s="510">
        <f t="shared" si="357"/>
        <v>0</v>
      </c>
      <c r="P540" s="510">
        <f t="shared" si="358"/>
        <v>0</v>
      </c>
      <c r="Q540" s="510">
        <f t="shared" si="359"/>
        <v>0</v>
      </c>
      <c r="R540" s="510">
        <f t="shared" si="360"/>
        <v>0</v>
      </c>
    </row>
    <row r="541" spans="1:18">
      <c r="A541" s="505"/>
      <c r="B541" s="607" t="s">
        <v>1156</v>
      </c>
      <c r="C541" s="507">
        <v>8</v>
      </c>
      <c r="D541" s="508">
        <v>200</v>
      </c>
      <c r="E541" s="507">
        <v>1</v>
      </c>
      <c r="F541" s="502">
        <v>1</v>
      </c>
      <c r="G541" s="502">
        <f>+ROUND(2.315/(D541/1000)+1,0)</f>
        <v>13</v>
      </c>
      <c r="H541" s="602">
        <v>0.1</v>
      </c>
      <c r="I541" s="602">
        <f>0.45+0.175</f>
        <v>0.625</v>
      </c>
      <c r="J541" s="235"/>
      <c r="K541" s="509"/>
      <c r="L541" s="510">
        <f t="shared" ref="L541:L549" si="362">SUM(H541:J541)+K541</f>
        <v>0.72499999999999998</v>
      </c>
      <c r="M541" s="510">
        <f t="shared" si="355"/>
        <v>9.43</v>
      </c>
      <c r="N541" s="510">
        <f t="shared" si="356"/>
        <v>0</v>
      </c>
      <c r="O541" s="510">
        <f t="shared" si="357"/>
        <v>0</v>
      </c>
      <c r="P541" s="510">
        <f t="shared" si="358"/>
        <v>0</v>
      </c>
      <c r="Q541" s="510">
        <f t="shared" si="359"/>
        <v>0</v>
      </c>
      <c r="R541" s="510">
        <f t="shared" si="360"/>
        <v>0</v>
      </c>
    </row>
    <row r="542" spans="1:18">
      <c r="A542" s="505"/>
      <c r="B542" s="607" t="s">
        <v>1156</v>
      </c>
      <c r="C542" s="507">
        <v>8</v>
      </c>
      <c r="D542" s="508">
        <v>200</v>
      </c>
      <c r="E542" s="507">
        <v>1</v>
      </c>
      <c r="F542" s="502">
        <v>1</v>
      </c>
      <c r="G542" s="502">
        <f>+ROUND(2.315/(D542/1000)+1,0)</f>
        <v>13</v>
      </c>
      <c r="H542" s="602">
        <v>0.1</v>
      </c>
      <c r="I542" s="602">
        <f>0.45+0.175</f>
        <v>0.625</v>
      </c>
      <c r="J542" s="235"/>
      <c r="K542" s="509"/>
      <c r="L542" s="510">
        <f t="shared" si="362"/>
        <v>0.72499999999999998</v>
      </c>
      <c r="M542" s="510">
        <f t="shared" si="355"/>
        <v>9.43</v>
      </c>
      <c r="N542" s="510">
        <f t="shared" si="356"/>
        <v>0</v>
      </c>
      <c r="O542" s="510">
        <f t="shared" si="357"/>
        <v>0</v>
      </c>
      <c r="P542" s="510">
        <f t="shared" si="358"/>
        <v>0</v>
      </c>
      <c r="Q542" s="510">
        <f t="shared" si="359"/>
        <v>0</v>
      </c>
      <c r="R542" s="510">
        <f t="shared" si="360"/>
        <v>0</v>
      </c>
    </row>
    <row r="543" spans="1:18">
      <c r="A543" s="505"/>
      <c r="B543" s="607" t="s">
        <v>1158</v>
      </c>
      <c r="C543" s="507">
        <v>8</v>
      </c>
      <c r="D543" s="508">
        <v>175</v>
      </c>
      <c r="E543" s="507">
        <v>1</v>
      </c>
      <c r="F543" s="502">
        <v>1</v>
      </c>
      <c r="G543" s="502">
        <v>8</v>
      </c>
      <c r="H543" s="602"/>
      <c r="I543" s="602">
        <f>0.1+0.55</f>
        <v>0.65</v>
      </c>
      <c r="J543" s="235"/>
      <c r="K543" s="509"/>
      <c r="L543" s="510">
        <f t="shared" si="362"/>
        <v>0.65</v>
      </c>
      <c r="M543" s="510">
        <f t="shared" si="355"/>
        <v>5.2</v>
      </c>
      <c r="N543" s="510">
        <f t="shared" si="356"/>
        <v>0</v>
      </c>
      <c r="O543" s="510">
        <f t="shared" si="357"/>
        <v>0</v>
      </c>
      <c r="P543" s="510">
        <f t="shared" si="358"/>
        <v>0</v>
      </c>
      <c r="Q543" s="510">
        <f t="shared" si="359"/>
        <v>0</v>
      </c>
      <c r="R543" s="510">
        <f t="shared" si="360"/>
        <v>0</v>
      </c>
    </row>
    <row r="544" spans="1:18">
      <c r="A544" s="505"/>
      <c r="B544" s="607" t="s">
        <v>1156</v>
      </c>
      <c r="C544" s="507">
        <v>8</v>
      </c>
      <c r="D544" s="508">
        <v>200</v>
      </c>
      <c r="E544" s="507">
        <v>1</v>
      </c>
      <c r="F544" s="502">
        <v>1</v>
      </c>
      <c r="G544" s="502">
        <v>6</v>
      </c>
      <c r="H544" s="602"/>
      <c r="I544" s="602">
        <f>0.1+0.55</f>
        <v>0.65</v>
      </c>
      <c r="J544" s="235"/>
      <c r="K544" s="509"/>
      <c r="L544" s="510">
        <f t="shared" si="362"/>
        <v>0.65</v>
      </c>
      <c r="M544" s="510">
        <f t="shared" si="355"/>
        <v>3.9</v>
      </c>
      <c r="N544" s="510">
        <f t="shared" si="356"/>
        <v>0</v>
      </c>
      <c r="O544" s="510">
        <f t="shared" si="357"/>
        <v>0</v>
      </c>
      <c r="P544" s="510">
        <f t="shared" si="358"/>
        <v>0</v>
      </c>
      <c r="Q544" s="510">
        <f t="shared" si="359"/>
        <v>0</v>
      </c>
      <c r="R544" s="510">
        <f t="shared" si="360"/>
        <v>0</v>
      </c>
    </row>
    <row r="545" spans="1:18">
      <c r="A545" s="505"/>
      <c r="B545" s="607" t="s">
        <v>1156</v>
      </c>
      <c r="C545" s="507">
        <v>8</v>
      </c>
      <c r="D545" s="508">
        <v>200</v>
      </c>
      <c r="E545" s="507">
        <v>1</v>
      </c>
      <c r="F545" s="502">
        <v>1</v>
      </c>
      <c r="G545" s="502">
        <f>+ROUND(1.57/(D545/1000)+1,0)</f>
        <v>9</v>
      </c>
      <c r="H545" s="602"/>
      <c r="I545" s="602">
        <f>0.1+0.6</f>
        <v>0.7</v>
      </c>
      <c r="J545" s="235"/>
      <c r="K545" s="509"/>
      <c r="L545" s="510">
        <f t="shared" si="362"/>
        <v>0.7</v>
      </c>
      <c r="M545" s="510">
        <f t="shared" si="355"/>
        <v>6.3</v>
      </c>
      <c r="N545" s="510">
        <f t="shared" si="356"/>
        <v>0</v>
      </c>
      <c r="O545" s="510">
        <f t="shared" si="357"/>
        <v>0</v>
      </c>
      <c r="P545" s="510">
        <f t="shared" si="358"/>
        <v>0</v>
      </c>
      <c r="Q545" s="510">
        <f t="shared" si="359"/>
        <v>0</v>
      </c>
      <c r="R545" s="510">
        <f t="shared" si="360"/>
        <v>0</v>
      </c>
    </row>
    <row r="546" spans="1:18">
      <c r="A546" s="505"/>
      <c r="B546" s="607" t="s">
        <v>1159</v>
      </c>
      <c r="C546" s="507">
        <v>8</v>
      </c>
      <c r="D546" s="508">
        <v>200</v>
      </c>
      <c r="E546" s="507">
        <v>1</v>
      </c>
      <c r="F546" s="502">
        <v>1</v>
      </c>
      <c r="G546" s="502">
        <f>+ROUND(0.6/(D546/1000)+1,0)</f>
        <v>4</v>
      </c>
      <c r="H546" s="602">
        <v>0.2</v>
      </c>
      <c r="I546" s="602">
        <v>1.57</v>
      </c>
      <c r="J546" s="235"/>
      <c r="K546" s="509"/>
      <c r="L546" s="510">
        <f t="shared" si="362"/>
        <v>1.77</v>
      </c>
      <c r="M546" s="510">
        <f t="shared" si="355"/>
        <v>7.08</v>
      </c>
      <c r="N546" s="510">
        <f t="shared" si="356"/>
        <v>0</v>
      </c>
      <c r="O546" s="510">
        <f t="shared" si="357"/>
        <v>0</v>
      </c>
      <c r="P546" s="510">
        <f t="shared" si="358"/>
        <v>0</v>
      </c>
      <c r="Q546" s="510">
        <f t="shared" si="359"/>
        <v>0</v>
      </c>
      <c r="R546" s="510">
        <f t="shared" si="360"/>
        <v>0</v>
      </c>
    </row>
    <row r="547" spans="1:18">
      <c r="A547" s="505"/>
      <c r="B547" s="607" t="s">
        <v>1159</v>
      </c>
      <c r="C547" s="507">
        <v>8</v>
      </c>
      <c r="D547" s="508">
        <v>200</v>
      </c>
      <c r="E547" s="507">
        <v>1</v>
      </c>
      <c r="F547" s="502">
        <v>1</v>
      </c>
      <c r="G547" s="502">
        <f>+ROUND(0.6/(D547/1000)+1,0)</f>
        <v>4</v>
      </c>
      <c r="H547" s="602">
        <v>0.2</v>
      </c>
      <c r="I547" s="602">
        <v>1.57</v>
      </c>
      <c r="J547" s="235"/>
      <c r="K547" s="509"/>
      <c r="L547" s="510">
        <f t="shared" si="362"/>
        <v>1.77</v>
      </c>
      <c r="M547" s="510">
        <f t="shared" si="355"/>
        <v>7.08</v>
      </c>
      <c r="N547" s="510">
        <f t="shared" si="356"/>
        <v>0</v>
      </c>
      <c r="O547" s="510">
        <f t="shared" si="357"/>
        <v>0</v>
      </c>
      <c r="P547" s="510">
        <f t="shared" si="358"/>
        <v>0</v>
      </c>
      <c r="Q547" s="510">
        <f t="shared" si="359"/>
        <v>0</v>
      </c>
      <c r="R547" s="510">
        <f t="shared" si="360"/>
        <v>0</v>
      </c>
    </row>
    <row r="548" spans="1:18">
      <c r="A548" s="505"/>
      <c r="B548" s="607" t="s">
        <v>1159</v>
      </c>
      <c r="C548" s="507">
        <v>8</v>
      </c>
      <c r="D548" s="508">
        <v>200</v>
      </c>
      <c r="E548" s="507">
        <v>1</v>
      </c>
      <c r="F548" s="502">
        <v>1</v>
      </c>
      <c r="G548" s="502">
        <f>+ROUND(0.55/(D548/1000)+1,0)</f>
        <v>4</v>
      </c>
      <c r="H548" s="602">
        <v>0.2</v>
      </c>
      <c r="I548" s="602">
        <v>3.5750000000000002</v>
      </c>
      <c r="J548" s="235"/>
      <c r="K548" s="509"/>
      <c r="L548" s="510">
        <f t="shared" si="362"/>
        <v>3.7750000000000004</v>
      </c>
      <c r="M548" s="510">
        <f t="shared" si="355"/>
        <v>15.1</v>
      </c>
      <c r="N548" s="510">
        <f t="shared" si="356"/>
        <v>0</v>
      </c>
      <c r="O548" s="510">
        <f t="shared" si="357"/>
        <v>0</v>
      </c>
      <c r="P548" s="510">
        <f t="shared" si="358"/>
        <v>0</v>
      </c>
      <c r="Q548" s="510">
        <f t="shared" si="359"/>
        <v>0</v>
      </c>
      <c r="R548" s="510">
        <f t="shared" si="360"/>
        <v>0</v>
      </c>
    </row>
    <row r="549" spans="1:18">
      <c r="A549" s="505"/>
      <c r="B549" s="607" t="s">
        <v>1159</v>
      </c>
      <c r="C549" s="507">
        <v>8</v>
      </c>
      <c r="D549" s="508">
        <v>200</v>
      </c>
      <c r="E549" s="507">
        <v>1</v>
      </c>
      <c r="F549" s="502">
        <v>1</v>
      </c>
      <c r="G549" s="502">
        <f>+ROUND(0.55/(D549/1000)+1,0)</f>
        <v>4</v>
      </c>
      <c r="H549" s="602">
        <v>0.2</v>
      </c>
      <c r="I549" s="602">
        <v>3.5750000000000002</v>
      </c>
      <c r="J549" s="235"/>
      <c r="K549" s="509"/>
      <c r="L549" s="510">
        <f t="shared" si="362"/>
        <v>3.7750000000000004</v>
      </c>
      <c r="M549" s="510">
        <f t="shared" si="355"/>
        <v>15.1</v>
      </c>
      <c r="N549" s="510">
        <f t="shared" si="356"/>
        <v>0</v>
      </c>
      <c r="O549" s="510">
        <f t="shared" si="357"/>
        <v>0</v>
      </c>
      <c r="P549" s="510">
        <f t="shared" si="358"/>
        <v>0</v>
      </c>
      <c r="Q549" s="510">
        <f t="shared" si="359"/>
        <v>0</v>
      </c>
      <c r="R549" s="510">
        <f t="shared" si="360"/>
        <v>0</v>
      </c>
    </row>
    <row r="550" spans="1:18">
      <c r="A550" s="505"/>
      <c r="B550" s="511"/>
      <c r="C550" s="507"/>
      <c r="D550" s="508"/>
      <c r="E550" s="507"/>
      <c r="F550" s="502"/>
      <c r="G550" s="502"/>
      <c r="H550" s="602"/>
      <c r="I550" s="602"/>
      <c r="J550" s="235"/>
      <c r="K550" s="509"/>
      <c r="L550" s="510"/>
      <c r="M550" s="510"/>
      <c r="N550" s="510"/>
      <c r="O550" s="510"/>
      <c r="P550" s="510"/>
      <c r="Q550" s="510"/>
      <c r="R550" s="510"/>
    </row>
    <row r="551" spans="1:18">
      <c r="A551" s="505"/>
      <c r="B551" s="506" t="s">
        <v>1163</v>
      </c>
      <c r="C551" s="507"/>
      <c r="D551" s="508"/>
      <c r="E551" s="507"/>
      <c r="F551" s="502"/>
      <c r="G551" s="502"/>
      <c r="H551" s="503"/>
      <c r="I551" s="503"/>
      <c r="J551" s="589"/>
      <c r="K551" s="509"/>
      <c r="L551" s="510"/>
      <c r="M551" s="510">
        <f t="shared" ref="M551:M566" si="363">+ROUND(IF(C551=8,PRODUCT(E551,F551,G551,L551),0),2)</f>
        <v>0</v>
      </c>
      <c r="N551" s="510">
        <f t="shared" ref="N551:N566" si="364">+ROUND(IF(C551=10,PRODUCT(E551,F551,G551,L551),0),2)</f>
        <v>0</v>
      </c>
      <c r="O551" s="510">
        <f t="shared" ref="O551:O566" si="365">+ROUND(IF(C551=12,PRODUCT(E551,F551,G551,L551),0),2)</f>
        <v>0</v>
      </c>
      <c r="P551" s="510">
        <f t="shared" ref="P551:P566" si="366">+ROUND(IF(C551=16,PRODUCT(E551,F551,G551,L551),0),2)</f>
        <v>0</v>
      </c>
      <c r="Q551" s="510">
        <f t="shared" ref="Q551:Q566" si="367">+ROUND(IF(C551=20,PRODUCT(E551,F551,G551,L551),0),2)</f>
        <v>0</v>
      </c>
      <c r="R551" s="510">
        <f t="shared" ref="R551:R566" si="368">+ROUND(IF(C551=25,PRODUCT(E551,F551,G551,L551),0),2)</f>
        <v>0</v>
      </c>
    </row>
    <row r="552" spans="1:18">
      <c r="A552" s="505"/>
      <c r="B552" s="607" t="s">
        <v>1154</v>
      </c>
      <c r="C552" s="507">
        <v>8</v>
      </c>
      <c r="D552" s="508">
        <v>200</v>
      </c>
      <c r="E552" s="507">
        <v>1</v>
      </c>
      <c r="F552" s="502">
        <v>1</v>
      </c>
      <c r="G552" s="502">
        <v>11</v>
      </c>
      <c r="H552" s="602"/>
      <c r="I552" s="602">
        <f>0.175+3.05+0.175</f>
        <v>3.3999999999999995</v>
      </c>
      <c r="J552" s="235"/>
      <c r="K552" s="509"/>
      <c r="L552" s="510">
        <f t="shared" ref="L552" si="369">SUM(H552:J552)+K552</f>
        <v>3.3999999999999995</v>
      </c>
      <c r="M552" s="510">
        <f t="shared" si="363"/>
        <v>37.4</v>
      </c>
      <c r="N552" s="510">
        <f t="shared" si="364"/>
        <v>0</v>
      </c>
      <c r="O552" s="510">
        <f t="shared" si="365"/>
        <v>0</v>
      </c>
      <c r="P552" s="510">
        <f t="shared" si="366"/>
        <v>0</v>
      </c>
      <c r="Q552" s="510">
        <f t="shared" si="367"/>
        <v>0</v>
      </c>
      <c r="R552" s="510">
        <f t="shared" si="368"/>
        <v>0</v>
      </c>
    </row>
    <row r="553" spans="1:18">
      <c r="A553" s="505"/>
      <c r="B553" s="607" t="s">
        <v>1154</v>
      </c>
      <c r="C553" s="507">
        <v>8</v>
      </c>
      <c r="D553" s="508">
        <v>200</v>
      </c>
      <c r="E553" s="507">
        <v>1</v>
      </c>
      <c r="F553" s="502">
        <v>1</v>
      </c>
      <c r="G553" s="502">
        <v>5</v>
      </c>
      <c r="H553" s="602"/>
      <c r="I553" s="602">
        <f>0.175+3.45+0.175</f>
        <v>3.8</v>
      </c>
      <c r="J553" s="235"/>
      <c r="K553" s="509"/>
      <c r="L553" s="510">
        <f t="shared" ref="L553" si="370">SUM(H553:J553)+K553</f>
        <v>3.8</v>
      </c>
      <c r="M553" s="510">
        <f t="shared" si="363"/>
        <v>19</v>
      </c>
      <c r="N553" s="510">
        <f t="shared" si="364"/>
        <v>0</v>
      </c>
      <c r="O553" s="510">
        <f t="shared" si="365"/>
        <v>0</v>
      </c>
      <c r="P553" s="510">
        <f t="shared" si="366"/>
        <v>0</v>
      </c>
      <c r="Q553" s="510">
        <f t="shared" si="367"/>
        <v>0</v>
      </c>
      <c r="R553" s="510">
        <f t="shared" si="368"/>
        <v>0</v>
      </c>
    </row>
    <row r="554" spans="1:18">
      <c r="A554" s="505"/>
      <c r="B554" s="607" t="s">
        <v>1155</v>
      </c>
      <c r="C554" s="507">
        <v>8</v>
      </c>
      <c r="D554" s="508">
        <v>200</v>
      </c>
      <c r="E554" s="507">
        <v>1</v>
      </c>
      <c r="F554" s="502">
        <v>1</v>
      </c>
      <c r="G554" s="502">
        <f>+ROUND(3.05/(D554/1000)+1,0)</f>
        <v>16</v>
      </c>
      <c r="H554" s="602"/>
      <c r="I554" s="602">
        <f>0.175+3.115+0.175</f>
        <v>3.4649999999999999</v>
      </c>
      <c r="J554" s="235"/>
      <c r="K554" s="589"/>
      <c r="L554" s="510">
        <f>SUM(H554:J554)+K554</f>
        <v>3.4649999999999999</v>
      </c>
      <c r="M554" s="510">
        <f t="shared" si="363"/>
        <v>55.44</v>
      </c>
      <c r="N554" s="510">
        <f t="shared" si="364"/>
        <v>0</v>
      </c>
      <c r="O554" s="510">
        <f t="shared" si="365"/>
        <v>0</v>
      </c>
      <c r="P554" s="510">
        <f t="shared" si="366"/>
        <v>0</v>
      </c>
      <c r="Q554" s="510">
        <f t="shared" si="367"/>
        <v>0</v>
      </c>
      <c r="R554" s="510">
        <f t="shared" si="368"/>
        <v>0</v>
      </c>
    </row>
    <row r="555" spans="1:18">
      <c r="A555" s="505"/>
      <c r="B555" s="607" t="s">
        <v>1155</v>
      </c>
      <c r="C555" s="507">
        <v>8</v>
      </c>
      <c r="D555" s="508">
        <v>200</v>
      </c>
      <c r="E555" s="507">
        <v>1</v>
      </c>
      <c r="F555" s="502">
        <v>1</v>
      </c>
      <c r="G555" s="502">
        <f>+ROUND(0.4/(D555/1000)+1,0)</f>
        <v>3</v>
      </c>
      <c r="H555" s="602"/>
      <c r="I555" s="602">
        <f>0.1+0.9+0.1</f>
        <v>1.1000000000000001</v>
      </c>
      <c r="J555" s="235"/>
      <c r="K555" s="589"/>
      <c r="L555" s="510">
        <f>SUM(H555:J555)+K555</f>
        <v>1.1000000000000001</v>
      </c>
      <c r="M555" s="510">
        <f t="shared" si="363"/>
        <v>3.3</v>
      </c>
      <c r="N555" s="510">
        <f t="shared" si="364"/>
        <v>0</v>
      </c>
      <c r="O555" s="510">
        <f t="shared" si="365"/>
        <v>0</v>
      </c>
      <c r="P555" s="510">
        <f t="shared" si="366"/>
        <v>0</v>
      </c>
      <c r="Q555" s="510">
        <f t="shared" si="367"/>
        <v>0</v>
      </c>
      <c r="R555" s="510">
        <f t="shared" si="368"/>
        <v>0</v>
      </c>
    </row>
    <row r="556" spans="1:18">
      <c r="A556" s="505"/>
      <c r="B556" s="607" t="s">
        <v>1156</v>
      </c>
      <c r="C556" s="507">
        <v>8</v>
      </c>
      <c r="D556" s="508">
        <v>200</v>
      </c>
      <c r="E556" s="507">
        <v>1</v>
      </c>
      <c r="F556" s="502">
        <v>1</v>
      </c>
      <c r="G556" s="502">
        <f>+ROUND(1.785/(D556/1000)+1,0)</f>
        <v>10</v>
      </c>
      <c r="H556" s="602">
        <v>0.1</v>
      </c>
      <c r="I556" s="602">
        <f>0.5+0.175</f>
        <v>0.67500000000000004</v>
      </c>
      <c r="J556" s="235"/>
      <c r="K556" s="509"/>
      <c r="L556" s="510">
        <f>SUM(H556:J556)+K556</f>
        <v>0.77500000000000002</v>
      </c>
      <c r="M556" s="510">
        <f t="shared" si="363"/>
        <v>7.75</v>
      </c>
      <c r="N556" s="510">
        <f t="shared" si="364"/>
        <v>0</v>
      </c>
      <c r="O556" s="510">
        <f t="shared" si="365"/>
        <v>0</v>
      </c>
      <c r="P556" s="510">
        <f t="shared" si="366"/>
        <v>0</v>
      </c>
      <c r="Q556" s="510">
        <f t="shared" si="367"/>
        <v>0</v>
      </c>
      <c r="R556" s="510">
        <f t="shared" si="368"/>
        <v>0</v>
      </c>
    </row>
    <row r="557" spans="1:18">
      <c r="A557" s="505"/>
      <c r="B557" s="607" t="s">
        <v>1157</v>
      </c>
      <c r="C557" s="507">
        <v>8</v>
      </c>
      <c r="D557" s="508">
        <v>100</v>
      </c>
      <c r="E557" s="507">
        <v>1</v>
      </c>
      <c r="F557" s="502">
        <v>1</v>
      </c>
      <c r="G557" s="502">
        <f>+ROUND(1.265/(D557/1000)+1,0)</f>
        <v>14</v>
      </c>
      <c r="H557" s="602">
        <v>0.1</v>
      </c>
      <c r="I557" s="602">
        <f>0.6+0.715-0.025</f>
        <v>1.29</v>
      </c>
      <c r="J557" s="235"/>
      <c r="K557" s="509"/>
      <c r="L557" s="510">
        <f>SUM(H557:J557)+K557</f>
        <v>1.3900000000000001</v>
      </c>
      <c r="M557" s="510">
        <f t="shared" si="363"/>
        <v>19.46</v>
      </c>
      <c r="N557" s="510">
        <f t="shared" si="364"/>
        <v>0</v>
      </c>
      <c r="O557" s="510">
        <f t="shared" si="365"/>
        <v>0</v>
      </c>
      <c r="P557" s="510">
        <f t="shared" si="366"/>
        <v>0</v>
      </c>
      <c r="Q557" s="510">
        <f t="shared" si="367"/>
        <v>0</v>
      </c>
      <c r="R557" s="510">
        <f t="shared" si="368"/>
        <v>0</v>
      </c>
    </row>
    <row r="558" spans="1:18">
      <c r="A558" s="505"/>
      <c r="B558" s="607" t="s">
        <v>1156</v>
      </c>
      <c r="C558" s="507">
        <v>8</v>
      </c>
      <c r="D558" s="508">
        <v>200</v>
      </c>
      <c r="E558" s="507">
        <v>1</v>
      </c>
      <c r="F558" s="502">
        <v>1</v>
      </c>
      <c r="G558" s="502">
        <f>+ROUND(3.115/(D558/1000)+1,0)</f>
        <v>17</v>
      </c>
      <c r="H558" s="602">
        <v>0.1</v>
      </c>
      <c r="I558" s="602">
        <f>0.5+0.175</f>
        <v>0.67500000000000004</v>
      </c>
      <c r="J558" s="235"/>
      <c r="K558" s="509"/>
      <c r="L558" s="510">
        <f t="shared" ref="L558:L566" si="371">SUM(H558:J558)+K558</f>
        <v>0.77500000000000002</v>
      </c>
      <c r="M558" s="510">
        <f t="shared" si="363"/>
        <v>13.18</v>
      </c>
      <c r="N558" s="510">
        <f t="shared" si="364"/>
        <v>0</v>
      </c>
      <c r="O558" s="510">
        <f t="shared" si="365"/>
        <v>0</v>
      </c>
      <c r="P558" s="510">
        <f t="shared" si="366"/>
        <v>0</v>
      </c>
      <c r="Q558" s="510">
        <f t="shared" si="367"/>
        <v>0</v>
      </c>
      <c r="R558" s="510">
        <f t="shared" si="368"/>
        <v>0</v>
      </c>
    </row>
    <row r="559" spans="1:18">
      <c r="A559" s="505"/>
      <c r="B559" s="607" t="s">
        <v>1156</v>
      </c>
      <c r="C559" s="507">
        <v>8</v>
      </c>
      <c r="D559" s="508">
        <v>200</v>
      </c>
      <c r="E559" s="507">
        <v>1</v>
      </c>
      <c r="F559" s="502">
        <v>1</v>
      </c>
      <c r="G559" s="502">
        <v>16</v>
      </c>
      <c r="H559" s="602">
        <v>0.1</v>
      </c>
      <c r="I559" s="602">
        <f>0.5+0.175</f>
        <v>0.67500000000000004</v>
      </c>
      <c r="J559" s="235"/>
      <c r="K559" s="509"/>
      <c r="L559" s="510">
        <f t="shared" si="371"/>
        <v>0.77500000000000002</v>
      </c>
      <c r="M559" s="510">
        <f t="shared" si="363"/>
        <v>12.4</v>
      </c>
      <c r="N559" s="510">
        <f t="shared" si="364"/>
        <v>0</v>
      </c>
      <c r="O559" s="510">
        <f t="shared" si="365"/>
        <v>0</v>
      </c>
      <c r="P559" s="510">
        <f t="shared" si="366"/>
        <v>0</v>
      </c>
      <c r="Q559" s="510">
        <f t="shared" si="367"/>
        <v>0</v>
      </c>
      <c r="R559" s="510">
        <f t="shared" si="368"/>
        <v>0</v>
      </c>
    </row>
    <row r="560" spans="1:18">
      <c r="A560" s="505"/>
      <c r="B560" s="607" t="s">
        <v>1156</v>
      </c>
      <c r="C560" s="507">
        <v>8</v>
      </c>
      <c r="D560" s="508">
        <v>200</v>
      </c>
      <c r="E560" s="507">
        <v>1</v>
      </c>
      <c r="F560" s="502">
        <v>1</v>
      </c>
      <c r="G560" s="502">
        <v>7</v>
      </c>
      <c r="H560" s="602"/>
      <c r="I560" s="602">
        <f>0.1+1</f>
        <v>1.1000000000000001</v>
      </c>
      <c r="J560" s="235"/>
      <c r="K560" s="509"/>
      <c r="L560" s="510">
        <f t="shared" si="371"/>
        <v>1.1000000000000001</v>
      </c>
      <c r="M560" s="510">
        <f t="shared" si="363"/>
        <v>7.7</v>
      </c>
      <c r="N560" s="510">
        <f t="shared" si="364"/>
        <v>0</v>
      </c>
      <c r="O560" s="510">
        <f t="shared" si="365"/>
        <v>0</v>
      </c>
      <c r="P560" s="510">
        <f t="shared" si="366"/>
        <v>0</v>
      </c>
      <c r="Q560" s="510">
        <f t="shared" si="367"/>
        <v>0</v>
      </c>
      <c r="R560" s="510">
        <f t="shared" si="368"/>
        <v>0</v>
      </c>
    </row>
    <row r="561" spans="1:18">
      <c r="A561" s="505"/>
      <c r="B561" s="607" t="s">
        <v>1156</v>
      </c>
      <c r="C561" s="507">
        <v>8</v>
      </c>
      <c r="D561" s="508">
        <v>200</v>
      </c>
      <c r="E561" s="507">
        <v>1</v>
      </c>
      <c r="F561" s="502">
        <v>1</v>
      </c>
      <c r="G561" s="502">
        <f>+ROUND(2.245/(D561/1000)+1,0)/2</f>
        <v>6</v>
      </c>
      <c r="H561" s="602"/>
      <c r="I561" s="602">
        <f>0.1+0.5</f>
        <v>0.6</v>
      </c>
      <c r="J561" s="235"/>
      <c r="K561" s="509"/>
      <c r="L561" s="510">
        <f t="shared" si="371"/>
        <v>0.6</v>
      </c>
      <c r="M561" s="510">
        <f t="shared" si="363"/>
        <v>3.6</v>
      </c>
      <c r="N561" s="510">
        <f t="shared" si="364"/>
        <v>0</v>
      </c>
      <c r="O561" s="510">
        <f t="shared" si="365"/>
        <v>0</v>
      </c>
      <c r="P561" s="510">
        <f t="shared" si="366"/>
        <v>0</v>
      </c>
      <c r="Q561" s="510">
        <f t="shared" si="367"/>
        <v>0</v>
      </c>
      <c r="R561" s="510">
        <f t="shared" si="368"/>
        <v>0</v>
      </c>
    </row>
    <row r="562" spans="1:18">
      <c r="A562" s="505"/>
      <c r="B562" s="607" t="s">
        <v>1159</v>
      </c>
      <c r="C562" s="507">
        <v>8</v>
      </c>
      <c r="D562" s="508">
        <v>200</v>
      </c>
      <c r="E562" s="507">
        <v>1</v>
      </c>
      <c r="F562" s="502">
        <v>1</v>
      </c>
      <c r="G562" s="502">
        <f>+ROUND(0.5/(D562/1000)+1,0)</f>
        <v>4</v>
      </c>
      <c r="H562" s="602">
        <v>0.2</v>
      </c>
      <c r="I562" s="602">
        <v>3.05</v>
      </c>
      <c r="J562" s="235"/>
      <c r="K562" s="509"/>
      <c r="L562" s="510">
        <f t="shared" si="371"/>
        <v>3.25</v>
      </c>
      <c r="M562" s="510">
        <f t="shared" si="363"/>
        <v>13</v>
      </c>
      <c r="N562" s="510">
        <f t="shared" si="364"/>
        <v>0</v>
      </c>
      <c r="O562" s="510">
        <f t="shared" si="365"/>
        <v>0</v>
      </c>
      <c r="P562" s="510">
        <f t="shared" si="366"/>
        <v>0</v>
      </c>
      <c r="Q562" s="510">
        <f t="shared" si="367"/>
        <v>0</v>
      </c>
      <c r="R562" s="510">
        <f t="shared" si="368"/>
        <v>0</v>
      </c>
    </row>
    <row r="563" spans="1:18">
      <c r="A563" s="505"/>
      <c r="B563" s="607" t="s">
        <v>1159</v>
      </c>
      <c r="C563" s="507">
        <v>8</v>
      </c>
      <c r="D563" s="508">
        <v>200</v>
      </c>
      <c r="E563" s="507">
        <v>1</v>
      </c>
      <c r="F563" s="502">
        <v>1</v>
      </c>
      <c r="G563" s="502">
        <f>+ROUND(0.5/(D563/1000)+1,0)</f>
        <v>4</v>
      </c>
      <c r="H563" s="602">
        <v>0.2</v>
      </c>
      <c r="I563" s="602">
        <v>3.45</v>
      </c>
      <c r="J563" s="235"/>
      <c r="K563" s="509"/>
      <c r="L563" s="510">
        <f t="shared" si="371"/>
        <v>3.6500000000000004</v>
      </c>
      <c r="M563" s="510">
        <f t="shared" si="363"/>
        <v>14.6</v>
      </c>
      <c r="N563" s="510">
        <f t="shared" si="364"/>
        <v>0</v>
      </c>
      <c r="O563" s="510">
        <f t="shared" si="365"/>
        <v>0</v>
      </c>
      <c r="P563" s="510">
        <f t="shared" si="366"/>
        <v>0</v>
      </c>
      <c r="Q563" s="510">
        <f t="shared" si="367"/>
        <v>0</v>
      </c>
      <c r="R563" s="510">
        <f t="shared" si="368"/>
        <v>0</v>
      </c>
    </row>
    <row r="564" spans="1:18">
      <c r="A564" s="505"/>
      <c r="B564" s="607" t="s">
        <v>1159</v>
      </c>
      <c r="C564" s="507">
        <v>8</v>
      </c>
      <c r="D564" s="508">
        <v>200</v>
      </c>
      <c r="E564" s="507">
        <v>1</v>
      </c>
      <c r="F564" s="502">
        <v>1</v>
      </c>
      <c r="G564" s="502">
        <f>+ROUND(0.5/(D564/1000)+1,0)</f>
        <v>4</v>
      </c>
      <c r="H564" s="602">
        <v>0.2</v>
      </c>
      <c r="I564" s="602">
        <v>3.1150000000000002</v>
      </c>
      <c r="J564" s="235"/>
      <c r="K564" s="509"/>
      <c r="L564" s="510">
        <f t="shared" si="371"/>
        <v>3.3150000000000004</v>
      </c>
      <c r="M564" s="510">
        <f t="shared" si="363"/>
        <v>13.26</v>
      </c>
      <c r="N564" s="510">
        <f t="shared" si="364"/>
        <v>0</v>
      </c>
      <c r="O564" s="510">
        <f t="shared" si="365"/>
        <v>0</v>
      </c>
      <c r="P564" s="510">
        <f t="shared" si="366"/>
        <v>0</v>
      </c>
      <c r="Q564" s="510">
        <f t="shared" si="367"/>
        <v>0</v>
      </c>
      <c r="R564" s="510">
        <f t="shared" si="368"/>
        <v>0</v>
      </c>
    </row>
    <row r="565" spans="1:18">
      <c r="A565" s="505"/>
      <c r="B565" s="607" t="s">
        <v>1159</v>
      </c>
      <c r="C565" s="507">
        <v>8</v>
      </c>
      <c r="D565" s="508">
        <v>200</v>
      </c>
      <c r="E565" s="507">
        <v>1</v>
      </c>
      <c r="F565" s="502">
        <v>1</v>
      </c>
      <c r="G565" s="502">
        <f>+ROUND(1/(D565/1000)+1,0)</f>
        <v>6</v>
      </c>
      <c r="H565" s="602">
        <v>0.2</v>
      </c>
      <c r="I565" s="602">
        <v>2.2450000000000001</v>
      </c>
      <c r="J565" s="235"/>
      <c r="K565" s="509"/>
      <c r="L565" s="510">
        <f t="shared" si="371"/>
        <v>2.4450000000000003</v>
      </c>
      <c r="M565" s="510">
        <f t="shared" si="363"/>
        <v>14.67</v>
      </c>
      <c r="N565" s="510">
        <f t="shared" si="364"/>
        <v>0</v>
      </c>
      <c r="O565" s="510">
        <f t="shared" si="365"/>
        <v>0</v>
      </c>
      <c r="P565" s="510">
        <f t="shared" si="366"/>
        <v>0</v>
      </c>
      <c r="Q565" s="510">
        <f t="shared" si="367"/>
        <v>0</v>
      </c>
      <c r="R565" s="510">
        <f t="shared" si="368"/>
        <v>0</v>
      </c>
    </row>
    <row r="566" spans="1:18">
      <c r="A566" s="505"/>
      <c r="B566" s="607" t="s">
        <v>1159</v>
      </c>
      <c r="C566" s="507">
        <v>8</v>
      </c>
      <c r="D566" s="508">
        <v>200</v>
      </c>
      <c r="E566" s="507">
        <v>1</v>
      </c>
      <c r="F566" s="502">
        <v>1</v>
      </c>
      <c r="G566" s="502">
        <f>+ROUND(0.415/(D566/1000)+1,0)</f>
        <v>3</v>
      </c>
      <c r="H566" s="602">
        <v>0.2</v>
      </c>
      <c r="I566" s="602">
        <f>1.05</f>
        <v>1.05</v>
      </c>
      <c r="J566" s="235"/>
      <c r="K566" s="509"/>
      <c r="L566" s="510">
        <f t="shared" si="371"/>
        <v>1.25</v>
      </c>
      <c r="M566" s="510">
        <f t="shared" si="363"/>
        <v>3.75</v>
      </c>
      <c r="N566" s="510">
        <f t="shared" si="364"/>
        <v>0</v>
      </c>
      <c r="O566" s="510">
        <f t="shared" si="365"/>
        <v>0</v>
      </c>
      <c r="P566" s="510">
        <f t="shared" si="366"/>
        <v>0</v>
      </c>
      <c r="Q566" s="510">
        <f t="shared" si="367"/>
        <v>0</v>
      </c>
      <c r="R566" s="510">
        <f t="shared" si="368"/>
        <v>0</v>
      </c>
    </row>
    <row r="567" spans="1:18">
      <c r="A567" s="505"/>
      <c r="B567" s="511"/>
      <c r="C567" s="507"/>
      <c r="D567" s="508"/>
      <c r="E567" s="507"/>
      <c r="F567" s="502"/>
      <c r="G567" s="502"/>
      <c r="H567" s="602"/>
      <c r="I567" s="602"/>
      <c r="J567" s="235"/>
      <c r="K567" s="509"/>
      <c r="L567" s="510"/>
      <c r="M567" s="510"/>
      <c r="N567" s="510"/>
      <c r="O567" s="510"/>
      <c r="P567" s="510"/>
      <c r="Q567" s="510"/>
      <c r="R567" s="510"/>
    </row>
    <row r="568" spans="1:18">
      <c r="A568" s="505"/>
      <c r="B568" s="506" t="s">
        <v>1164</v>
      </c>
      <c r="C568" s="507"/>
      <c r="D568" s="508"/>
      <c r="E568" s="507"/>
      <c r="F568" s="502"/>
      <c r="G568" s="502"/>
      <c r="H568" s="503"/>
      <c r="I568" s="503"/>
      <c r="J568" s="589"/>
      <c r="K568" s="509"/>
      <c r="L568" s="510"/>
      <c r="M568" s="510">
        <f t="shared" ref="M568:M578" si="372">+ROUND(IF(C568=8,PRODUCT(E568,F568,G568,L568),0),2)</f>
        <v>0</v>
      </c>
      <c r="N568" s="510">
        <f t="shared" ref="N568:N578" si="373">+ROUND(IF(C568=10,PRODUCT(E568,F568,G568,L568),0),2)</f>
        <v>0</v>
      </c>
      <c r="O568" s="510">
        <f t="shared" ref="O568:O578" si="374">+ROUND(IF(C568=12,PRODUCT(E568,F568,G568,L568),0),2)</f>
        <v>0</v>
      </c>
      <c r="P568" s="510">
        <f t="shared" ref="P568:P578" si="375">+ROUND(IF(C568=16,PRODUCT(E568,F568,G568,L568),0),2)</f>
        <v>0</v>
      </c>
      <c r="Q568" s="510">
        <f t="shared" ref="Q568:Q578" si="376">+ROUND(IF(C568=20,PRODUCT(E568,F568,G568,L568),0),2)</f>
        <v>0</v>
      </c>
      <c r="R568" s="510">
        <f t="shared" ref="R568:R578" si="377">+ROUND(IF(C568=25,PRODUCT(E568,F568,G568,L568),0),2)</f>
        <v>0</v>
      </c>
    </row>
    <row r="569" spans="1:18">
      <c r="A569" s="505"/>
      <c r="B569" s="607" t="s">
        <v>1154</v>
      </c>
      <c r="C569" s="507">
        <v>8</v>
      </c>
      <c r="D569" s="508">
        <v>200</v>
      </c>
      <c r="E569" s="507">
        <v>1</v>
      </c>
      <c r="F569" s="502">
        <v>1</v>
      </c>
      <c r="G569" s="502">
        <v>13</v>
      </c>
      <c r="H569" s="602"/>
      <c r="I569" s="602">
        <f>0.175+1.6+0.175</f>
        <v>1.9500000000000002</v>
      </c>
      <c r="J569" s="235"/>
      <c r="K569" s="509"/>
      <c r="L569" s="510">
        <f t="shared" ref="L569" si="378">SUM(H569:J569)+K569</f>
        <v>1.9500000000000002</v>
      </c>
      <c r="M569" s="510">
        <f t="shared" si="372"/>
        <v>25.35</v>
      </c>
      <c r="N569" s="510">
        <f t="shared" si="373"/>
        <v>0</v>
      </c>
      <c r="O569" s="510">
        <f t="shared" si="374"/>
        <v>0</v>
      </c>
      <c r="P569" s="510">
        <f t="shared" si="375"/>
        <v>0</v>
      </c>
      <c r="Q569" s="510">
        <f t="shared" si="376"/>
        <v>0</v>
      </c>
      <c r="R569" s="510">
        <f t="shared" si="377"/>
        <v>0</v>
      </c>
    </row>
    <row r="570" spans="1:18">
      <c r="A570" s="505"/>
      <c r="B570" s="607" t="s">
        <v>1155</v>
      </c>
      <c r="C570" s="507">
        <v>8</v>
      </c>
      <c r="D570" s="508">
        <v>200</v>
      </c>
      <c r="E570" s="507">
        <v>1</v>
      </c>
      <c r="F570" s="502">
        <v>1</v>
      </c>
      <c r="G570" s="502">
        <f>+ROUND(1.6/(D570/1000)+1,0)</f>
        <v>9</v>
      </c>
      <c r="H570" s="602"/>
      <c r="I570" s="602">
        <f>0.175+2.515+0.175</f>
        <v>2.8649999999999998</v>
      </c>
      <c r="J570" s="235"/>
      <c r="K570" s="589"/>
      <c r="L570" s="510">
        <f>SUM(H570:J570)+K570</f>
        <v>2.8649999999999998</v>
      </c>
      <c r="M570" s="510">
        <f t="shared" si="372"/>
        <v>25.79</v>
      </c>
      <c r="N570" s="510">
        <f t="shared" si="373"/>
        <v>0</v>
      </c>
      <c r="O570" s="510">
        <f t="shared" si="374"/>
        <v>0</v>
      </c>
      <c r="P570" s="510">
        <f t="shared" si="375"/>
        <v>0</v>
      </c>
      <c r="Q570" s="510">
        <f t="shared" si="376"/>
        <v>0</v>
      </c>
      <c r="R570" s="510">
        <f t="shared" si="377"/>
        <v>0</v>
      </c>
    </row>
    <row r="571" spans="1:18">
      <c r="A571" s="505"/>
      <c r="B571" s="607" t="s">
        <v>1156</v>
      </c>
      <c r="C571" s="507">
        <v>8</v>
      </c>
      <c r="D571" s="508">
        <v>200</v>
      </c>
      <c r="E571" s="507">
        <v>1</v>
      </c>
      <c r="F571" s="502">
        <v>1</v>
      </c>
      <c r="G571" s="502">
        <v>13</v>
      </c>
      <c r="H571" s="602">
        <v>0.1</v>
      </c>
      <c r="I571" s="602">
        <f>0.45+0.175</f>
        <v>0.625</v>
      </c>
      <c r="J571" s="235"/>
      <c r="K571" s="509"/>
      <c r="L571" s="510">
        <f>SUM(H571:J571)+K571</f>
        <v>0.72499999999999998</v>
      </c>
      <c r="M571" s="510">
        <f t="shared" si="372"/>
        <v>9.43</v>
      </c>
      <c r="N571" s="510">
        <f t="shared" si="373"/>
        <v>0</v>
      </c>
      <c r="O571" s="510">
        <f t="shared" si="374"/>
        <v>0</v>
      </c>
      <c r="P571" s="510">
        <f t="shared" si="375"/>
        <v>0</v>
      </c>
      <c r="Q571" s="510">
        <f t="shared" si="376"/>
        <v>0</v>
      </c>
      <c r="R571" s="510">
        <f t="shared" si="377"/>
        <v>0</v>
      </c>
    </row>
    <row r="572" spans="1:18">
      <c r="A572" s="505"/>
      <c r="B572" s="607" t="s">
        <v>1156</v>
      </c>
      <c r="C572" s="507">
        <v>8</v>
      </c>
      <c r="D572" s="508">
        <v>200</v>
      </c>
      <c r="E572" s="507">
        <v>1</v>
      </c>
      <c r="F572" s="502">
        <v>1</v>
      </c>
      <c r="G572" s="502">
        <v>13</v>
      </c>
      <c r="H572" s="602">
        <v>0.1</v>
      </c>
      <c r="I572" s="602">
        <f>0.45+0.175</f>
        <v>0.625</v>
      </c>
      <c r="J572" s="235"/>
      <c r="K572" s="509"/>
      <c r="L572" s="510">
        <f t="shared" ref="L572:L578" si="379">SUM(H572:J572)+K572</f>
        <v>0.72499999999999998</v>
      </c>
      <c r="M572" s="510">
        <f t="shared" si="372"/>
        <v>9.43</v>
      </c>
      <c r="N572" s="510">
        <f t="shared" si="373"/>
        <v>0</v>
      </c>
      <c r="O572" s="510">
        <f t="shared" si="374"/>
        <v>0</v>
      </c>
      <c r="P572" s="510">
        <f t="shared" si="375"/>
        <v>0</v>
      </c>
      <c r="Q572" s="510">
        <f t="shared" si="376"/>
        <v>0</v>
      </c>
      <c r="R572" s="510">
        <f t="shared" si="377"/>
        <v>0</v>
      </c>
    </row>
    <row r="573" spans="1:18">
      <c r="A573" s="505"/>
      <c r="B573" s="607" t="s">
        <v>1156</v>
      </c>
      <c r="C573" s="507">
        <v>8</v>
      </c>
      <c r="D573" s="508">
        <v>200</v>
      </c>
      <c r="E573" s="507">
        <v>1</v>
      </c>
      <c r="F573" s="502">
        <v>1</v>
      </c>
      <c r="G573" s="502">
        <v>8</v>
      </c>
      <c r="H573" s="602">
        <v>0.1</v>
      </c>
      <c r="I573" s="602">
        <f>0.45+0.175</f>
        <v>0.625</v>
      </c>
      <c r="J573" s="235"/>
      <c r="K573" s="509"/>
      <c r="L573" s="510">
        <f t="shared" si="379"/>
        <v>0.72499999999999998</v>
      </c>
      <c r="M573" s="510">
        <f t="shared" si="372"/>
        <v>5.8</v>
      </c>
      <c r="N573" s="510">
        <f t="shared" si="373"/>
        <v>0</v>
      </c>
      <c r="O573" s="510">
        <f t="shared" si="374"/>
        <v>0</v>
      </c>
      <c r="P573" s="510">
        <f t="shared" si="375"/>
        <v>0</v>
      </c>
      <c r="Q573" s="510">
        <f t="shared" si="376"/>
        <v>0</v>
      </c>
      <c r="R573" s="510">
        <f t="shared" si="377"/>
        <v>0</v>
      </c>
    </row>
    <row r="574" spans="1:18">
      <c r="A574" s="505"/>
      <c r="B574" s="607" t="s">
        <v>1156</v>
      </c>
      <c r="C574" s="507">
        <v>8</v>
      </c>
      <c r="D574" s="508">
        <v>200</v>
      </c>
      <c r="E574" s="507">
        <v>1</v>
      </c>
      <c r="F574" s="502">
        <v>1</v>
      </c>
      <c r="G574" s="502">
        <v>8</v>
      </c>
      <c r="H574" s="602">
        <v>0.1</v>
      </c>
      <c r="I574" s="602">
        <f>0.5+0.175</f>
        <v>0.67500000000000004</v>
      </c>
      <c r="J574" s="235"/>
      <c r="K574" s="509"/>
      <c r="L574" s="510">
        <f t="shared" si="379"/>
        <v>0.77500000000000002</v>
      </c>
      <c r="M574" s="510">
        <f t="shared" si="372"/>
        <v>6.2</v>
      </c>
      <c r="N574" s="510">
        <f t="shared" si="373"/>
        <v>0</v>
      </c>
      <c r="O574" s="510">
        <f t="shared" si="374"/>
        <v>0</v>
      </c>
      <c r="P574" s="510">
        <f t="shared" si="375"/>
        <v>0</v>
      </c>
      <c r="Q574" s="510">
        <f t="shared" si="376"/>
        <v>0</v>
      </c>
      <c r="R574" s="510">
        <f t="shared" si="377"/>
        <v>0</v>
      </c>
    </row>
    <row r="575" spans="1:18">
      <c r="A575" s="505"/>
      <c r="B575" s="607" t="s">
        <v>1159</v>
      </c>
      <c r="C575" s="507">
        <v>8</v>
      </c>
      <c r="D575" s="508">
        <v>200</v>
      </c>
      <c r="E575" s="507">
        <v>1</v>
      </c>
      <c r="F575" s="502">
        <v>1</v>
      </c>
      <c r="G575" s="502">
        <f>+ROUND(0.45/(D575/1000)+1,0)</f>
        <v>3</v>
      </c>
      <c r="H575" s="602">
        <v>0.2</v>
      </c>
      <c r="I575" s="602">
        <v>1.6</v>
      </c>
      <c r="J575" s="235"/>
      <c r="K575" s="509"/>
      <c r="L575" s="510">
        <f t="shared" si="379"/>
        <v>1.8</v>
      </c>
      <c r="M575" s="510">
        <f t="shared" si="372"/>
        <v>5.4</v>
      </c>
      <c r="N575" s="510">
        <f t="shared" si="373"/>
        <v>0</v>
      </c>
      <c r="O575" s="510">
        <f t="shared" si="374"/>
        <v>0</v>
      </c>
      <c r="P575" s="510">
        <f t="shared" si="375"/>
        <v>0</v>
      </c>
      <c r="Q575" s="510">
        <f t="shared" si="376"/>
        <v>0</v>
      </c>
      <c r="R575" s="510">
        <f t="shared" si="377"/>
        <v>0</v>
      </c>
    </row>
    <row r="576" spans="1:18">
      <c r="A576" s="505"/>
      <c r="B576" s="607" t="s">
        <v>1159</v>
      </c>
      <c r="C576" s="507">
        <v>8</v>
      </c>
      <c r="D576" s="508">
        <v>200</v>
      </c>
      <c r="E576" s="507">
        <v>1</v>
      </c>
      <c r="F576" s="502">
        <v>1</v>
      </c>
      <c r="G576" s="502">
        <f>+ROUND(0.45/(D576/1000)+1,0)</f>
        <v>3</v>
      </c>
      <c r="H576" s="602">
        <v>0.2</v>
      </c>
      <c r="I576" s="602">
        <v>1.6</v>
      </c>
      <c r="J576" s="235"/>
      <c r="K576" s="509"/>
      <c r="L576" s="510">
        <f t="shared" si="379"/>
        <v>1.8</v>
      </c>
      <c r="M576" s="510">
        <f t="shared" si="372"/>
        <v>5.4</v>
      </c>
      <c r="N576" s="510">
        <f t="shared" si="373"/>
        <v>0</v>
      </c>
      <c r="O576" s="510">
        <f t="shared" si="374"/>
        <v>0</v>
      </c>
      <c r="P576" s="510">
        <f t="shared" si="375"/>
        <v>0</v>
      </c>
      <c r="Q576" s="510">
        <f t="shared" si="376"/>
        <v>0</v>
      </c>
      <c r="R576" s="510">
        <f t="shared" si="377"/>
        <v>0</v>
      </c>
    </row>
    <row r="577" spans="1:18">
      <c r="A577" s="505"/>
      <c r="B577" s="607" t="s">
        <v>1159</v>
      </c>
      <c r="C577" s="507">
        <v>8</v>
      </c>
      <c r="D577" s="508">
        <v>200</v>
      </c>
      <c r="E577" s="507">
        <v>1</v>
      </c>
      <c r="F577" s="502">
        <v>1</v>
      </c>
      <c r="G577" s="502">
        <f>+ROUND(0.45/(D577/1000)+1,0)</f>
        <v>3</v>
      </c>
      <c r="H577" s="602">
        <v>0.2</v>
      </c>
      <c r="I577" s="602">
        <v>2.5150000000000001</v>
      </c>
      <c r="J577" s="235"/>
      <c r="K577" s="509"/>
      <c r="L577" s="510">
        <f t="shared" si="379"/>
        <v>2.7150000000000003</v>
      </c>
      <c r="M577" s="510">
        <f t="shared" si="372"/>
        <v>8.15</v>
      </c>
      <c r="N577" s="510">
        <f t="shared" si="373"/>
        <v>0</v>
      </c>
      <c r="O577" s="510">
        <f t="shared" si="374"/>
        <v>0</v>
      </c>
      <c r="P577" s="510">
        <f t="shared" si="375"/>
        <v>0</v>
      </c>
      <c r="Q577" s="510">
        <f t="shared" si="376"/>
        <v>0</v>
      </c>
      <c r="R577" s="510">
        <f t="shared" si="377"/>
        <v>0</v>
      </c>
    </row>
    <row r="578" spans="1:18">
      <c r="A578" s="505"/>
      <c r="B578" s="607" t="s">
        <v>1159</v>
      </c>
      <c r="C578" s="507">
        <v>8</v>
      </c>
      <c r="D578" s="508">
        <v>200</v>
      </c>
      <c r="E578" s="507">
        <v>1</v>
      </c>
      <c r="F578" s="502">
        <v>1</v>
      </c>
      <c r="G578" s="502">
        <f>+ROUND(0.45/(D578/1000)+1,0)</f>
        <v>3</v>
      </c>
      <c r="H578" s="602">
        <v>0.2</v>
      </c>
      <c r="I578" s="602">
        <v>2.5150000000000001</v>
      </c>
      <c r="J578" s="235"/>
      <c r="K578" s="509"/>
      <c r="L578" s="510">
        <f t="shared" si="379"/>
        <v>2.7150000000000003</v>
      </c>
      <c r="M578" s="510">
        <f t="shared" si="372"/>
        <v>8.15</v>
      </c>
      <c r="N578" s="510">
        <f t="shared" si="373"/>
        <v>0</v>
      </c>
      <c r="O578" s="510">
        <f t="shared" si="374"/>
        <v>0</v>
      </c>
      <c r="P578" s="510">
        <f t="shared" si="375"/>
        <v>0</v>
      </c>
      <c r="Q578" s="510">
        <f t="shared" si="376"/>
        <v>0</v>
      </c>
      <c r="R578" s="510">
        <f t="shared" si="377"/>
        <v>0</v>
      </c>
    </row>
    <row r="579" spans="1:18">
      <c r="A579" s="505"/>
      <c r="B579" s="511"/>
      <c r="C579" s="507"/>
      <c r="D579" s="508"/>
      <c r="E579" s="507"/>
      <c r="F579" s="502"/>
      <c r="G579" s="502"/>
      <c r="H579" s="602"/>
      <c r="I579" s="602"/>
      <c r="J579" s="235"/>
      <c r="K579" s="509"/>
      <c r="L579" s="510"/>
      <c r="M579" s="510"/>
      <c r="N579" s="510"/>
      <c r="O579" s="510"/>
      <c r="P579" s="510"/>
      <c r="Q579" s="510"/>
      <c r="R579" s="510"/>
    </row>
    <row r="580" spans="1:18">
      <c r="A580" s="505"/>
      <c r="B580" s="506" t="s">
        <v>1165</v>
      </c>
      <c r="C580" s="507"/>
      <c r="D580" s="508"/>
      <c r="E580" s="507"/>
      <c r="F580" s="502"/>
      <c r="G580" s="502"/>
      <c r="H580" s="602"/>
      <c r="I580" s="602"/>
      <c r="J580" s="235"/>
      <c r="K580" s="509"/>
      <c r="L580" s="510"/>
      <c r="M580" s="510">
        <f t="shared" ref="M580:M618" si="380">+ROUND(IF(C580=8,PRODUCT(E580,F580,G580,L580),0),2)</f>
        <v>0</v>
      </c>
      <c r="N580" s="510">
        <f t="shared" ref="N580:N625" si="381">+ROUND(IF(C580=10,PRODUCT(E580,F580,G580,L580),0),2)</f>
        <v>0</v>
      </c>
      <c r="O580" s="510">
        <f t="shared" ref="O580:O625" si="382">+ROUND(IF(C580=12,PRODUCT(E580,F580,G580,L580),0),2)</f>
        <v>0</v>
      </c>
      <c r="P580" s="510">
        <f t="shared" ref="P580:P625" si="383">+ROUND(IF(C580=16,PRODUCT(E580,F580,G580,L580),0),2)</f>
        <v>0</v>
      </c>
      <c r="Q580" s="510">
        <f t="shared" ref="Q580:Q625" si="384">+ROUND(IF(C580=20,PRODUCT(E580,F580,G580,L580),0),2)</f>
        <v>0</v>
      </c>
      <c r="R580" s="510">
        <f t="shared" ref="R580:R625" si="385">+ROUND(IF(C580=25,PRODUCT(E580,F580,G580,L580),0),2)</f>
        <v>0</v>
      </c>
    </row>
    <row r="581" spans="1:18">
      <c r="A581" s="505"/>
      <c r="B581" s="607" t="s">
        <v>1166</v>
      </c>
      <c r="C581" s="507">
        <v>8</v>
      </c>
      <c r="D581" s="508">
        <v>100</v>
      </c>
      <c r="E581" s="507">
        <v>1</v>
      </c>
      <c r="F581" s="502">
        <v>1</v>
      </c>
      <c r="G581" s="502">
        <f>+ROUND(6.165/(D581/1000)+1,0)/2</f>
        <v>31.5</v>
      </c>
      <c r="H581" s="602"/>
      <c r="I581" s="602">
        <f>0.175+4.105+0.175</f>
        <v>4.4550000000000001</v>
      </c>
      <c r="J581" s="235"/>
      <c r="K581" s="589"/>
      <c r="L581" s="510">
        <f>SUM(H581:J581)+K581</f>
        <v>4.4550000000000001</v>
      </c>
      <c r="M581" s="510">
        <f t="shared" si="380"/>
        <v>140.33000000000001</v>
      </c>
      <c r="N581" s="510">
        <f t="shared" si="381"/>
        <v>0</v>
      </c>
      <c r="O581" s="510">
        <f t="shared" si="382"/>
        <v>0</v>
      </c>
      <c r="P581" s="510">
        <f t="shared" si="383"/>
        <v>0</v>
      </c>
      <c r="Q581" s="510">
        <f t="shared" si="384"/>
        <v>0</v>
      </c>
      <c r="R581" s="510">
        <f t="shared" si="385"/>
        <v>0</v>
      </c>
    </row>
    <row r="582" spans="1:18">
      <c r="A582" s="505"/>
      <c r="B582" s="607" t="s">
        <v>1166</v>
      </c>
      <c r="C582" s="507">
        <v>8</v>
      </c>
      <c r="D582" s="508">
        <v>100</v>
      </c>
      <c r="E582" s="507">
        <v>1</v>
      </c>
      <c r="F582" s="502">
        <v>1</v>
      </c>
      <c r="G582" s="502">
        <v>31</v>
      </c>
      <c r="H582" s="602"/>
      <c r="I582" s="602">
        <f>4.105-0.4-0.4</f>
        <v>3.3050000000000006</v>
      </c>
      <c r="J582" s="235"/>
      <c r="K582" s="589"/>
      <c r="L582" s="510">
        <f>SUM(H582:J582)+K582</f>
        <v>3.3050000000000006</v>
      </c>
      <c r="M582" s="510">
        <f t="shared" si="380"/>
        <v>102.46</v>
      </c>
      <c r="N582" s="510">
        <f t="shared" si="381"/>
        <v>0</v>
      </c>
      <c r="O582" s="510">
        <f t="shared" si="382"/>
        <v>0</v>
      </c>
      <c r="P582" s="510">
        <f t="shared" si="383"/>
        <v>0</v>
      </c>
      <c r="Q582" s="510">
        <f t="shared" si="384"/>
        <v>0</v>
      </c>
      <c r="R582" s="510">
        <f t="shared" si="385"/>
        <v>0</v>
      </c>
    </row>
    <row r="583" spans="1:18">
      <c r="A583" s="505"/>
      <c r="B583" s="607" t="s">
        <v>1167</v>
      </c>
      <c r="C583" s="507">
        <v>8</v>
      </c>
      <c r="D583" s="508">
        <v>150</v>
      </c>
      <c r="E583" s="507">
        <v>1</v>
      </c>
      <c r="F583" s="502">
        <v>1</v>
      </c>
      <c r="G583" s="502">
        <f>+ROUND(4.105/(D583/1000)+1,0)/2</f>
        <v>14</v>
      </c>
      <c r="H583" s="602"/>
      <c r="I583" s="602">
        <f>0.175+6.165+0.2+0.625</f>
        <v>7.165</v>
      </c>
      <c r="J583" s="235"/>
      <c r="K583" s="589"/>
      <c r="L583" s="510">
        <f>SUM(H583:J583)+K583</f>
        <v>7.165</v>
      </c>
      <c r="M583" s="510">
        <f t="shared" si="380"/>
        <v>100.31</v>
      </c>
      <c r="N583" s="510">
        <f t="shared" si="381"/>
        <v>0</v>
      </c>
      <c r="O583" s="510">
        <f t="shared" si="382"/>
        <v>0</v>
      </c>
      <c r="P583" s="510">
        <f t="shared" si="383"/>
        <v>0</v>
      </c>
      <c r="Q583" s="510">
        <f t="shared" si="384"/>
        <v>0</v>
      </c>
      <c r="R583" s="510">
        <f t="shared" si="385"/>
        <v>0</v>
      </c>
    </row>
    <row r="584" spans="1:18">
      <c r="A584" s="505"/>
      <c r="B584" s="607" t="s">
        <v>1167</v>
      </c>
      <c r="C584" s="507">
        <v>8</v>
      </c>
      <c r="D584" s="508">
        <v>150</v>
      </c>
      <c r="E584" s="507">
        <v>1</v>
      </c>
      <c r="F584" s="502">
        <v>1</v>
      </c>
      <c r="G584" s="502">
        <f>+ROUND(4.105/(D584/1000)+1,0)/2</f>
        <v>14</v>
      </c>
      <c r="H584" s="602"/>
      <c r="I584" s="602">
        <f>6.165-0.9-0.6</f>
        <v>4.665</v>
      </c>
      <c r="J584" s="235"/>
      <c r="K584" s="589"/>
      <c r="L584" s="510">
        <f>SUM(H584:J584)+K584</f>
        <v>4.665</v>
      </c>
      <c r="M584" s="510">
        <f t="shared" si="380"/>
        <v>65.31</v>
      </c>
      <c r="N584" s="510">
        <f t="shared" si="381"/>
        <v>0</v>
      </c>
      <c r="O584" s="510">
        <f t="shared" si="382"/>
        <v>0</v>
      </c>
      <c r="P584" s="510">
        <f t="shared" si="383"/>
        <v>0</v>
      </c>
      <c r="Q584" s="510">
        <f t="shared" si="384"/>
        <v>0</v>
      </c>
      <c r="R584" s="510">
        <f t="shared" si="385"/>
        <v>0</v>
      </c>
    </row>
    <row r="585" spans="1:18">
      <c r="A585" s="505"/>
      <c r="B585" s="607" t="s">
        <v>1158</v>
      </c>
      <c r="C585" s="507">
        <v>8</v>
      </c>
      <c r="D585" s="508">
        <v>175</v>
      </c>
      <c r="E585" s="507">
        <v>1</v>
      </c>
      <c r="F585" s="502">
        <v>1</v>
      </c>
      <c r="G585" s="502">
        <f>+ROUND(3.72/(D585/1000)+1,0)</f>
        <v>22</v>
      </c>
      <c r="H585" s="602">
        <v>0.1</v>
      </c>
      <c r="I585" s="602">
        <f>0.175+0.95</f>
        <v>1.125</v>
      </c>
      <c r="J585" s="235"/>
      <c r="K585" s="509"/>
      <c r="L585" s="510">
        <f>SUM(H585:J585)+K585</f>
        <v>1.2250000000000001</v>
      </c>
      <c r="M585" s="510">
        <f t="shared" si="380"/>
        <v>26.95</v>
      </c>
      <c r="N585" s="510">
        <f t="shared" si="381"/>
        <v>0</v>
      </c>
      <c r="O585" s="510">
        <f t="shared" si="382"/>
        <v>0</v>
      </c>
      <c r="P585" s="510">
        <f t="shared" si="383"/>
        <v>0</v>
      </c>
      <c r="Q585" s="510">
        <f t="shared" si="384"/>
        <v>0</v>
      </c>
      <c r="R585" s="510">
        <f t="shared" si="385"/>
        <v>0</v>
      </c>
    </row>
    <row r="586" spans="1:18">
      <c r="A586" s="505"/>
      <c r="B586" s="607" t="s">
        <v>1157</v>
      </c>
      <c r="C586" s="507">
        <v>8</v>
      </c>
      <c r="D586" s="508">
        <v>100</v>
      </c>
      <c r="E586" s="507">
        <v>1</v>
      </c>
      <c r="F586" s="502">
        <v>1</v>
      </c>
      <c r="G586" s="502">
        <v>13</v>
      </c>
      <c r="H586" s="602"/>
      <c r="I586" s="602">
        <f>0.1+0.6+0.6</f>
        <v>1.2999999999999998</v>
      </c>
      <c r="J586" s="235"/>
      <c r="K586" s="509"/>
      <c r="L586" s="510">
        <f t="shared" ref="L586:L588" si="386">SUM(H586:J586)+K586</f>
        <v>1.2999999999999998</v>
      </c>
      <c r="M586" s="510">
        <f t="shared" si="380"/>
        <v>16.899999999999999</v>
      </c>
      <c r="N586" s="510">
        <f t="shared" si="381"/>
        <v>0</v>
      </c>
      <c r="O586" s="510">
        <f t="shared" si="382"/>
        <v>0</v>
      </c>
      <c r="P586" s="510">
        <f t="shared" si="383"/>
        <v>0</v>
      </c>
      <c r="Q586" s="510">
        <f t="shared" si="384"/>
        <v>0</v>
      </c>
      <c r="R586" s="510">
        <f t="shared" si="385"/>
        <v>0</v>
      </c>
    </row>
    <row r="587" spans="1:18">
      <c r="A587" s="505"/>
      <c r="B587" s="607" t="s">
        <v>1157</v>
      </c>
      <c r="C587" s="507">
        <v>8</v>
      </c>
      <c r="D587" s="508">
        <v>100</v>
      </c>
      <c r="E587" s="507">
        <v>1</v>
      </c>
      <c r="F587" s="502">
        <v>1</v>
      </c>
      <c r="G587" s="502">
        <f>+ROUND(2.25/(D587/1000)+1,0)/2</f>
        <v>12</v>
      </c>
      <c r="H587" s="602"/>
      <c r="I587" s="602">
        <f>0.1+0.6+0.6</f>
        <v>1.2999999999999998</v>
      </c>
      <c r="J587" s="235"/>
      <c r="K587" s="509"/>
      <c r="L587" s="510">
        <f t="shared" si="386"/>
        <v>1.2999999999999998</v>
      </c>
      <c r="M587" s="510">
        <f t="shared" si="380"/>
        <v>15.6</v>
      </c>
      <c r="N587" s="510">
        <f t="shared" si="381"/>
        <v>0</v>
      </c>
      <c r="O587" s="510">
        <f t="shared" si="382"/>
        <v>0</v>
      </c>
      <c r="P587" s="510">
        <f t="shared" si="383"/>
        <v>0</v>
      </c>
      <c r="Q587" s="510">
        <f t="shared" si="384"/>
        <v>0</v>
      </c>
      <c r="R587" s="510">
        <f t="shared" si="385"/>
        <v>0</v>
      </c>
    </row>
    <row r="588" spans="1:18">
      <c r="A588" s="505"/>
      <c r="B588" s="607" t="s">
        <v>1157</v>
      </c>
      <c r="C588" s="507">
        <v>8</v>
      </c>
      <c r="D588" s="508">
        <v>100</v>
      </c>
      <c r="E588" s="507">
        <v>1</v>
      </c>
      <c r="F588" s="502">
        <v>1</v>
      </c>
      <c r="G588" s="502">
        <v>6</v>
      </c>
      <c r="H588" s="602"/>
      <c r="I588" s="602">
        <f>0.1+0.65+0.65</f>
        <v>1.4</v>
      </c>
      <c r="J588" s="235"/>
      <c r="K588" s="509"/>
      <c r="L588" s="510">
        <f t="shared" si="386"/>
        <v>1.4</v>
      </c>
      <c r="M588" s="510">
        <f t="shared" si="380"/>
        <v>8.4</v>
      </c>
      <c r="N588" s="510">
        <f t="shared" si="381"/>
        <v>0</v>
      </c>
      <c r="O588" s="510">
        <f t="shared" si="382"/>
        <v>0</v>
      </c>
      <c r="P588" s="510">
        <f t="shared" si="383"/>
        <v>0</v>
      </c>
      <c r="Q588" s="510">
        <f t="shared" si="384"/>
        <v>0</v>
      </c>
      <c r="R588" s="510">
        <f t="shared" si="385"/>
        <v>0</v>
      </c>
    </row>
    <row r="589" spans="1:18">
      <c r="A589" s="505"/>
      <c r="B589" s="607" t="s">
        <v>1157</v>
      </c>
      <c r="C589" s="507">
        <v>8</v>
      </c>
      <c r="D589" s="508">
        <v>100</v>
      </c>
      <c r="E589" s="507">
        <v>1</v>
      </c>
      <c r="F589" s="502">
        <v>1</v>
      </c>
      <c r="G589" s="502">
        <f>+ROUND(1.2/(D589/1000)+1,0)/2</f>
        <v>6.5</v>
      </c>
      <c r="H589" s="602"/>
      <c r="I589" s="602">
        <f>0.1+0.65</f>
        <v>0.75</v>
      </c>
      <c r="J589" s="235"/>
      <c r="K589" s="509"/>
      <c r="L589" s="510">
        <f t="shared" ref="L589" si="387">SUM(H589:J589)+K589</f>
        <v>0.75</v>
      </c>
      <c r="M589" s="510">
        <f t="shared" si="380"/>
        <v>4.88</v>
      </c>
      <c r="N589" s="510">
        <f t="shared" si="381"/>
        <v>0</v>
      </c>
      <c r="O589" s="510">
        <f t="shared" si="382"/>
        <v>0</v>
      </c>
      <c r="P589" s="510">
        <f t="shared" si="383"/>
        <v>0</v>
      </c>
      <c r="Q589" s="510">
        <f t="shared" si="384"/>
        <v>0</v>
      </c>
      <c r="R589" s="510">
        <f t="shared" si="385"/>
        <v>0</v>
      </c>
    </row>
    <row r="590" spans="1:18">
      <c r="A590" s="505"/>
      <c r="B590" s="607" t="s">
        <v>1156</v>
      </c>
      <c r="C590" s="507">
        <v>8</v>
      </c>
      <c r="D590" s="508">
        <v>200</v>
      </c>
      <c r="E590" s="507">
        <v>1</v>
      </c>
      <c r="F590" s="502">
        <v>1</v>
      </c>
      <c r="G590" s="502">
        <f>+ROUND(2.715/(D590/1000)+1,0)</f>
        <v>15</v>
      </c>
      <c r="H590" s="602">
        <v>0.1</v>
      </c>
      <c r="I590" s="602">
        <f>0.175+0.65</f>
        <v>0.82499999999999996</v>
      </c>
      <c r="J590" s="235"/>
      <c r="K590" s="509"/>
      <c r="L590" s="510">
        <f>SUM(H590:J590)+K590</f>
        <v>0.92499999999999993</v>
      </c>
      <c r="M590" s="510">
        <f t="shared" si="380"/>
        <v>13.88</v>
      </c>
      <c r="N590" s="510">
        <f t="shared" si="381"/>
        <v>0</v>
      </c>
      <c r="O590" s="510">
        <f t="shared" si="382"/>
        <v>0</v>
      </c>
      <c r="P590" s="510">
        <f t="shared" si="383"/>
        <v>0</v>
      </c>
      <c r="Q590" s="510">
        <f t="shared" si="384"/>
        <v>0</v>
      </c>
      <c r="R590" s="510">
        <f t="shared" si="385"/>
        <v>0</v>
      </c>
    </row>
    <row r="591" spans="1:18">
      <c r="A591" s="505"/>
      <c r="B591" s="607" t="s">
        <v>1168</v>
      </c>
      <c r="C591" s="507">
        <v>8</v>
      </c>
      <c r="D591" s="508">
        <v>150</v>
      </c>
      <c r="E591" s="507">
        <v>1</v>
      </c>
      <c r="F591" s="502">
        <v>1</v>
      </c>
      <c r="G591" s="502">
        <f>+ROUND(4.105/(D591/1000)+1,0)/2</f>
        <v>14</v>
      </c>
      <c r="H591" s="602"/>
      <c r="I591" s="602">
        <f>0.1+0.95+0.95</f>
        <v>2</v>
      </c>
      <c r="J591" s="235"/>
      <c r="K591" s="509"/>
      <c r="L591" s="510">
        <f>SUM(H591:J591)+K591</f>
        <v>2</v>
      </c>
      <c r="M591" s="510">
        <f t="shared" si="380"/>
        <v>28</v>
      </c>
      <c r="N591" s="510">
        <f t="shared" si="381"/>
        <v>0</v>
      </c>
      <c r="O591" s="510">
        <f t="shared" si="382"/>
        <v>0</v>
      </c>
      <c r="P591" s="510">
        <f t="shared" si="383"/>
        <v>0</v>
      </c>
      <c r="Q591" s="510">
        <f t="shared" si="384"/>
        <v>0</v>
      </c>
      <c r="R591" s="510">
        <f t="shared" si="385"/>
        <v>0</v>
      </c>
    </row>
    <row r="592" spans="1:18">
      <c r="A592" s="505"/>
      <c r="B592" s="607" t="s">
        <v>1168</v>
      </c>
      <c r="C592" s="507">
        <v>8</v>
      </c>
      <c r="D592" s="508">
        <v>150</v>
      </c>
      <c r="E592" s="507">
        <v>1</v>
      </c>
      <c r="F592" s="502">
        <v>1</v>
      </c>
      <c r="G592" s="502">
        <v>13</v>
      </c>
      <c r="H592" s="602"/>
      <c r="I592" s="602">
        <f>0.1+0.95</f>
        <v>1.05</v>
      </c>
      <c r="J592" s="235"/>
      <c r="K592" s="509"/>
      <c r="L592" s="510">
        <f>SUM(H592:J592)+K592</f>
        <v>1.05</v>
      </c>
      <c r="M592" s="510">
        <f t="shared" si="380"/>
        <v>13.65</v>
      </c>
      <c r="N592" s="510">
        <f t="shared" si="381"/>
        <v>0</v>
      </c>
      <c r="O592" s="510">
        <f t="shared" si="382"/>
        <v>0</v>
      </c>
      <c r="P592" s="510">
        <f t="shared" si="383"/>
        <v>0</v>
      </c>
      <c r="Q592" s="510">
        <f t="shared" si="384"/>
        <v>0</v>
      </c>
      <c r="R592" s="510">
        <f t="shared" si="385"/>
        <v>0</v>
      </c>
    </row>
    <row r="593" spans="1:18">
      <c r="A593" s="505"/>
      <c r="B593" s="607" t="s">
        <v>1168</v>
      </c>
      <c r="C593" s="507">
        <v>8</v>
      </c>
      <c r="D593" s="508">
        <v>150</v>
      </c>
      <c r="E593" s="507">
        <v>1</v>
      </c>
      <c r="F593" s="502">
        <v>1</v>
      </c>
      <c r="G593" s="502">
        <f>+ROUND(3.91/(D593/1000)+1,0)</f>
        <v>27</v>
      </c>
      <c r="H593" s="602">
        <v>0.1</v>
      </c>
      <c r="I593" s="602">
        <f>0.175+0.65</f>
        <v>0.82499999999999996</v>
      </c>
      <c r="J593" s="235"/>
      <c r="K593" s="509"/>
      <c r="L593" s="510">
        <f>SUM(H593:J593)+K593</f>
        <v>0.92499999999999993</v>
      </c>
      <c r="M593" s="510">
        <f t="shared" si="380"/>
        <v>24.98</v>
      </c>
      <c r="N593" s="510">
        <f t="shared" si="381"/>
        <v>0</v>
      </c>
      <c r="O593" s="510">
        <f t="shared" si="382"/>
        <v>0</v>
      </c>
      <c r="P593" s="510">
        <f t="shared" si="383"/>
        <v>0</v>
      </c>
      <c r="Q593" s="510">
        <f t="shared" si="384"/>
        <v>0</v>
      </c>
      <c r="R593" s="510">
        <f t="shared" si="385"/>
        <v>0</v>
      </c>
    </row>
    <row r="594" spans="1:18">
      <c r="A594" s="505"/>
      <c r="B594" s="607" t="s">
        <v>1157</v>
      </c>
      <c r="C594" s="507">
        <v>8</v>
      </c>
      <c r="D594" s="508">
        <v>100</v>
      </c>
      <c r="E594" s="507">
        <v>1</v>
      </c>
      <c r="F594" s="502">
        <v>1</v>
      </c>
      <c r="G594" s="502">
        <f>+ROUND(2.225/(D594/1000)+1,0)/2</f>
        <v>11.5</v>
      </c>
      <c r="H594" s="602"/>
      <c r="I594" s="602">
        <f>0.1+0.65+0.65</f>
        <v>1.4</v>
      </c>
      <c r="J594" s="235"/>
      <c r="K594" s="509"/>
      <c r="L594" s="510">
        <f>SUM(H594:J594)+K594</f>
        <v>1.4</v>
      </c>
      <c r="M594" s="510">
        <f t="shared" si="380"/>
        <v>16.100000000000001</v>
      </c>
      <c r="N594" s="510">
        <f t="shared" si="381"/>
        <v>0</v>
      </c>
      <c r="O594" s="510">
        <f t="shared" si="382"/>
        <v>0</v>
      </c>
      <c r="P594" s="510">
        <f t="shared" si="383"/>
        <v>0</v>
      </c>
      <c r="Q594" s="510">
        <f t="shared" si="384"/>
        <v>0</v>
      </c>
      <c r="R594" s="510">
        <f t="shared" si="385"/>
        <v>0</v>
      </c>
    </row>
    <row r="595" spans="1:18">
      <c r="A595" s="505"/>
      <c r="B595" s="607" t="s">
        <v>1157</v>
      </c>
      <c r="C595" s="507">
        <v>8</v>
      </c>
      <c r="D595" s="508">
        <v>100</v>
      </c>
      <c r="E595" s="507">
        <v>1</v>
      </c>
      <c r="F595" s="502">
        <v>1</v>
      </c>
      <c r="G595" s="502">
        <f>+ROUND(2.225/(D595/1000)+1,0)/2</f>
        <v>11.5</v>
      </c>
      <c r="H595" s="602"/>
      <c r="I595" s="602">
        <f>0.1+0.65</f>
        <v>0.75</v>
      </c>
      <c r="J595" s="235"/>
      <c r="K595" s="509"/>
      <c r="L595" s="510">
        <f t="shared" ref="L595:L596" si="388">SUM(H595:J595)+K595</f>
        <v>0.75</v>
      </c>
      <c r="M595" s="510">
        <f t="shared" si="380"/>
        <v>8.6300000000000008</v>
      </c>
      <c r="N595" s="510">
        <f t="shared" si="381"/>
        <v>0</v>
      </c>
      <c r="O595" s="510">
        <f t="shared" si="382"/>
        <v>0</v>
      </c>
      <c r="P595" s="510">
        <f t="shared" si="383"/>
        <v>0</v>
      </c>
      <c r="Q595" s="510">
        <f t="shared" si="384"/>
        <v>0</v>
      </c>
      <c r="R595" s="510">
        <f t="shared" si="385"/>
        <v>0</v>
      </c>
    </row>
    <row r="596" spans="1:18">
      <c r="A596" s="505"/>
      <c r="B596" s="607" t="s">
        <v>1159</v>
      </c>
      <c r="C596" s="507">
        <v>8</v>
      </c>
      <c r="D596" s="508">
        <v>200</v>
      </c>
      <c r="E596" s="507">
        <v>1</v>
      </c>
      <c r="F596" s="502">
        <v>1</v>
      </c>
      <c r="G596" s="502">
        <f>+ROUND(1.9/(D596/1000)+1,0)</f>
        <v>11</v>
      </c>
      <c r="H596" s="602">
        <v>0.2</v>
      </c>
      <c r="I596" s="602">
        <v>4.1050000000000004</v>
      </c>
      <c r="J596" s="235"/>
      <c r="K596" s="509"/>
      <c r="L596" s="510">
        <f t="shared" si="388"/>
        <v>4.3050000000000006</v>
      </c>
      <c r="M596" s="510">
        <f t="shared" si="380"/>
        <v>47.36</v>
      </c>
      <c r="N596" s="510">
        <f t="shared" si="381"/>
        <v>0</v>
      </c>
      <c r="O596" s="510">
        <f t="shared" si="382"/>
        <v>0</v>
      </c>
      <c r="P596" s="510">
        <f t="shared" si="383"/>
        <v>0</v>
      </c>
      <c r="Q596" s="510">
        <f t="shared" si="384"/>
        <v>0</v>
      </c>
      <c r="R596" s="510">
        <f t="shared" si="385"/>
        <v>0</v>
      </c>
    </row>
    <row r="597" spans="1:18">
      <c r="A597" s="505"/>
      <c r="B597" s="607" t="s">
        <v>1159</v>
      </c>
      <c r="C597" s="507">
        <v>8</v>
      </c>
      <c r="D597" s="508">
        <v>200</v>
      </c>
      <c r="E597" s="507">
        <v>1</v>
      </c>
      <c r="F597" s="502">
        <v>1</v>
      </c>
      <c r="G597" s="502">
        <f>+ROUND(0.95/(D597/1000)+1,0)</f>
        <v>6</v>
      </c>
      <c r="H597" s="602">
        <v>0.2</v>
      </c>
      <c r="I597" s="602">
        <v>4.1050000000000004</v>
      </c>
      <c r="J597" s="235"/>
      <c r="K597" s="509"/>
      <c r="L597" s="510">
        <f>SUM(H597:J597)+K597</f>
        <v>4.3050000000000006</v>
      </c>
      <c r="M597" s="510">
        <f t="shared" si="380"/>
        <v>25.83</v>
      </c>
      <c r="N597" s="510">
        <f t="shared" si="381"/>
        <v>0</v>
      </c>
      <c r="O597" s="510">
        <f t="shared" si="382"/>
        <v>0</v>
      </c>
      <c r="P597" s="510">
        <f t="shared" si="383"/>
        <v>0</v>
      </c>
      <c r="Q597" s="510">
        <f t="shared" si="384"/>
        <v>0</v>
      </c>
      <c r="R597" s="510">
        <f t="shared" si="385"/>
        <v>0</v>
      </c>
    </row>
    <row r="598" spans="1:18">
      <c r="A598" s="505"/>
      <c r="B598" s="607" t="s">
        <v>1159</v>
      </c>
      <c r="C598" s="507">
        <v>8</v>
      </c>
      <c r="D598" s="508">
        <v>200</v>
      </c>
      <c r="E598" s="507">
        <v>1</v>
      </c>
      <c r="F598" s="502">
        <v>1</v>
      </c>
      <c r="G598" s="502">
        <f>+ROUND(1.2/(D598/1000)+1,0)</f>
        <v>7</v>
      </c>
      <c r="H598" s="602">
        <v>0.2</v>
      </c>
      <c r="I598" s="602">
        <v>6.165</v>
      </c>
      <c r="J598" s="235"/>
      <c r="K598" s="509"/>
      <c r="L598" s="510">
        <f t="shared" ref="L598" si="389">SUM(H598:J598)+K598</f>
        <v>6.3650000000000002</v>
      </c>
      <c r="M598" s="510">
        <f t="shared" si="380"/>
        <v>44.56</v>
      </c>
      <c r="N598" s="510">
        <f t="shared" si="381"/>
        <v>0</v>
      </c>
      <c r="O598" s="510">
        <f t="shared" si="382"/>
        <v>0</v>
      </c>
      <c r="P598" s="510">
        <f t="shared" si="383"/>
        <v>0</v>
      </c>
      <c r="Q598" s="510">
        <f t="shared" si="384"/>
        <v>0</v>
      </c>
      <c r="R598" s="510">
        <f t="shared" si="385"/>
        <v>0</v>
      </c>
    </row>
    <row r="599" spans="1:18">
      <c r="A599" s="505"/>
      <c r="B599" s="607" t="s">
        <v>1159</v>
      </c>
      <c r="C599" s="507">
        <v>8</v>
      </c>
      <c r="D599" s="508">
        <v>200</v>
      </c>
      <c r="E599" s="507">
        <v>1</v>
      </c>
      <c r="F599" s="502">
        <v>1</v>
      </c>
      <c r="G599" s="502">
        <f>+ROUND(1.3/(D599/1000)+1,0)</f>
        <v>8</v>
      </c>
      <c r="H599" s="602">
        <v>0.2</v>
      </c>
      <c r="I599" s="602">
        <v>6.165</v>
      </c>
      <c r="J599" s="235"/>
      <c r="K599" s="509"/>
      <c r="L599" s="510">
        <f>SUM(H599:J599)+K599</f>
        <v>6.3650000000000002</v>
      </c>
      <c r="M599" s="510">
        <f t="shared" si="380"/>
        <v>50.92</v>
      </c>
      <c r="N599" s="510">
        <f t="shared" si="381"/>
        <v>0</v>
      </c>
      <c r="O599" s="510">
        <f t="shared" si="382"/>
        <v>0</v>
      </c>
      <c r="P599" s="510">
        <f t="shared" si="383"/>
        <v>0</v>
      </c>
      <c r="Q599" s="510">
        <f t="shared" si="384"/>
        <v>0</v>
      </c>
      <c r="R599" s="510">
        <f t="shared" si="385"/>
        <v>0</v>
      </c>
    </row>
    <row r="600" spans="1:18">
      <c r="A600" s="505"/>
      <c r="B600" s="511"/>
      <c r="C600" s="507"/>
      <c r="D600" s="508"/>
      <c r="E600" s="507"/>
      <c r="F600" s="502"/>
      <c r="G600" s="502"/>
      <c r="H600" s="602"/>
      <c r="I600" s="602"/>
      <c r="J600" s="235"/>
      <c r="K600" s="509"/>
      <c r="L600" s="510"/>
      <c r="M600" s="510"/>
      <c r="N600" s="510"/>
      <c r="O600" s="510"/>
      <c r="P600" s="510"/>
      <c r="Q600" s="510"/>
      <c r="R600" s="510"/>
    </row>
    <row r="601" spans="1:18">
      <c r="A601" s="505"/>
      <c r="B601" s="506" t="s">
        <v>1169</v>
      </c>
      <c r="C601" s="507"/>
      <c r="D601" s="508"/>
      <c r="E601" s="507"/>
      <c r="F601" s="502"/>
      <c r="G601" s="502"/>
      <c r="H601" s="602"/>
      <c r="I601" s="602"/>
      <c r="J601" s="235"/>
      <c r="K601" s="509"/>
      <c r="L601" s="510"/>
      <c r="M601" s="510">
        <f t="shared" si="380"/>
        <v>0</v>
      </c>
      <c r="N601" s="510">
        <f t="shared" si="381"/>
        <v>0</v>
      </c>
      <c r="O601" s="510">
        <f t="shared" si="382"/>
        <v>0</v>
      </c>
      <c r="P601" s="510">
        <f t="shared" si="383"/>
        <v>0</v>
      </c>
      <c r="Q601" s="510">
        <f t="shared" si="384"/>
        <v>0</v>
      </c>
      <c r="R601" s="510">
        <f t="shared" si="385"/>
        <v>0</v>
      </c>
    </row>
    <row r="602" spans="1:18">
      <c r="A602" s="505"/>
      <c r="B602" s="607" t="s">
        <v>1170</v>
      </c>
      <c r="C602" s="507">
        <v>8</v>
      </c>
      <c r="D602" s="508">
        <v>200</v>
      </c>
      <c r="E602" s="507">
        <v>1</v>
      </c>
      <c r="F602" s="502">
        <v>1</v>
      </c>
      <c r="G602" s="502">
        <f>+ROUND(2.85/(D602/1000)+1,0)</f>
        <v>15</v>
      </c>
      <c r="H602" s="602"/>
      <c r="I602" s="602">
        <f>0.175+2.335+0.175</f>
        <v>2.6849999999999996</v>
      </c>
      <c r="J602" s="235"/>
      <c r="K602" s="509"/>
      <c r="L602" s="510">
        <f t="shared" ref="L602" si="390">SUM(H602:J602)+K602</f>
        <v>2.6849999999999996</v>
      </c>
      <c r="M602" s="510">
        <f t="shared" si="380"/>
        <v>40.28</v>
      </c>
      <c r="N602" s="510">
        <f t="shared" si="381"/>
        <v>0</v>
      </c>
      <c r="O602" s="510">
        <f t="shared" si="382"/>
        <v>0</v>
      </c>
      <c r="P602" s="510">
        <f t="shared" si="383"/>
        <v>0</v>
      </c>
      <c r="Q602" s="510">
        <f t="shared" si="384"/>
        <v>0</v>
      </c>
      <c r="R602" s="510">
        <f t="shared" si="385"/>
        <v>0</v>
      </c>
    </row>
    <row r="603" spans="1:18">
      <c r="A603" s="505"/>
      <c r="B603" s="607" t="s">
        <v>1155</v>
      </c>
      <c r="C603" s="507">
        <v>8</v>
      </c>
      <c r="D603" s="508">
        <v>200</v>
      </c>
      <c r="E603" s="507">
        <v>1</v>
      </c>
      <c r="F603" s="502">
        <v>1</v>
      </c>
      <c r="G603" s="502">
        <f>+ROUND(2.335/(D603/1000)+1,0)</f>
        <v>13</v>
      </c>
      <c r="H603" s="602"/>
      <c r="I603" s="602">
        <f>0.175+2.85+0.175</f>
        <v>3.1999999999999997</v>
      </c>
      <c r="J603" s="235"/>
      <c r="K603" s="589"/>
      <c r="L603" s="510">
        <f t="shared" ref="L603:L612" si="391">SUM(H603:J603)+K603</f>
        <v>3.1999999999999997</v>
      </c>
      <c r="M603" s="510">
        <f t="shared" si="380"/>
        <v>41.6</v>
      </c>
      <c r="N603" s="510">
        <f t="shared" si="381"/>
        <v>0</v>
      </c>
      <c r="O603" s="510">
        <f t="shared" si="382"/>
        <v>0</v>
      </c>
      <c r="P603" s="510">
        <f t="shared" si="383"/>
        <v>0</v>
      </c>
      <c r="Q603" s="510">
        <f t="shared" si="384"/>
        <v>0</v>
      </c>
      <c r="R603" s="510">
        <f t="shared" si="385"/>
        <v>0</v>
      </c>
    </row>
    <row r="604" spans="1:18">
      <c r="A604" s="505"/>
      <c r="B604" s="607" t="s">
        <v>1156</v>
      </c>
      <c r="C604" s="507">
        <v>8</v>
      </c>
      <c r="D604" s="508">
        <v>200</v>
      </c>
      <c r="E604" s="507">
        <v>1</v>
      </c>
      <c r="F604" s="502">
        <v>1</v>
      </c>
      <c r="G604" s="502">
        <v>12</v>
      </c>
      <c r="H604" s="602">
        <v>0.1</v>
      </c>
      <c r="I604" s="602">
        <f>0.45+0.175</f>
        <v>0.625</v>
      </c>
      <c r="J604" s="235"/>
      <c r="K604" s="509"/>
      <c r="L604" s="510">
        <f t="shared" si="391"/>
        <v>0.72499999999999998</v>
      </c>
      <c r="M604" s="510">
        <f t="shared" si="380"/>
        <v>8.6999999999999993</v>
      </c>
      <c r="N604" s="510">
        <f t="shared" si="381"/>
        <v>0</v>
      </c>
      <c r="O604" s="510">
        <f t="shared" si="382"/>
        <v>0</v>
      </c>
      <c r="P604" s="510">
        <f t="shared" si="383"/>
        <v>0</v>
      </c>
      <c r="Q604" s="510">
        <f t="shared" si="384"/>
        <v>0</v>
      </c>
      <c r="R604" s="510">
        <f t="shared" si="385"/>
        <v>0</v>
      </c>
    </row>
    <row r="605" spans="1:18">
      <c r="A605" s="505"/>
      <c r="B605" s="607" t="s">
        <v>1156</v>
      </c>
      <c r="C605" s="507">
        <v>8</v>
      </c>
      <c r="D605" s="508">
        <v>200</v>
      </c>
      <c r="E605" s="507">
        <v>1</v>
      </c>
      <c r="F605" s="502">
        <v>1</v>
      </c>
      <c r="G605" s="502">
        <f>+ROUND(2.85/(D605/1000)+1,0)</f>
        <v>15</v>
      </c>
      <c r="H605" s="602">
        <v>0.1</v>
      </c>
      <c r="I605" s="602">
        <f>0.45+0.175</f>
        <v>0.625</v>
      </c>
      <c r="J605" s="235"/>
      <c r="K605" s="509"/>
      <c r="L605" s="510">
        <f t="shared" si="391"/>
        <v>0.72499999999999998</v>
      </c>
      <c r="M605" s="510">
        <f t="shared" si="380"/>
        <v>10.88</v>
      </c>
      <c r="N605" s="510">
        <f t="shared" si="381"/>
        <v>0</v>
      </c>
      <c r="O605" s="510">
        <f t="shared" si="382"/>
        <v>0</v>
      </c>
      <c r="P605" s="510">
        <f t="shared" si="383"/>
        <v>0</v>
      </c>
      <c r="Q605" s="510">
        <f t="shared" si="384"/>
        <v>0</v>
      </c>
      <c r="R605" s="510">
        <f t="shared" si="385"/>
        <v>0</v>
      </c>
    </row>
    <row r="606" spans="1:18">
      <c r="A606" s="505"/>
      <c r="B606" s="607" t="s">
        <v>1168</v>
      </c>
      <c r="C606" s="507">
        <v>8</v>
      </c>
      <c r="D606" s="508">
        <v>150</v>
      </c>
      <c r="E606" s="507">
        <v>1</v>
      </c>
      <c r="F606" s="502">
        <v>1</v>
      </c>
      <c r="G606" s="502">
        <v>9</v>
      </c>
      <c r="H606" s="602"/>
      <c r="I606" s="602">
        <f>0.1+0.8</f>
        <v>0.9</v>
      </c>
      <c r="J606" s="235"/>
      <c r="K606" s="509"/>
      <c r="L606" s="510">
        <f t="shared" si="391"/>
        <v>0.9</v>
      </c>
      <c r="M606" s="510">
        <f t="shared" si="380"/>
        <v>8.1</v>
      </c>
      <c r="N606" s="510">
        <f t="shared" si="381"/>
        <v>0</v>
      </c>
      <c r="O606" s="510">
        <f t="shared" si="382"/>
        <v>0</v>
      </c>
      <c r="P606" s="510">
        <f t="shared" si="383"/>
        <v>0</v>
      </c>
      <c r="Q606" s="510">
        <f t="shared" si="384"/>
        <v>0</v>
      </c>
      <c r="R606" s="510">
        <f t="shared" si="385"/>
        <v>0</v>
      </c>
    </row>
    <row r="607" spans="1:18">
      <c r="A607" s="505"/>
      <c r="B607" s="607" t="s">
        <v>1168</v>
      </c>
      <c r="C607" s="507">
        <v>8</v>
      </c>
      <c r="D607" s="508">
        <v>150</v>
      </c>
      <c r="E607" s="507">
        <v>1</v>
      </c>
      <c r="F607" s="502">
        <v>1</v>
      </c>
      <c r="G607" s="502">
        <v>9</v>
      </c>
      <c r="H607" s="602"/>
      <c r="I607" s="602">
        <f>0.1+0.4</f>
        <v>0.5</v>
      </c>
      <c r="J607" s="235"/>
      <c r="K607" s="509"/>
      <c r="L607" s="510">
        <f t="shared" si="391"/>
        <v>0.5</v>
      </c>
      <c r="M607" s="510">
        <f t="shared" si="380"/>
        <v>4.5</v>
      </c>
      <c r="N607" s="510">
        <f t="shared" si="381"/>
        <v>0</v>
      </c>
      <c r="O607" s="510">
        <f t="shared" si="382"/>
        <v>0</v>
      </c>
      <c r="P607" s="510">
        <f t="shared" si="383"/>
        <v>0</v>
      </c>
      <c r="Q607" s="510">
        <f t="shared" si="384"/>
        <v>0</v>
      </c>
      <c r="R607" s="510">
        <f t="shared" si="385"/>
        <v>0</v>
      </c>
    </row>
    <row r="608" spans="1:18">
      <c r="A608" s="505"/>
      <c r="B608" s="607" t="s">
        <v>1168</v>
      </c>
      <c r="C608" s="507">
        <v>8</v>
      </c>
      <c r="D608" s="508">
        <v>150</v>
      </c>
      <c r="E608" s="507">
        <v>1</v>
      </c>
      <c r="F608" s="502">
        <v>1</v>
      </c>
      <c r="G608" s="502">
        <f>+ROUND(1.035/(D608/1000)+1,0)/2</f>
        <v>4</v>
      </c>
      <c r="H608" s="602"/>
      <c r="I608" s="602">
        <f>0.1+0.9</f>
        <v>1</v>
      </c>
      <c r="J608" s="235"/>
      <c r="K608" s="509"/>
      <c r="L608" s="510">
        <f t="shared" si="391"/>
        <v>1</v>
      </c>
      <c r="M608" s="510">
        <f t="shared" si="380"/>
        <v>4</v>
      </c>
      <c r="N608" s="510">
        <f t="shared" si="381"/>
        <v>0</v>
      </c>
      <c r="O608" s="510">
        <f t="shared" si="382"/>
        <v>0</v>
      </c>
      <c r="P608" s="510">
        <f t="shared" si="383"/>
        <v>0</v>
      </c>
      <c r="Q608" s="510">
        <f t="shared" si="384"/>
        <v>0</v>
      </c>
      <c r="R608" s="510">
        <f t="shared" si="385"/>
        <v>0</v>
      </c>
    </row>
    <row r="609" spans="1:18">
      <c r="A609" s="505"/>
      <c r="B609" s="607" t="s">
        <v>1159</v>
      </c>
      <c r="C609" s="507">
        <v>8</v>
      </c>
      <c r="D609" s="508">
        <v>200</v>
      </c>
      <c r="E609" s="507">
        <v>1</v>
      </c>
      <c r="F609" s="502">
        <v>1</v>
      </c>
      <c r="G609" s="502">
        <f>+ROUND(0.45/(D609/1000)+1,0)/2</f>
        <v>1.5</v>
      </c>
      <c r="H609" s="602">
        <v>0.2</v>
      </c>
      <c r="I609" s="602">
        <v>2.335</v>
      </c>
      <c r="J609" s="235"/>
      <c r="K609" s="509"/>
      <c r="L609" s="510">
        <f t="shared" si="391"/>
        <v>2.5350000000000001</v>
      </c>
      <c r="M609" s="510">
        <f t="shared" si="380"/>
        <v>3.8</v>
      </c>
      <c r="N609" s="510">
        <f t="shared" si="381"/>
        <v>0</v>
      </c>
      <c r="O609" s="510">
        <f t="shared" si="382"/>
        <v>0</v>
      </c>
      <c r="P609" s="510">
        <f t="shared" si="383"/>
        <v>0</v>
      </c>
      <c r="Q609" s="510">
        <f t="shared" si="384"/>
        <v>0</v>
      </c>
      <c r="R609" s="510">
        <f t="shared" si="385"/>
        <v>0</v>
      </c>
    </row>
    <row r="610" spans="1:18">
      <c r="A610" s="505"/>
      <c r="B610" s="607" t="s">
        <v>1159</v>
      </c>
      <c r="C610" s="507">
        <v>8</v>
      </c>
      <c r="D610" s="508">
        <v>200</v>
      </c>
      <c r="E610" s="507">
        <v>1</v>
      </c>
      <c r="F610" s="502">
        <v>1</v>
      </c>
      <c r="G610" s="502">
        <f>+ROUND(0.9/(D610/1000)+1,0)/2</f>
        <v>3</v>
      </c>
      <c r="H610" s="602">
        <v>0.2</v>
      </c>
      <c r="I610" s="602">
        <v>2.335</v>
      </c>
      <c r="J610" s="235"/>
      <c r="K610" s="509"/>
      <c r="L610" s="510">
        <f t="shared" si="391"/>
        <v>2.5350000000000001</v>
      </c>
      <c r="M610" s="510">
        <f t="shared" si="380"/>
        <v>7.61</v>
      </c>
      <c r="N610" s="510">
        <f t="shared" si="381"/>
        <v>0</v>
      </c>
      <c r="O610" s="510">
        <f t="shared" si="382"/>
        <v>0</v>
      </c>
      <c r="P610" s="510">
        <f t="shared" si="383"/>
        <v>0</v>
      </c>
      <c r="Q610" s="510">
        <f t="shared" si="384"/>
        <v>0</v>
      </c>
      <c r="R610" s="510">
        <f t="shared" si="385"/>
        <v>0</v>
      </c>
    </row>
    <row r="611" spans="1:18">
      <c r="A611" s="505"/>
      <c r="B611" s="607" t="s">
        <v>1159</v>
      </c>
      <c r="C611" s="507">
        <v>8</v>
      </c>
      <c r="D611" s="508">
        <v>200</v>
      </c>
      <c r="E611" s="507">
        <v>1</v>
      </c>
      <c r="F611" s="502">
        <v>1</v>
      </c>
      <c r="G611" s="502">
        <f>+ROUND(0.45/(D611/1000)+1,0)/2</f>
        <v>1.5</v>
      </c>
      <c r="H611" s="602">
        <v>0.2</v>
      </c>
      <c r="I611" s="602">
        <v>2.85</v>
      </c>
      <c r="J611" s="235"/>
      <c r="K611" s="509"/>
      <c r="L611" s="510">
        <f t="shared" si="391"/>
        <v>3.0500000000000003</v>
      </c>
      <c r="M611" s="510">
        <f t="shared" si="380"/>
        <v>4.58</v>
      </c>
      <c r="N611" s="510">
        <f t="shared" si="381"/>
        <v>0</v>
      </c>
      <c r="O611" s="510">
        <f t="shared" si="382"/>
        <v>0</v>
      </c>
      <c r="P611" s="510">
        <f t="shared" si="383"/>
        <v>0</v>
      </c>
      <c r="Q611" s="510">
        <f t="shared" si="384"/>
        <v>0</v>
      </c>
      <c r="R611" s="510">
        <f t="shared" si="385"/>
        <v>0</v>
      </c>
    </row>
    <row r="612" spans="1:18">
      <c r="A612" s="505"/>
      <c r="B612" s="607" t="s">
        <v>1159</v>
      </c>
      <c r="C612" s="507">
        <v>8</v>
      </c>
      <c r="D612" s="508">
        <v>200</v>
      </c>
      <c r="E612" s="507">
        <v>1</v>
      </c>
      <c r="F612" s="502">
        <v>1</v>
      </c>
      <c r="G612" s="502">
        <f>+ROUND(0.8/(D612/1000)+1,0)/2</f>
        <v>2.5</v>
      </c>
      <c r="H612" s="602">
        <v>0.2</v>
      </c>
      <c r="I612" s="602">
        <v>2.85</v>
      </c>
      <c r="J612" s="235"/>
      <c r="K612" s="509"/>
      <c r="L612" s="510">
        <f t="shared" si="391"/>
        <v>3.0500000000000003</v>
      </c>
      <c r="M612" s="510">
        <f t="shared" si="380"/>
        <v>7.63</v>
      </c>
      <c r="N612" s="510">
        <f t="shared" si="381"/>
        <v>0</v>
      </c>
      <c r="O612" s="510">
        <f t="shared" si="382"/>
        <v>0</v>
      </c>
      <c r="P612" s="510">
        <f t="shared" si="383"/>
        <v>0</v>
      </c>
      <c r="Q612" s="510">
        <f t="shared" si="384"/>
        <v>0</v>
      </c>
      <c r="R612" s="510">
        <f t="shared" si="385"/>
        <v>0</v>
      </c>
    </row>
    <row r="613" spans="1:18">
      <c r="A613" s="505"/>
      <c r="B613" s="511"/>
      <c r="C613" s="507"/>
      <c r="D613" s="508"/>
      <c r="E613" s="507"/>
      <c r="F613" s="502"/>
      <c r="G613" s="502"/>
      <c r="H613" s="602"/>
      <c r="I613" s="602"/>
      <c r="J613" s="235"/>
      <c r="K613" s="509"/>
      <c r="L613" s="510"/>
      <c r="M613" s="510"/>
      <c r="N613" s="510"/>
      <c r="O613" s="510"/>
      <c r="P613" s="510"/>
      <c r="Q613" s="510"/>
      <c r="R613" s="510"/>
    </row>
    <row r="614" spans="1:18">
      <c r="A614" s="505"/>
      <c r="B614" s="506" t="s">
        <v>1171</v>
      </c>
      <c r="C614" s="507"/>
      <c r="D614" s="508"/>
      <c r="E614" s="507"/>
      <c r="F614" s="502"/>
      <c r="G614" s="502"/>
      <c r="H614" s="602"/>
      <c r="I614" s="602"/>
      <c r="J614" s="235"/>
      <c r="K614" s="509"/>
      <c r="L614" s="510"/>
      <c r="M614" s="510">
        <f t="shared" si="380"/>
        <v>0</v>
      </c>
      <c r="N614" s="510">
        <f t="shared" si="381"/>
        <v>0</v>
      </c>
      <c r="O614" s="510">
        <f t="shared" si="382"/>
        <v>0</v>
      </c>
      <c r="P614" s="510">
        <f t="shared" si="383"/>
        <v>0</v>
      </c>
      <c r="Q614" s="510">
        <f t="shared" si="384"/>
        <v>0</v>
      </c>
      <c r="R614" s="510">
        <f t="shared" si="385"/>
        <v>0</v>
      </c>
    </row>
    <row r="615" spans="1:18">
      <c r="A615" s="505"/>
      <c r="B615" s="607" t="s">
        <v>1170</v>
      </c>
      <c r="C615" s="507">
        <v>8</v>
      </c>
      <c r="D615" s="508">
        <v>200</v>
      </c>
      <c r="E615" s="507">
        <v>1</v>
      </c>
      <c r="F615" s="502">
        <v>1</v>
      </c>
      <c r="G615" s="502">
        <f>+ROUND(1.5/(D615/1000)+1,0)</f>
        <v>9</v>
      </c>
      <c r="H615" s="602"/>
      <c r="I615" s="602">
        <f>0.175+1.035+0.175</f>
        <v>1.385</v>
      </c>
      <c r="J615" s="235"/>
      <c r="K615" s="509"/>
      <c r="L615" s="510">
        <f t="shared" ref="L615" si="392">SUM(H615:J615)+K615</f>
        <v>1.385</v>
      </c>
      <c r="M615" s="510">
        <f t="shared" si="380"/>
        <v>12.47</v>
      </c>
      <c r="N615" s="510">
        <f t="shared" si="381"/>
        <v>0</v>
      </c>
      <c r="O615" s="510">
        <f t="shared" si="382"/>
        <v>0</v>
      </c>
      <c r="P615" s="510">
        <f t="shared" si="383"/>
        <v>0</v>
      </c>
      <c r="Q615" s="510">
        <f t="shared" si="384"/>
        <v>0</v>
      </c>
      <c r="R615" s="510">
        <f t="shared" si="385"/>
        <v>0</v>
      </c>
    </row>
    <row r="616" spans="1:18">
      <c r="A616" s="505"/>
      <c r="B616" s="607" t="s">
        <v>1155</v>
      </c>
      <c r="C616" s="507">
        <v>8</v>
      </c>
      <c r="D616" s="508">
        <v>200</v>
      </c>
      <c r="E616" s="507">
        <v>1</v>
      </c>
      <c r="F616" s="502">
        <v>1</v>
      </c>
      <c r="G616" s="502">
        <f>+ROUND(1.035/(D616/1000)+1,0)</f>
        <v>6</v>
      </c>
      <c r="H616" s="602"/>
      <c r="I616" s="602">
        <f>0.175+1.5+0.175</f>
        <v>1.85</v>
      </c>
      <c r="J616" s="235"/>
      <c r="K616" s="589"/>
      <c r="L616" s="510">
        <f>SUM(H616:J616)+K616</f>
        <v>1.85</v>
      </c>
      <c r="M616" s="510">
        <f t="shared" si="380"/>
        <v>11.1</v>
      </c>
      <c r="N616" s="510">
        <f t="shared" si="381"/>
        <v>0</v>
      </c>
      <c r="O616" s="510">
        <f t="shared" si="382"/>
        <v>0</v>
      </c>
      <c r="P616" s="510">
        <f t="shared" si="383"/>
        <v>0</v>
      </c>
      <c r="Q616" s="510">
        <f t="shared" si="384"/>
        <v>0</v>
      </c>
      <c r="R616" s="510">
        <f t="shared" si="385"/>
        <v>0</v>
      </c>
    </row>
    <row r="617" spans="1:18">
      <c r="A617" s="505"/>
      <c r="B617" s="607" t="s">
        <v>1168</v>
      </c>
      <c r="C617" s="507">
        <v>8</v>
      </c>
      <c r="D617" s="508">
        <v>150</v>
      </c>
      <c r="E617" s="507">
        <v>1</v>
      </c>
      <c r="F617" s="502">
        <v>1</v>
      </c>
      <c r="G617" s="502">
        <v>10</v>
      </c>
      <c r="H617" s="602"/>
      <c r="I617" s="602">
        <v>1.23</v>
      </c>
      <c r="J617" s="235"/>
      <c r="K617" s="509"/>
      <c r="L617" s="510">
        <f>SUM(H617:J617)+K617</f>
        <v>1.23</v>
      </c>
      <c r="M617" s="510">
        <f t="shared" si="380"/>
        <v>12.3</v>
      </c>
      <c r="N617" s="510">
        <f t="shared" si="381"/>
        <v>0</v>
      </c>
      <c r="O617" s="510">
        <f t="shared" si="382"/>
        <v>0</v>
      </c>
      <c r="P617" s="510">
        <f t="shared" si="383"/>
        <v>0</v>
      </c>
      <c r="Q617" s="510">
        <f t="shared" si="384"/>
        <v>0</v>
      </c>
      <c r="R617" s="510">
        <f t="shared" si="385"/>
        <v>0</v>
      </c>
    </row>
    <row r="618" spans="1:18">
      <c r="A618" s="505"/>
      <c r="B618" s="607" t="s">
        <v>1168</v>
      </c>
      <c r="C618" s="507">
        <v>8</v>
      </c>
      <c r="D618" s="508">
        <v>150</v>
      </c>
      <c r="E618" s="507">
        <v>1</v>
      </c>
      <c r="F618" s="502">
        <v>1</v>
      </c>
      <c r="G618" s="502">
        <f>+ROUND(1.035/(D618/1000)+1,0)</f>
        <v>8</v>
      </c>
      <c r="H618" s="602"/>
      <c r="I618" s="602">
        <v>1.72</v>
      </c>
      <c r="J618" s="235"/>
      <c r="K618" s="509"/>
      <c r="L618" s="510">
        <f>SUM(H618:J618)+K618</f>
        <v>1.72</v>
      </c>
      <c r="M618" s="510">
        <f t="shared" si="380"/>
        <v>13.76</v>
      </c>
      <c r="N618" s="510">
        <f t="shared" si="381"/>
        <v>0</v>
      </c>
      <c r="O618" s="510">
        <f t="shared" si="382"/>
        <v>0</v>
      </c>
      <c r="P618" s="510">
        <f t="shared" si="383"/>
        <v>0</v>
      </c>
      <c r="Q618" s="510">
        <f t="shared" si="384"/>
        <v>0</v>
      </c>
      <c r="R618" s="510">
        <f t="shared" si="385"/>
        <v>0</v>
      </c>
    </row>
    <row r="619" spans="1:18">
      <c r="A619" s="505"/>
      <c r="B619" s="511"/>
      <c r="C619" s="507"/>
      <c r="D619" s="508"/>
      <c r="E619" s="507"/>
      <c r="F619" s="502"/>
      <c r="G619" s="502"/>
      <c r="H619" s="602"/>
      <c r="I619" s="602"/>
      <c r="J619" s="235"/>
      <c r="K619" s="589"/>
      <c r="L619" s="510"/>
      <c r="M619" s="510"/>
      <c r="N619" s="510"/>
      <c r="O619" s="510"/>
      <c r="P619" s="510"/>
      <c r="Q619" s="510"/>
      <c r="R619" s="510"/>
    </row>
    <row r="620" spans="1:18">
      <c r="A620" s="505"/>
      <c r="B620" s="506" t="s">
        <v>1172</v>
      </c>
      <c r="C620" s="507"/>
      <c r="D620" s="508"/>
      <c r="E620" s="507"/>
      <c r="F620" s="502"/>
      <c r="G620" s="502"/>
      <c r="H620" s="602"/>
      <c r="I620" s="602"/>
      <c r="J620" s="235"/>
      <c r="K620" s="509"/>
      <c r="L620" s="510">
        <f t="shared" ref="L620:L641" si="393">SUM(H620:J620)+K620</f>
        <v>0</v>
      </c>
      <c r="M620" s="510">
        <f t="shared" ref="M620:M1160" si="394">+ROUND(IF(C620=8,PRODUCT(E620,F620,G620,L620),0),2)</f>
        <v>0</v>
      </c>
      <c r="N620" s="510">
        <f t="shared" si="381"/>
        <v>0</v>
      </c>
      <c r="O620" s="510">
        <f t="shared" si="382"/>
        <v>0</v>
      </c>
      <c r="P620" s="510">
        <f t="shared" si="383"/>
        <v>0</v>
      </c>
      <c r="Q620" s="510">
        <f t="shared" si="384"/>
        <v>0</v>
      </c>
      <c r="R620" s="510">
        <f t="shared" si="385"/>
        <v>0</v>
      </c>
    </row>
    <row r="621" spans="1:18">
      <c r="A621" s="505"/>
      <c r="B621" s="607" t="s">
        <v>1173</v>
      </c>
      <c r="C621" s="507">
        <v>10</v>
      </c>
      <c r="D621" s="508">
        <v>150</v>
      </c>
      <c r="E621" s="507">
        <v>1</v>
      </c>
      <c r="F621" s="502">
        <v>1</v>
      </c>
      <c r="G621" s="502">
        <f>+ROUND(6.3/(D621/1000)+1,0)</f>
        <v>43</v>
      </c>
      <c r="H621" s="602">
        <v>0.25</v>
      </c>
      <c r="I621" s="602">
        <v>2.13</v>
      </c>
      <c r="J621" s="235">
        <v>0.4</v>
      </c>
      <c r="K621" s="509"/>
      <c r="L621" s="510">
        <f t="shared" si="393"/>
        <v>2.78</v>
      </c>
      <c r="M621" s="510">
        <f t="shared" si="394"/>
        <v>0</v>
      </c>
      <c r="N621" s="510">
        <f t="shared" si="381"/>
        <v>119.54</v>
      </c>
      <c r="O621" s="510">
        <f t="shared" si="382"/>
        <v>0</v>
      </c>
      <c r="P621" s="510">
        <f t="shared" si="383"/>
        <v>0</v>
      </c>
      <c r="Q621" s="510">
        <f t="shared" si="384"/>
        <v>0</v>
      </c>
      <c r="R621" s="510">
        <f t="shared" si="385"/>
        <v>0</v>
      </c>
    </row>
    <row r="622" spans="1:18">
      <c r="A622" s="505"/>
      <c r="B622" s="607" t="s">
        <v>1155</v>
      </c>
      <c r="C622" s="507">
        <v>8</v>
      </c>
      <c r="D622" s="508">
        <v>200</v>
      </c>
      <c r="E622" s="507">
        <v>1</v>
      </c>
      <c r="F622" s="502">
        <v>1</v>
      </c>
      <c r="G622" s="502">
        <f>+ROUND(2/(D622/1000)+1,0)</f>
        <v>11</v>
      </c>
      <c r="H622" s="602">
        <v>0.1</v>
      </c>
      <c r="I622" s="602">
        <f>6.3-0.05</f>
        <v>6.25</v>
      </c>
      <c r="J622" s="235">
        <v>0.1</v>
      </c>
      <c r="K622" s="509"/>
      <c r="L622" s="510">
        <f t="shared" ref="L622" si="395">SUM(H622:J622)+K622</f>
        <v>6.4499999999999993</v>
      </c>
      <c r="M622" s="510">
        <f t="shared" si="394"/>
        <v>70.95</v>
      </c>
      <c r="N622" s="510">
        <f t="shared" si="381"/>
        <v>0</v>
      </c>
      <c r="O622" s="510">
        <f t="shared" si="382"/>
        <v>0</v>
      </c>
      <c r="P622" s="510">
        <f t="shared" si="383"/>
        <v>0</v>
      </c>
      <c r="Q622" s="510">
        <f t="shared" si="384"/>
        <v>0</v>
      </c>
      <c r="R622" s="510">
        <f t="shared" si="385"/>
        <v>0</v>
      </c>
    </row>
    <row r="623" spans="1:18">
      <c r="A623" s="505"/>
      <c r="B623" s="607" t="s">
        <v>1174</v>
      </c>
      <c r="C623" s="507">
        <v>12</v>
      </c>
      <c r="D623" s="508">
        <v>100</v>
      </c>
      <c r="E623" s="507">
        <v>1</v>
      </c>
      <c r="F623" s="502">
        <v>1</v>
      </c>
      <c r="G623" s="502">
        <f>+ROUND(6.3/(D623/1000)+1,0)/2</f>
        <v>32</v>
      </c>
      <c r="H623" s="602"/>
      <c r="I623" s="602">
        <f>2+2.5-0.025</f>
        <v>4.4749999999999996</v>
      </c>
      <c r="J623" s="235">
        <v>0.1</v>
      </c>
      <c r="K623" s="509"/>
      <c r="L623" s="510">
        <f t="shared" si="393"/>
        <v>4.5749999999999993</v>
      </c>
      <c r="M623" s="510">
        <f t="shared" si="394"/>
        <v>0</v>
      </c>
      <c r="N623" s="510">
        <f t="shared" si="381"/>
        <v>0</v>
      </c>
      <c r="O623" s="510">
        <f t="shared" si="382"/>
        <v>146.4</v>
      </c>
      <c r="P623" s="510">
        <f t="shared" si="383"/>
        <v>0</v>
      </c>
      <c r="Q623" s="510">
        <f t="shared" si="384"/>
        <v>0</v>
      </c>
      <c r="R623" s="510">
        <f t="shared" si="385"/>
        <v>0</v>
      </c>
    </row>
    <row r="624" spans="1:18">
      <c r="A624" s="505"/>
      <c r="B624" s="607" t="s">
        <v>1174</v>
      </c>
      <c r="C624" s="507">
        <v>10</v>
      </c>
      <c r="D624" s="508">
        <v>100</v>
      </c>
      <c r="E624" s="507">
        <v>1</v>
      </c>
      <c r="F624" s="502">
        <v>1</v>
      </c>
      <c r="G624" s="502">
        <f>+ROUND(6.3/(D624/1000)+1,0)/2</f>
        <v>32</v>
      </c>
      <c r="H624" s="602"/>
      <c r="I624" s="602">
        <f>1.35+0.2+2</f>
        <v>3.55</v>
      </c>
      <c r="J624" s="235"/>
      <c r="K624" s="509"/>
      <c r="L624" s="510">
        <f t="shared" si="393"/>
        <v>3.55</v>
      </c>
      <c r="M624" s="510">
        <f t="shared" si="394"/>
        <v>0</v>
      </c>
      <c r="N624" s="510">
        <f t="shared" si="381"/>
        <v>113.6</v>
      </c>
      <c r="O624" s="510">
        <f t="shared" si="382"/>
        <v>0</v>
      </c>
      <c r="P624" s="510">
        <f t="shared" si="383"/>
        <v>0</v>
      </c>
      <c r="Q624" s="510">
        <f t="shared" si="384"/>
        <v>0</v>
      </c>
      <c r="R624" s="510">
        <f t="shared" si="385"/>
        <v>0</v>
      </c>
    </row>
    <row r="625" spans="1:18">
      <c r="A625" s="505"/>
      <c r="B625" s="607" t="s">
        <v>1175</v>
      </c>
      <c r="C625" s="507">
        <v>8</v>
      </c>
      <c r="D625" s="508">
        <v>200</v>
      </c>
      <c r="E625" s="507">
        <v>1</v>
      </c>
      <c r="F625" s="502">
        <v>2</v>
      </c>
      <c r="G625" s="502">
        <f>+ROUND(2/(D625/1000)+1,0)</f>
        <v>11</v>
      </c>
      <c r="H625" s="602">
        <v>0.1</v>
      </c>
      <c r="I625" s="602">
        <f>6.3-0.05</f>
        <v>6.25</v>
      </c>
      <c r="J625" s="235">
        <v>0.1</v>
      </c>
      <c r="K625" s="509"/>
      <c r="L625" s="510">
        <f t="shared" si="393"/>
        <v>6.4499999999999993</v>
      </c>
      <c r="M625" s="510">
        <f t="shared" si="394"/>
        <v>141.9</v>
      </c>
      <c r="N625" s="510">
        <f t="shared" si="381"/>
        <v>0</v>
      </c>
      <c r="O625" s="510">
        <f t="shared" si="382"/>
        <v>0</v>
      </c>
      <c r="P625" s="510">
        <f t="shared" si="383"/>
        <v>0</v>
      </c>
      <c r="Q625" s="510">
        <f t="shared" si="384"/>
        <v>0</v>
      </c>
      <c r="R625" s="510">
        <f t="shared" si="385"/>
        <v>0</v>
      </c>
    </row>
    <row r="626" spans="1:18">
      <c r="A626" s="505"/>
      <c r="B626" s="511"/>
      <c r="C626" s="507"/>
      <c r="D626" s="508"/>
      <c r="E626" s="507"/>
      <c r="F626" s="502"/>
      <c r="G626" s="502"/>
      <c r="H626" s="602"/>
      <c r="I626" s="602"/>
      <c r="J626" s="235"/>
      <c r="K626" s="509"/>
      <c r="L626" s="510"/>
      <c r="M626" s="510"/>
      <c r="N626" s="510"/>
      <c r="O626" s="510"/>
      <c r="P626" s="510"/>
      <c r="Q626" s="510"/>
      <c r="R626" s="510"/>
    </row>
    <row r="627" spans="1:18">
      <c r="A627" s="505"/>
      <c r="B627" s="506" t="s">
        <v>1176</v>
      </c>
      <c r="C627" s="507"/>
      <c r="D627" s="508"/>
      <c r="E627" s="507"/>
      <c r="F627" s="502"/>
      <c r="G627" s="502"/>
      <c r="H627" s="602"/>
      <c r="I627" s="602"/>
      <c r="J627" s="235"/>
      <c r="K627" s="509"/>
      <c r="L627" s="510">
        <f t="shared" si="393"/>
        <v>0</v>
      </c>
      <c r="M627" s="510">
        <f t="shared" ref="M627:M632" si="396">+ROUND(IF(C627=8,PRODUCT(E627,F627,G627,L627),0),2)</f>
        <v>0</v>
      </c>
      <c r="N627" s="510">
        <f t="shared" ref="N627:N632" si="397">+ROUND(IF(C627=10,PRODUCT(E627,F627,G627,L627),0),2)</f>
        <v>0</v>
      </c>
      <c r="O627" s="510">
        <f t="shared" ref="O627:O632" si="398">+ROUND(IF(C627=12,PRODUCT(E627,F627,G627,L627),0),2)</f>
        <v>0</v>
      </c>
      <c r="P627" s="510">
        <f t="shared" ref="P627:P632" si="399">+ROUND(IF(C627=16,PRODUCT(E627,F627,G627,L627),0),2)</f>
        <v>0</v>
      </c>
      <c r="Q627" s="510">
        <f t="shared" ref="Q627:Q632" si="400">+ROUND(IF(C627=20,PRODUCT(E627,F627,G627,L627),0),2)</f>
        <v>0</v>
      </c>
      <c r="R627" s="510">
        <f t="shared" ref="R627:R632" si="401">+ROUND(IF(C627=25,PRODUCT(E627,F627,G627,L627),0),2)</f>
        <v>0</v>
      </c>
    </row>
    <row r="628" spans="1:18">
      <c r="A628" s="505"/>
      <c r="B628" s="607" t="s">
        <v>1173</v>
      </c>
      <c r="C628" s="507">
        <v>10</v>
      </c>
      <c r="D628" s="508">
        <v>150</v>
      </c>
      <c r="E628" s="507">
        <v>1</v>
      </c>
      <c r="F628" s="502">
        <v>1</v>
      </c>
      <c r="G628" s="502">
        <f>+ROUND(4.065/(D628/1000)+1,0)</f>
        <v>28</v>
      </c>
      <c r="H628" s="602">
        <v>0.25</v>
      </c>
      <c r="I628" s="602">
        <v>2.13</v>
      </c>
      <c r="J628" s="235">
        <v>0.4</v>
      </c>
      <c r="K628" s="509"/>
      <c r="L628" s="510">
        <f t="shared" ref="L628:L632" si="402">SUM(H628:J628)+K628</f>
        <v>2.78</v>
      </c>
      <c r="M628" s="510">
        <f t="shared" si="396"/>
        <v>0</v>
      </c>
      <c r="N628" s="510">
        <f t="shared" si="397"/>
        <v>77.84</v>
      </c>
      <c r="O628" s="510">
        <f t="shared" si="398"/>
        <v>0</v>
      </c>
      <c r="P628" s="510">
        <f t="shared" si="399"/>
        <v>0</v>
      </c>
      <c r="Q628" s="510">
        <f t="shared" si="400"/>
        <v>0</v>
      </c>
      <c r="R628" s="510">
        <f t="shared" si="401"/>
        <v>0</v>
      </c>
    </row>
    <row r="629" spans="1:18">
      <c r="A629" s="505"/>
      <c r="B629" s="607" t="s">
        <v>1155</v>
      </c>
      <c r="C629" s="507">
        <v>8</v>
      </c>
      <c r="D629" s="508">
        <v>200</v>
      </c>
      <c r="E629" s="507">
        <v>1</v>
      </c>
      <c r="F629" s="502">
        <v>1</v>
      </c>
      <c r="G629" s="502">
        <f>+ROUND(2/(D629/1000)+1,0)</f>
        <v>11</v>
      </c>
      <c r="H629" s="602"/>
      <c r="I629" s="602">
        <f>4.065-0.05</f>
        <v>4.0150000000000006</v>
      </c>
      <c r="J629" s="235">
        <v>0.1</v>
      </c>
      <c r="K629" s="509"/>
      <c r="L629" s="510">
        <f t="shared" si="402"/>
        <v>4.1150000000000002</v>
      </c>
      <c r="M629" s="510">
        <f t="shared" si="396"/>
        <v>45.27</v>
      </c>
      <c r="N629" s="510">
        <f t="shared" si="397"/>
        <v>0</v>
      </c>
      <c r="O629" s="510">
        <f t="shared" si="398"/>
        <v>0</v>
      </c>
      <c r="P629" s="510">
        <f t="shared" si="399"/>
        <v>0</v>
      </c>
      <c r="Q629" s="510">
        <f t="shared" si="400"/>
        <v>0</v>
      </c>
      <c r="R629" s="510">
        <f t="shared" si="401"/>
        <v>0</v>
      </c>
    </row>
    <row r="630" spans="1:18">
      <c r="A630" s="505"/>
      <c r="B630" s="607" t="s">
        <v>1174</v>
      </c>
      <c r="C630" s="507">
        <v>12</v>
      </c>
      <c r="D630" s="508">
        <v>100</v>
      </c>
      <c r="E630" s="507">
        <v>1</v>
      </c>
      <c r="F630" s="502">
        <v>1</v>
      </c>
      <c r="G630" s="502">
        <f>+ROUND(4.065/(D630/1000)+1,0)/2</f>
        <v>21</v>
      </c>
      <c r="H630" s="602"/>
      <c r="I630" s="602">
        <f>2+2.5-0.025</f>
        <v>4.4749999999999996</v>
      </c>
      <c r="J630" s="235">
        <v>0.1</v>
      </c>
      <c r="K630" s="509"/>
      <c r="L630" s="510">
        <f t="shared" si="402"/>
        <v>4.5749999999999993</v>
      </c>
      <c r="M630" s="510">
        <f t="shared" si="396"/>
        <v>0</v>
      </c>
      <c r="N630" s="510">
        <f t="shared" si="397"/>
        <v>0</v>
      </c>
      <c r="O630" s="510">
        <f t="shared" si="398"/>
        <v>96.08</v>
      </c>
      <c r="P630" s="510">
        <f t="shared" si="399"/>
        <v>0</v>
      </c>
      <c r="Q630" s="510">
        <f t="shared" si="400"/>
        <v>0</v>
      </c>
      <c r="R630" s="510">
        <f t="shared" si="401"/>
        <v>0</v>
      </c>
    </row>
    <row r="631" spans="1:18">
      <c r="A631" s="505"/>
      <c r="B631" s="607" t="s">
        <v>1174</v>
      </c>
      <c r="C631" s="507">
        <v>10</v>
      </c>
      <c r="D631" s="508">
        <v>100</v>
      </c>
      <c r="E631" s="507">
        <v>1</v>
      </c>
      <c r="F631" s="502">
        <v>1</v>
      </c>
      <c r="G631" s="502">
        <f>+ROUND(4.065/(D631/1000)+1,0)/2</f>
        <v>21</v>
      </c>
      <c r="H631" s="602"/>
      <c r="I631" s="602">
        <f>1.35+0.2+2</f>
        <v>3.55</v>
      </c>
      <c r="J631" s="235"/>
      <c r="K631" s="509"/>
      <c r="L631" s="510">
        <f t="shared" si="402"/>
        <v>3.55</v>
      </c>
      <c r="M631" s="510">
        <f t="shared" si="396"/>
        <v>0</v>
      </c>
      <c r="N631" s="510">
        <f t="shared" si="397"/>
        <v>74.55</v>
      </c>
      <c r="O631" s="510">
        <f t="shared" si="398"/>
        <v>0</v>
      </c>
      <c r="P631" s="510">
        <f t="shared" si="399"/>
        <v>0</v>
      </c>
      <c r="Q631" s="510">
        <f t="shared" si="400"/>
        <v>0</v>
      </c>
      <c r="R631" s="510">
        <f t="shared" si="401"/>
        <v>0</v>
      </c>
    </row>
    <row r="632" spans="1:18">
      <c r="A632" s="505"/>
      <c r="B632" s="607" t="s">
        <v>1175</v>
      </c>
      <c r="C632" s="507">
        <v>8</v>
      </c>
      <c r="D632" s="508">
        <v>200</v>
      </c>
      <c r="E632" s="507">
        <v>1</v>
      </c>
      <c r="F632" s="502">
        <v>2</v>
      </c>
      <c r="G632" s="502">
        <f>+ROUND(2/(D632/1000)+1,0)</f>
        <v>11</v>
      </c>
      <c r="H632" s="602">
        <v>0.1</v>
      </c>
      <c r="I632" s="602">
        <f>4.065-0.05</f>
        <v>4.0150000000000006</v>
      </c>
      <c r="J632" s="235">
        <v>0.1</v>
      </c>
      <c r="K632" s="509"/>
      <c r="L632" s="510">
        <f t="shared" si="402"/>
        <v>4.2149999999999999</v>
      </c>
      <c r="M632" s="510">
        <f t="shared" si="396"/>
        <v>92.73</v>
      </c>
      <c r="N632" s="510">
        <f t="shared" si="397"/>
        <v>0</v>
      </c>
      <c r="O632" s="510">
        <f t="shared" si="398"/>
        <v>0</v>
      </c>
      <c r="P632" s="510">
        <f t="shared" si="399"/>
        <v>0</v>
      </c>
      <c r="Q632" s="510">
        <f t="shared" si="400"/>
        <v>0</v>
      </c>
      <c r="R632" s="510">
        <f t="shared" si="401"/>
        <v>0</v>
      </c>
    </row>
    <row r="633" spans="1:18">
      <c r="A633" s="505"/>
      <c r="B633" s="607" t="s">
        <v>1241</v>
      </c>
      <c r="C633" s="507">
        <v>10</v>
      </c>
      <c r="D633" s="508">
        <v>150</v>
      </c>
      <c r="E633" s="507">
        <v>1</v>
      </c>
      <c r="F633" s="502">
        <v>1</v>
      </c>
      <c r="G633" s="502">
        <f>+ROUND(2/(D633/1000)+1,0)+3</f>
        <v>17</v>
      </c>
      <c r="H633" s="602">
        <v>0.1</v>
      </c>
      <c r="I633" s="602">
        <v>0.3</v>
      </c>
      <c r="J633" s="235">
        <v>0.49</v>
      </c>
      <c r="K633" s="509"/>
      <c r="L633" s="510">
        <f t="shared" ref="L633" si="403">SUM(H633:J633)+K633</f>
        <v>0.89</v>
      </c>
      <c r="M633" s="510">
        <f t="shared" ref="M633" si="404">+ROUND(IF(C633=8,PRODUCT(E633,F633,G633,L633),0),2)</f>
        <v>0</v>
      </c>
      <c r="N633" s="510">
        <f t="shared" ref="N633" si="405">+ROUND(IF(C633=10,PRODUCT(E633,F633,G633,L633),0),2)</f>
        <v>15.13</v>
      </c>
      <c r="O633" s="510">
        <f t="shared" ref="O633" si="406">+ROUND(IF(C633=12,PRODUCT(E633,F633,G633,L633),0),2)</f>
        <v>0</v>
      </c>
      <c r="P633" s="510">
        <f t="shared" ref="P633" si="407">+ROUND(IF(C633=16,PRODUCT(E633,F633,G633,L633),0),2)</f>
        <v>0</v>
      </c>
      <c r="Q633" s="510">
        <f t="shared" ref="Q633" si="408">+ROUND(IF(C633=20,PRODUCT(E633,F633,G633,L633),0),2)</f>
        <v>0</v>
      </c>
      <c r="R633" s="510">
        <f t="shared" ref="R633" si="409">+ROUND(IF(C633=25,PRODUCT(E633,F633,G633,L633),0),2)</f>
        <v>0</v>
      </c>
    </row>
    <row r="634" spans="1:18">
      <c r="A634" s="505"/>
      <c r="B634" s="511"/>
      <c r="C634" s="507"/>
      <c r="D634" s="508"/>
      <c r="E634" s="507"/>
      <c r="F634" s="502"/>
      <c r="G634" s="502"/>
      <c r="H634" s="602"/>
      <c r="I634" s="602"/>
      <c r="J634" s="235"/>
      <c r="K634" s="509"/>
      <c r="L634" s="510"/>
      <c r="M634" s="510"/>
      <c r="N634" s="510"/>
      <c r="O634" s="510"/>
      <c r="P634" s="510"/>
      <c r="Q634" s="510"/>
      <c r="R634" s="510"/>
    </row>
    <row r="635" spans="1:18">
      <c r="A635" s="505"/>
      <c r="B635" s="506" t="s">
        <v>1177</v>
      </c>
      <c r="C635" s="507"/>
      <c r="D635" s="508"/>
      <c r="E635" s="507"/>
      <c r="F635" s="502"/>
      <c r="G635" s="502"/>
      <c r="H635" s="602"/>
      <c r="I635" s="602"/>
      <c r="J635" s="235"/>
      <c r="K635" s="509"/>
      <c r="L635" s="510">
        <f t="shared" si="393"/>
        <v>0</v>
      </c>
      <c r="M635" s="510">
        <f t="shared" ref="M635:M643" si="410">+ROUND(IF(C635=8,PRODUCT(E635,F635,G635,L635),0),2)</f>
        <v>0</v>
      </c>
      <c r="N635" s="510">
        <f t="shared" ref="N635:N643" si="411">+ROUND(IF(C635=10,PRODUCT(E635,F635,G635,L635),0),2)</f>
        <v>0</v>
      </c>
      <c r="O635" s="510">
        <f t="shared" ref="O635:O643" si="412">+ROUND(IF(C635=12,PRODUCT(E635,F635,G635,L635),0),2)</f>
        <v>0</v>
      </c>
      <c r="P635" s="510">
        <f t="shared" ref="P635:P643" si="413">+ROUND(IF(C635=16,PRODUCT(E635,F635,G635,L635),0),2)</f>
        <v>0</v>
      </c>
      <c r="Q635" s="510">
        <f t="shared" ref="Q635:Q643" si="414">+ROUND(IF(C635=20,PRODUCT(E635,F635,G635,L635),0),2)</f>
        <v>0</v>
      </c>
      <c r="R635" s="510">
        <f t="shared" ref="R635:R643" si="415">+ROUND(IF(C635=25,PRODUCT(E635,F635,G635,L635),0),2)</f>
        <v>0</v>
      </c>
    </row>
    <row r="636" spans="1:18">
      <c r="A636" s="505"/>
      <c r="B636" s="607" t="s">
        <v>1173</v>
      </c>
      <c r="C636" s="507">
        <v>10</v>
      </c>
      <c r="D636" s="508">
        <v>150</v>
      </c>
      <c r="E636" s="507">
        <v>1</v>
      </c>
      <c r="F636" s="502">
        <v>1</v>
      </c>
      <c r="G636" s="502">
        <v>3</v>
      </c>
      <c r="H636" s="602"/>
      <c r="I636" s="602">
        <v>1.5</v>
      </c>
      <c r="J636" s="235"/>
      <c r="K636" s="509"/>
      <c r="L636" s="510">
        <f t="shared" si="393"/>
        <v>1.5</v>
      </c>
      <c r="M636" s="510">
        <f t="shared" si="410"/>
        <v>0</v>
      </c>
      <c r="N636" s="510">
        <f t="shared" si="411"/>
        <v>4.5</v>
      </c>
      <c r="O636" s="510">
        <f t="shared" si="412"/>
        <v>0</v>
      </c>
      <c r="P636" s="510">
        <f t="shared" si="413"/>
        <v>0</v>
      </c>
      <c r="Q636" s="510">
        <f t="shared" si="414"/>
        <v>0</v>
      </c>
      <c r="R636" s="510">
        <f t="shared" si="415"/>
        <v>0</v>
      </c>
    </row>
    <row r="637" spans="1:18">
      <c r="A637" s="505"/>
      <c r="B637" s="607" t="s">
        <v>1173</v>
      </c>
      <c r="C637" s="507">
        <v>10</v>
      </c>
      <c r="D637" s="508">
        <v>150</v>
      </c>
      <c r="E637" s="507">
        <v>1</v>
      </c>
      <c r="F637" s="502">
        <v>1</v>
      </c>
      <c r="G637" s="502">
        <v>9</v>
      </c>
      <c r="H637" s="602">
        <v>0.05</v>
      </c>
      <c r="I637" s="602">
        <v>2.1</v>
      </c>
      <c r="J637" s="235">
        <v>0.4</v>
      </c>
      <c r="K637" s="509"/>
      <c r="L637" s="510">
        <f t="shared" ref="L637" si="416">SUM(H637:J637)+K637</f>
        <v>2.5499999999999998</v>
      </c>
      <c r="M637" s="510">
        <f t="shared" si="410"/>
        <v>0</v>
      </c>
      <c r="N637" s="510">
        <f t="shared" si="411"/>
        <v>22.95</v>
      </c>
      <c r="O637" s="510">
        <f t="shared" si="412"/>
        <v>0</v>
      </c>
      <c r="P637" s="510">
        <f t="shared" si="413"/>
        <v>0</v>
      </c>
      <c r="Q637" s="510">
        <f t="shared" si="414"/>
        <v>0</v>
      </c>
      <c r="R637" s="510">
        <f t="shared" si="415"/>
        <v>0</v>
      </c>
    </row>
    <row r="638" spans="1:18">
      <c r="A638" s="505"/>
      <c r="B638" s="607" t="s">
        <v>1155</v>
      </c>
      <c r="C638" s="507">
        <v>8</v>
      </c>
      <c r="D638" s="508">
        <v>200</v>
      </c>
      <c r="E638" s="507">
        <v>1</v>
      </c>
      <c r="F638" s="502">
        <v>1</v>
      </c>
      <c r="G638" s="502">
        <v>6</v>
      </c>
      <c r="H638" s="602"/>
      <c r="I638" s="602">
        <f>1.845-0.05</f>
        <v>1.7949999999999999</v>
      </c>
      <c r="J638" s="235">
        <v>0.1</v>
      </c>
      <c r="K638" s="509"/>
      <c r="L638" s="510">
        <f t="shared" si="393"/>
        <v>1.895</v>
      </c>
      <c r="M638" s="510">
        <f t="shared" si="410"/>
        <v>11.37</v>
      </c>
      <c r="N638" s="510">
        <f t="shared" si="411"/>
        <v>0</v>
      </c>
      <c r="O638" s="510">
        <f t="shared" si="412"/>
        <v>0</v>
      </c>
      <c r="P638" s="510">
        <f t="shared" si="413"/>
        <v>0</v>
      </c>
      <c r="Q638" s="510">
        <f t="shared" si="414"/>
        <v>0</v>
      </c>
      <c r="R638" s="510">
        <f t="shared" si="415"/>
        <v>0</v>
      </c>
    </row>
    <row r="639" spans="1:18">
      <c r="A639" s="505"/>
      <c r="B639" s="607" t="s">
        <v>1174</v>
      </c>
      <c r="C639" s="507">
        <v>12</v>
      </c>
      <c r="D639" s="508">
        <v>100</v>
      </c>
      <c r="E639" s="507">
        <v>1</v>
      </c>
      <c r="F639" s="502">
        <v>1</v>
      </c>
      <c r="G639" s="502">
        <v>7</v>
      </c>
      <c r="H639" s="602"/>
      <c r="I639" s="602">
        <v>4.6749999999999998</v>
      </c>
      <c r="J639" s="235">
        <v>0.1</v>
      </c>
      <c r="K639" s="509"/>
      <c r="L639" s="510">
        <f t="shared" si="393"/>
        <v>4.7749999999999995</v>
      </c>
      <c r="M639" s="510">
        <f t="shared" si="410"/>
        <v>0</v>
      </c>
      <c r="N639" s="510">
        <f t="shared" si="411"/>
        <v>0</v>
      </c>
      <c r="O639" s="510">
        <f t="shared" si="412"/>
        <v>33.43</v>
      </c>
      <c r="P639" s="510">
        <f t="shared" si="413"/>
        <v>0</v>
      </c>
      <c r="Q639" s="510">
        <f t="shared" si="414"/>
        <v>0</v>
      </c>
      <c r="R639" s="510">
        <f t="shared" si="415"/>
        <v>0</v>
      </c>
    </row>
    <row r="640" spans="1:18">
      <c r="A640" s="505"/>
      <c r="B640" s="607" t="s">
        <v>1174</v>
      </c>
      <c r="C640" s="507">
        <v>10</v>
      </c>
      <c r="D640" s="508">
        <v>100</v>
      </c>
      <c r="E640" s="507">
        <v>1</v>
      </c>
      <c r="F640" s="502">
        <v>1</v>
      </c>
      <c r="G640" s="502">
        <f>+ROUND(1.845/(D640/1000)+1,0)/2</f>
        <v>9.5</v>
      </c>
      <c r="H640" s="602"/>
      <c r="I640" s="602">
        <f>1.35+0.2+2</f>
        <v>3.55</v>
      </c>
      <c r="J640" s="235"/>
      <c r="K640" s="509"/>
      <c r="L640" s="510">
        <f t="shared" si="393"/>
        <v>3.55</v>
      </c>
      <c r="M640" s="510">
        <f t="shared" si="410"/>
        <v>0</v>
      </c>
      <c r="N640" s="510">
        <f t="shared" si="411"/>
        <v>33.729999999999997</v>
      </c>
      <c r="O640" s="510">
        <f t="shared" si="412"/>
        <v>0</v>
      </c>
      <c r="P640" s="510">
        <f t="shared" si="413"/>
        <v>0</v>
      </c>
      <c r="Q640" s="510">
        <f t="shared" si="414"/>
        <v>0</v>
      </c>
      <c r="R640" s="510">
        <f t="shared" si="415"/>
        <v>0</v>
      </c>
    </row>
    <row r="641" spans="1:18">
      <c r="A641" s="505"/>
      <c r="B641" s="607" t="s">
        <v>1175</v>
      </c>
      <c r="C641" s="507">
        <v>8</v>
      </c>
      <c r="D641" s="508">
        <v>200</v>
      </c>
      <c r="E641" s="507">
        <v>1</v>
      </c>
      <c r="F641" s="502">
        <v>2</v>
      </c>
      <c r="G641" s="502">
        <v>6</v>
      </c>
      <c r="H641" s="602"/>
      <c r="I641" s="602">
        <f>1.845-0.05</f>
        <v>1.7949999999999999</v>
      </c>
      <c r="J641" s="235"/>
      <c r="K641" s="509"/>
      <c r="L641" s="510">
        <f t="shared" si="393"/>
        <v>1.7949999999999999</v>
      </c>
      <c r="M641" s="510">
        <f t="shared" si="410"/>
        <v>21.54</v>
      </c>
      <c r="N641" s="510">
        <f t="shared" si="411"/>
        <v>0</v>
      </c>
      <c r="O641" s="510">
        <f t="shared" si="412"/>
        <v>0</v>
      </c>
      <c r="P641" s="510">
        <f t="shared" si="413"/>
        <v>0</v>
      </c>
      <c r="Q641" s="510">
        <f t="shared" si="414"/>
        <v>0</v>
      </c>
      <c r="R641" s="510">
        <f t="shared" si="415"/>
        <v>0</v>
      </c>
    </row>
    <row r="642" spans="1:18">
      <c r="A642" s="505"/>
      <c r="B642" s="607" t="s">
        <v>1175</v>
      </c>
      <c r="C642" s="507">
        <v>8</v>
      </c>
      <c r="D642" s="508">
        <v>200</v>
      </c>
      <c r="E642" s="507">
        <v>1</v>
      </c>
      <c r="F642" s="502">
        <v>2</v>
      </c>
      <c r="G642" s="502">
        <v>4</v>
      </c>
      <c r="H642" s="602"/>
      <c r="I642" s="602">
        <v>1.7</v>
      </c>
      <c r="J642" s="235"/>
      <c r="K642" s="509"/>
      <c r="L642" s="510">
        <f t="shared" ref="L642" si="417">SUM(H642:J642)+K642</f>
        <v>1.7</v>
      </c>
      <c r="M642" s="510">
        <f t="shared" si="410"/>
        <v>13.6</v>
      </c>
      <c r="N642" s="510">
        <f t="shared" si="411"/>
        <v>0</v>
      </c>
      <c r="O642" s="510">
        <f t="shared" si="412"/>
        <v>0</v>
      </c>
      <c r="P642" s="510">
        <f t="shared" si="413"/>
        <v>0</v>
      </c>
      <c r="Q642" s="510">
        <f t="shared" si="414"/>
        <v>0</v>
      </c>
      <c r="R642" s="510">
        <f t="shared" si="415"/>
        <v>0</v>
      </c>
    </row>
    <row r="643" spans="1:18">
      <c r="A643" s="505"/>
      <c r="B643" s="607" t="s">
        <v>1175</v>
      </c>
      <c r="C643" s="507">
        <v>8</v>
      </c>
      <c r="D643" s="508">
        <v>200</v>
      </c>
      <c r="E643" s="507">
        <v>1</v>
      </c>
      <c r="F643" s="502">
        <v>2</v>
      </c>
      <c r="G643" s="502">
        <v>4</v>
      </c>
      <c r="H643" s="602"/>
      <c r="I643" s="602">
        <v>1.7</v>
      </c>
      <c r="J643" s="235"/>
      <c r="K643" s="509"/>
      <c r="L643" s="510">
        <f t="shared" ref="L643" si="418">SUM(H643:J643)+K643</f>
        <v>1.7</v>
      </c>
      <c r="M643" s="510">
        <f t="shared" si="410"/>
        <v>13.6</v>
      </c>
      <c r="N643" s="510">
        <f t="shared" si="411"/>
        <v>0</v>
      </c>
      <c r="O643" s="510">
        <f t="shared" si="412"/>
        <v>0</v>
      </c>
      <c r="P643" s="510">
        <f t="shared" si="413"/>
        <v>0</v>
      </c>
      <c r="Q643" s="510">
        <f t="shared" si="414"/>
        <v>0</v>
      </c>
      <c r="R643" s="510">
        <f t="shared" si="415"/>
        <v>0</v>
      </c>
    </row>
    <row r="644" spans="1:18">
      <c r="A644" s="505"/>
      <c r="B644" s="506"/>
      <c r="C644" s="507"/>
      <c r="D644" s="508"/>
      <c r="E644" s="507"/>
      <c r="F644" s="502"/>
      <c r="G644" s="502"/>
      <c r="H644" s="602"/>
      <c r="I644" s="602"/>
      <c r="J644" s="235"/>
      <c r="K644" s="589"/>
      <c r="L644" s="510"/>
      <c r="M644" s="510"/>
      <c r="N644" s="510"/>
      <c r="O644" s="510"/>
      <c r="P644" s="510"/>
      <c r="Q644" s="510"/>
      <c r="R644" s="510"/>
    </row>
    <row r="645" spans="1:18">
      <c r="A645" s="505"/>
      <c r="B645" s="520" t="s">
        <v>1178</v>
      </c>
      <c r="C645" s="507"/>
      <c r="D645" s="508"/>
      <c r="E645" s="507"/>
      <c r="F645" s="502"/>
      <c r="G645" s="502"/>
      <c r="H645" s="602"/>
      <c r="I645" s="602"/>
      <c r="J645" s="235"/>
      <c r="K645" s="509"/>
      <c r="L645" s="510">
        <f>SUM(H645:J645)+K645</f>
        <v>0</v>
      </c>
      <c r="M645" s="510">
        <f t="shared" ref="M645:M659" si="419">+ROUND(IF(C645=8,PRODUCT(E645,F645,G645,L645),0),2)</f>
        <v>0</v>
      </c>
      <c r="N645" s="510">
        <f t="shared" ref="N645:N659" si="420">+ROUND(IF(C645=10,PRODUCT(E645,F645,G645,L645),0),2)</f>
        <v>0</v>
      </c>
      <c r="O645" s="510">
        <f t="shared" ref="O645:O659" si="421">+ROUND(IF(C645=12,PRODUCT(E645,F645,G645,L645),0),2)</f>
        <v>0</v>
      </c>
      <c r="P645" s="510">
        <f t="shared" ref="P645:P659" si="422">+ROUND(IF(C645=16,PRODUCT(E645,F645,G645,L645),0),2)</f>
        <v>0</v>
      </c>
      <c r="Q645" s="510">
        <f t="shared" ref="Q645:Q659" si="423">+ROUND(IF(C645=20,PRODUCT(E645,F645,G645,L645),0),2)</f>
        <v>0</v>
      </c>
      <c r="R645" s="510">
        <f t="shared" ref="R645:R659" si="424">+ROUND(IF(C645=25,PRODUCT(E645,F645,G645,L645),0),2)</f>
        <v>0</v>
      </c>
    </row>
    <row r="646" spans="1:18">
      <c r="A646" s="505"/>
      <c r="B646" s="506" t="s">
        <v>1179</v>
      </c>
      <c r="C646" s="507"/>
      <c r="D646" s="508"/>
      <c r="E646" s="507"/>
      <c r="F646" s="502"/>
      <c r="G646" s="502"/>
      <c r="H646" s="602"/>
      <c r="I646" s="602"/>
      <c r="J646" s="235"/>
      <c r="K646" s="509"/>
      <c r="L646" s="510"/>
      <c r="M646" s="510">
        <f t="shared" si="419"/>
        <v>0</v>
      </c>
      <c r="N646" s="510">
        <f t="shared" si="420"/>
        <v>0</v>
      </c>
      <c r="O646" s="510">
        <f t="shared" si="421"/>
        <v>0</v>
      </c>
      <c r="P646" s="510">
        <f t="shared" si="422"/>
        <v>0</v>
      </c>
      <c r="Q646" s="510">
        <f t="shared" si="423"/>
        <v>0</v>
      </c>
      <c r="R646" s="510">
        <f t="shared" si="424"/>
        <v>0</v>
      </c>
    </row>
    <row r="647" spans="1:18">
      <c r="A647" s="505"/>
      <c r="B647" s="607" t="s">
        <v>1154</v>
      </c>
      <c r="C647" s="507">
        <v>8</v>
      </c>
      <c r="D647" s="508">
        <v>200</v>
      </c>
      <c r="E647" s="507">
        <v>1</v>
      </c>
      <c r="F647" s="502">
        <v>1</v>
      </c>
      <c r="G647" s="502">
        <f>+ROUND(3.56/(D647/1000)+1,0)</f>
        <v>19</v>
      </c>
      <c r="H647" s="602"/>
      <c r="I647" s="602">
        <f>3.205+0.175+0.175</f>
        <v>3.5549999999999997</v>
      </c>
      <c r="J647" s="235"/>
      <c r="K647" s="509"/>
      <c r="L647" s="510">
        <f t="shared" ref="L647" si="425">SUM(H647:J647)+K647</f>
        <v>3.5549999999999997</v>
      </c>
      <c r="M647" s="510">
        <f t="shared" si="419"/>
        <v>67.55</v>
      </c>
      <c r="N647" s="510">
        <f t="shared" si="420"/>
        <v>0</v>
      </c>
      <c r="O647" s="510">
        <f t="shared" si="421"/>
        <v>0</v>
      </c>
      <c r="P647" s="510">
        <f t="shared" si="422"/>
        <v>0</v>
      </c>
      <c r="Q647" s="510">
        <f t="shared" si="423"/>
        <v>0</v>
      </c>
      <c r="R647" s="510">
        <f t="shared" si="424"/>
        <v>0</v>
      </c>
    </row>
    <row r="648" spans="1:18">
      <c r="A648" s="505"/>
      <c r="B648" s="607" t="s">
        <v>1155</v>
      </c>
      <c r="C648" s="507">
        <v>8</v>
      </c>
      <c r="D648" s="508">
        <v>200</v>
      </c>
      <c r="E648" s="507">
        <v>1</v>
      </c>
      <c r="F648" s="502">
        <v>1</v>
      </c>
      <c r="G648" s="502">
        <f>+ROUND(3.205/(D648/1000)+1,0)</f>
        <v>17</v>
      </c>
      <c r="H648" s="602"/>
      <c r="I648" s="602">
        <f>0.175+3.56+0.2+0.5</f>
        <v>4.4350000000000005</v>
      </c>
      <c r="J648" s="235"/>
      <c r="K648" s="589"/>
      <c r="L648" s="510">
        <f>SUM(H648:J648)+K648</f>
        <v>4.4350000000000005</v>
      </c>
      <c r="M648" s="510">
        <f t="shared" si="419"/>
        <v>75.400000000000006</v>
      </c>
      <c r="N648" s="510">
        <f t="shared" si="420"/>
        <v>0</v>
      </c>
      <c r="O648" s="510">
        <f t="shared" si="421"/>
        <v>0</v>
      </c>
      <c r="P648" s="510">
        <f t="shared" si="422"/>
        <v>0</v>
      </c>
      <c r="Q648" s="510">
        <f t="shared" si="423"/>
        <v>0</v>
      </c>
      <c r="R648" s="510">
        <f t="shared" si="424"/>
        <v>0</v>
      </c>
    </row>
    <row r="649" spans="1:18">
      <c r="A649" s="505"/>
      <c r="B649" s="607" t="s">
        <v>1156</v>
      </c>
      <c r="C649" s="507">
        <v>8</v>
      </c>
      <c r="D649" s="508">
        <v>200</v>
      </c>
      <c r="E649" s="507">
        <v>1</v>
      </c>
      <c r="F649" s="502">
        <v>1</v>
      </c>
      <c r="G649" s="502">
        <f>+ROUND(3.205/(D649/1000)+1,0)</f>
        <v>17</v>
      </c>
      <c r="H649" s="602">
        <v>0.1</v>
      </c>
      <c r="I649" s="602">
        <f>0.55+0.175</f>
        <v>0.72500000000000009</v>
      </c>
      <c r="J649" s="235"/>
      <c r="K649" s="509"/>
      <c r="L649" s="510">
        <f>SUM(H649:J649)+K649</f>
        <v>0.82500000000000007</v>
      </c>
      <c r="M649" s="510">
        <f t="shared" si="419"/>
        <v>14.03</v>
      </c>
      <c r="N649" s="510">
        <f t="shared" si="420"/>
        <v>0</v>
      </c>
      <c r="O649" s="510">
        <f t="shared" si="421"/>
        <v>0</v>
      </c>
      <c r="P649" s="510">
        <f t="shared" si="422"/>
        <v>0</v>
      </c>
      <c r="Q649" s="510">
        <f t="shared" si="423"/>
        <v>0</v>
      </c>
      <c r="R649" s="510">
        <f t="shared" si="424"/>
        <v>0</v>
      </c>
    </row>
    <row r="650" spans="1:18">
      <c r="A650" s="505"/>
      <c r="B650" s="607" t="s">
        <v>1157</v>
      </c>
      <c r="C650" s="507">
        <v>8</v>
      </c>
      <c r="D650" s="508">
        <v>100</v>
      </c>
      <c r="E650" s="507">
        <v>1</v>
      </c>
      <c r="F650" s="502">
        <v>1</v>
      </c>
      <c r="G650" s="502">
        <f>+ROUND(3.56/(D650/1000)+1,0)/2</f>
        <v>18.5</v>
      </c>
      <c r="H650" s="602"/>
      <c r="I650" s="602">
        <f>0.1+1.1</f>
        <v>1.2000000000000002</v>
      </c>
      <c r="J650" s="235"/>
      <c r="K650" s="509"/>
      <c r="L650" s="510">
        <f t="shared" ref="L650" si="426">SUM(H650:J650)+K650</f>
        <v>1.2000000000000002</v>
      </c>
      <c r="M650" s="510">
        <f t="shared" si="419"/>
        <v>22.2</v>
      </c>
      <c r="N650" s="510">
        <f t="shared" si="420"/>
        <v>0</v>
      </c>
      <c r="O650" s="510">
        <f t="shared" si="421"/>
        <v>0</v>
      </c>
      <c r="P650" s="510">
        <f t="shared" si="422"/>
        <v>0</v>
      </c>
      <c r="Q650" s="510">
        <f t="shared" si="423"/>
        <v>0</v>
      </c>
      <c r="R650" s="510">
        <f t="shared" si="424"/>
        <v>0</v>
      </c>
    </row>
    <row r="651" spans="1:18">
      <c r="A651" s="505"/>
      <c r="B651" s="607" t="s">
        <v>1157</v>
      </c>
      <c r="C651" s="507">
        <v>8</v>
      </c>
      <c r="D651" s="508">
        <v>100</v>
      </c>
      <c r="E651" s="507">
        <v>1</v>
      </c>
      <c r="F651" s="502">
        <v>1</v>
      </c>
      <c r="G651" s="502">
        <v>18</v>
      </c>
      <c r="H651" s="602"/>
      <c r="I651" s="602">
        <f>0.1+0.55</f>
        <v>0.65</v>
      </c>
      <c r="J651" s="235"/>
      <c r="K651" s="509"/>
      <c r="L651" s="510">
        <f>SUM(H651:J651)+K651</f>
        <v>0.65</v>
      </c>
      <c r="M651" s="510">
        <f t="shared" si="419"/>
        <v>11.7</v>
      </c>
      <c r="N651" s="510">
        <f t="shared" si="420"/>
        <v>0</v>
      </c>
      <c r="O651" s="510">
        <f t="shared" si="421"/>
        <v>0</v>
      </c>
      <c r="P651" s="510">
        <f t="shared" si="422"/>
        <v>0</v>
      </c>
      <c r="Q651" s="510">
        <f t="shared" si="423"/>
        <v>0</v>
      </c>
      <c r="R651" s="510">
        <f t="shared" si="424"/>
        <v>0</v>
      </c>
    </row>
    <row r="652" spans="1:18">
      <c r="A652" s="505"/>
      <c r="B652" s="607" t="s">
        <v>1168</v>
      </c>
      <c r="C652" s="507">
        <v>8</v>
      </c>
      <c r="D652" s="508">
        <v>150</v>
      </c>
      <c r="E652" s="507">
        <v>1</v>
      </c>
      <c r="F652" s="502">
        <v>1</v>
      </c>
      <c r="G652" s="502">
        <f>+ROUND(3.56/(D652/1000)+1,0)/2</f>
        <v>12.5</v>
      </c>
      <c r="H652" s="602"/>
      <c r="I652" s="602">
        <f>0.1+1.1</f>
        <v>1.2000000000000002</v>
      </c>
      <c r="J652" s="235"/>
      <c r="K652" s="509"/>
      <c r="L652" s="510">
        <f t="shared" ref="L652" si="427">SUM(H652:J652)+K652</f>
        <v>1.2000000000000002</v>
      </c>
      <c r="M652" s="510">
        <f t="shared" si="419"/>
        <v>15</v>
      </c>
      <c r="N652" s="510">
        <f t="shared" si="420"/>
        <v>0</v>
      </c>
      <c r="O652" s="510">
        <f t="shared" si="421"/>
        <v>0</v>
      </c>
      <c r="P652" s="510">
        <f t="shared" si="422"/>
        <v>0</v>
      </c>
      <c r="Q652" s="510">
        <f t="shared" si="423"/>
        <v>0</v>
      </c>
      <c r="R652" s="510">
        <f t="shared" si="424"/>
        <v>0</v>
      </c>
    </row>
    <row r="653" spans="1:18">
      <c r="A653" s="505"/>
      <c r="B653" s="607" t="s">
        <v>1168</v>
      </c>
      <c r="C653" s="507">
        <v>8</v>
      </c>
      <c r="D653" s="508">
        <v>150</v>
      </c>
      <c r="E653" s="507">
        <v>1</v>
      </c>
      <c r="F653" s="502">
        <v>1</v>
      </c>
      <c r="G653" s="502">
        <v>12</v>
      </c>
      <c r="H653" s="602"/>
      <c r="I653" s="602">
        <f>0.1+0.55</f>
        <v>0.65</v>
      </c>
      <c r="J653" s="235"/>
      <c r="K653" s="509"/>
      <c r="L653" s="510">
        <f t="shared" ref="L653:L659" si="428">SUM(H653:J653)+K653</f>
        <v>0.65</v>
      </c>
      <c r="M653" s="510">
        <f t="shared" si="419"/>
        <v>7.8</v>
      </c>
      <c r="N653" s="510">
        <f t="shared" si="420"/>
        <v>0</v>
      </c>
      <c r="O653" s="510">
        <f t="shared" si="421"/>
        <v>0</v>
      </c>
      <c r="P653" s="510">
        <f t="shared" si="422"/>
        <v>0</v>
      </c>
      <c r="Q653" s="510">
        <f t="shared" si="423"/>
        <v>0</v>
      </c>
      <c r="R653" s="510">
        <f t="shared" si="424"/>
        <v>0</v>
      </c>
    </row>
    <row r="654" spans="1:18">
      <c r="A654" s="505"/>
      <c r="B654" s="607" t="s">
        <v>1168</v>
      </c>
      <c r="C654" s="507">
        <v>8</v>
      </c>
      <c r="D654" s="508">
        <v>150</v>
      </c>
      <c r="E654" s="507">
        <v>1</v>
      </c>
      <c r="F654" s="502">
        <v>1</v>
      </c>
      <c r="G654" s="502">
        <f>+ROUND(3.205/(D654/1000)+1,0)/2</f>
        <v>11</v>
      </c>
      <c r="H654" s="602"/>
      <c r="I654" s="602">
        <f>0.1+1.1</f>
        <v>1.2000000000000002</v>
      </c>
      <c r="J654" s="235"/>
      <c r="K654" s="509"/>
      <c r="L654" s="510">
        <f t="shared" si="428"/>
        <v>1.2000000000000002</v>
      </c>
      <c r="M654" s="510">
        <f t="shared" si="419"/>
        <v>13.2</v>
      </c>
      <c r="N654" s="510">
        <f t="shared" si="420"/>
        <v>0</v>
      </c>
      <c r="O654" s="510">
        <f t="shared" si="421"/>
        <v>0</v>
      </c>
      <c r="P654" s="510">
        <f t="shared" si="422"/>
        <v>0</v>
      </c>
      <c r="Q654" s="510">
        <f t="shared" si="423"/>
        <v>0</v>
      </c>
      <c r="R654" s="510">
        <f t="shared" si="424"/>
        <v>0</v>
      </c>
    </row>
    <row r="655" spans="1:18">
      <c r="A655" s="505"/>
      <c r="B655" s="607" t="s">
        <v>1168</v>
      </c>
      <c r="C655" s="507">
        <v>8</v>
      </c>
      <c r="D655" s="508">
        <v>150</v>
      </c>
      <c r="E655" s="507">
        <v>1</v>
      </c>
      <c r="F655" s="502">
        <v>1</v>
      </c>
      <c r="G655" s="502">
        <f>+ROUND(3.205/(D655/1000)+1,0)/2</f>
        <v>11</v>
      </c>
      <c r="H655" s="602"/>
      <c r="I655" s="602">
        <f>0.1+0.55</f>
        <v>0.65</v>
      </c>
      <c r="J655" s="235"/>
      <c r="K655" s="509"/>
      <c r="L655" s="510">
        <f t="shared" si="428"/>
        <v>0.65</v>
      </c>
      <c r="M655" s="510">
        <f t="shared" si="419"/>
        <v>7.15</v>
      </c>
      <c r="N655" s="510">
        <f t="shared" si="420"/>
        <v>0</v>
      </c>
      <c r="O655" s="510">
        <f t="shared" si="421"/>
        <v>0</v>
      </c>
      <c r="P655" s="510">
        <f t="shared" si="422"/>
        <v>0</v>
      </c>
      <c r="Q655" s="510">
        <f t="shared" si="423"/>
        <v>0</v>
      </c>
      <c r="R655" s="510">
        <f t="shared" si="424"/>
        <v>0</v>
      </c>
    </row>
    <row r="656" spans="1:18">
      <c r="A656" s="505"/>
      <c r="B656" s="607" t="s">
        <v>1159</v>
      </c>
      <c r="C656" s="507">
        <v>8</v>
      </c>
      <c r="D656" s="508">
        <v>200</v>
      </c>
      <c r="E656" s="507">
        <v>1</v>
      </c>
      <c r="F656" s="502">
        <v>1</v>
      </c>
      <c r="G656" s="502">
        <f>+ROUND(1.1/(D656/1000)+1,0)</f>
        <v>7</v>
      </c>
      <c r="H656" s="602">
        <v>0.2</v>
      </c>
      <c r="I656" s="602">
        <v>3.2050000000000001</v>
      </c>
      <c r="J656" s="235"/>
      <c r="K656" s="509"/>
      <c r="L656" s="510">
        <f t="shared" si="428"/>
        <v>3.4050000000000002</v>
      </c>
      <c r="M656" s="510">
        <f t="shared" si="419"/>
        <v>23.84</v>
      </c>
      <c r="N656" s="510">
        <f t="shared" si="420"/>
        <v>0</v>
      </c>
      <c r="O656" s="510">
        <f t="shared" si="421"/>
        <v>0</v>
      </c>
      <c r="P656" s="510">
        <f t="shared" si="422"/>
        <v>0</v>
      </c>
      <c r="Q656" s="510">
        <f t="shared" si="423"/>
        <v>0</v>
      </c>
      <c r="R656" s="510">
        <f t="shared" si="424"/>
        <v>0</v>
      </c>
    </row>
    <row r="657" spans="1:18">
      <c r="A657" s="505"/>
      <c r="B657" s="607" t="s">
        <v>1159</v>
      </c>
      <c r="C657" s="507">
        <v>8</v>
      </c>
      <c r="D657" s="508">
        <v>200</v>
      </c>
      <c r="E657" s="507">
        <v>1</v>
      </c>
      <c r="F657" s="502">
        <v>1</v>
      </c>
      <c r="G657" s="502">
        <f>+ROUND(0.55/(D657/1000)+1,0)</f>
        <v>4</v>
      </c>
      <c r="H657" s="602">
        <v>0.2</v>
      </c>
      <c r="I657" s="602">
        <v>3.2050000000000001</v>
      </c>
      <c r="J657" s="235"/>
      <c r="K657" s="509"/>
      <c r="L657" s="510">
        <f t="shared" si="428"/>
        <v>3.4050000000000002</v>
      </c>
      <c r="M657" s="510">
        <f t="shared" si="419"/>
        <v>13.62</v>
      </c>
      <c r="N657" s="510">
        <f t="shared" si="420"/>
        <v>0</v>
      </c>
      <c r="O657" s="510">
        <f t="shared" si="421"/>
        <v>0</v>
      </c>
      <c r="P657" s="510">
        <f t="shared" si="422"/>
        <v>0</v>
      </c>
      <c r="Q657" s="510">
        <f t="shared" si="423"/>
        <v>0</v>
      </c>
      <c r="R657" s="510">
        <f t="shared" si="424"/>
        <v>0</v>
      </c>
    </row>
    <row r="658" spans="1:18">
      <c r="A658" s="505"/>
      <c r="B658" s="607" t="s">
        <v>1159</v>
      </c>
      <c r="C658" s="507">
        <v>8</v>
      </c>
      <c r="D658" s="508">
        <v>200</v>
      </c>
      <c r="E658" s="507">
        <v>1</v>
      </c>
      <c r="F658" s="502">
        <v>1</v>
      </c>
      <c r="G658" s="502">
        <f>+ROUND(1.1/(D658/1000)+1,0)</f>
        <v>7</v>
      </c>
      <c r="H658" s="602">
        <v>0.2</v>
      </c>
      <c r="I658" s="602">
        <v>3.56</v>
      </c>
      <c r="J658" s="235"/>
      <c r="K658" s="509"/>
      <c r="L658" s="510">
        <f t="shared" si="428"/>
        <v>3.7600000000000002</v>
      </c>
      <c r="M658" s="510">
        <f t="shared" si="419"/>
        <v>26.32</v>
      </c>
      <c r="N658" s="510">
        <f t="shared" si="420"/>
        <v>0</v>
      </c>
      <c r="O658" s="510">
        <f t="shared" si="421"/>
        <v>0</v>
      </c>
      <c r="P658" s="510">
        <f t="shared" si="422"/>
        <v>0</v>
      </c>
      <c r="Q658" s="510">
        <f t="shared" si="423"/>
        <v>0</v>
      </c>
      <c r="R658" s="510">
        <f t="shared" si="424"/>
        <v>0</v>
      </c>
    </row>
    <row r="659" spans="1:18">
      <c r="A659" s="505"/>
      <c r="B659" s="607" t="s">
        <v>1159</v>
      </c>
      <c r="C659" s="507">
        <v>8</v>
      </c>
      <c r="D659" s="508">
        <v>200</v>
      </c>
      <c r="E659" s="507">
        <v>1</v>
      </c>
      <c r="F659" s="502">
        <v>1</v>
      </c>
      <c r="G659" s="502">
        <f>+ROUND(1.1/(D659/1000)+1,0)</f>
        <v>7</v>
      </c>
      <c r="H659" s="602">
        <v>0.2</v>
      </c>
      <c r="I659" s="602">
        <v>3.56</v>
      </c>
      <c r="J659" s="235"/>
      <c r="K659" s="509"/>
      <c r="L659" s="510">
        <f t="shared" si="428"/>
        <v>3.7600000000000002</v>
      </c>
      <c r="M659" s="510">
        <f t="shared" si="419"/>
        <v>26.32</v>
      </c>
      <c r="N659" s="510">
        <f t="shared" si="420"/>
        <v>0</v>
      </c>
      <c r="O659" s="510">
        <f t="shared" si="421"/>
        <v>0</v>
      </c>
      <c r="P659" s="510">
        <f t="shared" si="422"/>
        <v>0</v>
      </c>
      <c r="Q659" s="510">
        <f t="shared" si="423"/>
        <v>0</v>
      </c>
      <c r="R659" s="510">
        <f t="shared" si="424"/>
        <v>0</v>
      </c>
    </row>
    <row r="660" spans="1:18">
      <c r="A660" s="505"/>
      <c r="B660" s="511"/>
      <c r="C660" s="507"/>
      <c r="D660" s="508"/>
      <c r="E660" s="507"/>
      <c r="F660" s="502"/>
      <c r="G660" s="502"/>
      <c r="H660" s="602"/>
      <c r="I660" s="602"/>
      <c r="J660" s="235"/>
      <c r="K660" s="509"/>
      <c r="L660" s="510"/>
      <c r="M660" s="510"/>
      <c r="N660" s="510"/>
      <c r="O660" s="510"/>
      <c r="P660" s="510"/>
      <c r="Q660" s="510"/>
      <c r="R660" s="510"/>
    </row>
    <row r="661" spans="1:18">
      <c r="A661" s="505"/>
      <c r="B661" s="506" t="s">
        <v>1180</v>
      </c>
      <c r="C661" s="507"/>
      <c r="D661" s="508"/>
      <c r="E661" s="507"/>
      <c r="F661" s="502"/>
      <c r="G661" s="502"/>
      <c r="H661" s="602"/>
      <c r="I661" s="602"/>
      <c r="J661" s="235"/>
      <c r="K661" s="509"/>
      <c r="L661" s="510"/>
      <c r="M661" s="510">
        <f t="shared" ref="M661:M671" si="429">+ROUND(IF(C661=8,PRODUCT(E661,F661,G661,L661),0),2)</f>
        <v>0</v>
      </c>
      <c r="N661" s="510">
        <f t="shared" ref="N661:N671" si="430">+ROUND(IF(C661=10,PRODUCT(E661,F661,G661,L661),0),2)</f>
        <v>0</v>
      </c>
      <c r="O661" s="510">
        <f t="shared" ref="O661:O671" si="431">+ROUND(IF(C661=12,PRODUCT(E661,F661,G661,L661),0),2)</f>
        <v>0</v>
      </c>
      <c r="P661" s="510">
        <f t="shared" ref="P661:P671" si="432">+ROUND(IF(C661=16,PRODUCT(E661,F661,G661,L661),0),2)</f>
        <v>0</v>
      </c>
      <c r="Q661" s="510">
        <f t="shared" ref="Q661:Q671" si="433">+ROUND(IF(C661=20,PRODUCT(E661,F661,G661,L661),0),2)</f>
        <v>0</v>
      </c>
      <c r="R661" s="510">
        <f t="shared" ref="R661:R671" si="434">+ROUND(IF(C661=25,PRODUCT(E661,F661,G661,L661),0),2)</f>
        <v>0</v>
      </c>
    </row>
    <row r="662" spans="1:18">
      <c r="A662" s="505"/>
      <c r="B662" s="607" t="s">
        <v>1154</v>
      </c>
      <c r="C662" s="507">
        <v>8</v>
      </c>
      <c r="D662" s="508">
        <v>200</v>
      </c>
      <c r="E662" s="507">
        <v>1</v>
      </c>
      <c r="F662" s="502">
        <v>1</v>
      </c>
      <c r="G662" s="502">
        <f>+ROUND(2.225/(D662/1000)+1,0)</f>
        <v>12</v>
      </c>
      <c r="H662" s="602"/>
      <c r="I662" s="602">
        <f>0.175+1.5+0.175</f>
        <v>1.85</v>
      </c>
      <c r="J662" s="235"/>
      <c r="K662" s="509"/>
      <c r="L662" s="510">
        <f t="shared" ref="L662" si="435">SUM(H662:J662)+K662</f>
        <v>1.85</v>
      </c>
      <c r="M662" s="510">
        <f t="shared" si="429"/>
        <v>22.2</v>
      </c>
      <c r="N662" s="510">
        <f t="shared" si="430"/>
        <v>0</v>
      </c>
      <c r="O662" s="510">
        <f t="shared" si="431"/>
        <v>0</v>
      </c>
      <c r="P662" s="510">
        <f t="shared" si="432"/>
        <v>0</v>
      </c>
      <c r="Q662" s="510">
        <f t="shared" si="433"/>
        <v>0</v>
      </c>
      <c r="R662" s="510">
        <f t="shared" si="434"/>
        <v>0</v>
      </c>
    </row>
    <row r="663" spans="1:18">
      <c r="A663" s="505"/>
      <c r="B663" s="607" t="s">
        <v>1155</v>
      </c>
      <c r="C663" s="507">
        <v>8</v>
      </c>
      <c r="D663" s="508">
        <v>200</v>
      </c>
      <c r="E663" s="507">
        <v>1</v>
      </c>
      <c r="F663" s="502">
        <v>1</v>
      </c>
      <c r="G663" s="502">
        <f>+ROUND(1.5/(D663/1000)+1,0)</f>
        <v>9</v>
      </c>
      <c r="H663" s="602"/>
      <c r="I663" s="602">
        <f>0.175+2.225+0.175</f>
        <v>2.5749999999999997</v>
      </c>
      <c r="J663" s="235"/>
      <c r="K663" s="589"/>
      <c r="L663" s="510">
        <f>SUM(H663:J663)+K663</f>
        <v>2.5749999999999997</v>
      </c>
      <c r="M663" s="510">
        <f t="shared" si="429"/>
        <v>23.18</v>
      </c>
      <c r="N663" s="510">
        <f t="shared" si="430"/>
        <v>0</v>
      </c>
      <c r="O663" s="510">
        <f t="shared" si="431"/>
        <v>0</v>
      </c>
      <c r="P663" s="510">
        <f t="shared" si="432"/>
        <v>0</v>
      </c>
      <c r="Q663" s="510">
        <f t="shared" si="433"/>
        <v>0</v>
      </c>
      <c r="R663" s="510">
        <f t="shared" si="434"/>
        <v>0</v>
      </c>
    </row>
    <row r="664" spans="1:18">
      <c r="A664" s="505"/>
      <c r="B664" s="607" t="s">
        <v>1156</v>
      </c>
      <c r="C664" s="507">
        <v>8</v>
      </c>
      <c r="D664" s="508">
        <v>200</v>
      </c>
      <c r="E664" s="507">
        <v>1</v>
      </c>
      <c r="F664" s="502">
        <v>1</v>
      </c>
      <c r="G664" s="502">
        <v>11</v>
      </c>
      <c r="H664" s="602">
        <v>0.1</v>
      </c>
      <c r="I664" s="602">
        <f>0.45+0.175</f>
        <v>0.625</v>
      </c>
      <c r="J664" s="235"/>
      <c r="K664" s="509"/>
      <c r="L664" s="510">
        <f>SUM(H664:J664)+K664</f>
        <v>0.72499999999999998</v>
      </c>
      <c r="M664" s="510">
        <f t="shared" si="429"/>
        <v>7.98</v>
      </c>
      <c r="N664" s="510">
        <f t="shared" si="430"/>
        <v>0</v>
      </c>
      <c r="O664" s="510">
        <f t="shared" si="431"/>
        <v>0</v>
      </c>
      <c r="P664" s="510">
        <f t="shared" si="432"/>
        <v>0</v>
      </c>
      <c r="Q664" s="510">
        <f t="shared" si="433"/>
        <v>0</v>
      </c>
      <c r="R664" s="510">
        <f t="shared" si="434"/>
        <v>0</v>
      </c>
    </row>
    <row r="665" spans="1:18">
      <c r="A665" s="505"/>
      <c r="B665" s="607" t="s">
        <v>1156</v>
      </c>
      <c r="C665" s="507">
        <v>8</v>
      </c>
      <c r="D665" s="508">
        <v>200</v>
      </c>
      <c r="E665" s="507">
        <v>1</v>
      </c>
      <c r="F665" s="502">
        <v>1</v>
      </c>
      <c r="G665" s="502">
        <v>11</v>
      </c>
      <c r="H665" s="602">
        <v>0.1</v>
      </c>
      <c r="I665" s="602">
        <f>0.45+0.175</f>
        <v>0.625</v>
      </c>
      <c r="J665" s="235"/>
      <c r="K665" s="509"/>
      <c r="L665" s="510">
        <f t="shared" ref="L665:L671" si="436">SUM(H665:J665)+K665</f>
        <v>0.72499999999999998</v>
      </c>
      <c r="M665" s="510">
        <f t="shared" si="429"/>
        <v>7.98</v>
      </c>
      <c r="N665" s="510">
        <f t="shared" si="430"/>
        <v>0</v>
      </c>
      <c r="O665" s="510">
        <f t="shared" si="431"/>
        <v>0</v>
      </c>
      <c r="P665" s="510">
        <f t="shared" si="432"/>
        <v>0</v>
      </c>
      <c r="Q665" s="510">
        <f t="shared" si="433"/>
        <v>0</v>
      </c>
      <c r="R665" s="510">
        <f t="shared" si="434"/>
        <v>0</v>
      </c>
    </row>
    <row r="666" spans="1:18">
      <c r="A666" s="505"/>
      <c r="B666" s="607" t="s">
        <v>1156</v>
      </c>
      <c r="C666" s="507">
        <v>8</v>
      </c>
      <c r="D666" s="508">
        <v>200</v>
      </c>
      <c r="E666" s="507">
        <v>1</v>
      </c>
      <c r="F666" s="502">
        <v>1</v>
      </c>
      <c r="G666" s="502">
        <v>8</v>
      </c>
      <c r="H666" s="602">
        <v>0.1</v>
      </c>
      <c r="I666" s="602">
        <f>0.45+0.175</f>
        <v>0.625</v>
      </c>
      <c r="J666" s="235"/>
      <c r="K666" s="509"/>
      <c r="L666" s="510">
        <f t="shared" si="436"/>
        <v>0.72499999999999998</v>
      </c>
      <c r="M666" s="510">
        <f t="shared" si="429"/>
        <v>5.8</v>
      </c>
      <c r="N666" s="510">
        <f t="shared" si="430"/>
        <v>0</v>
      </c>
      <c r="O666" s="510">
        <f t="shared" si="431"/>
        <v>0</v>
      </c>
      <c r="P666" s="510">
        <f t="shared" si="432"/>
        <v>0</v>
      </c>
      <c r="Q666" s="510">
        <f t="shared" si="433"/>
        <v>0</v>
      </c>
      <c r="R666" s="510">
        <f t="shared" si="434"/>
        <v>0</v>
      </c>
    </row>
    <row r="667" spans="1:18">
      <c r="A667" s="505"/>
      <c r="B667" s="607" t="s">
        <v>1156</v>
      </c>
      <c r="C667" s="507">
        <v>8</v>
      </c>
      <c r="D667" s="508">
        <v>200</v>
      </c>
      <c r="E667" s="507">
        <v>1</v>
      </c>
      <c r="F667" s="502">
        <v>1</v>
      </c>
      <c r="G667" s="502">
        <v>8</v>
      </c>
      <c r="H667" s="602">
        <v>0.1</v>
      </c>
      <c r="I667" s="602">
        <f>0.5+0.175</f>
        <v>0.67500000000000004</v>
      </c>
      <c r="J667" s="235"/>
      <c r="K667" s="509"/>
      <c r="L667" s="510">
        <f t="shared" si="436"/>
        <v>0.77500000000000002</v>
      </c>
      <c r="M667" s="510">
        <f t="shared" si="429"/>
        <v>6.2</v>
      </c>
      <c r="N667" s="510">
        <f t="shared" si="430"/>
        <v>0</v>
      </c>
      <c r="O667" s="510">
        <f t="shared" si="431"/>
        <v>0</v>
      </c>
      <c r="P667" s="510">
        <f t="shared" si="432"/>
        <v>0</v>
      </c>
      <c r="Q667" s="510">
        <f t="shared" si="433"/>
        <v>0</v>
      </c>
      <c r="R667" s="510">
        <f t="shared" si="434"/>
        <v>0</v>
      </c>
    </row>
    <row r="668" spans="1:18">
      <c r="A668" s="505"/>
      <c r="B668" s="607" t="s">
        <v>1159</v>
      </c>
      <c r="C668" s="507">
        <v>8</v>
      </c>
      <c r="D668" s="508">
        <v>200</v>
      </c>
      <c r="E668" s="507">
        <v>1</v>
      </c>
      <c r="F668" s="502">
        <v>1</v>
      </c>
      <c r="G668" s="502">
        <f>+ROUND(0.45/(D668/1000)+1,0)</f>
        <v>3</v>
      </c>
      <c r="H668" s="602">
        <v>0.2</v>
      </c>
      <c r="I668" s="602">
        <v>1.5</v>
      </c>
      <c r="J668" s="235"/>
      <c r="K668" s="509"/>
      <c r="L668" s="510">
        <f t="shared" si="436"/>
        <v>1.7</v>
      </c>
      <c r="M668" s="510">
        <f t="shared" si="429"/>
        <v>5.0999999999999996</v>
      </c>
      <c r="N668" s="510">
        <f t="shared" si="430"/>
        <v>0</v>
      </c>
      <c r="O668" s="510">
        <f t="shared" si="431"/>
        <v>0</v>
      </c>
      <c r="P668" s="510">
        <f t="shared" si="432"/>
        <v>0</v>
      </c>
      <c r="Q668" s="510">
        <f t="shared" si="433"/>
        <v>0</v>
      </c>
      <c r="R668" s="510">
        <f t="shared" si="434"/>
        <v>0</v>
      </c>
    </row>
    <row r="669" spans="1:18">
      <c r="A669" s="505"/>
      <c r="B669" s="607" t="s">
        <v>1159</v>
      </c>
      <c r="C669" s="507">
        <v>8</v>
      </c>
      <c r="D669" s="508">
        <v>200</v>
      </c>
      <c r="E669" s="507">
        <v>1</v>
      </c>
      <c r="F669" s="502">
        <v>1</v>
      </c>
      <c r="G669" s="502">
        <f>+ROUND(0.45/(D669/1000)+1,0)</f>
        <v>3</v>
      </c>
      <c r="H669" s="602">
        <v>0.2</v>
      </c>
      <c r="I669" s="602">
        <v>1.5</v>
      </c>
      <c r="J669" s="235"/>
      <c r="K669" s="509"/>
      <c r="L669" s="510">
        <f t="shared" si="436"/>
        <v>1.7</v>
      </c>
      <c r="M669" s="510">
        <f t="shared" si="429"/>
        <v>5.0999999999999996</v>
      </c>
      <c r="N669" s="510">
        <f t="shared" si="430"/>
        <v>0</v>
      </c>
      <c r="O669" s="510">
        <f t="shared" si="431"/>
        <v>0</v>
      </c>
      <c r="P669" s="510">
        <f t="shared" si="432"/>
        <v>0</v>
      </c>
      <c r="Q669" s="510">
        <f t="shared" si="433"/>
        <v>0</v>
      </c>
      <c r="R669" s="510">
        <f t="shared" si="434"/>
        <v>0</v>
      </c>
    </row>
    <row r="670" spans="1:18">
      <c r="A670" s="505"/>
      <c r="B670" s="607" t="s">
        <v>1159</v>
      </c>
      <c r="C670" s="507">
        <v>8</v>
      </c>
      <c r="D670" s="508">
        <v>200</v>
      </c>
      <c r="E670" s="507">
        <v>1</v>
      </c>
      <c r="F670" s="502">
        <v>1</v>
      </c>
      <c r="G670" s="502">
        <f>+ROUND(0.45/(D670/1000)+1,0)</f>
        <v>3</v>
      </c>
      <c r="H670" s="602">
        <v>0.2</v>
      </c>
      <c r="I670" s="602">
        <v>2.2250000000000001</v>
      </c>
      <c r="J670" s="235"/>
      <c r="K670" s="509"/>
      <c r="L670" s="510">
        <f t="shared" si="436"/>
        <v>2.4250000000000003</v>
      </c>
      <c r="M670" s="510">
        <f t="shared" si="429"/>
        <v>7.28</v>
      </c>
      <c r="N670" s="510">
        <f t="shared" si="430"/>
        <v>0</v>
      </c>
      <c r="O670" s="510">
        <f t="shared" si="431"/>
        <v>0</v>
      </c>
      <c r="P670" s="510">
        <f t="shared" si="432"/>
        <v>0</v>
      </c>
      <c r="Q670" s="510">
        <f t="shared" si="433"/>
        <v>0</v>
      </c>
      <c r="R670" s="510">
        <f t="shared" si="434"/>
        <v>0</v>
      </c>
    </row>
    <row r="671" spans="1:18">
      <c r="A671" s="505"/>
      <c r="B671" s="607" t="s">
        <v>1159</v>
      </c>
      <c r="C671" s="507">
        <v>8</v>
      </c>
      <c r="D671" s="508">
        <v>200</v>
      </c>
      <c r="E671" s="507">
        <v>1</v>
      </c>
      <c r="F671" s="502">
        <v>1</v>
      </c>
      <c r="G671" s="502">
        <f>+ROUND(0.45/(D671/1000)+1,0)</f>
        <v>3</v>
      </c>
      <c r="H671" s="602">
        <v>0.2</v>
      </c>
      <c r="I671" s="602">
        <v>2.2250000000000001</v>
      </c>
      <c r="J671" s="235"/>
      <c r="K671" s="509"/>
      <c r="L671" s="510">
        <f t="shared" si="436"/>
        <v>2.4250000000000003</v>
      </c>
      <c r="M671" s="510">
        <f t="shared" si="429"/>
        <v>7.28</v>
      </c>
      <c r="N671" s="510">
        <f t="shared" si="430"/>
        <v>0</v>
      </c>
      <c r="O671" s="510">
        <f t="shared" si="431"/>
        <v>0</v>
      </c>
      <c r="P671" s="510">
        <f t="shared" si="432"/>
        <v>0</v>
      </c>
      <c r="Q671" s="510">
        <f t="shared" si="433"/>
        <v>0</v>
      </c>
      <c r="R671" s="510">
        <f t="shared" si="434"/>
        <v>0</v>
      </c>
    </row>
    <row r="672" spans="1:18">
      <c r="A672" s="505"/>
      <c r="B672" s="511"/>
      <c r="C672" s="507"/>
      <c r="D672" s="508"/>
      <c r="E672" s="507"/>
      <c r="F672" s="502"/>
      <c r="G672" s="502"/>
      <c r="H672" s="602"/>
      <c r="I672" s="602"/>
      <c r="J672" s="235"/>
      <c r="K672" s="509"/>
      <c r="L672" s="510"/>
      <c r="M672" s="510"/>
      <c r="N672" s="510"/>
      <c r="O672" s="510"/>
      <c r="P672" s="510"/>
      <c r="Q672" s="510"/>
      <c r="R672" s="510"/>
    </row>
    <row r="673" spans="1:18">
      <c r="A673" s="505"/>
      <c r="B673" s="506" t="s">
        <v>1181</v>
      </c>
      <c r="C673" s="507"/>
      <c r="D673" s="508"/>
      <c r="E673" s="507"/>
      <c r="F673" s="502"/>
      <c r="G673" s="502"/>
      <c r="H673" s="602"/>
      <c r="I673" s="602"/>
      <c r="J673" s="235"/>
      <c r="K673" s="509"/>
      <c r="L673" s="510"/>
      <c r="M673" s="510">
        <f t="shared" si="394"/>
        <v>0</v>
      </c>
      <c r="N673" s="510">
        <f t="shared" ref="N673:N1160" si="437">+ROUND(IF(C673=10,PRODUCT(E673,F673,G673,L673),0),2)</f>
        <v>0</v>
      </c>
      <c r="O673" s="510">
        <f t="shared" ref="O673:O1160" si="438">+ROUND(IF(C673=12,PRODUCT(E673,F673,G673,L673),0),2)</f>
        <v>0</v>
      </c>
      <c r="P673" s="510">
        <f t="shared" ref="P673:P1160" si="439">+ROUND(IF(C673=16,PRODUCT(E673,F673,G673,L673),0),2)</f>
        <v>0</v>
      </c>
      <c r="Q673" s="510">
        <f t="shared" ref="Q673:Q1160" si="440">+ROUND(IF(C673=20,PRODUCT(E673,F673,G673,L673),0),2)</f>
        <v>0</v>
      </c>
      <c r="R673" s="510">
        <f t="shared" ref="R673:R1160" si="441">+ROUND(IF(C673=25,PRODUCT(E673,F673,G673,L673),0),2)</f>
        <v>0</v>
      </c>
    </row>
    <row r="674" spans="1:18">
      <c r="A674" s="505"/>
      <c r="B674" s="607" t="s">
        <v>1182</v>
      </c>
      <c r="C674" s="507">
        <v>8</v>
      </c>
      <c r="D674" s="508">
        <v>150</v>
      </c>
      <c r="E674" s="507">
        <v>1</v>
      </c>
      <c r="F674" s="502">
        <v>1</v>
      </c>
      <c r="G674" s="502">
        <v>6</v>
      </c>
      <c r="H674" s="602"/>
      <c r="I674" s="602">
        <f>0.175+3.33+0.175</f>
        <v>3.6799999999999997</v>
      </c>
      <c r="J674" s="235"/>
      <c r="K674" s="589"/>
      <c r="L674" s="510">
        <f t="shared" ref="L674:L683" si="442">SUM(H674:J674)+K674</f>
        <v>3.6799999999999997</v>
      </c>
      <c r="M674" s="510">
        <f t="shared" si="394"/>
        <v>22.08</v>
      </c>
      <c r="N674" s="510">
        <f t="shared" si="437"/>
        <v>0</v>
      </c>
      <c r="O674" s="510">
        <f t="shared" si="438"/>
        <v>0</v>
      </c>
      <c r="P674" s="510">
        <f t="shared" si="439"/>
        <v>0</v>
      </c>
      <c r="Q674" s="510">
        <f t="shared" si="440"/>
        <v>0</v>
      </c>
      <c r="R674" s="510">
        <f t="shared" si="441"/>
        <v>0</v>
      </c>
    </row>
    <row r="675" spans="1:18">
      <c r="A675" s="505"/>
      <c r="B675" s="607" t="s">
        <v>1182</v>
      </c>
      <c r="C675" s="507">
        <v>8</v>
      </c>
      <c r="D675" s="508">
        <v>150</v>
      </c>
      <c r="E675" s="507">
        <v>1</v>
      </c>
      <c r="F675" s="502">
        <v>1</v>
      </c>
      <c r="G675" s="502">
        <f>+ROUND(1.83/(D675/1000)+1,0)/2</f>
        <v>6.5</v>
      </c>
      <c r="H675" s="602"/>
      <c r="I675" s="602">
        <f>3.33-1.4</f>
        <v>1.9300000000000002</v>
      </c>
      <c r="J675" s="235"/>
      <c r="K675" s="589"/>
      <c r="L675" s="510">
        <f t="shared" si="442"/>
        <v>1.9300000000000002</v>
      </c>
      <c r="M675" s="510">
        <f t="shared" si="394"/>
        <v>12.55</v>
      </c>
      <c r="N675" s="510">
        <f t="shared" si="437"/>
        <v>0</v>
      </c>
      <c r="O675" s="510">
        <f t="shared" si="438"/>
        <v>0</v>
      </c>
      <c r="P675" s="510">
        <f t="shared" si="439"/>
        <v>0</v>
      </c>
      <c r="Q675" s="510">
        <f t="shared" si="440"/>
        <v>0</v>
      </c>
      <c r="R675" s="510">
        <f t="shared" si="441"/>
        <v>0</v>
      </c>
    </row>
    <row r="676" spans="1:18">
      <c r="A676" s="505"/>
      <c r="B676" s="607" t="s">
        <v>1182</v>
      </c>
      <c r="C676" s="507">
        <v>8</v>
      </c>
      <c r="D676" s="508">
        <v>150</v>
      </c>
      <c r="E676" s="507">
        <v>1</v>
      </c>
      <c r="F676" s="502">
        <v>1</v>
      </c>
      <c r="G676" s="502">
        <f>+ROUND(1.93/(D676/1000)+1,0)/2</f>
        <v>7</v>
      </c>
      <c r="H676" s="602"/>
      <c r="I676" s="602">
        <f>0.175+4.27+0.175</f>
        <v>4.6199999999999992</v>
      </c>
      <c r="J676" s="235"/>
      <c r="K676" s="589"/>
      <c r="L676" s="510">
        <f t="shared" si="442"/>
        <v>4.6199999999999992</v>
      </c>
      <c r="M676" s="510">
        <f t="shared" si="394"/>
        <v>32.340000000000003</v>
      </c>
      <c r="N676" s="510">
        <f t="shared" si="437"/>
        <v>0</v>
      </c>
      <c r="O676" s="510">
        <f t="shared" si="438"/>
        <v>0</v>
      </c>
      <c r="P676" s="510">
        <f t="shared" si="439"/>
        <v>0</v>
      </c>
      <c r="Q676" s="510">
        <f t="shared" si="440"/>
        <v>0</v>
      </c>
      <c r="R676" s="510">
        <f t="shared" si="441"/>
        <v>0</v>
      </c>
    </row>
    <row r="677" spans="1:18">
      <c r="A677" s="505"/>
      <c r="B677" s="607" t="s">
        <v>1182</v>
      </c>
      <c r="C677" s="507">
        <v>8</v>
      </c>
      <c r="D677" s="508">
        <v>150</v>
      </c>
      <c r="E677" s="507">
        <v>1</v>
      </c>
      <c r="F677" s="502">
        <v>1</v>
      </c>
      <c r="G677" s="502">
        <v>6</v>
      </c>
      <c r="H677" s="602"/>
      <c r="I677" s="602">
        <f>4.27-1.4</f>
        <v>2.8699999999999997</v>
      </c>
      <c r="J677" s="235"/>
      <c r="K677" s="589"/>
      <c r="L677" s="510">
        <f t="shared" si="442"/>
        <v>2.8699999999999997</v>
      </c>
      <c r="M677" s="510">
        <f t="shared" si="394"/>
        <v>17.22</v>
      </c>
      <c r="N677" s="510">
        <f t="shared" si="437"/>
        <v>0</v>
      </c>
      <c r="O677" s="510">
        <f t="shared" si="438"/>
        <v>0</v>
      </c>
      <c r="P677" s="510">
        <f t="shared" si="439"/>
        <v>0</v>
      </c>
      <c r="Q677" s="510">
        <f t="shared" si="440"/>
        <v>0</v>
      </c>
      <c r="R677" s="510">
        <f t="shared" si="441"/>
        <v>0</v>
      </c>
    </row>
    <row r="678" spans="1:18">
      <c r="A678" s="505"/>
      <c r="B678" s="607" t="s">
        <v>1182</v>
      </c>
      <c r="C678" s="507">
        <v>8</v>
      </c>
      <c r="D678" s="508">
        <v>150</v>
      </c>
      <c r="E678" s="507">
        <v>1</v>
      </c>
      <c r="F678" s="502">
        <v>1</v>
      </c>
      <c r="G678" s="502">
        <v>5</v>
      </c>
      <c r="H678" s="602"/>
      <c r="I678" s="602">
        <f>0.175+6.8+0.175</f>
        <v>7.1499999999999995</v>
      </c>
      <c r="J678" s="235"/>
      <c r="K678" s="589"/>
      <c r="L678" s="510">
        <f t="shared" si="442"/>
        <v>7.1499999999999995</v>
      </c>
      <c r="M678" s="510">
        <f t="shared" si="394"/>
        <v>35.75</v>
      </c>
      <c r="N678" s="510">
        <f t="shared" si="437"/>
        <v>0</v>
      </c>
      <c r="O678" s="510">
        <f t="shared" si="438"/>
        <v>0</v>
      </c>
      <c r="P678" s="510">
        <f t="shared" si="439"/>
        <v>0</v>
      </c>
      <c r="Q678" s="510">
        <f t="shared" si="440"/>
        <v>0</v>
      </c>
      <c r="R678" s="510">
        <f t="shared" si="441"/>
        <v>0</v>
      </c>
    </row>
    <row r="679" spans="1:18">
      <c r="A679" s="505"/>
      <c r="B679" s="607" t="s">
        <v>1182</v>
      </c>
      <c r="C679" s="507">
        <v>8</v>
      </c>
      <c r="D679" s="508">
        <v>150</v>
      </c>
      <c r="E679" s="507">
        <v>1</v>
      </c>
      <c r="F679" s="502">
        <v>1</v>
      </c>
      <c r="G679" s="502">
        <f>+ROUND(1.47/(D679/1000)+1,0)/2</f>
        <v>5.5</v>
      </c>
      <c r="H679" s="602"/>
      <c r="I679" s="602">
        <f>6.8-1.7</f>
        <v>5.0999999999999996</v>
      </c>
      <c r="J679" s="235"/>
      <c r="K679" s="589"/>
      <c r="L679" s="510">
        <f t="shared" si="442"/>
        <v>5.0999999999999996</v>
      </c>
      <c r="M679" s="510">
        <f t="shared" si="394"/>
        <v>28.05</v>
      </c>
      <c r="N679" s="510">
        <f t="shared" si="437"/>
        <v>0</v>
      </c>
      <c r="O679" s="510">
        <f t="shared" si="438"/>
        <v>0</v>
      </c>
      <c r="P679" s="510">
        <f t="shared" si="439"/>
        <v>0</v>
      </c>
      <c r="Q679" s="510">
        <f t="shared" si="440"/>
        <v>0</v>
      </c>
      <c r="R679" s="510">
        <f t="shared" si="441"/>
        <v>0</v>
      </c>
    </row>
    <row r="680" spans="1:18">
      <c r="A680" s="505"/>
      <c r="B680" s="607" t="s">
        <v>1183</v>
      </c>
      <c r="C680" s="507">
        <v>8</v>
      </c>
      <c r="D680" s="508">
        <v>175</v>
      </c>
      <c r="E680" s="507">
        <v>1</v>
      </c>
      <c r="F680" s="502">
        <v>1</v>
      </c>
      <c r="G680" s="502">
        <v>15</v>
      </c>
      <c r="H680" s="602"/>
      <c r="I680" s="602">
        <f>0.175+1.47+0.175</f>
        <v>1.82</v>
      </c>
      <c r="J680" s="235"/>
      <c r="K680" s="589"/>
      <c r="L680" s="510">
        <f t="shared" si="442"/>
        <v>1.82</v>
      </c>
      <c r="M680" s="510">
        <f t="shared" si="394"/>
        <v>27.3</v>
      </c>
      <c r="N680" s="510">
        <f t="shared" si="437"/>
        <v>0</v>
      </c>
      <c r="O680" s="510">
        <f t="shared" si="438"/>
        <v>0</v>
      </c>
      <c r="P680" s="510">
        <f t="shared" si="439"/>
        <v>0</v>
      </c>
      <c r="Q680" s="510">
        <f t="shared" si="440"/>
        <v>0</v>
      </c>
      <c r="R680" s="510">
        <f t="shared" si="441"/>
        <v>0</v>
      </c>
    </row>
    <row r="681" spans="1:18">
      <c r="A681" s="505"/>
      <c r="B681" s="607" t="s">
        <v>1183</v>
      </c>
      <c r="C681" s="507">
        <v>8</v>
      </c>
      <c r="D681" s="508">
        <v>175</v>
      </c>
      <c r="E681" s="507">
        <v>1</v>
      </c>
      <c r="F681" s="502">
        <v>1</v>
      </c>
      <c r="G681" s="502">
        <v>19</v>
      </c>
      <c r="H681" s="602"/>
      <c r="I681" s="602">
        <f>0.175+5.215+0.2+0.5</f>
        <v>6.09</v>
      </c>
      <c r="J681" s="235"/>
      <c r="K681" s="589"/>
      <c r="L681" s="510">
        <f t="shared" si="442"/>
        <v>6.09</v>
      </c>
      <c r="M681" s="510">
        <f t="shared" si="394"/>
        <v>115.71</v>
      </c>
      <c r="N681" s="510">
        <f t="shared" si="437"/>
        <v>0</v>
      </c>
      <c r="O681" s="510">
        <f t="shared" si="438"/>
        <v>0</v>
      </c>
      <c r="P681" s="510">
        <f t="shared" si="439"/>
        <v>0</v>
      </c>
      <c r="Q681" s="510">
        <f t="shared" si="440"/>
        <v>0</v>
      </c>
      <c r="R681" s="510">
        <f t="shared" si="441"/>
        <v>0</v>
      </c>
    </row>
    <row r="682" spans="1:18">
      <c r="A682" s="505"/>
      <c r="B682" s="607" t="s">
        <v>1183</v>
      </c>
      <c r="C682" s="507">
        <v>8</v>
      </c>
      <c r="D682" s="508">
        <v>175</v>
      </c>
      <c r="E682" s="507">
        <v>1</v>
      </c>
      <c r="F682" s="502">
        <v>1</v>
      </c>
      <c r="G682" s="502">
        <f>+ROUND(0.94/(D682/1000)+1,0)</f>
        <v>6</v>
      </c>
      <c r="H682" s="602"/>
      <c r="I682" s="602">
        <f>0.175+3.4+0.175</f>
        <v>3.7499999999999996</v>
      </c>
      <c r="J682" s="235"/>
      <c r="K682" s="589"/>
      <c r="L682" s="510">
        <f t="shared" si="442"/>
        <v>3.7499999999999996</v>
      </c>
      <c r="M682" s="510">
        <f t="shared" si="394"/>
        <v>22.5</v>
      </c>
      <c r="N682" s="510">
        <f t="shared" si="437"/>
        <v>0</v>
      </c>
      <c r="O682" s="510">
        <f t="shared" si="438"/>
        <v>0</v>
      </c>
      <c r="P682" s="510">
        <f t="shared" si="439"/>
        <v>0</v>
      </c>
      <c r="Q682" s="510">
        <f t="shared" si="440"/>
        <v>0</v>
      </c>
      <c r="R682" s="510">
        <f t="shared" si="441"/>
        <v>0</v>
      </c>
    </row>
    <row r="683" spans="1:18">
      <c r="A683" s="505"/>
      <c r="B683" s="607" t="s">
        <v>1158</v>
      </c>
      <c r="C683" s="507">
        <v>8</v>
      </c>
      <c r="D683" s="508">
        <v>175</v>
      </c>
      <c r="E683" s="507">
        <v>1</v>
      </c>
      <c r="F683" s="502">
        <v>1</v>
      </c>
      <c r="G683" s="502">
        <f>+ROUND(3.33/(D683/1000)+1,0)</f>
        <v>20</v>
      </c>
      <c r="H683" s="602">
        <v>0.1</v>
      </c>
      <c r="I683" s="602">
        <f>0.175+0.8</f>
        <v>0.97500000000000009</v>
      </c>
      <c r="J683" s="235"/>
      <c r="K683" s="509"/>
      <c r="L683" s="510">
        <f t="shared" si="442"/>
        <v>1.0750000000000002</v>
      </c>
      <c r="M683" s="510">
        <f t="shared" si="394"/>
        <v>21.5</v>
      </c>
      <c r="N683" s="510">
        <f t="shared" si="437"/>
        <v>0</v>
      </c>
      <c r="O683" s="510">
        <f t="shared" si="438"/>
        <v>0</v>
      </c>
      <c r="P683" s="510">
        <f t="shared" si="439"/>
        <v>0</v>
      </c>
      <c r="Q683" s="510">
        <f t="shared" si="440"/>
        <v>0</v>
      </c>
      <c r="R683" s="510">
        <f t="shared" si="441"/>
        <v>0</v>
      </c>
    </row>
    <row r="684" spans="1:18">
      <c r="A684" s="505"/>
      <c r="B684" s="607" t="s">
        <v>1168</v>
      </c>
      <c r="C684" s="507">
        <v>8</v>
      </c>
      <c r="D684" s="508">
        <v>150</v>
      </c>
      <c r="E684" s="507">
        <v>1</v>
      </c>
      <c r="F684" s="502">
        <v>1</v>
      </c>
      <c r="G684" s="502">
        <f>+ROUND(3.76/(D684/1000)+1,0)/2</f>
        <v>13</v>
      </c>
      <c r="H684" s="602"/>
      <c r="I684" s="602">
        <f>0.1+1.1</f>
        <v>1.2000000000000002</v>
      </c>
      <c r="J684" s="235"/>
      <c r="K684" s="509"/>
      <c r="L684" s="510">
        <f t="shared" ref="L684:L687" si="443">SUM(H684:J684)+K684</f>
        <v>1.2000000000000002</v>
      </c>
      <c r="M684" s="510">
        <f t="shared" si="394"/>
        <v>15.6</v>
      </c>
      <c r="N684" s="510">
        <f t="shared" si="437"/>
        <v>0</v>
      </c>
      <c r="O684" s="510">
        <f t="shared" si="438"/>
        <v>0</v>
      </c>
      <c r="P684" s="510">
        <f t="shared" si="439"/>
        <v>0</v>
      </c>
      <c r="Q684" s="510">
        <f t="shared" si="440"/>
        <v>0</v>
      </c>
      <c r="R684" s="510">
        <f t="shared" si="441"/>
        <v>0</v>
      </c>
    </row>
    <row r="685" spans="1:18">
      <c r="A685" s="505"/>
      <c r="B685" s="607" t="s">
        <v>1168</v>
      </c>
      <c r="C685" s="507">
        <v>8</v>
      </c>
      <c r="D685" s="508">
        <v>150</v>
      </c>
      <c r="E685" s="507">
        <v>1</v>
      </c>
      <c r="F685" s="502">
        <v>1</v>
      </c>
      <c r="G685" s="502">
        <f>+ROUND(3.76/(D685/1000)+1,0)/2</f>
        <v>13</v>
      </c>
      <c r="H685" s="602"/>
      <c r="I685" s="602">
        <f>0.1+0.55</f>
        <v>0.65</v>
      </c>
      <c r="J685" s="235"/>
      <c r="K685" s="509"/>
      <c r="L685" s="510">
        <f t="shared" si="443"/>
        <v>0.65</v>
      </c>
      <c r="M685" s="510">
        <f t="shared" si="394"/>
        <v>8.4499999999999993</v>
      </c>
      <c r="N685" s="510">
        <f t="shared" si="437"/>
        <v>0</v>
      </c>
      <c r="O685" s="510">
        <f t="shared" si="438"/>
        <v>0</v>
      </c>
      <c r="P685" s="510">
        <f t="shared" si="439"/>
        <v>0</v>
      </c>
      <c r="Q685" s="510">
        <f t="shared" si="440"/>
        <v>0</v>
      </c>
      <c r="R685" s="510">
        <f t="shared" si="441"/>
        <v>0</v>
      </c>
    </row>
    <row r="686" spans="1:18">
      <c r="A686" s="505"/>
      <c r="B686" s="607" t="s">
        <v>1168</v>
      </c>
      <c r="C686" s="507">
        <v>8</v>
      </c>
      <c r="D686" s="508">
        <v>150</v>
      </c>
      <c r="E686" s="507">
        <v>1</v>
      </c>
      <c r="F686" s="502">
        <v>1</v>
      </c>
      <c r="G686" s="502">
        <f>+ROUND(1.83/(D686/1000)+1,0)/2</f>
        <v>6.5</v>
      </c>
      <c r="H686" s="602"/>
      <c r="I686" s="602">
        <f>0.1+1.1</f>
        <v>1.2000000000000002</v>
      </c>
      <c r="J686" s="235"/>
      <c r="K686" s="509"/>
      <c r="L686" s="510">
        <f t="shared" si="443"/>
        <v>1.2000000000000002</v>
      </c>
      <c r="M686" s="510">
        <f t="shared" si="394"/>
        <v>7.8</v>
      </c>
      <c r="N686" s="510">
        <f t="shared" si="437"/>
        <v>0</v>
      </c>
      <c r="O686" s="510">
        <f t="shared" si="438"/>
        <v>0</v>
      </c>
      <c r="P686" s="510">
        <f t="shared" si="439"/>
        <v>0</v>
      </c>
      <c r="Q686" s="510">
        <f t="shared" si="440"/>
        <v>0</v>
      </c>
      <c r="R686" s="510">
        <f t="shared" si="441"/>
        <v>0</v>
      </c>
    </row>
    <row r="687" spans="1:18">
      <c r="A687" s="505"/>
      <c r="B687" s="607" t="s">
        <v>1168</v>
      </c>
      <c r="C687" s="507">
        <v>8</v>
      </c>
      <c r="D687" s="508">
        <v>150</v>
      </c>
      <c r="E687" s="507">
        <v>1</v>
      </c>
      <c r="F687" s="502">
        <v>1</v>
      </c>
      <c r="G687" s="502">
        <f>+ROUND(1.83/(D687/1000)+1,0)/2</f>
        <v>6.5</v>
      </c>
      <c r="H687" s="602"/>
      <c r="I687" s="602">
        <f>0.1+0.55</f>
        <v>0.65</v>
      </c>
      <c r="J687" s="235"/>
      <c r="K687" s="509"/>
      <c r="L687" s="510">
        <f t="shared" si="443"/>
        <v>0.65</v>
      </c>
      <c r="M687" s="510">
        <f t="shared" si="394"/>
        <v>4.2300000000000004</v>
      </c>
      <c r="N687" s="510">
        <f t="shared" si="437"/>
        <v>0</v>
      </c>
      <c r="O687" s="510">
        <f t="shared" si="438"/>
        <v>0</v>
      </c>
      <c r="P687" s="510">
        <f t="shared" si="439"/>
        <v>0</v>
      </c>
      <c r="Q687" s="510">
        <f t="shared" si="440"/>
        <v>0</v>
      </c>
      <c r="R687" s="510">
        <f t="shared" si="441"/>
        <v>0</v>
      </c>
    </row>
    <row r="688" spans="1:18">
      <c r="A688" s="505"/>
      <c r="B688" s="607" t="s">
        <v>1168</v>
      </c>
      <c r="C688" s="507">
        <v>8</v>
      </c>
      <c r="D688" s="508">
        <v>150</v>
      </c>
      <c r="E688" s="507">
        <v>1</v>
      </c>
      <c r="F688" s="502">
        <v>1</v>
      </c>
      <c r="G688" s="502">
        <f>+ROUND(1.225/(D688/1000)+1,0)/2</f>
        <v>4.5</v>
      </c>
      <c r="H688" s="602"/>
      <c r="I688" s="602">
        <f>0.1+1.4</f>
        <v>1.5</v>
      </c>
      <c r="J688" s="235"/>
      <c r="K688" s="509"/>
      <c r="L688" s="510">
        <f t="shared" ref="L688:L693" si="444">SUM(H688:J688)+K688</f>
        <v>1.5</v>
      </c>
      <c r="M688" s="510">
        <f>+ROUND(IF(C688=8,PRODUCT(E688,F688,G688,L688),0),2)</f>
        <v>6.75</v>
      </c>
      <c r="N688" s="510">
        <f>+ROUND(IF(C688=10,PRODUCT(E688,F688,G688,L688),0),2)</f>
        <v>0</v>
      </c>
      <c r="O688" s="510">
        <f>+ROUND(IF(C688=12,PRODUCT(E688,F688,G688,L688),0),2)</f>
        <v>0</v>
      </c>
      <c r="P688" s="510">
        <f>+ROUND(IF(C688=16,PRODUCT(E688,F688,G688,L688),0),2)</f>
        <v>0</v>
      </c>
      <c r="Q688" s="510">
        <f>+ROUND(IF(C688=20,PRODUCT(E688,F688,G688,L688),0),2)</f>
        <v>0</v>
      </c>
      <c r="R688" s="510">
        <f>+ROUND(IF(C688=25,PRODUCT(E688,F688,G688,L688),0),2)</f>
        <v>0</v>
      </c>
    </row>
    <row r="689" spans="1:18">
      <c r="A689" s="505"/>
      <c r="B689" s="607" t="s">
        <v>1168</v>
      </c>
      <c r="C689" s="507">
        <v>8</v>
      </c>
      <c r="D689" s="508">
        <v>150</v>
      </c>
      <c r="E689" s="507">
        <v>1</v>
      </c>
      <c r="F689" s="502">
        <v>1</v>
      </c>
      <c r="G689" s="502">
        <v>4</v>
      </c>
      <c r="H689" s="602"/>
      <c r="I689" s="602">
        <f>0.1+0.7</f>
        <v>0.79999999999999993</v>
      </c>
      <c r="J689" s="235"/>
      <c r="K689" s="509"/>
      <c r="L689" s="510">
        <f t="shared" si="444"/>
        <v>0.79999999999999993</v>
      </c>
      <c r="M689" s="510">
        <f>+ROUND(IF(C689=8,PRODUCT(E689,F689,G689,L689),0),2)</f>
        <v>3.2</v>
      </c>
      <c r="N689" s="510">
        <f>+ROUND(IF(C689=10,PRODUCT(E689,F689,G689,L689),0),2)</f>
        <v>0</v>
      </c>
      <c r="O689" s="510">
        <f>+ROUND(IF(C689=12,PRODUCT(E689,F689,G689,L689),0),2)</f>
        <v>0</v>
      </c>
      <c r="P689" s="510">
        <f>+ROUND(IF(C689=16,PRODUCT(E689,F689,G689,L689),0),2)</f>
        <v>0</v>
      </c>
      <c r="Q689" s="510">
        <f>+ROUND(IF(C689=20,PRODUCT(E689,F689,G689,L689),0),2)</f>
        <v>0</v>
      </c>
      <c r="R689" s="510">
        <f>+ROUND(IF(C689=25,PRODUCT(E689,F689,G689,L689),0),2)</f>
        <v>0</v>
      </c>
    </row>
    <row r="690" spans="1:18">
      <c r="A690" s="505"/>
      <c r="B690" s="607" t="s">
        <v>1156</v>
      </c>
      <c r="C690" s="507">
        <v>8</v>
      </c>
      <c r="D690" s="508">
        <v>200</v>
      </c>
      <c r="E690" s="507">
        <v>1</v>
      </c>
      <c r="F690" s="502">
        <v>1</v>
      </c>
      <c r="G690" s="502">
        <v>13</v>
      </c>
      <c r="H690" s="602">
        <v>0.1</v>
      </c>
      <c r="I690" s="602">
        <f>0.175+0.7</f>
        <v>0.875</v>
      </c>
      <c r="J690" s="235"/>
      <c r="K690" s="509"/>
      <c r="L690" s="510">
        <f t="shared" si="444"/>
        <v>0.97499999999999998</v>
      </c>
      <c r="M690" s="510">
        <f t="shared" si="394"/>
        <v>12.68</v>
      </c>
      <c r="N690" s="510">
        <f t="shared" si="437"/>
        <v>0</v>
      </c>
      <c r="O690" s="510">
        <f t="shared" si="438"/>
        <v>0</v>
      </c>
      <c r="P690" s="510">
        <f t="shared" si="439"/>
        <v>0</v>
      </c>
      <c r="Q690" s="510">
        <f t="shared" si="440"/>
        <v>0</v>
      </c>
      <c r="R690" s="510">
        <f t="shared" si="441"/>
        <v>0</v>
      </c>
    </row>
    <row r="691" spans="1:18">
      <c r="A691" s="505"/>
      <c r="B691" s="607" t="s">
        <v>1168</v>
      </c>
      <c r="C691" s="507">
        <v>8</v>
      </c>
      <c r="D691" s="508">
        <v>150</v>
      </c>
      <c r="E691" s="507">
        <v>1</v>
      </c>
      <c r="F691" s="502">
        <v>1</v>
      </c>
      <c r="G691" s="502">
        <f>+ROUND(4.24/(D691/1000)+1,0)/2</f>
        <v>14.5</v>
      </c>
      <c r="H691" s="602"/>
      <c r="I691" s="602">
        <f>0.1+1.6</f>
        <v>1.7000000000000002</v>
      </c>
      <c r="J691" s="235"/>
      <c r="K691" s="509"/>
      <c r="L691" s="510">
        <f t="shared" si="444"/>
        <v>1.7000000000000002</v>
      </c>
      <c r="M691" s="510">
        <f t="shared" si="394"/>
        <v>24.65</v>
      </c>
      <c r="N691" s="510">
        <f t="shared" si="437"/>
        <v>0</v>
      </c>
      <c r="O691" s="510">
        <f t="shared" si="438"/>
        <v>0</v>
      </c>
      <c r="P691" s="510">
        <f t="shared" si="439"/>
        <v>0</v>
      </c>
      <c r="Q691" s="510">
        <f t="shared" si="440"/>
        <v>0</v>
      </c>
      <c r="R691" s="510">
        <f t="shared" si="441"/>
        <v>0</v>
      </c>
    </row>
    <row r="692" spans="1:18">
      <c r="A692" s="505"/>
      <c r="B692" s="607" t="s">
        <v>1168</v>
      </c>
      <c r="C692" s="507">
        <v>8</v>
      </c>
      <c r="D692" s="508">
        <v>150</v>
      </c>
      <c r="E692" s="507">
        <v>1</v>
      </c>
      <c r="F692" s="502">
        <v>1</v>
      </c>
      <c r="G692" s="502">
        <f>+ROUND(4.24/(D692/1000)+1,0)/2</f>
        <v>14.5</v>
      </c>
      <c r="H692" s="602"/>
      <c r="I692" s="602">
        <f>0.1+0.8</f>
        <v>0.9</v>
      </c>
      <c r="J692" s="235"/>
      <c r="K692" s="509"/>
      <c r="L692" s="510">
        <f t="shared" si="444"/>
        <v>0.9</v>
      </c>
      <c r="M692" s="510">
        <f t="shared" si="394"/>
        <v>13.05</v>
      </c>
      <c r="N692" s="510">
        <f t="shared" si="437"/>
        <v>0</v>
      </c>
      <c r="O692" s="510">
        <f t="shared" si="438"/>
        <v>0</v>
      </c>
      <c r="P692" s="510">
        <f t="shared" si="439"/>
        <v>0</v>
      </c>
      <c r="Q692" s="510">
        <f t="shared" si="440"/>
        <v>0</v>
      </c>
      <c r="R692" s="510">
        <f t="shared" si="441"/>
        <v>0</v>
      </c>
    </row>
    <row r="693" spans="1:18">
      <c r="A693" s="505"/>
      <c r="B693" s="607" t="s">
        <v>1168</v>
      </c>
      <c r="C693" s="507">
        <v>8</v>
      </c>
      <c r="D693" s="508">
        <v>150</v>
      </c>
      <c r="E693" s="507">
        <v>1</v>
      </c>
      <c r="F693" s="502">
        <v>1</v>
      </c>
      <c r="G693" s="502">
        <v>17</v>
      </c>
      <c r="H693" s="602"/>
      <c r="I693" s="602">
        <f>0.1+1.47+0.1</f>
        <v>1.6700000000000002</v>
      </c>
      <c r="J693" s="235"/>
      <c r="K693" s="509"/>
      <c r="L693" s="510">
        <f t="shared" si="444"/>
        <v>1.6700000000000002</v>
      </c>
      <c r="M693" s="510">
        <f t="shared" si="394"/>
        <v>28.39</v>
      </c>
      <c r="N693" s="510">
        <f t="shared" si="437"/>
        <v>0</v>
      </c>
      <c r="O693" s="510">
        <f t="shared" si="438"/>
        <v>0</v>
      </c>
      <c r="P693" s="510">
        <f t="shared" si="439"/>
        <v>0</v>
      </c>
      <c r="Q693" s="510">
        <f t="shared" si="440"/>
        <v>0</v>
      </c>
      <c r="R693" s="510">
        <f t="shared" si="441"/>
        <v>0</v>
      </c>
    </row>
    <row r="694" spans="1:18">
      <c r="A694" s="505"/>
      <c r="B694" s="607" t="s">
        <v>1159</v>
      </c>
      <c r="C694" s="507">
        <v>8</v>
      </c>
      <c r="D694" s="508">
        <v>200</v>
      </c>
      <c r="E694" s="507">
        <v>1</v>
      </c>
      <c r="F694" s="502">
        <v>1</v>
      </c>
      <c r="G694" s="502">
        <f>+ROUND(0.8/(D694/1000)+1,0)</f>
        <v>5</v>
      </c>
      <c r="H694" s="602">
        <v>0.2</v>
      </c>
      <c r="I694" s="602">
        <v>3.05</v>
      </c>
      <c r="J694" s="235"/>
      <c r="K694" s="509"/>
      <c r="L694" s="510">
        <f t="shared" ref="L694" si="445">SUM(H694:J694)+K694</f>
        <v>3.25</v>
      </c>
      <c r="M694" s="510">
        <f t="shared" si="394"/>
        <v>16.25</v>
      </c>
      <c r="N694" s="510">
        <f t="shared" si="437"/>
        <v>0</v>
      </c>
      <c r="O694" s="510">
        <f t="shared" si="438"/>
        <v>0</v>
      </c>
      <c r="P694" s="510">
        <f t="shared" si="439"/>
        <v>0</v>
      </c>
      <c r="Q694" s="510">
        <f t="shared" si="440"/>
        <v>0</v>
      </c>
      <c r="R694" s="510">
        <f t="shared" si="441"/>
        <v>0</v>
      </c>
    </row>
    <row r="695" spans="1:18">
      <c r="A695" s="505"/>
      <c r="B695" s="607" t="s">
        <v>1159</v>
      </c>
      <c r="C695" s="507">
        <v>8</v>
      </c>
      <c r="D695" s="508">
        <v>200</v>
      </c>
      <c r="E695" s="507">
        <v>1</v>
      </c>
      <c r="F695" s="502">
        <v>1</v>
      </c>
      <c r="G695" s="502">
        <f>+ROUND(1.1/(D695/1000)+1,0)</f>
        <v>7</v>
      </c>
      <c r="H695" s="602">
        <v>0.1</v>
      </c>
      <c r="I695" s="602">
        <v>3.76</v>
      </c>
      <c r="J695" s="235"/>
      <c r="K695" s="509"/>
      <c r="L695" s="510">
        <f>SUM(H695:J695)+K695</f>
        <v>3.86</v>
      </c>
      <c r="M695" s="510">
        <f t="shared" si="394"/>
        <v>27.02</v>
      </c>
      <c r="N695" s="510">
        <f t="shared" si="437"/>
        <v>0</v>
      </c>
      <c r="O695" s="510">
        <f t="shared" si="438"/>
        <v>0</v>
      </c>
      <c r="P695" s="510">
        <f t="shared" si="439"/>
        <v>0</v>
      </c>
      <c r="Q695" s="510">
        <f t="shared" si="440"/>
        <v>0</v>
      </c>
      <c r="R695" s="510">
        <f t="shared" si="441"/>
        <v>0</v>
      </c>
    </row>
    <row r="696" spans="1:18">
      <c r="A696" s="505"/>
      <c r="B696" s="607" t="s">
        <v>1159</v>
      </c>
      <c r="C696" s="507">
        <v>8</v>
      </c>
      <c r="D696" s="508">
        <v>200</v>
      </c>
      <c r="E696" s="507">
        <v>1</v>
      </c>
      <c r="F696" s="502">
        <v>1</v>
      </c>
      <c r="G696" s="502">
        <v>6</v>
      </c>
      <c r="H696" s="602">
        <v>0.2</v>
      </c>
      <c r="I696" s="602">
        <v>3.2</v>
      </c>
      <c r="J696" s="235"/>
      <c r="K696" s="509"/>
      <c r="L696" s="510">
        <f t="shared" ref="L696" si="446">SUM(H696:J696)+K696</f>
        <v>3.4000000000000004</v>
      </c>
      <c r="M696" s="510">
        <f t="shared" si="394"/>
        <v>20.399999999999999</v>
      </c>
      <c r="N696" s="510">
        <f t="shared" si="437"/>
        <v>0</v>
      </c>
      <c r="O696" s="510">
        <f t="shared" si="438"/>
        <v>0</v>
      </c>
      <c r="P696" s="510">
        <f t="shared" si="439"/>
        <v>0</v>
      </c>
      <c r="Q696" s="510">
        <f t="shared" si="440"/>
        <v>0</v>
      </c>
      <c r="R696" s="510">
        <f t="shared" si="441"/>
        <v>0</v>
      </c>
    </row>
    <row r="697" spans="1:18">
      <c r="A697" s="505"/>
      <c r="B697" s="607" t="s">
        <v>1159</v>
      </c>
      <c r="C697" s="507">
        <v>8</v>
      </c>
      <c r="D697" s="508">
        <v>200</v>
      </c>
      <c r="E697" s="507">
        <v>1</v>
      </c>
      <c r="F697" s="502">
        <v>1</v>
      </c>
      <c r="G697" s="502">
        <f>+ROUND(1.6/(D697/1000)+1,0)</f>
        <v>9</v>
      </c>
      <c r="H697" s="602">
        <v>0.2</v>
      </c>
      <c r="I697" s="602">
        <v>6.79</v>
      </c>
      <c r="J697" s="235"/>
      <c r="K697" s="509"/>
      <c r="L697" s="510">
        <f>SUM(H697:J697)+K697</f>
        <v>6.99</v>
      </c>
      <c r="M697" s="510">
        <f t="shared" si="394"/>
        <v>62.91</v>
      </c>
      <c r="N697" s="510">
        <f t="shared" si="437"/>
        <v>0</v>
      </c>
      <c r="O697" s="510">
        <f t="shared" si="438"/>
        <v>0</v>
      </c>
      <c r="P697" s="510">
        <f t="shared" si="439"/>
        <v>0</v>
      </c>
      <c r="Q697" s="510">
        <f t="shared" si="440"/>
        <v>0</v>
      </c>
      <c r="R697" s="510">
        <f t="shared" si="441"/>
        <v>0</v>
      </c>
    </row>
    <row r="698" spans="1:18">
      <c r="A698" s="505"/>
      <c r="B698" s="607" t="s">
        <v>1159</v>
      </c>
      <c r="C698" s="507">
        <v>8</v>
      </c>
      <c r="D698" s="508">
        <v>200</v>
      </c>
      <c r="E698" s="507">
        <v>1</v>
      </c>
      <c r="F698" s="502">
        <v>1</v>
      </c>
      <c r="G698" s="502">
        <f>+ROUND(1.46/(D698/1000)+1,0)</f>
        <v>8</v>
      </c>
      <c r="H698" s="602">
        <v>0.2</v>
      </c>
      <c r="I698" s="602">
        <v>1.47</v>
      </c>
      <c r="J698" s="235"/>
      <c r="K698" s="509"/>
      <c r="L698" s="510">
        <f>SUM(H698:J698)+K698</f>
        <v>1.67</v>
      </c>
      <c r="M698" s="510">
        <f t="shared" si="394"/>
        <v>13.36</v>
      </c>
      <c r="N698" s="510">
        <f t="shared" si="437"/>
        <v>0</v>
      </c>
      <c r="O698" s="510">
        <f t="shared" si="438"/>
        <v>0</v>
      </c>
      <c r="P698" s="510">
        <f t="shared" si="439"/>
        <v>0</v>
      </c>
      <c r="Q698" s="510">
        <f t="shared" si="440"/>
        <v>0</v>
      </c>
      <c r="R698" s="510">
        <f t="shared" si="441"/>
        <v>0</v>
      </c>
    </row>
    <row r="699" spans="1:18">
      <c r="A699" s="505"/>
      <c r="B699" s="607" t="s">
        <v>1159</v>
      </c>
      <c r="C699" s="507">
        <v>8</v>
      </c>
      <c r="D699" s="508">
        <v>200</v>
      </c>
      <c r="E699" s="507">
        <v>1</v>
      </c>
      <c r="F699" s="502">
        <v>1</v>
      </c>
      <c r="G699" s="502">
        <f>+ROUND(1.3/(D699/1000)+1,0)</f>
        <v>8</v>
      </c>
      <c r="H699" s="602">
        <v>0.2</v>
      </c>
      <c r="I699" s="602">
        <v>2.5499999999999998</v>
      </c>
      <c r="J699" s="235"/>
      <c r="K699" s="509"/>
      <c r="L699" s="510">
        <f>SUM(H699:J699)+K699</f>
        <v>2.75</v>
      </c>
      <c r="M699" s="510">
        <f t="shared" si="394"/>
        <v>22</v>
      </c>
      <c r="N699" s="510">
        <f t="shared" si="437"/>
        <v>0</v>
      </c>
      <c r="O699" s="510">
        <f t="shared" si="438"/>
        <v>0</v>
      </c>
      <c r="P699" s="510">
        <f t="shared" si="439"/>
        <v>0</v>
      </c>
      <c r="Q699" s="510">
        <f t="shared" si="440"/>
        <v>0</v>
      </c>
      <c r="R699" s="510">
        <f t="shared" si="441"/>
        <v>0</v>
      </c>
    </row>
    <row r="700" spans="1:18">
      <c r="A700" s="505"/>
      <c r="B700" s="607" t="s">
        <v>1159</v>
      </c>
      <c r="C700" s="507">
        <v>8</v>
      </c>
      <c r="D700" s="508">
        <v>200</v>
      </c>
      <c r="E700" s="507">
        <v>1</v>
      </c>
      <c r="F700" s="502">
        <v>1</v>
      </c>
      <c r="G700" s="502">
        <f>+ROUND(1.1/(D700/1000)+1,0)</f>
        <v>7</v>
      </c>
      <c r="H700" s="602">
        <v>0.1</v>
      </c>
      <c r="I700" s="602">
        <v>3.76</v>
      </c>
      <c r="J700" s="235"/>
      <c r="K700" s="509"/>
      <c r="L700" s="510">
        <f>SUM(H700:J700)+K700</f>
        <v>3.86</v>
      </c>
      <c r="M700" s="510">
        <f t="shared" si="394"/>
        <v>27.02</v>
      </c>
      <c r="N700" s="510">
        <f t="shared" si="437"/>
        <v>0</v>
      </c>
      <c r="O700" s="510">
        <f t="shared" si="438"/>
        <v>0</v>
      </c>
      <c r="P700" s="510">
        <f t="shared" si="439"/>
        <v>0</v>
      </c>
      <c r="Q700" s="510">
        <f t="shared" si="440"/>
        <v>0</v>
      </c>
      <c r="R700" s="510">
        <f t="shared" si="441"/>
        <v>0</v>
      </c>
    </row>
    <row r="701" spans="1:18">
      <c r="A701" s="505"/>
      <c r="B701" s="511"/>
      <c r="C701" s="507"/>
      <c r="D701" s="508"/>
      <c r="E701" s="507"/>
      <c r="F701" s="502"/>
      <c r="G701" s="502"/>
      <c r="H701" s="602"/>
      <c r="I701" s="602"/>
      <c r="J701" s="235"/>
      <c r="K701" s="509"/>
      <c r="L701" s="510"/>
      <c r="M701" s="510"/>
      <c r="N701" s="510"/>
      <c r="O701" s="510"/>
      <c r="P701" s="510"/>
      <c r="Q701" s="510"/>
      <c r="R701" s="510"/>
    </row>
    <row r="702" spans="1:18">
      <c r="A702" s="505"/>
      <c r="B702" s="506" t="s">
        <v>1184</v>
      </c>
      <c r="C702" s="507"/>
      <c r="D702" s="508"/>
      <c r="E702" s="507"/>
      <c r="F702" s="502"/>
      <c r="G702" s="502"/>
      <c r="H702" s="602"/>
      <c r="I702" s="602"/>
      <c r="J702" s="235"/>
      <c r="K702" s="509"/>
      <c r="L702" s="510"/>
      <c r="M702" s="510">
        <f t="shared" ref="M702:M730" si="447">+ROUND(IF(C702=8,PRODUCT(E702,F702,G702,L702),0),2)</f>
        <v>0</v>
      </c>
      <c r="N702" s="510">
        <f t="shared" ref="N702:N730" si="448">+ROUND(IF(C702=10,PRODUCT(E702,F702,G702,L702),0),2)</f>
        <v>0</v>
      </c>
      <c r="O702" s="510">
        <f t="shared" ref="O702:O730" si="449">+ROUND(IF(C702=12,PRODUCT(E702,F702,G702,L702),0),2)</f>
        <v>0</v>
      </c>
      <c r="P702" s="510">
        <f t="shared" ref="P702:P730" si="450">+ROUND(IF(C702=16,PRODUCT(E702,F702,G702,L702),0),2)</f>
        <v>0</v>
      </c>
      <c r="Q702" s="510">
        <f t="shared" ref="Q702:Q730" si="451">+ROUND(IF(C702=20,PRODUCT(E702,F702,G702,L702),0),2)</f>
        <v>0</v>
      </c>
      <c r="R702" s="510">
        <f t="shared" ref="R702:R730" si="452">+ROUND(IF(C702=25,PRODUCT(E702,F702,G702,L702),0),2)</f>
        <v>0</v>
      </c>
    </row>
    <row r="703" spans="1:18">
      <c r="A703" s="505"/>
      <c r="B703" s="607" t="s">
        <v>1185</v>
      </c>
      <c r="C703" s="507">
        <v>8</v>
      </c>
      <c r="D703" s="508">
        <v>200</v>
      </c>
      <c r="E703" s="507">
        <v>1</v>
      </c>
      <c r="F703" s="502">
        <v>1</v>
      </c>
      <c r="G703" s="502">
        <f>+ROUND(3.25/(D703/1000)+1,0)</f>
        <v>17</v>
      </c>
      <c r="H703" s="602"/>
      <c r="I703" s="602">
        <f>0.175+2.365+0.175</f>
        <v>2.7149999999999999</v>
      </c>
      <c r="J703" s="235"/>
      <c r="K703" s="589"/>
      <c r="L703" s="510">
        <f>SUM(H703:J703)+K703</f>
        <v>2.7149999999999999</v>
      </c>
      <c r="M703" s="510">
        <f t="shared" si="447"/>
        <v>46.16</v>
      </c>
      <c r="N703" s="510">
        <f t="shared" si="448"/>
        <v>0</v>
      </c>
      <c r="O703" s="510">
        <f t="shared" si="449"/>
        <v>0</v>
      </c>
      <c r="P703" s="510">
        <f t="shared" si="450"/>
        <v>0</v>
      </c>
      <c r="Q703" s="510">
        <f t="shared" si="451"/>
        <v>0</v>
      </c>
      <c r="R703" s="510">
        <f t="shared" si="452"/>
        <v>0</v>
      </c>
    </row>
    <row r="704" spans="1:18">
      <c r="A704" s="505"/>
      <c r="B704" s="607" t="s">
        <v>1155</v>
      </c>
      <c r="C704" s="507">
        <v>8</v>
      </c>
      <c r="D704" s="508">
        <v>200</v>
      </c>
      <c r="E704" s="507">
        <v>1</v>
      </c>
      <c r="F704" s="502">
        <v>1</v>
      </c>
      <c r="G704" s="502">
        <f>+ROUND(2.365/(D704/1000)+1,0)</f>
        <v>13</v>
      </c>
      <c r="H704" s="602"/>
      <c r="I704" s="602">
        <v>4.12</v>
      </c>
      <c r="J704" s="235"/>
      <c r="K704" s="589"/>
      <c r="L704" s="510">
        <f>SUM(H704:J704)+K704</f>
        <v>4.12</v>
      </c>
      <c r="M704" s="510">
        <f t="shared" si="447"/>
        <v>53.56</v>
      </c>
      <c r="N704" s="510">
        <f t="shared" si="448"/>
        <v>0</v>
      </c>
      <c r="O704" s="510">
        <f t="shared" si="449"/>
        <v>0</v>
      </c>
      <c r="P704" s="510">
        <f t="shared" si="450"/>
        <v>0</v>
      </c>
      <c r="Q704" s="510">
        <f t="shared" si="451"/>
        <v>0</v>
      </c>
      <c r="R704" s="510">
        <f t="shared" si="452"/>
        <v>0</v>
      </c>
    </row>
    <row r="705" spans="1:18">
      <c r="A705" s="505"/>
      <c r="B705" s="607" t="s">
        <v>1156</v>
      </c>
      <c r="C705" s="507">
        <v>8</v>
      </c>
      <c r="D705" s="508">
        <v>200</v>
      </c>
      <c r="E705" s="507">
        <v>1</v>
      </c>
      <c r="F705" s="502">
        <v>1</v>
      </c>
      <c r="G705" s="502">
        <v>12</v>
      </c>
      <c r="H705" s="602">
        <v>0.1</v>
      </c>
      <c r="I705" s="602">
        <f>0.55+0.175</f>
        <v>0.72500000000000009</v>
      </c>
      <c r="J705" s="235"/>
      <c r="K705" s="509"/>
      <c r="L705" s="510">
        <f>SUM(H705:J705)+K705</f>
        <v>0.82500000000000007</v>
      </c>
      <c r="M705" s="510">
        <f t="shared" si="447"/>
        <v>9.9</v>
      </c>
      <c r="N705" s="510">
        <f t="shared" si="448"/>
        <v>0</v>
      </c>
      <c r="O705" s="510">
        <f t="shared" si="449"/>
        <v>0</v>
      </c>
      <c r="P705" s="510">
        <f t="shared" si="450"/>
        <v>0</v>
      </c>
      <c r="Q705" s="510">
        <f t="shared" si="451"/>
        <v>0</v>
      </c>
      <c r="R705" s="510">
        <f t="shared" si="452"/>
        <v>0</v>
      </c>
    </row>
    <row r="706" spans="1:18">
      <c r="A706" s="505"/>
      <c r="B706" s="607" t="s">
        <v>1156</v>
      </c>
      <c r="C706" s="507">
        <v>8</v>
      </c>
      <c r="D706" s="508">
        <v>200</v>
      </c>
      <c r="E706" s="507">
        <v>1</v>
      </c>
      <c r="F706" s="502">
        <v>1</v>
      </c>
      <c r="G706" s="502">
        <v>8</v>
      </c>
      <c r="H706" s="602">
        <v>0.1</v>
      </c>
      <c r="I706" s="602">
        <f>0.45+0.175</f>
        <v>0.625</v>
      </c>
      <c r="J706" s="235"/>
      <c r="K706" s="509"/>
      <c r="L706" s="510">
        <f t="shared" ref="L706" si="453">SUM(H706:J706)+K706</f>
        <v>0.72499999999999998</v>
      </c>
      <c r="M706" s="510">
        <f t="shared" si="447"/>
        <v>5.8</v>
      </c>
      <c r="N706" s="510">
        <f t="shared" si="448"/>
        <v>0</v>
      </c>
      <c r="O706" s="510">
        <f t="shared" si="449"/>
        <v>0</v>
      </c>
      <c r="P706" s="510">
        <f t="shared" si="450"/>
        <v>0</v>
      </c>
      <c r="Q706" s="510">
        <f t="shared" si="451"/>
        <v>0</v>
      </c>
      <c r="R706" s="510">
        <f t="shared" si="452"/>
        <v>0</v>
      </c>
    </row>
    <row r="707" spans="1:18">
      <c r="A707" s="505"/>
      <c r="B707" s="607" t="s">
        <v>1168</v>
      </c>
      <c r="C707" s="507">
        <v>8</v>
      </c>
      <c r="D707" s="508">
        <v>150</v>
      </c>
      <c r="E707" s="507">
        <v>1</v>
      </c>
      <c r="F707" s="502">
        <v>1</v>
      </c>
      <c r="G707" s="502">
        <f>+ROUND(1.53/(D707/1000)+1,0)/2</f>
        <v>5.5</v>
      </c>
      <c r="H707" s="602"/>
      <c r="I707" s="602">
        <f>0.1+0.8</f>
        <v>0.9</v>
      </c>
      <c r="J707" s="235"/>
      <c r="K707" s="509"/>
      <c r="L707" s="510">
        <f>SUM(H707:J707)+K707</f>
        <v>0.9</v>
      </c>
      <c r="M707" s="510">
        <f t="shared" si="447"/>
        <v>4.95</v>
      </c>
      <c r="N707" s="510">
        <f t="shared" si="448"/>
        <v>0</v>
      </c>
      <c r="O707" s="510">
        <f t="shared" si="449"/>
        <v>0</v>
      </c>
      <c r="P707" s="510">
        <f t="shared" si="450"/>
        <v>0</v>
      </c>
      <c r="Q707" s="510">
        <f t="shared" si="451"/>
        <v>0</v>
      </c>
      <c r="R707" s="510">
        <f t="shared" si="452"/>
        <v>0</v>
      </c>
    </row>
    <row r="708" spans="1:18">
      <c r="A708" s="505"/>
      <c r="B708" s="607" t="s">
        <v>1168</v>
      </c>
      <c r="C708" s="507">
        <v>8</v>
      </c>
      <c r="D708" s="508">
        <v>150</v>
      </c>
      <c r="E708" s="507">
        <v>1</v>
      </c>
      <c r="F708" s="502">
        <v>1</v>
      </c>
      <c r="G708" s="502">
        <v>5</v>
      </c>
      <c r="H708" s="602"/>
      <c r="I708" s="602">
        <f>0.1+0.4</f>
        <v>0.5</v>
      </c>
      <c r="J708" s="235"/>
      <c r="K708" s="509"/>
      <c r="L708" s="510">
        <f t="shared" ref="L708" si="454">SUM(H708:J708)+K708</f>
        <v>0.5</v>
      </c>
      <c r="M708" s="510">
        <f t="shared" si="447"/>
        <v>2.5</v>
      </c>
      <c r="N708" s="510">
        <f t="shared" si="448"/>
        <v>0</v>
      </c>
      <c r="O708" s="510">
        <f t="shared" si="449"/>
        <v>0</v>
      </c>
      <c r="P708" s="510">
        <f t="shared" si="450"/>
        <v>0</v>
      </c>
      <c r="Q708" s="510">
        <f t="shared" si="451"/>
        <v>0</v>
      </c>
      <c r="R708" s="510">
        <f t="shared" si="452"/>
        <v>0</v>
      </c>
    </row>
    <row r="709" spans="1:18">
      <c r="A709" s="505"/>
      <c r="B709" s="607" t="s">
        <v>1156</v>
      </c>
      <c r="C709" s="507">
        <v>8</v>
      </c>
      <c r="D709" s="508">
        <v>200</v>
      </c>
      <c r="E709" s="507">
        <v>1</v>
      </c>
      <c r="F709" s="502">
        <v>1</v>
      </c>
      <c r="G709" s="502">
        <f>+ROUND(3.25/(D709/1000)+1,0)/2</f>
        <v>8.5</v>
      </c>
      <c r="H709" s="602"/>
      <c r="I709" s="602">
        <f>0.1+0.8</f>
        <v>0.9</v>
      </c>
      <c r="J709" s="235"/>
      <c r="K709" s="509"/>
      <c r="L709" s="510">
        <f>SUM(H709:J709)+K709</f>
        <v>0.9</v>
      </c>
      <c r="M709" s="510">
        <f t="shared" si="447"/>
        <v>7.65</v>
      </c>
      <c r="N709" s="510">
        <f t="shared" si="448"/>
        <v>0</v>
      </c>
      <c r="O709" s="510">
        <f t="shared" si="449"/>
        <v>0</v>
      </c>
      <c r="P709" s="510">
        <f t="shared" si="450"/>
        <v>0</v>
      </c>
      <c r="Q709" s="510">
        <f t="shared" si="451"/>
        <v>0</v>
      </c>
      <c r="R709" s="510">
        <f t="shared" si="452"/>
        <v>0</v>
      </c>
    </row>
    <row r="710" spans="1:18">
      <c r="A710" s="505"/>
      <c r="B710" s="607" t="s">
        <v>1156</v>
      </c>
      <c r="C710" s="507">
        <v>8</v>
      </c>
      <c r="D710" s="508">
        <v>200</v>
      </c>
      <c r="E710" s="507">
        <v>1</v>
      </c>
      <c r="F710" s="502">
        <v>1</v>
      </c>
      <c r="G710" s="502">
        <v>8</v>
      </c>
      <c r="H710" s="602"/>
      <c r="I710" s="602">
        <f>0.1+0.4</f>
        <v>0.5</v>
      </c>
      <c r="J710" s="235"/>
      <c r="K710" s="509"/>
      <c r="L710" s="510">
        <f t="shared" ref="L710" si="455">SUM(H710:J710)+K710</f>
        <v>0.5</v>
      </c>
      <c r="M710" s="510">
        <f t="shared" si="447"/>
        <v>4</v>
      </c>
      <c r="N710" s="510">
        <f t="shared" si="448"/>
        <v>0</v>
      </c>
      <c r="O710" s="510">
        <f t="shared" si="449"/>
        <v>0</v>
      </c>
      <c r="P710" s="510">
        <f t="shared" si="450"/>
        <v>0</v>
      </c>
      <c r="Q710" s="510">
        <f t="shared" si="451"/>
        <v>0</v>
      </c>
      <c r="R710" s="510">
        <f t="shared" si="452"/>
        <v>0</v>
      </c>
    </row>
    <row r="711" spans="1:18">
      <c r="A711" s="505"/>
      <c r="B711" s="607" t="s">
        <v>1156</v>
      </c>
      <c r="C711" s="507">
        <v>8</v>
      </c>
      <c r="D711" s="508">
        <v>200</v>
      </c>
      <c r="E711" s="507">
        <v>1</v>
      </c>
      <c r="F711" s="502">
        <v>1</v>
      </c>
      <c r="G711" s="502">
        <v>6</v>
      </c>
      <c r="H711" s="602"/>
      <c r="I711" s="602">
        <v>0.65</v>
      </c>
      <c r="J711" s="235"/>
      <c r="K711" s="509"/>
      <c r="L711" s="510">
        <f t="shared" ref="L711" si="456">SUM(H711:J711)+K711</f>
        <v>0.65</v>
      </c>
      <c r="M711" s="510">
        <f t="shared" ref="M711" si="457">+ROUND(IF(C711=8,PRODUCT(E711,F711,G711,L711),0),2)</f>
        <v>3.9</v>
      </c>
      <c r="N711" s="510">
        <f t="shared" ref="N711" si="458">+ROUND(IF(C711=10,PRODUCT(E711,F711,G711,L711),0),2)</f>
        <v>0</v>
      </c>
      <c r="O711" s="510">
        <f t="shared" ref="O711" si="459">+ROUND(IF(C711=12,PRODUCT(E711,F711,G711,L711),0),2)</f>
        <v>0</v>
      </c>
      <c r="P711" s="510">
        <f t="shared" ref="P711" si="460">+ROUND(IF(C711=16,PRODUCT(E711,F711,G711,L711),0),2)</f>
        <v>0</v>
      </c>
      <c r="Q711" s="510">
        <f t="shared" ref="Q711" si="461">+ROUND(IF(C711=20,PRODUCT(E711,F711,G711,L711),0),2)</f>
        <v>0</v>
      </c>
      <c r="R711" s="510">
        <f t="shared" ref="R711" si="462">+ROUND(IF(C711=25,PRODUCT(E711,F711,G711,L711),0),2)</f>
        <v>0</v>
      </c>
    </row>
    <row r="712" spans="1:18">
      <c r="A712" s="505"/>
      <c r="B712" s="607" t="s">
        <v>1156</v>
      </c>
      <c r="C712" s="507">
        <v>8</v>
      </c>
      <c r="D712" s="508">
        <v>200</v>
      </c>
      <c r="E712" s="507">
        <v>1</v>
      </c>
      <c r="F712" s="502">
        <v>1</v>
      </c>
      <c r="G712" s="502">
        <v>5</v>
      </c>
      <c r="H712" s="602"/>
      <c r="I712" s="602">
        <v>1.1000000000000001</v>
      </c>
      <c r="J712" s="235"/>
      <c r="K712" s="509"/>
      <c r="L712" s="510">
        <f t="shared" ref="L712" si="463">SUM(H712:J712)+K712</f>
        <v>1.1000000000000001</v>
      </c>
      <c r="M712" s="510">
        <f t="shared" ref="M712" si="464">+ROUND(IF(C712=8,PRODUCT(E712,F712,G712,L712),0),2)</f>
        <v>5.5</v>
      </c>
      <c r="N712" s="510">
        <f t="shared" ref="N712" si="465">+ROUND(IF(C712=10,PRODUCT(E712,F712,G712,L712),0),2)</f>
        <v>0</v>
      </c>
      <c r="O712" s="510">
        <f t="shared" ref="O712" si="466">+ROUND(IF(C712=12,PRODUCT(E712,F712,G712,L712),0),2)</f>
        <v>0</v>
      </c>
      <c r="P712" s="510">
        <f t="shared" ref="P712" si="467">+ROUND(IF(C712=16,PRODUCT(E712,F712,G712,L712),0),2)</f>
        <v>0</v>
      </c>
      <c r="Q712" s="510">
        <f t="shared" ref="Q712" si="468">+ROUND(IF(C712=20,PRODUCT(E712,F712,G712,L712),0),2)</f>
        <v>0</v>
      </c>
      <c r="R712" s="510">
        <f t="shared" ref="R712" si="469">+ROUND(IF(C712=25,PRODUCT(E712,F712,G712,L712),0),2)</f>
        <v>0</v>
      </c>
    </row>
    <row r="713" spans="1:18">
      <c r="A713" s="505"/>
      <c r="B713" s="607" t="s">
        <v>1159</v>
      </c>
      <c r="C713" s="507">
        <v>8</v>
      </c>
      <c r="D713" s="508">
        <v>200</v>
      </c>
      <c r="E713" s="507">
        <v>1</v>
      </c>
      <c r="F713" s="502">
        <v>1</v>
      </c>
      <c r="G713" s="502">
        <f>+ROUND(0.55/(D713/1000)+1,0)</f>
        <v>4</v>
      </c>
      <c r="H713" s="602">
        <v>0.2</v>
      </c>
      <c r="I713" s="602">
        <v>2.3650000000000002</v>
      </c>
      <c r="J713" s="235"/>
      <c r="K713" s="509"/>
      <c r="L713" s="510">
        <f t="shared" ref="L713:L715" si="470">SUM(H713:J713)+K713</f>
        <v>2.5650000000000004</v>
      </c>
      <c r="M713" s="510">
        <f t="shared" si="447"/>
        <v>10.26</v>
      </c>
      <c r="N713" s="510">
        <f t="shared" si="448"/>
        <v>0</v>
      </c>
      <c r="O713" s="510">
        <f t="shared" si="449"/>
        <v>0</v>
      </c>
      <c r="P713" s="510">
        <f t="shared" si="450"/>
        <v>0</v>
      </c>
      <c r="Q713" s="510">
        <f t="shared" si="451"/>
        <v>0</v>
      </c>
      <c r="R713" s="510">
        <f t="shared" si="452"/>
        <v>0</v>
      </c>
    </row>
    <row r="714" spans="1:18">
      <c r="A714" s="505"/>
      <c r="B714" s="607" t="s">
        <v>1159</v>
      </c>
      <c r="C714" s="507">
        <v>8</v>
      </c>
      <c r="D714" s="508">
        <v>200</v>
      </c>
      <c r="E714" s="507">
        <v>1</v>
      </c>
      <c r="F714" s="502">
        <v>1</v>
      </c>
      <c r="G714" s="502">
        <f>+ROUND(0.8/(D714/1000)+1,0)</f>
        <v>5</v>
      </c>
      <c r="H714" s="602">
        <v>0.2</v>
      </c>
      <c r="I714" s="602">
        <v>3.25</v>
      </c>
      <c r="J714" s="235"/>
      <c r="K714" s="509"/>
      <c r="L714" s="510">
        <f t="shared" si="470"/>
        <v>3.45</v>
      </c>
      <c r="M714" s="510">
        <f t="shared" si="447"/>
        <v>17.25</v>
      </c>
      <c r="N714" s="510">
        <f t="shared" si="448"/>
        <v>0</v>
      </c>
      <c r="O714" s="510">
        <f t="shared" si="449"/>
        <v>0</v>
      </c>
      <c r="P714" s="510">
        <f t="shared" si="450"/>
        <v>0</v>
      </c>
      <c r="Q714" s="510">
        <f t="shared" si="451"/>
        <v>0</v>
      </c>
      <c r="R714" s="510">
        <f t="shared" si="452"/>
        <v>0</v>
      </c>
    </row>
    <row r="715" spans="1:18">
      <c r="A715" s="505"/>
      <c r="B715" s="607" t="s">
        <v>1159</v>
      </c>
      <c r="C715" s="507">
        <v>8</v>
      </c>
      <c r="D715" s="508">
        <v>200</v>
      </c>
      <c r="E715" s="507">
        <v>1</v>
      </c>
      <c r="F715" s="502">
        <v>1</v>
      </c>
      <c r="G715" s="502">
        <f>+ROUND(0.8/(D715/1000)+1,0)</f>
        <v>5</v>
      </c>
      <c r="H715" s="602">
        <v>0.2</v>
      </c>
      <c r="I715" s="602">
        <v>3.25</v>
      </c>
      <c r="J715" s="235"/>
      <c r="K715" s="509"/>
      <c r="L715" s="510">
        <f t="shared" si="470"/>
        <v>3.45</v>
      </c>
      <c r="M715" s="510">
        <f t="shared" si="447"/>
        <v>17.25</v>
      </c>
      <c r="N715" s="510">
        <f t="shared" si="448"/>
        <v>0</v>
      </c>
      <c r="O715" s="510">
        <f t="shared" si="449"/>
        <v>0</v>
      </c>
      <c r="P715" s="510">
        <f t="shared" si="450"/>
        <v>0</v>
      </c>
      <c r="Q715" s="510">
        <f t="shared" si="451"/>
        <v>0</v>
      </c>
      <c r="R715" s="510">
        <f t="shared" si="452"/>
        <v>0</v>
      </c>
    </row>
    <row r="716" spans="1:18">
      <c r="A716" s="505"/>
      <c r="B716" s="511"/>
      <c r="C716" s="507"/>
      <c r="D716" s="508"/>
      <c r="E716" s="507"/>
      <c r="F716" s="502"/>
      <c r="G716" s="502"/>
      <c r="H716" s="602"/>
      <c r="I716" s="602"/>
      <c r="J716" s="235"/>
      <c r="K716" s="509"/>
      <c r="L716" s="510"/>
      <c r="M716" s="510"/>
      <c r="N716" s="510"/>
      <c r="O716" s="510"/>
      <c r="P716" s="510"/>
      <c r="Q716" s="510"/>
      <c r="R716" s="510"/>
    </row>
    <row r="717" spans="1:18">
      <c r="A717" s="505"/>
      <c r="B717" s="506" t="s">
        <v>1186</v>
      </c>
      <c r="C717" s="507"/>
      <c r="D717" s="508"/>
      <c r="E717" s="507"/>
      <c r="F717" s="502"/>
      <c r="G717" s="502"/>
      <c r="H717" s="602"/>
      <c r="I717" s="602"/>
      <c r="J717" s="235"/>
      <c r="K717" s="509"/>
      <c r="L717" s="510"/>
      <c r="M717" s="510">
        <f t="shared" si="447"/>
        <v>0</v>
      </c>
      <c r="N717" s="510">
        <f t="shared" si="448"/>
        <v>0</v>
      </c>
      <c r="O717" s="510">
        <f t="shared" si="449"/>
        <v>0</v>
      </c>
      <c r="P717" s="510">
        <f t="shared" si="450"/>
        <v>0</v>
      </c>
      <c r="Q717" s="510">
        <f t="shared" si="451"/>
        <v>0</v>
      </c>
      <c r="R717" s="510">
        <f t="shared" si="452"/>
        <v>0</v>
      </c>
    </row>
    <row r="718" spans="1:18">
      <c r="A718" s="505"/>
      <c r="B718" s="607" t="s">
        <v>1185</v>
      </c>
      <c r="C718" s="507">
        <v>8</v>
      </c>
      <c r="D718" s="508">
        <v>200</v>
      </c>
      <c r="E718" s="507">
        <v>1</v>
      </c>
      <c r="F718" s="502">
        <v>1</v>
      </c>
      <c r="G718" s="502">
        <f>+ROUND(3.25/(D718/1000)+1,0)</f>
        <v>17</v>
      </c>
      <c r="H718" s="602"/>
      <c r="I718" s="602">
        <f>0.175+2.925+0.175</f>
        <v>3.2749999999999995</v>
      </c>
      <c r="J718" s="235"/>
      <c r="K718" s="589"/>
      <c r="L718" s="510">
        <f>SUM(H718:J718)+K718</f>
        <v>3.2749999999999995</v>
      </c>
      <c r="M718" s="510">
        <f t="shared" si="447"/>
        <v>55.68</v>
      </c>
      <c r="N718" s="510">
        <f t="shared" si="448"/>
        <v>0</v>
      </c>
      <c r="O718" s="510">
        <f t="shared" si="449"/>
        <v>0</v>
      </c>
      <c r="P718" s="510">
        <f t="shared" si="450"/>
        <v>0</v>
      </c>
      <c r="Q718" s="510">
        <f t="shared" si="451"/>
        <v>0</v>
      </c>
      <c r="R718" s="510">
        <f t="shared" si="452"/>
        <v>0</v>
      </c>
    </row>
    <row r="719" spans="1:18">
      <c r="A719" s="505"/>
      <c r="B719" s="607" t="s">
        <v>1155</v>
      </c>
      <c r="C719" s="507">
        <v>8</v>
      </c>
      <c r="D719" s="508">
        <v>200</v>
      </c>
      <c r="E719" s="507">
        <v>1</v>
      </c>
      <c r="F719" s="502">
        <v>1</v>
      </c>
      <c r="G719" s="502">
        <f>+ROUND(2.925/(D719/1000)+1,0)</f>
        <v>16</v>
      </c>
      <c r="H719" s="602"/>
      <c r="I719" s="602">
        <v>4.12</v>
      </c>
      <c r="J719" s="235"/>
      <c r="K719" s="589"/>
      <c r="L719" s="510">
        <f>SUM(H719:J719)+K719</f>
        <v>4.12</v>
      </c>
      <c r="M719" s="510">
        <f t="shared" si="447"/>
        <v>65.92</v>
      </c>
      <c r="N719" s="510">
        <f t="shared" si="448"/>
        <v>0</v>
      </c>
      <c r="O719" s="510">
        <f t="shared" si="449"/>
        <v>0</v>
      </c>
      <c r="P719" s="510">
        <f t="shared" si="450"/>
        <v>0</v>
      </c>
      <c r="Q719" s="510">
        <f t="shared" si="451"/>
        <v>0</v>
      </c>
      <c r="R719" s="510">
        <f t="shared" si="452"/>
        <v>0</v>
      </c>
    </row>
    <row r="720" spans="1:18">
      <c r="A720" s="505"/>
      <c r="B720" s="607" t="s">
        <v>1156</v>
      </c>
      <c r="C720" s="507">
        <v>8</v>
      </c>
      <c r="D720" s="508">
        <v>200</v>
      </c>
      <c r="E720" s="507">
        <v>1</v>
      </c>
      <c r="F720" s="502">
        <v>1</v>
      </c>
      <c r="G720" s="502">
        <f>+ROUND(2.925/(D720/1000)+1,0)</f>
        <v>16</v>
      </c>
      <c r="H720" s="602">
        <v>0.1</v>
      </c>
      <c r="I720" s="602">
        <f>0.55+0.175</f>
        <v>0.72500000000000009</v>
      </c>
      <c r="J720" s="235"/>
      <c r="K720" s="509"/>
      <c r="L720" s="510">
        <f>SUM(H720:J720)+K720</f>
        <v>0.82500000000000007</v>
      </c>
      <c r="M720" s="510">
        <f t="shared" si="447"/>
        <v>13.2</v>
      </c>
      <c r="N720" s="510">
        <f t="shared" si="448"/>
        <v>0</v>
      </c>
      <c r="O720" s="510">
        <f t="shared" si="449"/>
        <v>0</v>
      </c>
      <c r="P720" s="510">
        <f t="shared" si="450"/>
        <v>0</v>
      </c>
      <c r="Q720" s="510">
        <f t="shared" si="451"/>
        <v>0</v>
      </c>
      <c r="R720" s="510">
        <f t="shared" si="452"/>
        <v>0</v>
      </c>
    </row>
    <row r="721" spans="1:18">
      <c r="A721" s="505"/>
      <c r="B721" s="607" t="s">
        <v>1156</v>
      </c>
      <c r="C721" s="507">
        <v>8</v>
      </c>
      <c r="D721" s="508">
        <v>200</v>
      </c>
      <c r="E721" s="507">
        <v>1</v>
      </c>
      <c r="F721" s="502">
        <v>1</v>
      </c>
      <c r="G721" s="502">
        <v>8</v>
      </c>
      <c r="H721" s="602">
        <v>0.1</v>
      </c>
      <c r="I721" s="602">
        <f>0.5+0.175</f>
        <v>0.67500000000000004</v>
      </c>
      <c r="J721" s="235"/>
      <c r="K721" s="509"/>
      <c r="L721" s="510">
        <f t="shared" ref="L721" si="471">SUM(H721:J721)+K721</f>
        <v>0.77500000000000002</v>
      </c>
      <c r="M721" s="510">
        <f t="shared" si="447"/>
        <v>6.2</v>
      </c>
      <c r="N721" s="510">
        <f t="shared" si="448"/>
        <v>0</v>
      </c>
      <c r="O721" s="510">
        <f t="shared" si="449"/>
        <v>0</v>
      </c>
      <c r="P721" s="510">
        <f t="shared" si="450"/>
        <v>0</v>
      </c>
      <c r="Q721" s="510">
        <f t="shared" si="451"/>
        <v>0</v>
      </c>
      <c r="R721" s="510">
        <f t="shared" si="452"/>
        <v>0</v>
      </c>
    </row>
    <row r="722" spans="1:18">
      <c r="A722" s="505"/>
      <c r="B722" s="607" t="s">
        <v>1156</v>
      </c>
      <c r="C722" s="507">
        <v>8</v>
      </c>
      <c r="D722" s="508">
        <v>200</v>
      </c>
      <c r="E722" s="507">
        <v>1</v>
      </c>
      <c r="F722" s="502">
        <v>1</v>
      </c>
      <c r="G722" s="502">
        <f>+ROUND(1.53/(D722/1000)+1,0)/2</f>
        <v>4.5</v>
      </c>
      <c r="H722" s="602"/>
      <c r="I722" s="602">
        <f>0.1+1</f>
        <v>1.1000000000000001</v>
      </c>
      <c r="J722" s="235"/>
      <c r="K722" s="509"/>
      <c r="L722" s="510">
        <f>SUM(H722:J722)+K722</f>
        <v>1.1000000000000001</v>
      </c>
      <c r="M722" s="510">
        <f t="shared" si="447"/>
        <v>4.95</v>
      </c>
      <c r="N722" s="510">
        <f t="shared" si="448"/>
        <v>0</v>
      </c>
      <c r="O722" s="510">
        <f t="shared" si="449"/>
        <v>0</v>
      </c>
      <c r="P722" s="510">
        <f t="shared" si="450"/>
        <v>0</v>
      </c>
      <c r="Q722" s="510">
        <f t="shared" si="451"/>
        <v>0</v>
      </c>
      <c r="R722" s="510">
        <f t="shared" si="452"/>
        <v>0</v>
      </c>
    </row>
    <row r="723" spans="1:18">
      <c r="A723" s="505"/>
      <c r="B723" s="607" t="s">
        <v>1156</v>
      </c>
      <c r="C723" s="507">
        <v>8</v>
      </c>
      <c r="D723" s="508">
        <v>200</v>
      </c>
      <c r="E723" s="507">
        <v>1</v>
      </c>
      <c r="F723" s="502">
        <v>1</v>
      </c>
      <c r="G723" s="502">
        <v>4</v>
      </c>
      <c r="H723" s="602"/>
      <c r="I723" s="602">
        <f>0.1+0.5</f>
        <v>0.6</v>
      </c>
      <c r="J723" s="235"/>
      <c r="K723" s="509"/>
      <c r="L723" s="510">
        <f t="shared" ref="L723" si="472">SUM(H723:J723)+K723</f>
        <v>0.6</v>
      </c>
      <c r="M723" s="510">
        <f t="shared" si="447"/>
        <v>2.4</v>
      </c>
      <c r="N723" s="510">
        <f t="shared" si="448"/>
        <v>0</v>
      </c>
      <c r="O723" s="510">
        <f t="shared" si="449"/>
        <v>0</v>
      </c>
      <c r="P723" s="510">
        <f t="shared" si="450"/>
        <v>0</v>
      </c>
      <c r="Q723" s="510">
        <f t="shared" si="451"/>
        <v>0</v>
      </c>
      <c r="R723" s="510">
        <f t="shared" si="452"/>
        <v>0</v>
      </c>
    </row>
    <row r="724" spans="1:18">
      <c r="A724" s="505"/>
      <c r="B724" s="607" t="s">
        <v>1156</v>
      </c>
      <c r="C724" s="507">
        <v>8</v>
      </c>
      <c r="D724" s="508">
        <v>200</v>
      </c>
      <c r="E724" s="507">
        <v>1</v>
      </c>
      <c r="F724" s="502">
        <v>1</v>
      </c>
      <c r="G724" s="502">
        <v>8</v>
      </c>
      <c r="H724" s="602"/>
      <c r="I724" s="602">
        <f>0.1+1</f>
        <v>1.1000000000000001</v>
      </c>
      <c r="J724" s="235"/>
      <c r="K724" s="509"/>
      <c r="L724" s="510">
        <f>SUM(H724:J724)+K724</f>
        <v>1.1000000000000001</v>
      </c>
      <c r="M724" s="510">
        <f t="shared" si="447"/>
        <v>8.8000000000000007</v>
      </c>
      <c r="N724" s="510">
        <f t="shared" si="448"/>
        <v>0</v>
      </c>
      <c r="O724" s="510">
        <f t="shared" si="449"/>
        <v>0</v>
      </c>
      <c r="P724" s="510">
        <f t="shared" si="450"/>
        <v>0</v>
      </c>
      <c r="Q724" s="510">
        <f t="shared" si="451"/>
        <v>0</v>
      </c>
      <c r="R724" s="510">
        <f t="shared" si="452"/>
        <v>0</v>
      </c>
    </row>
    <row r="725" spans="1:18">
      <c r="A725" s="505"/>
      <c r="B725" s="607" t="s">
        <v>1156</v>
      </c>
      <c r="C725" s="507">
        <v>8</v>
      </c>
      <c r="D725" s="508">
        <v>200</v>
      </c>
      <c r="E725" s="507">
        <v>1</v>
      </c>
      <c r="F725" s="502">
        <v>1</v>
      </c>
      <c r="G725" s="502">
        <v>8</v>
      </c>
      <c r="H725" s="602"/>
      <c r="I725" s="602">
        <f>0.1+0.5</f>
        <v>0.6</v>
      </c>
      <c r="J725" s="235"/>
      <c r="K725" s="509"/>
      <c r="L725" s="510">
        <f t="shared" ref="L725" si="473">SUM(H725:J725)+K725</f>
        <v>0.6</v>
      </c>
      <c r="M725" s="510">
        <f t="shared" si="447"/>
        <v>4.8</v>
      </c>
      <c r="N725" s="510">
        <f t="shared" si="448"/>
        <v>0</v>
      </c>
      <c r="O725" s="510">
        <f t="shared" si="449"/>
        <v>0</v>
      </c>
      <c r="P725" s="510">
        <f t="shared" si="450"/>
        <v>0</v>
      </c>
      <c r="Q725" s="510">
        <f t="shared" si="451"/>
        <v>0</v>
      </c>
      <c r="R725" s="510">
        <f t="shared" si="452"/>
        <v>0</v>
      </c>
    </row>
    <row r="726" spans="1:18">
      <c r="A726" s="505"/>
      <c r="B726" s="607" t="s">
        <v>1156</v>
      </c>
      <c r="C726" s="507">
        <v>8</v>
      </c>
      <c r="D726" s="508">
        <v>200</v>
      </c>
      <c r="E726" s="507">
        <v>1</v>
      </c>
      <c r="F726" s="502">
        <v>1</v>
      </c>
      <c r="G726" s="502">
        <f>+ROUND(2.925/(D726/1000)+1,0)/2</f>
        <v>8</v>
      </c>
      <c r="H726" s="602"/>
      <c r="I726" s="602">
        <f>0.1+1</f>
        <v>1.1000000000000001</v>
      </c>
      <c r="J726" s="235"/>
      <c r="K726" s="509"/>
      <c r="L726" s="510">
        <f>SUM(H726:J726)+K726</f>
        <v>1.1000000000000001</v>
      </c>
      <c r="M726" s="510">
        <f t="shared" si="447"/>
        <v>8.8000000000000007</v>
      </c>
      <c r="N726" s="510">
        <f t="shared" si="448"/>
        <v>0</v>
      </c>
      <c r="O726" s="510">
        <f t="shared" si="449"/>
        <v>0</v>
      </c>
      <c r="P726" s="510">
        <f t="shared" si="450"/>
        <v>0</v>
      </c>
      <c r="Q726" s="510">
        <f t="shared" si="451"/>
        <v>0</v>
      </c>
      <c r="R726" s="510">
        <f t="shared" si="452"/>
        <v>0</v>
      </c>
    </row>
    <row r="727" spans="1:18">
      <c r="A727" s="505"/>
      <c r="B727" s="607" t="s">
        <v>1156</v>
      </c>
      <c r="C727" s="507">
        <v>8</v>
      </c>
      <c r="D727" s="508">
        <v>200</v>
      </c>
      <c r="E727" s="507">
        <v>1</v>
      </c>
      <c r="F727" s="502">
        <v>1</v>
      </c>
      <c r="G727" s="502">
        <f>+ROUND(2.925/(D727/1000)+1,0)/2</f>
        <v>8</v>
      </c>
      <c r="H727" s="602"/>
      <c r="I727" s="602">
        <f>0.1+0.5</f>
        <v>0.6</v>
      </c>
      <c r="J727" s="235"/>
      <c r="K727" s="509"/>
      <c r="L727" s="510">
        <f t="shared" ref="L727:L730" si="474">SUM(H727:J727)+K727</f>
        <v>0.6</v>
      </c>
      <c r="M727" s="510">
        <f t="shared" si="447"/>
        <v>4.8</v>
      </c>
      <c r="N727" s="510">
        <f t="shared" si="448"/>
        <v>0</v>
      </c>
      <c r="O727" s="510">
        <f t="shared" si="449"/>
        <v>0</v>
      </c>
      <c r="P727" s="510">
        <f t="shared" si="450"/>
        <v>0</v>
      </c>
      <c r="Q727" s="510">
        <f t="shared" si="451"/>
        <v>0</v>
      </c>
      <c r="R727" s="510">
        <f t="shared" si="452"/>
        <v>0</v>
      </c>
    </row>
    <row r="728" spans="1:18">
      <c r="A728" s="505"/>
      <c r="B728" s="607" t="s">
        <v>1159</v>
      </c>
      <c r="C728" s="507">
        <v>8</v>
      </c>
      <c r="D728" s="508">
        <v>200</v>
      </c>
      <c r="E728" s="507">
        <v>1</v>
      </c>
      <c r="F728" s="502">
        <v>1</v>
      </c>
      <c r="G728" s="502">
        <f>+ROUND(0.55/(D728/1000)+1,0)</f>
        <v>4</v>
      </c>
      <c r="H728" s="602">
        <v>0.2</v>
      </c>
      <c r="I728" s="602">
        <v>2.9249999999999998</v>
      </c>
      <c r="J728" s="235"/>
      <c r="K728" s="509"/>
      <c r="L728" s="510">
        <f t="shared" si="474"/>
        <v>3.125</v>
      </c>
      <c r="M728" s="510">
        <f t="shared" si="447"/>
        <v>12.5</v>
      </c>
      <c r="N728" s="510">
        <f t="shared" si="448"/>
        <v>0</v>
      </c>
      <c r="O728" s="510">
        <f t="shared" si="449"/>
        <v>0</v>
      </c>
      <c r="P728" s="510">
        <f t="shared" si="450"/>
        <v>0</v>
      </c>
      <c r="Q728" s="510">
        <f t="shared" si="451"/>
        <v>0</v>
      </c>
      <c r="R728" s="510">
        <f t="shared" si="452"/>
        <v>0</v>
      </c>
    </row>
    <row r="729" spans="1:18">
      <c r="A729" s="505"/>
      <c r="B729" s="607" t="s">
        <v>1159</v>
      </c>
      <c r="C729" s="507">
        <v>8</v>
      </c>
      <c r="D729" s="508">
        <v>200</v>
      </c>
      <c r="E729" s="507">
        <v>1</v>
      </c>
      <c r="F729" s="502">
        <v>1</v>
      </c>
      <c r="G729" s="502">
        <f>+ROUND(1/(D729/1000)+1,0)</f>
        <v>6</v>
      </c>
      <c r="H729" s="602">
        <v>0.2</v>
      </c>
      <c r="I729" s="602">
        <v>3.25</v>
      </c>
      <c r="J729" s="235"/>
      <c r="K729" s="509"/>
      <c r="L729" s="510">
        <f t="shared" si="474"/>
        <v>3.45</v>
      </c>
      <c r="M729" s="510">
        <f t="shared" si="447"/>
        <v>20.7</v>
      </c>
      <c r="N729" s="510">
        <f t="shared" si="448"/>
        <v>0</v>
      </c>
      <c r="O729" s="510">
        <f t="shared" si="449"/>
        <v>0</v>
      </c>
      <c r="P729" s="510">
        <f t="shared" si="450"/>
        <v>0</v>
      </c>
      <c r="Q729" s="510">
        <f t="shared" si="451"/>
        <v>0</v>
      </c>
      <c r="R729" s="510">
        <f t="shared" si="452"/>
        <v>0</v>
      </c>
    </row>
    <row r="730" spans="1:18">
      <c r="A730" s="505"/>
      <c r="B730" s="607" t="s">
        <v>1159</v>
      </c>
      <c r="C730" s="507">
        <v>8</v>
      </c>
      <c r="D730" s="508">
        <v>200</v>
      </c>
      <c r="E730" s="507">
        <v>1</v>
      </c>
      <c r="F730" s="502">
        <v>1</v>
      </c>
      <c r="G730" s="502">
        <f>+ROUND(1/(D730/1000)+1,0)</f>
        <v>6</v>
      </c>
      <c r="H730" s="602">
        <v>0.2</v>
      </c>
      <c r="I730" s="602">
        <v>3.25</v>
      </c>
      <c r="J730" s="235"/>
      <c r="K730" s="509"/>
      <c r="L730" s="510">
        <f t="shared" si="474"/>
        <v>3.45</v>
      </c>
      <c r="M730" s="510">
        <f t="shared" si="447"/>
        <v>20.7</v>
      </c>
      <c r="N730" s="510">
        <f t="shared" si="448"/>
        <v>0</v>
      </c>
      <c r="O730" s="510">
        <f t="shared" si="449"/>
        <v>0</v>
      </c>
      <c r="P730" s="510">
        <f t="shared" si="450"/>
        <v>0</v>
      </c>
      <c r="Q730" s="510">
        <f t="shared" si="451"/>
        <v>0</v>
      </c>
      <c r="R730" s="510">
        <f t="shared" si="452"/>
        <v>0</v>
      </c>
    </row>
    <row r="731" spans="1:18">
      <c r="A731" s="505"/>
      <c r="B731" s="511"/>
      <c r="C731" s="507"/>
      <c r="D731" s="508"/>
      <c r="E731" s="507"/>
      <c r="F731" s="502"/>
      <c r="G731" s="502"/>
      <c r="H731" s="602"/>
      <c r="I731" s="602"/>
      <c r="J731" s="235"/>
      <c r="K731" s="509"/>
      <c r="L731" s="510"/>
      <c r="M731" s="510"/>
      <c r="N731" s="510"/>
      <c r="O731" s="510"/>
      <c r="P731" s="510"/>
      <c r="Q731" s="510"/>
      <c r="R731" s="510"/>
    </row>
    <row r="732" spans="1:18">
      <c r="A732" s="505"/>
      <c r="B732" s="506" t="s">
        <v>1187</v>
      </c>
      <c r="C732" s="507"/>
      <c r="D732" s="508"/>
      <c r="E732" s="507"/>
      <c r="F732" s="502"/>
      <c r="G732" s="502"/>
      <c r="H732" s="602"/>
      <c r="I732" s="602"/>
      <c r="J732" s="235"/>
      <c r="K732" s="509"/>
      <c r="L732" s="510"/>
      <c r="M732" s="510">
        <f t="shared" ref="M732:M744" si="475">+ROUND(IF(C732=8,PRODUCT(E732,F732,G732,L732),0),2)</f>
        <v>0</v>
      </c>
      <c r="N732" s="510">
        <f t="shared" ref="N732:N744" si="476">+ROUND(IF(C732=10,PRODUCT(E732,F732,G732,L732),0),2)</f>
        <v>0</v>
      </c>
      <c r="O732" s="510">
        <f t="shared" ref="O732:O744" si="477">+ROUND(IF(C732=12,PRODUCT(E732,F732,G732,L732),0),2)</f>
        <v>0</v>
      </c>
      <c r="P732" s="510">
        <f t="shared" ref="P732:P744" si="478">+ROUND(IF(C732=16,PRODUCT(E732,F732,G732,L732),0),2)</f>
        <v>0</v>
      </c>
      <c r="Q732" s="510">
        <f t="shared" ref="Q732:Q744" si="479">+ROUND(IF(C732=20,PRODUCT(E732,F732,G732,L732),0),2)</f>
        <v>0</v>
      </c>
      <c r="R732" s="510">
        <f t="shared" ref="R732:R744" si="480">+ROUND(IF(C732=25,PRODUCT(E732,F732,G732,L732),0),2)</f>
        <v>0</v>
      </c>
    </row>
    <row r="733" spans="1:18">
      <c r="A733" s="505"/>
      <c r="B733" s="607" t="s">
        <v>1170</v>
      </c>
      <c r="C733" s="507">
        <v>8</v>
      </c>
      <c r="D733" s="508">
        <v>200</v>
      </c>
      <c r="E733" s="507">
        <v>1</v>
      </c>
      <c r="F733" s="502">
        <v>1</v>
      </c>
      <c r="G733" s="502">
        <f>+ROUND(2.925/(D733/1000)+1,0)</f>
        <v>16</v>
      </c>
      <c r="H733" s="602"/>
      <c r="I733" s="602">
        <f>0.175+1.7+0.175</f>
        <v>2.0499999999999998</v>
      </c>
      <c r="J733" s="235"/>
      <c r="K733" s="589"/>
      <c r="L733" s="510">
        <f>SUM(H733:J733)+K733</f>
        <v>2.0499999999999998</v>
      </c>
      <c r="M733" s="510">
        <f t="shared" si="475"/>
        <v>32.799999999999997</v>
      </c>
      <c r="N733" s="510">
        <f t="shared" si="476"/>
        <v>0</v>
      </c>
      <c r="O733" s="510">
        <f t="shared" si="477"/>
        <v>0</v>
      </c>
      <c r="P733" s="510">
        <f t="shared" si="478"/>
        <v>0</v>
      </c>
      <c r="Q733" s="510">
        <f t="shared" si="479"/>
        <v>0</v>
      </c>
      <c r="R733" s="510">
        <f t="shared" si="480"/>
        <v>0</v>
      </c>
    </row>
    <row r="734" spans="1:18">
      <c r="A734" s="505"/>
      <c r="B734" s="607" t="s">
        <v>1155</v>
      </c>
      <c r="C734" s="507">
        <v>8</v>
      </c>
      <c r="D734" s="508">
        <v>200</v>
      </c>
      <c r="E734" s="507">
        <v>1</v>
      </c>
      <c r="F734" s="502">
        <v>1</v>
      </c>
      <c r="G734" s="502">
        <v>9</v>
      </c>
      <c r="H734" s="602"/>
      <c r="I734" s="602">
        <f>0.175+2.925+0.175</f>
        <v>3.2749999999999995</v>
      </c>
      <c r="J734" s="235"/>
      <c r="K734" s="589"/>
      <c r="L734" s="510">
        <f>SUM(H734:J734)+K734</f>
        <v>3.2749999999999995</v>
      </c>
      <c r="M734" s="510">
        <f t="shared" si="475"/>
        <v>29.48</v>
      </c>
      <c r="N734" s="510">
        <f t="shared" si="476"/>
        <v>0</v>
      </c>
      <c r="O734" s="510">
        <f t="shared" si="477"/>
        <v>0</v>
      </c>
      <c r="P734" s="510">
        <f t="shared" si="478"/>
        <v>0</v>
      </c>
      <c r="Q734" s="510">
        <f t="shared" si="479"/>
        <v>0</v>
      </c>
      <c r="R734" s="510">
        <f t="shared" si="480"/>
        <v>0</v>
      </c>
    </row>
    <row r="735" spans="1:18">
      <c r="A735" s="505"/>
      <c r="B735" s="607" t="s">
        <v>1156</v>
      </c>
      <c r="C735" s="507">
        <v>8</v>
      </c>
      <c r="D735" s="508">
        <v>200</v>
      </c>
      <c r="E735" s="507">
        <v>1</v>
      </c>
      <c r="F735" s="502">
        <v>1</v>
      </c>
      <c r="G735" s="502">
        <f>+ROUND(2.925/(D735/1000)+1,0)</f>
        <v>16</v>
      </c>
      <c r="H735" s="602"/>
      <c r="I735" s="602">
        <f>0.1+0.6</f>
        <v>0.7</v>
      </c>
      <c r="J735" s="235"/>
      <c r="K735" s="509"/>
      <c r="L735" s="510">
        <f t="shared" ref="L735" si="481">SUM(H735:J735)+K735</f>
        <v>0.7</v>
      </c>
      <c r="M735" s="510">
        <f t="shared" si="475"/>
        <v>11.2</v>
      </c>
      <c r="N735" s="510">
        <f t="shared" si="476"/>
        <v>0</v>
      </c>
      <c r="O735" s="510">
        <f t="shared" si="477"/>
        <v>0</v>
      </c>
      <c r="P735" s="510">
        <f t="shared" si="478"/>
        <v>0</v>
      </c>
      <c r="Q735" s="510">
        <f t="shared" si="479"/>
        <v>0</v>
      </c>
      <c r="R735" s="510">
        <f t="shared" si="480"/>
        <v>0</v>
      </c>
    </row>
    <row r="736" spans="1:18">
      <c r="A736" s="505"/>
      <c r="B736" s="607" t="s">
        <v>1156</v>
      </c>
      <c r="C736" s="507">
        <v>8</v>
      </c>
      <c r="D736" s="508">
        <v>200</v>
      </c>
      <c r="E736" s="507">
        <v>1</v>
      </c>
      <c r="F736" s="502">
        <v>1</v>
      </c>
      <c r="G736" s="502">
        <v>15</v>
      </c>
      <c r="H736" s="602">
        <v>0.1</v>
      </c>
      <c r="I736" s="602">
        <f>0.175+0.5</f>
        <v>0.67500000000000004</v>
      </c>
      <c r="J736" s="235"/>
      <c r="K736" s="509"/>
      <c r="L736" s="510">
        <f>SUM(H736:J736)+K736</f>
        <v>0.77500000000000002</v>
      </c>
      <c r="M736" s="510">
        <f t="shared" si="475"/>
        <v>11.63</v>
      </c>
      <c r="N736" s="510">
        <f t="shared" si="476"/>
        <v>0</v>
      </c>
      <c r="O736" s="510">
        <f t="shared" si="477"/>
        <v>0</v>
      </c>
      <c r="P736" s="510">
        <f t="shared" si="478"/>
        <v>0</v>
      </c>
      <c r="Q736" s="510">
        <f t="shared" si="479"/>
        <v>0</v>
      </c>
      <c r="R736" s="510">
        <f t="shared" si="480"/>
        <v>0</v>
      </c>
    </row>
    <row r="737" spans="1:18">
      <c r="A737" s="505"/>
      <c r="B737" s="607" t="s">
        <v>1156</v>
      </c>
      <c r="C737" s="507">
        <v>8</v>
      </c>
      <c r="D737" s="508">
        <v>200</v>
      </c>
      <c r="E737" s="507">
        <v>1</v>
      </c>
      <c r="F737" s="502">
        <v>1</v>
      </c>
      <c r="G737" s="502">
        <f>+ROUND(1.7/(D737/1000)+1,0)/2</f>
        <v>5</v>
      </c>
      <c r="H737" s="602"/>
      <c r="I737" s="602">
        <f>0.1+1</f>
        <v>1.1000000000000001</v>
      </c>
      <c r="J737" s="235"/>
      <c r="K737" s="509"/>
      <c r="L737" s="510">
        <f t="shared" ref="L737" si="482">SUM(H737:J737)+K737</f>
        <v>1.1000000000000001</v>
      </c>
      <c r="M737" s="510">
        <f t="shared" si="475"/>
        <v>5.5</v>
      </c>
      <c r="N737" s="510">
        <f t="shared" si="476"/>
        <v>0</v>
      </c>
      <c r="O737" s="510">
        <f t="shared" si="477"/>
        <v>0</v>
      </c>
      <c r="P737" s="510">
        <f t="shared" si="478"/>
        <v>0</v>
      </c>
      <c r="Q737" s="510">
        <f t="shared" si="479"/>
        <v>0</v>
      </c>
      <c r="R737" s="510">
        <f t="shared" si="480"/>
        <v>0</v>
      </c>
    </row>
    <row r="738" spans="1:18">
      <c r="A738" s="505"/>
      <c r="B738" s="607" t="s">
        <v>1156</v>
      </c>
      <c r="C738" s="507">
        <v>8</v>
      </c>
      <c r="D738" s="508">
        <v>200</v>
      </c>
      <c r="E738" s="507">
        <v>1</v>
      </c>
      <c r="F738" s="502">
        <v>1</v>
      </c>
      <c r="G738" s="502">
        <v>4</v>
      </c>
      <c r="H738" s="602"/>
      <c r="I738" s="602">
        <f>0.1+0.5</f>
        <v>0.6</v>
      </c>
      <c r="J738" s="235"/>
      <c r="K738" s="509"/>
      <c r="L738" s="510">
        <f t="shared" ref="L738:L743" si="483">SUM(H738:J738)+K738</f>
        <v>0.6</v>
      </c>
      <c r="M738" s="510">
        <f t="shared" si="475"/>
        <v>2.4</v>
      </c>
      <c r="N738" s="510">
        <f t="shared" si="476"/>
        <v>0</v>
      </c>
      <c r="O738" s="510">
        <f t="shared" si="477"/>
        <v>0</v>
      </c>
      <c r="P738" s="510">
        <f t="shared" si="478"/>
        <v>0</v>
      </c>
      <c r="Q738" s="510">
        <f t="shared" si="479"/>
        <v>0</v>
      </c>
      <c r="R738" s="510">
        <f t="shared" si="480"/>
        <v>0</v>
      </c>
    </row>
    <row r="739" spans="1:18">
      <c r="A739" s="505"/>
      <c r="B739" s="607" t="s">
        <v>1168</v>
      </c>
      <c r="C739" s="507">
        <v>8</v>
      </c>
      <c r="D739" s="508">
        <v>150</v>
      </c>
      <c r="E739" s="507">
        <v>1</v>
      </c>
      <c r="F739" s="502">
        <v>1</v>
      </c>
      <c r="G739" s="502">
        <v>3</v>
      </c>
      <c r="H739" s="602"/>
      <c r="I739" s="602">
        <f>0.1+1</f>
        <v>1.1000000000000001</v>
      </c>
      <c r="J739" s="235"/>
      <c r="K739" s="509"/>
      <c r="L739" s="510">
        <f t="shared" si="483"/>
        <v>1.1000000000000001</v>
      </c>
      <c r="M739" s="510">
        <f t="shared" si="475"/>
        <v>3.3</v>
      </c>
      <c r="N739" s="510">
        <f t="shared" si="476"/>
        <v>0</v>
      </c>
      <c r="O739" s="510">
        <f t="shared" si="477"/>
        <v>0</v>
      </c>
      <c r="P739" s="510">
        <f t="shared" si="478"/>
        <v>0</v>
      </c>
      <c r="Q739" s="510">
        <f t="shared" si="479"/>
        <v>0</v>
      </c>
      <c r="R739" s="510">
        <f t="shared" si="480"/>
        <v>0</v>
      </c>
    </row>
    <row r="740" spans="1:18">
      <c r="A740" s="505"/>
      <c r="B740" s="607" t="s">
        <v>1168</v>
      </c>
      <c r="C740" s="507">
        <v>8</v>
      </c>
      <c r="D740" s="508">
        <v>150</v>
      </c>
      <c r="E740" s="507">
        <v>1</v>
      </c>
      <c r="F740" s="502">
        <v>1</v>
      </c>
      <c r="G740" s="502">
        <v>3</v>
      </c>
      <c r="H740" s="602"/>
      <c r="I740" s="602">
        <f>0.1+0.5</f>
        <v>0.6</v>
      </c>
      <c r="J740" s="235"/>
      <c r="K740" s="509"/>
      <c r="L740" s="510">
        <f t="shared" si="483"/>
        <v>0.6</v>
      </c>
      <c r="M740" s="510">
        <f t="shared" si="475"/>
        <v>1.8</v>
      </c>
      <c r="N740" s="510">
        <f t="shared" si="476"/>
        <v>0</v>
      </c>
      <c r="O740" s="510">
        <f t="shared" si="477"/>
        <v>0</v>
      </c>
      <c r="P740" s="510">
        <f t="shared" si="478"/>
        <v>0</v>
      </c>
      <c r="Q740" s="510">
        <f t="shared" si="479"/>
        <v>0</v>
      </c>
      <c r="R740" s="510">
        <f t="shared" si="480"/>
        <v>0</v>
      </c>
    </row>
    <row r="741" spans="1:18">
      <c r="A741" s="505"/>
      <c r="B741" s="607" t="s">
        <v>1159</v>
      </c>
      <c r="C741" s="507">
        <v>8</v>
      </c>
      <c r="D741" s="508">
        <v>200</v>
      </c>
      <c r="E741" s="507">
        <v>1</v>
      </c>
      <c r="F741" s="502">
        <v>1</v>
      </c>
      <c r="G741" s="502">
        <f>+ROUND(0.6/(D741/1000)+1,0)</f>
        <v>4</v>
      </c>
      <c r="H741" s="602">
        <v>0.2</v>
      </c>
      <c r="I741" s="602">
        <v>2.9249999999999998</v>
      </c>
      <c r="J741" s="235"/>
      <c r="K741" s="509"/>
      <c r="L741" s="510">
        <f t="shared" si="483"/>
        <v>3.125</v>
      </c>
      <c r="M741" s="510">
        <f t="shared" si="475"/>
        <v>12.5</v>
      </c>
      <c r="N741" s="510">
        <f t="shared" si="476"/>
        <v>0</v>
      </c>
      <c r="O741" s="510">
        <f t="shared" si="477"/>
        <v>0</v>
      </c>
      <c r="P741" s="510">
        <f t="shared" si="478"/>
        <v>0</v>
      </c>
      <c r="Q741" s="510">
        <f t="shared" si="479"/>
        <v>0</v>
      </c>
      <c r="R741" s="510">
        <f t="shared" si="480"/>
        <v>0</v>
      </c>
    </row>
    <row r="742" spans="1:18">
      <c r="A742" s="505"/>
      <c r="B742" s="607" t="s">
        <v>1159</v>
      </c>
      <c r="C742" s="507">
        <v>8</v>
      </c>
      <c r="D742" s="508">
        <v>200</v>
      </c>
      <c r="E742" s="507">
        <v>1</v>
      </c>
      <c r="F742" s="502">
        <v>1</v>
      </c>
      <c r="G742" s="502">
        <f>+ROUND(0.5/(D742/1000)+1,0)</f>
        <v>4</v>
      </c>
      <c r="H742" s="602">
        <v>0.2</v>
      </c>
      <c r="I742" s="602">
        <v>2.9249999999999998</v>
      </c>
      <c r="J742" s="235"/>
      <c r="K742" s="509"/>
      <c r="L742" s="510">
        <f t="shared" si="483"/>
        <v>3.125</v>
      </c>
      <c r="M742" s="510">
        <f t="shared" si="475"/>
        <v>12.5</v>
      </c>
      <c r="N742" s="510">
        <f t="shared" si="476"/>
        <v>0</v>
      </c>
      <c r="O742" s="510">
        <f t="shared" si="477"/>
        <v>0</v>
      </c>
      <c r="P742" s="510">
        <f t="shared" si="478"/>
        <v>0</v>
      </c>
      <c r="Q742" s="510">
        <f t="shared" si="479"/>
        <v>0</v>
      </c>
      <c r="R742" s="510">
        <f t="shared" si="480"/>
        <v>0</v>
      </c>
    </row>
    <row r="743" spans="1:18">
      <c r="A743" s="505"/>
      <c r="B743" s="607" t="s">
        <v>1159</v>
      </c>
      <c r="C743" s="507">
        <v>8</v>
      </c>
      <c r="D743" s="508">
        <v>200</v>
      </c>
      <c r="E743" s="507">
        <v>1</v>
      </c>
      <c r="F743" s="502">
        <v>1</v>
      </c>
      <c r="G743" s="502">
        <f>+ROUND(1/(D743/1000)+1,0)</f>
        <v>6</v>
      </c>
      <c r="H743" s="602">
        <v>0.2</v>
      </c>
      <c r="I743" s="602">
        <v>1.7</v>
      </c>
      <c r="J743" s="235"/>
      <c r="K743" s="509"/>
      <c r="L743" s="510">
        <f t="shared" si="483"/>
        <v>1.9</v>
      </c>
      <c r="M743" s="510">
        <f t="shared" si="475"/>
        <v>11.4</v>
      </c>
      <c r="N743" s="510">
        <f t="shared" si="476"/>
        <v>0</v>
      </c>
      <c r="O743" s="510">
        <f t="shared" si="477"/>
        <v>0</v>
      </c>
      <c r="P743" s="510">
        <f t="shared" si="478"/>
        <v>0</v>
      </c>
      <c r="Q743" s="510">
        <f t="shared" si="479"/>
        <v>0</v>
      </c>
      <c r="R743" s="510">
        <f t="shared" si="480"/>
        <v>0</v>
      </c>
    </row>
    <row r="744" spans="1:18">
      <c r="A744" s="505"/>
      <c r="B744" s="607" t="s">
        <v>1159</v>
      </c>
      <c r="C744" s="507">
        <v>8</v>
      </c>
      <c r="D744" s="508">
        <v>200</v>
      </c>
      <c r="E744" s="507">
        <v>1</v>
      </c>
      <c r="F744" s="502">
        <v>1</v>
      </c>
      <c r="G744" s="502">
        <f>+ROUND(1/(D744/1000)+1,0)</f>
        <v>6</v>
      </c>
      <c r="H744" s="602">
        <v>0.2</v>
      </c>
      <c r="I744" s="602">
        <v>1.7</v>
      </c>
      <c r="J744" s="235"/>
      <c r="K744" s="509"/>
      <c r="L744" s="510">
        <f t="shared" ref="L744" si="484">SUM(H744:J744)+K744</f>
        <v>1.9</v>
      </c>
      <c r="M744" s="510">
        <f t="shared" si="475"/>
        <v>11.4</v>
      </c>
      <c r="N744" s="510">
        <f t="shared" si="476"/>
        <v>0</v>
      </c>
      <c r="O744" s="510">
        <f t="shared" si="477"/>
        <v>0</v>
      </c>
      <c r="P744" s="510">
        <f t="shared" si="478"/>
        <v>0</v>
      </c>
      <c r="Q744" s="510">
        <f t="shared" si="479"/>
        <v>0</v>
      </c>
      <c r="R744" s="510">
        <f t="shared" si="480"/>
        <v>0</v>
      </c>
    </row>
    <row r="745" spans="1:18">
      <c r="A745" s="505"/>
      <c r="B745" s="607" t="s">
        <v>1159</v>
      </c>
      <c r="C745" s="507">
        <v>8</v>
      </c>
      <c r="D745" s="508">
        <v>200</v>
      </c>
      <c r="E745" s="507">
        <v>1</v>
      </c>
      <c r="F745" s="502">
        <v>1</v>
      </c>
      <c r="G745" s="502">
        <v>3</v>
      </c>
      <c r="H745" s="602">
        <v>0.1</v>
      </c>
      <c r="I745" s="602">
        <v>0.72499999999999998</v>
      </c>
      <c r="J745" s="235"/>
      <c r="K745" s="509"/>
      <c r="L745" s="510">
        <f t="shared" ref="L745" si="485">SUM(H745:J745)+K745</f>
        <v>0.82499999999999996</v>
      </c>
      <c r="M745" s="510">
        <f t="shared" ref="M745" si="486">+ROUND(IF(C745=8,PRODUCT(E745,F745,G745,L745),0),2)</f>
        <v>2.48</v>
      </c>
      <c r="N745" s="510">
        <f t="shared" ref="N745" si="487">+ROUND(IF(C745=10,PRODUCT(E745,F745,G745,L745),0),2)</f>
        <v>0</v>
      </c>
      <c r="O745" s="510">
        <f t="shared" ref="O745" si="488">+ROUND(IF(C745=12,PRODUCT(E745,F745,G745,L745),0),2)</f>
        <v>0</v>
      </c>
      <c r="P745" s="510">
        <f t="shared" ref="P745" si="489">+ROUND(IF(C745=16,PRODUCT(E745,F745,G745,L745),0),2)</f>
        <v>0</v>
      </c>
      <c r="Q745" s="510">
        <f t="shared" ref="Q745" si="490">+ROUND(IF(C745=20,PRODUCT(E745,F745,G745,L745),0),2)</f>
        <v>0</v>
      </c>
      <c r="R745" s="510">
        <f t="shared" ref="R745" si="491">+ROUND(IF(C745=25,PRODUCT(E745,F745,G745,L745),0),2)</f>
        <v>0</v>
      </c>
    </row>
    <row r="746" spans="1:18">
      <c r="A746" s="505"/>
      <c r="B746" s="608"/>
      <c r="C746" s="507"/>
      <c r="D746" s="508"/>
      <c r="E746" s="507"/>
      <c r="F746" s="502"/>
      <c r="G746" s="502"/>
      <c r="H746" s="602"/>
      <c r="I746" s="602"/>
      <c r="J746" s="235"/>
      <c r="K746" s="509"/>
      <c r="L746" s="510"/>
      <c r="M746" s="510"/>
      <c r="N746" s="510"/>
      <c r="O746" s="510"/>
      <c r="P746" s="510"/>
      <c r="Q746" s="510"/>
      <c r="R746" s="510"/>
    </row>
    <row r="747" spans="1:18">
      <c r="A747" s="505"/>
      <c r="B747" s="506" t="s">
        <v>1188</v>
      </c>
      <c r="C747" s="507"/>
      <c r="D747" s="508"/>
      <c r="E747" s="507"/>
      <c r="F747" s="502"/>
      <c r="G747" s="502"/>
      <c r="H747" s="602"/>
      <c r="I747" s="602"/>
      <c r="J747" s="235"/>
      <c r="K747" s="509"/>
      <c r="L747" s="510"/>
      <c r="M747" s="510">
        <f t="shared" ref="M747:M758" si="492">+ROUND(IF(C747=8,PRODUCT(E747,F747,G747,L747),0),2)</f>
        <v>0</v>
      </c>
      <c r="N747" s="510">
        <f t="shared" ref="N747:N758" si="493">+ROUND(IF(C747=10,PRODUCT(E747,F747,G747,L747),0),2)</f>
        <v>0</v>
      </c>
      <c r="O747" s="510">
        <f t="shared" ref="O747:O758" si="494">+ROUND(IF(C747=12,PRODUCT(E747,F747,G747,L747),0),2)</f>
        <v>0</v>
      </c>
      <c r="P747" s="510">
        <f t="shared" ref="P747:P758" si="495">+ROUND(IF(C747=16,PRODUCT(E747,F747,G747,L747),0),2)</f>
        <v>0</v>
      </c>
      <c r="Q747" s="510">
        <f t="shared" ref="Q747:Q758" si="496">+ROUND(IF(C747=20,PRODUCT(E747,F747,G747,L747),0),2)</f>
        <v>0</v>
      </c>
      <c r="R747" s="510">
        <f t="shared" ref="R747:R758" si="497">+ROUND(IF(C747=25,PRODUCT(E747,F747,G747,L747),0),2)</f>
        <v>0</v>
      </c>
    </row>
    <row r="748" spans="1:18">
      <c r="A748" s="505"/>
      <c r="B748" s="607" t="s">
        <v>1154</v>
      </c>
      <c r="C748" s="507">
        <v>8</v>
      </c>
      <c r="D748" s="508">
        <v>200</v>
      </c>
      <c r="E748" s="507">
        <v>1</v>
      </c>
      <c r="F748" s="502">
        <v>1</v>
      </c>
      <c r="G748" s="502">
        <f>+ROUND(3.385/(D748/1000)+1,0)</f>
        <v>18</v>
      </c>
      <c r="H748" s="602"/>
      <c r="I748" s="602">
        <f>0.175+1.425+0.175</f>
        <v>1.7750000000000001</v>
      </c>
      <c r="J748" s="235"/>
      <c r="K748" s="509"/>
      <c r="L748" s="510">
        <f t="shared" ref="L748" si="498">SUM(H748:J748)+K748</f>
        <v>1.7750000000000001</v>
      </c>
      <c r="M748" s="510">
        <f t="shared" si="492"/>
        <v>31.95</v>
      </c>
      <c r="N748" s="510">
        <f t="shared" si="493"/>
        <v>0</v>
      </c>
      <c r="O748" s="510">
        <f t="shared" si="494"/>
        <v>0</v>
      </c>
      <c r="P748" s="510">
        <f t="shared" si="495"/>
        <v>0</v>
      </c>
      <c r="Q748" s="510">
        <f t="shared" si="496"/>
        <v>0</v>
      </c>
      <c r="R748" s="510">
        <f t="shared" si="497"/>
        <v>0</v>
      </c>
    </row>
    <row r="749" spans="1:18">
      <c r="A749" s="505"/>
      <c r="B749" s="607" t="s">
        <v>1155</v>
      </c>
      <c r="C749" s="507">
        <v>8</v>
      </c>
      <c r="D749" s="508">
        <v>200</v>
      </c>
      <c r="E749" s="507">
        <v>1</v>
      </c>
      <c r="F749" s="502">
        <v>1</v>
      </c>
      <c r="G749" s="502">
        <f>+ROUND(1.425/(D749/1000)+1,0)</f>
        <v>8</v>
      </c>
      <c r="H749" s="602"/>
      <c r="I749" s="602">
        <f>0.175+3.385+0.175</f>
        <v>3.7349999999999994</v>
      </c>
      <c r="J749" s="235"/>
      <c r="K749" s="589"/>
      <c r="L749" s="510">
        <f>SUM(H749:J749)+K749</f>
        <v>3.7349999999999994</v>
      </c>
      <c r="M749" s="510">
        <f t="shared" si="492"/>
        <v>29.88</v>
      </c>
      <c r="N749" s="510">
        <f t="shared" si="493"/>
        <v>0</v>
      </c>
      <c r="O749" s="510">
        <f t="shared" si="494"/>
        <v>0</v>
      </c>
      <c r="P749" s="510">
        <f t="shared" si="495"/>
        <v>0</v>
      </c>
      <c r="Q749" s="510">
        <f t="shared" si="496"/>
        <v>0</v>
      </c>
      <c r="R749" s="510">
        <f t="shared" si="497"/>
        <v>0</v>
      </c>
    </row>
    <row r="750" spans="1:18">
      <c r="A750" s="505"/>
      <c r="B750" s="607" t="s">
        <v>1156</v>
      </c>
      <c r="C750" s="507">
        <v>8</v>
      </c>
      <c r="D750" s="508">
        <v>200</v>
      </c>
      <c r="E750" s="507">
        <v>1</v>
      </c>
      <c r="F750" s="502">
        <v>1</v>
      </c>
      <c r="G750" s="502">
        <f>+ROUND(2.16/(D750/1000)+1,0)</f>
        <v>12</v>
      </c>
      <c r="H750" s="602">
        <v>0.1</v>
      </c>
      <c r="I750" s="602">
        <v>0.77</v>
      </c>
      <c r="J750" s="235"/>
      <c r="K750" s="509"/>
      <c r="L750" s="510">
        <f>SUM(H750:J750)+K750</f>
        <v>0.87</v>
      </c>
      <c r="M750" s="510">
        <f t="shared" si="492"/>
        <v>10.44</v>
      </c>
      <c r="N750" s="510">
        <f t="shared" si="493"/>
        <v>0</v>
      </c>
      <c r="O750" s="510">
        <f t="shared" si="494"/>
        <v>0</v>
      </c>
      <c r="P750" s="510">
        <f t="shared" si="495"/>
        <v>0</v>
      </c>
      <c r="Q750" s="510">
        <f t="shared" si="496"/>
        <v>0</v>
      </c>
      <c r="R750" s="510">
        <f t="shared" si="497"/>
        <v>0</v>
      </c>
    </row>
    <row r="751" spans="1:18">
      <c r="A751" s="505"/>
      <c r="B751" s="607" t="s">
        <v>1156</v>
      </c>
      <c r="C751" s="507">
        <v>8</v>
      </c>
      <c r="D751" s="508">
        <v>200</v>
      </c>
      <c r="E751" s="507">
        <v>1</v>
      </c>
      <c r="F751" s="502">
        <v>1</v>
      </c>
      <c r="G751" s="502">
        <f>+ROUND(2.16/(D751/1000)+1,0)</f>
        <v>12</v>
      </c>
      <c r="H751" s="602">
        <v>0.1</v>
      </c>
      <c r="I751" s="602">
        <f>0.45+0.175</f>
        <v>0.625</v>
      </c>
      <c r="J751" s="235"/>
      <c r="K751" s="509"/>
      <c r="L751" s="510">
        <f t="shared" ref="L751:L758" si="499">SUM(H751:J751)+K751</f>
        <v>0.72499999999999998</v>
      </c>
      <c r="M751" s="510">
        <f t="shared" si="492"/>
        <v>8.6999999999999993</v>
      </c>
      <c r="N751" s="510">
        <f t="shared" si="493"/>
        <v>0</v>
      </c>
      <c r="O751" s="510">
        <f t="shared" si="494"/>
        <v>0</v>
      </c>
      <c r="P751" s="510">
        <f t="shared" si="495"/>
        <v>0</v>
      </c>
      <c r="Q751" s="510">
        <f t="shared" si="496"/>
        <v>0</v>
      </c>
      <c r="R751" s="510">
        <f t="shared" si="497"/>
        <v>0</v>
      </c>
    </row>
    <row r="752" spans="1:18">
      <c r="A752" s="505"/>
      <c r="B752" s="607" t="s">
        <v>1156</v>
      </c>
      <c r="C752" s="507">
        <v>8</v>
      </c>
      <c r="D752" s="508">
        <v>200</v>
      </c>
      <c r="E752" s="507">
        <v>1</v>
      </c>
      <c r="F752" s="502">
        <v>1</v>
      </c>
      <c r="G752" s="502">
        <f>+ROUND(1.425/(D752/1000)+1,0)</f>
        <v>8</v>
      </c>
      <c r="H752" s="602">
        <v>0.1</v>
      </c>
      <c r="I752" s="602">
        <f>0.45+0.175</f>
        <v>0.625</v>
      </c>
      <c r="J752" s="235"/>
      <c r="K752" s="509"/>
      <c r="L752" s="510">
        <f t="shared" si="499"/>
        <v>0.72499999999999998</v>
      </c>
      <c r="M752" s="510">
        <f t="shared" si="492"/>
        <v>5.8</v>
      </c>
      <c r="N752" s="510">
        <f t="shared" si="493"/>
        <v>0</v>
      </c>
      <c r="O752" s="510">
        <f t="shared" si="494"/>
        <v>0</v>
      </c>
      <c r="P752" s="510">
        <f t="shared" si="495"/>
        <v>0</v>
      </c>
      <c r="Q752" s="510">
        <f t="shared" si="496"/>
        <v>0</v>
      </c>
      <c r="R752" s="510">
        <f t="shared" si="497"/>
        <v>0</v>
      </c>
    </row>
    <row r="753" spans="1:18">
      <c r="A753" s="505"/>
      <c r="B753" s="607" t="s">
        <v>1168</v>
      </c>
      <c r="C753" s="507">
        <v>8</v>
      </c>
      <c r="D753" s="508">
        <v>150</v>
      </c>
      <c r="E753" s="507">
        <v>1</v>
      </c>
      <c r="F753" s="502">
        <v>1</v>
      </c>
      <c r="G753" s="502">
        <v>6</v>
      </c>
      <c r="H753" s="602"/>
      <c r="I753" s="602">
        <f>0.1+1.425+0.1</f>
        <v>1.6250000000000002</v>
      </c>
      <c r="J753" s="235"/>
      <c r="K753" s="509"/>
      <c r="L753" s="510">
        <f t="shared" si="499"/>
        <v>1.6250000000000002</v>
      </c>
      <c r="M753" s="510">
        <f t="shared" si="492"/>
        <v>9.75</v>
      </c>
      <c r="N753" s="510">
        <f t="shared" si="493"/>
        <v>0</v>
      </c>
      <c r="O753" s="510">
        <f t="shared" si="494"/>
        <v>0</v>
      </c>
      <c r="P753" s="510">
        <f t="shared" si="495"/>
        <v>0</v>
      </c>
      <c r="Q753" s="510">
        <f t="shared" si="496"/>
        <v>0</v>
      </c>
      <c r="R753" s="510">
        <f t="shared" si="497"/>
        <v>0</v>
      </c>
    </row>
    <row r="754" spans="1:18">
      <c r="A754" s="505"/>
      <c r="B754" s="607" t="s">
        <v>1156</v>
      </c>
      <c r="C754" s="507">
        <v>8</v>
      </c>
      <c r="D754" s="508">
        <v>200</v>
      </c>
      <c r="E754" s="507">
        <v>1</v>
      </c>
      <c r="F754" s="502">
        <v>1</v>
      </c>
      <c r="G754" s="502">
        <f>+ROUND(1.425/(D754/1000)+1,0)</f>
        <v>8</v>
      </c>
      <c r="H754" s="602"/>
      <c r="I754" s="602">
        <f>0.1+0.6</f>
        <v>0.7</v>
      </c>
      <c r="J754" s="235"/>
      <c r="K754" s="509"/>
      <c r="L754" s="510">
        <f t="shared" si="499"/>
        <v>0.7</v>
      </c>
      <c r="M754" s="510">
        <f t="shared" si="492"/>
        <v>5.6</v>
      </c>
      <c r="N754" s="510">
        <f t="shared" si="493"/>
        <v>0</v>
      </c>
      <c r="O754" s="510">
        <f t="shared" si="494"/>
        <v>0</v>
      </c>
      <c r="P754" s="510">
        <f t="shared" si="495"/>
        <v>0</v>
      </c>
      <c r="Q754" s="510">
        <f t="shared" si="496"/>
        <v>0</v>
      </c>
      <c r="R754" s="510">
        <f t="shared" si="497"/>
        <v>0</v>
      </c>
    </row>
    <row r="755" spans="1:18">
      <c r="A755" s="505"/>
      <c r="B755" s="607" t="s">
        <v>1159</v>
      </c>
      <c r="C755" s="507">
        <v>8</v>
      </c>
      <c r="D755" s="508">
        <v>200</v>
      </c>
      <c r="E755" s="507">
        <v>1</v>
      </c>
      <c r="F755" s="502">
        <v>1</v>
      </c>
      <c r="G755" s="502">
        <f>+ROUND(0.6/(D755/1000)+1,0)</f>
        <v>4</v>
      </c>
      <c r="H755" s="602">
        <v>0.2</v>
      </c>
      <c r="I755" s="602">
        <v>1.42</v>
      </c>
      <c r="J755" s="235"/>
      <c r="K755" s="509"/>
      <c r="L755" s="510">
        <f t="shared" si="499"/>
        <v>1.6199999999999999</v>
      </c>
      <c r="M755" s="510">
        <f t="shared" si="492"/>
        <v>6.48</v>
      </c>
      <c r="N755" s="510">
        <f t="shared" si="493"/>
        <v>0</v>
      </c>
      <c r="O755" s="510">
        <f t="shared" si="494"/>
        <v>0</v>
      </c>
      <c r="P755" s="510">
        <f t="shared" si="495"/>
        <v>0</v>
      </c>
      <c r="Q755" s="510">
        <f t="shared" si="496"/>
        <v>0</v>
      </c>
      <c r="R755" s="510">
        <f t="shared" si="497"/>
        <v>0</v>
      </c>
    </row>
    <row r="756" spans="1:18">
      <c r="A756" s="505"/>
      <c r="B756" s="607" t="s">
        <v>1159</v>
      </c>
      <c r="C756" s="507">
        <v>8</v>
      </c>
      <c r="D756" s="508">
        <v>200</v>
      </c>
      <c r="E756" s="507">
        <v>1</v>
      </c>
      <c r="F756" s="502">
        <v>1</v>
      </c>
      <c r="G756" s="502">
        <f>+ROUND(0.6/(D756/1000)+1,0)</f>
        <v>4</v>
      </c>
      <c r="H756" s="602">
        <v>0.2</v>
      </c>
      <c r="I756" s="602">
        <v>1.42</v>
      </c>
      <c r="J756" s="235"/>
      <c r="K756" s="509"/>
      <c r="L756" s="510">
        <f t="shared" si="499"/>
        <v>1.6199999999999999</v>
      </c>
      <c r="M756" s="510">
        <f t="shared" si="492"/>
        <v>6.48</v>
      </c>
      <c r="N756" s="510">
        <f t="shared" si="493"/>
        <v>0</v>
      </c>
      <c r="O756" s="510">
        <f t="shared" si="494"/>
        <v>0</v>
      </c>
      <c r="P756" s="510">
        <f t="shared" si="495"/>
        <v>0</v>
      </c>
      <c r="Q756" s="510">
        <f t="shared" si="496"/>
        <v>0</v>
      </c>
      <c r="R756" s="510">
        <f t="shared" si="497"/>
        <v>0</v>
      </c>
    </row>
    <row r="757" spans="1:18">
      <c r="A757" s="505"/>
      <c r="B757" s="607" t="s">
        <v>1159</v>
      </c>
      <c r="C757" s="507">
        <v>8</v>
      </c>
      <c r="D757" s="508">
        <v>200</v>
      </c>
      <c r="E757" s="507">
        <v>1</v>
      </c>
      <c r="F757" s="502">
        <v>1</v>
      </c>
      <c r="G757" s="502">
        <f>+ROUND(0.55/(D757/1000)+1,0)</f>
        <v>4</v>
      </c>
      <c r="H757" s="602">
        <v>0.2</v>
      </c>
      <c r="I757" s="602">
        <v>3.5750000000000002</v>
      </c>
      <c r="J757" s="235"/>
      <c r="K757" s="509"/>
      <c r="L757" s="510">
        <f t="shared" si="499"/>
        <v>3.7750000000000004</v>
      </c>
      <c r="M757" s="510">
        <f t="shared" si="492"/>
        <v>15.1</v>
      </c>
      <c r="N757" s="510">
        <f t="shared" si="493"/>
        <v>0</v>
      </c>
      <c r="O757" s="510">
        <f t="shared" si="494"/>
        <v>0</v>
      </c>
      <c r="P757" s="510">
        <f t="shared" si="495"/>
        <v>0</v>
      </c>
      <c r="Q757" s="510">
        <f t="shared" si="496"/>
        <v>0</v>
      </c>
      <c r="R757" s="510">
        <f t="shared" si="497"/>
        <v>0</v>
      </c>
    </row>
    <row r="758" spans="1:18">
      <c r="A758" s="505"/>
      <c r="B758" s="607" t="s">
        <v>1159</v>
      </c>
      <c r="C758" s="507">
        <v>8</v>
      </c>
      <c r="D758" s="508">
        <v>200</v>
      </c>
      <c r="E758" s="507">
        <v>1</v>
      </c>
      <c r="F758" s="502">
        <v>1</v>
      </c>
      <c r="G758" s="502">
        <f>+ROUND(0.55/(D758/1000)+1,0)</f>
        <v>4</v>
      </c>
      <c r="H758" s="602">
        <v>0.2</v>
      </c>
      <c r="I758" s="602">
        <v>3.5750000000000002</v>
      </c>
      <c r="J758" s="235"/>
      <c r="K758" s="509"/>
      <c r="L758" s="510">
        <f t="shared" si="499"/>
        <v>3.7750000000000004</v>
      </c>
      <c r="M758" s="510">
        <f t="shared" si="492"/>
        <v>15.1</v>
      </c>
      <c r="N758" s="510">
        <f t="shared" si="493"/>
        <v>0</v>
      </c>
      <c r="O758" s="510">
        <f t="shared" si="494"/>
        <v>0</v>
      </c>
      <c r="P758" s="510">
        <f t="shared" si="495"/>
        <v>0</v>
      </c>
      <c r="Q758" s="510">
        <f t="shared" si="496"/>
        <v>0</v>
      </c>
      <c r="R758" s="510">
        <f t="shared" si="497"/>
        <v>0</v>
      </c>
    </row>
    <row r="759" spans="1:18">
      <c r="A759" s="505"/>
      <c r="B759" s="511"/>
      <c r="C759" s="507"/>
      <c r="D759" s="508"/>
      <c r="E759" s="507"/>
      <c r="F759" s="502"/>
      <c r="G759" s="502"/>
      <c r="H759" s="602"/>
      <c r="I759" s="602"/>
      <c r="J759" s="235"/>
      <c r="K759" s="509"/>
      <c r="L759" s="510"/>
      <c r="M759" s="510"/>
      <c r="N759" s="510"/>
      <c r="O759" s="510"/>
      <c r="P759" s="510"/>
      <c r="Q759" s="510"/>
      <c r="R759" s="510"/>
    </row>
    <row r="760" spans="1:18">
      <c r="A760" s="505"/>
      <c r="B760" s="506" t="s">
        <v>1189</v>
      </c>
      <c r="C760" s="507"/>
      <c r="D760" s="508"/>
      <c r="E760" s="507"/>
      <c r="F760" s="502"/>
      <c r="G760" s="502"/>
      <c r="H760" s="602"/>
      <c r="I760" s="602"/>
      <c r="J760" s="235"/>
      <c r="K760" s="509"/>
      <c r="L760" s="510">
        <f>SUM(H760:J760)+K760</f>
        <v>0</v>
      </c>
      <c r="M760" s="510">
        <f>+ROUND(IF(C760=8,PRODUCT(E760,F760,G760,L760),0),2)</f>
        <v>0</v>
      </c>
      <c r="N760" s="510">
        <f>+ROUND(IF(C760=10,PRODUCT(E760,F760,G760,L760),0),2)</f>
        <v>0</v>
      </c>
      <c r="O760" s="510">
        <f>+ROUND(IF(C760=12,PRODUCT(E760,F760,G760,L760),0),2)</f>
        <v>0</v>
      </c>
      <c r="P760" s="510">
        <f>+ROUND(IF(C760=16,PRODUCT(E760,F760,G760,L760),0),2)</f>
        <v>0</v>
      </c>
      <c r="Q760" s="510">
        <f>+ROUND(IF(C760=20,PRODUCT(E760,F760,G760,L760),0),2)</f>
        <v>0</v>
      </c>
      <c r="R760" s="510">
        <f>+ROUND(IF(C760=25,PRODUCT(E760,F760,G760,L760),0),2)</f>
        <v>0</v>
      </c>
    </row>
    <row r="761" spans="1:18">
      <c r="A761" s="505"/>
      <c r="B761" s="607" t="s">
        <v>1173</v>
      </c>
      <c r="C761" s="507">
        <v>10</v>
      </c>
      <c r="D761" s="508">
        <v>150</v>
      </c>
      <c r="E761" s="507">
        <v>1</v>
      </c>
      <c r="F761" s="502">
        <v>1</v>
      </c>
      <c r="G761" s="502">
        <f>+ROUND(4.665/(D761/1000)+1,0)</f>
        <v>32</v>
      </c>
      <c r="H761" s="602">
        <v>0.25</v>
      </c>
      <c r="I761" s="602">
        <v>2.13</v>
      </c>
      <c r="J761" s="235">
        <v>0.4</v>
      </c>
      <c r="K761" s="509"/>
      <c r="L761" s="510">
        <f t="shared" ref="L761:L765" si="500">SUM(H761:J761)+K761</f>
        <v>2.78</v>
      </c>
      <c r="M761" s="510">
        <f t="shared" ref="M761:M765" si="501">+ROUND(IF(C761=8,PRODUCT(E761,F761,G761,L761),0),2)</f>
        <v>0</v>
      </c>
      <c r="N761" s="510">
        <f t="shared" ref="N761:N765" si="502">+ROUND(IF(C761=10,PRODUCT(E761,F761,G761,L761),0),2)</f>
        <v>88.96</v>
      </c>
      <c r="O761" s="510">
        <f t="shared" ref="O761:O765" si="503">+ROUND(IF(C761=12,PRODUCT(E761,F761,G761,L761),0),2)</f>
        <v>0</v>
      </c>
      <c r="P761" s="510">
        <f t="shared" ref="P761:P765" si="504">+ROUND(IF(C761=16,PRODUCT(E761,F761,G761,L761),0),2)</f>
        <v>0</v>
      </c>
      <c r="Q761" s="510">
        <f t="shared" ref="Q761:Q765" si="505">+ROUND(IF(C761=20,PRODUCT(E761,F761,G761,L761),0),2)</f>
        <v>0</v>
      </c>
      <c r="R761" s="510">
        <f t="shared" ref="R761:R765" si="506">+ROUND(IF(C761=25,PRODUCT(E761,F761,G761,L761),0),2)</f>
        <v>0</v>
      </c>
    </row>
    <row r="762" spans="1:18">
      <c r="A762" s="505"/>
      <c r="B762" s="607" t="s">
        <v>1155</v>
      </c>
      <c r="C762" s="507">
        <v>8</v>
      </c>
      <c r="D762" s="508">
        <v>200</v>
      </c>
      <c r="E762" s="507">
        <v>1</v>
      </c>
      <c r="F762" s="502">
        <v>1</v>
      </c>
      <c r="G762" s="502">
        <v>10</v>
      </c>
      <c r="H762" s="602"/>
      <c r="I762" s="602">
        <f>4.665-0.05</f>
        <v>4.6150000000000002</v>
      </c>
      <c r="J762" s="235"/>
      <c r="K762" s="509"/>
      <c r="L762" s="510">
        <f t="shared" si="500"/>
        <v>4.6150000000000002</v>
      </c>
      <c r="M762" s="510">
        <f t="shared" si="501"/>
        <v>46.15</v>
      </c>
      <c r="N762" s="510">
        <f t="shared" si="502"/>
        <v>0</v>
      </c>
      <c r="O762" s="510">
        <f t="shared" si="503"/>
        <v>0</v>
      </c>
      <c r="P762" s="510">
        <f t="shared" si="504"/>
        <v>0</v>
      </c>
      <c r="Q762" s="510">
        <f t="shared" si="505"/>
        <v>0</v>
      </c>
      <c r="R762" s="510">
        <f t="shared" si="506"/>
        <v>0</v>
      </c>
    </row>
    <row r="763" spans="1:18">
      <c r="A763" s="505"/>
      <c r="B763" s="607" t="s">
        <v>1174</v>
      </c>
      <c r="C763" s="507">
        <v>12</v>
      </c>
      <c r="D763" s="508">
        <v>100</v>
      </c>
      <c r="E763" s="507">
        <v>1</v>
      </c>
      <c r="F763" s="502">
        <v>1</v>
      </c>
      <c r="G763" s="502">
        <f>+ROUND(4.665/(D763/1000)+1,0)/2</f>
        <v>24</v>
      </c>
      <c r="H763" s="602"/>
      <c r="I763" s="602">
        <f>2+2.5-0.025</f>
        <v>4.4749999999999996</v>
      </c>
      <c r="J763" s="235">
        <v>0.1</v>
      </c>
      <c r="K763" s="509"/>
      <c r="L763" s="510">
        <f t="shared" si="500"/>
        <v>4.5749999999999993</v>
      </c>
      <c r="M763" s="510">
        <f t="shared" si="501"/>
        <v>0</v>
      </c>
      <c r="N763" s="510">
        <f t="shared" si="502"/>
        <v>0</v>
      </c>
      <c r="O763" s="510">
        <f t="shared" si="503"/>
        <v>109.8</v>
      </c>
      <c r="P763" s="510">
        <f t="shared" si="504"/>
        <v>0</v>
      </c>
      <c r="Q763" s="510">
        <f t="shared" si="505"/>
        <v>0</v>
      </c>
      <c r="R763" s="510">
        <f t="shared" si="506"/>
        <v>0</v>
      </c>
    </row>
    <row r="764" spans="1:18">
      <c r="A764" s="505"/>
      <c r="B764" s="607" t="s">
        <v>1174</v>
      </c>
      <c r="C764" s="507">
        <v>10</v>
      </c>
      <c r="D764" s="508">
        <v>100</v>
      </c>
      <c r="E764" s="507">
        <v>1</v>
      </c>
      <c r="F764" s="502">
        <v>1</v>
      </c>
      <c r="G764" s="502">
        <f>+ROUND(4.665/(D764/1000)+1,0)/2</f>
        <v>24</v>
      </c>
      <c r="H764" s="602"/>
      <c r="I764" s="602">
        <f>1.35+0.2+2</f>
        <v>3.55</v>
      </c>
      <c r="J764" s="235"/>
      <c r="K764" s="509"/>
      <c r="L764" s="510">
        <f t="shared" si="500"/>
        <v>3.55</v>
      </c>
      <c r="M764" s="510">
        <f t="shared" si="501"/>
        <v>0</v>
      </c>
      <c r="N764" s="510">
        <f t="shared" si="502"/>
        <v>85.2</v>
      </c>
      <c r="O764" s="510">
        <f t="shared" si="503"/>
        <v>0</v>
      </c>
      <c r="P764" s="510">
        <f t="shared" si="504"/>
        <v>0</v>
      </c>
      <c r="Q764" s="510">
        <f t="shared" si="505"/>
        <v>0</v>
      </c>
      <c r="R764" s="510">
        <f t="shared" si="506"/>
        <v>0</v>
      </c>
    </row>
    <row r="765" spans="1:18">
      <c r="A765" s="505"/>
      <c r="B765" s="607" t="s">
        <v>1175</v>
      </c>
      <c r="C765" s="507">
        <v>8</v>
      </c>
      <c r="D765" s="508">
        <v>200</v>
      </c>
      <c r="E765" s="507">
        <v>1</v>
      </c>
      <c r="F765" s="502">
        <v>2</v>
      </c>
      <c r="G765" s="502">
        <v>10</v>
      </c>
      <c r="H765" s="602"/>
      <c r="I765" s="602">
        <f>4.665-0.05</f>
        <v>4.6150000000000002</v>
      </c>
      <c r="J765" s="235"/>
      <c r="K765" s="509"/>
      <c r="L765" s="510">
        <f t="shared" si="500"/>
        <v>4.6150000000000002</v>
      </c>
      <c r="M765" s="510">
        <f t="shared" si="501"/>
        <v>92.3</v>
      </c>
      <c r="N765" s="510">
        <f t="shared" si="502"/>
        <v>0</v>
      </c>
      <c r="O765" s="510">
        <f t="shared" si="503"/>
        <v>0</v>
      </c>
      <c r="P765" s="510">
        <f t="shared" si="504"/>
        <v>0</v>
      </c>
      <c r="Q765" s="510">
        <f t="shared" si="505"/>
        <v>0</v>
      </c>
      <c r="R765" s="510">
        <f t="shared" si="506"/>
        <v>0</v>
      </c>
    </row>
    <row r="766" spans="1:18">
      <c r="A766" s="505"/>
      <c r="B766" s="511"/>
      <c r="C766" s="507"/>
      <c r="D766" s="508"/>
      <c r="E766" s="507"/>
      <c r="F766" s="502"/>
      <c r="G766" s="502"/>
      <c r="H766" s="602"/>
      <c r="I766" s="602"/>
      <c r="J766" s="235"/>
      <c r="K766" s="509"/>
      <c r="L766" s="510"/>
      <c r="M766" s="510"/>
      <c r="N766" s="510"/>
      <c r="O766" s="510"/>
      <c r="P766" s="510"/>
      <c r="Q766" s="510"/>
      <c r="R766" s="510"/>
    </row>
    <row r="767" spans="1:18">
      <c r="A767" s="505"/>
      <c r="B767" s="506" t="s">
        <v>1190</v>
      </c>
      <c r="C767" s="507"/>
      <c r="D767" s="508"/>
      <c r="E767" s="507"/>
      <c r="F767" s="502"/>
      <c r="G767" s="502"/>
      <c r="H767" s="602"/>
      <c r="I767" s="602"/>
      <c r="J767" s="235"/>
      <c r="K767" s="509"/>
      <c r="L767" s="510">
        <f>SUM(H767:J767)+K767</f>
        <v>0</v>
      </c>
      <c r="M767" s="510">
        <f t="shared" ref="M767:M773" si="507">+ROUND(IF(C767=8,PRODUCT(E767,F767,G767,L767),0),2)</f>
        <v>0</v>
      </c>
      <c r="N767" s="510">
        <f t="shared" ref="N767:N773" si="508">+ROUND(IF(C767=10,PRODUCT(E767,F767,G767,L767),0),2)</f>
        <v>0</v>
      </c>
      <c r="O767" s="510">
        <f t="shared" ref="O767:O773" si="509">+ROUND(IF(C767=12,PRODUCT(E767,F767,G767,L767),0),2)</f>
        <v>0</v>
      </c>
      <c r="P767" s="510">
        <f t="shared" ref="P767:P773" si="510">+ROUND(IF(C767=16,PRODUCT(E767,F767,G767,L767),0),2)</f>
        <v>0</v>
      </c>
      <c r="Q767" s="510">
        <f t="shared" ref="Q767:Q773" si="511">+ROUND(IF(C767=20,PRODUCT(E767,F767,G767,L767),0),2)</f>
        <v>0</v>
      </c>
      <c r="R767" s="510">
        <f t="shared" ref="R767:R773" si="512">+ROUND(IF(C767=25,PRODUCT(E767,F767,G767,L767),0),2)</f>
        <v>0</v>
      </c>
    </row>
    <row r="768" spans="1:18">
      <c r="A768" s="505"/>
      <c r="B768" s="607" t="s">
        <v>1173</v>
      </c>
      <c r="C768" s="507">
        <v>10</v>
      </c>
      <c r="D768" s="508">
        <v>150</v>
      </c>
      <c r="E768" s="507">
        <v>1</v>
      </c>
      <c r="F768" s="502">
        <v>1</v>
      </c>
      <c r="G768" s="502">
        <f>+ROUND(5.105/(D768/1000)+1,0)</f>
        <v>35</v>
      </c>
      <c r="H768" s="602">
        <v>0.25</v>
      </c>
      <c r="I768" s="602">
        <v>2.13</v>
      </c>
      <c r="J768" s="235">
        <v>0.4</v>
      </c>
      <c r="K768" s="509"/>
      <c r="L768" s="510">
        <f t="shared" ref="L768:L772" si="513">SUM(H768:J768)+K768</f>
        <v>2.78</v>
      </c>
      <c r="M768" s="510">
        <f t="shared" si="507"/>
        <v>0</v>
      </c>
      <c r="N768" s="510">
        <f t="shared" si="508"/>
        <v>97.3</v>
      </c>
      <c r="O768" s="510">
        <f t="shared" si="509"/>
        <v>0</v>
      </c>
      <c r="P768" s="510">
        <f t="shared" si="510"/>
        <v>0</v>
      </c>
      <c r="Q768" s="510">
        <f t="shared" si="511"/>
        <v>0</v>
      </c>
      <c r="R768" s="510">
        <f t="shared" si="512"/>
        <v>0</v>
      </c>
    </row>
    <row r="769" spans="1:18">
      <c r="A769" s="505"/>
      <c r="B769" s="607" t="s">
        <v>1155</v>
      </c>
      <c r="C769" s="507">
        <v>8</v>
      </c>
      <c r="D769" s="508">
        <v>200</v>
      </c>
      <c r="E769" s="507">
        <v>1</v>
      </c>
      <c r="F769" s="502">
        <v>1</v>
      </c>
      <c r="G769" s="502">
        <f>+ROUND(2/(D769/1000)+1,0)</f>
        <v>11</v>
      </c>
      <c r="H769" s="602">
        <v>0.1</v>
      </c>
      <c r="I769" s="602">
        <f>5.105-0.05</f>
        <v>5.0550000000000006</v>
      </c>
      <c r="J769" s="235">
        <v>0.1</v>
      </c>
      <c r="K769" s="509"/>
      <c r="L769" s="510">
        <f t="shared" si="513"/>
        <v>5.2549999999999999</v>
      </c>
      <c r="M769" s="510">
        <f t="shared" si="507"/>
        <v>57.81</v>
      </c>
      <c r="N769" s="510">
        <f t="shared" si="508"/>
        <v>0</v>
      </c>
      <c r="O769" s="510">
        <f t="shared" si="509"/>
        <v>0</v>
      </c>
      <c r="P769" s="510">
        <f t="shared" si="510"/>
        <v>0</v>
      </c>
      <c r="Q769" s="510">
        <f t="shared" si="511"/>
        <v>0</v>
      </c>
      <c r="R769" s="510">
        <f t="shared" si="512"/>
        <v>0</v>
      </c>
    </row>
    <row r="770" spans="1:18">
      <c r="A770" s="505"/>
      <c r="B770" s="607" t="s">
        <v>1174</v>
      </c>
      <c r="C770" s="507">
        <v>12</v>
      </c>
      <c r="D770" s="508">
        <v>100</v>
      </c>
      <c r="E770" s="507">
        <v>1</v>
      </c>
      <c r="F770" s="502">
        <v>1</v>
      </c>
      <c r="G770" s="502">
        <f>+ROUND(5.105/(D770/1000)+1,0)/2</f>
        <v>26</v>
      </c>
      <c r="H770" s="602"/>
      <c r="I770" s="602">
        <f>2+2.5-0.025</f>
        <v>4.4749999999999996</v>
      </c>
      <c r="J770" s="235">
        <v>0.1</v>
      </c>
      <c r="K770" s="509"/>
      <c r="L770" s="510">
        <f t="shared" si="513"/>
        <v>4.5749999999999993</v>
      </c>
      <c r="M770" s="510">
        <f t="shared" si="507"/>
        <v>0</v>
      </c>
      <c r="N770" s="510">
        <f t="shared" si="508"/>
        <v>0</v>
      </c>
      <c r="O770" s="510">
        <f t="shared" si="509"/>
        <v>118.95</v>
      </c>
      <c r="P770" s="510">
        <f t="shared" si="510"/>
        <v>0</v>
      </c>
      <c r="Q770" s="510">
        <f t="shared" si="511"/>
        <v>0</v>
      </c>
      <c r="R770" s="510">
        <f t="shared" si="512"/>
        <v>0</v>
      </c>
    </row>
    <row r="771" spans="1:18">
      <c r="A771" s="505"/>
      <c r="B771" s="607" t="s">
        <v>1174</v>
      </c>
      <c r="C771" s="507">
        <v>10</v>
      </c>
      <c r="D771" s="508">
        <v>100</v>
      </c>
      <c r="E771" s="507">
        <v>1</v>
      </c>
      <c r="F771" s="502">
        <v>1</v>
      </c>
      <c r="G771" s="502">
        <f>+ROUND(5.105/(D771/1000)+1,0)/2</f>
        <v>26</v>
      </c>
      <c r="H771" s="602"/>
      <c r="I771" s="602">
        <f>1.35+0.2+2</f>
        <v>3.55</v>
      </c>
      <c r="J771" s="235"/>
      <c r="K771" s="509"/>
      <c r="L771" s="510">
        <f t="shared" si="513"/>
        <v>3.55</v>
      </c>
      <c r="M771" s="510">
        <f t="shared" si="507"/>
        <v>0</v>
      </c>
      <c r="N771" s="510">
        <f t="shared" si="508"/>
        <v>92.3</v>
      </c>
      <c r="O771" s="510">
        <f t="shared" si="509"/>
        <v>0</v>
      </c>
      <c r="P771" s="510">
        <f t="shared" si="510"/>
        <v>0</v>
      </c>
      <c r="Q771" s="510">
        <f t="shared" si="511"/>
        <v>0</v>
      </c>
      <c r="R771" s="510">
        <f t="shared" si="512"/>
        <v>0</v>
      </c>
    </row>
    <row r="772" spans="1:18">
      <c r="A772" s="505"/>
      <c r="B772" s="607" t="s">
        <v>1175</v>
      </c>
      <c r="C772" s="507">
        <v>8</v>
      </c>
      <c r="D772" s="508">
        <v>200</v>
      </c>
      <c r="E772" s="507">
        <v>1</v>
      </c>
      <c r="F772" s="502">
        <v>2</v>
      </c>
      <c r="G772" s="502">
        <f>+ROUND(2/(D772/1000)+1,0)</f>
        <v>11</v>
      </c>
      <c r="H772" s="602">
        <v>0.1</v>
      </c>
      <c r="I772" s="602">
        <f>5.105-0.05</f>
        <v>5.0550000000000006</v>
      </c>
      <c r="J772" s="235">
        <v>0.1</v>
      </c>
      <c r="K772" s="509"/>
      <c r="L772" s="510">
        <f t="shared" si="513"/>
        <v>5.2549999999999999</v>
      </c>
      <c r="M772" s="510">
        <f t="shared" si="507"/>
        <v>115.61</v>
      </c>
      <c r="N772" s="510">
        <f t="shared" si="508"/>
        <v>0</v>
      </c>
      <c r="O772" s="510">
        <f t="shared" si="509"/>
        <v>0</v>
      </c>
      <c r="P772" s="510">
        <f t="shared" si="510"/>
        <v>0</v>
      </c>
      <c r="Q772" s="510">
        <f t="shared" si="511"/>
        <v>0</v>
      </c>
      <c r="R772" s="510">
        <f t="shared" si="512"/>
        <v>0</v>
      </c>
    </row>
    <row r="773" spans="1:18">
      <c r="A773" s="505"/>
      <c r="B773" s="607" t="s">
        <v>1241</v>
      </c>
      <c r="C773" s="507">
        <v>10</v>
      </c>
      <c r="D773" s="508">
        <v>150</v>
      </c>
      <c r="E773" s="507">
        <v>1</v>
      </c>
      <c r="F773" s="502">
        <v>2</v>
      </c>
      <c r="G773" s="502">
        <f>+ROUND(2/(D773/1000)+1,0)</f>
        <v>14</v>
      </c>
      <c r="H773" s="602">
        <v>0.1</v>
      </c>
      <c r="I773" s="602">
        <v>0.3</v>
      </c>
      <c r="J773" s="235">
        <v>0.49</v>
      </c>
      <c r="K773" s="509"/>
      <c r="L773" s="510">
        <f t="shared" ref="L773" si="514">SUM(H773:J773)+K773</f>
        <v>0.89</v>
      </c>
      <c r="M773" s="510">
        <f t="shared" si="507"/>
        <v>0</v>
      </c>
      <c r="N773" s="510">
        <f t="shared" si="508"/>
        <v>24.92</v>
      </c>
      <c r="O773" s="510">
        <f t="shared" si="509"/>
        <v>0</v>
      </c>
      <c r="P773" s="510">
        <f t="shared" si="510"/>
        <v>0</v>
      </c>
      <c r="Q773" s="510">
        <f t="shared" si="511"/>
        <v>0</v>
      </c>
      <c r="R773" s="510">
        <f t="shared" si="512"/>
        <v>0</v>
      </c>
    </row>
    <row r="774" spans="1:18">
      <c r="A774" s="505"/>
      <c r="B774" s="511"/>
      <c r="C774" s="507"/>
      <c r="D774" s="508"/>
      <c r="E774" s="507"/>
      <c r="F774" s="502"/>
      <c r="G774" s="502"/>
      <c r="H774" s="602"/>
      <c r="I774" s="602"/>
      <c r="J774" s="235"/>
      <c r="K774" s="509"/>
      <c r="L774" s="510"/>
      <c r="M774" s="510"/>
      <c r="N774" s="510"/>
      <c r="O774" s="510"/>
      <c r="P774" s="510"/>
      <c r="Q774" s="510"/>
      <c r="R774" s="510"/>
    </row>
    <row r="775" spans="1:18">
      <c r="A775" s="505"/>
      <c r="B775" s="506" t="s">
        <v>1191</v>
      </c>
      <c r="C775" s="507"/>
      <c r="D775" s="508"/>
      <c r="E775" s="507"/>
      <c r="F775" s="502"/>
      <c r="G775" s="502"/>
      <c r="H775" s="602"/>
      <c r="I775" s="602"/>
      <c r="J775" s="235"/>
      <c r="K775" s="509"/>
      <c r="L775" s="510"/>
      <c r="M775" s="510">
        <f t="shared" ref="M775:M786" si="515">+ROUND(IF(C775=8,PRODUCT(E775,F775,G775,L775),0),2)</f>
        <v>0</v>
      </c>
      <c r="N775" s="510">
        <f t="shared" ref="N775:N786" si="516">+ROUND(IF(C775=10,PRODUCT(E775,F775,G775,L775),0),2)</f>
        <v>0</v>
      </c>
      <c r="O775" s="510">
        <f t="shared" ref="O775:O786" si="517">+ROUND(IF(C775=12,PRODUCT(E775,F775,G775,L775),0),2)</f>
        <v>0</v>
      </c>
      <c r="P775" s="510">
        <f t="shared" ref="P775:P786" si="518">+ROUND(IF(C775=16,PRODUCT(E775,F775,G775,L775),0),2)</f>
        <v>0</v>
      </c>
      <c r="Q775" s="510">
        <f t="shared" ref="Q775:Q786" si="519">+ROUND(IF(C775=20,PRODUCT(E775,F775,G775,L775),0),2)</f>
        <v>0</v>
      </c>
      <c r="R775" s="510">
        <f t="shared" ref="R775:R786" si="520">+ROUND(IF(C775=25,PRODUCT(E775,F775,G775,L775),0),2)</f>
        <v>0</v>
      </c>
    </row>
    <row r="776" spans="1:18">
      <c r="A776" s="505"/>
      <c r="B776" s="607" t="s">
        <v>1170</v>
      </c>
      <c r="C776" s="507">
        <v>8</v>
      </c>
      <c r="D776" s="508">
        <v>200</v>
      </c>
      <c r="E776" s="507">
        <v>1</v>
      </c>
      <c r="F776" s="502">
        <v>1</v>
      </c>
      <c r="G776" s="502">
        <v>18</v>
      </c>
      <c r="H776" s="602"/>
      <c r="I776" s="602">
        <f>0.175+3.05+0.175</f>
        <v>3.3999999999999995</v>
      </c>
      <c r="J776" s="235"/>
      <c r="K776" s="509"/>
      <c r="L776" s="510">
        <f t="shared" ref="L776" si="521">SUM(H776:J776)+K776</f>
        <v>3.3999999999999995</v>
      </c>
      <c r="M776" s="510">
        <f t="shared" si="515"/>
        <v>61.2</v>
      </c>
      <c r="N776" s="510">
        <f t="shared" si="516"/>
        <v>0</v>
      </c>
      <c r="O776" s="510">
        <f t="shared" si="517"/>
        <v>0</v>
      </c>
      <c r="P776" s="510">
        <f t="shared" si="518"/>
        <v>0</v>
      </c>
      <c r="Q776" s="510">
        <f t="shared" si="519"/>
        <v>0</v>
      </c>
      <c r="R776" s="510">
        <f t="shared" si="520"/>
        <v>0</v>
      </c>
    </row>
    <row r="777" spans="1:18">
      <c r="A777" s="505"/>
      <c r="B777" s="607" t="s">
        <v>1155</v>
      </c>
      <c r="C777" s="507">
        <v>8</v>
      </c>
      <c r="D777" s="508">
        <v>200</v>
      </c>
      <c r="E777" s="507">
        <v>1</v>
      </c>
      <c r="F777" s="502">
        <v>1</v>
      </c>
      <c r="G777" s="502">
        <f>+ROUND(3.05/(D777/1000)+1,0)</f>
        <v>16</v>
      </c>
      <c r="H777" s="602"/>
      <c r="I777" s="602">
        <f>0.175+3.58+0.175</f>
        <v>3.9299999999999997</v>
      </c>
      <c r="J777" s="235"/>
      <c r="K777" s="589"/>
      <c r="L777" s="510">
        <f>SUM(H777:J777)+K777</f>
        <v>3.9299999999999997</v>
      </c>
      <c r="M777" s="510">
        <f t="shared" si="515"/>
        <v>62.88</v>
      </c>
      <c r="N777" s="510">
        <f t="shared" si="516"/>
        <v>0</v>
      </c>
      <c r="O777" s="510">
        <f t="shared" si="517"/>
        <v>0</v>
      </c>
      <c r="P777" s="510">
        <f t="shared" si="518"/>
        <v>0</v>
      </c>
      <c r="Q777" s="510">
        <f t="shared" si="519"/>
        <v>0</v>
      </c>
      <c r="R777" s="510">
        <f t="shared" si="520"/>
        <v>0</v>
      </c>
    </row>
    <row r="778" spans="1:18">
      <c r="A778" s="505"/>
      <c r="B778" s="607" t="s">
        <v>1156</v>
      </c>
      <c r="C778" s="507">
        <v>8</v>
      </c>
      <c r="D778" s="508">
        <v>200</v>
      </c>
      <c r="E778" s="507">
        <v>1</v>
      </c>
      <c r="F778" s="502">
        <v>1</v>
      </c>
      <c r="G778" s="502">
        <f>+ROUND(3.05/(D778/1000)+1,0)</f>
        <v>16</v>
      </c>
      <c r="H778" s="602">
        <v>0.1</v>
      </c>
      <c r="I778" s="602">
        <f>0.6+0.175</f>
        <v>0.77499999999999991</v>
      </c>
      <c r="J778" s="235"/>
      <c r="K778" s="509"/>
      <c r="L778" s="510">
        <f t="shared" ref="L778" si="522">SUM(H778:J778)+K778</f>
        <v>0.87499999999999989</v>
      </c>
      <c r="M778" s="510">
        <f t="shared" si="515"/>
        <v>14</v>
      </c>
      <c r="N778" s="510">
        <f t="shared" si="516"/>
        <v>0</v>
      </c>
      <c r="O778" s="510">
        <f t="shared" si="517"/>
        <v>0</v>
      </c>
      <c r="P778" s="510">
        <f t="shared" si="518"/>
        <v>0</v>
      </c>
      <c r="Q778" s="510">
        <f t="shared" si="519"/>
        <v>0</v>
      </c>
      <c r="R778" s="510">
        <f t="shared" si="520"/>
        <v>0</v>
      </c>
    </row>
    <row r="779" spans="1:18">
      <c r="A779" s="505"/>
      <c r="B779" s="607" t="s">
        <v>1156</v>
      </c>
      <c r="C779" s="507">
        <v>8</v>
      </c>
      <c r="D779" s="508">
        <v>200</v>
      </c>
      <c r="E779" s="507">
        <v>1</v>
      </c>
      <c r="F779" s="502">
        <v>1</v>
      </c>
      <c r="G779" s="502">
        <f>+ROUND(3.05/(D779/1000)+1,0)/2</f>
        <v>8</v>
      </c>
      <c r="H779" s="602"/>
      <c r="I779" s="602">
        <f>0.1+0.6</f>
        <v>0.7</v>
      </c>
      <c r="J779" s="235"/>
      <c r="K779" s="509"/>
      <c r="L779" s="510">
        <f>SUM(H779:J779)+K779</f>
        <v>0.7</v>
      </c>
      <c r="M779" s="510">
        <f t="shared" si="515"/>
        <v>5.6</v>
      </c>
      <c r="N779" s="510">
        <f t="shared" si="516"/>
        <v>0</v>
      </c>
      <c r="O779" s="510">
        <f t="shared" si="517"/>
        <v>0</v>
      </c>
      <c r="P779" s="510">
        <f t="shared" si="518"/>
        <v>0</v>
      </c>
      <c r="Q779" s="510">
        <f t="shared" si="519"/>
        <v>0</v>
      </c>
      <c r="R779" s="510">
        <f t="shared" si="520"/>
        <v>0</v>
      </c>
    </row>
    <row r="780" spans="1:18">
      <c r="A780" s="505"/>
      <c r="B780" s="607" t="s">
        <v>1156</v>
      </c>
      <c r="C780" s="507">
        <v>8</v>
      </c>
      <c r="D780" s="508">
        <v>200</v>
      </c>
      <c r="E780" s="507">
        <v>1</v>
      </c>
      <c r="F780" s="502">
        <v>1</v>
      </c>
      <c r="G780" s="502">
        <v>7</v>
      </c>
      <c r="H780" s="602"/>
      <c r="I780" s="602">
        <f>0.1+1.2</f>
        <v>1.3</v>
      </c>
      <c r="J780" s="235"/>
      <c r="K780" s="509"/>
      <c r="L780" s="510">
        <f t="shared" ref="L780" si="523">SUM(H780:J780)+K780</f>
        <v>1.3</v>
      </c>
      <c r="M780" s="510">
        <f t="shared" si="515"/>
        <v>9.1</v>
      </c>
      <c r="N780" s="510">
        <f t="shared" si="516"/>
        <v>0</v>
      </c>
      <c r="O780" s="510">
        <f t="shared" si="517"/>
        <v>0</v>
      </c>
      <c r="P780" s="510">
        <f t="shared" si="518"/>
        <v>0</v>
      </c>
      <c r="Q780" s="510">
        <f t="shared" si="519"/>
        <v>0</v>
      </c>
      <c r="R780" s="510">
        <f t="shared" si="520"/>
        <v>0</v>
      </c>
    </row>
    <row r="781" spans="1:18">
      <c r="A781" s="505"/>
      <c r="B781" s="607" t="s">
        <v>1156</v>
      </c>
      <c r="C781" s="507">
        <v>8</v>
      </c>
      <c r="D781" s="508">
        <v>200</v>
      </c>
      <c r="E781" s="507">
        <v>1</v>
      </c>
      <c r="F781" s="502">
        <v>2</v>
      </c>
      <c r="G781" s="502">
        <v>9</v>
      </c>
      <c r="H781" s="602"/>
      <c r="I781" s="602">
        <f>0.1+0.5</f>
        <v>0.6</v>
      </c>
      <c r="J781" s="235"/>
      <c r="K781" s="509"/>
      <c r="L781" s="510">
        <f>SUM(H781:J781)+K781</f>
        <v>0.6</v>
      </c>
      <c r="M781" s="510">
        <f t="shared" si="515"/>
        <v>10.8</v>
      </c>
      <c r="N781" s="510">
        <f t="shared" si="516"/>
        <v>0</v>
      </c>
      <c r="O781" s="510">
        <f t="shared" si="517"/>
        <v>0</v>
      </c>
      <c r="P781" s="510">
        <f t="shared" si="518"/>
        <v>0</v>
      </c>
      <c r="Q781" s="510">
        <f t="shared" si="519"/>
        <v>0</v>
      </c>
      <c r="R781" s="510">
        <f t="shared" si="520"/>
        <v>0</v>
      </c>
    </row>
    <row r="782" spans="1:18">
      <c r="A782" s="505"/>
      <c r="B782" s="607" t="s">
        <v>1156</v>
      </c>
      <c r="C782" s="507">
        <v>8</v>
      </c>
      <c r="D782" s="508">
        <v>200</v>
      </c>
      <c r="E782" s="507">
        <v>1</v>
      </c>
      <c r="F782" s="502">
        <v>2</v>
      </c>
      <c r="G782" s="502">
        <v>9</v>
      </c>
      <c r="H782" s="602"/>
      <c r="I782" s="602">
        <f>0.1+1</f>
        <v>1.1000000000000001</v>
      </c>
      <c r="J782" s="235"/>
      <c r="K782" s="509"/>
      <c r="L782" s="510">
        <f t="shared" ref="L782:L786" si="524">SUM(H782:J782)+K782</f>
        <v>1.1000000000000001</v>
      </c>
      <c r="M782" s="510">
        <f t="shared" si="515"/>
        <v>19.8</v>
      </c>
      <c r="N782" s="510">
        <f t="shared" si="516"/>
        <v>0</v>
      </c>
      <c r="O782" s="510">
        <f t="shared" si="517"/>
        <v>0</v>
      </c>
      <c r="P782" s="510">
        <f t="shared" si="518"/>
        <v>0</v>
      </c>
      <c r="Q782" s="510">
        <f t="shared" si="519"/>
        <v>0</v>
      </c>
      <c r="R782" s="510">
        <f t="shared" si="520"/>
        <v>0</v>
      </c>
    </row>
    <row r="783" spans="1:18">
      <c r="A783" s="505"/>
      <c r="B783" s="607" t="s">
        <v>1159</v>
      </c>
      <c r="C783" s="507">
        <v>8</v>
      </c>
      <c r="D783" s="508">
        <v>200</v>
      </c>
      <c r="E783" s="507">
        <v>1</v>
      </c>
      <c r="F783" s="502">
        <v>1</v>
      </c>
      <c r="G783" s="502">
        <f>+ROUND(0.6/(D783/1000)+1,0)</f>
        <v>4</v>
      </c>
      <c r="H783" s="602">
        <v>0.2</v>
      </c>
      <c r="I783" s="602">
        <v>3.05</v>
      </c>
      <c r="J783" s="235"/>
      <c r="K783" s="509"/>
      <c r="L783" s="510">
        <f t="shared" si="524"/>
        <v>3.25</v>
      </c>
      <c r="M783" s="510">
        <f t="shared" si="515"/>
        <v>13</v>
      </c>
      <c r="N783" s="510">
        <f t="shared" si="516"/>
        <v>0</v>
      </c>
      <c r="O783" s="510">
        <f t="shared" si="517"/>
        <v>0</v>
      </c>
      <c r="P783" s="510">
        <f t="shared" si="518"/>
        <v>0</v>
      </c>
      <c r="Q783" s="510">
        <f t="shared" si="519"/>
        <v>0</v>
      </c>
      <c r="R783" s="510">
        <f t="shared" si="520"/>
        <v>0</v>
      </c>
    </row>
    <row r="784" spans="1:18">
      <c r="A784" s="505"/>
      <c r="B784" s="607" t="s">
        <v>1159</v>
      </c>
      <c r="C784" s="507">
        <v>8</v>
      </c>
      <c r="D784" s="508">
        <v>200</v>
      </c>
      <c r="E784" s="507">
        <v>1</v>
      </c>
      <c r="F784" s="502">
        <v>1</v>
      </c>
      <c r="G784" s="502">
        <f>+ROUND(1.2/(D784/1000)+1,0)</f>
        <v>7</v>
      </c>
      <c r="H784" s="602">
        <v>0.2</v>
      </c>
      <c r="I784" s="602">
        <v>3.05</v>
      </c>
      <c r="J784" s="235"/>
      <c r="K784" s="509"/>
      <c r="L784" s="510">
        <f t="shared" si="524"/>
        <v>3.25</v>
      </c>
      <c r="M784" s="510">
        <f t="shared" si="515"/>
        <v>22.75</v>
      </c>
      <c r="N784" s="510">
        <f t="shared" si="516"/>
        <v>0</v>
      </c>
      <c r="O784" s="510">
        <f t="shared" si="517"/>
        <v>0</v>
      </c>
      <c r="P784" s="510">
        <f t="shared" si="518"/>
        <v>0</v>
      </c>
      <c r="Q784" s="510">
        <f t="shared" si="519"/>
        <v>0</v>
      </c>
      <c r="R784" s="510">
        <f t="shared" si="520"/>
        <v>0</v>
      </c>
    </row>
    <row r="785" spans="1:18">
      <c r="A785" s="505"/>
      <c r="B785" s="607" t="s">
        <v>1159</v>
      </c>
      <c r="C785" s="507">
        <v>8</v>
      </c>
      <c r="D785" s="508">
        <v>200</v>
      </c>
      <c r="E785" s="507">
        <v>1</v>
      </c>
      <c r="F785" s="502">
        <v>1</v>
      </c>
      <c r="G785" s="502">
        <f>+ROUND(1/(D785/1000)+1,0)</f>
        <v>6</v>
      </c>
      <c r="H785" s="602">
        <v>0.2</v>
      </c>
      <c r="I785" s="602">
        <v>3.58</v>
      </c>
      <c r="J785" s="235"/>
      <c r="K785" s="509"/>
      <c r="L785" s="510">
        <f t="shared" si="524"/>
        <v>3.7800000000000002</v>
      </c>
      <c r="M785" s="510">
        <f t="shared" si="515"/>
        <v>22.68</v>
      </c>
      <c r="N785" s="510">
        <f t="shared" si="516"/>
        <v>0</v>
      </c>
      <c r="O785" s="510">
        <f t="shared" si="517"/>
        <v>0</v>
      </c>
      <c r="P785" s="510">
        <f t="shared" si="518"/>
        <v>0</v>
      </c>
      <c r="Q785" s="510">
        <f t="shared" si="519"/>
        <v>0</v>
      </c>
      <c r="R785" s="510">
        <f t="shared" si="520"/>
        <v>0</v>
      </c>
    </row>
    <row r="786" spans="1:18">
      <c r="A786" s="505"/>
      <c r="B786" s="607" t="s">
        <v>1159</v>
      </c>
      <c r="C786" s="507">
        <v>8</v>
      </c>
      <c r="D786" s="508">
        <v>200</v>
      </c>
      <c r="E786" s="507">
        <v>1</v>
      </c>
      <c r="F786" s="502">
        <v>1</v>
      </c>
      <c r="G786" s="502">
        <f>+ROUND(1/(D786/1000)+1,0)</f>
        <v>6</v>
      </c>
      <c r="H786" s="602">
        <v>0.2</v>
      </c>
      <c r="I786" s="602">
        <v>3.58</v>
      </c>
      <c r="J786" s="235"/>
      <c r="K786" s="509"/>
      <c r="L786" s="510">
        <f t="shared" si="524"/>
        <v>3.7800000000000002</v>
      </c>
      <c r="M786" s="510">
        <f t="shared" si="515"/>
        <v>22.68</v>
      </c>
      <c r="N786" s="510">
        <f t="shared" si="516"/>
        <v>0</v>
      </c>
      <c r="O786" s="510">
        <f t="shared" si="517"/>
        <v>0</v>
      </c>
      <c r="P786" s="510">
        <f t="shared" si="518"/>
        <v>0</v>
      </c>
      <c r="Q786" s="510">
        <f t="shared" si="519"/>
        <v>0</v>
      </c>
      <c r="R786" s="510">
        <f t="shared" si="520"/>
        <v>0</v>
      </c>
    </row>
    <row r="787" spans="1:18">
      <c r="A787" s="505"/>
      <c r="B787" s="511"/>
      <c r="C787" s="507"/>
      <c r="D787" s="508"/>
      <c r="E787" s="507"/>
      <c r="F787" s="502"/>
      <c r="G787" s="502"/>
      <c r="H787" s="602"/>
      <c r="I787" s="602"/>
      <c r="J787" s="235"/>
      <c r="K787" s="509"/>
      <c r="L787" s="510"/>
      <c r="M787" s="510"/>
      <c r="N787" s="510"/>
      <c r="O787" s="510"/>
      <c r="P787" s="510"/>
      <c r="Q787" s="510"/>
      <c r="R787" s="510"/>
    </row>
    <row r="788" spans="1:18">
      <c r="A788" s="505"/>
      <c r="B788" s="506" t="s">
        <v>1192</v>
      </c>
      <c r="C788" s="507"/>
      <c r="D788" s="508"/>
      <c r="E788" s="507"/>
      <c r="F788" s="502"/>
      <c r="G788" s="502"/>
      <c r="H788" s="602"/>
      <c r="I788" s="602"/>
      <c r="J788" s="235"/>
      <c r="K788" s="509"/>
      <c r="L788" s="510"/>
      <c r="M788" s="510">
        <f t="shared" ref="M788:M798" si="525">+ROUND(IF(C788=8,PRODUCT(E788,F788,G788,L788),0),2)</f>
        <v>0</v>
      </c>
      <c r="N788" s="510">
        <f t="shared" ref="N788:N798" si="526">+ROUND(IF(C788=10,PRODUCT(E788,F788,G788,L788),0),2)</f>
        <v>0</v>
      </c>
      <c r="O788" s="510">
        <f t="shared" ref="O788:O798" si="527">+ROUND(IF(C788=12,PRODUCT(E788,F788,G788,L788),0),2)</f>
        <v>0</v>
      </c>
      <c r="P788" s="510">
        <f t="shared" ref="P788:P798" si="528">+ROUND(IF(C788=16,PRODUCT(E788,F788,G788,L788),0),2)</f>
        <v>0</v>
      </c>
      <c r="Q788" s="510">
        <f t="shared" ref="Q788:Q798" si="529">+ROUND(IF(C788=20,PRODUCT(E788,F788,G788,L788),0),2)</f>
        <v>0</v>
      </c>
      <c r="R788" s="510">
        <f t="shared" ref="R788:R798" si="530">+ROUND(IF(C788=25,PRODUCT(E788,F788,G788,L788),0),2)</f>
        <v>0</v>
      </c>
    </row>
    <row r="789" spans="1:18">
      <c r="A789" s="505"/>
      <c r="B789" s="607" t="s">
        <v>1170</v>
      </c>
      <c r="C789" s="507">
        <v>8</v>
      </c>
      <c r="D789" s="508">
        <v>200</v>
      </c>
      <c r="E789" s="507">
        <v>1</v>
      </c>
      <c r="F789" s="502">
        <v>1</v>
      </c>
      <c r="G789" s="502">
        <f>+ROUND(2.43/(D789/1000)+1,0)</f>
        <v>13</v>
      </c>
      <c r="H789" s="602"/>
      <c r="I789" s="602">
        <v>1.78</v>
      </c>
      <c r="J789" s="235"/>
      <c r="K789" s="589"/>
      <c r="L789" s="510">
        <f>SUM(H789:J789)+K789</f>
        <v>1.78</v>
      </c>
      <c r="M789" s="510">
        <f t="shared" si="525"/>
        <v>23.14</v>
      </c>
      <c r="N789" s="510">
        <f t="shared" si="526"/>
        <v>0</v>
      </c>
      <c r="O789" s="510">
        <f t="shared" si="527"/>
        <v>0</v>
      </c>
      <c r="P789" s="510">
        <f t="shared" si="528"/>
        <v>0</v>
      </c>
      <c r="Q789" s="510">
        <f t="shared" si="529"/>
        <v>0</v>
      </c>
      <c r="R789" s="510">
        <f t="shared" si="530"/>
        <v>0</v>
      </c>
    </row>
    <row r="790" spans="1:18">
      <c r="A790" s="505"/>
      <c r="B790" s="607" t="s">
        <v>1155</v>
      </c>
      <c r="C790" s="507">
        <v>8</v>
      </c>
      <c r="D790" s="508">
        <v>200</v>
      </c>
      <c r="E790" s="507">
        <v>1</v>
      </c>
      <c r="F790" s="502">
        <v>1</v>
      </c>
      <c r="G790" s="502">
        <f>+ROUND(1.41/(D790/1000)+1,0)</f>
        <v>8</v>
      </c>
      <c r="H790" s="602"/>
      <c r="I790" s="602">
        <v>0.75</v>
      </c>
      <c r="J790" s="235"/>
      <c r="K790" s="589"/>
      <c r="L790" s="510">
        <f>SUM(H790:J790)+K790</f>
        <v>0.75</v>
      </c>
      <c r="M790" s="510">
        <f t="shared" si="525"/>
        <v>6</v>
      </c>
      <c r="N790" s="510">
        <f t="shared" si="526"/>
        <v>0</v>
      </c>
      <c r="O790" s="510">
        <f t="shared" si="527"/>
        <v>0</v>
      </c>
      <c r="P790" s="510">
        <f t="shared" si="528"/>
        <v>0</v>
      </c>
      <c r="Q790" s="510">
        <f t="shared" si="529"/>
        <v>0</v>
      </c>
      <c r="R790" s="510">
        <f t="shared" si="530"/>
        <v>0</v>
      </c>
    </row>
    <row r="791" spans="1:18">
      <c r="A791" s="505"/>
      <c r="B791" s="607" t="s">
        <v>1156</v>
      </c>
      <c r="C791" s="507">
        <v>8</v>
      </c>
      <c r="D791" s="508">
        <v>200</v>
      </c>
      <c r="E791" s="507">
        <v>1</v>
      </c>
      <c r="F791" s="502">
        <v>1</v>
      </c>
      <c r="G791" s="502">
        <v>9</v>
      </c>
      <c r="H791" s="602">
        <v>0.1</v>
      </c>
      <c r="I791" s="602">
        <f>0.175+0.45</f>
        <v>0.625</v>
      </c>
      <c r="J791" s="235"/>
      <c r="K791" s="509"/>
      <c r="L791" s="510">
        <f t="shared" ref="L791" si="531">SUM(H791:J791)+K791</f>
        <v>0.72499999999999998</v>
      </c>
      <c r="M791" s="510">
        <f t="shared" si="525"/>
        <v>6.53</v>
      </c>
      <c r="N791" s="510">
        <f t="shared" si="526"/>
        <v>0</v>
      </c>
      <c r="O791" s="510">
        <f t="shared" si="527"/>
        <v>0</v>
      </c>
      <c r="P791" s="510">
        <f t="shared" si="528"/>
        <v>0</v>
      </c>
      <c r="Q791" s="510">
        <f t="shared" si="529"/>
        <v>0</v>
      </c>
      <c r="R791" s="510">
        <f t="shared" si="530"/>
        <v>0</v>
      </c>
    </row>
    <row r="792" spans="1:18">
      <c r="A792" s="505"/>
      <c r="B792" s="607" t="s">
        <v>1156</v>
      </c>
      <c r="C792" s="507">
        <v>8</v>
      </c>
      <c r="D792" s="508">
        <v>200</v>
      </c>
      <c r="E792" s="507">
        <v>1</v>
      </c>
      <c r="F792" s="502">
        <v>1</v>
      </c>
      <c r="G792" s="502">
        <f>+ROUND(2.43/(D792/1000)+1,0)</f>
        <v>13</v>
      </c>
      <c r="H792" s="602">
        <v>0.1</v>
      </c>
      <c r="I792" s="602">
        <f>0.45+0.175</f>
        <v>0.625</v>
      </c>
      <c r="J792" s="235"/>
      <c r="K792" s="509"/>
      <c r="L792" s="510">
        <f>SUM(H792:J792)+K792</f>
        <v>0.72499999999999998</v>
      </c>
      <c r="M792" s="510">
        <f t="shared" si="525"/>
        <v>9.43</v>
      </c>
      <c r="N792" s="510">
        <f t="shared" si="526"/>
        <v>0</v>
      </c>
      <c r="O792" s="510">
        <f t="shared" si="527"/>
        <v>0</v>
      </c>
      <c r="P792" s="510">
        <f t="shared" si="528"/>
        <v>0</v>
      </c>
      <c r="Q792" s="510">
        <f t="shared" si="529"/>
        <v>0</v>
      </c>
      <c r="R792" s="510">
        <f t="shared" si="530"/>
        <v>0</v>
      </c>
    </row>
    <row r="793" spans="1:18">
      <c r="A793" s="505"/>
      <c r="B793" s="607" t="s">
        <v>1156</v>
      </c>
      <c r="C793" s="507">
        <v>8</v>
      </c>
      <c r="D793" s="508">
        <v>200</v>
      </c>
      <c r="E793" s="507">
        <v>1</v>
      </c>
      <c r="F793" s="502">
        <v>1</v>
      </c>
      <c r="G793" s="502">
        <f>+ROUND(2.43/(D793/1000)+1,0)</f>
        <v>13</v>
      </c>
      <c r="H793" s="602"/>
      <c r="I793" s="602">
        <f>0.1+0.5</f>
        <v>0.6</v>
      </c>
      <c r="J793" s="235"/>
      <c r="K793" s="509"/>
      <c r="L793" s="510">
        <f t="shared" ref="L793" si="532">SUM(H793:J793)+K793</f>
        <v>0.6</v>
      </c>
      <c r="M793" s="510">
        <f t="shared" si="525"/>
        <v>7.8</v>
      </c>
      <c r="N793" s="510">
        <f t="shared" si="526"/>
        <v>0</v>
      </c>
      <c r="O793" s="510">
        <f t="shared" si="527"/>
        <v>0</v>
      </c>
      <c r="P793" s="510">
        <f t="shared" si="528"/>
        <v>0</v>
      </c>
      <c r="Q793" s="510">
        <f t="shared" si="529"/>
        <v>0</v>
      </c>
      <c r="R793" s="510">
        <f t="shared" si="530"/>
        <v>0</v>
      </c>
    </row>
    <row r="794" spans="1:18">
      <c r="A794" s="505"/>
      <c r="B794" s="607" t="s">
        <v>1156</v>
      </c>
      <c r="C794" s="507">
        <v>8</v>
      </c>
      <c r="D794" s="508">
        <v>200</v>
      </c>
      <c r="E794" s="507">
        <v>1</v>
      </c>
      <c r="F794" s="502">
        <v>1</v>
      </c>
      <c r="G794" s="502">
        <f>+ROUND(1.41/(D794/1000)+1,0)</f>
        <v>8</v>
      </c>
      <c r="H794" s="602"/>
      <c r="I794" s="602">
        <f>0.1+0.8</f>
        <v>0.9</v>
      </c>
      <c r="J794" s="235"/>
      <c r="K794" s="509"/>
      <c r="L794" s="510">
        <f t="shared" ref="L794" si="533">SUM(H794:J794)+K794</f>
        <v>0.9</v>
      </c>
      <c r="M794" s="510">
        <f t="shared" si="525"/>
        <v>7.2</v>
      </c>
      <c r="N794" s="510">
        <f t="shared" si="526"/>
        <v>0</v>
      </c>
      <c r="O794" s="510">
        <f t="shared" si="527"/>
        <v>0</v>
      </c>
      <c r="P794" s="510">
        <f t="shared" si="528"/>
        <v>0</v>
      </c>
      <c r="Q794" s="510">
        <f t="shared" si="529"/>
        <v>0</v>
      </c>
      <c r="R794" s="510">
        <f t="shared" si="530"/>
        <v>0</v>
      </c>
    </row>
    <row r="795" spans="1:18">
      <c r="A795" s="505"/>
      <c r="B795" s="607" t="s">
        <v>1159</v>
      </c>
      <c r="C795" s="507">
        <v>8</v>
      </c>
      <c r="D795" s="508">
        <v>200</v>
      </c>
      <c r="E795" s="507">
        <v>1</v>
      </c>
      <c r="F795" s="502">
        <v>1</v>
      </c>
      <c r="G795" s="502">
        <f>+ROUND(0.45/(D795/1000)+1,0)</f>
        <v>3</v>
      </c>
      <c r="H795" s="602">
        <v>0.2</v>
      </c>
      <c r="I795" s="602">
        <v>1.41</v>
      </c>
      <c r="J795" s="235"/>
      <c r="K795" s="509"/>
      <c r="L795" s="510">
        <f t="shared" ref="L795:L798" si="534">SUM(H795:J795)+K795</f>
        <v>1.6099999999999999</v>
      </c>
      <c r="M795" s="510">
        <f t="shared" si="525"/>
        <v>4.83</v>
      </c>
      <c r="N795" s="510">
        <f t="shared" si="526"/>
        <v>0</v>
      </c>
      <c r="O795" s="510">
        <f t="shared" si="527"/>
        <v>0</v>
      </c>
      <c r="P795" s="510">
        <f t="shared" si="528"/>
        <v>0</v>
      </c>
      <c r="Q795" s="510">
        <f t="shared" si="529"/>
        <v>0</v>
      </c>
      <c r="R795" s="510">
        <f t="shared" si="530"/>
        <v>0</v>
      </c>
    </row>
    <row r="796" spans="1:18">
      <c r="A796" s="505"/>
      <c r="B796" s="607" t="s">
        <v>1159</v>
      </c>
      <c r="C796" s="507">
        <v>8</v>
      </c>
      <c r="D796" s="508">
        <v>200</v>
      </c>
      <c r="E796" s="507">
        <v>1</v>
      </c>
      <c r="F796" s="502">
        <v>1</v>
      </c>
      <c r="G796" s="502">
        <f>+ROUND(0.8/(D796/1000)+1,0)</f>
        <v>5</v>
      </c>
      <c r="H796" s="602">
        <v>0.2</v>
      </c>
      <c r="I796" s="602">
        <v>1.41</v>
      </c>
      <c r="J796" s="235"/>
      <c r="K796" s="509"/>
      <c r="L796" s="510">
        <f t="shared" si="534"/>
        <v>1.6099999999999999</v>
      </c>
      <c r="M796" s="510">
        <f t="shared" si="525"/>
        <v>8.0500000000000007</v>
      </c>
      <c r="N796" s="510">
        <f t="shared" si="526"/>
        <v>0</v>
      </c>
      <c r="O796" s="510">
        <f t="shared" si="527"/>
        <v>0</v>
      </c>
      <c r="P796" s="510">
        <f t="shared" si="528"/>
        <v>0</v>
      </c>
      <c r="Q796" s="510">
        <f t="shared" si="529"/>
        <v>0</v>
      </c>
      <c r="R796" s="510">
        <f t="shared" si="530"/>
        <v>0</v>
      </c>
    </row>
    <row r="797" spans="1:18">
      <c r="A797" s="505"/>
      <c r="B797" s="607" t="s">
        <v>1159</v>
      </c>
      <c r="C797" s="507">
        <v>8</v>
      </c>
      <c r="D797" s="508">
        <v>200</v>
      </c>
      <c r="E797" s="507">
        <v>1</v>
      </c>
      <c r="F797" s="502">
        <v>1</v>
      </c>
      <c r="G797" s="502">
        <f>+ROUND(0.5/(D797/1000)+1,0)</f>
        <v>4</v>
      </c>
      <c r="H797" s="602">
        <v>0.2</v>
      </c>
      <c r="I797" s="602">
        <v>2.4300000000000002</v>
      </c>
      <c r="J797" s="235"/>
      <c r="K797" s="509"/>
      <c r="L797" s="510">
        <f t="shared" si="534"/>
        <v>2.6300000000000003</v>
      </c>
      <c r="M797" s="510">
        <f t="shared" si="525"/>
        <v>10.52</v>
      </c>
      <c r="N797" s="510">
        <f t="shared" si="526"/>
        <v>0</v>
      </c>
      <c r="O797" s="510">
        <f t="shared" si="527"/>
        <v>0</v>
      </c>
      <c r="P797" s="510">
        <f t="shared" si="528"/>
        <v>0</v>
      </c>
      <c r="Q797" s="510">
        <f t="shared" si="529"/>
        <v>0</v>
      </c>
      <c r="R797" s="510">
        <f t="shared" si="530"/>
        <v>0</v>
      </c>
    </row>
    <row r="798" spans="1:18">
      <c r="A798" s="505"/>
      <c r="B798" s="607" t="s">
        <v>1159</v>
      </c>
      <c r="C798" s="507">
        <v>8</v>
      </c>
      <c r="D798" s="508">
        <v>200</v>
      </c>
      <c r="E798" s="507">
        <v>1</v>
      </c>
      <c r="F798" s="502">
        <v>1</v>
      </c>
      <c r="G798" s="502">
        <f>+ROUND(0.45/(D798/1000)+1,0)</f>
        <v>3</v>
      </c>
      <c r="H798" s="602">
        <v>0.2</v>
      </c>
      <c r="I798" s="602">
        <v>2.4300000000000002</v>
      </c>
      <c r="J798" s="235"/>
      <c r="K798" s="509"/>
      <c r="L798" s="510">
        <f t="shared" si="534"/>
        <v>2.6300000000000003</v>
      </c>
      <c r="M798" s="510">
        <f t="shared" si="525"/>
        <v>7.89</v>
      </c>
      <c r="N798" s="510">
        <f t="shared" si="526"/>
        <v>0</v>
      </c>
      <c r="O798" s="510">
        <f t="shared" si="527"/>
        <v>0</v>
      </c>
      <c r="P798" s="510">
        <f t="shared" si="528"/>
        <v>0</v>
      </c>
      <c r="Q798" s="510">
        <f t="shared" si="529"/>
        <v>0</v>
      </c>
      <c r="R798" s="510">
        <f t="shared" si="530"/>
        <v>0</v>
      </c>
    </row>
    <row r="799" spans="1:18">
      <c r="A799" s="505"/>
      <c r="B799" s="511"/>
      <c r="C799" s="507"/>
      <c r="D799" s="508"/>
      <c r="E799" s="507"/>
      <c r="F799" s="502"/>
      <c r="G799" s="502"/>
      <c r="H799" s="602"/>
      <c r="I799" s="602"/>
      <c r="J799" s="235"/>
      <c r="K799" s="509"/>
      <c r="L799" s="510"/>
      <c r="M799" s="510"/>
      <c r="N799" s="510"/>
      <c r="O799" s="510"/>
      <c r="P799" s="510"/>
      <c r="Q799" s="510"/>
      <c r="R799" s="510"/>
    </row>
    <row r="800" spans="1:18">
      <c r="A800" s="505"/>
      <c r="B800" s="506" t="s">
        <v>1193</v>
      </c>
      <c r="C800" s="507"/>
      <c r="D800" s="508"/>
      <c r="E800" s="507"/>
      <c r="F800" s="502"/>
      <c r="G800" s="502"/>
      <c r="H800" s="602"/>
      <c r="I800" s="602"/>
      <c r="J800" s="235"/>
      <c r="K800" s="509"/>
      <c r="L800" s="510"/>
      <c r="M800" s="510">
        <f t="shared" ref="M800:M810" si="535">+ROUND(IF(C800=8,PRODUCT(E800,F800,G800,L800),0),2)</f>
        <v>0</v>
      </c>
      <c r="N800" s="510">
        <f t="shared" ref="N800:N810" si="536">+ROUND(IF(C800=10,PRODUCT(E800,F800,G800,L800),0),2)</f>
        <v>0</v>
      </c>
      <c r="O800" s="510">
        <f t="shared" ref="O800:O810" si="537">+ROUND(IF(C800=12,PRODUCT(E800,F800,G800,L800),0),2)</f>
        <v>0</v>
      </c>
      <c r="P800" s="510">
        <f t="shared" ref="P800:P810" si="538">+ROUND(IF(C800=16,PRODUCT(E800,F800,G800,L800),0),2)</f>
        <v>0</v>
      </c>
      <c r="Q800" s="510">
        <f t="shared" ref="Q800:Q810" si="539">+ROUND(IF(C800=20,PRODUCT(E800,F800,G800,L800),0),2)</f>
        <v>0</v>
      </c>
      <c r="R800" s="510">
        <f t="shared" ref="R800:R810" si="540">+ROUND(IF(C800=25,PRODUCT(E800,F800,G800,L800),0),2)</f>
        <v>0</v>
      </c>
    </row>
    <row r="801" spans="1:18">
      <c r="A801" s="505"/>
      <c r="B801" s="607" t="s">
        <v>1170</v>
      </c>
      <c r="C801" s="507">
        <v>8</v>
      </c>
      <c r="D801" s="508">
        <v>200</v>
      </c>
      <c r="E801" s="507">
        <v>1</v>
      </c>
      <c r="F801" s="502">
        <v>1</v>
      </c>
      <c r="G801" s="502">
        <f>+ROUND(2.41/(D801/1000)+1,0)</f>
        <v>13</v>
      </c>
      <c r="H801" s="602"/>
      <c r="I801" s="602">
        <f>0.175+1.54+0.175</f>
        <v>1.8900000000000001</v>
      </c>
      <c r="J801" s="235"/>
      <c r="K801" s="589"/>
      <c r="L801" s="510">
        <f>SUM(H801:J801)+K801</f>
        <v>1.8900000000000001</v>
      </c>
      <c r="M801" s="510">
        <f t="shared" si="535"/>
        <v>24.57</v>
      </c>
      <c r="N801" s="510">
        <f t="shared" si="536"/>
        <v>0</v>
      </c>
      <c r="O801" s="510">
        <f t="shared" si="537"/>
        <v>0</v>
      </c>
      <c r="P801" s="510">
        <f t="shared" si="538"/>
        <v>0</v>
      </c>
      <c r="Q801" s="510">
        <f t="shared" si="539"/>
        <v>0</v>
      </c>
      <c r="R801" s="510">
        <f t="shared" si="540"/>
        <v>0</v>
      </c>
    </row>
    <row r="802" spans="1:18">
      <c r="A802" s="505"/>
      <c r="B802" s="607" t="s">
        <v>1155</v>
      </c>
      <c r="C802" s="507">
        <v>8</v>
      </c>
      <c r="D802" s="508">
        <v>200</v>
      </c>
      <c r="E802" s="507">
        <v>1</v>
      </c>
      <c r="F802" s="502">
        <v>1</v>
      </c>
      <c r="G802" s="502">
        <v>8</v>
      </c>
      <c r="H802" s="602"/>
      <c r="I802" s="602">
        <f>0.175+2.41+0.175</f>
        <v>2.76</v>
      </c>
      <c r="J802" s="235"/>
      <c r="K802" s="589"/>
      <c r="L802" s="510">
        <f>SUM(H802:J802)+K802</f>
        <v>2.76</v>
      </c>
      <c r="M802" s="510">
        <f t="shared" si="535"/>
        <v>22.08</v>
      </c>
      <c r="N802" s="510">
        <f t="shared" si="536"/>
        <v>0</v>
      </c>
      <c r="O802" s="510">
        <f t="shared" si="537"/>
        <v>0</v>
      </c>
      <c r="P802" s="510">
        <f t="shared" si="538"/>
        <v>0</v>
      </c>
      <c r="Q802" s="510">
        <f t="shared" si="539"/>
        <v>0</v>
      </c>
      <c r="R802" s="510">
        <f t="shared" si="540"/>
        <v>0</v>
      </c>
    </row>
    <row r="803" spans="1:18">
      <c r="A803" s="505"/>
      <c r="B803" s="607" t="s">
        <v>1156</v>
      </c>
      <c r="C803" s="507">
        <v>8</v>
      </c>
      <c r="D803" s="508">
        <v>200</v>
      </c>
      <c r="E803" s="507">
        <v>1</v>
      </c>
      <c r="F803" s="502">
        <v>1</v>
      </c>
      <c r="G803" s="502">
        <f>+ROUND(1.54/(D803/1000)+1,0)</f>
        <v>9</v>
      </c>
      <c r="H803" s="602">
        <v>0.15</v>
      </c>
      <c r="I803" s="602">
        <f>0.175+0.45</f>
        <v>0.625</v>
      </c>
      <c r="J803" s="235"/>
      <c r="K803" s="509"/>
      <c r="L803" s="510">
        <f t="shared" ref="L803" si="541">SUM(H803:J803)+K803</f>
        <v>0.77500000000000002</v>
      </c>
      <c r="M803" s="510">
        <f t="shared" si="535"/>
        <v>6.98</v>
      </c>
      <c r="N803" s="510">
        <f t="shared" si="536"/>
        <v>0</v>
      </c>
      <c r="O803" s="510">
        <f t="shared" si="537"/>
        <v>0</v>
      </c>
      <c r="P803" s="510">
        <f t="shared" si="538"/>
        <v>0</v>
      </c>
      <c r="Q803" s="510">
        <f t="shared" si="539"/>
        <v>0</v>
      </c>
      <c r="R803" s="510">
        <f t="shared" si="540"/>
        <v>0</v>
      </c>
    </row>
    <row r="804" spans="1:18">
      <c r="A804" s="505"/>
      <c r="B804" s="607" t="s">
        <v>1156</v>
      </c>
      <c r="C804" s="507">
        <v>8</v>
      </c>
      <c r="D804" s="508">
        <v>200</v>
      </c>
      <c r="E804" s="507">
        <v>1</v>
      </c>
      <c r="F804" s="502">
        <v>1</v>
      </c>
      <c r="G804" s="502">
        <f>+ROUND(1.54/(D804/1000)+1,0)</f>
        <v>9</v>
      </c>
      <c r="H804" s="602">
        <v>0.15</v>
      </c>
      <c r="I804" s="602">
        <f>0.45+0.175</f>
        <v>0.625</v>
      </c>
      <c r="J804" s="235"/>
      <c r="K804" s="509"/>
      <c r="L804" s="510">
        <f>SUM(H804:J804)+K804</f>
        <v>0.77500000000000002</v>
      </c>
      <c r="M804" s="510">
        <f t="shared" si="535"/>
        <v>6.98</v>
      </c>
      <c r="N804" s="510">
        <f t="shared" si="536"/>
        <v>0</v>
      </c>
      <c r="O804" s="510">
        <f t="shared" si="537"/>
        <v>0</v>
      </c>
      <c r="P804" s="510">
        <f t="shared" si="538"/>
        <v>0</v>
      </c>
      <c r="Q804" s="510">
        <f t="shared" si="539"/>
        <v>0</v>
      </c>
      <c r="R804" s="510">
        <f t="shared" si="540"/>
        <v>0</v>
      </c>
    </row>
    <row r="805" spans="1:18">
      <c r="A805" s="505"/>
      <c r="B805" s="607" t="s">
        <v>1156</v>
      </c>
      <c r="C805" s="507">
        <v>8</v>
      </c>
      <c r="D805" s="508">
        <v>200</v>
      </c>
      <c r="E805" s="507">
        <v>1</v>
      </c>
      <c r="F805" s="502">
        <v>1</v>
      </c>
      <c r="G805" s="502">
        <v>12</v>
      </c>
      <c r="H805" s="602">
        <v>0.15</v>
      </c>
      <c r="I805" s="602">
        <f>0.1+0.45</f>
        <v>0.55000000000000004</v>
      </c>
      <c r="J805" s="235"/>
      <c r="K805" s="509"/>
      <c r="L805" s="510">
        <f t="shared" ref="L805:L810" si="542">SUM(H805:J805)+K805</f>
        <v>0.70000000000000007</v>
      </c>
      <c r="M805" s="510">
        <f t="shared" si="535"/>
        <v>8.4</v>
      </c>
      <c r="N805" s="510">
        <f t="shared" si="536"/>
        <v>0</v>
      </c>
      <c r="O805" s="510">
        <f t="shared" si="537"/>
        <v>0</v>
      </c>
      <c r="P805" s="510">
        <f t="shared" si="538"/>
        <v>0</v>
      </c>
      <c r="Q805" s="510">
        <f t="shared" si="539"/>
        <v>0</v>
      </c>
      <c r="R805" s="510">
        <f t="shared" si="540"/>
        <v>0</v>
      </c>
    </row>
    <row r="806" spans="1:18">
      <c r="A806" s="505"/>
      <c r="B806" s="607" t="s">
        <v>1156</v>
      </c>
      <c r="C806" s="507">
        <v>8</v>
      </c>
      <c r="D806" s="508">
        <v>200</v>
      </c>
      <c r="E806" s="507">
        <v>1</v>
      </c>
      <c r="F806" s="502">
        <v>1</v>
      </c>
      <c r="G806" s="502">
        <v>12</v>
      </c>
      <c r="H806" s="602">
        <v>0.15</v>
      </c>
      <c r="I806" s="602">
        <f>0.1+0.45</f>
        <v>0.55000000000000004</v>
      </c>
      <c r="J806" s="235"/>
      <c r="K806" s="509"/>
      <c r="L806" s="510">
        <f t="shared" si="542"/>
        <v>0.70000000000000007</v>
      </c>
      <c r="M806" s="510">
        <f t="shared" si="535"/>
        <v>8.4</v>
      </c>
      <c r="N806" s="510">
        <f t="shared" si="536"/>
        <v>0</v>
      </c>
      <c r="O806" s="510">
        <f t="shared" si="537"/>
        <v>0</v>
      </c>
      <c r="P806" s="510">
        <f t="shared" si="538"/>
        <v>0</v>
      </c>
      <c r="Q806" s="510">
        <f t="shared" si="539"/>
        <v>0</v>
      </c>
      <c r="R806" s="510">
        <f t="shared" si="540"/>
        <v>0</v>
      </c>
    </row>
    <row r="807" spans="1:18">
      <c r="A807" s="505"/>
      <c r="B807" s="607" t="s">
        <v>1159</v>
      </c>
      <c r="C807" s="507">
        <v>8</v>
      </c>
      <c r="D807" s="508">
        <v>200</v>
      </c>
      <c r="E807" s="507">
        <v>1</v>
      </c>
      <c r="F807" s="502">
        <v>1</v>
      </c>
      <c r="G807" s="502">
        <f>+ROUND(0.45/(D807/1000)+1,0)</f>
        <v>3</v>
      </c>
      <c r="H807" s="602">
        <v>0.2</v>
      </c>
      <c r="I807" s="602">
        <v>1.54</v>
      </c>
      <c r="J807" s="235"/>
      <c r="K807" s="509"/>
      <c r="L807" s="510">
        <f t="shared" si="542"/>
        <v>1.74</v>
      </c>
      <c r="M807" s="510">
        <f t="shared" si="535"/>
        <v>5.22</v>
      </c>
      <c r="N807" s="510">
        <f t="shared" si="536"/>
        <v>0</v>
      </c>
      <c r="O807" s="510">
        <f t="shared" si="537"/>
        <v>0</v>
      </c>
      <c r="P807" s="510">
        <f t="shared" si="538"/>
        <v>0</v>
      </c>
      <c r="Q807" s="510">
        <f t="shared" si="539"/>
        <v>0</v>
      </c>
      <c r="R807" s="510">
        <f t="shared" si="540"/>
        <v>0</v>
      </c>
    </row>
    <row r="808" spans="1:18">
      <c r="A808" s="505"/>
      <c r="B808" s="607" t="s">
        <v>1159</v>
      </c>
      <c r="C808" s="507">
        <v>8</v>
      </c>
      <c r="D808" s="508">
        <v>200</v>
      </c>
      <c r="E808" s="507">
        <v>1</v>
      </c>
      <c r="F808" s="502">
        <v>1</v>
      </c>
      <c r="G808" s="502">
        <f t="shared" ref="G808:G810" si="543">+ROUND(0.45/(D808/1000)+1,0)</f>
        <v>3</v>
      </c>
      <c r="H808" s="602">
        <v>0.2</v>
      </c>
      <c r="I808" s="602">
        <v>1.54</v>
      </c>
      <c r="J808" s="235"/>
      <c r="K808" s="509"/>
      <c r="L808" s="510">
        <f t="shared" si="542"/>
        <v>1.74</v>
      </c>
      <c r="M808" s="510">
        <f t="shared" si="535"/>
        <v>5.22</v>
      </c>
      <c r="N808" s="510">
        <f t="shared" si="536"/>
        <v>0</v>
      </c>
      <c r="O808" s="510">
        <f t="shared" si="537"/>
        <v>0</v>
      </c>
      <c r="P808" s="510">
        <f t="shared" si="538"/>
        <v>0</v>
      </c>
      <c r="Q808" s="510">
        <f t="shared" si="539"/>
        <v>0</v>
      </c>
      <c r="R808" s="510">
        <f t="shared" si="540"/>
        <v>0</v>
      </c>
    </row>
    <row r="809" spans="1:18">
      <c r="A809" s="505"/>
      <c r="B809" s="607" t="s">
        <v>1159</v>
      </c>
      <c r="C809" s="507">
        <v>8</v>
      </c>
      <c r="D809" s="508">
        <v>200</v>
      </c>
      <c r="E809" s="507">
        <v>1</v>
      </c>
      <c r="F809" s="502">
        <v>1</v>
      </c>
      <c r="G809" s="502">
        <f t="shared" si="543"/>
        <v>3</v>
      </c>
      <c r="H809" s="602">
        <v>0.2</v>
      </c>
      <c r="I809" s="602">
        <v>2.41</v>
      </c>
      <c r="J809" s="235"/>
      <c r="K809" s="509"/>
      <c r="L809" s="510">
        <f t="shared" si="542"/>
        <v>2.6100000000000003</v>
      </c>
      <c r="M809" s="510">
        <f t="shared" si="535"/>
        <v>7.83</v>
      </c>
      <c r="N809" s="510">
        <f t="shared" si="536"/>
        <v>0</v>
      </c>
      <c r="O809" s="510">
        <f t="shared" si="537"/>
        <v>0</v>
      </c>
      <c r="P809" s="510">
        <f t="shared" si="538"/>
        <v>0</v>
      </c>
      <c r="Q809" s="510">
        <f t="shared" si="539"/>
        <v>0</v>
      </c>
      <c r="R809" s="510">
        <f t="shared" si="540"/>
        <v>0</v>
      </c>
    </row>
    <row r="810" spans="1:18">
      <c r="A810" s="505"/>
      <c r="B810" s="607" t="s">
        <v>1159</v>
      </c>
      <c r="C810" s="507">
        <v>8</v>
      </c>
      <c r="D810" s="508">
        <v>200</v>
      </c>
      <c r="E810" s="507">
        <v>1</v>
      </c>
      <c r="F810" s="502">
        <v>1</v>
      </c>
      <c r="G810" s="502">
        <f t="shared" si="543"/>
        <v>3</v>
      </c>
      <c r="H810" s="602">
        <v>0.2</v>
      </c>
      <c r="I810" s="602">
        <v>2.41</v>
      </c>
      <c r="J810" s="235"/>
      <c r="K810" s="509"/>
      <c r="L810" s="510">
        <f t="shared" si="542"/>
        <v>2.6100000000000003</v>
      </c>
      <c r="M810" s="510">
        <f t="shared" si="535"/>
        <v>7.83</v>
      </c>
      <c r="N810" s="510">
        <f t="shared" si="536"/>
        <v>0</v>
      </c>
      <c r="O810" s="510">
        <f t="shared" si="537"/>
        <v>0</v>
      </c>
      <c r="P810" s="510">
        <f t="shared" si="538"/>
        <v>0</v>
      </c>
      <c r="Q810" s="510">
        <f t="shared" si="539"/>
        <v>0</v>
      </c>
      <c r="R810" s="510">
        <f t="shared" si="540"/>
        <v>0</v>
      </c>
    </row>
    <row r="811" spans="1:18">
      <c r="A811" s="505"/>
      <c r="B811" s="511"/>
      <c r="C811" s="507"/>
      <c r="D811" s="508"/>
      <c r="E811" s="507"/>
      <c r="F811" s="502"/>
      <c r="G811" s="502"/>
      <c r="H811" s="602"/>
      <c r="I811" s="602"/>
      <c r="J811" s="235"/>
      <c r="K811" s="509"/>
      <c r="L811" s="510"/>
      <c r="M811" s="510"/>
      <c r="N811" s="510"/>
      <c r="O811" s="510"/>
      <c r="P811" s="510"/>
      <c r="Q811" s="510"/>
      <c r="R811" s="510"/>
    </row>
    <row r="812" spans="1:18">
      <c r="A812" s="505"/>
      <c r="B812" s="506" t="s">
        <v>1194</v>
      </c>
      <c r="C812" s="507"/>
      <c r="D812" s="508"/>
      <c r="E812" s="507"/>
      <c r="F812" s="502"/>
      <c r="G812" s="502"/>
      <c r="H812" s="602"/>
      <c r="I812" s="602"/>
      <c r="J812" s="235"/>
      <c r="K812" s="509"/>
      <c r="L812" s="510">
        <f t="shared" ref="L812:L817" si="544">SUM(H812:J812)+K812</f>
        <v>0</v>
      </c>
      <c r="M812" s="510">
        <f t="shared" ref="M812:M817" si="545">+ROUND(IF(C812=8,PRODUCT(E812,F812,G812,L812),0),2)</f>
        <v>0</v>
      </c>
      <c r="N812" s="510">
        <f t="shared" ref="N812:N817" si="546">+ROUND(IF(C812=10,PRODUCT(E812,F812,G812,L812),0),2)</f>
        <v>0</v>
      </c>
      <c r="O812" s="510">
        <f t="shared" ref="O812:O817" si="547">+ROUND(IF(C812=12,PRODUCT(E812,F812,G812,L812),0),2)</f>
        <v>0</v>
      </c>
      <c r="P812" s="510">
        <f t="shared" ref="P812:P817" si="548">+ROUND(IF(C812=16,PRODUCT(E812,F812,G812,L812),0),2)</f>
        <v>0</v>
      </c>
      <c r="Q812" s="510">
        <f t="shared" ref="Q812:Q817" si="549">+ROUND(IF(C812=20,PRODUCT(E812,F812,G812,L812),0),2)</f>
        <v>0</v>
      </c>
      <c r="R812" s="510">
        <f t="shared" ref="R812:R817" si="550">+ROUND(IF(C812=25,PRODUCT(E812,F812,G812,L812),0),2)</f>
        <v>0</v>
      </c>
    </row>
    <row r="813" spans="1:18">
      <c r="A813" s="505"/>
      <c r="B813" s="607" t="s">
        <v>1173</v>
      </c>
      <c r="C813" s="507">
        <v>10</v>
      </c>
      <c r="D813" s="508">
        <v>150</v>
      </c>
      <c r="E813" s="507">
        <v>1</v>
      </c>
      <c r="F813" s="502">
        <v>1</v>
      </c>
      <c r="G813" s="502">
        <v>21</v>
      </c>
      <c r="H813" s="602">
        <v>0.25</v>
      </c>
      <c r="I813" s="602">
        <v>2.13</v>
      </c>
      <c r="J813" s="235">
        <v>0.4</v>
      </c>
      <c r="K813" s="509"/>
      <c r="L813" s="510">
        <f t="shared" si="544"/>
        <v>2.78</v>
      </c>
      <c r="M813" s="510">
        <f t="shared" si="545"/>
        <v>0</v>
      </c>
      <c r="N813" s="510">
        <f t="shared" si="546"/>
        <v>58.38</v>
      </c>
      <c r="O813" s="510">
        <f t="shared" si="547"/>
        <v>0</v>
      </c>
      <c r="P813" s="510">
        <f t="shared" si="548"/>
        <v>0</v>
      </c>
      <c r="Q813" s="510">
        <f t="shared" si="549"/>
        <v>0</v>
      </c>
      <c r="R813" s="510">
        <f t="shared" si="550"/>
        <v>0</v>
      </c>
    </row>
    <row r="814" spans="1:18">
      <c r="A814" s="505"/>
      <c r="B814" s="607" t="s">
        <v>1155</v>
      </c>
      <c r="C814" s="507">
        <v>8</v>
      </c>
      <c r="D814" s="508">
        <v>200</v>
      </c>
      <c r="E814" s="507">
        <v>1</v>
      </c>
      <c r="F814" s="502">
        <v>1</v>
      </c>
      <c r="G814" s="502">
        <f>+ROUND(2/(D814/1000)+1,0)</f>
        <v>11</v>
      </c>
      <c r="H814" s="602"/>
      <c r="I814" s="602">
        <f>3.265-0.05</f>
        <v>3.2150000000000003</v>
      </c>
      <c r="J814" s="235"/>
      <c r="K814" s="509"/>
      <c r="L814" s="510">
        <f t="shared" si="544"/>
        <v>3.2150000000000003</v>
      </c>
      <c r="M814" s="510">
        <f t="shared" si="545"/>
        <v>35.369999999999997</v>
      </c>
      <c r="N814" s="510">
        <f t="shared" si="546"/>
        <v>0</v>
      </c>
      <c r="O814" s="510">
        <f t="shared" si="547"/>
        <v>0</v>
      </c>
      <c r="P814" s="510">
        <f t="shared" si="548"/>
        <v>0</v>
      </c>
      <c r="Q814" s="510">
        <f t="shared" si="549"/>
        <v>0</v>
      </c>
      <c r="R814" s="510">
        <f t="shared" si="550"/>
        <v>0</v>
      </c>
    </row>
    <row r="815" spans="1:18">
      <c r="A815" s="505"/>
      <c r="B815" s="607" t="s">
        <v>1174</v>
      </c>
      <c r="C815" s="507">
        <v>12</v>
      </c>
      <c r="D815" s="508">
        <v>100</v>
      </c>
      <c r="E815" s="507">
        <v>1</v>
      </c>
      <c r="F815" s="502">
        <v>1</v>
      </c>
      <c r="G815" s="502">
        <v>16</v>
      </c>
      <c r="H815" s="602"/>
      <c r="I815" s="602">
        <f>2+2.5-0.025</f>
        <v>4.4749999999999996</v>
      </c>
      <c r="J815" s="235">
        <v>0.1</v>
      </c>
      <c r="K815" s="509"/>
      <c r="L815" s="510">
        <f t="shared" si="544"/>
        <v>4.5749999999999993</v>
      </c>
      <c r="M815" s="510">
        <f t="shared" si="545"/>
        <v>0</v>
      </c>
      <c r="N815" s="510">
        <f t="shared" si="546"/>
        <v>0</v>
      </c>
      <c r="O815" s="510">
        <f t="shared" si="547"/>
        <v>73.2</v>
      </c>
      <c r="P815" s="510">
        <f t="shared" si="548"/>
        <v>0</v>
      </c>
      <c r="Q815" s="510">
        <f t="shared" si="549"/>
        <v>0</v>
      </c>
      <c r="R815" s="510">
        <f t="shared" si="550"/>
        <v>0</v>
      </c>
    </row>
    <row r="816" spans="1:18">
      <c r="A816" s="505"/>
      <c r="B816" s="607" t="s">
        <v>1174</v>
      </c>
      <c r="C816" s="507">
        <v>10</v>
      </c>
      <c r="D816" s="508">
        <v>100</v>
      </c>
      <c r="E816" s="507">
        <v>1</v>
      </c>
      <c r="F816" s="502">
        <v>1</v>
      </c>
      <c r="G816" s="502">
        <v>16</v>
      </c>
      <c r="H816" s="602"/>
      <c r="I816" s="602">
        <f>1.35+0.2+2</f>
        <v>3.55</v>
      </c>
      <c r="J816" s="235"/>
      <c r="K816" s="509"/>
      <c r="L816" s="510">
        <f t="shared" si="544"/>
        <v>3.55</v>
      </c>
      <c r="M816" s="510">
        <f t="shared" si="545"/>
        <v>0</v>
      </c>
      <c r="N816" s="510">
        <f t="shared" si="546"/>
        <v>56.8</v>
      </c>
      <c r="O816" s="510">
        <f t="shared" si="547"/>
        <v>0</v>
      </c>
      <c r="P816" s="510">
        <f t="shared" si="548"/>
        <v>0</v>
      </c>
      <c r="Q816" s="510">
        <f t="shared" si="549"/>
        <v>0</v>
      </c>
      <c r="R816" s="510">
        <f t="shared" si="550"/>
        <v>0</v>
      </c>
    </row>
    <row r="817" spans="1:18">
      <c r="A817" s="505"/>
      <c r="B817" s="607" t="s">
        <v>1175</v>
      </c>
      <c r="C817" s="507">
        <v>8</v>
      </c>
      <c r="D817" s="508">
        <v>200</v>
      </c>
      <c r="E817" s="507">
        <v>1</v>
      </c>
      <c r="F817" s="502">
        <v>2</v>
      </c>
      <c r="G817" s="502">
        <v>12</v>
      </c>
      <c r="H817" s="602"/>
      <c r="I817" s="602">
        <f>3.265-0.05</f>
        <v>3.2150000000000003</v>
      </c>
      <c r="J817" s="235"/>
      <c r="K817" s="509"/>
      <c r="L817" s="510">
        <f t="shared" si="544"/>
        <v>3.2150000000000003</v>
      </c>
      <c r="M817" s="510">
        <f t="shared" si="545"/>
        <v>77.16</v>
      </c>
      <c r="N817" s="510">
        <f t="shared" si="546"/>
        <v>0</v>
      </c>
      <c r="O817" s="510">
        <f t="shared" si="547"/>
        <v>0</v>
      </c>
      <c r="P817" s="510">
        <f t="shared" si="548"/>
        <v>0</v>
      </c>
      <c r="Q817" s="510">
        <f t="shared" si="549"/>
        <v>0</v>
      </c>
      <c r="R817" s="510">
        <f t="shared" si="550"/>
        <v>0</v>
      </c>
    </row>
    <row r="818" spans="1:18">
      <c r="A818" s="505"/>
      <c r="B818" s="506"/>
      <c r="C818" s="507"/>
      <c r="D818" s="508"/>
      <c r="E818" s="507"/>
      <c r="F818" s="502"/>
      <c r="G818" s="502"/>
      <c r="H818" s="602"/>
      <c r="I818" s="602"/>
      <c r="J818" s="235"/>
      <c r="K818" s="589"/>
      <c r="L818" s="510"/>
      <c r="M818" s="510"/>
      <c r="N818" s="510"/>
      <c r="O818" s="510"/>
      <c r="P818" s="510"/>
      <c r="Q818" s="510"/>
      <c r="R818" s="510"/>
    </row>
    <row r="819" spans="1:18">
      <c r="A819" s="505"/>
      <c r="B819" s="520" t="s">
        <v>1195</v>
      </c>
      <c r="C819" s="507"/>
      <c r="D819" s="508"/>
      <c r="E819" s="507"/>
      <c r="F819" s="502"/>
      <c r="G819" s="502"/>
      <c r="H819" s="602"/>
      <c r="I819" s="602"/>
      <c r="J819" s="235"/>
      <c r="K819" s="509"/>
      <c r="L819" s="510">
        <f>SUM(H819:J819)+K819</f>
        <v>0</v>
      </c>
      <c r="M819" s="510">
        <f t="shared" ref="M819:M833" si="551">+ROUND(IF(C819=8,PRODUCT(E819,F819,G819,L819),0),2)</f>
        <v>0</v>
      </c>
      <c r="N819" s="510">
        <f t="shared" ref="N819:N833" si="552">+ROUND(IF(C819=10,PRODUCT(E819,F819,G819,L819),0),2)</f>
        <v>0</v>
      </c>
      <c r="O819" s="510">
        <f t="shared" ref="O819:O833" si="553">+ROUND(IF(C819=12,PRODUCT(E819,F819,G819,L819),0),2)</f>
        <v>0</v>
      </c>
      <c r="P819" s="510">
        <f t="shared" ref="P819:P833" si="554">+ROUND(IF(C819=16,PRODUCT(E819,F819,G819,L819),0),2)</f>
        <v>0</v>
      </c>
      <c r="Q819" s="510">
        <f t="shared" ref="Q819:Q833" si="555">+ROUND(IF(C819=20,PRODUCT(E819,F819,G819,L819),0),2)</f>
        <v>0</v>
      </c>
      <c r="R819" s="510">
        <f t="shared" ref="R819:R833" si="556">+ROUND(IF(C819=25,PRODUCT(E819,F819,G819,L819),0),2)</f>
        <v>0</v>
      </c>
    </row>
    <row r="820" spans="1:18">
      <c r="A820" s="505"/>
      <c r="B820" s="506" t="s">
        <v>1179</v>
      </c>
      <c r="C820" s="507"/>
      <c r="D820" s="508"/>
      <c r="E820" s="507"/>
      <c r="F820" s="502"/>
      <c r="G820" s="502"/>
      <c r="H820" s="602"/>
      <c r="I820" s="602"/>
      <c r="J820" s="235"/>
      <c r="K820" s="509"/>
      <c r="L820" s="510"/>
      <c r="M820" s="510">
        <f t="shared" si="551"/>
        <v>0</v>
      </c>
      <c r="N820" s="510">
        <f t="shared" si="552"/>
        <v>0</v>
      </c>
      <c r="O820" s="510">
        <f t="shared" si="553"/>
        <v>0</v>
      </c>
      <c r="P820" s="510">
        <f t="shared" si="554"/>
        <v>0</v>
      </c>
      <c r="Q820" s="510">
        <f t="shared" si="555"/>
        <v>0</v>
      </c>
      <c r="R820" s="510">
        <f t="shared" si="556"/>
        <v>0</v>
      </c>
    </row>
    <row r="821" spans="1:18">
      <c r="A821" s="505"/>
      <c r="B821" s="607" t="s">
        <v>1154</v>
      </c>
      <c r="C821" s="507">
        <v>8</v>
      </c>
      <c r="D821" s="508">
        <v>200</v>
      </c>
      <c r="E821" s="507">
        <v>1</v>
      </c>
      <c r="F821" s="502">
        <v>1</v>
      </c>
      <c r="G821" s="502">
        <f>+ROUND(3.56/(D821/1000)+1,0)</f>
        <v>19</v>
      </c>
      <c r="H821" s="602"/>
      <c r="I821" s="602">
        <f>3.205+0.175+0.175</f>
        <v>3.5549999999999997</v>
      </c>
      <c r="J821" s="235"/>
      <c r="K821" s="509"/>
      <c r="L821" s="510">
        <f t="shared" ref="L821" si="557">SUM(H821:J821)+K821</f>
        <v>3.5549999999999997</v>
      </c>
      <c r="M821" s="510">
        <f t="shared" si="551"/>
        <v>67.55</v>
      </c>
      <c r="N821" s="510">
        <f t="shared" si="552"/>
        <v>0</v>
      </c>
      <c r="O821" s="510">
        <f t="shared" si="553"/>
        <v>0</v>
      </c>
      <c r="P821" s="510">
        <f t="shared" si="554"/>
        <v>0</v>
      </c>
      <c r="Q821" s="510">
        <f t="shared" si="555"/>
        <v>0</v>
      </c>
      <c r="R821" s="510">
        <f t="shared" si="556"/>
        <v>0</v>
      </c>
    </row>
    <row r="822" spans="1:18">
      <c r="A822" s="505"/>
      <c r="B822" s="607" t="s">
        <v>1155</v>
      </c>
      <c r="C822" s="507">
        <v>8</v>
      </c>
      <c r="D822" s="508">
        <v>200</v>
      </c>
      <c r="E822" s="507">
        <v>1</v>
      </c>
      <c r="F822" s="502">
        <v>1</v>
      </c>
      <c r="G822" s="502">
        <f>+ROUND(3.205/(D822/1000)+1,0)</f>
        <v>17</v>
      </c>
      <c r="H822" s="602"/>
      <c r="I822" s="602">
        <f>0.175+3.56+0.2+0.5</f>
        <v>4.4350000000000005</v>
      </c>
      <c r="J822" s="235"/>
      <c r="K822" s="589"/>
      <c r="L822" s="510">
        <f>SUM(H822:J822)+K822</f>
        <v>4.4350000000000005</v>
      </c>
      <c r="M822" s="510">
        <f t="shared" si="551"/>
        <v>75.400000000000006</v>
      </c>
      <c r="N822" s="510">
        <f t="shared" si="552"/>
        <v>0</v>
      </c>
      <c r="O822" s="510">
        <f t="shared" si="553"/>
        <v>0</v>
      </c>
      <c r="P822" s="510">
        <f t="shared" si="554"/>
        <v>0</v>
      </c>
      <c r="Q822" s="510">
        <f t="shared" si="555"/>
        <v>0</v>
      </c>
      <c r="R822" s="510">
        <f t="shared" si="556"/>
        <v>0</v>
      </c>
    </row>
    <row r="823" spans="1:18">
      <c r="A823" s="505"/>
      <c r="B823" s="607" t="s">
        <v>1156</v>
      </c>
      <c r="C823" s="507">
        <v>8</v>
      </c>
      <c r="D823" s="508">
        <v>200</v>
      </c>
      <c r="E823" s="507">
        <v>1</v>
      </c>
      <c r="F823" s="502">
        <v>1</v>
      </c>
      <c r="G823" s="502">
        <f>+ROUND(3.205/(D823/1000)+1,0)</f>
        <v>17</v>
      </c>
      <c r="H823" s="602">
        <v>0.1</v>
      </c>
      <c r="I823" s="602">
        <f>0.55+0.175</f>
        <v>0.72500000000000009</v>
      </c>
      <c r="J823" s="235"/>
      <c r="K823" s="509"/>
      <c r="L823" s="510">
        <f>SUM(H823:J823)+K823</f>
        <v>0.82500000000000007</v>
      </c>
      <c r="M823" s="510">
        <f t="shared" si="551"/>
        <v>14.03</v>
      </c>
      <c r="N823" s="510">
        <f t="shared" si="552"/>
        <v>0</v>
      </c>
      <c r="O823" s="510">
        <f t="shared" si="553"/>
        <v>0</v>
      </c>
      <c r="P823" s="510">
        <f t="shared" si="554"/>
        <v>0</v>
      </c>
      <c r="Q823" s="510">
        <f t="shared" si="555"/>
        <v>0</v>
      </c>
      <c r="R823" s="510">
        <f t="shared" si="556"/>
        <v>0</v>
      </c>
    </row>
    <row r="824" spans="1:18">
      <c r="A824" s="505"/>
      <c r="B824" s="607" t="s">
        <v>1157</v>
      </c>
      <c r="C824" s="507">
        <v>8</v>
      </c>
      <c r="D824" s="508">
        <v>100</v>
      </c>
      <c r="E824" s="507">
        <v>1</v>
      </c>
      <c r="F824" s="502">
        <v>1</v>
      </c>
      <c r="G824" s="502">
        <f>+ROUND(3.56/(D824/1000)+1,0)/2</f>
        <v>18.5</v>
      </c>
      <c r="H824" s="602"/>
      <c r="I824" s="602">
        <f>0.1+1.1</f>
        <v>1.2000000000000002</v>
      </c>
      <c r="J824" s="235"/>
      <c r="K824" s="509"/>
      <c r="L824" s="510">
        <f t="shared" ref="L824" si="558">SUM(H824:J824)+K824</f>
        <v>1.2000000000000002</v>
      </c>
      <c r="M824" s="510">
        <f t="shared" si="551"/>
        <v>22.2</v>
      </c>
      <c r="N824" s="510">
        <f t="shared" si="552"/>
        <v>0</v>
      </c>
      <c r="O824" s="510">
        <f t="shared" si="553"/>
        <v>0</v>
      </c>
      <c r="P824" s="510">
        <f t="shared" si="554"/>
        <v>0</v>
      </c>
      <c r="Q824" s="510">
        <f t="shared" si="555"/>
        <v>0</v>
      </c>
      <c r="R824" s="510">
        <f t="shared" si="556"/>
        <v>0</v>
      </c>
    </row>
    <row r="825" spans="1:18">
      <c r="A825" s="505"/>
      <c r="B825" s="607" t="s">
        <v>1157</v>
      </c>
      <c r="C825" s="507">
        <v>8</v>
      </c>
      <c r="D825" s="508">
        <v>100</v>
      </c>
      <c r="E825" s="507">
        <v>1</v>
      </c>
      <c r="F825" s="502">
        <v>1</v>
      </c>
      <c r="G825" s="502">
        <v>18</v>
      </c>
      <c r="H825" s="602"/>
      <c r="I825" s="602">
        <f>0.1+0.55</f>
        <v>0.65</v>
      </c>
      <c r="J825" s="235"/>
      <c r="K825" s="509"/>
      <c r="L825" s="510">
        <f>SUM(H825:J825)+K825</f>
        <v>0.65</v>
      </c>
      <c r="M825" s="510">
        <f t="shared" si="551"/>
        <v>11.7</v>
      </c>
      <c r="N825" s="510">
        <f t="shared" si="552"/>
        <v>0</v>
      </c>
      <c r="O825" s="510">
        <f t="shared" si="553"/>
        <v>0</v>
      </c>
      <c r="P825" s="510">
        <f t="shared" si="554"/>
        <v>0</v>
      </c>
      <c r="Q825" s="510">
        <f t="shared" si="555"/>
        <v>0</v>
      </c>
      <c r="R825" s="510">
        <f t="shared" si="556"/>
        <v>0</v>
      </c>
    </row>
    <row r="826" spans="1:18">
      <c r="A826" s="505"/>
      <c r="B826" s="607" t="s">
        <v>1168</v>
      </c>
      <c r="C826" s="507">
        <v>8</v>
      </c>
      <c r="D826" s="508">
        <v>150</v>
      </c>
      <c r="E826" s="507">
        <v>1</v>
      </c>
      <c r="F826" s="502">
        <v>1</v>
      </c>
      <c r="G826" s="502">
        <f>+ROUND(3.56/(D826/1000)+1,0)/2</f>
        <v>12.5</v>
      </c>
      <c r="H826" s="602"/>
      <c r="I826" s="602">
        <f>0.1+1.1</f>
        <v>1.2000000000000002</v>
      </c>
      <c r="J826" s="235"/>
      <c r="K826" s="509"/>
      <c r="L826" s="510">
        <f t="shared" ref="L826" si="559">SUM(H826:J826)+K826</f>
        <v>1.2000000000000002</v>
      </c>
      <c r="M826" s="510">
        <f t="shared" si="551"/>
        <v>15</v>
      </c>
      <c r="N826" s="510">
        <f t="shared" si="552"/>
        <v>0</v>
      </c>
      <c r="O826" s="510">
        <f t="shared" si="553"/>
        <v>0</v>
      </c>
      <c r="P826" s="510">
        <f t="shared" si="554"/>
        <v>0</v>
      </c>
      <c r="Q826" s="510">
        <f t="shared" si="555"/>
        <v>0</v>
      </c>
      <c r="R826" s="510">
        <f t="shared" si="556"/>
        <v>0</v>
      </c>
    </row>
    <row r="827" spans="1:18">
      <c r="A827" s="505"/>
      <c r="B827" s="607" t="s">
        <v>1168</v>
      </c>
      <c r="C827" s="507">
        <v>8</v>
      </c>
      <c r="D827" s="508">
        <v>150</v>
      </c>
      <c r="E827" s="507">
        <v>1</v>
      </c>
      <c r="F827" s="502">
        <v>1</v>
      </c>
      <c r="G827" s="502">
        <v>12</v>
      </c>
      <c r="H827" s="602"/>
      <c r="I827" s="602">
        <f>0.1+0.55</f>
        <v>0.65</v>
      </c>
      <c r="J827" s="235"/>
      <c r="K827" s="509"/>
      <c r="L827" s="510">
        <f t="shared" ref="L827:L833" si="560">SUM(H827:J827)+K827</f>
        <v>0.65</v>
      </c>
      <c r="M827" s="510">
        <f t="shared" si="551"/>
        <v>7.8</v>
      </c>
      <c r="N827" s="510">
        <f t="shared" si="552"/>
        <v>0</v>
      </c>
      <c r="O827" s="510">
        <f t="shared" si="553"/>
        <v>0</v>
      </c>
      <c r="P827" s="510">
        <f t="shared" si="554"/>
        <v>0</v>
      </c>
      <c r="Q827" s="510">
        <f t="shared" si="555"/>
        <v>0</v>
      </c>
      <c r="R827" s="510">
        <f t="shared" si="556"/>
        <v>0</v>
      </c>
    </row>
    <row r="828" spans="1:18">
      <c r="A828" s="505"/>
      <c r="B828" s="607" t="s">
        <v>1168</v>
      </c>
      <c r="C828" s="507">
        <v>8</v>
      </c>
      <c r="D828" s="508">
        <v>150</v>
      </c>
      <c r="E828" s="507">
        <v>1</v>
      </c>
      <c r="F828" s="502">
        <v>1</v>
      </c>
      <c r="G828" s="502">
        <f>+ROUND(3.205/(D828/1000)+1,0)/2</f>
        <v>11</v>
      </c>
      <c r="H828" s="602"/>
      <c r="I828" s="602">
        <f>0.1+1.1</f>
        <v>1.2000000000000002</v>
      </c>
      <c r="J828" s="235"/>
      <c r="K828" s="509"/>
      <c r="L828" s="510">
        <f t="shared" si="560"/>
        <v>1.2000000000000002</v>
      </c>
      <c r="M828" s="510">
        <f t="shared" si="551"/>
        <v>13.2</v>
      </c>
      <c r="N828" s="510">
        <f t="shared" si="552"/>
        <v>0</v>
      </c>
      <c r="O828" s="510">
        <f t="shared" si="553"/>
        <v>0</v>
      </c>
      <c r="P828" s="510">
        <f t="shared" si="554"/>
        <v>0</v>
      </c>
      <c r="Q828" s="510">
        <f t="shared" si="555"/>
        <v>0</v>
      </c>
      <c r="R828" s="510">
        <f t="shared" si="556"/>
        <v>0</v>
      </c>
    </row>
    <row r="829" spans="1:18">
      <c r="A829" s="505"/>
      <c r="B829" s="607" t="s">
        <v>1168</v>
      </c>
      <c r="C829" s="507">
        <v>8</v>
      </c>
      <c r="D829" s="508">
        <v>150</v>
      </c>
      <c r="E829" s="507">
        <v>1</v>
      </c>
      <c r="F829" s="502">
        <v>1</v>
      </c>
      <c r="G829" s="502">
        <f>+ROUND(3.205/(D829/1000)+1,0)/2</f>
        <v>11</v>
      </c>
      <c r="H829" s="602"/>
      <c r="I829" s="602">
        <f>0.1+0.55</f>
        <v>0.65</v>
      </c>
      <c r="J829" s="235"/>
      <c r="K829" s="509"/>
      <c r="L829" s="510">
        <f t="shared" si="560"/>
        <v>0.65</v>
      </c>
      <c r="M829" s="510">
        <f t="shared" si="551"/>
        <v>7.15</v>
      </c>
      <c r="N829" s="510">
        <f t="shared" si="552"/>
        <v>0</v>
      </c>
      <c r="O829" s="510">
        <f t="shared" si="553"/>
        <v>0</v>
      </c>
      <c r="P829" s="510">
        <f t="shared" si="554"/>
        <v>0</v>
      </c>
      <c r="Q829" s="510">
        <f t="shared" si="555"/>
        <v>0</v>
      </c>
      <c r="R829" s="510">
        <f t="shared" si="556"/>
        <v>0</v>
      </c>
    </row>
    <row r="830" spans="1:18">
      <c r="A830" s="505"/>
      <c r="B830" s="607" t="s">
        <v>1159</v>
      </c>
      <c r="C830" s="507">
        <v>8</v>
      </c>
      <c r="D830" s="508">
        <v>200</v>
      </c>
      <c r="E830" s="507">
        <v>1</v>
      </c>
      <c r="F830" s="502">
        <v>1</v>
      </c>
      <c r="G830" s="502">
        <f>+ROUND(1.1/(D830/1000)+1,0)</f>
        <v>7</v>
      </c>
      <c r="H830" s="602">
        <v>0.2</v>
      </c>
      <c r="I830" s="602">
        <v>3.2050000000000001</v>
      </c>
      <c r="J830" s="235"/>
      <c r="K830" s="509"/>
      <c r="L830" s="510">
        <f t="shared" si="560"/>
        <v>3.4050000000000002</v>
      </c>
      <c r="M830" s="510">
        <f t="shared" si="551"/>
        <v>23.84</v>
      </c>
      <c r="N830" s="510">
        <f t="shared" si="552"/>
        <v>0</v>
      </c>
      <c r="O830" s="510">
        <f t="shared" si="553"/>
        <v>0</v>
      </c>
      <c r="P830" s="510">
        <f t="shared" si="554"/>
        <v>0</v>
      </c>
      <c r="Q830" s="510">
        <f t="shared" si="555"/>
        <v>0</v>
      </c>
      <c r="R830" s="510">
        <f t="shared" si="556"/>
        <v>0</v>
      </c>
    </row>
    <row r="831" spans="1:18">
      <c r="A831" s="505"/>
      <c r="B831" s="607" t="s">
        <v>1159</v>
      </c>
      <c r="C831" s="507">
        <v>8</v>
      </c>
      <c r="D831" s="508">
        <v>200</v>
      </c>
      <c r="E831" s="507">
        <v>1</v>
      </c>
      <c r="F831" s="502">
        <v>1</v>
      </c>
      <c r="G831" s="502">
        <f>+ROUND(0.55/(D831/1000)+1,0)</f>
        <v>4</v>
      </c>
      <c r="H831" s="602">
        <v>0.2</v>
      </c>
      <c r="I831" s="602">
        <v>3.2050000000000001</v>
      </c>
      <c r="J831" s="235"/>
      <c r="K831" s="509"/>
      <c r="L831" s="510">
        <f t="shared" si="560"/>
        <v>3.4050000000000002</v>
      </c>
      <c r="M831" s="510">
        <f t="shared" si="551"/>
        <v>13.62</v>
      </c>
      <c r="N831" s="510">
        <f t="shared" si="552"/>
        <v>0</v>
      </c>
      <c r="O831" s="510">
        <f t="shared" si="553"/>
        <v>0</v>
      </c>
      <c r="P831" s="510">
        <f t="shared" si="554"/>
        <v>0</v>
      </c>
      <c r="Q831" s="510">
        <f t="shared" si="555"/>
        <v>0</v>
      </c>
      <c r="R831" s="510">
        <f t="shared" si="556"/>
        <v>0</v>
      </c>
    </row>
    <row r="832" spans="1:18">
      <c r="A832" s="505"/>
      <c r="B832" s="607" t="s">
        <v>1159</v>
      </c>
      <c r="C832" s="507">
        <v>8</v>
      </c>
      <c r="D832" s="508">
        <v>200</v>
      </c>
      <c r="E832" s="507">
        <v>1</v>
      </c>
      <c r="F832" s="502">
        <v>1</v>
      </c>
      <c r="G832" s="502">
        <f>+ROUND(1.1/(D832/1000)+1,0)</f>
        <v>7</v>
      </c>
      <c r="H832" s="602">
        <v>0.2</v>
      </c>
      <c r="I832" s="602">
        <v>3.56</v>
      </c>
      <c r="J832" s="235"/>
      <c r="K832" s="509"/>
      <c r="L832" s="510">
        <f t="shared" si="560"/>
        <v>3.7600000000000002</v>
      </c>
      <c r="M832" s="510">
        <f t="shared" si="551"/>
        <v>26.32</v>
      </c>
      <c r="N832" s="510">
        <f t="shared" si="552"/>
        <v>0</v>
      </c>
      <c r="O832" s="510">
        <f t="shared" si="553"/>
        <v>0</v>
      </c>
      <c r="P832" s="510">
        <f t="shared" si="554"/>
        <v>0</v>
      </c>
      <c r="Q832" s="510">
        <f t="shared" si="555"/>
        <v>0</v>
      </c>
      <c r="R832" s="510">
        <f t="shared" si="556"/>
        <v>0</v>
      </c>
    </row>
    <row r="833" spans="1:18">
      <c r="A833" s="505"/>
      <c r="B833" s="607" t="s">
        <v>1159</v>
      </c>
      <c r="C833" s="507">
        <v>8</v>
      </c>
      <c r="D833" s="508">
        <v>200</v>
      </c>
      <c r="E833" s="507">
        <v>1</v>
      </c>
      <c r="F833" s="502">
        <v>1</v>
      </c>
      <c r="G833" s="502">
        <f>+ROUND(1.1/(D833/1000)+1,0)</f>
        <v>7</v>
      </c>
      <c r="H833" s="602">
        <v>0.2</v>
      </c>
      <c r="I833" s="602">
        <v>3.56</v>
      </c>
      <c r="J833" s="235"/>
      <c r="K833" s="509"/>
      <c r="L833" s="510">
        <f t="shared" si="560"/>
        <v>3.7600000000000002</v>
      </c>
      <c r="M833" s="510">
        <f t="shared" si="551"/>
        <v>26.32</v>
      </c>
      <c r="N833" s="510">
        <f t="shared" si="552"/>
        <v>0</v>
      </c>
      <c r="O833" s="510">
        <f t="shared" si="553"/>
        <v>0</v>
      </c>
      <c r="P833" s="510">
        <f t="shared" si="554"/>
        <v>0</v>
      </c>
      <c r="Q833" s="510">
        <f t="shared" si="555"/>
        <v>0</v>
      </c>
      <c r="R833" s="510">
        <f t="shared" si="556"/>
        <v>0</v>
      </c>
    </row>
    <row r="834" spans="1:18">
      <c r="A834" s="505"/>
      <c r="B834" s="511"/>
      <c r="C834" s="507"/>
      <c r="D834" s="508"/>
      <c r="E834" s="507"/>
      <c r="F834" s="502"/>
      <c r="G834" s="502"/>
      <c r="H834" s="602"/>
      <c r="I834" s="602"/>
      <c r="J834" s="235"/>
      <c r="K834" s="509"/>
      <c r="L834" s="510"/>
      <c r="M834" s="510"/>
      <c r="N834" s="510"/>
      <c r="O834" s="510"/>
      <c r="P834" s="510"/>
      <c r="Q834" s="510"/>
      <c r="R834" s="510"/>
    </row>
    <row r="835" spans="1:18">
      <c r="A835" s="505"/>
      <c r="B835" s="506" t="s">
        <v>1180</v>
      </c>
      <c r="C835" s="507"/>
      <c r="D835" s="508"/>
      <c r="E835" s="507"/>
      <c r="F835" s="502"/>
      <c r="G835" s="502"/>
      <c r="H835" s="602"/>
      <c r="I835" s="602"/>
      <c r="J835" s="235"/>
      <c r="K835" s="509"/>
      <c r="L835" s="510"/>
      <c r="M835" s="510">
        <f t="shared" ref="M835:M845" si="561">+ROUND(IF(C835=8,PRODUCT(E835,F835,G835,L835),0),2)</f>
        <v>0</v>
      </c>
      <c r="N835" s="510">
        <f t="shared" ref="N835:N845" si="562">+ROUND(IF(C835=10,PRODUCT(E835,F835,G835,L835),0),2)</f>
        <v>0</v>
      </c>
      <c r="O835" s="510">
        <f t="shared" ref="O835:O845" si="563">+ROUND(IF(C835=12,PRODUCT(E835,F835,G835,L835),0),2)</f>
        <v>0</v>
      </c>
      <c r="P835" s="510">
        <f t="shared" ref="P835:P845" si="564">+ROUND(IF(C835=16,PRODUCT(E835,F835,G835,L835),0),2)</f>
        <v>0</v>
      </c>
      <c r="Q835" s="510">
        <f t="shared" ref="Q835:Q845" si="565">+ROUND(IF(C835=20,PRODUCT(E835,F835,G835,L835),0),2)</f>
        <v>0</v>
      </c>
      <c r="R835" s="510">
        <f t="shared" ref="R835:R845" si="566">+ROUND(IF(C835=25,PRODUCT(E835,F835,G835,L835),0),2)</f>
        <v>0</v>
      </c>
    </row>
    <row r="836" spans="1:18">
      <c r="A836" s="505"/>
      <c r="B836" s="607" t="s">
        <v>1154</v>
      </c>
      <c r="C836" s="507">
        <v>8</v>
      </c>
      <c r="D836" s="508">
        <v>200</v>
      </c>
      <c r="E836" s="507">
        <v>1</v>
      </c>
      <c r="F836" s="502">
        <v>1</v>
      </c>
      <c r="G836" s="502">
        <f>+ROUND(2.225/(D836/1000)+1,0)</f>
        <v>12</v>
      </c>
      <c r="H836" s="602"/>
      <c r="I836" s="602">
        <f>0.175+1.5+0.175</f>
        <v>1.85</v>
      </c>
      <c r="J836" s="235"/>
      <c r="K836" s="509"/>
      <c r="L836" s="510">
        <f t="shared" ref="L836" si="567">SUM(H836:J836)+K836</f>
        <v>1.85</v>
      </c>
      <c r="M836" s="510">
        <f t="shared" si="561"/>
        <v>22.2</v>
      </c>
      <c r="N836" s="510">
        <f t="shared" si="562"/>
        <v>0</v>
      </c>
      <c r="O836" s="510">
        <f t="shared" si="563"/>
        <v>0</v>
      </c>
      <c r="P836" s="510">
        <f t="shared" si="564"/>
        <v>0</v>
      </c>
      <c r="Q836" s="510">
        <f t="shared" si="565"/>
        <v>0</v>
      </c>
      <c r="R836" s="510">
        <f t="shared" si="566"/>
        <v>0</v>
      </c>
    </row>
    <row r="837" spans="1:18">
      <c r="A837" s="505"/>
      <c r="B837" s="607" t="s">
        <v>1155</v>
      </c>
      <c r="C837" s="507">
        <v>8</v>
      </c>
      <c r="D837" s="508">
        <v>200</v>
      </c>
      <c r="E837" s="507">
        <v>1</v>
      </c>
      <c r="F837" s="502">
        <v>1</v>
      </c>
      <c r="G837" s="502">
        <f>+ROUND(1.5/(D837/1000)+1,0)</f>
        <v>9</v>
      </c>
      <c r="H837" s="602"/>
      <c r="I837" s="602">
        <f>0.175+2.225+0.175</f>
        <v>2.5749999999999997</v>
      </c>
      <c r="J837" s="235"/>
      <c r="K837" s="589"/>
      <c r="L837" s="510">
        <f>SUM(H837:J837)+K837</f>
        <v>2.5749999999999997</v>
      </c>
      <c r="M837" s="510">
        <f t="shared" si="561"/>
        <v>23.18</v>
      </c>
      <c r="N837" s="510">
        <f t="shared" si="562"/>
        <v>0</v>
      </c>
      <c r="O837" s="510">
        <f t="shared" si="563"/>
        <v>0</v>
      </c>
      <c r="P837" s="510">
        <f t="shared" si="564"/>
        <v>0</v>
      </c>
      <c r="Q837" s="510">
        <f t="shared" si="565"/>
        <v>0</v>
      </c>
      <c r="R837" s="510">
        <f t="shared" si="566"/>
        <v>0</v>
      </c>
    </row>
    <row r="838" spans="1:18">
      <c r="A838" s="505"/>
      <c r="B838" s="607" t="s">
        <v>1156</v>
      </c>
      <c r="C838" s="507">
        <v>8</v>
      </c>
      <c r="D838" s="508">
        <v>200</v>
      </c>
      <c r="E838" s="507">
        <v>1</v>
      </c>
      <c r="F838" s="502">
        <v>1</v>
      </c>
      <c r="G838" s="502">
        <v>11</v>
      </c>
      <c r="H838" s="602">
        <v>0.1</v>
      </c>
      <c r="I838" s="602">
        <f>0.45+0.175</f>
        <v>0.625</v>
      </c>
      <c r="J838" s="235"/>
      <c r="K838" s="509"/>
      <c r="L838" s="510">
        <f>SUM(H838:J838)+K838</f>
        <v>0.72499999999999998</v>
      </c>
      <c r="M838" s="510">
        <f t="shared" si="561"/>
        <v>7.98</v>
      </c>
      <c r="N838" s="510">
        <f t="shared" si="562"/>
        <v>0</v>
      </c>
      <c r="O838" s="510">
        <f t="shared" si="563"/>
        <v>0</v>
      </c>
      <c r="P838" s="510">
        <f t="shared" si="564"/>
        <v>0</v>
      </c>
      <c r="Q838" s="510">
        <f t="shared" si="565"/>
        <v>0</v>
      </c>
      <c r="R838" s="510">
        <f t="shared" si="566"/>
        <v>0</v>
      </c>
    </row>
    <row r="839" spans="1:18">
      <c r="A839" s="505"/>
      <c r="B839" s="607" t="s">
        <v>1156</v>
      </c>
      <c r="C839" s="507">
        <v>8</v>
      </c>
      <c r="D839" s="508">
        <v>200</v>
      </c>
      <c r="E839" s="507">
        <v>1</v>
      </c>
      <c r="F839" s="502">
        <v>1</v>
      </c>
      <c r="G839" s="502">
        <v>11</v>
      </c>
      <c r="H839" s="602">
        <v>0.1</v>
      </c>
      <c r="I839" s="602">
        <f>0.45+0.175</f>
        <v>0.625</v>
      </c>
      <c r="J839" s="235"/>
      <c r="K839" s="509"/>
      <c r="L839" s="510">
        <f t="shared" ref="L839:L845" si="568">SUM(H839:J839)+K839</f>
        <v>0.72499999999999998</v>
      </c>
      <c r="M839" s="510">
        <f t="shared" si="561"/>
        <v>7.98</v>
      </c>
      <c r="N839" s="510">
        <f t="shared" si="562"/>
        <v>0</v>
      </c>
      <c r="O839" s="510">
        <f t="shared" si="563"/>
        <v>0</v>
      </c>
      <c r="P839" s="510">
        <f t="shared" si="564"/>
        <v>0</v>
      </c>
      <c r="Q839" s="510">
        <f t="shared" si="565"/>
        <v>0</v>
      </c>
      <c r="R839" s="510">
        <f t="shared" si="566"/>
        <v>0</v>
      </c>
    </row>
    <row r="840" spans="1:18">
      <c r="A840" s="505"/>
      <c r="B840" s="607" t="s">
        <v>1156</v>
      </c>
      <c r="C840" s="507">
        <v>8</v>
      </c>
      <c r="D840" s="508">
        <v>200</v>
      </c>
      <c r="E840" s="507">
        <v>1</v>
      </c>
      <c r="F840" s="502">
        <v>1</v>
      </c>
      <c r="G840" s="502">
        <v>8</v>
      </c>
      <c r="H840" s="602">
        <v>0.1</v>
      </c>
      <c r="I840" s="602">
        <f>0.45+0.175</f>
        <v>0.625</v>
      </c>
      <c r="J840" s="235"/>
      <c r="K840" s="509"/>
      <c r="L840" s="510">
        <f t="shared" si="568"/>
        <v>0.72499999999999998</v>
      </c>
      <c r="M840" s="510">
        <f t="shared" si="561"/>
        <v>5.8</v>
      </c>
      <c r="N840" s="510">
        <f t="shared" si="562"/>
        <v>0</v>
      </c>
      <c r="O840" s="510">
        <f t="shared" si="563"/>
        <v>0</v>
      </c>
      <c r="P840" s="510">
        <f t="shared" si="564"/>
        <v>0</v>
      </c>
      <c r="Q840" s="510">
        <f t="shared" si="565"/>
        <v>0</v>
      </c>
      <c r="R840" s="510">
        <f t="shared" si="566"/>
        <v>0</v>
      </c>
    </row>
    <row r="841" spans="1:18">
      <c r="A841" s="505"/>
      <c r="B841" s="607" t="s">
        <v>1156</v>
      </c>
      <c r="C841" s="507">
        <v>8</v>
      </c>
      <c r="D841" s="508">
        <v>200</v>
      </c>
      <c r="E841" s="507">
        <v>1</v>
      </c>
      <c r="F841" s="502">
        <v>1</v>
      </c>
      <c r="G841" s="502">
        <v>8</v>
      </c>
      <c r="H841" s="602">
        <v>0.1</v>
      </c>
      <c r="I841" s="602">
        <f>0.5+0.175</f>
        <v>0.67500000000000004</v>
      </c>
      <c r="J841" s="235"/>
      <c r="K841" s="509"/>
      <c r="L841" s="510">
        <f t="shared" si="568"/>
        <v>0.77500000000000002</v>
      </c>
      <c r="M841" s="510">
        <f t="shared" si="561"/>
        <v>6.2</v>
      </c>
      <c r="N841" s="510">
        <f t="shared" si="562"/>
        <v>0</v>
      </c>
      <c r="O841" s="510">
        <f t="shared" si="563"/>
        <v>0</v>
      </c>
      <c r="P841" s="510">
        <f t="shared" si="564"/>
        <v>0</v>
      </c>
      <c r="Q841" s="510">
        <f t="shared" si="565"/>
        <v>0</v>
      </c>
      <c r="R841" s="510">
        <f t="shared" si="566"/>
        <v>0</v>
      </c>
    </row>
    <row r="842" spans="1:18">
      <c r="A842" s="505"/>
      <c r="B842" s="607" t="s">
        <v>1159</v>
      </c>
      <c r="C842" s="507">
        <v>8</v>
      </c>
      <c r="D842" s="508">
        <v>200</v>
      </c>
      <c r="E842" s="507">
        <v>1</v>
      </c>
      <c r="F842" s="502">
        <v>1</v>
      </c>
      <c r="G842" s="502">
        <f>+ROUND(0.45/(D842/1000)+1,0)</f>
        <v>3</v>
      </c>
      <c r="H842" s="602">
        <v>0.2</v>
      </c>
      <c r="I842" s="602">
        <v>1.5</v>
      </c>
      <c r="J842" s="235"/>
      <c r="K842" s="509"/>
      <c r="L842" s="510">
        <f t="shared" si="568"/>
        <v>1.7</v>
      </c>
      <c r="M842" s="510">
        <f t="shared" si="561"/>
        <v>5.0999999999999996</v>
      </c>
      <c r="N842" s="510">
        <f t="shared" si="562"/>
        <v>0</v>
      </c>
      <c r="O842" s="510">
        <f t="shared" si="563"/>
        <v>0</v>
      </c>
      <c r="P842" s="510">
        <f t="shared" si="564"/>
        <v>0</v>
      </c>
      <c r="Q842" s="510">
        <f t="shared" si="565"/>
        <v>0</v>
      </c>
      <c r="R842" s="510">
        <f t="shared" si="566"/>
        <v>0</v>
      </c>
    </row>
    <row r="843" spans="1:18">
      <c r="A843" s="505"/>
      <c r="B843" s="607" t="s">
        <v>1159</v>
      </c>
      <c r="C843" s="507">
        <v>8</v>
      </c>
      <c r="D843" s="508">
        <v>200</v>
      </c>
      <c r="E843" s="507">
        <v>1</v>
      </c>
      <c r="F843" s="502">
        <v>1</v>
      </c>
      <c r="G843" s="502">
        <f>+ROUND(0.45/(D843/1000)+1,0)</f>
        <v>3</v>
      </c>
      <c r="H843" s="602">
        <v>0.2</v>
      </c>
      <c r="I843" s="602">
        <v>1.5</v>
      </c>
      <c r="J843" s="235"/>
      <c r="K843" s="509"/>
      <c r="L843" s="510">
        <f t="shared" si="568"/>
        <v>1.7</v>
      </c>
      <c r="M843" s="510">
        <f t="shared" si="561"/>
        <v>5.0999999999999996</v>
      </c>
      <c r="N843" s="510">
        <f t="shared" si="562"/>
        <v>0</v>
      </c>
      <c r="O843" s="510">
        <f t="shared" si="563"/>
        <v>0</v>
      </c>
      <c r="P843" s="510">
        <f t="shared" si="564"/>
        <v>0</v>
      </c>
      <c r="Q843" s="510">
        <f t="shared" si="565"/>
        <v>0</v>
      </c>
      <c r="R843" s="510">
        <f t="shared" si="566"/>
        <v>0</v>
      </c>
    </row>
    <row r="844" spans="1:18">
      <c r="A844" s="505"/>
      <c r="B844" s="607" t="s">
        <v>1159</v>
      </c>
      <c r="C844" s="507">
        <v>8</v>
      </c>
      <c r="D844" s="508">
        <v>200</v>
      </c>
      <c r="E844" s="507">
        <v>1</v>
      </c>
      <c r="F844" s="502">
        <v>1</v>
      </c>
      <c r="G844" s="502">
        <f>+ROUND(0.45/(D844/1000)+1,0)</f>
        <v>3</v>
      </c>
      <c r="H844" s="602">
        <v>0.2</v>
      </c>
      <c r="I844" s="602">
        <v>2.2250000000000001</v>
      </c>
      <c r="J844" s="235"/>
      <c r="K844" s="509"/>
      <c r="L844" s="510">
        <f t="shared" si="568"/>
        <v>2.4250000000000003</v>
      </c>
      <c r="M844" s="510">
        <f t="shared" si="561"/>
        <v>7.28</v>
      </c>
      <c r="N844" s="510">
        <f t="shared" si="562"/>
        <v>0</v>
      </c>
      <c r="O844" s="510">
        <f t="shared" si="563"/>
        <v>0</v>
      </c>
      <c r="P844" s="510">
        <f t="shared" si="564"/>
        <v>0</v>
      </c>
      <c r="Q844" s="510">
        <f t="shared" si="565"/>
        <v>0</v>
      </c>
      <c r="R844" s="510">
        <f t="shared" si="566"/>
        <v>0</v>
      </c>
    </row>
    <row r="845" spans="1:18">
      <c r="A845" s="505"/>
      <c r="B845" s="607" t="s">
        <v>1159</v>
      </c>
      <c r="C845" s="507">
        <v>8</v>
      </c>
      <c r="D845" s="508">
        <v>200</v>
      </c>
      <c r="E845" s="507">
        <v>1</v>
      </c>
      <c r="F845" s="502">
        <v>1</v>
      </c>
      <c r="G845" s="502">
        <f>+ROUND(0.45/(D845/1000)+1,0)</f>
        <v>3</v>
      </c>
      <c r="H845" s="602">
        <v>0.2</v>
      </c>
      <c r="I845" s="602">
        <v>2.2250000000000001</v>
      </c>
      <c r="J845" s="235"/>
      <c r="K845" s="509"/>
      <c r="L845" s="510">
        <f t="shared" si="568"/>
        <v>2.4250000000000003</v>
      </c>
      <c r="M845" s="510">
        <f t="shared" si="561"/>
        <v>7.28</v>
      </c>
      <c r="N845" s="510">
        <f t="shared" si="562"/>
        <v>0</v>
      </c>
      <c r="O845" s="510">
        <f t="shared" si="563"/>
        <v>0</v>
      </c>
      <c r="P845" s="510">
        <f t="shared" si="564"/>
        <v>0</v>
      </c>
      <c r="Q845" s="510">
        <f t="shared" si="565"/>
        <v>0</v>
      </c>
      <c r="R845" s="510">
        <f t="shared" si="566"/>
        <v>0</v>
      </c>
    </row>
    <row r="846" spans="1:18">
      <c r="A846" s="505"/>
      <c r="B846" s="511"/>
      <c r="C846" s="507"/>
      <c r="D846" s="508"/>
      <c r="E846" s="507"/>
      <c r="F846" s="502"/>
      <c r="G846" s="502"/>
      <c r="H846" s="602"/>
      <c r="I846" s="602"/>
      <c r="J846" s="235"/>
      <c r="K846" s="509"/>
      <c r="L846" s="510"/>
      <c r="M846" s="510"/>
      <c r="N846" s="510"/>
      <c r="O846" s="510"/>
      <c r="P846" s="510"/>
      <c r="Q846" s="510"/>
      <c r="R846" s="510"/>
    </row>
    <row r="847" spans="1:18">
      <c r="A847" s="505"/>
      <c r="B847" s="506" t="s">
        <v>1181</v>
      </c>
      <c r="C847" s="507"/>
      <c r="D847" s="508"/>
      <c r="E847" s="507"/>
      <c r="F847" s="502"/>
      <c r="G847" s="502"/>
      <c r="H847" s="602"/>
      <c r="I847" s="602"/>
      <c r="J847" s="235"/>
      <c r="K847" s="509"/>
      <c r="L847" s="510"/>
      <c r="M847" s="510">
        <f t="shared" ref="M847:M861" si="569">+ROUND(IF(C847=8,PRODUCT(E847,F847,G847,L847),0),2)</f>
        <v>0</v>
      </c>
      <c r="N847" s="510">
        <f t="shared" ref="N847:N861" si="570">+ROUND(IF(C847=10,PRODUCT(E847,F847,G847,L847),0),2)</f>
        <v>0</v>
      </c>
      <c r="O847" s="510">
        <f t="shared" ref="O847:O861" si="571">+ROUND(IF(C847=12,PRODUCT(E847,F847,G847,L847),0),2)</f>
        <v>0</v>
      </c>
      <c r="P847" s="510">
        <f t="shared" ref="P847:P861" si="572">+ROUND(IF(C847=16,PRODUCT(E847,F847,G847,L847),0),2)</f>
        <v>0</v>
      </c>
      <c r="Q847" s="510">
        <f t="shared" ref="Q847:Q861" si="573">+ROUND(IF(C847=20,PRODUCT(E847,F847,G847,L847),0),2)</f>
        <v>0</v>
      </c>
      <c r="R847" s="510">
        <f t="shared" ref="R847:R861" si="574">+ROUND(IF(C847=25,PRODUCT(E847,F847,G847,L847),0),2)</f>
        <v>0</v>
      </c>
    </row>
    <row r="848" spans="1:18">
      <c r="A848" s="505"/>
      <c r="B848" s="607" t="s">
        <v>1182</v>
      </c>
      <c r="C848" s="507">
        <v>8</v>
      </c>
      <c r="D848" s="508">
        <v>150</v>
      </c>
      <c r="E848" s="507">
        <v>1</v>
      </c>
      <c r="F848" s="502">
        <v>1</v>
      </c>
      <c r="G848" s="502">
        <v>6</v>
      </c>
      <c r="H848" s="602"/>
      <c r="I848" s="602">
        <f>0.175+3.33+0.175</f>
        <v>3.6799999999999997</v>
      </c>
      <c r="J848" s="235"/>
      <c r="K848" s="589"/>
      <c r="L848" s="510">
        <f t="shared" ref="L848:L857" si="575">SUM(H848:J848)+K848</f>
        <v>3.6799999999999997</v>
      </c>
      <c r="M848" s="510">
        <f t="shared" si="569"/>
        <v>22.08</v>
      </c>
      <c r="N848" s="510">
        <f t="shared" si="570"/>
        <v>0</v>
      </c>
      <c r="O848" s="510">
        <f t="shared" si="571"/>
        <v>0</v>
      </c>
      <c r="P848" s="510">
        <f t="shared" si="572"/>
        <v>0</v>
      </c>
      <c r="Q848" s="510">
        <f t="shared" si="573"/>
        <v>0</v>
      </c>
      <c r="R848" s="510">
        <f t="shared" si="574"/>
        <v>0</v>
      </c>
    </row>
    <row r="849" spans="1:18">
      <c r="A849" s="505"/>
      <c r="B849" s="607" t="s">
        <v>1182</v>
      </c>
      <c r="C849" s="507">
        <v>8</v>
      </c>
      <c r="D849" s="508">
        <v>150</v>
      </c>
      <c r="E849" s="507">
        <v>1</v>
      </c>
      <c r="F849" s="502">
        <v>1</v>
      </c>
      <c r="G849" s="502">
        <f>+ROUND(1.83/(D849/1000)+1,0)/2</f>
        <v>6.5</v>
      </c>
      <c r="H849" s="602"/>
      <c r="I849" s="602">
        <f>3.33-1.4</f>
        <v>1.9300000000000002</v>
      </c>
      <c r="J849" s="235"/>
      <c r="K849" s="589"/>
      <c r="L849" s="510">
        <f t="shared" si="575"/>
        <v>1.9300000000000002</v>
      </c>
      <c r="M849" s="510">
        <f t="shared" si="569"/>
        <v>12.55</v>
      </c>
      <c r="N849" s="510">
        <f t="shared" si="570"/>
        <v>0</v>
      </c>
      <c r="O849" s="510">
        <f t="shared" si="571"/>
        <v>0</v>
      </c>
      <c r="P849" s="510">
        <f t="shared" si="572"/>
        <v>0</v>
      </c>
      <c r="Q849" s="510">
        <f t="shared" si="573"/>
        <v>0</v>
      </c>
      <c r="R849" s="510">
        <f t="shared" si="574"/>
        <v>0</v>
      </c>
    </row>
    <row r="850" spans="1:18">
      <c r="A850" s="505"/>
      <c r="B850" s="607" t="s">
        <v>1182</v>
      </c>
      <c r="C850" s="507">
        <v>8</v>
      </c>
      <c r="D850" s="508">
        <v>150</v>
      </c>
      <c r="E850" s="507">
        <v>1</v>
      </c>
      <c r="F850" s="502">
        <v>1</v>
      </c>
      <c r="G850" s="502">
        <f>+ROUND(1.93/(D850/1000)+1,0)/2</f>
        <v>7</v>
      </c>
      <c r="H850" s="602"/>
      <c r="I850" s="602">
        <f>0.175+4.27+0.175</f>
        <v>4.6199999999999992</v>
      </c>
      <c r="J850" s="235"/>
      <c r="K850" s="589"/>
      <c r="L850" s="510">
        <f t="shared" si="575"/>
        <v>4.6199999999999992</v>
      </c>
      <c r="M850" s="510">
        <f t="shared" si="569"/>
        <v>32.340000000000003</v>
      </c>
      <c r="N850" s="510">
        <f t="shared" si="570"/>
        <v>0</v>
      </c>
      <c r="O850" s="510">
        <f t="shared" si="571"/>
        <v>0</v>
      </c>
      <c r="P850" s="510">
        <f t="shared" si="572"/>
        <v>0</v>
      </c>
      <c r="Q850" s="510">
        <f t="shared" si="573"/>
        <v>0</v>
      </c>
      <c r="R850" s="510">
        <f t="shared" si="574"/>
        <v>0</v>
      </c>
    </row>
    <row r="851" spans="1:18">
      <c r="A851" s="505"/>
      <c r="B851" s="607" t="s">
        <v>1182</v>
      </c>
      <c r="C851" s="507">
        <v>8</v>
      </c>
      <c r="D851" s="508">
        <v>150</v>
      </c>
      <c r="E851" s="507">
        <v>1</v>
      </c>
      <c r="F851" s="502">
        <v>1</v>
      </c>
      <c r="G851" s="502">
        <v>6</v>
      </c>
      <c r="H851" s="602"/>
      <c r="I851" s="602">
        <f>4.27-1.4</f>
        <v>2.8699999999999997</v>
      </c>
      <c r="J851" s="235"/>
      <c r="K851" s="589"/>
      <c r="L851" s="510">
        <f t="shared" si="575"/>
        <v>2.8699999999999997</v>
      </c>
      <c r="M851" s="510">
        <f t="shared" si="569"/>
        <v>17.22</v>
      </c>
      <c r="N851" s="510">
        <f t="shared" si="570"/>
        <v>0</v>
      </c>
      <c r="O851" s="510">
        <f t="shared" si="571"/>
        <v>0</v>
      </c>
      <c r="P851" s="510">
        <f t="shared" si="572"/>
        <v>0</v>
      </c>
      <c r="Q851" s="510">
        <f t="shared" si="573"/>
        <v>0</v>
      </c>
      <c r="R851" s="510">
        <f t="shared" si="574"/>
        <v>0</v>
      </c>
    </row>
    <row r="852" spans="1:18">
      <c r="A852" s="505"/>
      <c r="B852" s="607" t="s">
        <v>1182</v>
      </c>
      <c r="C852" s="507">
        <v>8</v>
      </c>
      <c r="D852" s="508">
        <v>150</v>
      </c>
      <c r="E852" s="507">
        <v>1</v>
      </c>
      <c r="F852" s="502">
        <v>1</v>
      </c>
      <c r="G852" s="502">
        <v>5</v>
      </c>
      <c r="H852" s="602"/>
      <c r="I852" s="602">
        <f>0.175+6.8+0.175</f>
        <v>7.1499999999999995</v>
      </c>
      <c r="J852" s="235"/>
      <c r="K852" s="589"/>
      <c r="L852" s="510">
        <f t="shared" si="575"/>
        <v>7.1499999999999995</v>
      </c>
      <c r="M852" s="510">
        <f t="shared" si="569"/>
        <v>35.75</v>
      </c>
      <c r="N852" s="510">
        <f t="shared" si="570"/>
        <v>0</v>
      </c>
      <c r="O852" s="510">
        <f t="shared" si="571"/>
        <v>0</v>
      </c>
      <c r="P852" s="510">
        <f t="shared" si="572"/>
        <v>0</v>
      </c>
      <c r="Q852" s="510">
        <f t="shared" si="573"/>
        <v>0</v>
      </c>
      <c r="R852" s="510">
        <f t="shared" si="574"/>
        <v>0</v>
      </c>
    </row>
    <row r="853" spans="1:18">
      <c r="A853" s="505"/>
      <c r="B853" s="607" t="s">
        <v>1182</v>
      </c>
      <c r="C853" s="507">
        <v>8</v>
      </c>
      <c r="D853" s="508">
        <v>150</v>
      </c>
      <c r="E853" s="507">
        <v>1</v>
      </c>
      <c r="F853" s="502">
        <v>1</v>
      </c>
      <c r="G853" s="502">
        <f>+ROUND(1.47/(D853/1000)+1,0)/2</f>
        <v>5.5</v>
      </c>
      <c r="H853" s="602"/>
      <c r="I853" s="602">
        <f>6.8-1.7</f>
        <v>5.0999999999999996</v>
      </c>
      <c r="J853" s="235"/>
      <c r="K853" s="589"/>
      <c r="L853" s="510">
        <f t="shared" si="575"/>
        <v>5.0999999999999996</v>
      </c>
      <c r="M853" s="510">
        <f t="shared" si="569"/>
        <v>28.05</v>
      </c>
      <c r="N853" s="510">
        <f t="shared" si="570"/>
        <v>0</v>
      </c>
      <c r="O853" s="510">
        <f t="shared" si="571"/>
        <v>0</v>
      </c>
      <c r="P853" s="510">
        <f t="shared" si="572"/>
        <v>0</v>
      </c>
      <c r="Q853" s="510">
        <f t="shared" si="573"/>
        <v>0</v>
      </c>
      <c r="R853" s="510">
        <f t="shared" si="574"/>
        <v>0</v>
      </c>
    </row>
    <row r="854" spans="1:18">
      <c r="A854" s="505"/>
      <c r="B854" s="607" t="s">
        <v>1183</v>
      </c>
      <c r="C854" s="507">
        <v>8</v>
      </c>
      <c r="D854" s="508">
        <v>175</v>
      </c>
      <c r="E854" s="507">
        <v>1</v>
      </c>
      <c r="F854" s="502">
        <v>1</v>
      </c>
      <c r="G854" s="502">
        <v>15</v>
      </c>
      <c r="H854" s="602"/>
      <c r="I854" s="602">
        <f>0.175+1.47+0.175</f>
        <v>1.82</v>
      </c>
      <c r="J854" s="235"/>
      <c r="K854" s="589"/>
      <c r="L854" s="510">
        <f t="shared" si="575"/>
        <v>1.82</v>
      </c>
      <c r="M854" s="510">
        <f t="shared" si="569"/>
        <v>27.3</v>
      </c>
      <c r="N854" s="510">
        <f t="shared" si="570"/>
        <v>0</v>
      </c>
      <c r="O854" s="510">
        <f t="shared" si="571"/>
        <v>0</v>
      </c>
      <c r="P854" s="510">
        <f t="shared" si="572"/>
        <v>0</v>
      </c>
      <c r="Q854" s="510">
        <f t="shared" si="573"/>
        <v>0</v>
      </c>
      <c r="R854" s="510">
        <f t="shared" si="574"/>
        <v>0</v>
      </c>
    </row>
    <row r="855" spans="1:18">
      <c r="A855" s="505"/>
      <c r="B855" s="607" t="s">
        <v>1183</v>
      </c>
      <c r="C855" s="507">
        <v>8</v>
      </c>
      <c r="D855" s="508">
        <v>175</v>
      </c>
      <c r="E855" s="507">
        <v>1</v>
      </c>
      <c r="F855" s="502">
        <v>1</v>
      </c>
      <c r="G855" s="502">
        <v>19</v>
      </c>
      <c r="H855" s="602"/>
      <c r="I855" s="602">
        <f>0.175+5.215+0.2+0.5</f>
        <v>6.09</v>
      </c>
      <c r="J855" s="235"/>
      <c r="K855" s="589"/>
      <c r="L855" s="510">
        <f t="shared" si="575"/>
        <v>6.09</v>
      </c>
      <c r="M855" s="510">
        <f t="shared" si="569"/>
        <v>115.71</v>
      </c>
      <c r="N855" s="510">
        <f t="shared" si="570"/>
        <v>0</v>
      </c>
      <c r="O855" s="510">
        <f t="shared" si="571"/>
        <v>0</v>
      </c>
      <c r="P855" s="510">
        <f t="shared" si="572"/>
        <v>0</v>
      </c>
      <c r="Q855" s="510">
        <f t="shared" si="573"/>
        <v>0</v>
      </c>
      <c r="R855" s="510">
        <f t="shared" si="574"/>
        <v>0</v>
      </c>
    </row>
    <row r="856" spans="1:18">
      <c r="A856" s="505"/>
      <c r="B856" s="607" t="s">
        <v>1183</v>
      </c>
      <c r="C856" s="507">
        <v>8</v>
      </c>
      <c r="D856" s="508">
        <v>175</v>
      </c>
      <c r="E856" s="507">
        <v>1</v>
      </c>
      <c r="F856" s="502">
        <v>1</v>
      </c>
      <c r="G856" s="502">
        <f>+ROUND(0.94/(D856/1000)+1,0)</f>
        <v>6</v>
      </c>
      <c r="H856" s="602"/>
      <c r="I856" s="602">
        <f>0.175+3.4+0.175</f>
        <v>3.7499999999999996</v>
      </c>
      <c r="J856" s="235"/>
      <c r="K856" s="589"/>
      <c r="L856" s="510">
        <f t="shared" si="575"/>
        <v>3.7499999999999996</v>
      </c>
      <c r="M856" s="510">
        <f t="shared" si="569"/>
        <v>22.5</v>
      </c>
      <c r="N856" s="510">
        <f t="shared" si="570"/>
        <v>0</v>
      </c>
      <c r="O856" s="510">
        <f t="shared" si="571"/>
        <v>0</v>
      </c>
      <c r="P856" s="510">
        <f t="shared" si="572"/>
        <v>0</v>
      </c>
      <c r="Q856" s="510">
        <f t="shared" si="573"/>
        <v>0</v>
      </c>
      <c r="R856" s="510">
        <f t="shared" si="574"/>
        <v>0</v>
      </c>
    </row>
    <row r="857" spans="1:18">
      <c r="A857" s="505"/>
      <c r="B857" s="607" t="s">
        <v>1158</v>
      </c>
      <c r="C857" s="507">
        <v>8</v>
      </c>
      <c r="D857" s="508">
        <v>175</v>
      </c>
      <c r="E857" s="507">
        <v>1</v>
      </c>
      <c r="F857" s="502">
        <v>1</v>
      </c>
      <c r="G857" s="502">
        <f>+ROUND(3.33/(D857/1000)+1,0)</f>
        <v>20</v>
      </c>
      <c r="H857" s="602">
        <v>0.1</v>
      </c>
      <c r="I857" s="602">
        <f>0.175+0.8</f>
        <v>0.97500000000000009</v>
      </c>
      <c r="J857" s="235"/>
      <c r="K857" s="509"/>
      <c r="L857" s="510">
        <f t="shared" si="575"/>
        <v>1.0750000000000002</v>
      </c>
      <c r="M857" s="510">
        <f t="shared" si="569"/>
        <v>21.5</v>
      </c>
      <c r="N857" s="510">
        <f t="shared" si="570"/>
        <v>0</v>
      </c>
      <c r="O857" s="510">
        <f t="shared" si="571"/>
        <v>0</v>
      </c>
      <c r="P857" s="510">
        <f t="shared" si="572"/>
        <v>0</v>
      </c>
      <c r="Q857" s="510">
        <f t="shared" si="573"/>
        <v>0</v>
      </c>
      <c r="R857" s="510">
        <f t="shared" si="574"/>
        <v>0</v>
      </c>
    </row>
    <row r="858" spans="1:18">
      <c r="A858" s="505"/>
      <c r="B858" s="607" t="s">
        <v>1168</v>
      </c>
      <c r="C858" s="507">
        <v>8</v>
      </c>
      <c r="D858" s="508">
        <v>150</v>
      </c>
      <c r="E858" s="507">
        <v>1</v>
      </c>
      <c r="F858" s="502">
        <v>1</v>
      </c>
      <c r="G858" s="502">
        <f>+ROUND(3.76/(D858/1000)+1,0)/2</f>
        <v>13</v>
      </c>
      <c r="H858" s="602"/>
      <c r="I858" s="602">
        <f>0.1+1.1</f>
        <v>1.2000000000000002</v>
      </c>
      <c r="J858" s="235"/>
      <c r="K858" s="509"/>
      <c r="L858" s="510">
        <f t="shared" ref="L858:L861" si="576">SUM(H858:J858)+K858</f>
        <v>1.2000000000000002</v>
      </c>
      <c r="M858" s="510">
        <f t="shared" si="569"/>
        <v>15.6</v>
      </c>
      <c r="N858" s="510">
        <f t="shared" si="570"/>
        <v>0</v>
      </c>
      <c r="O858" s="510">
        <f t="shared" si="571"/>
        <v>0</v>
      </c>
      <c r="P858" s="510">
        <f t="shared" si="572"/>
        <v>0</v>
      </c>
      <c r="Q858" s="510">
        <f t="shared" si="573"/>
        <v>0</v>
      </c>
      <c r="R858" s="510">
        <f t="shared" si="574"/>
        <v>0</v>
      </c>
    </row>
    <row r="859" spans="1:18">
      <c r="A859" s="505"/>
      <c r="B859" s="607" t="s">
        <v>1168</v>
      </c>
      <c r="C859" s="507">
        <v>8</v>
      </c>
      <c r="D859" s="508">
        <v>150</v>
      </c>
      <c r="E859" s="507">
        <v>1</v>
      </c>
      <c r="F859" s="502">
        <v>1</v>
      </c>
      <c r="G859" s="502">
        <f>+ROUND(3.76/(D859/1000)+1,0)/2</f>
        <v>13</v>
      </c>
      <c r="H859" s="602"/>
      <c r="I859" s="602">
        <f>0.1+0.55</f>
        <v>0.65</v>
      </c>
      <c r="J859" s="235"/>
      <c r="K859" s="509"/>
      <c r="L859" s="510">
        <f t="shared" si="576"/>
        <v>0.65</v>
      </c>
      <c r="M859" s="510">
        <f t="shared" si="569"/>
        <v>8.4499999999999993</v>
      </c>
      <c r="N859" s="510">
        <f t="shared" si="570"/>
        <v>0</v>
      </c>
      <c r="O859" s="510">
        <f t="shared" si="571"/>
        <v>0</v>
      </c>
      <c r="P859" s="510">
        <f t="shared" si="572"/>
        <v>0</v>
      </c>
      <c r="Q859" s="510">
        <f t="shared" si="573"/>
        <v>0</v>
      </c>
      <c r="R859" s="510">
        <f t="shared" si="574"/>
        <v>0</v>
      </c>
    </row>
    <row r="860" spans="1:18">
      <c r="A860" s="505"/>
      <c r="B860" s="607" t="s">
        <v>1168</v>
      </c>
      <c r="C860" s="507">
        <v>8</v>
      </c>
      <c r="D860" s="508">
        <v>150</v>
      </c>
      <c r="E860" s="507">
        <v>1</v>
      </c>
      <c r="F860" s="502">
        <v>1</v>
      </c>
      <c r="G860" s="502">
        <f>+ROUND(1.83/(D860/1000)+1,0)/2</f>
        <v>6.5</v>
      </c>
      <c r="H860" s="602"/>
      <c r="I860" s="602">
        <f>0.1+1.1</f>
        <v>1.2000000000000002</v>
      </c>
      <c r="J860" s="235"/>
      <c r="K860" s="509"/>
      <c r="L860" s="510">
        <f t="shared" si="576"/>
        <v>1.2000000000000002</v>
      </c>
      <c r="M860" s="510">
        <f t="shared" si="569"/>
        <v>7.8</v>
      </c>
      <c r="N860" s="510">
        <f t="shared" si="570"/>
        <v>0</v>
      </c>
      <c r="O860" s="510">
        <f t="shared" si="571"/>
        <v>0</v>
      </c>
      <c r="P860" s="510">
        <f t="shared" si="572"/>
        <v>0</v>
      </c>
      <c r="Q860" s="510">
        <f t="shared" si="573"/>
        <v>0</v>
      </c>
      <c r="R860" s="510">
        <f t="shared" si="574"/>
        <v>0</v>
      </c>
    </row>
    <row r="861" spans="1:18">
      <c r="A861" s="505"/>
      <c r="B861" s="607" t="s">
        <v>1168</v>
      </c>
      <c r="C861" s="507">
        <v>8</v>
      </c>
      <c r="D861" s="508">
        <v>150</v>
      </c>
      <c r="E861" s="507">
        <v>1</v>
      </c>
      <c r="F861" s="502">
        <v>1</v>
      </c>
      <c r="G861" s="502">
        <f>+ROUND(1.83/(D861/1000)+1,0)/2</f>
        <v>6.5</v>
      </c>
      <c r="H861" s="602"/>
      <c r="I861" s="602">
        <f>0.1+0.55</f>
        <v>0.65</v>
      </c>
      <c r="J861" s="235"/>
      <c r="K861" s="509"/>
      <c r="L861" s="510">
        <f t="shared" si="576"/>
        <v>0.65</v>
      </c>
      <c r="M861" s="510">
        <f t="shared" si="569"/>
        <v>4.2300000000000004</v>
      </c>
      <c r="N861" s="510">
        <f t="shared" si="570"/>
        <v>0</v>
      </c>
      <c r="O861" s="510">
        <f t="shared" si="571"/>
        <v>0</v>
      </c>
      <c r="P861" s="510">
        <f t="shared" si="572"/>
        <v>0</v>
      </c>
      <c r="Q861" s="510">
        <f t="shared" si="573"/>
        <v>0</v>
      </c>
      <c r="R861" s="510">
        <f t="shared" si="574"/>
        <v>0</v>
      </c>
    </row>
    <row r="862" spans="1:18">
      <c r="A862" s="505"/>
      <c r="B862" s="607" t="s">
        <v>1168</v>
      </c>
      <c r="C862" s="507">
        <v>8</v>
      </c>
      <c r="D862" s="508">
        <v>150</v>
      </c>
      <c r="E862" s="507">
        <v>1</v>
      </c>
      <c r="F862" s="502">
        <v>1</v>
      </c>
      <c r="G862" s="502">
        <f>+ROUND(1.225/(D862/1000)+1,0)/2</f>
        <v>4.5</v>
      </c>
      <c r="H862" s="602"/>
      <c r="I862" s="602">
        <f>0.1+1.4</f>
        <v>1.5</v>
      </c>
      <c r="J862" s="235"/>
      <c r="K862" s="509"/>
      <c r="L862" s="510">
        <f t="shared" ref="L862:L867" si="577">SUM(H862:J862)+K862</f>
        <v>1.5</v>
      </c>
      <c r="M862" s="510">
        <f>+ROUND(IF(C862=8,PRODUCT(E862,F862,G862,L862),0),2)</f>
        <v>6.75</v>
      </c>
      <c r="N862" s="510">
        <f>+ROUND(IF(C862=10,PRODUCT(E862,F862,G862,L862),0),2)</f>
        <v>0</v>
      </c>
      <c r="O862" s="510">
        <f>+ROUND(IF(C862=12,PRODUCT(E862,F862,G862,L862),0),2)</f>
        <v>0</v>
      </c>
      <c r="P862" s="510">
        <f>+ROUND(IF(C862=16,PRODUCT(E862,F862,G862,L862),0),2)</f>
        <v>0</v>
      </c>
      <c r="Q862" s="510">
        <f>+ROUND(IF(C862=20,PRODUCT(E862,F862,G862,L862),0),2)</f>
        <v>0</v>
      </c>
      <c r="R862" s="510">
        <f>+ROUND(IF(C862=25,PRODUCT(E862,F862,G862,L862),0),2)</f>
        <v>0</v>
      </c>
    </row>
    <row r="863" spans="1:18">
      <c r="A863" s="505"/>
      <c r="B863" s="607" t="s">
        <v>1168</v>
      </c>
      <c r="C863" s="507">
        <v>8</v>
      </c>
      <c r="D863" s="508">
        <v>150</v>
      </c>
      <c r="E863" s="507">
        <v>1</v>
      </c>
      <c r="F863" s="502">
        <v>1</v>
      </c>
      <c r="G863" s="502">
        <v>4</v>
      </c>
      <c r="H863" s="602"/>
      <c r="I863" s="602">
        <f>0.1+0.7</f>
        <v>0.79999999999999993</v>
      </c>
      <c r="J863" s="235"/>
      <c r="K863" s="509"/>
      <c r="L863" s="510">
        <f t="shared" si="577"/>
        <v>0.79999999999999993</v>
      </c>
      <c r="M863" s="510">
        <f>+ROUND(IF(C863=8,PRODUCT(E863,F863,G863,L863),0),2)</f>
        <v>3.2</v>
      </c>
      <c r="N863" s="510">
        <f>+ROUND(IF(C863=10,PRODUCT(E863,F863,G863,L863),0),2)</f>
        <v>0</v>
      </c>
      <c r="O863" s="510">
        <f>+ROUND(IF(C863=12,PRODUCT(E863,F863,G863,L863),0),2)</f>
        <v>0</v>
      </c>
      <c r="P863" s="510">
        <f>+ROUND(IF(C863=16,PRODUCT(E863,F863,G863,L863),0),2)</f>
        <v>0</v>
      </c>
      <c r="Q863" s="510">
        <f>+ROUND(IF(C863=20,PRODUCT(E863,F863,G863,L863),0),2)</f>
        <v>0</v>
      </c>
      <c r="R863" s="510">
        <f>+ROUND(IF(C863=25,PRODUCT(E863,F863,G863,L863),0),2)</f>
        <v>0</v>
      </c>
    </row>
    <row r="864" spans="1:18">
      <c r="A864" s="505"/>
      <c r="B864" s="607" t="s">
        <v>1156</v>
      </c>
      <c r="C864" s="507">
        <v>8</v>
      </c>
      <c r="D864" s="508">
        <v>200</v>
      </c>
      <c r="E864" s="507">
        <v>1</v>
      </c>
      <c r="F864" s="502">
        <v>1</v>
      </c>
      <c r="G864" s="502">
        <v>13</v>
      </c>
      <c r="H864" s="602">
        <v>0.1</v>
      </c>
      <c r="I864" s="602">
        <f>0.175+0.7</f>
        <v>0.875</v>
      </c>
      <c r="J864" s="235"/>
      <c r="K864" s="509"/>
      <c r="L864" s="510">
        <f t="shared" si="577"/>
        <v>0.97499999999999998</v>
      </c>
      <c r="M864" s="510">
        <f t="shared" ref="M864:M874" si="578">+ROUND(IF(C864=8,PRODUCT(E864,F864,G864,L864),0),2)</f>
        <v>12.68</v>
      </c>
      <c r="N864" s="510">
        <f t="shared" ref="N864:N874" si="579">+ROUND(IF(C864=10,PRODUCT(E864,F864,G864,L864),0),2)</f>
        <v>0</v>
      </c>
      <c r="O864" s="510">
        <f t="shared" ref="O864:O874" si="580">+ROUND(IF(C864=12,PRODUCT(E864,F864,G864,L864),0),2)</f>
        <v>0</v>
      </c>
      <c r="P864" s="510">
        <f t="shared" ref="P864:P874" si="581">+ROUND(IF(C864=16,PRODUCT(E864,F864,G864,L864),0),2)</f>
        <v>0</v>
      </c>
      <c r="Q864" s="510">
        <f t="shared" ref="Q864:Q874" si="582">+ROUND(IF(C864=20,PRODUCT(E864,F864,G864,L864),0),2)</f>
        <v>0</v>
      </c>
      <c r="R864" s="510">
        <f t="shared" ref="R864:R874" si="583">+ROUND(IF(C864=25,PRODUCT(E864,F864,G864,L864),0),2)</f>
        <v>0</v>
      </c>
    </row>
    <row r="865" spans="1:18">
      <c r="A865" s="505"/>
      <c r="B865" s="607" t="s">
        <v>1168</v>
      </c>
      <c r="C865" s="507">
        <v>8</v>
      </c>
      <c r="D865" s="508">
        <v>150</v>
      </c>
      <c r="E865" s="507">
        <v>1</v>
      </c>
      <c r="F865" s="502">
        <v>1</v>
      </c>
      <c r="G865" s="502">
        <f>+ROUND(4.24/(D865/1000)+1,0)/2</f>
        <v>14.5</v>
      </c>
      <c r="H865" s="602"/>
      <c r="I865" s="602">
        <f>0.1+1.6</f>
        <v>1.7000000000000002</v>
      </c>
      <c r="J865" s="235"/>
      <c r="K865" s="509"/>
      <c r="L865" s="510">
        <f t="shared" si="577"/>
        <v>1.7000000000000002</v>
      </c>
      <c r="M865" s="510">
        <f t="shared" si="578"/>
        <v>24.65</v>
      </c>
      <c r="N865" s="510">
        <f t="shared" si="579"/>
        <v>0</v>
      </c>
      <c r="O865" s="510">
        <f t="shared" si="580"/>
        <v>0</v>
      </c>
      <c r="P865" s="510">
        <f t="shared" si="581"/>
        <v>0</v>
      </c>
      <c r="Q865" s="510">
        <f t="shared" si="582"/>
        <v>0</v>
      </c>
      <c r="R865" s="510">
        <f t="shared" si="583"/>
        <v>0</v>
      </c>
    </row>
    <row r="866" spans="1:18">
      <c r="A866" s="505"/>
      <c r="B866" s="607" t="s">
        <v>1168</v>
      </c>
      <c r="C866" s="507">
        <v>8</v>
      </c>
      <c r="D866" s="508">
        <v>150</v>
      </c>
      <c r="E866" s="507">
        <v>1</v>
      </c>
      <c r="F866" s="502">
        <v>1</v>
      </c>
      <c r="G866" s="502">
        <f>+ROUND(4.24/(D866/1000)+1,0)/2</f>
        <v>14.5</v>
      </c>
      <c r="H866" s="602"/>
      <c r="I866" s="602">
        <f>0.1+0.8</f>
        <v>0.9</v>
      </c>
      <c r="J866" s="235"/>
      <c r="K866" s="509"/>
      <c r="L866" s="510">
        <f t="shared" si="577"/>
        <v>0.9</v>
      </c>
      <c r="M866" s="510">
        <f t="shared" si="578"/>
        <v>13.05</v>
      </c>
      <c r="N866" s="510">
        <f t="shared" si="579"/>
        <v>0</v>
      </c>
      <c r="O866" s="510">
        <f t="shared" si="580"/>
        <v>0</v>
      </c>
      <c r="P866" s="510">
        <f t="shared" si="581"/>
        <v>0</v>
      </c>
      <c r="Q866" s="510">
        <f t="shared" si="582"/>
        <v>0</v>
      </c>
      <c r="R866" s="510">
        <f t="shared" si="583"/>
        <v>0</v>
      </c>
    </row>
    <row r="867" spans="1:18">
      <c r="A867" s="505"/>
      <c r="B867" s="607" t="s">
        <v>1168</v>
      </c>
      <c r="C867" s="507">
        <v>8</v>
      </c>
      <c r="D867" s="508">
        <v>150</v>
      </c>
      <c r="E867" s="507">
        <v>1</v>
      </c>
      <c r="F867" s="502">
        <v>1</v>
      </c>
      <c r="G867" s="502">
        <v>17</v>
      </c>
      <c r="H867" s="602"/>
      <c r="I867" s="602">
        <f>0.1+1.47+0.1</f>
        <v>1.6700000000000002</v>
      </c>
      <c r="J867" s="235"/>
      <c r="K867" s="509"/>
      <c r="L867" s="510">
        <f t="shared" si="577"/>
        <v>1.6700000000000002</v>
      </c>
      <c r="M867" s="510">
        <f t="shared" si="578"/>
        <v>28.39</v>
      </c>
      <c r="N867" s="510">
        <f t="shared" si="579"/>
        <v>0</v>
      </c>
      <c r="O867" s="510">
        <f t="shared" si="580"/>
        <v>0</v>
      </c>
      <c r="P867" s="510">
        <f t="shared" si="581"/>
        <v>0</v>
      </c>
      <c r="Q867" s="510">
        <f t="shared" si="582"/>
        <v>0</v>
      </c>
      <c r="R867" s="510">
        <f t="shared" si="583"/>
        <v>0</v>
      </c>
    </row>
    <row r="868" spans="1:18">
      <c r="A868" s="505"/>
      <c r="B868" s="607" t="s">
        <v>1159</v>
      </c>
      <c r="C868" s="507">
        <v>8</v>
      </c>
      <c r="D868" s="508">
        <v>200</v>
      </c>
      <c r="E868" s="507">
        <v>1</v>
      </c>
      <c r="F868" s="502">
        <v>1</v>
      </c>
      <c r="G868" s="502">
        <f>+ROUND(0.8/(D868/1000)+1,0)</f>
        <v>5</v>
      </c>
      <c r="H868" s="602">
        <v>0.2</v>
      </c>
      <c r="I868" s="602">
        <v>3.05</v>
      </c>
      <c r="J868" s="235"/>
      <c r="K868" s="509"/>
      <c r="L868" s="510">
        <f t="shared" ref="L868" si="584">SUM(H868:J868)+K868</f>
        <v>3.25</v>
      </c>
      <c r="M868" s="510">
        <f t="shared" si="578"/>
        <v>16.25</v>
      </c>
      <c r="N868" s="510">
        <f t="shared" si="579"/>
        <v>0</v>
      </c>
      <c r="O868" s="510">
        <f t="shared" si="580"/>
        <v>0</v>
      </c>
      <c r="P868" s="510">
        <f t="shared" si="581"/>
        <v>0</v>
      </c>
      <c r="Q868" s="510">
        <f t="shared" si="582"/>
        <v>0</v>
      </c>
      <c r="R868" s="510">
        <f t="shared" si="583"/>
        <v>0</v>
      </c>
    </row>
    <row r="869" spans="1:18">
      <c r="A869" s="505"/>
      <c r="B869" s="607" t="s">
        <v>1159</v>
      </c>
      <c r="C869" s="507">
        <v>8</v>
      </c>
      <c r="D869" s="508">
        <v>200</v>
      </c>
      <c r="E869" s="507">
        <v>1</v>
      </c>
      <c r="F869" s="502">
        <v>1</v>
      </c>
      <c r="G869" s="502">
        <f>+ROUND(1.1/(D869/1000)+1,0)</f>
        <v>7</v>
      </c>
      <c r="H869" s="602">
        <v>0.1</v>
      </c>
      <c r="I869" s="602">
        <v>3.76</v>
      </c>
      <c r="J869" s="235"/>
      <c r="K869" s="509"/>
      <c r="L869" s="510">
        <f>SUM(H869:J869)+K869</f>
        <v>3.86</v>
      </c>
      <c r="M869" s="510">
        <f t="shared" si="578"/>
        <v>27.02</v>
      </c>
      <c r="N869" s="510">
        <f t="shared" si="579"/>
        <v>0</v>
      </c>
      <c r="O869" s="510">
        <f t="shared" si="580"/>
        <v>0</v>
      </c>
      <c r="P869" s="510">
        <f t="shared" si="581"/>
        <v>0</v>
      </c>
      <c r="Q869" s="510">
        <f t="shared" si="582"/>
        <v>0</v>
      </c>
      <c r="R869" s="510">
        <f t="shared" si="583"/>
        <v>0</v>
      </c>
    </row>
    <row r="870" spans="1:18">
      <c r="A870" s="505"/>
      <c r="B870" s="607" t="s">
        <v>1159</v>
      </c>
      <c r="C870" s="507">
        <v>8</v>
      </c>
      <c r="D870" s="508">
        <v>200</v>
      </c>
      <c r="E870" s="507">
        <v>1</v>
      </c>
      <c r="F870" s="502">
        <v>1</v>
      </c>
      <c r="G870" s="502">
        <v>6</v>
      </c>
      <c r="H870" s="602">
        <v>0.2</v>
      </c>
      <c r="I870" s="602">
        <v>3.2</v>
      </c>
      <c r="J870" s="235"/>
      <c r="K870" s="509"/>
      <c r="L870" s="510">
        <f t="shared" ref="L870" si="585">SUM(H870:J870)+K870</f>
        <v>3.4000000000000004</v>
      </c>
      <c r="M870" s="510">
        <f t="shared" si="578"/>
        <v>20.399999999999999</v>
      </c>
      <c r="N870" s="510">
        <f t="shared" si="579"/>
        <v>0</v>
      </c>
      <c r="O870" s="510">
        <f t="shared" si="580"/>
        <v>0</v>
      </c>
      <c r="P870" s="510">
        <f t="shared" si="581"/>
        <v>0</v>
      </c>
      <c r="Q870" s="510">
        <f t="shared" si="582"/>
        <v>0</v>
      </c>
      <c r="R870" s="510">
        <f t="shared" si="583"/>
        <v>0</v>
      </c>
    </row>
    <row r="871" spans="1:18">
      <c r="A871" s="505"/>
      <c r="B871" s="607" t="s">
        <v>1159</v>
      </c>
      <c r="C871" s="507">
        <v>8</v>
      </c>
      <c r="D871" s="508">
        <v>200</v>
      </c>
      <c r="E871" s="507">
        <v>1</v>
      </c>
      <c r="F871" s="502">
        <v>1</v>
      </c>
      <c r="G871" s="502">
        <f>+ROUND(1.6/(D871/1000)+1,0)</f>
        <v>9</v>
      </c>
      <c r="H871" s="602">
        <v>0.2</v>
      </c>
      <c r="I871" s="602">
        <v>6.79</v>
      </c>
      <c r="J871" s="235"/>
      <c r="K871" s="509"/>
      <c r="L871" s="510">
        <f>SUM(H871:J871)+K871</f>
        <v>6.99</v>
      </c>
      <c r="M871" s="510">
        <f t="shared" si="578"/>
        <v>62.91</v>
      </c>
      <c r="N871" s="510">
        <f t="shared" si="579"/>
        <v>0</v>
      </c>
      <c r="O871" s="510">
        <f t="shared" si="580"/>
        <v>0</v>
      </c>
      <c r="P871" s="510">
        <f t="shared" si="581"/>
        <v>0</v>
      </c>
      <c r="Q871" s="510">
        <f t="shared" si="582"/>
        <v>0</v>
      </c>
      <c r="R871" s="510">
        <f t="shared" si="583"/>
        <v>0</v>
      </c>
    </row>
    <row r="872" spans="1:18">
      <c r="A872" s="505"/>
      <c r="B872" s="607" t="s">
        <v>1159</v>
      </c>
      <c r="C872" s="507">
        <v>8</v>
      </c>
      <c r="D872" s="508">
        <v>200</v>
      </c>
      <c r="E872" s="507">
        <v>1</v>
      </c>
      <c r="F872" s="502">
        <v>1</v>
      </c>
      <c r="G872" s="502">
        <f>+ROUND(1.46/(D872/1000)+1,0)</f>
        <v>8</v>
      </c>
      <c r="H872" s="602">
        <v>0.2</v>
      </c>
      <c r="I872" s="602">
        <v>1.47</v>
      </c>
      <c r="J872" s="235"/>
      <c r="K872" s="509"/>
      <c r="L872" s="510">
        <f>SUM(H872:J872)+K872</f>
        <v>1.67</v>
      </c>
      <c r="M872" s="510">
        <f t="shared" si="578"/>
        <v>13.36</v>
      </c>
      <c r="N872" s="510">
        <f t="shared" si="579"/>
        <v>0</v>
      </c>
      <c r="O872" s="510">
        <f t="shared" si="580"/>
        <v>0</v>
      </c>
      <c r="P872" s="510">
        <f t="shared" si="581"/>
        <v>0</v>
      </c>
      <c r="Q872" s="510">
        <f t="shared" si="582"/>
        <v>0</v>
      </c>
      <c r="R872" s="510">
        <f t="shared" si="583"/>
        <v>0</v>
      </c>
    </row>
    <row r="873" spans="1:18">
      <c r="A873" s="505"/>
      <c r="B873" s="607" t="s">
        <v>1159</v>
      </c>
      <c r="C873" s="507">
        <v>8</v>
      </c>
      <c r="D873" s="508">
        <v>200</v>
      </c>
      <c r="E873" s="507">
        <v>1</v>
      </c>
      <c r="F873" s="502">
        <v>1</v>
      </c>
      <c r="G873" s="502">
        <f>+ROUND(1.3/(D873/1000)+1,0)</f>
        <v>8</v>
      </c>
      <c r="H873" s="602">
        <v>0.2</v>
      </c>
      <c r="I873" s="602">
        <v>2.5499999999999998</v>
      </c>
      <c r="J873" s="235"/>
      <c r="K873" s="509"/>
      <c r="L873" s="510">
        <f>SUM(H873:J873)+K873</f>
        <v>2.75</v>
      </c>
      <c r="M873" s="510">
        <f t="shared" si="578"/>
        <v>22</v>
      </c>
      <c r="N873" s="510">
        <f t="shared" si="579"/>
        <v>0</v>
      </c>
      <c r="O873" s="510">
        <f t="shared" si="580"/>
        <v>0</v>
      </c>
      <c r="P873" s="510">
        <f t="shared" si="581"/>
        <v>0</v>
      </c>
      <c r="Q873" s="510">
        <f t="shared" si="582"/>
        <v>0</v>
      </c>
      <c r="R873" s="510">
        <f t="shared" si="583"/>
        <v>0</v>
      </c>
    </row>
    <row r="874" spans="1:18">
      <c r="A874" s="505"/>
      <c r="B874" s="607" t="s">
        <v>1159</v>
      </c>
      <c r="C874" s="507">
        <v>8</v>
      </c>
      <c r="D874" s="508">
        <v>200</v>
      </c>
      <c r="E874" s="507">
        <v>1</v>
      </c>
      <c r="F874" s="502">
        <v>1</v>
      </c>
      <c r="G874" s="502">
        <f>+ROUND(1.1/(D874/1000)+1,0)</f>
        <v>7</v>
      </c>
      <c r="H874" s="602">
        <v>0.1</v>
      </c>
      <c r="I874" s="602">
        <v>3.76</v>
      </c>
      <c r="J874" s="235"/>
      <c r="K874" s="509"/>
      <c r="L874" s="510">
        <f>SUM(H874:J874)+K874</f>
        <v>3.86</v>
      </c>
      <c r="M874" s="510">
        <f t="shared" si="578"/>
        <v>27.02</v>
      </c>
      <c r="N874" s="510">
        <f t="shared" si="579"/>
        <v>0</v>
      </c>
      <c r="O874" s="510">
        <f t="shared" si="580"/>
        <v>0</v>
      </c>
      <c r="P874" s="510">
        <f t="shared" si="581"/>
        <v>0</v>
      </c>
      <c r="Q874" s="510">
        <f t="shared" si="582"/>
        <v>0</v>
      </c>
      <c r="R874" s="510">
        <f t="shared" si="583"/>
        <v>0</v>
      </c>
    </row>
    <row r="875" spans="1:18">
      <c r="A875" s="505"/>
      <c r="B875" s="511"/>
      <c r="C875" s="507"/>
      <c r="D875" s="508"/>
      <c r="E875" s="507"/>
      <c r="F875" s="502"/>
      <c r="G875" s="502"/>
      <c r="H875" s="602"/>
      <c r="I875" s="602"/>
      <c r="J875" s="235"/>
      <c r="K875" s="509"/>
      <c r="L875" s="510"/>
      <c r="M875" s="510"/>
      <c r="N875" s="510"/>
      <c r="O875" s="510"/>
      <c r="P875" s="510"/>
      <c r="Q875" s="510"/>
      <c r="R875" s="510"/>
    </row>
    <row r="876" spans="1:18">
      <c r="A876" s="505"/>
      <c r="B876" s="506" t="s">
        <v>1184</v>
      </c>
      <c r="C876" s="507"/>
      <c r="D876" s="508"/>
      <c r="E876" s="507"/>
      <c r="F876" s="502"/>
      <c r="G876" s="502"/>
      <c r="H876" s="602"/>
      <c r="I876" s="602"/>
      <c r="J876" s="235"/>
      <c r="K876" s="509"/>
      <c r="L876" s="510"/>
      <c r="M876" s="510">
        <f t="shared" ref="M876:M887" si="586">+ROUND(IF(C876=8,PRODUCT(E876,F876,G876,L876),0),2)</f>
        <v>0</v>
      </c>
      <c r="N876" s="510">
        <f t="shared" ref="N876:N887" si="587">+ROUND(IF(C876=10,PRODUCT(E876,F876,G876,L876),0),2)</f>
        <v>0</v>
      </c>
      <c r="O876" s="510">
        <f t="shared" ref="O876:O887" si="588">+ROUND(IF(C876=12,PRODUCT(E876,F876,G876,L876),0),2)</f>
        <v>0</v>
      </c>
      <c r="P876" s="510">
        <f t="shared" ref="P876:P887" si="589">+ROUND(IF(C876=16,PRODUCT(E876,F876,G876,L876),0),2)</f>
        <v>0</v>
      </c>
      <c r="Q876" s="510">
        <f t="shared" ref="Q876:Q887" si="590">+ROUND(IF(C876=20,PRODUCT(E876,F876,G876,L876),0),2)</f>
        <v>0</v>
      </c>
      <c r="R876" s="510">
        <f t="shared" ref="R876:R887" si="591">+ROUND(IF(C876=25,PRODUCT(E876,F876,G876,L876),0),2)</f>
        <v>0</v>
      </c>
    </row>
    <row r="877" spans="1:18">
      <c r="A877" s="505"/>
      <c r="B877" s="607" t="s">
        <v>1185</v>
      </c>
      <c r="C877" s="507">
        <v>8</v>
      </c>
      <c r="D877" s="508">
        <v>200</v>
      </c>
      <c r="E877" s="507">
        <v>1</v>
      </c>
      <c r="F877" s="502">
        <v>1</v>
      </c>
      <c r="G877" s="502">
        <f>+ROUND(3.25/(D877/1000)+1,0)</f>
        <v>17</v>
      </c>
      <c r="H877" s="602"/>
      <c r="I877" s="602">
        <f>0.175+2.365+0.175</f>
        <v>2.7149999999999999</v>
      </c>
      <c r="J877" s="235"/>
      <c r="K877" s="589"/>
      <c r="L877" s="510">
        <f>SUM(H877:J877)+K877</f>
        <v>2.7149999999999999</v>
      </c>
      <c r="M877" s="510">
        <f t="shared" si="586"/>
        <v>46.16</v>
      </c>
      <c r="N877" s="510">
        <f t="shared" si="587"/>
        <v>0</v>
      </c>
      <c r="O877" s="510">
        <f t="shared" si="588"/>
        <v>0</v>
      </c>
      <c r="P877" s="510">
        <f t="shared" si="589"/>
        <v>0</v>
      </c>
      <c r="Q877" s="510">
        <f t="shared" si="590"/>
        <v>0</v>
      </c>
      <c r="R877" s="510">
        <f t="shared" si="591"/>
        <v>0</v>
      </c>
    </row>
    <row r="878" spans="1:18">
      <c r="A878" s="505"/>
      <c r="B878" s="607" t="s">
        <v>1155</v>
      </c>
      <c r="C878" s="507">
        <v>8</v>
      </c>
      <c r="D878" s="508">
        <v>200</v>
      </c>
      <c r="E878" s="507">
        <v>1</v>
      </c>
      <c r="F878" s="502">
        <v>1</v>
      </c>
      <c r="G878" s="502">
        <f>+ROUND(2.365/(D878/1000)+1,0)</f>
        <v>13</v>
      </c>
      <c r="H878" s="602"/>
      <c r="I878" s="602">
        <f>0.175+3.25+0.175</f>
        <v>3.5999999999999996</v>
      </c>
      <c r="J878" s="235"/>
      <c r="K878" s="589"/>
      <c r="L878" s="510">
        <f>SUM(H878:J878)+K878</f>
        <v>3.5999999999999996</v>
      </c>
      <c r="M878" s="510">
        <f t="shared" si="586"/>
        <v>46.8</v>
      </c>
      <c r="N878" s="510">
        <f t="shared" si="587"/>
        <v>0</v>
      </c>
      <c r="O878" s="510">
        <f t="shared" si="588"/>
        <v>0</v>
      </c>
      <c r="P878" s="510">
        <f t="shared" si="589"/>
        <v>0</v>
      </c>
      <c r="Q878" s="510">
        <f t="shared" si="590"/>
        <v>0</v>
      </c>
      <c r="R878" s="510">
        <f t="shared" si="591"/>
        <v>0</v>
      </c>
    </row>
    <row r="879" spans="1:18">
      <c r="A879" s="505"/>
      <c r="B879" s="607" t="s">
        <v>1156</v>
      </c>
      <c r="C879" s="507">
        <v>8</v>
      </c>
      <c r="D879" s="508">
        <v>200</v>
      </c>
      <c r="E879" s="507">
        <v>1</v>
      </c>
      <c r="F879" s="502">
        <v>1</v>
      </c>
      <c r="G879" s="502">
        <f>+ROUND(2.365/(D879/1000)+1,0)</f>
        <v>13</v>
      </c>
      <c r="H879" s="602">
        <v>0.1</v>
      </c>
      <c r="I879" s="602">
        <f>0.55+0.175</f>
        <v>0.72500000000000009</v>
      </c>
      <c r="J879" s="235"/>
      <c r="K879" s="509"/>
      <c r="L879" s="510">
        <f>SUM(H879:J879)+K879</f>
        <v>0.82500000000000007</v>
      </c>
      <c r="M879" s="510">
        <f t="shared" si="586"/>
        <v>10.73</v>
      </c>
      <c r="N879" s="510">
        <f t="shared" si="587"/>
        <v>0</v>
      </c>
      <c r="O879" s="510">
        <f t="shared" si="588"/>
        <v>0</v>
      </c>
      <c r="P879" s="510">
        <f t="shared" si="589"/>
        <v>0</v>
      </c>
      <c r="Q879" s="510">
        <f t="shared" si="590"/>
        <v>0</v>
      </c>
      <c r="R879" s="510">
        <f t="shared" si="591"/>
        <v>0</v>
      </c>
    </row>
    <row r="880" spans="1:18">
      <c r="A880" s="505"/>
      <c r="B880" s="607" t="s">
        <v>1156</v>
      </c>
      <c r="C880" s="507">
        <v>8</v>
      </c>
      <c r="D880" s="508">
        <v>200</v>
      </c>
      <c r="E880" s="507">
        <v>1</v>
      </c>
      <c r="F880" s="502">
        <v>1</v>
      </c>
      <c r="G880" s="502">
        <f>+ROUND(1.52/(D880/1000)+1,0)</f>
        <v>9</v>
      </c>
      <c r="H880" s="602">
        <v>0.1</v>
      </c>
      <c r="I880" s="602">
        <f>0.45+0.175</f>
        <v>0.625</v>
      </c>
      <c r="J880" s="235"/>
      <c r="K880" s="509"/>
      <c r="L880" s="510">
        <f t="shared" ref="L880" si="592">SUM(H880:J880)+K880</f>
        <v>0.72499999999999998</v>
      </c>
      <c r="M880" s="510">
        <f t="shared" si="586"/>
        <v>6.53</v>
      </c>
      <c r="N880" s="510">
        <f t="shared" si="587"/>
        <v>0</v>
      </c>
      <c r="O880" s="510">
        <f t="shared" si="588"/>
        <v>0</v>
      </c>
      <c r="P880" s="510">
        <f t="shared" si="589"/>
        <v>0</v>
      </c>
      <c r="Q880" s="510">
        <f t="shared" si="590"/>
        <v>0</v>
      </c>
      <c r="R880" s="510">
        <f t="shared" si="591"/>
        <v>0</v>
      </c>
    </row>
    <row r="881" spans="1:18">
      <c r="A881" s="505"/>
      <c r="B881" s="607" t="s">
        <v>1168</v>
      </c>
      <c r="C881" s="507">
        <v>8</v>
      </c>
      <c r="D881" s="508">
        <v>150</v>
      </c>
      <c r="E881" s="507">
        <v>1</v>
      </c>
      <c r="F881" s="502">
        <v>1</v>
      </c>
      <c r="G881" s="502">
        <f>+ROUND(1.53/(D881/1000)+1,0)/2</f>
        <v>5.5</v>
      </c>
      <c r="H881" s="602"/>
      <c r="I881" s="602">
        <f>0.1+0.8</f>
        <v>0.9</v>
      </c>
      <c r="J881" s="235"/>
      <c r="K881" s="509"/>
      <c r="L881" s="510">
        <f>SUM(H881:J881)+K881</f>
        <v>0.9</v>
      </c>
      <c r="M881" s="510">
        <f t="shared" si="586"/>
        <v>4.95</v>
      </c>
      <c r="N881" s="510">
        <f t="shared" si="587"/>
        <v>0</v>
      </c>
      <c r="O881" s="510">
        <f t="shared" si="588"/>
        <v>0</v>
      </c>
      <c r="P881" s="510">
        <f t="shared" si="589"/>
        <v>0</v>
      </c>
      <c r="Q881" s="510">
        <f t="shared" si="590"/>
        <v>0</v>
      </c>
      <c r="R881" s="510">
        <f t="shared" si="591"/>
        <v>0</v>
      </c>
    </row>
    <row r="882" spans="1:18">
      <c r="A882" s="505"/>
      <c r="B882" s="607" t="s">
        <v>1168</v>
      </c>
      <c r="C882" s="507">
        <v>8</v>
      </c>
      <c r="D882" s="508">
        <v>150</v>
      </c>
      <c r="E882" s="507">
        <v>1</v>
      </c>
      <c r="F882" s="502">
        <v>1</v>
      </c>
      <c r="G882" s="502">
        <f>+ROUND(1.53/(D882/1000)+1,0)/2</f>
        <v>5.5</v>
      </c>
      <c r="H882" s="602"/>
      <c r="I882" s="602">
        <f>0.1+0.4</f>
        <v>0.5</v>
      </c>
      <c r="J882" s="235"/>
      <c r="K882" s="509"/>
      <c r="L882" s="510">
        <f t="shared" ref="L882" si="593">SUM(H882:J882)+K882</f>
        <v>0.5</v>
      </c>
      <c r="M882" s="510">
        <f t="shared" si="586"/>
        <v>2.75</v>
      </c>
      <c r="N882" s="510">
        <f t="shared" si="587"/>
        <v>0</v>
      </c>
      <c r="O882" s="510">
        <f t="shared" si="588"/>
        <v>0</v>
      </c>
      <c r="P882" s="510">
        <f t="shared" si="589"/>
        <v>0</v>
      </c>
      <c r="Q882" s="510">
        <f t="shared" si="590"/>
        <v>0</v>
      </c>
      <c r="R882" s="510">
        <f t="shared" si="591"/>
        <v>0</v>
      </c>
    </row>
    <row r="883" spans="1:18">
      <c r="A883" s="505"/>
      <c r="B883" s="607" t="s">
        <v>1156</v>
      </c>
      <c r="C883" s="507">
        <v>8</v>
      </c>
      <c r="D883" s="508">
        <v>200</v>
      </c>
      <c r="E883" s="507">
        <v>1</v>
      </c>
      <c r="F883" s="502">
        <v>1</v>
      </c>
      <c r="G883" s="502">
        <f>+ROUND(3.25/(D883/1000)+1,0)/2</f>
        <v>8.5</v>
      </c>
      <c r="H883" s="602"/>
      <c r="I883" s="602">
        <f>0.1+0.8</f>
        <v>0.9</v>
      </c>
      <c r="J883" s="235"/>
      <c r="K883" s="509"/>
      <c r="L883" s="510">
        <f>SUM(H883:J883)+K883</f>
        <v>0.9</v>
      </c>
      <c r="M883" s="510">
        <f t="shared" si="586"/>
        <v>7.65</v>
      </c>
      <c r="N883" s="510">
        <f t="shared" si="587"/>
        <v>0</v>
      </c>
      <c r="O883" s="510">
        <f t="shared" si="588"/>
        <v>0</v>
      </c>
      <c r="P883" s="510">
        <f t="shared" si="589"/>
        <v>0</v>
      </c>
      <c r="Q883" s="510">
        <f t="shared" si="590"/>
        <v>0</v>
      </c>
      <c r="R883" s="510">
        <f t="shared" si="591"/>
        <v>0</v>
      </c>
    </row>
    <row r="884" spans="1:18">
      <c r="A884" s="505"/>
      <c r="B884" s="607" t="s">
        <v>1156</v>
      </c>
      <c r="C884" s="507">
        <v>8</v>
      </c>
      <c r="D884" s="508">
        <v>200</v>
      </c>
      <c r="E884" s="507">
        <v>1</v>
      </c>
      <c r="F884" s="502">
        <v>1</v>
      </c>
      <c r="G884" s="502">
        <f>+ROUND(3.25/(D884/1000)+1,0)/2</f>
        <v>8.5</v>
      </c>
      <c r="H884" s="602"/>
      <c r="I884" s="602">
        <f>0.1+0.4</f>
        <v>0.5</v>
      </c>
      <c r="J884" s="235"/>
      <c r="K884" s="509"/>
      <c r="L884" s="510">
        <f t="shared" ref="L884:L887" si="594">SUM(H884:J884)+K884</f>
        <v>0.5</v>
      </c>
      <c r="M884" s="510">
        <f t="shared" si="586"/>
        <v>4.25</v>
      </c>
      <c r="N884" s="510">
        <f t="shared" si="587"/>
        <v>0</v>
      </c>
      <c r="O884" s="510">
        <f t="shared" si="588"/>
        <v>0</v>
      </c>
      <c r="P884" s="510">
        <f t="shared" si="589"/>
        <v>0</v>
      </c>
      <c r="Q884" s="510">
        <f t="shared" si="590"/>
        <v>0</v>
      </c>
      <c r="R884" s="510">
        <f t="shared" si="591"/>
        <v>0</v>
      </c>
    </row>
    <row r="885" spans="1:18">
      <c r="A885" s="505"/>
      <c r="B885" s="607" t="s">
        <v>1159</v>
      </c>
      <c r="C885" s="507">
        <v>8</v>
      </c>
      <c r="D885" s="508">
        <v>200</v>
      </c>
      <c r="E885" s="507">
        <v>1</v>
      </c>
      <c r="F885" s="502">
        <v>1</v>
      </c>
      <c r="G885" s="502">
        <f>+ROUND(0.55/(D885/1000)+1,0)</f>
        <v>4</v>
      </c>
      <c r="H885" s="602">
        <v>0.2</v>
      </c>
      <c r="I885" s="602">
        <v>2.3650000000000002</v>
      </c>
      <c r="J885" s="235"/>
      <c r="K885" s="509"/>
      <c r="L885" s="510">
        <f t="shared" si="594"/>
        <v>2.5650000000000004</v>
      </c>
      <c r="M885" s="510">
        <f t="shared" si="586"/>
        <v>10.26</v>
      </c>
      <c r="N885" s="510">
        <f t="shared" si="587"/>
        <v>0</v>
      </c>
      <c r="O885" s="510">
        <f t="shared" si="588"/>
        <v>0</v>
      </c>
      <c r="P885" s="510">
        <f t="shared" si="589"/>
        <v>0</v>
      </c>
      <c r="Q885" s="510">
        <f t="shared" si="590"/>
        <v>0</v>
      </c>
      <c r="R885" s="510">
        <f t="shared" si="591"/>
        <v>0</v>
      </c>
    </row>
    <row r="886" spans="1:18">
      <c r="A886" s="505"/>
      <c r="B886" s="607" t="s">
        <v>1159</v>
      </c>
      <c r="C886" s="507">
        <v>8</v>
      </c>
      <c r="D886" s="508">
        <v>200</v>
      </c>
      <c r="E886" s="507">
        <v>1</v>
      </c>
      <c r="F886" s="502">
        <v>1</v>
      </c>
      <c r="G886" s="502">
        <f>+ROUND(0.8/(D886/1000)+1,0)</f>
        <v>5</v>
      </c>
      <c r="H886" s="602">
        <v>0.2</v>
      </c>
      <c r="I886" s="602">
        <v>3.25</v>
      </c>
      <c r="J886" s="235"/>
      <c r="K886" s="509"/>
      <c r="L886" s="510">
        <f t="shared" si="594"/>
        <v>3.45</v>
      </c>
      <c r="M886" s="510">
        <f t="shared" si="586"/>
        <v>17.25</v>
      </c>
      <c r="N886" s="510">
        <f t="shared" si="587"/>
        <v>0</v>
      </c>
      <c r="O886" s="510">
        <f t="shared" si="588"/>
        <v>0</v>
      </c>
      <c r="P886" s="510">
        <f t="shared" si="589"/>
        <v>0</v>
      </c>
      <c r="Q886" s="510">
        <f t="shared" si="590"/>
        <v>0</v>
      </c>
      <c r="R886" s="510">
        <f t="shared" si="591"/>
        <v>0</v>
      </c>
    </row>
    <row r="887" spans="1:18">
      <c r="A887" s="505"/>
      <c r="B887" s="607" t="s">
        <v>1159</v>
      </c>
      <c r="C887" s="507">
        <v>8</v>
      </c>
      <c r="D887" s="508">
        <v>200</v>
      </c>
      <c r="E887" s="507">
        <v>1</v>
      </c>
      <c r="F887" s="502">
        <v>1</v>
      </c>
      <c r="G887" s="502">
        <f>+ROUND(0.8/(D887/1000)+1,0)</f>
        <v>5</v>
      </c>
      <c r="H887" s="602">
        <v>0.2</v>
      </c>
      <c r="I887" s="602">
        <v>3.25</v>
      </c>
      <c r="J887" s="235"/>
      <c r="K887" s="509"/>
      <c r="L887" s="510">
        <f t="shared" si="594"/>
        <v>3.45</v>
      </c>
      <c r="M887" s="510">
        <f t="shared" si="586"/>
        <v>17.25</v>
      </c>
      <c r="N887" s="510">
        <f t="shared" si="587"/>
        <v>0</v>
      </c>
      <c r="O887" s="510">
        <f t="shared" si="588"/>
        <v>0</v>
      </c>
      <c r="P887" s="510">
        <f t="shared" si="589"/>
        <v>0</v>
      </c>
      <c r="Q887" s="510">
        <f t="shared" si="590"/>
        <v>0</v>
      </c>
      <c r="R887" s="510">
        <f t="shared" si="591"/>
        <v>0</v>
      </c>
    </row>
    <row r="888" spans="1:18">
      <c r="A888" s="505"/>
      <c r="B888" s="511"/>
      <c r="C888" s="507"/>
      <c r="D888" s="508"/>
      <c r="E888" s="507"/>
      <c r="F888" s="502"/>
      <c r="G888" s="502"/>
      <c r="H888" s="602"/>
      <c r="I888" s="602"/>
      <c r="J888" s="235"/>
      <c r="K888" s="509"/>
      <c r="L888" s="510"/>
      <c r="M888" s="510"/>
      <c r="N888" s="510"/>
      <c r="O888" s="510"/>
      <c r="P888" s="510"/>
      <c r="Q888" s="510"/>
      <c r="R888" s="510"/>
    </row>
    <row r="889" spans="1:18">
      <c r="A889" s="505"/>
      <c r="B889" s="506" t="s">
        <v>1186</v>
      </c>
      <c r="C889" s="507"/>
      <c r="D889" s="508"/>
      <c r="E889" s="507"/>
      <c r="F889" s="502"/>
      <c r="G889" s="502"/>
      <c r="H889" s="602"/>
      <c r="I889" s="602"/>
      <c r="J889" s="235"/>
      <c r="K889" s="509"/>
      <c r="L889" s="510"/>
      <c r="M889" s="510">
        <f t="shared" ref="M889:M900" si="595">+ROUND(IF(C889=8,PRODUCT(E889,F889,G889,L889),0),2)</f>
        <v>0</v>
      </c>
      <c r="N889" s="510">
        <f t="shared" ref="N889:N900" si="596">+ROUND(IF(C889=10,PRODUCT(E889,F889,G889,L889),0),2)</f>
        <v>0</v>
      </c>
      <c r="O889" s="510">
        <f t="shared" ref="O889:O900" si="597">+ROUND(IF(C889=12,PRODUCT(E889,F889,G889,L889),0),2)</f>
        <v>0</v>
      </c>
      <c r="P889" s="510">
        <f t="shared" ref="P889:P900" si="598">+ROUND(IF(C889=16,PRODUCT(E889,F889,G889,L889),0),2)</f>
        <v>0</v>
      </c>
      <c r="Q889" s="510">
        <f t="shared" ref="Q889:Q900" si="599">+ROUND(IF(C889=20,PRODUCT(E889,F889,G889,L889),0),2)</f>
        <v>0</v>
      </c>
      <c r="R889" s="510">
        <f t="shared" ref="R889:R900" si="600">+ROUND(IF(C889=25,PRODUCT(E889,F889,G889,L889),0),2)</f>
        <v>0</v>
      </c>
    </row>
    <row r="890" spans="1:18">
      <c r="A890" s="505"/>
      <c r="B890" s="607" t="s">
        <v>1185</v>
      </c>
      <c r="C890" s="507">
        <v>8</v>
      </c>
      <c r="D890" s="508">
        <v>200</v>
      </c>
      <c r="E890" s="507">
        <v>1</v>
      </c>
      <c r="F890" s="502">
        <v>1</v>
      </c>
      <c r="G890" s="502">
        <v>16</v>
      </c>
      <c r="H890" s="602"/>
      <c r="I890" s="602">
        <f>0.175+2.925+0.175</f>
        <v>3.2749999999999995</v>
      </c>
      <c r="J890" s="235"/>
      <c r="K890" s="589"/>
      <c r="L890" s="510">
        <f>SUM(H890:J890)+K890</f>
        <v>3.2749999999999995</v>
      </c>
      <c r="M890" s="510">
        <f t="shared" si="595"/>
        <v>52.4</v>
      </c>
      <c r="N890" s="510">
        <f t="shared" si="596"/>
        <v>0</v>
      </c>
      <c r="O890" s="510">
        <f t="shared" si="597"/>
        <v>0</v>
      </c>
      <c r="P890" s="510">
        <f t="shared" si="598"/>
        <v>0</v>
      </c>
      <c r="Q890" s="510">
        <f t="shared" si="599"/>
        <v>0</v>
      </c>
      <c r="R890" s="510">
        <f t="shared" si="600"/>
        <v>0</v>
      </c>
    </row>
    <row r="891" spans="1:18">
      <c r="A891" s="505"/>
      <c r="B891" s="607" t="s">
        <v>1155</v>
      </c>
      <c r="C891" s="507">
        <v>8</v>
      </c>
      <c r="D891" s="508">
        <v>200</v>
      </c>
      <c r="E891" s="507">
        <v>1</v>
      </c>
      <c r="F891" s="502">
        <v>1</v>
      </c>
      <c r="G891" s="502">
        <v>15</v>
      </c>
      <c r="H891" s="602"/>
      <c r="I891" s="602">
        <f>0.175+3.25+0.175</f>
        <v>3.5999999999999996</v>
      </c>
      <c r="J891" s="235"/>
      <c r="K891" s="589"/>
      <c r="L891" s="510">
        <f>SUM(H891:J891)+K891</f>
        <v>3.5999999999999996</v>
      </c>
      <c r="M891" s="510">
        <f t="shared" si="595"/>
        <v>54</v>
      </c>
      <c r="N891" s="510">
        <f t="shared" si="596"/>
        <v>0</v>
      </c>
      <c r="O891" s="510">
        <f t="shared" si="597"/>
        <v>0</v>
      </c>
      <c r="P891" s="510">
        <f t="shared" si="598"/>
        <v>0</v>
      </c>
      <c r="Q891" s="510">
        <f t="shared" si="599"/>
        <v>0</v>
      </c>
      <c r="R891" s="510">
        <f t="shared" si="600"/>
        <v>0</v>
      </c>
    </row>
    <row r="892" spans="1:18">
      <c r="A892" s="505"/>
      <c r="B892" s="607" t="s">
        <v>1156</v>
      </c>
      <c r="C892" s="507">
        <v>8</v>
      </c>
      <c r="D892" s="508">
        <v>200</v>
      </c>
      <c r="E892" s="507">
        <v>1</v>
      </c>
      <c r="F892" s="502">
        <v>1</v>
      </c>
      <c r="G892" s="502">
        <f>+ROUND(2.925/(D892/1000)+1,0)</f>
        <v>16</v>
      </c>
      <c r="H892" s="602">
        <v>0.1</v>
      </c>
      <c r="I892" s="602">
        <f>0.55+0.175</f>
        <v>0.72500000000000009</v>
      </c>
      <c r="J892" s="235"/>
      <c r="K892" s="509"/>
      <c r="L892" s="510">
        <f>SUM(H892:J892)+K892</f>
        <v>0.82500000000000007</v>
      </c>
      <c r="M892" s="510">
        <f t="shared" si="595"/>
        <v>13.2</v>
      </c>
      <c r="N892" s="510">
        <f t="shared" si="596"/>
        <v>0</v>
      </c>
      <c r="O892" s="510">
        <f t="shared" si="597"/>
        <v>0</v>
      </c>
      <c r="P892" s="510">
        <f t="shared" si="598"/>
        <v>0</v>
      </c>
      <c r="Q892" s="510">
        <f t="shared" si="599"/>
        <v>0</v>
      </c>
      <c r="R892" s="510">
        <f t="shared" si="600"/>
        <v>0</v>
      </c>
    </row>
    <row r="893" spans="1:18" ht="13.5" customHeight="1">
      <c r="A893" s="505"/>
      <c r="B893" s="607" t="s">
        <v>1156</v>
      </c>
      <c r="C893" s="507">
        <v>8</v>
      </c>
      <c r="D893" s="508">
        <v>200</v>
      </c>
      <c r="E893" s="507">
        <v>1</v>
      </c>
      <c r="F893" s="502">
        <v>1</v>
      </c>
      <c r="G893" s="502">
        <v>15</v>
      </c>
      <c r="H893" s="602">
        <v>0.1</v>
      </c>
      <c r="I893" s="602">
        <f>0.5+0.175</f>
        <v>0.67500000000000004</v>
      </c>
      <c r="J893" s="235"/>
      <c r="K893" s="509"/>
      <c r="L893" s="510">
        <f t="shared" ref="L893" si="601">SUM(H893:J893)+K893</f>
        <v>0.77500000000000002</v>
      </c>
      <c r="M893" s="510">
        <f t="shared" si="595"/>
        <v>11.63</v>
      </c>
      <c r="N893" s="510">
        <f t="shared" si="596"/>
        <v>0</v>
      </c>
      <c r="O893" s="510">
        <f t="shared" si="597"/>
        <v>0</v>
      </c>
      <c r="P893" s="510">
        <f t="shared" si="598"/>
        <v>0</v>
      </c>
      <c r="Q893" s="510">
        <f t="shared" si="599"/>
        <v>0</v>
      </c>
      <c r="R893" s="510">
        <f t="shared" si="600"/>
        <v>0</v>
      </c>
    </row>
    <row r="894" spans="1:18">
      <c r="A894" s="505"/>
      <c r="B894" s="607" t="s">
        <v>1156</v>
      </c>
      <c r="C894" s="507">
        <v>8</v>
      </c>
      <c r="D894" s="508">
        <v>200</v>
      </c>
      <c r="E894" s="507">
        <v>1</v>
      </c>
      <c r="F894" s="502">
        <v>1</v>
      </c>
      <c r="G894" s="502">
        <v>8</v>
      </c>
      <c r="H894" s="602"/>
      <c r="I894" s="602">
        <f>0.1+1</f>
        <v>1.1000000000000001</v>
      </c>
      <c r="J894" s="235"/>
      <c r="K894" s="509"/>
      <c r="L894" s="510">
        <f>SUM(H894:J894)+K894</f>
        <v>1.1000000000000001</v>
      </c>
      <c r="M894" s="510">
        <f t="shared" si="595"/>
        <v>8.8000000000000007</v>
      </c>
      <c r="N894" s="510">
        <f t="shared" si="596"/>
        <v>0</v>
      </c>
      <c r="O894" s="510">
        <f t="shared" si="597"/>
        <v>0</v>
      </c>
      <c r="P894" s="510">
        <f t="shared" si="598"/>
        <v>0</v>
      </c>
      <c r="Q894" s="510">
        <f t="shared" si="599"/>
        <v>0</v>
      </c>
      <c r="R894" s="510">
        <f t="shared" si="600"/>
        <v>0</v>
      </c>
    </row>
    <row r="895" spans="1:18">
      <c r="A895" s="505"/>
      <c r="B895" s="607" t="s">
        <v>1156</v>
      </c>
      <c r="C895" s="507">
        <v>8</v>
      </c>
      <c r="D895" s="508">
        <v>200</v>
      </c>
      <c r="E895" s="507">
        <v>1</v>
      </c>
      <c r="F895" s="502">
        <v>1</v>
      </c>
      <c r="G895" s="502">
        <v>7</v>
      </c>
      <c r="H895" s="602"/>
      <c r="I895" s="602">
        <f>0.1+0.5</f>
        <v>0.6</v>
      </c>
      <c r="J895" s="235"/>
      <c r="K895" s="509"/>
      <c r="L895" s="510">
        <f t="shared" ref="L895" si="602">SUM(H895:J895)+K895</f>
        <v>0.6</v>
      </c>
      <c r="M895" s="510">
        <f t="shared" si="595"/>
        <v>4.2</v>
      </c>
      <c r="N895" s="510">
        <f t="shared" si="596"/>
        <v>0</v>
      </c>
      <c r="O895" s="510">
        <f t="shared" si="597"/>
        <v>0</v>
      </c>
      <c r="P895" s="510">
        <f t="shared" si="598"/>
        <v>0</v>
      </c>
      <c r="Q895" s="510">
        <f t="shared" si="599"/>
        <v>0</v>
      </c>
      <c r="R895" s="510">
        <f t="shared" si="600"/>
        <v>0</v>
      </c>
    </row>
    <row r="896" spans="1:18">
      <c r="A896" s="505"/>
      <c r="B896" s="607" t="s">
        <v>1156</v>
      </c>
      <c r="C896" s="507">
        <v>8</v>
      </c>
      <c r="D896" s="508">
        <v>200</v>
      </c>
      <c r="E896" s="507">
        <v>1</v>
      </c>
      <c r="F896" s="502">
        <v>1</v>
      </c>
      <c r="G896" s="502">
        <v>9</v>
      </c>
      <c r="H896" s="602"/>
      <c r="I896" s="602">
        <f>0.1+1</f>
        <v>1.1000000000000001</v>
      </c>
      <c r="J896" s="235"/>
      <c r="K896" s="509"/>
      <c r="L896" s="510">
        <f>SUM(H896:J896)+K896</f>
        <v>1.1000000000000001</v>
      </c>
      <c r="M896" s="510">
        <f t="shared" si="595"/>
        <v>9.9</v>
      </c>
      <c r="N896" s="510">
        <f t="shared" si="596"/>
        <v>0</v>
      </c>
      <c r="O896" s="510">
        <f t="shared" si="597"/>
        <v>0</v>
      </c>
      <c r="P896" s="510">
        <f t="shared" si="598"/>
        <v>0</v>
      </c>
      <c r="Q896" s="510">
        <f t="shared" si="599"/>
        <v>0</v>
      </c>
      <c r="R896" s="510">
        <f t="shared" si="600"/>
        <v>0</v>
      </c>
    </row>
    <row r="897" spans="1:18">
      <c r="A897" s="505"/>
      <c r="B897" s="607" t="s">
        <v>1156</v>
      </c>
      <c r="C897" s="507">
        <v>8</v>
      </c>
      <c r="D897" s="508">
        <v>200</v>
      </c>
      <c r="E897" s="507">
        <v>1</v>
      </c>
      <c r="F897" s="502">
        <v>1</v>
      </c>
      <c r="G897" s="502">
        <f>+ROUND(2.925/(D897/1000)+1,0)/2</f>
        <v>8</v>
      </c>
      <c r="H897" s="602"/>
      <c r="I897" s="602">
        <f>0.1+0.5</f>
        <v>0.6</v>
      </c>
      <c r="J897" s="235"/>
      <c r="K897" s="509"/>
      <c r="L897" s="510">
        <f t="shared" ref="L897:L900" si="603">SUM(H897:J897)+K897</f>
        <v>0.6</v>
      </c>
      <c r="M897" s="510">
        <f t="shared" si="595"/>
        <v>4.8</v>
      </c>
      <c r="N897" s="510">
        <f t="shared" si="596"/>
        <v>0</v>
      </c>
      <c r="O897" s="510">
        <f t="shared" si="597"/>
        <v>0</v>
      </c>
      <c r="P897" s="510">
        <f t="shared" si="598"/>
        <v>0</v>
      </c>
      <c r="Q897" s="510">
        <f t="shared" si="599"/>
        <v>0</v>
      </c>
      <c r="R897" s="510">
        <f t="shared" si="600"/>
        <v>0</v>
      </c>
    </row>
    <row r="898" spans="1:18">
      <c r="A898" s="505"/>
      <c r="B898" s="607" t="s">
        <v>1159</v>
      </c>
      <c r="C898" s="507">
        <v>8</v>
      </c>
      <c r="D898" s="508">
        <v>200</v>
      </c>
      <c r="E898" s="507">
        <v>1</v>
      </c>
      <c r="F898" s="502">
        <v>1</v>
      </c>
      <c r="G898" s="502">
        <f>+ROUND(0.55/(D898/1000)+1,0)</f>
        <v>4</v>
      </c>
      <c r="H898" s="602">
        <v>0.2</v>
      </c>
      <c r="I898" s="602">
        <v>2.9249999999999998</v>
      </c>
      <c r="J898" s="235"/>
      <c r="K898" s="509"/>
      <c r="L898" s="510">
        <f t="shared" si="603"/>
        <v>3.125</v>
      </c>
      <c r="M898" s="510">
        <f t="shared" si="595"/>
        <v>12.5</v>
      </c>
      <c r="N898" s="510">
        <f t="shared" si="596"/>
        <v>0</v>
      </c>
      <c r="O898" s="510">
        <f t="shared" si="597"/>
        <v>0</v>
      </c>
      <c r="P898" s="510">
        <f t="shared" si="598"/>
        <v>0</v>
      </c>
      <c r="Q898" s="510">
        <f t="shared" si="599"/>
        <v>0</v>
      </c>
      <c r="R898" s="510">
        <f t="shared" si="600"/>
        <v>0</v>
      </c>
    </row>
    <row r="899" spans="1:18">
      <c r="A899" s="505"/>
      <c r="B899" s="607" t="s">
        <v>1159</v>
      </c>
      <c r="C899" s="507">
        <v>8</v>
      </c>
      <c r="D899" s="508">
        <v>200</v>
      </c>
      <c r="E899" s="507">
        <v>1</v>
      </c>
      <c r="F899" s="502">
        <v>1</v>
      </c>
      <c r="G899" s="502">
        <f>+ROUND(1/(D899/1000)+1,0)</f>
        <v>6</v>
      </c>
      <c r="H899" s="602">
        <v>0.2</v>
      </c>
      <c r="I899" s="602">
        <v>3.25</v>
      </c>
      <c r="J899" s="235"/>
      <c r="K899" s="509"/>
      <c r="L899" s="510">
        <f t="shared" si="603"/>
        <v>3.45</v>
      </c>
      <c r="M899" s="510">
        <f t="shared" si="595"/>
        <v>20.7</v>
      </c>
      <c r="N899" s="510">
        <f t="shared" si="596"/>
        <v>0</v>
      </c>
      <c r="O899" s="510">
        <f t="shared" si="597"/>
        <v>0</v>
      </c>
      <c r="P899" s="510">
        <f t="shared" si="598"/>
        <v>0</v>
      </c>
      <c r="Q899" s="510">
        <f t="shared" si="599"/>
        <v>0</v>
      </c>
      <c r="R899" s="510">
        <f t="shared" si="600"/>
        <v>0</v>
      </c>
    </row>
    <row r="900" spans="1:18">
      <c r="A900" s="505"/>
      <c r="B900" s="607" t="s">
        <v>1159</v>
      </c>
      <c r="C900" s="507">
        <v>8</v>
      </c>
      <c r="D900" s="508">
        <v>200</v>
      </c>
      <c r="E900" s="507">
        <v>1</v>
      </c>
      <c r="F900" s="502">
        <v>1</v>
      </c>
      <c r="G900" s="502">
        <f>+ROUND(1/(D900/1000)+1,0)</f>
        <v>6</v>
      </c>
      <c r="H900" s="602">
        <v>0.2</v>
      </c>
      <c r="I900" s="602">
        <v>3.25</v>
      </c>
      <c r="J900" s="235"/>
      <c r="K900" s="509"/>
      <c r="L900" s="510">
        <f t="shared" si="603"/>
        <v>3.45</v>
      </c>
      <c r="M900" s="510">
        <f t="shared" si="595"/>
        <v>20.7</v>
      </c>
      <c r="N900" s="510">
        <f t="shared" si="596"/>
        <v>0</v>
      </c>
      <c r="O900" s="510">
        <f t="shared" si="597"/>
        <v>0</v>
      </c>
      <c r="P900" s="510">
        <f t="shared" si="598"/>
        <v>0</v>
      </c>
      <c r="Q900" s="510">
        <f t="shared" si="599"/>
        <v>0</v>
      </c>
      <c r="R900" s="510">
        <f t="shared" si="600"/>
        <v>0</v>
      </c>
    </row>
    <row r="901" spans="1:18">
      <c r="A901" s="505"/>
      <c r="B901" s="511"/>
      <c r="C901" s="507"/>
      <c r="D901" s="508"/>
      <c r="E901" s="507"/>
      <c r="F901" s="502"/>
      <c r="G901" s="502"/>
      <c r="H901" s="602"/>
      <c r="I901" s="602"/>
      <c r="J901" s="235"/>
      <c r="K901" s="509"/>
      <c r="L901" s="510"/>
      <c r="M901" s="510"/>
      <c r="N901" s="510"/>
      <c r="O901" s="510"/>
      <c r="P901" s="510"/>
      <c r="Q901" s="510"/>
      <c r="R901" s="510"/>
    </row>
    <row r="902" spans="1:18">
      <c r="A902" s="505"/>
      <c r="B902" s="506" t="s">
        <v>1187</v>
      </c>
      <c r="C902" s="507"/>
      <c r="D902" s="508"/>
      <c r="E902" s="507"/>
      <c r="F902" s="502"/>
      <c r="G902" s="502"/>
      <c r="H902" s="602"/>
      <c r="I902" s="602"/>
      <c r="J902" s="235"/>
      <c r="K902" s="509"/>
      <c r="L902" s="510"/>
      <c r="M902" s="510">
        <f t="shared" ref="M902:M913" si="604">+ROUND(IF(C902=8,PRODUCT(E902,F902,G902,L902),0),2)</f>
        <v>0</v>
      </c>
      <c r="N902" s="510">
        <f t="shared" ref="N902:N913" si="605">+ROUND(IF(C902=10,PRODUCT(E902,F902,G902,L902),0),2)</f>
        <v>0</v>
      </c>
      <c r="O902" s="510">
        <f t="shared" ref="O902:O913" si="606">+ROUND(IF(C902=12,PRODUCT(E902,F902,G902,L902),0),2)</f>
        <v>0</v>
      </c>
      <c r="P902" s="510">
        <f t="shared" ref="P902:P913" si="607">+ROUND(IF(C902=16,PRODUCT(E902,F902,G902,L902),0),2)</f>
        <v>0</v>
      </c>
      <c r="Q902" s="510">
        <f t="shared" ref="Q902:Q913" si="608">+ROUND(IF(C902=20,PRODUCT(E902,F902,G902,L902),0),2)</f>
        <v>0</v>
      </c>
      <c r="R902" s="510">
        <f t="shared" ref="R902:R913" si="609">+ROUND(IF(C902=25,PRODUCT(E902,F902,G902,L902),0),2)</f>
        <v>0</v>
      </c>
    </row>
    <row r="903" spans="1:18">
      <c r="A903" s="505"/>
      <c r="B903" s="607" t="s">
        <v>1170</v>
      </c>
      <c r="C903" s="507">
        <v>8</v>
      </c>
      <c r="D903" s="508">
        <v>200</v>
      </c>
      <c r="E903" s="507">
        <v>1</v>
      </c>
      <c r="F903" s="502">
        <v>1</v>
      </c>
      <c r="G903" s="502">
        <v>15</v>
      </c>
      <c r="H903" s="602"/>
      <c r="I903" s="602">
        <f>0.175+1.7+0.175</f>
        <v>2.0499999999999998</v>
      </c>
      <c r="J903" s="235"/>
      <c r="K903" s="589"/>
      <c r="L903" s="510">
        <f>SUM(H903:J903)+K903</f>
        <v>2.0499999999999998</v>
      </c>
      <c r="M903" s="510">
        <f t="shared" si="604"/>
        <v>30.75</v>
      </c>
      <c r="N903" s="510">
        <f t="shared" si="605"/>
        <v>0</v>
      </c>
      <c r="O903" s="510">
        <f t="shared" si="606"/>
        <v>0</v>
      </c>
      <c r="P903" s="510">
        <f t="shared" si="607"/>
        <v>0</v>
      </c>
      <c r="Q903" s="510">
        <f t="shared" si="608"/>
        <v>0</v>
      </c>
      <c r="R903" s="510">
        <f t="shared" si="609"/>
        <v>0</v>
      </c>
    </row>
    <row r="904" spans="1:18">
      <c r="A904" s="505"/>
      <c r="B904" s="607" t="s">
        <v>1155</v>
      </c>
      <c r="C904" s="507">
        <v>8</v>
      </c>
      <c r="D904" s="508">
        <v>200</v>
      </c>
      <c r="E904" s="507">
        <v>1</v>
      </c>
      <c r="F904" s="502">
        <v>1</v>
      </c>
      <c r="G904" s="502">
        <f>+ROUND(1.7/(D904/1000)+1,0)</f>
        <v>10</v>
      </c>
      <c r="H904" s="602"/>
      <c r="I904" s="602">
        <f>0.175+2.925+0.175</f>
        <v>3.2749999999999995</v>
      </c>
      <c r="J904" s="235"/>
      <c r="K904" s="589"/>
      <c r="L904" s="510">
        <f>SUM(H904:J904)+K904</f>
        <v>3.2749999999999995</v>
      </c>
      <c r="M904" s="510">
        <f t="shared" si="604"/>
        <v>32.75</v>
      </c>
      <c r="N904" s="510">
        <f t="shared" si="605"/>
        <v>0</v>
      </c>
      <c r="O904" s="510">
        <f t="shared" si="606"/>
        <v>0</v>
      </c>
      <c r="P904" s="510">
        <f t="shared" si="607"/>
        <v>0</v>
      </c>
      <c r="Q904" s="510">
        <f t="shared" si="608"/>
        <v>0</v>
      </c>
      <c r="R904" s="510">
        <f t="shared" si="609"/>
        <v>0</v>
      </c>
    </row>
    <row r="905" spans="1:18">
      <c r="A905" s="505"/>
      <c r="B905" s="607" t="s">
        <v>1156</v>
      </c>
      <c r="C905" s="507">
        <v>8</v>
      </c>
      <c r="D905" s="508">
        <v>200</v>
      </c>
      <c r="E905" s="507">
        <v>1</v>
      </c>
      <c r="F905" s="502">
        <v>1</v>
      </c>
      <c r="G905" s="502">
        <v>15</v>
      </c>
      <c r="H905" s="602"/>
      <c r="I905" s="602">
        <f>0.1+0.6</f>
        <v>0.7</v>
      </c>
      <c r="J905" s="235"/>
      <c r="K905" s="509"/>
      <c r="L905" s="510">
        <f t="shared" ref="L905" si="610">SUM(H905:J905)+K905</f>
        <v>0.7</v>
      </c>
      <c r="M905" s="510">
        <f t="shared" si="604"/>
        <v>10.5</v>
      </c>
      <c r="N905" s="510">
        <f t="shared" si="605"/>
        <v>0</v>
      </c>
      <c r="O905" s="510">
        <f t="shared" si="606"/>
        <v>0</v>
      </c>
      <c r="P905" s="510">
        <f t="shared" si="607"/>
        <v>0</v>
      </c>
      <c r="Q905" s="510">
        <f t="shared" si="608"/>
        <v>0</v>
      </c>
      <c r="R905" s="510">
        <f t="shared" si="609"/>
        <v>0</v>
      </c>
    </row>
    <row r="906" spans="1:18">
      <c r="A906" s="505"/>
      <c r="B906" s="607" t="s">
        <v>1156</v>
      </c>
      <c r="C906" s="507">
        <v>8</v>
      </c>
      <c r="D906" s="508">
        <v>200</v>
      </c>
      <c r="E906" s="507">
        <v>1</v>
      </c>
      <c r="F906" s="502">
        <v>1</v>
      </c>
      <c r="G906" s="502">
        <v>15</v>
      </c>
      <c r="H906" s="602">
        <v>0.1</v>
      </c>
      <c r="I906" s="602">
        <f>0.175+0.5</f>
        <v>0.67500000000000004</v>
      </c>
      <c r="J906" s="235"/>
      <c r="K906" s="509"/>
      <c r="L906" s="510">
        <f>SUM(H906:J906)+K906</f>
        <v>0.77500000000000002</v>
      </c>
      <c r="M906" s="510">
        <f t="shared" si="604"/>
        <v>11.63</v>
      </c>
      <c r="N906" s="510">
        <f t="shared" si="605"/>
        <v>0</v>
      </c>
      <c r="O906" s="510">
        <f t="shared" si="606"/>
        <v>0</v>
      </c>
      <c r="P906" s="510">
        <f t="shared" si="607"/>
        <v>0</v>
      </c>
      <c r="Q906" s="510">
        <f t="shared" si="608"/>
        <v>0</v>
      </c>
      <c r="R906" s="510">
        <f t="shared" si="609"/>
        <v>0</v>
      </c>
    </row>
    <row r="907" spans="1:18">
      <c r="A907" s="505"/>
      <c r="B907" s="607" t="s">
        <v>1156</v>
      </c>
      <c r="C907" s="507">
        <v>8</v>
      </c>
      <c r="D907" s="508">
        <v>200</v>
      </c>
      <c r="E907" s="507">
        <v>1</v>
      </c>
      <c r="F907" s="502">
        <v>1</v>
      </c>
      <c r="G907" s="502">
        <f>+ROUND(1.7/(D907/1000)+1,0)/2</f>
        <v>5</v>
      </c>
      <c r="H907" s="602"/>
      <c r="I907" s="602">
        <f>0.1+1</f>
        <v>1.1000000000000001</v>
      </c>
      <c r="J907" s="235"/>
      <c r="K907" s="509"/>
      <c r="L907" s="510">
        <f t="shared" ref="L907:L913" si="611">SUM(H907:J907)+K907</f>
        <v>1.1000000000000001</v>
      </c>
      <c r="M907" s="510">
        <f t="shared" si="604"/>
        <v>5.5</v>
      </c>
      <c r="N907" s="510">
        <f t="shared" si="605"/>
        <v>0</v>
      </c>
      <c r="O907" s="510">
        <f t="shared" si="606"/>
        <v>0</v>
      </c>
      <c r="P907" s="510">
        <f t="shared" si="607"/>
        <v>0</v>
      </c>
      <c r="Q907" s="510">
        <f t="shared" si="608"/>
        <v>0</v>
      </c>
      <c r="R907" s="510">
        <f t="shared" si="609"/>
        <v>0</v>
      </c>
    </row>
    <row r="908" spans="1:18">
      <c r="A908" s="505"/>
      <c r="B908" s="607" t="s">
        <v>1156</v>
      </c>
      <c r="C908" s="507">
        <v>8</v>
      </c>
      <c r="D908" s="508">
        <v>200</v>
      </c>
      <c r="E908" s="507">
        <v>1</v>
      </c>
      <c r="F908" s="502">
        <v>1</v>
      </c>
      <c r="G908" s="502">
        <v>4</v>
      </c>
      <c r="H908" s="602"/>
      <c r="I908" s="602">
        <f>0.1+0.5</f>
        <v>0.6</v>
      </c>
      <c r="J908" s="235"/>
      <c r="K908" s="509"/>
      <c r="L908" s="510">
        <f t="shared" si="611"/>
        <v>0.6</v>
      </c>
      <c r="M908" s="510">
        <f t="shared" si="604"/>
        <v>2.4</v>
      </c>
      <c r="N908" s="510">
        <f t="shared" si="605"/>
        <v>0</v>
      </c>
      <c r="O908" s="510">
        <f t="shared" si="606"/>
        <v>0</v>
      </c>
      <c r="P908" s="510">
        <f t="shared" si="607"/>
        <v>0</v>
      </c>
      <c r="Q908" s="510">
        <f t="shared" si="608"/>
        <v>0</v>
      </c>
      <c r="R908" s="510">
        <f t="shared" si="609"/>
        <v>0</v>
      </c>
    </row>
    <row r="909" spans="1:18">
      <c r="A909" s="505"/>
      <c r="B909" s="607" t="s">
        <v>1168</v>
      </c>
      <c r="C909" s="507">
        <v>8</v>
      </c>
      <c r="D909" s="508">
        <v>150</v>
      </c>
      <c r="E909" s="507">
        <v>1</v>
      </c>
      <c r="F909" s="502">
        <v>1</v>
      </c>
      <c r="G909" s="502">
        <v>9</v>
      </c>
      <c r="H909" s="602">
        <v>0.1</v>
      </c>
      <c r="I909" s="602">
        <v>0.67500000000000004</v>
      </c>
      <c r="J909" s="235"/>
      <c r="K909" s="509"/>
      <c r="L909" s="510">
        <f t="shared" si="611"/>
        <v>0.77500000000000002</v>
      </c>
      <c r="M909" s="510">
        <f t="shared" si="604"/>
        <v>6.98</v>
      </c>
      <c r="N909" s="510">
        <f t="shared" si="605"/>
        <v>0</v>
      </c>
      <c r="O909" s="510">
        <f t="shared" si="606"/>
        <v>0</v>
      </c>
      <c r="P909" s="510">
        <f t="shared" si="607"/>
        <v>0</v>
      </c>
      <c r="Q909" s="510">
        <f t="shared" si="608"/>
        <v>0</v>
      </c>
      <c r="R909" s="510">
        <f t="shared" si="609"/>
        <v>0</v>
      </c>
    </row>
    <row r="910" spans="1:18">
      <c r="A910" s="505"/>
      <c r="B910" s="607" t="s">
        <v>1159</v>
      </c>
      <c r="C910" s="507">
        <v>8</v>
      </c>
      <c r="D910" s="508">
        <v>200</v>
      </c>
      <c r="E910" s="507">
        <v>1</v>
      </c>
      <c r="F910" s="502">
        <v>1</v>
      </c>
      <c r="G910" s="502">
        <f>+ROUND(0.6/(D910/1000)+1,0)</f>
        <v>4</v>
      </c>
      <c r="H910" s="602">
        <v>0.2</v>
      </c>
      <c r="I910" s="602">
        <v>2.9249999999999998</v>
      </c>
      <c r="J910" s="235"/>
      <c r="K910" s="509"/>
      <c r="L910" s="510">
        <f t="shared" si="611"/>
        <v>3.125</v>
      </c>
      <c r="M910" s="510">
        <f t="shared" si="604"/>
        <v>12.5</v>
      </c>
      <c r="N910" s="510">
        <f t="shared" si="605"/>
        <v>0</v>
      </c>
      <c r="O910" s="510">
        <f t="shared" si="606"/>
        <v>0</v>
      </c>
      <c r="P910" s="510">
        <f t="shared" si="607"/>
        <v>0</v>
      </c>
      <c r="Q910" s="510">
        <f t="shared" si="608"/>
        <v>0</v>
      </c>
      <c r="R910" s="510">
        <f t="shared" si="609"/>
        <v>0</v>
      </c>
    </row>
    <row r="911" spans="1:18">
      <c r="A911" s="505"/>
      <c r="B911" s="607" t="s">
        <v>1159</v>
      </c>
      <c r="C911" s="507">
        <v>8</v>
      </c>
      <c r="D911" s="508">
        <v>200</v>
      </c>
      <c r="E911" s="507">
        <v>1</v>
      </c>
      <c r="F911" s="502">
        <v>1</v>
      </c>
      <c r="G911" s="502">
        <f>+ROUND(0.5/(D911/1000)+1,0)</f>
        <v>4</v>
      </c>
      <c r="H911" s="602">
        <v>0.2</v>
      </c>
      <c r="I911" s="602">
        <v>2.9249999999999998</v>
      </c>
      <c r="J911" s="235"/>
      <c r="K911" s="509"/>
      <c r="L911" s="510">
        <f t="shared" si="611"/>
        <v>3.125</v>
      </c>
      <c r="M911" s="510">
        <f t="shared" si="604"/>
        <v>12.5</v>
      </c>
      <c r="N911" s="510">
        <f t="shared" si="605"/>
        <v>0</v>
      </c>
      <c r="O911" s="510">
        <f t="shared" si="606"/>
        <v>0</v>
      </c>
      <c r="P911" s="510">
        <f t="shared" si="607"/>
        <v>0</v>
      </c>
      <c r="Q911" s="510">
        <f t="shared" si="608"/>
        <v>0</v>
      </c>
      <c r="R911" s="510">
        <f t="shared" si="609"/>
        <v>0</v>
      </c>
    </row>
    <row r="912" spans="1:18">
      <c r="A912" s="505"/>
      <c r="B912" s="607" t="s">
        <v>1159</v>
      </c>
      <c r="C912" s="507">
        <v>8</v>
      </c>
      <c r="D912" s="508">
        <v>200</v>
      </c>
      <c r="E912" s="507">
        <v>1</v>
      </c>
      <c r="F912" s="502">
        <v>1</v>
      </c>
      <c r="G912" s="502">
        <f>+ROUND(1/(D912/1000)+1,0)</f>
        <v>6</v>
      </c>
      <c r="H912" s="602">
        <v>0.2</v>
      </c>
      <c r="I912" s="602">
        <v>1.7</v>
      </c>
      <c r="J912" s="235"/>
      <c r="K912" s="509"/>
      <c r="L912" s="510">
        <f t="shared" si="611"/>
        <v>1.9</v>
      </c>
      <c r="M912" s="510">
        <f t="shared" si="604"/>
        <v>11.4</v>
      </c>
      <c r="N912" s="510">
        <f t="shared" si="605"/>
        <v>0</v>
      </c>
      <c r="O912" s="510">
        <f t="shared" si="606"/>
        <v>0</v>
      </c>
      <c r="P912" s="510">
        <f t="shared" si="607"/>
        <v>0</v>
      </c>
      <c r="Q912" s="510">
        <f t="shared" si="608"/>
        <v>0</v>
      </c>
      <c r="R912" s="510">
        <f t="shared" si="609"/>
        <v>0</v>
      </c>
    </row>
    <row r="913" spans="1:18">
      <c r="A913" s="505"/>
      <c r="B913" s="607" t="s">
        <v>1159</v>
      </c>
      <c r="C913" s="507">
        <v>8</v>
      </c>
      <c r="D913" s="508">
        <v>200</v>
      </c>
      <c r="E913" s="507">
        <v>1</v>
      </c>
      <c r="F913" s="502">
        <v>1</v>
      </c>
      <c r="G913" s="502">
        <f>+ROUND(1/(D913/1000)+1,0)</f>
        <v>6</v>
      </c>
      <c r="H913" s="602">
        <v>0.2</v>
      </c>
      <c r="I913" s="602">
        <v>1.7</v>
      </c>
      <c r="J913" s="235"/>
      <c r="K913" s="509"/>
      <c r="L913" s="510">
        <f t="shared" si="611"/>
        <v>1.9</v>
      </c>
      <c r="M913" s="510">
        <f t="shared" si="604"/>
        <v>11.4</v>
      </c>
      <c r="N913" s="510">
        <f t="shared" si="605"/>
        <v>0</v>
      </c>
      <c r="O913" s="510">
        <f t="shared" si="606"/>
        <v>0</v>
      </c>
      <c r="P913" s="510">
        <f t="shared" si="607"/>
        <v>0</v>
      </c>
      <c r="Q913" s="510">
        <f t="shared" si="608"/>
        <v>0</v>
      </c>
      <c r="R913" s="510">
        <f t="shared" si="609"/>
        <v>0</v>
      </c>
    </row>
    <row r="914" spans="1:18">
      <c r="A914" s="505"/>
      <c r="B914" s="608"/>
      <c r="C914" s="507"/>
      <c r="D914" s="508"/>
      <c r="E914" s="507"/>
      <c r="F914" s="502"/>
      <c r="G914" s="502"/>
      <c r="H914" s="602"/>
      <c r="I914" s="602"/>
      <c r="J914" s="235"/>
      <c r="K914" s="509"/>
      <c r="L914" s="510"/>
      <c r="M914" s="510"/>
      <c r="N914" s="510"/>
      <c r="O914" s="510"/>
      <c r="P914" s="510"/>
      <c r="Q914" s="510"/>
      <c r="R914" s="510"/>
    </row>
    <row r="915" spans="1:18">
      <c r="A915" s="505"/>
      <c r="B915" s="506" t="s">
        <v>1188</v>
      </c>
      <c r="C915" s="507"/>
      <c r="D915" s="508"/>
      <c r="E915" s="507"/>
      <c r="F915" s="502"/>
      <c r="G915" s="502"/>
      <c r="H915" s="602"/>
      <c r="I915" s="602"/>
      <c r="J915" s="235"/>
      <c r="K915" s="509"/>
      <c r="L915" s="510"/>
      <c r="M915" s="510">
        <f t="shared" ref="M915:M926" si="612">+ROUND(IF(C915=8,PRODUCT(E915,F915,G915,L915),0),2)</f>
        <v>0</v>
      </c>
      <c r="N915" s="510">
        <f t="shared" ref="N915:N926" si="613">+ROUND(IF(C915=10,PRODUCT(E915,F915,G915,L915),0),2)</f>
        <v>0</v>
      </c>
      <c r="O915" s="510">
        <f t="shared" ref="O915:O926" si="614">+ROUND(IF(C915=12,PRODUCT(E915,F915,G915,L915),0),2)</f>
        <v>0</v>
      </c>
      <c r="P915" s="510">
        <f t="shared" ref="P915:P926" si="615">+ROUND(IF(C915=16,PRODUCT(E915,F915,G915,L915),0),2)</f>
        <v>0</v>
      </c>
      <c r="Q915" s="510">
        <f t="shared" ref="Q915:Q926" si="616">+ROUND(IF(C915=20,PRODUCT(E915,F915,G915,L915),0),2)</f>
        <v>0</v>
      </c>
      <c r="R915" s="510">
        <f t="shared" ref="R915:R926" si="617">+ROUND(IF(C915=25,PRODUCT(E915,F915,G915,L915),0),2)</f>
        <v>0</v>
      </c>
    </row>
    <row r="916" spans="1:18">
      <c r="A916" s="505"/>
      <c r="B916" s="607" t="s">
        <v>1154</v>
      </c>
      <c r="C916" s="507">
        <v>8</v>
      </c>
      <c r="D916" s="508">
        <v>200</v>
      </c>
      <c r="E916" s="507">
        <v>1</v>
      </c>
      <c r="F916" s="502">
        <v>1</v>
      </c>
      <c r="G916" s="502">
        <f>+ROUND(3.385/(D916/1000)+1,0)</f>
        <v>18</v>
      </c>
      <c r="H916" s="602"/>
      <c r="I916" s="602">
        <f>0.175+1.425+0.175</f>
        <v>1.7750000000000001</v>
      </c>
      <c r="J916" s="235"/>
      <c r="K916" s="509"/>
      <c r="L916" s="510">
        <f t="shared" ref="L916" si="618">SUM(H916:J916)+K916</f>
        <v>1.7750000000000001</v>
      </c>
      <c r="M916" s="510">
        <f t="shared" si="612"/>
        <v>31.95</v>
      </c>
      <c r="N916" s="510">
        <f t="shared" si="613"/>
        <v>0</v>
      </c>
      <c r="O916" s="510">
        <f t="shared" si="614"/>
        <v>0</v>
      </c>
      <c r="P916" s="510">
        <f t="shared" si="615"/>
        <v>0</v>
      </c>
      <c r="Q916" s="510">
        <f t="shared" si="616"/>
        <v>0</v>
      </c>
      <c r="R916" s="510">
        <f t="shared" si="617"/>
        <v>0</v>
      </c>
    </row>
    <row r="917" spans="1:18">
      <c r="A917" s="505"/>
      <c r="B917" s="607" t="s">
        <v>1155</v>
      </c>
      <c r="C917" s="507">
        <v>8</v>
      </c>
      <c r="D917" s="508">
        <v>200</v>
      </c>
      <c r="E917" s="507">
        <v>1</v>
      </c>
      <c r="F917" s="502">
        <v>1</v>
      </c>
      <c r="G917" s="502">
        <f>+ROUND(1.425/(D917/1000)+1,0)</f>
        <v>8</v>
      </c>
      <c r="H917" s="602"/>
      <c r="I917" s="602">
        <f>0.175+3.385+0.175</f>
        <v>3.7349999999999994</v>
      </c>
      <c r="J917" s="235"/>
      <c r="K917" s="589"/>
      <c r="L917" s="510">
        <f>SUM(H917:J917)+K917</f>
        <v>3.7349999999999994</v>
      </c>
      <c r="M917" s="510">
        <f t="shared" si="612"/>
        <v>29.88</v>
      </c>
      <c r="N917" s="510">
        <f t="shared" si="613"/>
        <v>0</v>
      </c>
      <c r="O917" s="510">
        <f t="shared" si="614"/>
        <v>0</v>
      </c>
      <c r="P917" s="510">
        <f t="shared" si="615"/>
        <v>0</v>
      </c>
      <c r="Q917" s="510">
        <f t="shared" si="616"/>
        <v>0</v>
      </c>
      <c r="R917" s="510">
        <f t="shared" si="617"/>
        <v>0</v>
      </c>
    </row>
    <row r="918" spans="1:18">
      <c r="A918" s="505"/>
      <c r="B918" s="607" t="s">
        <v>1156</v>
      </c>
      <c r="C918" s="507">
        <v>8</v>
      </c>
      <c r="D918" s="508">
        <v>200</v>
      </c>
      <c r="E918" s="507">
        <v>1</v>
      </c>
      <c r="F918" s="502">
        <v>1</v>
      </c>
      <c r="G918" s="502">
        <f>+ROUND(2.16/(D918/1000)+1,0)</f>
        <v>12</v>
      </c>
      <c r="H918" s="602">
        <v>0.1</v>
      </c>
      <c r="I918" s="602">
        <f>0.6+0.175</f>
        <v>0.77499999999999991</v>
      </c>
      <c r="J918" s="235"/>
      <c r="K918" s="509"/>
      <c r="L918" s="510">
        <f>SUM(H918:J918)+K918</f>
        <v>0.87499999999999989</v>
      </c>
      <c r="M918" s="510">
        <f t="shared" si="612"/>
        <v>10.5</v>
      </c>
      <c r="N918" s="510">
        <f t="shared" si="613"/>
        <v>0</v>
      </c>
      <c r="O918" s="510">
        <f t="shared" si="614"/>
        <v>0</v>
      </c>
      <c r="P918" s="510">
        <f t="shared" si="615"/>
        <v>0</v>
      </c>
      <c r="Q918" s="510">
        <f t="shared" si="616"/>
        <v>0</v>
      </c>
      <c r="R918" s="510">
        <f t="shared" si="617"/>
        <v>0</v>
      </c>
    </row>
    <row r="919" spans="1:18">
      <c r="A919" s="505"/>
      <c r="B919" s="607" t="s">
        <v>1156</v>
      </c>
      <c r="C919" s="507">
        <v>8</v>
      </c>
      <c r="D919" s="508">
        <v>200</v>
      </c>
      <c r="E919" s="507">
        <v>1</v>
      </c>
      <c r="F919" s="502">
        <v>1</v>
      </c>
      <c r="G919" s="502">
        <f>+ROUND(2.16/(D919/1000)+1,0)</f>
        <v>12</v>
      </c>
      <c r="H919" s="602">
        <v>0.1</v>
      </c>
      <c r="I919" s="602">
        <f>0.45+0.175</f>
        <v>0.625</v>
      </c>
      <c r="J919" s="235"/>
      <c r="K919" s="509"/>
      <c r="L919" s="510">
        <f t="shared" ref="L919:L926" si="619">SUM(H919:J919)+K919</f>
        <v>0.72499999999999998</v>
      </c>
      <c r="M919" s="510">
        <f t="shared" si="612"/>
        <v>8.6999999999999993</v>
      </c>
      <c r="N919" s="510">
        <f t="shared" si="613"/>
        <v>0</v>
      </c>
      <c r="O919" s="510">
        <f t="shared" si="614"/>
        <v>0</v>
      </c>
      <c r="P919" s="510">
        <f t="shared" si="615"/>
        <v>0</v>
      </c>
      <c r="Q919" s="510">
        <f t="shared" si="616"/>
        <v>0</v>
      </c>
      <c r="R919" s="510">
        <f t="shared" si="617"/>
        <v>0</v>
      </c>
    </row>
    <row r="920" spans="1:18">
      <c r="A920" s="505"/>
      <c r="B920" s="607" t="s">
        <v>1156</v>
      </c>
      <c r="C920" s="507">
        <v>8</v>
      </c>
      <c r="D920" s="508">
        <v>200</v>
      </c>
      <c r="E920" s="507">
        <v>1</v>
      </c>
      <c r="F920" s="502">
        <v>1</v>
      </c>
      <c r="G920" s="502">
        <f>+ROUND(1.425/(D920/1000)+1,0)</f>
        <v>8</v>
      </c>
      <c r="H920" s="602">
        <v>0.1</v>
      </c>
      <c r="I920" s="602">
        <f>0.45+0.175</f>
        <v>0.625</v>
      </c>
      <c r="J920" s="235"/>
      <c r="K920" s="509"/>
      <c r="L920" s="510">
        <f t="shared" si="619"/>
        <v>0.72499999999999998</v>
      </c>
      <c r="M920" s="510">
        <f t="shared" si="612"/>
        <v>5.8</v>
      </c>
      <c r="N920" s="510">
        <f t="shared" si="613"/>
        <v>0</v>
      </c>
      <c r="O920" s="510">
        <f t="shared" si="614"/>
        <v>0</v>
      </c>
      <c r="P920" s="510">
        <f t="shared" si="615"/>
        <v>0</v>
      </c>
      <c r="Q920" s="510">
        <f t="shared" si="616"/>
        <v>0</v>
      </c>
      <c r="R920" s="510">
        <f t="shared" si="617"/>
        <v>0</v>
      </c>
    </row>
    <row r="921" spans="1:18">
      <c r="A921" s="505"/>
      <c r="B921" s="607" t="s">
        <v>1168</v>
      </c>
      <c r="C921" s="507">
        <v>8</v>
      </c>
      <c r="D921" s="508">
        <v>150</v>
      </c>
      <c r="E921" s="507">
        <v>1</v>
      </c>
      <c r="F921" s="502">
        <v>1</v>
      </c>
      <c r="G921" s="502">
        <f>+ROUND(1.1/(D921/1000)+1,0)</f>
        <v>8</v>
      </c>
      <c r="H921" s="602"/>
      <c r="I921" s="602">
        <f>0.1+1.425+0.1</f>
        <v>1.6250000000000002</v>
      </c>
      <c r="J921" s="235"/>
      <c r="K921" s="509"/>
      <c r="L921" s="510">
        <f t="shared" si="619"/>
        <v>1.6250000000000002</v>
      </c>
      <c r="M921" s="510">
        <f t="shared" si="612"/>
        <v>13</v>
      </c>
      <c r="N921" s="510">
        <f t="shared" si="613"/>
        <v>0</v>
      </c>
      <c r="O921" s="510">
        <f t="shared" si="614"/>
        <v>0</v>
      </c>
      <c r="P921" s="510">
        <f t="shared" si="615"/>
        <v>0</v>
      </c>
      <c r="Q921" s="510">
        <f t="shared" si="616"/>
        <v>0</v>
      </c>
      <c r="R921" s="510">
        <f t="shared" si="617"/>
        <v>0</v>
      </c>
    </row>
    <row r="922" spans="1:18">
      <c r="A922" s="505"/>
      <c r="B922" s="607" t="s">
        <v>1156</v>
      </c>
      <c r="C922" s="507">
        <v>8</v>
      </c>
      <c r="D922" s="508">
        <v>200</v>
      </c>
      <c r="E922" s="507">
        <v>1</v>
      </c>
      <c r="F922" s="502">
        <v>1</v>
      </c>
      <c r="G922" s="502">
        <f>+ROUND(1.425/(D922/1000)+1,0)</f>
        <v>8</v>
      </c>
      <c r="H922" s="602"/>
      <c r="I922" s="602">
        <f>0.1+0.6</f>
        <v>0.7</v>
      </c>
      <c r="J922" s="235"/>
      <c r="K922" s="509"/>
      <c r="L922" s="510">
        <f t="shared" si="619"/>
        <v>0.7</v>
      </c>
      <c r="M922" s="510">
        <f t="shared" si="612"/>
        <v>5.6</v>
      </c>
      <c r="N922" s="510">
        <f t="shared" si="613"/>
        <v>0</v>
      </c>
      <c r="O922" s="510">
        <f t="shared" si="614"/>
        <v>0</v>
      </c>
      <c r="P922" s="510">
        <f t="shared" si="615"/>
        <v>0</v>
      </c>
      <c r="Q922" s="510">
        <f t="shared" si="616"/>
        <v>0</v>
      </c>
      <c r="R922" s="510">
        <f t="shared" si="617"/>
        <v>0</v>
      </c>
    </row>
    <row r="923" spans="1:18">
      <c r="A923" s="505"/>
      <c r="B923" s="607" t="s">
        <v>1159</v>
      </c>
      <c r="C923" s="507">
        <v>8</v>
      </c>
      <c r="D923" s="508">
        <v>200</v>
      </c>
      <c r="E923" s="507">
        <v>1</v>
      </c>
      <c r="F923" s="502">
        <v>1</v>
      </c>
      <c r="G923" s="502">
        <f>+ROUND(0.6/(D923/1000)+1,0)</f>
        <v>4</v>
      </c>
      <c r="H923" s="602">
        <v>0.2</v>
      </c>
      <c r="I923" s="602">
        <v>1.425</v>
      </c>
      <c r="J923" s="235"/>
      <c r="K923" s="509"/>
      <c r="L923" s="510">
        <f t="shared" si="619"/>
        <v>1.625</v>
      </c>
      <c r="M923" s="510">
        <f t="shared" si="612"/>
        <v>6.5</v>
      </c>
      <c r="N923" s="510">
        <f t="shared" si="613"/>
        <v>0</v>
      </c>
      <c r="O923" s="510">
        <f t="shared" si="614"/>
        <v>0</v>
      </c>
      <c r="P923" s="510">
        <f t="shared" si="615"/>
        <v>0</v>
      </c>
      <c r="Q923" s="510">
        <f t="shared" si="616"/>
        <v>0</v>
      </c>
      <c r="R923" s="510">
        <f t="shared" si="617"/>
        <v>0</v>
      </c>
    </row>
    <row r="924" spans="1:18">
      <c r="A924" s="505"/>
      <c r="B924" s="607" t="s">
        <v>1159</v>
      </c>
      <c r="C924" s="507">
        <v>8</v>
      </c>
      <c r="D924" s="508">
        <v>200</v>
      </c>
      <c r="E924" s="507">
        <v>1</v>
      </c>
      <c r="F924" s="502">
        <v>1</v>
      </c>
      <c r="G924" s="502">
        <f>+ROUND(0.6/(D924/1000)+1,0)</f>
        <v>4</v>
      </c>
      <c r="H924" s="602">
        <v>0.2</v>
      </c>
      <c r="I924" s="602">
        <v>1.425</v>
      </c>
      <c r="J924" s="235"/>
      <c r="K924" s="509"/>
      <c r="L924" s="510">
        <f t="shared" si="619"/>
        <v>1.625</v>
      </c>
      <c r="M924" s="510">
        <f t="shared" si="612"/>
        <v>6.5</v>
      </c>
      <c r="N924" s="510">
        <f t="shared" si="613"/>
        <v>0</v>
      </c>
      <c r="O924" s="510">
        <f t="shared" si="614"/>
        <v>0</v>
      </c>
      <c r="P924" s="510">
        <f t="shared" si="615"/>
        <v>0</v>
      </c>
      <c r="Q924" s="510">
        <f t="shared" si="616"/>
        <v>0</v>
      </c>
      <c r="R924" s="510">
        <f t="shared" si="617"/>
        <v>0</v>
      </c>
    </row>
    <row r="925" spans="1:18">
      <c r="A925" s="505"/>
      <c r="B925" s="607" t="s">
        <v>1159</v>
      </c>
      <c r="C925" s="507">
        <v>8</v>
      </c>
      <c r="D925" s="508">
        <v>200</v>
      </c>
      <c r="E925" s="507">
        <v>1</v>
      </c>
      <c r="F925" s="502">
        <v>1</v>
      </c>
      <c r="G925" s="502">
        <f>+ROUND(0.55/(D925/1000)+1,0)</f>
        <v>4</v>
      </c>
      <c r="H925" s="602">
        <v>0.2</v>
      </c>
      <c r="I925" s="602">
        <v>3.5750000000000002</v>
      </c>
      <c r="J925" s="235"/>
      <c r="K925" s="509"/>
      <c r="L925" s="510">
        <f t="shared" si="619"/>
        <v>3.7750000000000004</v>
      </c>
      <c r="M925" s="510">
        <f t="shared" si="612"/>
        <v>15.1</v>
      </c>
      <c r="N925" s="510">
        <f t="shared" si="613"/>
        <v>0</v>
      </c>
      <c r="O925" s="510">
        <f t="shared" si="614"/>
        <v>0</v>
      </c>
      <c r="P925" s="510">
        <f t="shared" si="615"/>
        <v>0</v>
      </c>
      <c r="Q925" s="510">
        <f t="shared" si="616"/>
        <v>0</v>
      </c>
      <c r="R925" s="510">
        <f t="shared" si="617"/>
        <v>0</v>
      </c>
    </row>
    <row r="926" spans="1:18">
      <c r="A926" s="505"/>
      <c r="B926" s="607" t="s">
        <v>1159</v>
      </c>
      <c r="C926" s="507">
        <v>8</v>
      </c>
      <c r="D926" s="508">
        <v>200</v>
      </c>
      <c r="E926" s="507">
        <v>1</v>
      </c>
      <c r="F926" s="502">
        <v>1</v>
      </c>
      <c r="G926" s="502">
        <f>+ROUND(0.55/(D926/1000)+1,0)</f>
        <v>4</v>
      </c>
      <c r="H926" s="602">
        <v>0.2</v>
      </c>
      <c r="I926" s="602">
        <v>3.5750000000000002</v>
      </c>
      <c r="J926" s="235"/>
      <c r="K926" s="509"/>
      <c r="L926" s="510">
        <f t="shared" si="619"/>
        <v>3.7750000000000004</v>
      </c>
      <c r="M926" s="510">
        <f t="shared" si="612"/>
        <v>15.1</v>
      </c>
      <c r="N926" s="510">
        <f t="shared" si="613"/>
        <v>0</v>
      </c>
      <c r="O926" s="510">
        <f t="shared" si="614"/>
        <v>0</v>
      </c>
      <c r="P926" s="510">
        <f t="shared" si="615"/>
        <v>0</v>
      </c>
      <c r="Q926" s="510">
        <f t="shared" si="616"/>
        <v>0</v>
      </c>
      <c r="R926" s="510">
        <f t="shared" si="617"/>
        <v>0</v>
      </c>
    </row>
    <row r="927" spans="1:18">
      <c r="A927" s="505"/>
      <c r="B927" s="511"/>
      <c r="C927" s="507"/>
      <c r="D927" s="508"/>
      <c r="E927" s="507"/>
      <c r="F927" s="502"/>
      <c r="G927" s="502"/>
      <c r="H927" s="602"/>
      <c r="I927" s="602"/>
      <c r="J927" s="235"/>
      <c r="K927" s="509"/>
      <c r="L927" s="510"/>
      <c r="M927" s="510"/>
      <c r="N927" s="510"/>
      <c r="O927" s="510"/>
      <c r="P927" s="510"/>
      <c r="Q927" s="510"/>
      <c r="R927" s="510"/>
    </row>
    <row r="928" spans="1:18">
      <c r="A928" s="505"/>
      <c r="B928" s="506" t="s">
        <v>1189</v>
      </c>
      <c r="C928" s="507"/>
      <c r="D928" s="508"/>
      <c r="E928" s="507"/>
      <c r="F928" s="502"/>
      <c r="G928" s="502"/>
      <c r="H928" s="602"/>
      <c r="I928" s="602"/>
      <c r="J928" s="235"/>
      <c r="K928" s="509"/>
      <c r="L928" s="510">
        <f>SUM(H928:J928)+K928</f>
        <v>0</v>
      </c>
      <c r="M928" s="510">
        <f>+ROUND(IF(C928=8,PRODUCT(E928,F928,G928,L928),0),2)</f>
        <v>0</v>
      </c>
      <c r="N928" s="510">
        <f>+ROUND(IF(C928=10,PRODUCT(E928,F928,G928,L928),0),2)</f>
        <v>0</v>
      </c>
      <c r="O928" s="510">
        <f>+ROUND(IF(C928=12,PRODUCT(E928,F928,G928,L928),0),2)</f>
        <v>0</v>
      </c>
      <c r="P928" s="510">
        <f>+ROUND(IF(C928=16,PRODUCT(E928,F928,G928,L928),0),2)</f>
        <v>0</v>
      </c>
      <c r="Q928" s="510">
        <f>+ROUND(IF(C928=20,PRODUCT(E928,F928,G928,L928),0),2)</f>
        <v>0</v>
      </c>
      <c r="R928" s="510">
        <f>+ROUND(IF(C928=25,PRODUCT(E928,F928,G928,L928),0),2)</f>
        <v>0</v>
      </c>
    </row>
    <row r="929" spans="1:18">
      <c r="A929" s="505"/>
      <c r="B929" s="607" t="s">
        <v>1173</v>
      </c>
      <c r="C929" s="507">
        <v>10</v>
      </c>
      <c r="D929" s="508">
        <v>150</v>
      </c>
      <c r="E929" s="507">
        <v>1</v>
      </c>
      <c r="F929" s="502">
        <v>1</v>
      </c>
      <c r="G929" s="502">
        <f>+ROUND(4.665/(D929/1000)+1,0)</f>
        <v>32</v>
      </c>
      <c r="H929" s="602">
        <v>0.25</v>
      </c>
      <c r="I929" s="602">
        <v>2.13</v>
      </c>
      <c r="J929" s="235">
        <v>0.4</v>
      </c>
      <c r="K929" s="509"/>
      <c r="L929" s="510">
        <f t="shared" ref="L929:L933" si="620">SUM(H929:J929)+K929</f>
        <v>2.78</v>
      </c>
      <c r="M929" s="510">
        <f t="shared" ref="M929:M933" si="621">+ROUND(IF(C929=8,PRODUCT(E929,F929,G929,L929),0),2)</f>
        <v>0</v>
      </c>
      <c r="N929" s="510">
        <f t="shared" ref="N929:N933" si="622">+ROUND(IF(C929=10,PRODUCT(E929,F929,G929,L929),0),2)</f>
        <v>88.96</v>
      </c>
      <c r="O929" s="510">
        <f t="shared" ref="O929:O933" si="623">+ROUND(IF(C929=12,PRODUCT(E929,F929,G929,L929),0),2)</f>
        <v>0</v>
      </c>
      <c r="P929" s="510">
        <f t="shared" ref="P929:P933" si="624">+ROUND(IF(C929=16,PRODUCT(E929,F929,G929,L929),0),2)</f>
        <v>0</v>
      </c>
      <c r="Q929" s="510">
        <f t="shared" ref="Q929:Q933" si="625">+ROUND(IF(C929=20,PRODUCT(E929,F929,G929,L929),0),2)</f>
        <v>0</v>
      </c>
      <c r="R929" s="510">
        <f t="shared" ref="R929:R933" si="626">+ROUND(IF(C929=25,PRODUCT(E929,F929,G929,L929),0),2)</f>
        <v>0</v>
      </c>
    </row>
    <row r="930" spans="1:18">
      <c r="A930" s="505"/>
      <c r="B930" s="607" t="s">
        <v>1155</v>
      </c>
      <c r="C930" s="507">
        <v>8</v>
      </c>
      <c r="D930" s="508">
        <v>200</v>
      </c>
      <c r="E930" s="507">
        <v>1</v>
      </c>
      <c r="F930" s="502">
        <v>1</v>
      </c>
      <c r="G930" s="502">
        <v>10</v>
      </c>
      <c r="H930" s="602"/>
      <c r="I930" s="602">
        <f>4.665-0.05</f>
        <v>4.6150000000000002</v>
      </c>
      <c r="J930" s="235"/>
      <c r="K930" s="509"/>
      <c r="L930" s="510">
        <f t="shared" si="620"/>
        <v>4.6150000000000002</v>
      </c>
      <c r="M930" s="510">
        <f t="shared" si="621"/>
        <v>46.15</v>
      </c>
      <c r="N930" s="510">
        <f t="shared" si="622"/>
        <v>0</v>
      </c>
      <c r="O930" s="510">
        <f t="shared" si="623"/>
        <v>0</v>
      </c>
      <c r="P930" s="510">
        <f t="shared" si="624"/>
        <v>0</v>
      </c>
      <c r="Q930" s="510">
        <f t="shared" si="625"/>
        <v>0</v>
      </c>
      <c r="R930" s="510">
        <f t="shared" si="626"/>
        <v>0</v>
      </c>
    </row>
    <row r="931" spans="1:18">
      <c r="A931" s="505"/>
      <c r="B931" s="607" t="s">
        <v>1174</v>
      </c>
      <c r="C931" s="507">
        <v>12</v>
      </c>
      <c r="D931" s="508">
        <v>100</v>
      </c>
      <c r="E931" s="507">
        <v>1</v>
      </c>
      <c r="F931" s="502">
        <v>1</v>
      </c>
      <c r="G931" s="502">
        <f>+ROUND(4.665/(D931/1000)+1,0)/2</f>
        <v>24</v>
      </c>
      <c r="H931" s="602"/>
      <c r="I931" s="602">
        <f>2+2.5-0.025</f>
        <v>4.4749999999999996</v>
      </c>
      <c r="J931" s="235">
        <v>0.1</v>
      </c>
      <c r="K931" s="509"/>
      <c r="L931" s="510">
        <f t="shared" si="620"/>
        <v>4.5749999999999993</v>
      </c>
      <c r="M931" s="510">
        <f t="shared" si="621"/>
        <v>0</v>
      </c>
      <c r="N931" s="510">
        <f t="shared" si="622"/>
        <v>0</v>
      </c>
      <c r="O931" s="510">
        <f t="shared" si="623"/>
        <v>109.8</v>
      </c>
      <c r="P931" s="510">
        <f t="shared" si="624"/>
        <v>0</v>
      </c>
      <c r="Q931" s="510">
        <f t="shared" si="625"/>
        <v>0</v>
      </c>
      <c r="R931" s="510">
        <f t="shared" si="626"/>
        <v>0</v>
      </c>
    </row>
    <row r="932" spans="1:18">
      <c r="A932" s="505"/>
      <c r="B932" s="607" t="s">
        <v>1174</v>
      </c>
      <c r="C932" s="507">
        <v>10</v>
      </c>
      <c r="D932" s="508">
        <v>100</v>
      </c>
      <c r="E932" s="507">
        <v>1</v>
      </c>
      <c r="F932" s="502">
        <v>1</v>
      </c>
      <c r="G932" s="502">
        <f>+ROUND(4.665/(D932/1000)+1,0)/2</f>
        <v>24</v>
      </c>
      <c r="H932" s="602"/>
      <c r="I932" s="602">
        <f>1.35+0.2+2</f>
        <v>3.55</v>
      </c>
      <c r="J932" s="235"/>
      <c r="K932" s="509"/>
      <c r="L932" s="510">
        <f t="shared" si="620"/>
        <v>3.55</v>
      </c>
      <c r="M932" s="510">
        <f t="shared" si="621"/>
        <v>0</v>
      </c>
      <c r="N932" s="510">
        <f t="shared" si="622"/>
        <v>85.2</v>
      </c>
      <c r="O932" s="510">
        <f t="shared" si="623"/>
        <v>0</v>
      </c>
      <c r="P932" s="510">
        <f t="shared" si="624"/>
        <v>0</v>
      </c>
      <c r="Q932" s="510">
        <f t="shared" si="625"/>
        <v>0</v>
      </c>
      <c r="R932" s="510">
        <f t="shared" si="626"/>
        <v>0</v>
      </c>
    </row>
    <row r="933" spans="1:18">
      <c r="A933" s="505"/>
      <c r="B933" s="607" t="s">
        <v>1175</v>
      </c>
      <c r="C933" s="507">
        <v>8</v>
      </c>
      <c r="D933" s="508">
        <v>200</v>
      </c>
      <c r="E933" s="507">
        <v>1</v>
      </c>
      <c r="F933" s="502">
        <v>2</v>
      </c>
      <c r="G933" s="502">
        <v>10</v>
      </c>
      <c r="H933" s="602"/>
      <c r="I933" s="602">
        <f>4.665-0.05</f>
        <v>4.6150000000000002</v>
      </c>
      <c r="J933" s="235"/>
      <c r="K933" s="509"/>
      <c r="L933" s="510">
        <f t="shared" si="620"/>
        <v>4.6150000000000002</v>
      </c>
      <c r="M933" s="510">
        <f t="shared" si="621"/>
        <v>92.3</v>
      </c>
      <c r="N933" s="510">
        <f t="shared" si="622"/>
        <v>0</v>
      </c>
      <c r="O933" s="510">
        <f t="shared" si="623"/>
        <v>0</v>
      </c>
      <c r="P933" s="510">
        <f t="shared" si="624"/>
        <v>0</v>
      </c>
      <c r="Q933" s="510">
        <f t="shared" si="625"/>
        <v>0</v>
      </c>
      <c r="R933" s="510">
        <f t="shared" si="626"/>
        <v>0</v>
      </c>
    </row>
    <row r="934" spans="1:18">
      <c r="A934" s="505"/>
      <c r="B934" s="511"/>
      <c r="C934" s="507"/>
      <c r="D934" s="508"/>
      <c r="E934" s="507"/>
      <c r="F934" s="502"/>
      <c r="G934" s="502"/>
      <c r="H934" s="602"/>
      <c r="I934" s="602"/>
      <c r="J934" s="235"/>
      <c r="K934" s="509"/>
      <c r="L934" s="510"/>
      <c r="M934" s="510"/>
      <c r="N934" s="510"/>
      <c r="O934" s="510"/>
      <c r="P934" s="510"/>
      <c r="Q934" s="510"/>
      <c r="R934" s="510"/>
    </row>
    <row r="935" spans="1:18">
      <c r="A935" s="505"/>
      <c r="B935" s="506" t="s">
        <v>1190</v>
      </c>
      <c r="C935" s="507"/>
      <c r="D935" s="508"/>
      <c r="E935" s="507"/>
      <c r="F935" s="502"/>
      <c r="G935" s="502"/>
      <c r="H935" s="602"/>
      <c r="I935" s="602"/>
      <c r="J935" s="235"/>
      <c r="K935" s="509"/>
      <c r="L935" s="510">
        <f>SUM(H935:J935)+K935</f>
        <v>0</v>
      </c>
      <c r="M935" s="510">
        <f t="shared" ref="M935:M941" si="627">+ROUND(IF(C935=8,PRODUCT(E935,F935,G935,L935),0),2)</f>
        <v>0</v>
      </c>
      <c r="N935" s="510">
        <f t="shared" ref="N935:N941" si="628">+ROUND(IF(C935=10,PRODUCT(E935,F935,G935,L935),0),2)</f>
        <v>0</v>
      </c>
      <c r="O935" s="510">
        <f t="shared" ref="O935:O941" si="629">+ROUND(IF(C935=12,PRODUCT(E935,F935,G935,L935),0),2)</f>
        <v>0</v>
      </c>
      <c r="P935" s="510">
        <f t="shared" ref="P935:P941" si="630">+ROUND(IF(C935=16,PRODUCT(E935,F935,G935,L935),0),2)</f>
        <v>0</v>
      </c>
      <c r="Q935" s="510">
        <f t="shared" ref="Q935:Q941" si="631">+ROUND(IF(C935=20,PRODUCT(E935,F935,G935,L935),0),2)</f>
        <v>0</v>
      </c>
      <c r="R935" s="510">
        <f t="shared" ref="R935:R941" si="632">+ROUND(IF(C935=25,PRODUCT(E935,F935,G935,L935),0),2)</f>
        <v>0</v>
      </c>
    </row>
    <row r="936" spans="1:18">
      <c r="A936" s="505"/>
      <c r="B936" s="607" t="s">
        <v>1173</v>
      </c>
      <c r="C936" s="507">
        <v>10</v>
      </c>
      <c r="D936" s="508">
        <v>150</v>
      </c>
      <c r="E936" s="507">
        <v>1</v>
      </c>
      <c r="F936" s="502">
        <v>1</v>
      </c>
      <c r="G936" s="502">
        <f>+ROUND(5.105/(D936/1000)+1,0)</f>
        <v>35</v>
      </c>
      <c r="H936" s="602">
        <v>0.25</v>
      </c>
      <c r="I936" s="602">
        <f>2-0.025</f>
        <v>1.9750000000000001</v>
      </c>
      <c r="J936" s="235">
        <v>0.4</v>
      </c>
      <c r="K936" s="509"/>
      <c r="L936" s="510">
        <f t="shared" ref="L936:L940" si="633">SUM(H936:J936)+K936</f>
        <v>2.625</v>
      </c>
      <c r="M936" s="510">
        <f t="shared" si="627"/>
        <v>0</v>
      </c>
      <c r="N936" s="510">
        <f t="shared" si="628"/>
        <v>91.88</v>
      </c>
      <c r="O936" s="510">
        <f t="shared" si="629"/>
        <v>0</v>
      </c>
      <c r="P936" s="510">
        <f t="shared" si="630"/>
        <v>0</v>
      </c>
      <c r="Q936" s="510">
        <f t="shared" si="631"/>
        <v>0</v>
      </c>
      <c r="R936" s="510">
        <f t="shared" si="632"/>
        <v>0</v>
      </c>
    </row>
    <row r="937" spans="1:18">
      <c r="A937" s="505"/>
      <c r="B937" s="607" t="s">
        <v>1155</v>
      </c>
      <c r="C937" s="507">
        <v>8</v>
      </c>
      <c r="D937" s="508">
        <v>200</v>
      </c>
      <c r="E937" s="507">
        <v>1</v>
      </c>
      <c r="F937" s="502">
        <v>1</v>
      </c>
      <c r="G937" s="502">
        <f>+ROUND(2/(D937/1000)+1,0)</f>
        <v>11</v>
      </c>
      <c r="H937" s="602">
        <v>0.1</v>
      </c>
      <c r="I937" s="602">
        <f>5.105-0.05</f>
        <v>5.0550000000000006</v>
      </c>
      <c r="J937" s="235">
        <v>0.1</v>
      </c>
      <c r="K937" s="509"/>
      <c r="L937" s="510">
        <f t="shared" si="633"/>
        <v>5.2549999999999999</v>
      </c>
      <c r="M937" s="510">
        <f t="shared" si="627"/>
        <v>57.81</v>
      </c>
      <c r="N937" s="510">
        <f t="shared" si="628"/>
        <v>0</v>
      </c>
      <c r="O937" s="510">
        <f t="shared" si="629"/>
        <v>0</v>
      </c>
      <c r="P937" s="510">
        <f t="shared" si="630"/>
        <v>0</v>
      </c>
      <c r="Q937" s="510">
        <f t="shared" si="631"/>
        <v>0</v>
      </c>
      <c r="R937" s="510">
        <f t="shared" si="632"/>
        <v>0</v>
      </c>
    </row>
    <row r="938" spans="1:18">
      <c r="A938" s="505"/>
      <c r="B938" s="607" t="s">
        <v>1174</v>
      </c>
      <c r="C938" s="507">
        <v>12</v>
      </c>
      <c r="D938" s="508">
        <v>100</v>
      </c>
      <c r="E938" s="507">
        <v>1</v>
      </c>
      <c r="F938" s="502">
        <v>1</v>
      </c>
      <c r="G938" s="502">
        <f>+ROUND(5.105/(D938/1000)+1,0)/2</f>
        <v>26</v>
      </c>
      <c r="H938" s="602"/>
      <c r="I938" s="602">
        <f>2+2.5-0.025</f>
        <v>4.4749999999999996</v>
      </c>
      <c r="J938" s="235">
        <v>0.1</v>
      </c>
      <c r="K938" s="509"/>
      <c r="L938" s="510">
        <f t="shared" si="633"/>
        <v>4.5749999999999993</v>
      </c>
      <c r="M938" s="510">
        <f t="shared" si="627"/>
        <v>0</v>
      </c>
      <c r="N938" s="510">
        <f t="shared" si="628"/>
        <v>0</v>
      </c>
      <c r="O938" s="510">
        <f t="shared" si="629"/>
        <v>118.95</v>
      </c>
      <c r="P938" s="510">
        <f t="shared" si="630"/>
        <v>0</v>
      </c>
      <c r="Q938" s="510">
        <f t="shared" si="631"/>
        <v>0</v>
      </c>
      <c r="R938" s="510">
        <f t="shared" si="632"/>
        <v>0</v>
      </c>
    </row>
    <row r="939" spans="1:18">
      <c r="A939" s="505"/>
      <c r="B939" s="607" t="s">
        <v>1174</v>
      </c>
      <c r="C939" s="507">
        <v>10</v>
      </c>
      <c r="D939" s="508">
        <v>100</v>
      </c>
      <c r="E939" s="507">
        <v>1</v>
      </c>
      <c r="F939" s="502">
        <v>1</v>
      </c>
      <c r="G939" s="502">
        <f>+ROUND(5.105/(D939/1000)+1,0)/2</f>
        <v>26</v>
      </c>
      <c r="H939" s="602"/>
      <c r="I939" s="602">
        <f>1.35+0.2+2</f>
        <v>3.55</v>
      </c>
      <c r="J939" s="235"/>
      <c r="K939" s="509"/>
      <c r="L939" s="510">
        <f t="shared" si="633"/>
        <v>3.55</v>
      </c>
      <c r="M939" s="510">
        <f t="shared" si="627"/>
        <v>0</v>
      </c>
      <c r="N939" s="510">
        <f t="shared" si="628"/>
        <v>92.3</v>
      </c>
      <c r="O939" s="510">
        <f t="shared" si="629"/>
        <v>0</v>
      </c>
      <c r="P939" s="510">
        <f t="shared" si="630"/>
        <v>0</v>
      </c>
      <c r="Q939" s="510">
        <f t="shared" si="631"/>
        <v>0</v>
      </c>
      <c r="R939" s="510">
        <f t="shared" si="632"/>
        <v>0</v>
      </c>
    </row>
    <row r="940" spans="1:18">
      <c r="A940" s="505"/>
      <c r="B940" s="607" t="s">
        <v>1175</v>
      </c>
      <c r="C940" s="507">
        <v>8</v>
      </c>
      <c r="D940" s="508">
        <v>200</v>
      </c>
      <c r="E940" s="507">
        <v>1</v>
      </c>
      <c r="F940" s="502">
        <v>2</v>
      </c>
      <c r="G940" s="502">
        <f>+ROUND(2/(D940/1000)+1,0)</f>
        <v>11</v>
      </c>
      <c r="H940" s="602">
        <v>0.1</v>
      </c>
      <c r="I940" s="602">
        <f>5.105-0.05</f>
        <v>5.0550000000000006</v>
      </c>
      <c r="J940" s="235">
        <v>0.1</v>
      </c>
      <c r="K940" s="509"/>
      <c r="L940" s="510">
        <f t="shared" si="633"/>
        <v>5.2549999999999999</v>
      </c>
      <c r="M940" s="510">
        <f t="shared" si="627"/>
        <v>115.61</v>
      </c>
      <c r="N940" s="510">
        <f t="shared" si="628"/>
        <v>0</v>
      </c>
      <c r="O940" s="510">
        <f t="shared" si="629"/>
        <v>0</v>
      </c>
      <c r="P940" s="510">
        <f t="shared" si="630"/>
        <v>0</v>
      </c>
      <c r="Q940" s="510">
        <f t="shared" si="631"/>
        <v>0</v>
      </c>
      <c r="R940" s="510">
        <f t="shared" si="632"/>
        <v>0</v>
      </c>
    </row>
    <row r="941" spans="1:18">
      <c r="A941" s="505"/>
      <c r="B941" s="607" t="s">
        <v>1241</v>
      </c>
      <c r="C941" s="507">
        <v>10</v>
      </c>
      <c r="D941" s="508">
        <v>150</v>
      </c>
      <c r="E941" s="507">
        <v>1</v>
      </c>
      <c r="F941" s="502">
        <v>2</v>
      </c>
      <c r="G941" s="502">
        <f>+ROUND(2/(D941/1000)+1,0)</f>
        <v>14</v>
      </c>
      <c r="H941" s="602">
        <v>0.1</v>
      </c>
      <c r="I941" s="602">
        <v>0.3</v>
      </c>
      <c r="J941" s="235">
        <v>0.49</v>
      </c>
      <c r="K941" s="509"/>
      <c r="L941" s="510">
        <f t="shared" ref="L941" si="634">SUM(H941:J941)+K941</f>
        <v>0.89</v>
      </c>
      <c r="M941" s="510">
        <f t="shared" si="627"/>
        <v>0</v>
      </c>
      <c r="N941" s="510">
        <f t="shared" si="628"/>
        <v>24.92</v>
      </c>
      <c r="O941" s="510">
        <f t="shared" si="629"/>
        <v>0</v>
      </c>
      <c r="P941" s="510">
        <f t="shared" si="630"/>
        <v>0</v>
      </c>
      <c r="Q941" s="510">
        <f t="shared" si="631"/>
        <v>0</v>
      </c>
      <c r="R941" s="510">
        <f t="shared" si="632"/>
        <v>0</v>
      </c>
    </row>
    <row r="942" spans="1:18">
      <c r="A942" s="505"/>
      <c r="B942" s="511"/>
      <c r="C942" s="507"/>
      <c r="D942" s="508"/>
      <c r="E942" s="507"/>
      <c r="F942" s="502"/>
      <c r="G942" s="502"/>
      <c r="H942" s="602"/>
      <c r="I942" s="602"/>
      <c r="J942" s="235"/>
      <c r="K942" s="509"/>
      <c r="L942" s="510"/>
      <c r="M942" s="510"/>
      <c r="N942" s="510"/>
      <c r="O942" s="510"/>
      <c r="P942" s="510"/>
      <c r="Q942" s="510"/>
      <c r="R942" s="510"/>
    </row>
    <row r="943" spans="1:18">
      <c r="A943" s="505"/>
      <c r="B943" s="606" t="s">
        <v>1196</v>
      </c>
      <c r="C943" s="507"/>
      <c r="D943" s="508"/>
      <c r="E943" s="507"/>
      <c r="F943" s="502"/>
      <c r="G943" s="502"/>
      <c r="H943" s="602"/>
      <c r="I943" s="602"/>
      <c r="J943" s="235"/>
      <c r="K943" s="509"/>
      <c r="L943" s="510">
        <f>SUM(H943:J943)+K943</f>
        <v>0</v>
      </c>
      <c r="M943" s="510">
        <f t="shared" si="394"/>
        <v>0</v>
      </c>
      <c r="N943" s="510">
        <f t="shared" si="437"/>
        <v>0</v>
      </c>
      <c r="O943" s="510">
        <f t="shared" si="438"/>
        <v>0</v>
      </c>
      <c r="P943" s="510">
        <f t="shared" si="439"/>
        <v>0</v>
      </c>
      <c r="Q943" s="510">
        <f t="shared" si="440"/>
        <v>0</v>
      </c>
      <c r="R943" s="510">
        <f t="shared" si="441"/>
        <v>0</v>
      </c>
    </row>
    <row r="944" spans="1:18">
      <c r="A944" s="505"/>
      <c r="B944" s="506" t="s">
        <v>1197</v>
      </c>
      <c r="C944" s="507"/>
      <c r="D944" s="508"/>
      <c r="E944" s="507"/>
      <c r="F944" s="502"/>
      <c r="G944" s="502"/>
      <c r="H944" s="602"/>
      <c r="I944" s="602"/>
      <c r="J944" s="235"/>
      <c r="K944" s="509"/>
      <c r="L944" s="510"/>
      <c r="M944" s="510">
        <f t="shared" si="394"/>
        <v>0</v>
      </c>
      <c r="N944" s="510">
        <f t="shared" si="437"/>
        <v>0</v>
      </c>
      <c r="O944" s="510">
        <f t="shared" si="438"/>
        <v>0</v>
      </c>
      <c r="P944" s="510">
        <f t="shared" si="439"/>
        <v>0</v>
      </c>
      <c r="Q944" s="510">
        <f t="shared" si="440"/>
        <v>0</v>
      </c>
      <c r="R944" s="510">
        <f t="shared" si="441"/>
        <v>0</v>
      </c>
    </row>
    <row r="945" spans="1:18">
      <c r="A945" s="505"/>
      <c r="B945" s="607" t="s">
        <v>1198</v>
      </c>
      <c r="C945" s="507">
        <v>8</v>
      </c>
      <c r="D945" s="508">
        <v>200</v>
      </c>
      <c r="E945" s="507">
        <v>3</v>
      </c>
      <c r="F945" s="502">
        <v>1</v>
      </c>
      <c r="G945" s="502">
        <f>+ROUND(3.86/(D945/1000)+1,0)</f>
        <v>20</v>
      </c>
      <c r="H945" s="602"/>
      <c r="I945" s="602">
        <f>0.175+3.25+0.175</f>
        <v>3.5999999999999996</v>
      </c>
      <c r="J945" s="235"/>
      <c r="K945" s="509"/>
      <c r="L945" s="510">
        <f t="shared" ref="L945" si="635">SUM(H945:J945)+K945</f>
        <v>3.5999999999999996</v>
      </c>
      <c r="M945" s="510">
        <f t="shared" si="394"/>
        <v>216</v>
      </c>
      <c r="N945" s="510">
        <f t="shared" si="437"/>
        <v>0</v>
      </c>
      <c r="O945" s="510">
        <f t="shared" si="438"/>
        <v>0</v>
      </c>
      <c r="P945" s="510">
        <f t="shared" si="439"/>
        <v>0</v>
      </c>
      <c r="Q945" s="510">
        <f t="shared" si="440"/>
        <v>0</v>
      </c>
      <c r="R945" s="510">
        <f t="shared" si="441"/>
        <v>0</v>
      </c>
    </row>
    <row r="946" spans="1:18">
      <c r="A946" s="505"/>
      <c r="B946" s="607" t="s">
        <v>1155</v>
      </c>
      <c r="C946" s="507">
        <v>8</v>
      </c>
      <c r="D946" s="508">
        <v>200</v>
      </c>
      <c r="E946" s="507">
        <v>3</v>
      </c>
      <c r="F946" s="502">
        <v>1</v>
      </c>
      <c r="G946" s="502">
        <f>+ROUND(3.25/(D946/1000)+1,0)</f>
        <v>17</v>
      </c>
      <c r="H946" s="602"/>
      <c r="I946" s="602">
        <f>0.175+3.86+0.175</f>
        <v>4.21</v>
      </c>
      <c r="J946" s="235"/>
      <c r="K946" s="589"/>
      <c r="L946" s="510">
        <f>SUM(H946:J946)+K946</f>
        <v>4.21</v>
      </c>
      <c r="M946" s="510">
        <f t="shared" si="394"/>
        <v>214.71</v>
      </c>
      <c r="N946" s="510">
        <f t="shared" si="437"/>
        <v>0</v>
      </c>
      <c r="O946" s="510">
        <f t="shared" si="438"/>
        <v>0</v>
      </c>
      <c r="P946" s="510">
        <f t="shared" si="439"/>
        <v>0</v>
      </c>
      <c r="Q946" s="510">
        <f t="shared" si="440"/>
        <v>0</v>
      </c>
      <c r="R946" s="510">
        <f t="shared" si="441"/>
        <v>0</v>
      </c>
    </row>
    <row r="947" spans="1:18">
      <c r="A947" s="505"/>
      <c r="B947" s="607" t="s">
        <v>1156</v>
      </c>
      <c r="C947" s="507">
        <v>8</v>
      </c>
      <c r="D947" s="508">
        <v>200</v>
      </c>
      <c r="E947" s="507">
        <v>3</v>
      </c>
      <c r="F947" s="502">
        <v>1</v>
      </c>
      <c r="G947" s="502">
        <v>17</v>
      </c>
      <c r="H947" s="602">
        <v>0.1</v>
      </c>
      <c r="I947" s="602">
        <f>0.55+0.175</f>
        <v>0.72500000000000009</v>
      </c>
      <c r="J947" s="235"/>
      <c r="K947" s="509"/>
      <c r="L947" s="510">
        <f>SUM(H947:J947)+K947</f>
        <v>0.82500000000000007</v>
      </c>
      <c r="M947" s="510">
        <f t="shared" si="394"/>
        <v>42.08</v>
      </c>
      <c r="N947" s="510">
        <f t="shared" si="437"/>
        <v>0</v>
      </c>
      <c r="O947" s="510">
        <f t="shared" si="438"/>
        <v>0</v>
      </c>
      <c r="P947" s="510">
        <f t="shared" si="439"/>
        <v>0</v>
      </c>
      <c r="Q947" s="510">
        <f t="shared" si="440"/>
        <v>0</v>
      </c>
      <c r="R947" s="510">
        <f t="shared" si="441"/>
        <v>0</v>
      </c>
    </row>
    <row r="948" spans="1:18">
      <c r="A948" s="505"/>
      <c r="B948" s="607" t="s">
        <v>1156</v>
      </c>
      <c r="C948" s="507">
        <v>8</v>
      </c>
      <c r="D948" s="508">
        <v>200</v>
      </c>
      <c r="E948" s="507">
        <v>3</v>
      </c>
      <c r="F948" s="502">
        <v>1</v>
      </c>
      <c r="G948" s="502">
        <v>12</v>
      </c>
      <c r="H948" s="602">
        <v>0.1</v>
      </c>
      <c r="I948" s="602">
        <f>0.6+0.175</f>
        <v>0.77499999999999991</v>
      </c>
      <c r="J948" s="235"/>
      <c r="K948" s="509"/>
      <c r="L948" s="510">
        <f t="shared" ref="L948" si="636">SUM(H948:J948)+K948</f>
        <v>0.87499999999999989</v>
      </c>
      <c r="M948" s="510">
        <f t="shared" si="394"/>
        <v>31.5</v>
      </c>
      <c r="N948" s="510">
        <f t="shared" si="437"/>
        <v>0</v>
      </c>
      <c r="O948" s="510">
        <f t="shared" si="438"/>
        <v>0</v>
      </c>
      <c r="P948" s="510">
        <f t="shared" si="439"/>
        <v>0</v>
      </c>
      <c r="Q948" s="510">
        <f t="shared" si="440"/>
        <v>0</v>
      </c>
      <c r="R948" s="510">
        <f t="shared" si="441"/>
        <v>0</v>
      </c>
    </row>
    <row r="949" spans="1:18">
      <c r="A949" s="505"/>
      <c r="B949" s="607" t="s">
        <v>1156</v>
      </c>
      <c r="C949" s="507">
        <v>8</v>
      </c>
      <c r="D949" s="508">
        <v>200</v>
      </c>
      <c r="E949" s="507">
        <v>3</v>
      </c>
      <c r="F949" s="502">
        <v>1</v>
      </c>
      <c r="G949" s="502">
        <f>+ROUND(3.25/(D949/1000)+1,0)/2</f>
        <v>8.5</v>
      </c>
      <c r="H949" s="602"/>
      <c r="I949" s="602">
        <f>0.1+1.2</f>
        <v>1.3</v>
      </c>
      <c r="J949" s="235"/>
      <c r="K949" s="509"/>
      <c r="L949" s="510">
        <f t="shared" ref="L949" si="637">SUM(H949:J949)+K949</f>
        <v>1.3</v>
      </c>
      <c r="M949" s="510">
        <f t="shared" si="394"/>
        <v>33.15</v>
      </c>
      <c r="N949" s="510">
        <f t="shared" si="437"/>
        <v>0</v>
      </c>
      <c r="O949" s="510">
        <f t="shared" si="438"/>
        <v>0</v>
      </c>
      <c r="P949" s="510">
        <f t="shared" si="439"/>
        <v>0</v>
      </c>
      <c r="Q949" s="510">
        <f t="shared" si="440"/>
        <v>0</v>
      </c>
      <c r="R949" s="510">
        <f t="shared" si="441"/>
        <v>0</v>
      </c>
    </row>
    <row r="950" spans="1:18">
      <c r="A950" s="505"/>
      <c r="B950" s="607" t="s">
        <v>1156</v>
      </c>
      <c r="C950" s="507">
        <v>8</v>
      </c>
      <c r="D950" s="508">
        <v>200</v>
      </c>
      <c r="E950" s="507">
        <v>3</v>
      </c>
      <c r="F950" s="502">
        <v>1</v>
      </c>
      <c r="G950" s="502">
        <v>8</v>
      </c>
      <c r="H950" s="602"/>
      <c r="I950" s="602">
        <f>0.1+0.6</f>
        <v>0.7</v>
      </c>
      <c r="J950" s="235"/>
      <c r="K950" s="509"/>
      <c r="L950" s="510">
        <f>SUM(H950:J950)+K950</f>
        <v>0.7</v>
      </c>
      <c r="M950" s="510">
        <f t="shared" si="394"/>
        <v>16.8</v>
      </c>
      <c r="N950" s="510">
        <f t="shared" si="437"/>
        <v>0</v>
      </c>
      <c r="O950" s="510">
        <f t="shared" si="438"/>
        <v>0</v>
      </c>
      <c r="P950" s="510">
        <f t="shared" si="439"/>
        <v>0</v>
      </c>
      <c r="Q950" s="510">
        <f t="shared" si="440"/>
        <v>0</v>
      </c>
      <c r="R950" s="510">
        <f t="shared" si="441"/>
        <v>0</v>
      </c>
    </row>
    <row r="951" spans="1:18">
      <c r="A951" s="505"/>
      <c r="B951" s="607" t="s">
        <v>1156</v>
      </c>
      <c r="C951" s="507">
        <v>8</v>
      </c>
      <c r="D951" s="508">
        <v>200</v>
      </c>
      <c r="E951" s="507">
        <v>3</v>
      </c>
      <c r="F951" s="502">
        <v>1</v>
      </c>
      <c r="G951" s="502">
        <v>10</v>
      </c>
      <c r="H951" s="602"/>
      <c r="I951" s="602">
        <f>0.1+1.1</f>
        <v>1.2000000000000002</v>
      </c>
      <c r="J951" s="235"/>
      <c r="K951" s="509"/>
      <c r="L951" s="510">
        <f t="shared" ref="L951" si="638">SUM(H951:J951)+K951</f>
        <v>1.2000000000000002</v>
      </c>
      <c r="M951" s="510">
        <f t="shared" si="394"/>
        <v>36</v>
      </c>
      <c r="N951" s="510">
        <f t="shared" si="437"/>
        <v>0</v>
      </c>
      <c r="O951" s="510">
        <f t="shared" si="438"/>
        <v>0</v>
      </c>
      <c r="P951" s="510">
        <f t="shared" si="439"/>
        <v>0</v>
      </c>
      <c r="Q951" s="510">
        <f t="shared" si="440"/>
        <v>0</v>
      </c>
      <c r="R951" s="510">
        <f t="shared" si="441"/>
        <v>0</v>
      </c>
    </row>
    <row r="952" spans="1:18">
      <c r="A952" s="505"/>
      <c r="B952" s="607" t="s">
        <v>1156</v>
      </c>
      <c r="C952" s="507">
        <v>8</v>
      </c>
      <c r="D952" s="508">
        <v>200</v>
      </c>
      <c r="E952" s="507">
        <v>3</v>
      </c>
      <c r="F952" s="502">
        <v>1</v>
      </c>
      <c r="G952" s="502">
        <v>9</v>
      </c>
      <c r="H952" s="602"/>
      <c r="I952" s="602">
        <f>0.1+0.5</f>
        <v>0.6</v>
      </c>
      <c r="J952" s="235"/>
      <c r="K952" s="509"/>
      <c r="L952" s="510">
        <f>SUM(H952:J952)+K952</f>
        <v>0.6</v>
      </c>
      <c r="M952" s="510">
        <f t="shared" si="394"/>
        <v>16.2</v>
      </c>
      <c r="N952" s="510">
        <f t="shared" si="437"/>
        <v>0</v>
      </c>
      <c r="O952" s="510">
        <f t="shared" si="438"/>
        <v>0</v>
      </c>
      <c r="P952" s="510">
        <f t="shared" si="439"/>
        <v>0</v>
      </c>
      <c r="Q952" s="510">
        <f t="shared" si="440"/>
        <v>0</v>
      </c>
      <c r="R952" s="510">
        <f t="shared" si="441"/>
        <v>0</v>
      </c>
    </row>
    <row r="953" spans="1:18">
      <c r="A953" s="505"/>
      <c r="B953" s="607" t="s">
        <v>256</v>
      </c>
      <c r="C953" s="507">
        <v>8</v>
      </c>
      <c r="D953" s="508">
        <v>200</v>
      </c>
      <c r="E953" s="507">
        <v>3</v>
      </c>
      <c r="F953" s="502">
        <v>1</v>
      </c>
      <c r="G953" s="502">
        <v>12</v>
      </c>
      <c r="H953" s="602">
        <v>0.2</v>
      </c>
      <c r="I953" s="602">
        <v>3.25</v>
      </c>
      <c r="J953" s="235"/>
      <c r="K953" s="509"/>
      <c r="L953" s="510">
        <f>SUM(H953:J953)+K953</f>
        <v>3.45</v>
      </c>
      <c r="M953" s="510">
        <f t="shared" si="394"/>
        <v>124.2</v>
      </c>
      <c r="N953" s="510">
        <f t="shared" si="437"/>
        <v>0</v>
      </c>
      <c r="O953" s="510">
        <f t="shared" si="438"/>
        <v>0</v>
      </c>
      <c r="P953" s="510">
        <f t="shared" si="439"/>
        <v>0</v>
      </c>
      <c r="Q953" s="510">
        <f t="shared" si="440"/>
        <v>0</v>
      </c>
      <c r="R953" s="510">
        <f t="shared" si="441"/>
        <v>0</v>
      </c>
    </row>
    <row r="954" spans="1:18">
      <c r="A954" s="505"/>
      <c r="B954" s="607" t="s">
        <v>256</v>
      </c>
      <c r="C954" s="507">
        <v>8</v>
      </c>
      <c r="D954" s="508">
        <v>200</v>
      </c>
      <c r="E954" s="507">
        <v>3</v>
      </c>
      <c r="F954" s="502">
        <v>1</v>
      </c>
      <c r="G954" s="502">
        <f>+ROUND(1.2/(D954/1000)+1,0)</f>
        <v>7</v>
      </c>
      <c r="H954" s="602">
        <v>0.2</v>
      </c>
      <c r="I954" s="602">
        <v>3.25</v>
      </c>
      <c r="J954" s="235"/>
      <c r="K954" s="509"/>
      <c r="L954" s="510">
        <f t="shared" ref="L954:L956" si="639">SUM(H954:J954)+K954</f>
        <v>3.45</v>
      </c>
      <c r="M954" s="510">
        <f t="shared" si="394"/>
        <v>72.45</v>
      </c>
      <c r="N954" s="510">
        <f t="shared" si="437"/>
        <v>0</v>
      </c>
      <c r="O954" s="510">
        <f t="shared" si="438"/>
        <v>0</v>
      </c>
      <c r="P954" s="510">
        <f t="shared" si="439"/>
        <v>0</v>
      </c>
      <c r="Q954" s="510">
        <f t="shared" si="440"/>
        <v>0</v>
      </c>
      <c r="R954" s="510">
        <f t="shared" si="441"/>
        <v>0</v>
      </c>
    </row>
    <row r="955" spans="1:18">
      <c r="A955" s="505"/>
      <c r="B955" s="607" t="s">
        <v>256</v>
      </c>
      <c r="C955" s="507">
        <v>8</v>
      </c>
      <c r="D955" s="508">
        <v>200</v>
      </c>
      <c r="E955" s="507">
        <v>3</v>
      </c>
      <c r="F955" s="502">
        <v>1</v>
      </c>
      <c r="G955" s="502">
        <f>+ROUND(0.55/(D955/1000)+1,0)</f>
        <v>4</v>
      </c>
      <c r="H955" s="602">
        <v>0.2</v>
      </c>
      <c r="I955" s="602">
        <v>3.86</v>
      </c>
      <c r="J955" s="235"/>
      <c r="K955" s="509"/>
      <c r="L955" s="510">
        <f t="shared" si="639"/>
        <v>4.0599999999999996</v>
      </c>
      <c r="M955" s="510">
        <f t="shared" si="394"/>
        <v>48.72</v>
      </c>
      <c r="N955" s="510">
        <f t="shared" si="437"/>
        <v>0</v>
      </c>
      <c r="O955" s="510">
        <f t="shared" si="438"/>
        <v>0</v>
      </c>
      <c r="P955" s="510">
        <f t="shared" si="439"/>
        <v>0</v>
      </c>
      <c r="Q955" s="510">
        <f t="shared" si="440"/>
        <v>0</v>
      </c>
      <c r="R955" s="510">
        <f t="shared" si="441"/>
        <v>0</v>
      </c>
    </row>
    <row r="956" spans="1:18">
      <c r="A956" s="505"/>
      <c r="B956" s="607" t="s">
        <v>256</v>
      </c>
      <c r="C956" s="507">
        <v>8</v>
      </c>
      <c r="D956" s="508">
        <v>200</v>
      </c>
      <c r="E956" s="507">
        <v>3</v>
      </c>
      <c r="F956" s="502">
        <v>1</v>
      </c>
      <c r="G956" s="502">
        <v>6</v>
      </c>
      <c r="H956" s="602">
        <v>0.2</v>
      </c>
      <c r="I956" s="602">
        <v>3.86</v>
      </c>
      <c r="J956" s="235"/>
      <c r="K956" s="509"/>
      <c r="L956" s="510">
        <f t="shared" si="639"/>
        <v>4.0599999999999996</v>
      </c>
      <c r="M956" s="510">
        <f t="shared" si="394"/>
        <v>73.08</v>
      </c>
      <c r="N956" s="510">
        <f t="shared" si="437"/>
        <v>0</v>
      </c>
      <c r="O956" s="510">
        <f t="shared" si="438"/>
        <v>0</v>
      </c>
      <c r="P956" s="510">
        <f t="shared" si="439"/>
        <v>0</v>
      </c>
      <c r="Q956" s="510">
        <f t="shared" si="440"/>
        <v>0</v>
      </c>
      <c r="R956" s="510">
        <f t="shared" si="441"/>
        <v>0</v>
      </c>
    </row>
    <row r="957" spans="1:18">
      <c r="A957" s="505"/>
      <c r="B957" s="607"/>
      <c r="C957" s="507"/>
      <c r="D957" s="508"/>
      <c r="E957" s="507"/>
      <c r="F957" s="502"/>
      <c r="G957" s="502"/>
      <c r="H957" s="602"/>
      <c r="I957" s="602"/>
      <c r="J957" s="235"/>
      <c r="K957" s="509"/>
      <c r="L957" s="510"/>
      <c r="M957" s="510"/>
      <c r="N957" s="510"/>
      <c r="O957" s="510"/>
      <c r="P957" s="510"/>
      <c r="Q957" s="510"/>
      <c r="R957" s="510"/>
    </row>
    <row r="958" spans="1:18">
      <c r="A958" s="505"/>
      <c r="B958" s="506" t="s">
        <v>1199</v>
      </c>
      <c r="C958" s="507"/>
      <c r="D958" s="508"/>
      <c r="E958" s="507"/>
      <c r="F958" s="502"/>
      <c r="G958" s="502"/>
      <c r="H958" s="602"/>
      <c r="I958" s="602"/>
      <c r="J958" s="235"/>
      <c r="K958" s="509"/>
      <c r="L958" s="510"/>
      <c r="M958" s="510">
        <f t="shared" si="394"/>
        <v>0</v>
      </c>
      <c r="N958" s="510">
        <f t="shared" si="437"/>
        <v>0</v>
      </c>
      <c r="O958" s="510">
        <f t="shared" si="438"/>
        <v>0</v>
      </c>
      <c r="P958" s="510">
        <f t="shared" si="439"/>
        <v>0</v>
      </c>
      <c r="Q958" s="510">
        <f t="shared" si="440"/>
        <v>0</v>
      </c>
      <c r="R958" s="510">
        <f t="shared" si="441"/>
        <v>0</v>
      </c>
    </row>
    <row r="959" spans="1:18">
      <c r="A959" s="505"/>
      <c r="B959" s="607" t="s">
        <v>1198</v>
      </c>
      <c r="C959" s="507">
        <v>8</v>
      </c>
      <c r="D959" s="508">
        <v>200</v>
      </c>
      <c r="E959" s="507">
        <v>3</v>
      </c>
      <c r="F959" s="502">
        <v>1</v>
      </c>
      <c r="G959" s="502">
        <f>+ROUND(3.86/(D959/1000)+1,0)</f>
        <v>20</v>
      </c>
      <c r="H959" s="602"/>
      <c r="I959" s="602">
        <f>0.175+3.335+0.175</f>
        <v>3.6849999999999996</v>
      </c>
      <c r="J959" s="235"/>
      <c r="K959" s="509"/>
      <c r="L959" s="510">
        <f t="shared" ref="L959" si="640">SUM(H959:J959)+K959</f>
        <v>3.6849999999999996</v>
      </c>
      <c r="M959" s="510">
        <f t="shared" si="394"/>
        <v>221.1</v>
      </c>
      <c r="N959" s="510">
        <f t="shared" si="437"/>
        <v>0</v>
      </c>
      <c r="O959" s="510">
        <f t="shared" si="438"/>
        <v>0</v>
      </c>
      <c r="P959" s="510">
        <f t="shared" si="439"/>
        <v>0</v>
      </c>
      <c r="Q959" s="510">
        <f t="shared" si="440"/>
        <v>0</v>
      </c>
      <c r="R959" s="510">
        <f t="shared" si="441"/>
        <v>0</v>
      </c>
    </row>
    <row r="960" spans="1:18">
      <c r="A960" s="505"/>
      <c r="B960" s="607" t="s">
        <v>1155</v>
      </c>
      <c r="C960" s="507">
        <v>8</v>
      </c>
      <c r="D960" s="508">
        <v>200</v>
      </c>
      <c r="E960" s="507">
        <v>3</v>
      </c>
      <c r="F960" s="502">
        <v>1</v>
      </c>
      <c r="G960" s="502">
        <f>+ROUND(3.335/(D960/1000)+1,0)</f>
        <v>18</v>
      </c>
      <c r="H960" s="602"/>
      <c r="I960" s="602">
        <f>0.175+3.86+0.175</f>
        <v>4.21</v>
      </c>
      <c r="J960" s="235"/>
      <c r="K960" s="589"/>
      <c r="L960" s="510">
        <f>SUM(H960:J960)+K960</f>
        <v>4.21</v>
      </c>
      <c r="M960" s="510">
        <f t="shared" si="394"/>
        <v>227.34</v>
      </c>
      <c r="N960" s="510">
        <f t="shared" si="437"/>
        <v>0</v>
      </c>
      <c r="O960" s="510">
        <f t="shared" si="438"/>
        <v>0</v>
      </c>
      <c r="P960" s="510">
        <f t="shared" si="439"/>
        <v>0</v>
      </c>
      <c r="Q960" s="510">
        <f t="shared" si="440"/>
        <v>0</v>
      </c>
      <c r="R960" s="510">
        <f t="shared" si="441"/>
        <v>0</v>
      </c>
    </row>
    <row r="961" spans="1:18">
      <c r="A961" s="505"/>
      <c r="B961" s="607" t="s">
        <v>1156</v>
      </c>
      <c r="C961" s="507">
        <v>8</v>
      </c>
      <c r="D961" s="508">
        <v>200</v>
      </c>
      <c r="E961" s="507">
        <v>3</v>
      </c>
      <c r="F961" s="502">
        <v>1</v>
      </c>
      <c r="G961" s="502">
        <f>+ROUND(3.335/(D961/1000)+1,0)</f>
        <v>18</v>
      </c>
      <c r="H961" s="602">
        <v>0.1</v>
      </c>
      <c r="I961" s="602">
        <f>0.6+0.175</f>
        <v>0.77499999999999991</v>
      </c>
      <c r="J961" s="235"/>
      <c r="K961" s="509"/>
      <c r="L961" s="510">
        <f>SUM(H961:J961)+K961</f>
        <v>0.87499999999999989</v>
      </c>
      <c r="M961" s="510">
        <f t="shared" si="394"/>
        <v>47.25</v>
      </c>
      <c r="N961" s="510">
        <f t="shared" si="437"/>
        <v>0</v>
      </c>
      <c r="O961" s="510">
        <f t="shared" si="438"/>
        <v>0</v>
      </c>
      <c r="P961" s="510">
        <f t="shared" si="439"/>
        <v>0</v>
      </c>
      <c r="Q961" s="510">
        <f t="shared" si="440"/>
        <v>0</v>
      </c>
      <c r="R961" s="510">
        <f t="shared" si="441"/>
        <v>0</v>
      </c>
    </row>
    <row r="962" spans="1:18">
      <c r="A962" s="505"/>
      <c r="B962" s="607" t="s">
        <v>1157</v>
      </c>
      <c r="C962" s="507">
        <v>8</v>
      </c>
      <c r="D962" s="508">
        <v>100</v>
      </c>
      <c r="E962" s="507">
        <v>3</v>
      </c>
      <c r="F962" s="502">
        <v>1</v>
      </c>
      <c r="G962" s="502">
        <f>+ROUND(3.86/(D962/1000)+1,0)</f>
        <v>40</v>
      </c>
      <c r="H962" s="602"/>
      <c r="I962" s="602">
        <f>0.1+1.1</f>
        <v>1.2000000000000002</v>
      </c>
      <c r="J962" s="235"/>
      <c r="K962" s="509"/>
      <c r="L962" s="510">
        <f t="shared" ref="L962" si="641">SUM(H962:J962)+K962</f>
        <v>1.2000000000000002</v>
      </c>
      <c r="M962" s="510">
        <f t="shared" si="394"/>
        <v>144</v>
      </c>
      <c r="N962" s="510">
        <f t="shared" si="437"/>
        <v>0</v>
      </c>
      <c r="O962" s="510">
        <f t="shared" si="438"/>
        <v>0</v>
      </c>
      <c r="P962" s="510">
        <f t="shared" si="439"/>
        <v>0</v>
      </c>
      <c r="Q962" s="510">
        <f t="shared" si="440"/>
        <v>0</v>
      </c>
      <c r="R962" s="510">
        <f t="shared" si="441"/>
        <v>0</v>
      </c>
    </row>
    <row r="963" spans="1:18">
      <c r="A963" s="505"/>
      <c r="B963" s="607" t="s">
        <v>1157</v>
      </c>
      <c r="C963" s="507">
        <v>8</v>
      </c>
      <c r="D963" s="508">
        <v>100</v>
      </c>
      <c r="E963" s="507">
        <v>3</v>
      </c>
      <c r="F963" s="502">
        <v>1</v>
      </c>
      <c r="G963" s="502">
        <f>+ROUND(3.86/(D963/1000)+1,0)</f>
        <v>40</v>
      </c>
      <c r="H963" s="602"/>
      <c r="I963" s="602">
        <f>0.1+0.55</f>
        <v>0.65</v>
      </c>
      <c r="J963" s="235"/>
      <c r="K963" s="509"/>
      <c r="L963" s="510">
        <f t="shared" ref="L963" si="642">SUM(H963:J963)+K963</f>
        <v>0.65</v>
      </c>
      <c r="M963" s="510">
        <f t="shared" si="394"/>
        <v>78</v>
      </c>
      <c r="N963" s="510">
        <f t="shared" si="437"/>
        <v>0</v>
      </c>
      <c r="O963" s="510">
        <f t="shared" si="438"/>
        <v>0</v>
      </c>
      <c r="P963" s="510">
        <f t="shared" si="439"/>
        <v>0</v>
      </c>
      <c r="Q963" s="510">
        <f t="shared" si="440"/>
        <v>0</v>
      </c>
      <c r="R963" s="510">
        <f t="shared" si="441"/>
        <v>0</v>
      </c>
    </row>
    <row r="964" spans="1:18">
      <c r="A964" s="505"/>
      <c r="B964" s="607" t="s">
        <v>1156</v>
      </c>
      <c r="C964" s="507">
        <v>8</v>
      </c>
      <c r="D964" s="508">
        <v>200</v>
      </c>
      <c r="E964" s="507">
        <v>3</v>
      </c>
      <c r="F964" s="502">
        <v>1</v>
      </c>
      <c r="G964" s="502">
        <v>10</v>
      </c>
      <c r="H964" s="602"/>
      <c r="I964" s="602">
        <f>0.1+1.2</f>
        <v>1.3</v>
      </c>
      <c r="J964" s="235"/>
      <c r="K964" s="509"/>
      <c r="L964" s="510">
        <f t="shared" ref="L964" si="643">SUM(H964:J964)+K964</f>
        <v>1.3</v>
      </c>
      <c r="M964" s="510">
        <f t="shared" si="394"/>
        <v>39</v>
      </c>
      <c r="N964" s="510">
        <f t="shared" si="437"/>
        <v>0</v>
      </c>
      <c r="O964" s="510">
        <f t="shared" si="438"/>
        <v>0</v>
      </c>
      <c r="P964" s="510">
        <f t="shared" si="439"/>
        <v>0</v>
      </c>
      <c r="Q964" s="510">
        <f t="shared" si="440"/>
        <v>0</v>
      </c>
      <c r="R964" s="510">
        <f t="shared" si="441"/>
        <v>0</v>
      </c>
    </row>
    <row r="965" spans="1:18">
      <c r="A965" s="505"/>
      <c r="B965" s="607" t="s">
        <v>1156</v>
      </c>
      <c r="C965" s="507">
        <v>8</v>
      </c>
      <c r="D965" s="508">
        <v>200</v>
      </c>
      <c r="E965" s="507">
        <v>3</v>
      </c>
      <c r="F965" s="502">
        <v>1</v>
      </c>
      <c r="G965" s="502">
        <f>+ROUND(3.335/(D965/1000)+1,0)/2</f>
        <v>9</v>
      </c>
      <c r="H965" s="602"/>
      <c r="I965" s="602">
        <f>0.1+0.6</f>
        <v>0.7</v>
      </c>
      <c r="J965" s="235"/>
      <c r="K965" s="509"/>
      <c r="L965" s="510">
        <f>SUM(H965:J965)+K965</f>
        <v>0.7</v>
      </c>
      <c r="M965" s="510">
        <f t="shared" si="394"/>
        <v>18.899999999999999</v>
      </c>
      <c r="N965" s="510">
        <f t="shared" si="437"/>
        <v>0</v>
      </c>
      <c r="O965" s="510">
        <f t="shared" si="438"/>
        <v>0</v>
      </c>
      <c r="P965" s="510">
        <f t="shared" si="439"/>
        <v>0</v>
      </c>
      <c r="Q965" s="510">
        <f t="shared" si="440"/>
        <v>0</v>
      </c>
      <c r="R965" s="510">
        <f t="shared" si="441"/>
        <v>0</v>
      </c>
    </row>
    <row r="966" spans="1:18">
      <c r="A966" s="505"/>
      <c r="B966" s="607" t="s">
        <v>1156</v>
      </c>
      <c r="C966" s="507">
        <v>8</v>
      </c>
      <c r="D966" s="508">
        <v>200</v>
      </c>
      <c r="E966" s="507">
        <v>3</v>
      </c>
      <c r="F966" s="502">
        <v>1</v>
      </c>
      <c r="G966" s="502">
        <v>9</v>
      </c>
      <c r="H966" s="602"/>
      <c r="I966" s="602">
        <f>0.1+1.1</f>
        <v>1.2000000000000002</v>
      </c>
      <c r="J966" s="235"/>
      <c r="K966" s="509"/>
      <c r="L966" s="510">
        <f t="shared" ref="L966" si="644">SUM(H966:J966)+K966</f>
        <v>1.2000000000000002</v>
      </c>
      <c r="M966" s="510">
        <f t="shared" si="394"/>
        <v>32.4</v>
      </c>
      <c r="N966" s="510">
        <f t="shared" si="437"/>
        <v>0</v>
      </c>
      <c r="O966" s="510">
        <f t="shared" si="438"/>
        <v>0</v>
      </c>
      <c r="P966" s="510">
        <f t="shared" si="439"/>
        <v>0</v>
      </c>
      <c r="Q966" s="510">
        <f t="shared" si="440"/>
        <v>0</v>
      </c>
      <c r="R966" s="510">
        <f t="shared" si="441"/>
        <v>0</v>
      </c>
    </row>
    <row r="967" spans="1:18">
      <c r="A967" s="505"/>
      <c r="B967" s="607" t="s">
        <v>1156</v>
      </c>
      <c r="C967" s="507">
        <v>8</v>
      </c>
      <c r="D967" s="508">
        <v>200</v>
      </c>
      <c r="E967" s="507">
        <v>3</v>
      </c>
      <c r="F967" s="502">
        <v>1</v>
      </c>
      <c r="G967" s="502">
        <v>9</v>
      </c>
      <c r="H967" s="602"/>
      <c r="I967" s="602">
        <f>0.1+0.5</f>
        <v>0.6</v>
      </c>
      <c r="J967" s="235"/>
      <c r="K967" s="509"/>
      <c r="L967" s="510">
        <f>SUM(H967:J967)+K967</f>
        <v>0.6</v>
      </c>
      <c r="M967" s="510">
        <f t="shared" si="394"/>
        <v>16.2</v>
      </c>
      <c r="N967" s="510">
        <f t="shared" si="437"/>
        <v>0</v>
      </c>
      <c r="O967" s="510">
        <f t="shared" si="438"/>
        <v>0</v>
      </c>
      <c r="P967" s="510">
        <f t="shared" si="439"/>
        <v>0</v>
      </c>
      <c r="Q967" s="510">
        <f t="shared" si="440"/>
        <v>0</v>
      </c>
      <c r="R967" s="510">
        <f t="shared" si="441"/>
        <v>0</v>
      </c>
    </row>
    <row r="968" spans="1:18">
      <c r="A968" s="505"/>
      <c r="B968" s="607" t="s">
        <v>256</v>
      </c>
      <c r="C968" s="507">
        <v>8</v>
      </c>
      <c r="D968" s="508">
        <v>200</v>
      </c>
      <c r="E968" s="507">
        <v>3</v>
      </c>
      <c r="F968" s="502">
        <v>1</v>
      </c>
      <c r="G968" s="502">
        <v>12</v>
      </c>
      <c r="H968" s="602">
        <v>0.2</v>
      </c>
      <c r="I968" s="602">
        <v>3.335</v>
      </c>
      <c r="J968" s="235"/>
      <c r="K968" s="509"/>
      <c r="L968" s="510">
        <f>SUM(H968:J968)+K968</f>
        <v>3.5350000000000001</v>
      </c>
      <c r="M968" s="510">
        <f t="shared" si="394"/>
        <v>127.26</v>
      </c>
      <c r="N968" s="510">
        <f t="shared" si="437"/>
        <v>0</v>
      </c>
      <c r="O968" s="510">
        <f t="shared" si="438"/>
        <v>0</v>
      </c>
      <c r="P968" s="510">
        <f t="shared" si="439"/>
        <v>0</v>
      </c>
      <c r="Q968" s="510">
        <f t="shared" si="440"/>
        <v>0</v>
      </c>
      <c r="R968" s="510">
        <f t="shared" si="441"/>
        <v>0</v>
      </c>
    </row>
    <row r="969" spans="1:18">
      <c r="A969" s="505"/>
      <c r="B969" s="607" t="s">
        <v>256</v>
      </c>
      <c r="C969" s="507">
        <v>8</v>
      </c>
      <c r="D969" s="508">
        <v>200</v>
      </c>
      <c r="E969" s="507">
        <v>3</v>
      </c>
      <c r="F969" s="502">
        <v>1</v>
      </c>
      <c r="G969" s="502">
        <f>+ROUND(1.2/(D969/1000)+1,0)</f>
        <v>7</v>
      </c>
      <c r="H969" s="602">
        <v>0.2</v>
      </c>
      <c r="I969" s="602">
        <v>3.335</v>
      </c>
      <c r="J969" s="235"/>
      <c r="K969" s="509"/>
      <c r="L969" s="510">
        <f t="shared" ref="L969:L971" si="645">SUM(H969:J969)+K969</f>
        <v>3.5350000000000001</v>
      </c>
      <c r="M969" s="510">
        <f t="shared" si="394"/>
        <v>74.239999999999995</v>
      </c>
      <c r="N969" s="510">
        <f t="shared" si="437"/>
        <v>0</v>
      </c>
      <c r="O969" s="510">
        <f t="shared" si="438"/>
        <v>0</v>
      </c>
      <c r="P969" s="510">
        <f t="shared" si="439"/>
        <v>0</v>
      </c>
      <c r="Q969" s="510">
        <f t="shared" si="440"/>
        <v>0</v>
      </c>
      <c r="R969" s="510">
        <f t="shared" si="441"/>
        <v>0</v>
      </c>
    </row>
    <row r="970" spans="1:18">
      <c r="A970" s="505"/>
      <c r="B970" s="607" t="s">
        <v>256</v>
      </c>
      <c r="C970" s="507">
        <v>8</v>
      </c>
      <c r="D970" s="508">
        <v>200</v>
      </c>
      <c r="E970" s="507">
        <v>3</v>
      </c>
      <c r="F970" s="502">
        <v>1</v>
      </c>
      <c r="G970" s="502">
        <f>+ROUND(0.55/(D970/1000)+1,0)</f>
        <v>4</v>
      </c>
      <c r="H970" s="602">
        <v>0.2</v>
      </c>
      <c r="I970" s="602">
        <v>3.86</v>
      </c>
      <c r="J970" s="235"/>
      <c r="K970" s="509"/>
      <c r="L970" s="510">
        <f t="shared" si="645"/>
        <v>4.0599999999999996</v>
      </c>
      <c r="M970" s="510">
        <f t="shared" si="394"/>
        <v>48.72</v>
      </c>
      <c r="N970" s="510">
        <f t="shared" si="437"/>
        <v>0</v>
      </c>
      <c r="O970" s="510">
        <f t="shared" si="438"/>
        <v>0</v>
      </c>
      <c r="P970" s="510">
        <f t="shared" si="439"/>
        <v>0</v>
      </c>
      <c r="Q970" s="510">
        <f t="shared" si="440"/>
        <v>0</v>
      </c>
      <c r="R970" s="510">
        <f t="shared" si="441"/>
        <v>0</v>
      </c>
    </row>
    <row r="971" spans="1:18">
      <c r="A971" s="505"/>
      <c r="B971" s="607" t="s">
        <v>256</v>
      </c>
      <c r="C971" s="507">
        <v>8</v>
      </c>
      <c r="D971" s="508">
        <v>200</v>
      </c>
      <c r="E971" s="507">
        <v>3</v>
      </c>
      <c r="F971" s="502">
        <v>1</v>
      </c>
      <c r="G971" s="502">
        <f>+ROUND(1.1/(D971/1000)+1,0)</f>
        <v>7</v>
      </c>
      <c r="H971" s="602">
        <v>0.2</v>
      </c>
      <c r="I971" s="602">
        <v>3.86</v>
      </c>
      <c r="J971" s="235"/>
      <c r="K971" s="509"/>
      <c r="L971" s="510">
        <f t="shared" si="645"/>
        <v>4.0599999999999996</v>
      </c>
      <c r="M971" s="510">
        <f t="shared" si="394"/>
        <v>85.26</v>
      </c>
      <c r="N971" s="510">
        <f t="shared" si="437"/>
        <v>0</v>
      </c>
      <c r="O971" s="510">
        <f t="shared" si="438"/>
        <v>0</v>
      </c>
      <c r="P971" s="510">
        <f t="shared" si="439"/>
        <v>0</v>
      </c>
      <c r="Q971" s="510">
        <f t="shared" si="440"/>
        <v>0</v>
      </c>
      <c r="R971" s="510">
        <f t="shared" si="441"/>
        <v>0</v>
      </c>
    </row>
    <row r="972" spans="1:18">
      <c r="A972" s="505"/>
      <c r="B972" s="511"/>
      <c r="C972" s="507"/>
      <c r="D972" s="508"/>
      <c r="E972" s="507"/>
      <c r="F972" s="502"/>
      <c r="G972" s="502"/>
      <c r="H972" s="602"/>
      <c r="I972" s="602"/>
      <c r="J972" s="235"/>
      <c r="K972" s="509"/>
      <c r="L972" s="510"/>
      <c r="M972" s="510"/>
      <c r="N972" s="510"/>
      <c r="O972" s="510"/>
      <c r="P972" s="510"/>
      <c r="Q972" s="510"/>
      <c r="R972" s="510"/>
    </row>
    <row r="973" spans="1:18">
      <c r="A973" s="505"/>
      <c r="B973" s="506" t="s">
        <v>1200</v>
      </c>
      <c r="C973" s="507"/>
      <c r="D973" s="508"/>
      <c r="E973" s="507"/>
      <c r="F973" s="502"/>
      <c r="G973" s="502"/>
      <c r="H973" s="602"/>
      <c r="I973" s="602"/>
      <c r="J973" s="235"/>
      <c r="K973" s="509"/>
      <c r="L973" s="510"/>
      <c r="M973" s="510">
        <f t="shared" ref="M973:M1000" si="646">+ROUND(IF(C973=8,PRODUCT(E973,F973,G973,L973),0),2)</f>
        <v>0</v>
      </c>
      <c r="N973" s="510">
        <f t="shared" ref="N973:N1000" si="647">+ROUND(IF(C973=10,PRODUCT(E973,F973,G973,L973),0),2)</f>
        <v>0</v>
      </c>
      <c r="O973" s="510">
        <f t="shared" ref="O973:O1000" si="648">+ROUND(IF(C973=12,PRODUCT(E973,F973,G973,L973),0),2)</f>
        <v>0</v>
      </c>
      <c r="P973" s="510">
        <f t="shared" ref="P973:P1000" si="649">+ROUND(IF(C973=16,PRODUCT(E973,F973,G973,L973),0),2)</f>
        <v>0</v>
      </c>
      <c r="Q973" s="510">
        <f t="shared" ref="Q973:Q1000" si="650">+ROUND(IF(C973=20,PRODUCT(E973,F973,G973,L973),0),2)</f>
        <v>0</v>
      </c>
      <c r="R973" s="510">
        <f t="shared" ref="R973:R1000" si="651">+ROUND(IF(C973=25,PRODUCT(E973,F973,G973,L973),0),2)</f>
        <v>0</v>
      </c>
    </row>
    <row r="974" spans="1:18">
      <c r="A974" s="505"/>
      <c r="B974" s="607" t="s">
        <v>1154</v>
      </c>
      <c r="C974" s="507">
        <v>8</v>
      </c>
      <c r="D974" s="508">
        <v>200</v>
      </c>
      <c r="E974" s="507">
        <v>3</v>
      </c>
      <c r="F974" s="502">
        <v>1</v>
      </c>
      <c r="G974" s="502">
        <f>+ROUND(3.55/(D974/1000)+1,0)</f>
        <v>19</v>
      </c>
      <c r="H974" s="602"/>
      <c r="I974" s="602">
        <f>3.265+0.175+0.175</f>
        <v>3.6149999999999998</v>
      </c>
      <c r="J974" s="235"/>
      <c r="K974" s="509"/>
      <c r="L974" s="510">
        <f t="shared" ref="L974" si="652">SUM(H974:J974)+K974</f>
        <v>3.6149999999999998</v>
      </c>
      <c r="M974" s="510">
        <f t="shared" si="646"/>
        <v>206.06</v>
      </c>
      <c r="N974" s="510">
        <f t="shared" si="647"/>
        <v>0</v>
      </c>
      <c r="O974" s="510">
        <f t="shared" si="648"/>
        <v>0</v>
      </c>
      <c r="P974" s="510">
        <f t="shared" si="649"/>
        <v>0</v>
      </c>
      <c r="Q974" s="510">
        <f t="shared" si="650"/>
        <v>0</v>
      </c>
      <c r="R974" s="510">
        <f t="shared" si="651"/>
        <v>0</v>
      </c>
    </row>
    <row r="975" spans="1:18">
      <c r="A975" s="505"/>
      <c r="B975" s="607" t="s">
        <v>1155</v>
      </c>
      <c r="C975" s="507">
        <v>8</v>
      </c>
      <c r="D975" s="508">
        <v>200</v>
      </c>
      <c r="E975" s="507">
        <v>3</v>
      </c>
      <c r="F975" s="502">
        <v>1</v>
      </c>
      <c r="G975" s="502">
        <f>+ROUND(3.265/(D975/1000)+1,0)</f>
        <v>17</v>
      </c>
      <c r="H975" s="602"/>
      <c r="I975" s="602">
        <f>0.175+3.55+0.2+0.5</f>
        <v>4.4249999999999998</v>
      </c>
      <c r="J975" s="235"/>
      <c r="K975" s="589"/>
      <c r="L975" s="510">
        <f>SUM(H975:J975)+K975</f>
        <v>4.4249999999999998</v>
      </c>
      <c r="M975" s="510">
        <f t="shared" si="646"/>
        <v>225.68</v>
      </c>
      <c r="N975" s="510">
        <f t="shared" si="647"/>
        <v>0</v>
      </c>
      <c r="O975" s="510">
        <f t="shared" si="648"/>
        <v>0</v>
      </c>
      <c r="P975" s="510">
        <f t="shared" si="649"/>
        <v>0</v>
      </c>
      <c r="Q975" s="510">
        <f t="shared" si="650"/>
        <v>0</v>
      </c>
      <c r="R975" s="510">
        <f t="shared" si="651"/>
        <v>0</v>
      </c>
    </row>
    <row r="976" spans="1:18">
      <c r="A976" s="505"/>
      <c r="B976" s="607" t="s">
        <v>1156</v>
      </c>
      <c r="C976" s="507">
        <v>8</v>
      </c>
      <c r="D976" s="508">
        <v>200</v>
      </c>
      <c r="E976" s="507">
        <v>3</v>
      </c>
      <c r="F976" s="502">
        <v>1</v>
      </c>
      <c r="G976" s="502">
        <f>+ROUND(3.55/(D976/1000)+1,0)</f>
        <v>19</v>
      </c>
      <c r="H976" s="602">
        <v>0.1</v>
      </c>
      <c r="I976" s="602">
        <f>0.6+0.175</f>
        <v>0.77499999999999991</v>
      </c>
      <c r="J976" s="235"/>
      <c r="K976" s="509"/>
      <c r="L976" s="510">
        <f>SUM(H976:J976)+K976</f>
        <v>0.87499999999999989</v>
      </c>
      <c r="M976" s="510">
        <f t="shared" si="646"/>
        <v>49.88</v>
      </c>
      <c r="N976" s="510">
        <f t="shared" si="647"/>
        <v>0</v>
      </c>
      <c r="O976" s="510">
        <f t="shared" si="648"/>
        <v>0</v>
      </c>
      <c r="P976" s="510">
        <f t="shared" si="649"/>
        <v>0</v>
      </c>
      <c r="Q976" s="510">
        <f t="shared" si="650"/>
        <v>0</v>
      </c>
      <c r="R976" s="510">
        <f t="shared" si="651"/>
        <v>0</v>
      </c>
    </row>
    <row r="977" spans="1:18">
      <c r="A977" s="505"/>
      <c r="B977" s="607" t="s">
        <v>1156</v>
      </c>
      <c r="C977" s="507">
        <v>8</v>
      </c>
      <c r="D977" s="508">
        <v>200</v>
      </c>
      <c r="E977" s="507">
        <v>3</v>
      </c>
      <c r="F977" s="502">
        <v>1</v>
      </c>
      <c r="G977" s="502">
        <f>+ROUND(3.265/(D977/1000)+1,0)</f>
        <v>17</v>
      </c>
      <c r="H977" s="602">
        <v>0.1</v>
      </c>
      <c r="I977" s="602">
        <f>0.6+0.175</f>
        <v>0.77499999999999991</v>
      </c>
      <c r="J977" s="235"/>
      <c r="K977" s="509"/>
      <c r="L977" s="510">
        <f t="shared" ref="L977:L986" si="653">SUM(H977:J977)+K977</f>
        <v>0.87499999999999989</v>
      </c>
      <c r="M977" s="510">
        <f t="shared" si="646"/>
        <v>44.63</v>
      </c>
      <c r="N977" s="510">
        <f t="shared" si="647"/>
        <v>0</v>
      </c>
      <c r="O977" s="510">
        <f t="shared" si="648"/>
        <v>0</v>
      </c>
      <c r="P977" s="510">
        <f t="shared" si="649"/>
        <v>0</v>
      </c>
      <c r="Q977" s="510">
        <f t="shared" si="650"/>
        <v>0</v>
      </c>
      <c r="R977" s="510">
        <f t="shared" si="651"/>
        <v>0</v>
      </c>
    </row>
    <row r="978" spans="1:18">
      <c r="A978" s="505"/>
      <c r="B978" s="607" t="s">
        <v>1156</v>
      </c>
      <c r="C978" s="507">
        <v>8</v>
      </c>
      <c r="D978" s="508">
        <v>200</v>
      </c>
      <c r="E978" s="507">
        <v>3</v>
      </c>
      <c r="F978" s="502">
        <v>1</v>
      </c>
      <c r="G978" s="502">
        <f>+ROUND(2.245/(D978/1000)+1,0)</f>
        <v>12</v>
      </c>
      <c r="H978" s="602">
        <v>0.1</v>
      </c>
      <c r="I978" s="602">
        <f>0.6+0.175</f>
        <v>0.77499999999999991</v>
      </c>
      <c r="J978" s="235"/>
      <c r="K978" s="509"/>
      <c r="L978" s="510">
        <f t="shared" si="653"/>
        <v>0.87499999999999989</v>
      </c>
      <c r="M978" s="510">
        <f t="shared" si="646"/>
        <v>31.5</v>
      </c>
      <c r="N978" s="510">
        <f t="shared" si="647"/>
        <v>0</v>
      </c>
      <c r="O978" s="510">
        <f t="shared" si="648"/>
        <v>0</v>
      </c>
      <c r="P978" s="510">
        <f t="shared" si="649"/>
        <v>0</v>
      </c>
      <c r="Q978" s="510">
        <f t="shared" si="650"/>
        <v>0</v>
      </c>
      <c r="R978" s="510">
        <f t="shared" si="651"/>
        <v>0</v>
      </c>
    </row>
    <row r="979" spans="1:18">
      <c r="A979" s="505"/>
      <c r="B979" s="607" t="s">
        <v>1158</v>
      </c>
      <c r="C979" s="507">
        <v>8</v>
      </c>
      <c r="D979" s="508">
        <v>175</v>
      </c>
      <c r="E979" s="507">
        <v>3</v>
      </c>
      <c r="F979" s="502">
        <v>1</v>
      </c>
      <c r="G979" s="502">
        <v>3</v>
      </c>
      <c r="H979" s="602"/>
      <c r="I979" s="602">
        <f>0.1+1.2</f>
        <v>1.3</v>
      </c>
      <c r="J979" s="235"/>
      <c r="K979" s="509"/>
      <c r="L979" s="510">
        <f t="shared" si="653"/>
        <v>1.3</v>
      </c>
      <c r="M979" s="510">
        <f t="shared" si="646"/>
        <v>11.7</v>
      </c>
      <c r="N979" s="510">
        <f t="shared" si="647"/>
        <v>0</v>
      </c>
      <c r="O979" s="510">
        <f t="shared" si="648"/>
        <v>0</v>
      </c>
      <c r="P979" s="510">
        <f t="shared" si="649"/>
        <v>0</v>
      </c>
      <c r="Q979" s="510">
        <f t="shared" si="650"/>
        <v>0</v>
      </c>
      <c r="R979" s="510">
        <f t="shared" si="651"/>
        <v>0</v>
      </c>
    </row>
    <row r="980" spans="1:18">
      <c r="A980" s="505"/>
      <c r="B980" s="607" t="s">
        <v>1158</v>
      </c>
      <c r="C980" s="507">
        <v>8</v>
      </c>
      <c r="D980" s="508">
        <v>175</v>
      </c>
      <c r="E980" s="507">
        <v>3</v>
      </c>
      <c r="F980" s="502">
        <v>1</v>
      </c>
      <c r="G980" s="502">
        <v>3</v>
      </c>
      <c r="H980" s="602"/>
      <c r="I980" s="602">
        <v>0.65</v>
      </c>
      <c r="J980" s="235"/>
      <c r="K980" s="509"/>
      <c r="L980" s="510">
        <f t="shared" si="653"/>
        <v>0.65</v>
      </c>
      <c r="M980" s="510">
        <f t="shared" si="646"/>
        <v>5.85</v>
      </c>
      <c r="N980" s="510">
        <f t="shared" si="647"/>
        <v>0</v>
      </c>
      <c r="O980" s="510">
        <f t="shared" si="648"/>
        <v>0</v>
      </c>
      <c r="P980" s="510">
        <f t="shared" si="649"/>
        <v>0</v>
      </c>
      <c r="Q980" s="510">
        <f t="shared" si="650"/>
        <v>0</v>
      </c>
      <c r="R980" s="510">
        <f t="shared" si="651"/>
        <v>0</v>
      </c>
    </row>
    <row r="981" spans="1:18">
      <c r="A981" s="505"/>
      <c r="B981" s="607" t="s">
        <v>1156</v>
      </c>
      <c r="C981" s="507">
        <v>8</v>
      </c>
      <c r="D981" s="508">
        <v>200</v>
      </c>
      <c r="E981" s="507">
        <v>3</v>
      </c>
      <c r="F981" s="502">
        <v>1</v>
      </c>
      <c r="G981" s="502">
        <f>+ROUND(3.265/(D981/1000)+1,0)/2</f>
        <v>8.5</v>
      </c>
      <c r="H981" s="602"/>
      <c r="I981" s="602">
        <f>0.1+1.1</f>
        <v>1.2000000000000002</v>
      </c>
      <c r="J981" s="235"/>
      <c r="K981" s="509"/>
      <c r="L981" s="510">
        <f t="shared" si="653"/>
        <v>1.2000000000000002</v>
      </c>
      <c r="M981" s="510">
        <f t="shared" si="646"/>
        <v>30.6</v>
      </c>
      <c r="N981" s="510">
        <f t="shared" si="647"/>
        <v>0</v>
      </c>
      <c r="O981" s="510">
        <f t="shared" si="648"/>
        <v>0</v>
      </c>
      <c r="P981" s="510">
        <f t="shared" si="649"/>
        <v>0</v>
      </c>
      <c r="Q981" s="510">
        <f t="shared" si="650"/>
        <v>0</v>
      </c>
      <c r="R981" s="510">
        <f t="shared" si="651"/>
        <v>0</v>
      </c>
    </row>
    <row r="982" spans="1:18">
      <c r="A982" s="505"/>
      <c r="B982" s="607" t="s">
        <v>1156</v>
      </c>
      <c r="C982" s="507">
        <v>8</v>
      </c>
      <c r="D982" s="508">
        <v>200</v>
      </c>
      <c r="E982" s="507">
        <v>3</v>
      </c>
      <c r="F982" s="502">
        <v>1</v>
      </c>
      <c r="G982" s="502">
        <v>8</v>
      </c>
      <c r="H982" s="602"/>
      <c r="I982" s="602">
        <f>0.1+0.55</f>
        <v>0.65</v>
      </c>
      <c r="J982" s="235"/>
      <c r="K982" s="509"/>
      <c r="L982" s="510">
        <f t="shared" si="653"/>
        <v>0.65</v>
      </c>
      <c r="M982" s="510">
        <f t="shared" si="646"/>
        <v>15.6</v>
      </c>
      <c r="N982" s="510">
        <f t="shared" si="647"/>
        <v>0</v>
      </c>
      <c r="O982" s="510">
        <f t="shared" si="648"/>
        <v>0</v>
      </c>
      <c r="P982" s="510">
        <f t="shared" si="649"/>
        <v>0</v>
      </c>
      <c r="Q982" s="510">
        <f t="shared" si="650"/>
        <v>0</v>
      </c>
      <c r="R982" s="510">
        <f t="shared" si="651"/>
        <v>0</v>
      </c>
    </row>
    <row r="983" spans="1:18">
      <c r="A983" s="505"/>
      <c r="B983" s="607" t="s">
        <v>1159</v>
      </c>
      <c r="C983" s="507">
        <v>8</v>
      </c>
      <c r="D983" s="508">
        <v>200</v>
      </c>
      <c r="E983" s="507">
        <v>3</v>
      </c>
      <c r="F983" s="502">
        <v>1</v>
      </c>
      <c r="G983" s="502">
        <f>+ROUND(0.6/(D983/1000)+1,0)</f>
        <v>4</v>
      </c>
      <c r="H983" s="602">
        <v>0.2</v>
      </c>
      <c r="I983" s="602">
        <v>3.2650000000000001</v>
      </c>
      <c r="J983" s="235"/>
      <c r="K983" s="509"/>
      <c r="L983" s="510">
        <f t="shared" si="653"/>
        <v>3.4650000000000003</v>
      </c>
      <c r="M983" s="510">
        <f t="shared" si="646"/>
        <v>41.58</v>
      </c>
      <c r="N983" s="510">
        <f t="shared" si="647"/>
        <v>0</v>
      </c>
      <c r="O983" s="510">
        <f t="shared" si="648"/>
        <v>0</v>
      </c>
      <c r="P983" s="510">
        <f t="shared" si="649"/>
        <v>0</v>
      </c>
      <c r="Q983" s="510">
        <f t="shared" si="650"/>
        <v>0</v>
      </c>
      <c r="R983" s="510">
        <f t="shared" si="651"/>
        <v>0</v>
      </c>
    </row>
    <row r="984" spans="1:18">
      <c r="A984" s="505"/>
      <c r="B984" s="607" t="s">
        <v>1159</v>
      </c>
      <c r="C984" s="507">
        <v>8</v>
      </c>
      <c r="D984" s="508">
        <v>200</v>
      </c>
      <c r="E984" s="507">
        <v>3</v>
      </c>
      <c r="F984" s="502">
        <v>1</v>
      </c>
      <c r="G984" s="502">
        <f>+ROUND(1.1/(D984/1000)+1,0)</f>
        <v>7</v>
      </c>
      <c r="H984" s="602">
        <v>0.2</v>
      </c>
      <c r="I984" s="602">
        <v>3.2650000000000001</v>
      </c>
      <c r="J984" s="235"/>
      <c r="K984" s="509"/>
      <c r="L984" s="510">
        <f t="shared" si="653"/>
        <v>3.4650000000000003</v>
      </c>
      <c r="M984" s="510">
        <f t="shared" si="646"/>
        <v>72.77</v>
      </c>
      <c r="N984" s="510">
        <f t="shared" si="647"/>
        <v>0</v>
      </c>
      <c r="O984" s="510">
        <f t="shared" si="648"/>
        <v>0</v>
      </c>
      <c r="P984" s="510">
        <f t="shared" si="649"/>
        <v>0</v>
      </c>
      <c r="Q984" s="510">
        <f t="shared" si="650"/>
        <v>0</v>
      </c>
      <c r="R984" s="510">
        <f t="shared" si="651"/>
        <v>0</v>
      </c>
    </row>
    <row r="985" spans="1:18">
      <c r="A985" s="505"/>
      <c r="B985" s="607" t="s">
        <v>1159</v>
      </c>
      <c r="C985" s="507">
        <v>8</v>
      </c>
      <c r="D985" s="508">
        <v>200</v>
      </c>
      <c r="E985" s="507">
        <v>3</v>
      </c>
      <c r="F985" s="502">
        <v>1</v>
      </c>
      <c r="G985" s="502">
        <f>+ROUND(0.6/(D985/1000)+1,0)</f>
        <v>4</v>
      </c>
      <c r="H985" s="602">
        <v>0.2</v>
      </c>
      <c r="I985" s="602">
        <v>3.55</v>
      </c>
      <c r="J985" s="235"/>
      <c r="K985" s="509"/>
      <c r="L985" s="510">
        <f t="shared" si="653"/>
        <v>3.75</v>
      </c>
      <c r="M985" s="510">
        <f t="shared" si="646"/>
        <v>45</v>
      </c>
      <c r="N985" s="510">
        <f t="shared" si="647"/>
        <v>0</v>
      </c>
      <c r="O985" s="510">
        <f t="shared" si="648"/>
        <v>0</v>
      </c>
      <c r="P985" s="510">
        <f t="shared" si="649"/>
        <v>0</v>
      </c>
      <c r="Q985" s="510">
        <f t="shared" si="650"/>
        <v>0</v>
      </c>
      <c r="R985" s="510">
        <f t="shared" si="651"/>
        <v>0</v>
      </c>
    </row>
    <row r="986" spans="1:18">
      <c r="A986" s="505"/>
      <c r="B986" s="607" t="s">
        <v>1159</v>
      </c>
      <c r="C986" s="507">
        <v>8</v>
      </c>
      <c r="D986" s="508">
        <v>200</v>
      </c>
      <c r="E986" s="507">
        <v>3</v>
      </c>
      <c r="F986" s="502">
        <v>1</v>
      </c>
      <c r="G986" s="502">
        <f>+ROUND(1.2/(D986/1000)+1,0)</f>
        <v>7</v>
      </c>
      <c r="H986" s="602">
        <v>0.2</v>
      </c>
      <c r="I986" s="602">
        <v>3.55</v>
      </c>
      <c r="J986" s="235"/>
      <c r="K986" s="509"/>
      <c r="L986" s="510">
        <f t="shared" si="653"/>
        <v>3.75</v>
      </c>
      <c r="M986" s="510">
        <f t="shared" si="646"/>
        <v>78.75</v>
      </c>
      <c r="N986" s="510">
        <f t="shared" si="647"/>
        <v>0</v>
      </c>
      <c r="O986" s="510">
        <f t="shared" si="648"/>
        <v>0</v>
      </c>
      <c r="P986" s="510">
        <f t="shared" si="649"/>
        <v>0</v>
      </c>
      <c r="Q986" s="510">
        <f t="shared" si="650"/>
        <v>0</v>
      </c>
      <c r="R986" s="510">
        <f t="shared" si="651"/>
        <v>0</v>
      </c>
    </row>
    <row r="987" spans="1:18">
      <c r="A987" s="505"/>
      <c r="B987" s="511"/>
      <c r="C987" s="507"/>
      <c r="D987" s="508"/>
      <c r="E987" s="507"/>
      <c r="F987" s="502"/>
      <c r="G987" s="502"/>
      <c r="H987" s="602"/>
      <c r="I987" s="602"/>
      <c r="J987" s="235"/>
      <c r="K987" s="509"/>
      <c r="L987" s="510"/>
      <c r="M987" s="510"/>
      <c r="N987" s="510"/>
      <c r="O987" s="510"/>
      <c r="P987" s="510"/>
      <c r="Q987" s="510"/>
      <c r="R987" s="510"/>
    </row>
    <row r="988" spans="1:18">
      <c r="A988" s="505"/>
      <c r="B988" s="506" t="s">
        <v>1201</v>
      </c>
      <c r="C988" s="507"/>
      <c r="D988" s="508"/>
      <c r="E988" s="507"/>
      <c r="F988" s="502"/>
      <c r="G988" s="502"/>
      <c r="H988" s="602"/>
      <c r="I988" s="602"/>
      <c r="J988" s="235"/>
      <c r="K988" s="509"/>
      <c r="L988" s="510"/>
      <c r="M988" s="510">
        <f t="shared" si="646"/>
        <v>0</v>
      </c>
      <c r="N988" s="510">
        <f t="shared" si="647"/>
        <v>0</v>
      </c>
      <c r="O988" s="510">
        <f t="shared" si="648"/>
        <v>0</v>
      </c>
      <c r="P988" s="510">
        <f t="shared" si="649"/>
        <v>0</v>
      </c>
      <c r="Q988" s="510">
        <f t="shared" si="650"/>
        <v>0</v>
      </c>
      <c r="R988" s="510">
        <f t="shared" si="651"/>
        <v>0</v>
      </c>
    </row>
    <row r="989" spans="1:18">
      <c r="A989" s="505"/>
      <c r="B989" s="607" t="s">
        <v>1202</v>
      </c>
      <c r="C989" s="507">
        <v>8</v>
      </c>
      <c r="D989" s="508">
        <v>200</v>
      </c>
      <c r="E989" s="507">
        <v>3</v>
      </c>
      <c r="F989" s="502">
        <v>2</v>
      </c>
      <c r="G989" s="502">
        <f>+ROUND(2.275/(D989/1000)+1,0)</f>
        <v>12</v>
      </c>
      <c r="H989" s="602"/>
      <c r="I989" s="602">
        <f>0.175+1.425+0.175</f>
        <v>1.7750000000000001</v>
      </c>
      <c r="J989" s="235"/>
      <c r="K989" s="589"/>
      <c r="L989" s="510">
        <f>SUM(H989:J989)+K989</f>
        <v>1.7750000000000001</v>
      </c>
      <c r="M989" s="510">
        <f t="shared" si="646"/>
        <v>127.8</v>
      </c>
      <c r="N989" s="510">
        <f t="shared" si="647"/>
        <v>0</v>
      </c>
      <c r="O989" s="510">
        <f t="shared" si="648"/>
        <v>0</v>
      </c>
      <c r="P989" s="510">
        <f t="shared" si="649"/>
        <v>0</v>
      </c>
      <c r="Q989" s="510">
        <f t="shared" si="650"/>
        <v>0</v>
      </c>
      <c r="R989" s="510">
        <f t="shared" si="651"/>
        <v>0</v>
      </c>
    </row>
    <row r="990" spans="1:18">
      <c r="A990" s="505"/>
      <c r="B990" s="607" t="s">
        <v>1155</v>
      </c>
      <c r="C990" s="507">
        <v>8</v>
      </c>
      <c r="D990" s="508">
        <v>200</v>
      </c>
      <c r="E990" s="507">
        <v>3</v>
      </c>
      <c r="F990" s="502">
        <v>2</v>
      </c>
      <c r="G990" s="502">
        <f>+ROUND(1.425/(D990/1000)+1,0)</f>
        <v>8</v>
      </c>
      <c r="H990" s="602"/>
      <c r="I990" s="602">
        <v>3.1949999999999998</v>
      </c>
      <c r="J990" s="235"/>
      <c r="K990" s="589"/>
      <c r="L990" s="510">
        <f>SUM(H990:J990)+K990</f>
        <v>3.1949999999999998</v>
      </c>
      <c r="M990" s="510">
        <f t="shared" si="646"/>
        <v>153.36000000000001</v>
      </c>
      <c r="N990" s="510">
        <f t="shared" si="647"/>
        <v>0</v>
      </c>
      <c r="O990" s="510">
        <f t="shared" si="648"/>
        <v>0</v>
      </c>
      <c r="P990" s="510">
        <f t="shared" si="649"/>
        <v>0</v>
      </c>
      <c r="Q990" s="510">
        <f t="shared" si="650"/>
        <v>0</v>
      </c>
      <c r="R990" s="510">
        <f t="shared" si="651"/>
        <v>0</v>
      </c>
    </row>
    <row r="991" spans="1:18">
      <c r="A991" s="505"/>
      <c r="B991" s="607" t="s">
        <v>1156</v>
      </c>
      <c r="C991" s="507">
        <v>8</v>
      </c>
      <c r="D991" s="508">
        <v>200</v>
      </c>
      <c r="E991" s="507">
        <v>3</v>
      </c>
      <c r="F991" s="502">
        <v>2</v>
      </c>
      <c r="G991" s="502">
        <v>12</v>
      </c>
      <c r="H991" s="602">
        <v>0.1</v>
      </c>
      <c r="I991" s="602">
        <f>0.6+0.15</f>
        <v>0.75</v>
      </c>
      <c r="J991" s="235"/>
      <c r="K991" s="509"/>
      <c r="L991" s="510">
        <f>SUM(H991:J991)+K991</f>
        <v>0.85</v>
      </c>
      <c r="M991" s="510">
        <f t="shared" si="646"/>
        <v>61.2</v>
      </c>
      <c r="N991" s="510">
        <f t="shared" si="647"/>
        <v>0</v>
      </c>
      <c r="O991" s="510">
        <f t="shared" si="648"/>
        <v>0</v>
      </c>
      <c r="P991" s="510">
        <f t="shared" si="649"/>
        <v>0</v>
      </c>
      <c r="Q991" s="510">
        <f t="shared" si="650"/>
        <v>0</v>
      </c>
      <c r="R991" s="510">
        <f t="shared" si="651"/>
        <v>0</v>
      </c>
    </row>
    <row r="992" spans="1:18">
      <c r="A992" s="505"/>
      <c r="B992" s="607" t="s">
        <v>1156</v>
      </c>
      <c r="C992" s="507">
        <v>8</v>
      </c>
      <c r="D992" s="508">
        <v>200</v>
      </c>
      <c r="E992" s="507">
        <v>3</v>
      </c>
      <c r="F992" s="502">
        <v>2</v>
      </c>
      <c r="G992" s="502">
        <f>+ROUND(2.275/(D992/1000)+1,0)</f>
        <v>12</v>
      </c>
      <c r="H992" s="602">
        <v>0.1</v>
      </c>
      <c r="I992" s="602">
        <f>0.45+0.175</f>
        <v>0.625</v>
      </c>
      <c r="J992" s="235"/>
      <c r="K992" s="509"/>
      <c r="L992" s="510">
        <f t="shared" ref="L992:L1000" si="654">SUM(H992:J992)+K992</f>
        <v>0.72499999999999998</v>
      </c>
      <c r="M992" s="510">
        <f t="shared" si="646"/>
        <v>52.2</v>
      </c>
      <c r="N992" s="510">
        <f t="shared" si="647"/>
        <v>0</v>
      </c>
      <c r="O992" s="510">
        <f t="shared" si="648"/>
        <v>0</v>
      </c>
      <c r="P992" s="510">
        <f t="shared" si="649"/>
        <v>0</v>
      </c>
      <c r="Q992" s="510">
        <f t="shared" si="650"/>
        <v>0</v>
      </c>
      <c r="R992" s="510">
        <f t="shared" si="651"/>
        <v>0</v>
      </c>
    </row>
    <row r="993" spans="1:18">
      <c r="A993" s="505"/>
      <c r="B993" s="607" t="s">
        <v>1156</v>
      </c>
      <c r="C993" s="507">
        <v>8</v>
      </c>
      <c r="D993" s="508">
        <v>200</v>
      </c>
      <c r="E993" s="507">
        <v>3</v>
      </c>
      <c r="F993" s="502">
        <v>2</v>
      </c>
      <c r="G993" s="502">
        <f>+ROUND(2.275/(D993/1000)+1,0)</f>
        <v>12</v>
      </c>
      <c r="H993" s="602">
        <v>0.1</v>
      </c>
      <c r="I993" s="602">
        <f>0.45+0.175</f>
        <v>0.625</v>
      </c>
      <c r="J993" s="235"/>
      <c r="K993" s="509"/>
      <c r="L993" s="510">
        <f t="shared" si="654"/>
        <v>0.72499999999999998</v>
      </c>
      <c r="M993" s="510">
        <f t="shared" si="646"/>
        <v>52.2</v>
      </c>
      <c r="N993" s="510">
        <f t="shared" si="647"/>
        <v>0</v>
      </c>
      <c r="O993" s="510">
        <f t="shared" si="648"/>
        <v>0</v>
      </c>
      <c r="P993" s="510">
        <f t="shared" si="649"/>
        <v>0</v>
      </c>
      <c r="Q993" s="510">
        <f t="shared" si="650"/>
        <v>0</v>
      </c>
      <c r="R993" s="510">
        <f t="shared" si="651"/>
        <v>0</v>
      </c>
    </row>
    <row r="994" spans="1:18">
      <c r="A994" s="505"/>
      <c r="B994" s="607" t="s">
        <v>1158</v>
      </c>
      <c r="C994" s="507">
        <v>8</v>
      </c>
      <c r="D994" s="508">
        <v>175</v>
      </c>
      <c r="E994" s="507">
        <v>3</v>
      </c>
      <c r="F994" s="502">
        <v>2</v>
      </c>
      <c r="G994" s="502">
        <f>+ROUND(1.135/(D994/1000)+1,0)</f>
        <v>7</v>
      </c>
      <c r="H994" s="602"/>
      <c r="I994" s="602">
        <f>0.1+0.55</f>
        <v>0.65</v>
      </c>
      <c r="J994" s="235"/>
      <c r="K994" s="509"/>
      <c r="L994" s="510">
        <f t="shared" si="654"/>
        <v>0.65</v>
      </c>
      <c r="M994" s="510">
        <f t="shared" si="646"/>
        <v>27.3</v>
      </c>
      <c r="N994" s="510">
        <f t="shared" si="647"/>
        <v>0</v>
      </c>
      <c r="O994" s="510">
        <f t="shared" si="648"/>
        <v>0</v>
      </c>
      <c r="P994" s="510">
        <f t="shared" si="649"/>
        <v>0</v>
      </c>
      <c r="Q994" s="510">
        <f t="shared" si="650"/>
        <v>0</v>
      </c>
      <c r="R994" s="510">
        <f t="shared" si="651"/>
        <v>0</v>
      </c>
    </row>
    <row r="995" spans="1:18">
      <c r="A995" s="505"/>
      <c r="B995" s="607" t="s">
        <v>1156</v>
      </c>
      <c r="C995" s="507">
        <v>8</v>
      </c>
      <c r="D995" s="508">
        <v>200</v>
      </c>
      <c r="E995" s="507">
        <v>3</v>
      </c>
      <c r="F995" s="502">
        <v>2</v>
      </c>
      <c r="G995" s="502">
        <f>+ROUND(1.135/(D995/1000)+1,0)</f>
        <v>7</v>
      </c>
      <c r="H995" s="602"/>
      <c r="I995" s="602">
        <f>0.1+0.55</f>
        <v>0.65</v>
      </c>
      <c r="J995" s="235"/>
      <c r="K995" s="509"/>
      <c r="L995" s="510">
        <f t="shared" si="654"/>
        <v>0.65</v>
      </c>
      <c r="M995" s="510">
        <f t="shared" si="646"/>
        <v>27.3</v>
      </c>
      <c r="N995" s="510">
        <f t="shared" si="647"/>
        <v>0</v>
      </c>
      <c r="O995" s="510">
        <f t="shared" si="648"/>
        <v>0</v>
      </c>
      <c r="P995" s="510">
        <f t="shared" si="649"/>
        <v>0</v>
      </c>
      <c r="Q995" s="510">
        <f t="shared" si="650"/>
        <v>0</v>
      </c>
      <c r="R995" s="510">
        <f t="shared" si="651"/>
        <v>0</v>
      </c>
    </row>
    <row r="996" spans="1:18">
      <c r="A996" s="505"/>
      <c r="B996" s="607" t="s">
        <v>1156</v>
      </c>
      <c r="C996" s="507">
        <v>8</v>
      </c>
      <c r="D996" s="508">
        <v>200</v>
      </c>
      <c r="E996" s="507">
        <v>3</v>
      </c>
      <c r="F996" s="502">
        <v>2</v>
      </c>
      <c r="G996" s="502">
        <v>8</v>
      </c>
      <c r="H996" s="602"/>
      <c r="I996" s="602">
        <f>0.1+0.6</f>
        <v>0.7</v>
      </c>
      <c r="J996" s="235"/>
      <c r="K996" s="509"/>
      <c r="L996" s="510">
        <f t="shared" si="654"/>
        <v>0.7</v>
      </c>
      <c r="M996" s="510">
        <f t="shared" si="646"/>
        <v>33.6</v>
      </c>
      <c r="N996" s="510">
        <f t="shared" si="647"/>
        <v>0</v>
      </c>
      <c r="O996" s="510">
        <f t="shared" si="648"/>
        <v>0</v>
      </c>
      <c r="P996" s="510">
        <f t="shared" si="649"/>
        <v>0</v>
      </c>
      <c r="Q996" s="510">
        <f t="shared" si="650"/>
        <v>0</v>
      </c>
      <c r="R996" s="510">
        <f t="shared" si="651"/>
        <v>0</v>
      </c>
    </row>
    <row r="997" spans="1:18">
      <c r="A997" s="505"/>
      <c r="B997" s="607" t="s">
        <v>1159</v>
      </c>
      <c r="C997" s="507">
        <v>8</v>
      </c>
      <c r="D997" s="508">
        <v>200</v>
      </c>
      <c r="E997" s="507">
        <v>3</v>
      </c>
      <c r="F997" s="502">
        <v>2</v>
      </c>
      <c r="G997" s="502">
        <f>+ROUND(0.6/(D997/1000)+1,0)</f>
        <v>4</v>
      </c>
      <c r="H997" s="602">
        <v>0.2</v>
      </c>
      <c r="I997" s="602">
        <v>1.57</v>
      </c>
      <c r="J997" s="235"/>
      <c r="K997" s="509"/>
      <c r="L997" s="510">
        <f t="shared" si="654"/>
        <v>1.77</v>
      </c>
      <c r="M997" s="510">
        <f t="shared" si="646"/>
        <v>42.48</v>
      </c>
      <c r="N997" s="510">
        <f t="shared" si="647"/>
        <v>0</v>
      </c>
      <c r="O997" s="510">
        <f t="shared" si="648"/>
        <v>0</v>
      </c>
      <c r="P997" s="510">
        <f t="shared" si="649"/>
        <v>0</v>
      </c>
      <c r="Q997" s="510">
        <f t="shared" si="650"/>
        <v>0</v>
      </c>
      <c r="R997" s="510">
        <f t="shared" si="651"/>
        <v>0</v>
      </c>
    </row>
    <row r="998" spans="1:18">
      <c r="A998" s="505"/>
      <c r="B998" s="607" t="s">
        <v>1159</v>
      </c>
      <c r="C998" s="507">
        <v>8</v>
      </c>
      <c r="D998" s="508">
        <v>200</v>
      </c>
      <c r="E998" s="507">
        <v>3</v>
      </c>
      <c r="F998" s="502">
        <v>2</v>
      </c>
      <c r="G998" s="502">
        <f>+ROUND(0.6/(D998/1000)+1,0)</f>
        <v>4</v>
      </c>
      <c r="H998" s="602">
        <v>0.2</v>
      </c>
      <c r="I998" s="602">
        <v>1.57</v>
      </c>
      <c r="J998" s="235"/>
      <c r="K998" s="509"/>
      <c r="L998" s="510">
        <f t="shared" si="654"/>
        <v>1.77</v>
      </c>
      <c r="M998" s="510">
        <f t="shared" si="646"/>
        <v>42.48</v>
      </c>
      <c r="N998" s="510">
        <f t="shared" si="647"/>
        <v>0</v>
      </c>
      <c r="O998" s="510">
        <f t="shared" si="648"/>
        <v>0</v>
      </c>
      <c r="P998" s="510">
        <f t="shared" si="649"/>
        <v>0</v>
      </c>
      <c r="Q998" s="510">
        <f t="shared" si="650"/>
        <v>0</v>
      </c>
      <c r="R998" s="510">
        <f t="shared" si="651"/>
        <v>0</v>
      </c>
    </row>
    <row r="999" spans="1:18">
      <c r="A999" s="505"/>
      <c r="B999" s="607" t="s">
        <v>1159</v>
      </c>
      <c r="C999" s="507">
        <v>8</v>
      </c>
      <c r="D999" s="508">
        <v>200</v>
      </c>
      <c r="E999" s="507">
        <v>3</v>
      </c>
      <c r="F999" s="502">
        <v>2</v>
      </c>
      <c r="G999" s="502">
        <f>+ROUND(0.55/(D999/1000)+1,0)</f>
        <v>4</v>
      </c>
      <c r="H999" s="602">
        <v>0.2</v>
      </c>
      <c r="I999" s="602">
        <v>3.5750000000000002</v>
      </c>
      <c r="J999" s="235"/>
      <c r="K999" s="509"/>
      <c r="L999" s="510">
        <f t="shared" si="654"/>
        <v>3.7750000000000004</v>
      </c>
      <c r="M999" s="510">
        <f t="shared" si="646"/>
        <v>90.6</v>
      </c>
      <c r="N999" s="510">
        <f t="shared" si="647"/>
        <v>0</v>
      </c>
      <c r="O999" s="510">
        <f t="shared" si="648"/>
        <v>0</v>
      </c>
      <c r="P999" s="510">
        <f t="shared" si="649"/>
        <v>0</v>
      </c>
      <c r="Q999" s="510">
        <f t="shared" si="650"/>
        <v>0</v>
      </c>
      <c r="R999" s="510">
        <f t="shared" si="651"/>
        <v>0</v>
      </c>
    </row>
    <row r="1000" spans="1:18">
      <c r="A1000" s="505"/>
      <c r="B1000" s="607" t="s">
        <v>1159</v>
      </c>
      <c r="C1000" s="507">
        <v>8</v>
      </c>
      <c r="D1000" s="508">
        <v>200</v>
      </c>
      <c r="E1000" s="507">
        <v>3</v>
      </c>
      <c r="F1000" s="502">
        <v>2</v>
      </c>
      <c r="G1000" s="502">
        <f>+ROUND(0.55/(D1000/1000)+1,0)</f>
        <v>4</v>
      </c>
      <c r="H1000" s="602">
        <v>0.2</v>
      </c>
      <c r="I1000" s="602">
        <v>3.5750000000000002</v>
      </c>
      <c r="J1000" s="235"/>
      <c r="K1000" s="509"/>
      <c r="L1000" s="510">
        <f t="shared" si="654"/>
        <v>3.7750000000000004</v>
      </c>
      <c r="M1000" s="510">
        <f t="shared" si="646"/>
        <v>90.6</v>
      </c>
      <c r="N1000" s="510">
        <f t="shared" si="647"/>
        <v>0</v>
      </c>
      <c r="O1000" s="510">
        <f t="shared" si="648"/>
        <v>0</v>
      </c>
      <c r="P1000" s="510">
        <f t="shared" si="649"/>
        <v>0</v>
      </c>
      <c r="Q1000" s="510">
        <f t="shared" si="650"/>
        <v>0</v>
      </c>
      <c r="R1000" s="510">
        <f t="shared" si="651"/>
        <v>0</v>
      </c>
    </row>
    <row r="1001" spans="1:18">
      <c r="A1001" s="505"/>
      <c r="B1001" s="511"/>
      <c r="C1001" s="507"/>
      <c r="D1001" s="508"/>
      <c r="E1001" s="507"/>
      <c r="F1001" s="502"/>
      <c r="G1001" s="502"/>
      <c r="H1001" s="602"/>
      <c r="I1001" s="602"/>
      <c r="J1001" s="235"/>
      <c r="K1001" s="509"/>
      <c r="L1001" s="510"/>
      <c r="M1001" s="510"/>
      <c r="N1001" s="510"/>
      <c r="O1001" s="510"/>
      <c r="P1001" s="510"/>
      <c r="Q1001" s="510"/>
      <c r="R1001" s="510"/>
    </row>
    <row r="1002" spans="1:18">
      <c r="A1002" s="505"/>
      <c r="B1002" s="506" t="s">
        <v>1301</v>
      </c>
      <c r="C1002" s="507"/>
      <c r="D1002" s="508"/>
      <c r="E1002" s="507"/>
      <c r="F1002" s="502"/>
      <c r="G1002" s="502"/>
      <c r="H1002" s="602"/>
      <c r="I1002" s="602"/>
      <c r="J1002" s="235"/>
      <c r="K1002" s="509"/>
      <c r="L1002" s="510"/>
      <c r="M1002" s="510">
        <f t="shared" ref="M1002:M1039" si="655">+ROUND(IF(C1002=8,PRODUCT(E1002,F1002,G1002,L1002),0),2)</f>
        <v>0</v>
      </c>
      <c r="N1002" s="510">
        <f t="shared" ref="N1002:N1039" si="656">+ROUND(IF(C1002=10,PRODUCT(E1002,F1002,G1002,L1002),0),2)</f>
        <v>0</v>
      </c>
      <c r="O1002" s="510">
        <f t="shared" ref="O1002:O1039" si="657">+ROUND(IF(C1002=12,PRODUCT(E1002,F1002,G1002,L1002),0),2)</f>
        <v>0</v>
      </c>
      <c r="P1002" s="510">
        <f t="shared" ref="P1002:P1039" si="658">+ROUND(IF(C1002=16,PRODUCT(E1002,F1002,G1002,L1002),0),2)</f>
        <v>0</v>
      </c>
      <c r="Q1002" s="510">
        <f t="shared" ref="Q1002:Q1039" si="659">+ROUND(IF(C1002=20,PRODUCT(E1002,F1002,G1002,L1002),0),2)</f>
        <v>0</v>
      </c>
      <c r="R1002" s="510">
        <f t="shared" ref="R1002:R1039" si="660">+ROUND(IF(C1002=25,PRODUCT(E1002,F1002,G1002,L1002),0),2)</f>
        <v>0</v>
      </c>
    </row>
    <row r="1003" spans="1:18">
      <c r="A1003" s="505"/>
      <c r="B1003" s="607" t="s">
        <v>1203</v>
      </c>
      <c r="C1003" s="507">
        <v>8</v>
      </c>
      <c r="D1003" s="508">
        <v>100</v>
      </c>
      <c r="E1003" s="507">
        <v>3</v>
      </c>
      <c r="F1003" s="502">
        <v>1</v>
      </c>
      <c r="G1003" s="502">
        <v>15</v>
      </c>
      <c r="H1003" s="602"/>
      <c r="I1003" s="602">
        <f>0.175+3.315+0.175</f>
        <v>3.6649999999999996</v>
      </c>
      <c r="J1003" s="235"/>
      <c r="K1003" s="509"/>
      <c r="L1003" s="510">
        <f t="shared" ref="L1003" si="661">SUM(H1003:J1003)+K1003</f>
        <v>3.6649999999999996</v>
      </c>
      <c r="M1003" s="510">
        <f t="shared" si="655"/>
        <v>164.93</v>
      </c>
      <c r="N1003" s="510">
        <f t="shared" si="656"/>
        <v>0</v>
      </c>
      <c r="O1003" s="510">
        <f t="shared" si="657"/>
        <v>0</v>
      </c>
      <c r="P1003" s="510">
        <f t="shared" si="658"/>
        <v>0</v>
      </c>
      <c r="Q1003" s="510">
        <f t="shared" si="659"/>
        <v>0</v>
      </c>
      <c r="R1003" s="510">
        <f t="shared" si="660"/>
        <v>0</v>
      </c>
    </row>
    <row r="1004" spans="1:18">
      <c r="A1004" s="505"/>
      <c r="B1004" s="607" t="s">
        <v>1203</v>
      </c>
      <c r="C1004" s="507">
        <v>8</v>
      </c>
      <c r="D1004" s="508">
        <v>100</v>
      </c>
      <c r="E1004" s="507">
        <v>3</v>
      </c>
      <c r="F1004" s="502">
        <v>1</v>
      </c>
      <c r="G1004" s="502">
        <f>+ROUND(3.075/(D1004/1000)+1,0)/2</f>
        <v>16</v>
      </c>
      <c r="H1004" s="602"/>
      <c r="I1004" s="602">
        <f>3.315-0.5-0.35</f>
        <v>2.4649999999999999</v>
      </c>
      <c r="J1004" s="235"/>
      <c r="K1004" s="509"/>
      <c r="L1004" s="510">
        <f t="shared" ref="L1004" si="662">SUM(H1004:J1004)+K1004</f>
        <v>2.4649999999999999</v>
      </c>
      <c r="M1004" s="510">
        <f t="shared" si="655"/>
        <v>118.32</v>
      </c>
      <c r="N1004" s="510">
        <f t="shared" si="656"/>
        <v>0</v>
      </c>
      <c r="O1004" s="510">
        <f t="shared" si="657"/>
        <v>0</v>
      </c>
      <c r="P1004" s="510">
        <f t="shared" si="658"/>
        <v>0</v>
      </c>
      <c r="Q1004" s="510">
        <f t="shared" si="659"/>
        <v>0</v>
      </c>
      <c r="R1004" s="510">
        <f t="shared" si="660"/>
        <v>0</v>
      </c>
    </row>
    <row r="1005" spans="1:18">
      <c r="A1005" s="505"/>
      <c r="B1005" s="607" t="s">
        <v>1203</v>
      </c>
      <c r="C1005" s="507">
        <v>8</v>
      </c>
      <c r="D1005" s="508">
        <v>100</v>
      </c>
      <c r="E1005" s="507">
        <v>3</v>
      </c>
      <c r="F1005" s="502">
        <v>1</v>
      </c>
      <c r="G1005" s="502">
        <f>+ROUND(3.17/(D1005/1000)+1,0)/2</f>
        <v>16.5</v>
      </c>
      <c r="H1005" s="602"/>
      <c r="I1005" s="602">
        <f>0.175+5.125+0.175</f>
        <v>5.4749999999999996</v>
      </c>
      <c r="J1005" s="235"/>
      <c r="K1005" s="509"/>
      <c r="L1005" s="510">
        <f t="shared" ref="L1005" si="663">SUM(H1005:J1005)+K1005</f>
        <v>5.4749999999999996</v>
      </c>
      <c r="M1005" s="510">
        <f t="shared" si="655"/>
        <v>271.01</v>
      </c>
      <c r="N1005" s="510">
        <f t="shared" si="656"/>
        <v>0</v>
      </c>
      <c r="O1005" s="510">
        <f t="shared" si="657"/>
        <v>0</v>
      </c>
      <c r="P1005" s="510">
        <f t="shared" si="658"/>
        <v>0</v>
      </c>
      <c r="Q1005" s="510">
        <f t="shared" si="659"/>
        <v>0</v>
      </c>
      <c r="R1005" s="510">
        <f t="shared" si="660"/>
        <v>0</v>
      </c>
    </row>
    <row r="1006" spans="1:18">
      <c r="A1006" s="505"/>
      <c r="B1006" s="607" t="s">
        <v>1203</v>
      </c>
      <c r="C1006" s="507">
        <v>8</v>
      </c>
      <c r="D1006" s="508">
        <v>100</v>
      </c>
      <c r="E1006" s="507">
        <v>3</v>
      </c>
      <c r="F1006" s="502">
        <v>1</v>
      </c>
      <c r="G1006" s="502">
        <f>+ROUND(3.17/(D1006/1000)+1,0)/2</f>
        <v>16.5</v>
      </c>
      <c r="H1006" s="602"/>
      <c r="I1006" s="602">
        <f>5.125-0.5-0.8</f>
        <v>3.8250000000000002</v>
      </c>
      <c r="J1006" s="235"/>
      <c r="K1006" s="509"/>
      <c r="L1006" s="510">
        <f t="shared" ref="L1006" si="664">SUM(H1006:J1006)+K1006</f>
        <v>3.8250000000000002</v>
      </c>
      <c r="M1006" s="510">
        <f t="shared" si="655"/>
        <v>189.34</v>
      </c>
      <c r="N1006" s="510">
        <f t="shared" si="656"/>
        <v>0</v>
      </c>
      <c r="O1006" s="510">
        <f t="shared" si="657"/>
        <v>0</v>
      </c>
      <c r="P1006" s="510">
        <f t="shared" si="658"/>
        <v>0</v>
      </c>
      <c r="Q1006" s="510">
        <f t="shared" si="659"/>
        <v>0</v>
      </c>
      <c r="R1006" s="510">
        <f t="shared" si="660"/>
        <v>0</v>
      </c>
    </row>
    <row r="1007" spans="1:18">
      <c r="A1007" s="505"/>
      <c r="B1007" s="607" t="s">
        <v>1204</v>
      </c>
      <c r="C1007" s="507">
        <v>8</v>
      </c>
      <c r="D1007" s="508">
        <v>150</v>
      </c>
      <c r="E1007" s="507">
        <v>3</v>
      </c>
      <c r="F1007" s="502">
        <v>1</v>
      </c>
      <c r="G1007" s="502">
        <v>17</v>
      </c>
      <c r="H1007" s="602"/>
      <c r="I1007" s="602">
        <v>7.11</v>
      </c>
      <c r="J1007" s="235"/>
      <c r="K1007" s="589"/>
      <c r="L1007" s="510">
        <f>SUM(H1007:J1007)+K1007</f>
        <v>7.11</v>
      </c>
      <c r="M1007" s="510">
        <f t="shared" si="655"/>
        <v>362.61</v>
      </c>
      <c r="N1007" s="510">
        <f t="shared" si="656"/>
        <v>0</v>
      </c>
      <c r="O1007" s="510">
        <f t="shared" si="657"/>
        <v>0</v>
      </c>
      <c r="P1007" s="510">
        <f t="shared" si="658"/>
        <v>0</v>
      </c>
      <c r="Q1007" s="510">
        <f t="shared" si="659"/>
        <v>0</v>
      </c>
      <c r="R1007" s="510">
        <f t="shared" si="660"/>
        <v>0</v>
      </c>
    </row>
    <row r="1008" spans="1:18">
      <c r="A1008" s="505"/>
      <c r="B1008" s="607" t="s">
        <v>1204</v>
      </c>
      <c r="C1008" s="507">
        <v>8</v>
      </c>
      <c r="D1008" s="508">
        <v>150</v>
      </c>
      <c r="E1008" s="507">
        <v>3</v>
      </c>
      <c r="F1008" s="502">
        <v>1</v>
      </c>
      <c r="G1008" s="502">
        <v>17</v>
      </c>
      <c r="H1008" s="602"/>
      <c r="I1008" s="602">
        <v>4.8600000000000003</v>
      </c>
      <c r="J1008" s="235"/>
      <c r="K1008" s="589"/>
      <c r="L1008" s="510">
        <f>SUM(H1008:J1008)+K1008</f>
        <v>4.8600000000000003</v>
      </c>
      <c r="M1008" s="510">
        <f t="shared" si="655"/>
        <v>247.86</v>
      </c>
      <c r="N1008" s="510">
        <f t="shared" si="656"/>
        <v>0</v>
      </c>
      <c r="O1008" s="510">
        <f t="shared" si="657"/>
        <v>0</v>
      </c>
      <c r="P1008" s="510">
        <f t="shared" si="658"/>
        <v>0</v>
      </c>
      <c r="Q1008" s="510">
        <f t="shared" si="659"/>
        <v>0</v>
      </c>
      <c r="R1008" s="510">
        <f t="shared" si="660"/>
        <v>0</v>
      </c>
    </row>
    <row r="1009" spans="1:18">
      <c r="A1009" s="505"/>
      <c r="B1009" s="607" t="s">
        <v>1204</v>
      </c>
      <c r="C1009" s="507">
        <v>8</v>
      </c>
      <c r="D1009" s="508">
        <v>150</v>
      </c>
      <c r="E1009" s="507">
        <v>3</v>
      </c>
      <c r="F1009" s="502">
        <v>1</v>
      </c>
      <c r="G1009" s="502">
        <v>9</v>
      </c>
      <c r="H1009" s="602"/>
      <c r="I1009" s="602">
        <f>0.175+3.17+0.175</f>
        <v>3.5199999999999996</v>
      </c>
      <c r="J1009" s="235"/>
      <c r="K1009" s="589"/>
      <c r="L1009" s="510">
        <f>SUM(H1009:J1009)+K1009</f>
        <v>3.5199999999999996</v>
      </c>
      <c r="M1009" s="510">
        <f t="shared" si="655"/>
        <v>95.04</v>
      </c>
      <c r="N1009" s="510">
        <f t="shared" si="656"/>
        <v>0</v>
      </c>
      <c r="O1009" s="510">
        <f t="shared" si="657"/>
        <v>0</v>
      </c>
      <c r="P1009" s="510">
        <f t="shared" si="658"/>
        <v>0</v>
      </c>
      <c r="Q1009" s="510">
        <f t="shared" si="659"/>
        <v>0</v>
      </c>
      <c r="R1009" s="510">
        <f t="shared" si="660"/>
        <v>0</v>
      </c>
    </row>
    <row r="1010" spans="1:18">
      <c r="A1010" s="505"/>
      <c r="B1010" s="607" t="s">
        <v>1204</v>
      </c>
      <c r="C1010" s="507">
        <v>8</v>
      </c>
      <c r="D1010" s="508">
        <v>150</v>
      </c>
      <c r="E1010" s="507">
        <v>3</v>
      </c>
      <c r="F1010" s="502">
        <v>1</v>
      </c>
      <c r="G1010" s="502">
        <v>8</v>
      </c>
      <c r="H1010" s="602"/>
      <c r="I1010" s="602">
        <f>3.17-0.6-0.95</f>
        <v>1.6199999999999999</v>
      </c>
      <c r="J1010" s="235"/>
      <c r="K1010" s="589"/>
      <c r="L1010" s="510">
        <f>SUM(H1010:J1010)+K1010</f>
        <v>1.6199999999999999</v>
      </c>
      <c r="M1010" s="510">
        <f t="shared" si="655"/>
        <v>38.880000000000003</v>
      </c>
      <c r="N1010" s="510">
        <f t="shared" si="656"/>
        <v>0</v>
      </c>
      <c r="O1010" s="510">
        <f t="shared" si="657"/>
        <v>0</v>
      </c>
      <c r="P1010" s="510">
        <f t="shared" si="658"/>
        <v>0</v>
      </c>
      <c r="Q1010" s="510">
        <f t="shared" si="659"/>
        <v>0</v>
      </c>
      <c r="R1010" s="510">
        <f t="shared" si="660"/>
        <v>0</v>
      </c>
    </row>
    <row r="1011" spans="1:18">
      <c r="A1011" s="505"/>
      <c r="B1011" s="607" t="s">
        <v>1168</v>
      </c>
      <c r="C1011" s="507">
        <v>8</v>
      </c>
      <c r="D1011" s="508">
        <v>150</v>
      </c>
      <c r="E1011" s="507">
        <v>3</v>
      </c>
      <c r="F1011" s="502">
        <v>1</v>
      </c>
      <c r="G1011" s="502">
        <f>+ROUND(3.315/(D1011/1000)+1,0)</f>
        <v>23</v>
      </c>
      <c r="H1011" s="602">
        <v>0.1</v>
      </c>
      <c r="I1011" s="602">
        <f>1+0.175</f>
        <v>1.175</v>
      </c>
      <c r="J1011" s="235"/>
      <c r="K1011" s="509"/>
      <c r="L1011" s="510">
        <f>SUM(H1011:J1011)+K1011</f>
        <v>1.2750000000000001</v>
      </c>
      <c r="M1011" s="510">
        <f t="shared" si="655"/>
        <v>87.98</v>
      </c>
      <c r="N1011" s="510">
        <f t="shared" si="656"/>
        <v>0</v>
      </c>
      <c r="O1011" s="510">
        <f t="shared" si="657"/>
        <v>0</v>
      </c>
      <c r="P1011" s="510">
        <f t="shared" si="658"/>
        <v>0</v>
      </c>
      <c r="Q1011" s="510">
        <f t="shared" si="659"/>
        <v>0</v>
      </c>
      <c r="R1011" s="510">
        <f t="shared" si="660"/>
        <v>0</v>
      </c>
    </row>
    <row r="1012" spans="1:18">
      <c r="A1012" s="505"/>
      <c r="B1012" s="607" t="s">
        <v>1205</v>
      </c>
      <c r="C1012" s="507">
        <v>8</v>
      </c>
      <c r="D1012" s="508">
        <v>125</v>
      </c>
      <c r="E1012" s="507">
        <v>3</v>
      </c>
      <c r="F1012" s="502">
        <v>1</v>
      </c>
      <c r="G1012" s="502">
        <f>+ROUND(3.12/(D1012/1000)+1,0)</f>
        <v>26</v>
      </c>
      <c r="H1012" s="602">
        <v>0.1</v>
      </c>
      <c r="I1012" s="602">
        <f>0.55+0.15</f>
        <v>0.70000000000000007</v>
      </c>
      <c r="J1012" s="235"/>
      <c r="K1012" s="509"/>
      <c r="L1012" s="510">
        <f t="shared" ref="L1012" si="665">SUM(H1012:J1012)+K1012</f>
        <v>0.8</v>
      </c>
      <c r="M1012" s="510">
        <f t="shared" si="655"/>
        <v>62.4</v>
      </c>
      <c r="N1012" s="510">
        <f t="shared" si="656"/>
        <v>0</v>
      </c>
      <c r="O1012" s="510">
        <f t="shared" si="657"/>
        <v>0</v>
      </c>
      <c r="P1012" s="510">
        <f t="shared" si="658"/>
        <v>0</v>
      </c>
      <c r="Q1012" s="510">
        <f t="shared" si="659"/>
        <v>0</v>
      </c>
      <c r="R1012" s="510">
        <f t="shared" si="660"/>
        <v>0</v>
      </c>
    </row>
    <row r="1013" spans="1:18">
      <c r="A1013" s="505"/>
      <c r="B1013" s="607" t="s">
        <v>1157</v>
      </c>
      <c r="C1013" s="507">
        <v>8</v>
      </c>
      <c r="D1013" s="508">
        <v>100</v>
      </c>
      <c r="E1013" s="507">
        <v>3</v>
      </c>
      <c r="F1013" s="502">
        <v>1</v>
      </c>
      <c r="G1013" s="502">
        <f>+ROUND(3.12/(D1013/1000)+1,0)/2</f>
        <v>16</v>
      </c>
      <c r="H1013" s="602"/>
      <c r="I1013" s="602">
        <f>0.1+1.6</f>
        <v>1.7000000000000002</v>
      </c>
      <c r="J1013" s="235"/>
      <c r="K1013" s="509"/>
      <c r="L1013" s="510">
        <f>SUM(H1013:J1013)+K1013</f>
        <v>1.7000000000000002</v>
      </c>
      <c r="M1013" s="510">
        <f t="shared" si="655"/>
        <v>81.599999999999994</v>
      </c>
      <c r="N1013" s="510">
        <f t="shared" si="656"/>
        <v>0</v>
      </c>
      <c r="O1013" s="510">
        <f t="shared" si="657"/>
        <v>0</v>
      </c>
      <c r="P1013" s="510">
        <f t="shared" si="658"/>
        <v>0</v>
      </c>
      <c r="Q1013" s="510">
        <f t="shared" si="659"/>
        <v>0</v>
      </c>
      <c r="R1013" s="510">
        <f t="shared" si="660"/>
        <v>0</v>
      </c>
    </row>
    <row r="1014" spans="1:18">
      <c r="A1014" s="505"/>
      <c r="B1014" s="607" t="s">
        <v>1157</v>
      </c>
      <c r="C1014" s="507">
        <v>8</v>
      </c>
      <c r="D1014" s="508">
        <v>100</v>
      </c>
      <c r="E1014" s="507">
        <v>3</v>
      </c>
      <c r="F1014" s="502">
        <v>1</v>
      </c>
      <c r="G1014" s="502">
        <f>+ROUND(3.12/(D1014/1000)+1,0)/2</f>
        <v>16</v>
      </c>
      <c r="H1014" s="602"/>
      <c r="I1014" s="602">
        <f>0.1+0.8</f>
        <v>0.9</v>
      </c>
      <c r="J1014" s="235"/>
      <c r="K1014" s="509"/>
      <c r="L1014" s="510">
        <f>SUM(H1014:J1014)+K1014</f>
        <v>0.9</v>
      </c>
      <c r="M1014" s="510">
        <f t="shared" si="655"/>
        <v>43.2</v>
      </c>
      <c r="N1014" s="510">
        <f t="shared" si="656"/>
        <v>0</v>
      </c>
      <c r="O1014" s="510">
        <f t="shared" si="657"/>
        <v>0</v>
      </c>
      <c r="P1014" s="510">
        <f t="shared" si="658"/>
        <v>0</v>
      </c>
      <c r="Q1014" s="510">
        <f t="shared" si="659"/>
        <v>0</v>
      </c>
      <c r="R1014" s="510">
        <f t="shared" si="660"/>
        <v>0</v>
      </c>
    </row>
    <row r="1015" spans="1:18">
      <c r="A1015" s="505"/>
      <c r="B1015" s="607" t="s">
        <v>1168</v>
      </c>
      <c r="C1015" s="507">
        <v>8</v>
      </c>
      <c r="D1015" s="508">
        <v>150</v>
      </c>
      <c r="E1015" s="507">
        <v>3</v>
      </c>
      <c r="F1015" s="502">
        <v>1</v>
      </c>
      <c r="G1015" s="502">
        <v>12</v>
      </c>
      <c r="H1015" s="602"/>
      <c r="I1015" s="602">
        <f>0.1+2</f>
        <v>2.1</v>
      </c>
      <c r="J1015" s="235"/>
      <c r="K1015" s="509"/>
      <c r="L1015" s="510">
        <f t="shared" ref="L1015:L1016" si="666">SUM(H1015:J1015)+K1015</f>
        <v>2.1</v>
      </c>
      <c r="M1015" s="510">
        <f t="shared" si="655"/>
        <v>75.599999999999994</v>
      </c>
      <c r="N1015" s="510">
        <f t="shared" si="656"/>
        <v>0</v>
      </c>
      <c r="O1015" s="510">
        <f t="shared" si="657"/>
        <v>0</v>
      </c>
      <c r="P1015" s="510">
        <f t="shared" si="658"/>
        <v>0</v>
      </c>
      <c r="Q1015" s="510">
        <f t="shared" si="659"/>
        <v>0</v>
      </c>
      <c r="R1015" s="510">
        <f t="shared" si="660"/>
        <v>0</v>
      </c>
    </row>
    <row r="1016" spans="1:18">
      <c r="A1016" s="505"/>
      <c r="B1016" s="607" t="s">
        <v>1168</v>
      </c>
      <c r="C1016" s="507">
        <v>8</v>
      </c>
      <c r="D1016" s="508">
        <v>150</v>
      </c>
      <c r="E1016" s="507">
        <v>3</v>
      </c>
      <c r="F1016" s="502">
        <v>1</v>
      </c>
      <c r="G1016" s="502">
        <v>11</v>
      </c>
      <c r="H1016" s="602"/>
      <c r="I1016" s="602">
        <f>0.1+1</f>
        <v>1.1000000000000001</v>
      </c>
      <c r="J1016" s="235"/>
      <c r="K1016" s="509"/>
      <c r="L1016" s="510">
        <f t="shared" si="666"/>
        <v>1.1000000000000001</v>
      </c>
      <c r="M1016" s="510">
        <f t="shared" si="655"/>
        <v>36.299999999999997</v>
      </c>
      <c r="N1016" s="510">
        <f t="shared" si="656"/>
        <v>0</v>
      </c>
      <c r="O1016" s="510">
        <f t="shared" si="657"/>
        <v>0</v>
      </c>
      <c r="P1016" s="510">
        <f t="shared" si="658"/>
        <v>0</v>
      </c>
      <c r="Q1016" s="510">
        <f t="shared" si="659"/>
        <v>0</v>
      </c>
      <c r="R1016" s="510">
        <f t="shared" si="660"/>
        <v>0</v>
      </c>
    </row>
    <row r="1017" spans="1:18">
      <c r="A1017" s="505"/>
      <c r="B1017" s="607" t="s">
        <v>1168</v>
      </c>
      <c r="C1017" s="507">
        <v>8</v>
      </c>
      <c r="D1017" s="508">
        <v>150</v>
      </c>
      <c r="E1017" s="507">
        <v>3</v>
      </c>
      <c r="F1017" s="502">
        <v>1</v>
      </c>
      <c r="G1017" s="502">
        <v>12</v>
      </c>
      <c r="H1017" s="602"/>
      <c r="I1017" s="602">
        <f>0.1+1</f>
        <v>1.1000000000000001</v>
      </c>
      <c r="J1017" s="235"/>
      <c r="K1017" s="509"/>
      <c r="L1017" s="510">
        <f t="shared" ref="L1017:L1018" si="667">SUM(H1017:J1017)+K1017</f>
        <v>1.1000000000000001</v>
      </c>
      <c r="M1017" s="510">
        <f t="shared" si="655"/>
        <v>39.6</v>
      </c>
      <c r="N1017" s="510">
        <f t="shared" si="656"/>
        <v>0</v>
      </c>
      <c r="O1017" s="510">
        <f t="shared" si="657"/>
        <v>0</v>
      </c>
      <c r="P1017" s="510">
        <f t="shared" si="658"/>
        <v>0</v>
      </c>
      <c r="Q1017" s="510">
        <f t="shared" si="659"/>
        <v>0</v>
      </c>
      <c r="R1017" s="510">
        <f t="shared" si="660"/>
        <v>0</v>
      </c>
    </row>
    <row r="1018" spans="1:18">
      <c r="A1018" s="505"/>
      <c r="B1018" s="607" t="s">
        <v>1168</v>
      </c>
      <c r="C1018" s="507">
        <v>8</v>
      </c>
      <c r="D1018" s="508">
        <v>150</v>
      </c>
      <c r="E1018" s="507">
        <v>3</v>
      </c>
      <c r="F1018" s="502">
        <v>1</v>
      </c>
      <c r="G1018" s="502">
        <v>12</v>
      </c>
      <c r="H1018" s="602"/>
      <c r="I1018" s="602">
        <f>0.1+0.5</f>
        <v>0.6</v>
      </c>
      <c r="J1018" s="235"/>
      <c r="K1018" s="509"/>
      <c r="L1018" s="510">
        <f t="shared" si="667"/>
        <v>0.6</v>
      </c>
      <c r="M1018" s="510">
        <f t="shared" si="655"/>
        <v>21.6</v>
      </c>
      <c r="N1018" s="510">
        <f t="shared" si="656"/>
        <v>0</v>
      </c>
      <c r="O1018" s="510">
        <f t="shared" si="657"/>
        <v>0</v>
      </c>
      <c r="P1018" s="510">
        <f t="shared" si="658"/>
        <v>0</v>
      </c>
      <c r="Q1018" s="510">
        <f t="shared" si="659"/>
        <v>0</v>
      </c>
      <c r="R1018" s="510">
        <f t="shared" si="660"/>
        <v>0</v>
      </c>
    </row>
    <row r="1019" spans="1:18">
      <c r="A1019" s="505"/>
      <c r="B1019" s="607" t="s">
        <v>1205</v>
      </c>
      <c r="C1019" s="507">
        <v>8</v>
      </c>
      <c r="D1019" s="508">
        <v>125</v>
      </c>
      <c r="E1019" s="507">
        <v>3</v>
      </c>
      <c r="F1019" s="502">
        <v>1</v>
      </c>
      <c r="G1019" s="502">
        <f>+ROUND(1.85/(D1019/1000)+1,0)</f>
        <v>16</v>
      </c>
      <c r="H1019" s="602">
        <v>0.1</v>
      </c>
      <c r="I1019" s="602">
        <v>0.97499999999999998</v>
      </c>
      <c r="J1019" s="235"/>
      <c r="K1019" s="509"/>
      <c r="L1019" s="510">
        <f t="shared" ref="L1019:L1020" si="668">SUM(H1019:J1019)+K1019</f>
        <v>1.075</v>
      </c>
      <c r="M1019" s="510">
        <f t="shared" si="655"/>
        <v>51.6</v>
      </c>
      <c r="N1019" s="510">
        <f t="shared" si="656"/>
        <v>0</v>
      </c>
      <c r="O1019" s="510">
        <f t="shared" si="657"/>
        <v>0</v>
      </c>
      <c r="P1019" s="510">
        <f t="shared" si="658"/>
        <v>0</v>
      </c>
      <c r="Q1019" s="510">
        <f t="shared" si="659"/>
        <v>0</v>
      </c>
      <c r="R1019" s="510">
        <f t="shared" si="660"/>
        <v>0</v>
      </c>
    </row>
    <row r="1020" spans="1:18">
      <c r="A1020" s="505"/>
      <c r="B1020" s="607" t="s">
        <v>1157</v>
      </c>
      <c r="C1020" s="507">
        <v>8</v>
      </c>
      <c r="D1020" s="508">
        <v>100</v>
      </c>
      <c r="E1020" s="507">
        <v>3</v>
      </c>
      <c r="F1020" s="502">
        <v>1</v>
      </c>
      <c r="G1020" s="502">
        <v>6</v>
      </c>
      <c r="H1020" s="602"/>
      <c r="I1020" s="602">
        <f>0.1+1.6</f>
        <v>1.7000000000000002</v>
      </c>
      <c r="J1020" s="235"/>
      <c r="K1020" s="509"/>
      <c r="L1020" s="510">
        <f t="shared" si="668"/>
        <v>1.7000000000000002</v>
      </c>
      <c r="M1020" s="510">
        <f t="shared" si="655"/>
        <v>30.6</v>
      </c>
      <c r="N1020" s="510">
        <f t="shared" si="656"/>
        <v>0</v>
      </c>
      <c r="O1020" s="510">
        <f t="shared" si="657"/>
        <v>0</v>
      </c>
      <c r="P1020" s="510">
        <f t="shared" si="658"/>
        <v>0</v>
      </c>
      <c r="Q1020" s="510">
        <f t="shared" si="659"/>
        <v>0</v>
      </c>
      <c r="R1020" s="510">
        <f t="shared" si="660"/>
        <v>0</v>
      </c>
    </row>
    <row r="1021" spans="1:18">
      <c r="A1021" s="505"/>
      <c r="B1021" s="607" t="s">
        <v>1157</v>
      </c>
      <c r="C1021" s="507">
        <v>8</v>
      </c>
      <c r="D1021" s="508">
        <v>100</v>
      </c>
      <c r="E1021" s="507">
        <v>3</v>
      </c>
      <c r="F1021" s="502">
        <v>1</v>
      </c>
      <c r="G1021" s="502">
        <f>+ROUND(1.15/(D1021/1000)+1,0)/2</f>
        <v>6.5</v>
      </c>
      <c r="H1021" s="602"/>
      <c r="I1021" s="602">
        <f>0.1+0.8</f>
        <v>0.9</v>
      </c>
      <c r="J1021" s="235"/>
      <c r="K1021" s="509"/>
      <c r="L1021" s="510">
        <f t="shared" ref="L1021:L1022" si="669">SUM(H1021:J1021)+K1021</f>
        <v>0.9</v>
      </c>
      <c r="M1021" s="510">
        <f t="shared" si="655"/>
        <v>17.55</v>
      </c>
      <c r="N1021" s="510">
        <f t="shared" si="656"/>
        <v>0</v>
      </c>
      <c r="O1021" s="510">
        <f t="shared" si="657"/>
        <v>0</v>
      </c>
      <c r="P1021" s="510">
        <f t="shared" si="658"/>
        <v>0</v>
      </c>
      <c r="Q1021" s="510">
        <f t="shared" si="659"/>
        <v>0</v>
      </c>
      <c r="R1021" s="510">
        <f t="shared" si="660"/>
        <v>0</v>
      </c>
    </row>
    <row r="1022" spans="1:18">
      <c r="A1022" s="505"/>
      <c r="B1022" s="607" t="s">
        <v>1157</v>
      </c>
      <c r="C1022" s="507">
        <v>8</v>
      </c>
      <c r="D1022" s="508">
        <v>100</v>
      </c>
      <c r="E1022" s="507">
        <v>3</v>
      </c>
      <c r="F1022" s="502">
        <v>1</v>
      </c>
      <c r="G1022" s="502">
        <f>+ROUND(3.075/(D1022/1000)+1,0)/2</f>
        <v>16</v>
      </c>
      <c r="H1022" s="602"/>
      <c r="I1022" s="602">
        <f>0.1+1.1</f>
        <v>1.2000000000000002</v>
      </c>
      <c r="J1022" s="235"/>
      <c r="K1022" s="509"/>
      <c r="L1022" s="510">
        <f t="shared" si="669"/>
        <v>1.2000000000000002</v>
      </c>
      <c r="M1022" s="510">
        <f t="shared" si="655"/>
        <v>57.6</v>
      </c>
      <c r="N1022" s="510">
        <f t="shared" si="656"/>
        <v>0</v>
      </c>
      <c r="O1022" s="510">
        <f t="shared" si="657"/>
        <v>0</v>
      </c>
      <c r="P1022" s="510">
        <f t="shared" si="658"/>
        <v>0</v>
      </c>
      <c r="Q1022" s="510">
        <f t="shared" si="659"/>
        <v>0</v>
      </c>
      <c r="R1022" s="510">
        <f t="shared" si="660"/>
        <v>0</v>
      </c>
    </row>
    <row r="1023" spans="1:18">
      <c r="A1023" s="505"/>
      <c r="B1023" s="607" t="s">
        <v>1157</v>
      </c>
      <c r="C1023" s="507">
        <v>8</v>
      </c>
      <c r="D1023" s="508">
        <v>100</v>
      </c>
      <c r="E1023" s="507">
        <v>3</v>
      </c>
      <c r="F1023" s="502">
        <v>1</v>
      </c>
      <c r="G1023" s="502">
        <f>+ROUND(3.075/(D1023/1000)+1,0)/2</f>
        <v>16</v>
      </c>
      <c r="H1023" s="602"/>
      <c r="I1023" s="602">
        <f>0.1+0.55</f>
        <v>0.65</v>
      </c>
      <c r="J1023" s="235"/>
      <c r="K1023" s="509"/>
      <c r="L1023" s="510">
        <f t="shared" ref="L1023" si="670">SUM(H1023:J1023)+K1023</f>
        <v>0.65</v>
      </c>
      <c r="M1023" s="510">
        <f t="shared" si="655"/>
        <v>31.2</v>
      </c>
      <c r="N1023" s="510">
        <f t="shared" si="656"/>
        <v>0</v>
      </c>
      <c r="O1023" s="510">
        <f t="shared" si="657"/>
        <v>0</v>
      </c>
      <c r="P1023" s="510">
        <f t="shared" si="658"/>
        <v>0</v>
      </c>
      <c r="Q1023" s="510">
        <f t="shared" si="659"/>
        <v>0</v>
      </c>
      <c r="R1023" s="510">
        <f t="shared" si="660"/>
        <v>0</v>
      </c>
    </row>
    <row r="1024" spans="1:18">
      <c r="A1024" s="505"/>
      <c r="B1024" s="607" t="s">
        <v>1159</v>
      </c>
      <c r="C1024" s="507">
        <v>8</v>
      </c>
      <c r="D1024" s="508">
        <v>200</v>
      </c>
      <c r="E1024" s="507">
        <v>3</v>
      </c>
      <c r="F1024" s="502">
        <v>1</v>
      </c>
      <c r="G1024" s="502">
        <f>+ROUND(1/(D1024/1000)+1,0)</f>
        <v>6</v>
      </c>
      <c r="H1024" s="602">
        <v>0.2</v>
      </c>
      <c r="I1024" s="602">
        <v>3.2149999999999999</v>
      </c>
      <c r="J1024" s="235"/>
      <c r="K1024" s="509"/>
      <c r="L1024" s="510">
        <f t="shared" ref="L1024:L1027" si="671">SUM(H1024:J1024)+K1024</f>
        <v>3.415</v>
      </c>
      <c r="M1024" s="510">
        <f t="shared" si="655"/>
        <v>61.47</v>
      </c>
      <c r="N1024" s="510">
        <f t="shared" si="656"/>
        <v>0</v>
      </c>
      <c r="O1024" s="510">
        <f t="shared" si="657"/>
        <v>0</v>
      </c>
      <c r="P1024" s="510">
        <f t="shared" si="658"/>
        <v>0</v>
      </c>
      <c r="Q1024" s="510">
        <f t="shared" si="659"/>
        <v>0</v>
      </c>
      <c r="R1024" s="510">
        <f t="shared" si="660"/>
        <v>0</v>
      </c>
    </row>
    <row r="1025" spans="1:18">
      <c r="A1025" s="505"/>
      <c r="B1025" s="607" t="s">
        <v>1159</v>
      </c>
      <c r="C1025" s="507">
        <v>8</v>
      </c>
      <c r="D1025" s="508">
        <v>200</v>
      </c>
      <c r="E1025" s="507">
        <v>3</v>
      </c>
      <c r="F1025" s="502">
        <v>1</v>
      </c>
      <c r="G1025" s="502">
        <f>+ROUND(1.6/(D1025/1000)+1,0)</f>
        <v>9</v>
      </c>
      <c r="H1025" s="602">
        <v>0.2</v>
      </c>
      <c r="I1025" s="602">
        <v>6.2450000000000001</v>
      </c>
      <c r="J1025" s="235"/>
      <c r="K1025" s="509"/>
      <c r="L1025" s="510">
        <f t="shared" si="671"/>
        <v>6.4450000000000003</v>
      </c>
      <c r="M1025" s="510">
        <f t="shared" si="655"/>
        <v>174.02</v>
      </c>
      <c r="N1025" s="510">
        <f t="shared" si="656"/>
        <v>0</v>
      </c>
      <c r="O1025" s="510">
        <f t="shared" si="657"/>
        <v>0</v>
      </c>
      <c r="P1025" s="510">
        <f t="shared" si="658"/>
        <v>0</v>
      </c>
      <c r="Q1025" s="510">
        <f t="shared" si="659"/>
        <v>0</v>
      </c>
      <c r="R1025" s="510">
        <f t="shared" si="660"/>
        <v>0</v>
      </c>
    </row>
    <row r="1026" spans="1:18">
      <c r="A1026" s="505"/>
      <c r="B1026" s="607" t="s">
        <v>1159</v>
      </c>
      <c r="C1026" s="507">
        <v>8</v>
      </c>
      <c r="D1026" s="508">
        <v>200</v>
      </c>
      <c r="E1026" s="507">
        <v>3</v>
      </c>
      <c r="F1026" s="502">
        <v>1</v>
      </c>
      <c r="G1026" s="502">
        <f>+ROUND(2/(D1026/1000)+1,0)</f>
        <v>11</v>
      </c>
      <c r="H1026" s="602">
        <v>0.2</v>
      </c>
      <c r="I1026" s="602">
        <v>5.125</v>
      </c>
      <c r="J1026" s="235"/>
      <c r="K1026" s="509"/>
      <c r="L1026" s="510">
        <f t="shared" si="671"/>
        <v>5.3250000000000002</v>
      </c>
      <c r="M1026" s="510">
        <f t="shared" si="655"/>
        <v>175.73</v>
      </c>
      <c r="N1026" s="510">
        <f t="shared" si="656"/>
        <v>0</v>
      </c>
      <c r="O1026" s="510">
        <f t="shared" si="657"/>
        <v>0</v>
      </c>
      <c r="P1026" s="510">
        <f t="shared" si="658"/>
        <v>0</v>
      </c>
      <c r="Q1026" s="510">
        <f t="shared" si="659"/>
        <v>0</v>
      </c>
      <c r="R1026" s="510">
        <f t="shared" si="660"/>
        <v>0</v>
      </c>
    </row>
    <row r="1027" spans="1:18">
      <c r="A1027" s="505"/>
      <c r="B1027" s="607" t="s">
        <v>1159</v>
      </c>
      <c r="C1027" s="507">
        <v>8</v>
      </c>
      <c r="D1027" s="508">
        <v>200</v>
      </c>
      <c r="E1027" s="507">
        <v>3</v>
      </c>
      <c r="F1027" s="502">
        <v>1</v>
      </c>
      <c r="G1027" s="502">
        <f>+ROUND(1.6/(D1027/1000)+1,0)</f>
        <v>9</v>
      </c>
      <c r="H1027" s="602">
        <v>0.2</v>
      </c>
      <c r="I1027" s="602">
        <v>3.17</v>
      </c>
      <c r="J1027" s="235"/>
      <c r="K1027" s="509"/>
      <c r="L1027" s="510">
        <f t="shared" si="671"/>
        <v>3.37</v>
      </c>
      <c r="M1027" s="510">
        <f t="shared" si="655"/>
        <v>90.99</v>
      </c>
      <c r="N1027" s="510">
        <f t="shared" si="656"/>
        <v>0</v>
      </c>
      <c r="O1027" s="510">
        <f t="shared" si="657"/>
        <v>0</v>
      </c>
      <c r="P1027" s="510">
        <f t="shared" si="658"/>
        <v>0</v>
      </c>
      <c r="Q1027" s="510">
        <f t="shared" si="659"/>
        <v>0</v>
      </c>
      <c r="R1027" s="510">
        <f t="shared" si="660"/>
        <v>0</v>
      </c>
    </row>
    <row r="1028" spans="1:18">
      <c r="A1028" s="505"/>
      <c r="B1028" s="607" t="s">
        <v>1159</v>
      </c>
      <c r="C1028" s="507">
        <v>8</v>
      </c>
      <c r="D1028" s="508">
        <v>200</v>
      </c>
      <c r="E1028" s="507">
        <v>3</v>
      </c>
      <c r="F1028" s="502">
        <v>1</v>
      </c>
      <c r="G1028" s="502">
        <f>+ROUND(1.1/(D1028/1000)+1,0)</f>
        <v>7</v>
      </c>
      <c r="H1028" s="602">
        <v>0.2</v>
      </c>
      <c r="I1028" s="602">
        <v>3.0750000000000002</v>
      </c>
      <c r="J1028" s="235"/>
      <c r="K1028" s="509"/>
      <c r="L1028" s="510">
        <f t="shared" ref="L1028" si="672">SUM(H1028:J1028)+K1028</f>
        <v>3.2750000000000004</v>
      </c>
      <c r="M1028" s="510">
        <f t="shared" si="655"/>
        <v>68.78</v>
      </c>
      <c r="N1028" s="510">
        <f t="shared" si="656"/>
        <v>0</v>
      </c>
      <c r="O1028" s="510">
        <f t="shared" si="657"/>
        <v>0</v>
      </c>
      <c r="P1028" s="510">
        <f t="shared" si="658"/>
        <v>0</v>
      </c>
      <c r="Q1028" s="510">
        <f t="shared" si="659"/>
        <v>0</v>
      </c>
      <c r="R1028" s="510">
        <f t="shared" si="660"/>
        <v>0</v>
      </c>
    </row>
    <row r="1029" spans="1:18">
      <c r="A1029" s="505"/>
      <c r="B1029" s="511"/>
      <c r="C1029" s="507"/>
      <c r="D1029" s="508"/>
      <c r="E1029" s="507"/>
      <c r="F1029" s="502"/>
      <c r="G1029" s="502"/>
      <c r="H1029" s="602"/>
      <c r="I1029" s="602"/>
      <c r="J1029" s="235"/>
      <c r="K1029" s="509"/>
      <c r="L1029" s="510"/>
      <c r="M1029" s="510"/>
      <c r="N1029" s="510"/>
      <c r="O1029" s="510"/>
      <c r="P1029" s="510"/>
      <c r="Q1029" s="510"/>
      <c r="R1029" s="510"/>
    </row>
    <row r="1030" spans="1:18">
      <c r="A1030" s="505"/>
      <c r="B1030" s="506" t="s">
        <v>1206</v>
      </c>
      <c r="C1030" s="507"/>
      <c r="D1030" s="508"/>
      <c r="E1030" s="507"/>
      <c r="F1030" s="502"/>
      <c r="G1030" s="502"/>
      <c r="H1030" s="602"/>
      <c r="I1030" s="602"/>
      <c r="J1030" s="235"/>
      <c r="K1030" s="509"/>
      <c r="L1030" s="510"/>
      <c r="M1030" s="510">
        <f t="shared" si="655"/>
        <v>0</v>
      </c>
      <c r="N1030" s="510">
        <f t="shared" si="656"/>
        <v>0</v>
      </c>
      <c r="O1030" s="510">
        <f t="shared" si="657"/>
        <v>0</v>
      </c>
      <c r="P1030" s="510">
        <f t="shared" si="658"/>
        <v>0</v>
      </c>
      <c r="Q1030" s="510">
        <f t="shared" si="659"/>
        <v>0</v>
      </c>
      <c r="R1030" s="510">
        <f t="shared" si="660"/>
        <v>0</v>
      </c>
    </row>
    <row r="1031" spans="1:18">
      <c r="A1031" s="505"/>
      <c r="B1031" s="607" t="s">
        <v>1198</v>
      </c>
      <c r="C1031" s="507">
        <v>8</v>
      </c>
      <c r="D1031" s="508">
        <v>200</v>
      </c>
      <c r="E1031" s="507">
        <v>3</v>
      </c>
      <c r="F1031" s="502">
        <v>1</v>
      </c>
      <c r="G1031" s="502">
        <v>18</v>
      </c>
      <c r="H1031" s="602"/>
      <c r="I1031" s="602">
        <f>0.175+2.345+0.175</f>
        <v>2.6949999999999998</v>
      </c>
      <c r="J1031" s="235"/>
      <c r="K1031" s="589"/>
      <c r="L1031" s="510">
        <f>SUM(H1031:J1031)+K1031</f>
        <v>2.6949999999999998</v>
      </c>
      <c r="M1031" s="510">
        <f t="shared" si="655"/>
        <v>145.53</v>
      </c>
      <c r="N1031" s="510">
        <f t="shared" si="656"/>
        <v>0</v>
      </c>
      <c r="O1031" s="510">
        <f t="shared" si="657"/>
        <v>0</v>
      </c>
      <c r="P1031" s="510">
        <f t="shared" si="658"/>
        <v>0</v>
      </c>
      <c r="Q1031" s="510">
        <f t="shared" si="659"/>
        <v>0</v>
      </c>
      <c r="R1031" s="510">
        <f t="shared" si="660"/>
        <v>0</v>
      </c>
    </row>
    <row r="1032" spans="1:18">
      <c r="A1032" s="505"/>
      <c r="B1032" s="607" t="s">
        <v>1155</v>
      </c>
      <c r="C1032" s="507">
        <v>8</v>
      </c>
      <c r="D1032" s="508">
        <v>200</v>
      </c>
      <c r="E1032" s="507">
        <v>3</v>
      </c>
      <c r="F1032" s="502">
        <v>1</v>
      </c>
      <c r="G1032" s="502">
        <v>12</v>
      </c>
      <c r="H1032" s="602"/>
      <c r="I1032" s="602">
        <v>4.3</v>
      </c>
      <c r="J1032" s="235"/>
      <c r="K1032" s="589"/>
      <c r="L1032" s="510">
        <f>SUM(H1032:J1032)+K1032</f>
        <v>4.3</v>
      </c>
      <c r="M1032" s="510">
        <f t="shared" si="655"/>
        <v>154.80000000000001</v>
      </c>
      <c r="N1032" s="510">
        <f t="shared" si="656"/>
        <v>0</v>
      </c>
      <c r="O1032" s="510">
        <f t="shared" si="657"/>
        <v>0</v>
      </c>
      <c r="P1032" s="510">
        <f t="shared" si="658"/>
        <v>0</v>
      </c>
      <c r="Q1032" s="510">
        <f t="shared" si="659"/>
        <v>0</v>
      </c>
      <c r="R1032" s="510">
        <f t="shared" si="660"/>
        <v>0</v>
      </c>
    </row>
    <row r="1033" spans="1:18">
      <c r="A1033" s="505"/>
      <c r="B1033" s="607" t="s">
        <v>1156</v>
      </c>
      <c r="C1033" s="507">
        <v>8</v>
      </c>
      <c r="D1033" s="508">
        <v>200</v>
      </c>
      <c r="E1033" s="507">
        <v>3</v>
      </c>
      <c r="F1033" s="502">
        <v>1</v>
      </c>
      <c r="G1033" s="502">
        <v>12</v>
      </c>
      <c r="H1033" s="602">
        <v>0.1</v>
      </c>
      <c r="I1033" s="602">
        <v>0.72499999999999998</v>
      </c>
      <c r="J1033" s="235"/>
      <c r="K1033" s="509"/>
      <c r="L1033" s="510">
        <f>SUM(H1033:J1033)+K1033</f>
        <v>0.82499999999999996</v>
      </c>
      <c r="M1033" s="510">
        <f t="shared" si="655"/>
        <v>29.7</v>
      </c>
      <c r="N1033" s="510">
        <f t="shared" si="656"/>
        <v>0</v>
      </c>
      <c r="O1033" s="510">
        <f t="shared" si="657"/>
        <v>0</v>
      </c>
      <c r="P1033" s="510">
        <f t="shared" si="658"/>
        <v>0</v>
      </c>
      <c r="Q1033" s="510">
        <f t="shared" si="659"/>
        <v>0</v>
      </c>
      <c r="R1033" s="510">
        <f t="shared" si="660"/>
        <v>0</v>
      </c>
    </row>
    <row r="1034" spans="1:18">
      <c r="A1034" s="505"/>
      <c r="B1034" s="607" t="s">
        <v>1156</v>
      </c>
      <c r="C1034" s="507">
        <v>8</v>
      </c>
      <c r="D1034" s="508">
        <v>200</v>
      </c>
      <c r="E1034" s="507">
        <v>3</v>
      </c>
      <c r="F1034" s="502">
        <v>1</v>
      </c>
      <c r="G1034" s="502">
        <f>+ROUND(3.435/(D1034/1000)+1,0)/2</f>
        <v>9</v>
      </c>
      <c r="H1034" s="602"/>
      <c r="I1034" s="602">
        <f>0.1+0.8</f>
        <v>0.9</v>
      </c>
      <c r="J1034" s="235"/>
      <c r="K1034" s="509"/>
      <c r="L1034" s="510">
        <f t="shared" ref="L1034" si="673">SUM(H1034:J1034)+K1034</f>
        <v>0.9</v>
      </c>
      <c r="M1034" s="510">
        <f t="shared" si="655"/>
        <v>24.3</v>
      </c>
      <c r="N1034" s="510">
        <f t="shared" si="656"/>
        <v>0</v>
      </c>
      <c r="O1034" s="510">
        <f t="shared" si="657"/>
        <v>0</v>
      </c>
      <c r="P1034" s="510">
        <f t="shared" si="658"/>
        <v>0</v>
      </c>
      <c r="Q1034" s="510">
        <f t="shared" si="659"/>
        <v>0</v>
      </c>
      <c r="R1034" s="510">
        <f t="shared" si="660"/>
        <v>0</v>
      </c>
    </row>
    <row r="1035" spans="1:18">
      <c r="A1035" s="505"/>
      <c r="B1035" s="607" t="s">
        <v>1156</v>
      </c>
      <c r="C1035" s="507">
        <v>8</v>
      </c>
      <c r="D1035" s="508">
        <v>200</v>
      </c>
      <c r="E1035" s="507">
        <v>3</v>
      </c>
      <c r="F1035" s="502">
        <v>1</v>
      </c>
      <c r="G1035" s="502">
        <v>8</v>
      </c>
      <c r="H1035" s="602"/>
      <c r="I1035" s="602">
        <f>0.1+0.4</f>
        <v>0.5</v>
      </c>
      <c r="J1035" s="235"/>
      <c r="K1035" s="509"/>
      <c r="L1035" s="510">
        <f t="shared" ref="L1035" si="674">SUM(H1035:J1035)+K1035</f>
        <v>0.5</v>
      </c>
      <c r="M1035" s="510">
        <f t="shared" si="655"/>
        <v>12</v>
      </c>
      <c r="N1035" s="510">
        <f t="shared" si="656"/>
        <v>0</v>
      </c>
      <c r="O1035" s="510">
        <f t="shared" si="657"/>
        <v>0</v>
      </c>
      <c r="P1035" s="510">
        <f t="shared" si="658"/>
        <v>0</v>
      </c>
      <c r="Q1035" s="510">
        <f t="shared" si="659"/>
        <v>0</v>
      </c>
      <c r="R1035" s="510">
        <f t="shared" si="660"/>
        <v>0</v>
      </c>
    </row>
    <row r="1036" spans="1:18">
      <c r="A1036" s="505"/>
      <c r="B1036" s="607" t="s">
        <v>1156</v>
      </c>
      <c r="C1036" s="507">
        <v>8</v>
      </c>
      <c r="D1036" s="508">
        <v>200</v>
      </c>
      <c r="E1036" s="507">
        <v>3</v>
      </c>
      <c r="F1036" s="502">
        <v>1</v>
      </c>
      <c r="G1036" s="502">
        <v>6</v>
      </c>
      <c r="H1036" s="602"/>
      <c r="I1036" s="602">
        <f>0.1+1.1</f>
        <v>1.2000000000000002</v>
      </c>
      <c r="J1036" s="235"/>
      <c r="K1036" s="509"/>
      <c r="L1036" s="510">
        <f t="shared" ref="L1036:L1037" si="675">SUM(H1036:J1036)+K1036</f>
        <v>1.2000000000000002</v>
      </c>
      <c r="M1036" s="510">
        <f t="shared" si="655"/>
        <v>21.6</v>
      </c>
      <c r="N1036" s="510">
        <f t="shared" si="656"/>
        <v>0</v>
      </c>
      <c r="O1036" s="510">
        <f t="shared" si="657"/>
        <v>0</v>
      </c>
      <c r="P1036" s="510">
        <f t="shared" si="658"/>
        <v>0</v>
      </c>
      <c r="Q1036" s="510">
        <f t="shared" si="659"/>
        <v>0</v>
      </c>
      <c r="R1036" s="510">
        <f t="shared" si="660"/>
        <v>0</v>
      </c>
    </row>
    <row r="1037" spans="1:18">
      <c r="A1037" s="505"/>
      <c r="B1037" s="607" t="s">
        <v>1156</v>
      </c>
      <c r="C1037" s="507">
        <v>8</v>
      </c>
      <c r="D1037" s="508">
        <v>200</v>
      </c>
      <c r="E1037" s="507">
        <v>3</v>
      </c>
      <c r="F1037" s="502">
        <v>1</v>
      </c>
      <c r="G1037" s="502">
        <v>6</v>
      </c>
      <c r="H1037" s="602"/>
      <c r="I1037" s="602">
        <f>0.1+0.55</f>
        <v>0.65</v>
      </c>
      <c r="J1037" s="235"/>
      <c r="K1037" s="509"/>
      <c r="L1037" s="510">
        <f t="shared" si="675"/>
        <v>0.65</v>
      </c>
      <c r="M1037" s="510">
        <f t="shared" si="655"/>
        <v>11.7</v>
      </c>
      <c r="N1037" s="510">
        <f t="shared" si="656"/>
        <v>0</v>
      </c>
      <c r="O1037" s="510">
        <f t="shared" si="657"/>
        <v>0</v>
      </c>
      <c r="P1037" s="510">
        <f t="shared" si="658"/>
        <v>0</v>
      </c>
      <c r="Q1037" s="510">
        <f t="shared" si="659"/>
        <v>0</v>
      </c>
      <c r="R1037" s="510">
        <f t="shared" si="660"/>
        <v>0</v>
      </c>
    </row>
    <row r="1038" spans="1:18">
      <c r="A1038" s="505"/>
      <c r="B1038" s="607" t="s">
        <v>1168</v>
      </c>
      <c r="C1038" s="507">
        <v>8</v>
      </c>
      <c r="D1038" s="508">
        <v>150</v>
      </c>
      <c r="E1038" s="507">
        <v>3</v>
      </c>
      <c r="F1038" s="502">
        <v>1</v>
      </c>
      <c r="G1038" s="502">
        <f>+ROUND(3.435/(D1038/1000)+1,0)/2</f>
        <v>12</v>
      </c>
      <c r="H1038" s="602"/>
      <c r="I1038" s="602">
        <f>0.1+0.8</f>
        <v>0.9</v>
      </c>
      <c r="J1038" s="235"/>
      <c r="K1038" s="509"/>
      <c r="L1038" s="510">
        <f t="shared" ref="L1038:L1039" si="676">SUM(H1038:J1038)+K1038</f>
        <v>0.9</v>
      </c>
      <c r="M1038" s="510">
        <f t="shared" si="655"/>
        <v>32.4</v>
      </c>
      <c r="N1038" s="510">
        <f t="shared" si="656"/>
        <v>0</v>
      </c>
      <c r="O1038" s="510">
        <f t="shared" si="657"/>
        <v>0</v>
      </c>
      <c r="P1038" s="510">
        <f t="shared" si="658"/>
        <v>0</v>
      </c>
      <c r="Q1038" s="510">
        <f t="shared" si="659"/>
        <v>0</v>
      </c>
      <c r="R1038" s="510">
        <f t="shared" si="660"/>
        <v>0</v>
      </c>
    </row>
    <row r="1039" spans="1:18">
      <c r="A1039" s="505"/>
      <c r="B1039" s="607" t="s">
        <v>1168</v>
      </c>
      <c r="C1039" s="507">
        <v>8</v>
      </c>
      <c r="D1039" s="508">
        <v>150</v>
      </c>
      <c r="E1039" s="507">
        <v>3</v>
      </c>
      <c r="F1039" s="502">
        <v>1</v>
      </c>
      <c r="G1039" s="502">
        <f>+ROUND(3.435/(D1039/1000)+1,0)/2</f>
        <v>12</v>
      </c>
      <c r="H1039" s="602"/>
      <c r="I1039" s="602">
        <f>0.1+0.4</f>
        <v>0.5</v>
      </c>
      <c r="J1039" s="235"/>
      <c r="K1039" s="509"/>
      <c r="L1039" s="510">
        <f t="shared" si="676"/>
        <v>0.5</v>
      </c>
      <c r="M1039" s="510">
        <f t="shared" si="655"/>
        <v>18</v>
      </c>
      <c r="N1039" s="510">
        <f t="shared" si="656"/>
        <v>0</v>
      </c>
      <c r="O1039" s="510">
        <f t="shared" si="657"/>
        <v>0</v>
      </c>
      <c r="P1039" s="510">
        <f t="shared" si="658"/>
        <v>0</v>
      </c>
      <c r="Q1039" s="510">
        <f t="shared" si="659"/>
        <v>0</v>
      </c>
      <c r="R1039" s="510">
        <f t="shared" si="660"/>
        <v>0</v>
      </c>
    </row>
    <row r="1040" spans="1:18">
      <c r="A1040" s="505"/>
      <c r="B1040" s="511"/>
      <c r="C1040" s="507"/>
      <c r="D1040" s="508"/>
      <c r="E1040" s="507"/>
      <c r="F1040" s="502"/>
      <c r="G1040" s="502"/>
      <c r="H1040" s="602"/>
      <c r="I1040" s="602"/>
      <c r="J1040" s="235"/>
      <c r="K1040" s="589"/>
      <c r="L1040" s="510"/>
      <c r="M1040" s="510"/>
      <c r="N1040" s="510"/>
      <c r="O1040" s="510"/>
      <c r="P1040" s="510"/>
      <c r="Q1040" s="510"/>
      <c r="R1040" s="510"/>
    </row>
    <row r="1041" spans="1:18">
      <c r="A1041" s="505"/>
      <c r="B1041" s="506" t="s">
        <v>1207</v>
      </c>
      <c r="C1041" s="507"/>
      <c r="D1041" s="508"/>
      <c r="E1041" s="507"/>
      <c r="F1041" s="502"/>
      <c r="G1041" s="502"/>
      <c r="H1041" s="602"/>
      <c r="I1041" s="602"/>
      <c r="J1041" s="235"/>
      <c r="K1041" s="509"/>
      <c r="L1041" s="510">
        <f t="shared" ref="L1041:L1042" si="677">SUM(H1041:J1041)+K1041</f>
        <v>0</v>
      </c>
      <c r="M1041" s="510">
        <f t="shared" ref="M1041:M1047" si="678">+ROUND(IF(C1041=8,PRODUCT(E1041,F1041,G1041,L1041),0),2)</f>
        <v>0</v>
      </c>
      <c r="N1041" s="510">
        <f t="shared" ref="N1041:N1047" si="679">+ROUND(IF(C1041=10,PRODUCT(E1041,F1041,G1041,L1041),0),2)</f>
        <v>0</v>
      </c>
      <c r="O1041" s="510">
        <f t="shared" ref="O1041:O1047" si="680">+ROUND(IF(C1041=12,PRODUCT(E1041,F1041,G1041,L1041),0),2)</f>
        <v>0</v>
      </c>
      <c r="P1041" s="510">
        <f t="shared" ref="P1041:P1047" si="681">+ROUND(IF(C1041=16,PRODUCT(E1041,F1041,G1041,L1041),0),2)</f>
        <v>0</v>
      </c>
      <c r="Q1041" s="510">
        <f t="shared" ref="Q1041:Q1047" si="682">+ROUND(IF(C1041=20,PRODUCT(E1041,F1041,G1041,L1041),0),2)</f>
        <v>0</v>
      </c>
      <c r="R1041" s="510">
        <f t="shared" ref="R1041:R1047" si="683">+ROUND(IF(C1041=25,PRODUCT(E1041,F1041,G1041,L1041),0),2)</f>
        <v>0</v>
      </c>
    </row>
    <row r="1042" spans="1:18">
      <c r="A1042" s="505"/>
      <c r="B1042" s="607" t="s">
        <v>1173</v>
      </c>
      <c r="C1042" s="507">
        <v>10</v>
      </c>
      <c r="D1042" s="508">
        <v>150</v>
      </c>
      <c r="E1042" s="507">
        <v>3</v>
      </c>
      <c r="F1042" s="502">
        <v>1</v>
      </c>
      <c r="G1042" s="502">
        <f>+ROUND(5.845/(D1042/1000)+1,0)</f>
        <v>40</v>
      </c>
      <c r="H1042" s="602">
        <v>0.25</v>
      </c>
      <c r="I1042" s="602">
        <v>2.1749999999999998</v>
      </c>
      <c r="J1042" s="235">
        <v>0.4</v>
      </c>
      <c r="K1042" s="509"/>
      <c r="L1042" s="510">
        <f t="shared" si="677"/>
        <v>2.8249999999999997</v>
      </c>
      <c r="M1042" s="510">
        <f t="shared" si="678"/>
        <v>0</v>
      </c>
      <c r="N1042" s="510">
        <f t="shared" si="679"/>
        <v>339</v>
      </c>
      <c r="O1042" s="510">
        <f t="shared" si="680"/>
        <v>0</v>
      </c>
      <c r="P1042" s="510">
        <f t="shared" si="681"/>
        <v>0</v>
      </c>
      <c r="Q1042" s="510">
        <f t="shared" si="682"/>
        <v>0</v>
      </c>
      <c r="R1042" s="510">
        <f t="shared" si="683"/>
        <v>0</v>
      </c>
    </row>
    <row r="1043" spans="1:18">
      <c r="A1043" s="505"/>
      <c r="B1043" s="607" t="s">
        <v>1155</v>
      </c>
      <c r="C1043" s="507">
        <v>8</v>
      </c>
      <c r="D1043" s="508">
        <v>200</v>
      </c>
      <c r="E1043" s="507">
        <v>3</v>
      </c>
      <c r="F1043" s="502">
        <v>1</v>
      </c>
      <c r="G1043" s="502">
        <f>+ROUND(2/(D1043/1000)+1,0)</f>
        <v>11</v>
      </c>
      <c r="H1043" s="602">
        <v>0.1</v>
      </c>
      <c r="I1043" s="602">
        <f>5.845-0.05</f>
        <v>5.7949999999999999</v>
      </c>
      <c r="J1043" s="235">
        <v>0.1</v>
      </c>
      <c r="K1043" s="509"/>
      <c r="L1043" s="510">
        <f t="shared" ref="L1043" si="684">SUM(H1043:J1043)+K1043</f>
        <v>5.9949999999999992</v>
      </c>
      <c r="M1043" s="510">
        <f t="shared" si="678"/>
        <v>197.84</v>
      </c>
      <c r="N1043" s="510">
        <f t="shared" si="679"/>
        <v>0</v>
      </c>
      <c r="O1043" s="510">
        <f t="shared" si="680"/>
        <v>0</v>
      </c>
      <c r="P1043" s="510">
        <f t="shared" si="681"/>
        <v>0</v>
      </c>
      <c r="Q1043" s="510">
        <f t="shared" si="682"/>
        <v>0</v>
      </c>
      <c r="R1043" s="510">
        <f t="shared" si="683"/>
        <v>0</v>
      </c>
    </row>
    <row r="1044" spans="1:18">
      <c r="A1044" s="505"/>
      <c r="B1044" s="607" t="s">
        <v>1174</v>
      </c>
      <c r="C1044" s="507">
        <v>12</v>
      </c>
      <c r="D1044" s="508">
        <v>100</v>
      </c>
      <c r="E1044" s="507">
        <v>3</v>
      </c>
      <c r="F1044" s="502">
        <v>1</v>
      </c>
      <c r="G1044" s="502">
        <v>31</v>
      </c>
      <c r="H1044" s="602"/>
      <c r="I1044" s="602">
        <f>2+2.5-0.025</f>
        <v>4.4749999999999996</v>
      </c>
      <c r="J1044" s="235">
        <v>0.1</v>
      </c>
      <c r="K1044" s="509"/>
      <c r="L1044" s="510">
        <f t="shared" ref="L1044:L1046" si="685">SUM(H1044:J1044)+K1044</f>
        <v>4.5749999999999993</v>
      </c>
      <c r="M1044" s="510">
        <f t="shared" si="678"/>
        <v>0</v>
      </c>
      <c r="N1044" s="510">
        <f t="shared" si="679"/>
        <v>0</v>
      </c>
      <c r="O1044" s="510">
        <f t="shared" si="680"/>
        <v>425.48</v>
      </c>
      <c r="P1044" s="510">
        <f t="shared" si="681"/>
        <v>0</v>
      </c>
      <c r="Q1044" s="510">
        <f t="shared" si="682"/>
        <v>0</v>
      </c>
      <c r="R1044" s="510">
        <f t="shared" si="683"/>
        <v>0</v>
      </c>
    </row>
    <row r="1045" spans="1:18">
      <c r="A1045" s="505"/>
      <c r="B1045" s="607" t="s">
        <v>1174</v>
      </c>
      <c r="C1045" s="507">
        <v>10</v>
      </c>
      <c r="D1045" s="508">
        <v>100</v>
      </c>
      <c r="E1045" s="507">
        <v>3</v>
      </c>
      <c r="F1045" s="502">
        <v>1</v>
      </c>
      <c r="G1045" s="502">
        <v>29</v>
      </c>
      <c r="H1045" s="602"/>
      <c r="I1045" s="602">
        <f>1.35+0.2+2</f>
        <v>3.55</v>
      </c>
      <c r="J1045" s="235"/>
      <c r="K1045" s="509"/>
      <c r="L1045" s="510">
        <f t="shared" si="685"/>
        <v>3.55</v>
      </c>
      <c r="M1045" s="510">
        <f t="shared" si="678"/>
        <v>0</v>
      </c>
      <c r="N1045" s="510">
        <f t="shared" si="679"/>
        <v>308.85000000000002</v>
      </c>
      <c r="O1045" s="510">
        <f t="shared" si="680"/>
        <v>0</v>
      </c>
      <c r="P1045" s="510">
        <f t="shared" si="681"/>
        <v>0</v>
      </c>
      <c r="Q1045" s="510">
        <f t="shared" si="682"/>
        <v>0</v>
      </c>
      <c r="R1045" s="510">
        <f t="shared" si="683"/>
        <v>0</v>
      </c>
    </row>
    <row r="1046" spans="1:18">
      <c r="A1046" s="505"/>
      <c r="B1046" s="607" t="s">
        <v>1175</v>
      </c>
      <c r="C1046" s="507">
        <v>8</v>
      </c>
      <c r="D1046" s="508">
        <v>200</v>
      </c>
      <c r="E1046" s="507">
        <v>3</v>
      </c>
      <c r="F1046" s="502">
        <v>2</v>
      </c>
      <c r="G1046" s="502">
        <f>+ROUND(2/(D1046/1000)+1,0)</f>
        <v>11</v>
      </c>
      <c r="H1046" s="602">
        <v>0.1</v>
      </c>
      <c r="I1046" s="602">
        <f>5.845-0.05</f>
        <v>5.7949999999999999</v>
      </c>
      <c r="J1046" s="235">
        <v>0.1</v>
      </c>
      <c r="K1046" s="509"/>
      <c r="L1046" s="510">
        <f t="shared" si="685"/>
        <v>5.9949999999999992</v>
      </c>
      <c r="M1046" s="510">
        <f t="shared" si="678"/>
        <v>395.67</v>
      </c>
      <c r="N1046" s="510">
        <f t="shared" si="679"/>
        <v>0</v>
      </c>
      <c r="O1046" s="510">
        <f t="shared" si="680"/>
        <v>0</v>
      </c>
      <c r="P1046" s="510">
        <f t="shared" si="681"/>
        <v>0</v>
      </c>
      <c r="Q1046" s="510">
        <f t="shared" si="682"/>
        <v>0</v>
      </c>
      <c r="R1046" s="510">
        <f t="shared" si="683"/>
        <v>0</v>
      </c>
    </row>
    <row r="1047" spans="1:18">
      <c r="A1047" s="505"/>
      <c r="B1047" s="607" t="s">
        <v>1241</v>
      </c>
      <c r="C1047" s="507">
        <v>10</v>
      </c>
      <c r="D1047" s="508">
        <v>150</v>
      </c>
      <c r="E1047" s="507">
        <v>1</v>
      </c>
      <c r="F1047" s="502">
        <v>2</v>
      </c>
      <c r="G1047" s="502">
        <f>+ROUND(2/(D1047/1000)+1,0)</f>
        <v>14</v>
      </c>
      <c r="H1047" s="602">
        <v>0.1</v>
      </c>
      <c r="I1047" s="602">
        <v>0.3</v>
      </c>
      <c r="J1047" s="235">
        <v>0.49</v>
      </c>
      <c r="K1047" s="509"/>
      <c r="L1047" s="510">
        <f t="shared" ref="L1047" si="686">SUM(H1047:J1047)+K1047</f>
        <v>0.89</v>
      </c>
      <c r="M1047" s="510">
        <f t="shared" si="678"/>
        <v>0</v>
      </c>
      <c r="N1047" s="510">
        <f t="shared" si="679"/>
        <v>24.92</v>
      </c>
      <c r="O1047" s="510">
        <f t="shared" si="680"/>
        <v>0</v>
      </c>
      <c r="P1047" s="510">
        <f t="shared" si="681"/>
        <v>0</v>
      </c>
      <c r="Q1047" s="510">
        <f t="shared" si="682"/>
        <v>0</v>
      </c>
      <c r="R1047" s="510">
        <f t="shared" si="683"/>
        <v>0</v>
      </c>
    </row>
    <row r="1048" spans="1:18">
      <c r="A1048" s="505"/>
      <c r="B1048" s="511"/>
      <c r="C1048" s="507"/>
      <c r="D1048" s="508"/>
      <c r="E1048" s="507"/>
      <c r="F1048" s="502"/>
      <c r="G1048" s="502"/>
      <c r="H1048" s="602"/>
      <c r="I1048" s="602"/>
      <c r="J1048" s="235"/>
      <c r="K1048" s="509"/>
      <c r="L1048" s="510"/>
      <c r="M1048" s="510"/>
      <c r="N1048" s="510"/>
      <c r="O1048" s="510"/>
      <c r="P1048" s="510"/>
      <c r="Q1048" s="510"/>
      <c r="R1048" s="510"/>
    </row>
    <row r="1049" spans="1:18">
      <c r="A1049" s="505"/>
      <c r="B1049" s="506" t="s">
        <v>1208</v>
      </c>
      <c r="C1049" s="507"/>
      <c r="D1049" s="508"/>
      <c r="E1049" s="507"/>
      <c r="F1049" s="502"/>
      <c r="G1049" s="502"/>
      <c r="H1049" s="602"/>
      <c r="I1049" s="602"/>
      <c r="J1049" s="235"/>
      <c r="K1049" s="509"/>
      <c r="L1049" s="510">
        <f t="shared" ref="L1049" si="687">SUM(H1049:J1049)+K1049</f>
        <v>0</v>
      </c>
      <c r="M1049" s="510">
        <f t="shared" ref="M1049:M1055" si="688">+ROUND(IF(C1049=8,PRODUCT(E1049,F1049,G1049,L1049),0),2)</f>
        <v>0</v>
      </c>
      <c r="N1049" s="510">
        <f t="shared" ref="N1049:N1055" si="689">+ROUND(IF(C1049=10,PRODUCT(E1049,F1049,G1049,L1049),0),2)</f>
        <v>0</v>
      </c>
      <c r="O1049" s="510">
        <f t="shared" ref="O1049:O1055" si="690">+ROUND(IF(C1049=12,PRODUCT(E1049,F1049,G1049,L1049),0),2)</f>
        <v>0</v>
      </c>
      <c r="P1049" s="510">
        <f t="shared" ref="P1049:P1055" si="691">+ROUND(IF(C1049=16,PRODUCT(E1049,F1049,G1049,L1049),0),2)</f>
        <v>0</v>
      </c>
      <c r="Q1049" s="510">
        <f t="shared" ref="Q1049:Q1055" si="692">+ROUND(IF(C1049=20,PRODUCT(E1049,F1049,G1049,L1049),0),2)</f>
        <v>0</v>
      </c>
      <c r="R1049" s="510">
        <f t="shared" ref="R1049:R1055" si="693">+ROUND(IF(C1049=25,PRODUCT(E1049,F1049,G1049,L1049),0),2)</f>
        <v>0</v>
      </c>
    </row>
    <row r="1050" spans="1:18">
      <c r="A1050" s="505"/>
      <c r="B1050" s="607" t="s">
        <v>1173</v>
      </c>
      <c r="C1050" s="507">
        <v>10</v>
      </c>
      <c r="D1050" s="508">
        <v>150</v>
      </c>
      <c r="E1050" s="507">
        <v>3</v>
      </c>
      <c r="F1050" s="502">
        <v>1</v>
      </c>
      <c r="G1050" s="502">
        <f>+ROUND(3.63/(D1050/1000)+1,0)</f>
        <v>25</v>
      </c>
      <c r="H1050" s="602">
        <v>0.25</v>
      </c>
      <c r="I1050" s="602">
        <f>2-0.025</f>
        <v>1.9750000000000001</v>
      </c>
      <c r="J1050" s="235">
        <v>0.4</v>
      </c>
      <c r="K1050" s="509"/>
      <c r="L1050" s="510">
        <f t="shared" ref="L1050:L1054" si="694">SUM(H1050:J1050)+K1050</f>
        <v>2.625</v>
      </c>
      <c r="M1050" s="510">
        <f t="shared" si="688"/>
        <v>0</v>
      </c>
      <c r="N1050" s="510">
        <f t="shared" si="689"/>
        <v>196.88</v>
      </c>
      <c r="O1050" s="510">
        <f t="shared" si="690"/>
        <v>0</v>
      </c>
      <c r="P1050" s="510">
        <f t="shared" si="691"/>
        <v>0</v>
      </c>
      <c r="Q1050" s="510">
        <f t="shared" si="692"/>
        <v>0</v>
      </c>
      <c r="R1050" s="510">
        <f t="shared" si="693"/>
        <v>0</v>
      </c>
    </row>
    <row r="1051" spans="1:18">
      <c r="A1051" s="505"/>
      <c r="B1051" s="607" t="s">
        <v>1155</v>
      </c>
      <c r="C1051" s="507">
        <v>8</v>
      </c>
      <c r="D1051" s="508">
        <v>200</v>
      </c>
      <c r="E1051" s="507">
        <v>3</v>
      </c>
      <c r="F1051" s="502">
        <v>1</v>
      </c>
      <c r="G1051" s="502">
        <f>+ROUND(2/(D1051/1000)+1,0)</f>
        <v>11</v>
      </c>
      <c r="H1051" s="602"/>
      <c r="I1051" s="602">
        <f>3.63-0.05</f>
        <v>3.58</v>
      </c>
      <c r="J1051" s="235">
        <v>0.1</v>
      </c>
      <c r="K1051" s="509"/>
      <c r="L1051" s="510">
        <f t="shared" si="694"/>
        <v>3.68</v>
      </c>
      <c r="M1051" s="510">
        <f t="shared" si="688"/>
        <v>121.44</v>
      </c>
      <c r="N1051" s="510">
        <f t="shared" si="689"/>
        <v>0</v>
      </c>
      <c r="O1051" s="510">
        <f t="shared" si="690"/>
        <v>0</v>
      </c>
      <c r="P1051" s="510">
        <f t="shared" si="691"/>
        <v>0</v>
      </c>
      <c r="Q1051" s="510">
        <f t="shared" si="692"/>
        <v>0</v>
      </c>
      <c r="R1051" s="510">
        <f t="shared" si="693"/>
        <v>0</v>
      </c>
    </row>
    <row r="1052" spans="1:18">
      <c r="A1052" s="505"/>
      <c r="B1052" s="607" t="s">
        <v>1174</v>
      </c>
      <c r="C1052" s="507">
        <v>12</v>
      </c>
      <c r="D1052" s="508">
        <v>100</v>
      </c>
      <c r="E1052" s="507">
        <v>3</v>
      </c>
      <c r="F1052" s="502">
        <v>1</v>
      </c>
      <c r="G1052" s="502">
        <f>+ROUND(3.63/(D1052/1000)+1,0)/2</f>
        <v>18.5</v>
      </c>
      <c r="H1052" s="602"/>
      <c r="I1052" s="602">
        <f>2+2.5-0.025</f>
        <v>4.4749999999999996</v>
      </c>
      <c r="J1052" s="235"/>
      <c r="K1052" s="509"/>
      <c r="L1052" s="510">
        <f t="shared" si="694"/>
        <v>4.4749999999999996</v>
      </c>
      <c r="M1052" s="510">
        <f t="shared" si="688"/>
        <v>0</v>
      </c>
      <c r="N1052" s="510">
        <f t="shared" si="689"/>
        <v>0</v>
      </c>
      <c r="O1052" s="510">
        <f t="shared" si="690"/>
        <v>248.36</v>
      </c>
      <c r="P1052" s="510">
        <f t="shared" si="691"/>
        <v>0</v>
      </c>
      <c r="Q1052" s="510">
        <f t="shared" si="692"/>
        <v>0</v>
      </c>
      <c r="R1052" s="510">
        <f t="shared" si="693"/>
        <v>0</v>
      </c>
    </row>
    <row r="1053" spans="1:18">
      <c r="A1053" s="505"/>
      <c r="B1053" s="607" t="s">
        <v>1174</v>
      </c>
      <c r="C1053" s="507">
        <v>10</v>
      </c>
      <c r="D1053" s="508">
        <v>100</v>
      </c>
      <c r="E1053" s="507">
        <v>3</v>
      </c>
      <c r="F1053" s="502">
        <v>1</v>
      </c>
      <c r="G1053" s="502">
        <f>+ROUND(3.63/(D1053/1000)+1,0)/2</f>
        <v>18.5</v>
      </c>
      <c r="H1053" s="602"/>
      <c r="I1053" s="602">
        <f>1.35+0.2+2</f>
        <v>3.55</v>
      </c>
      <c r="J1053" s="235"/>
      <c r="K1053" s="509"/>
      <c r="L1053" s="510">
        <f t="shared" si="694"/>
        <v>3.55</v>
      </c>
      <c r="M1053" s="510">
        <f t="shared" si="688"/>
        <v>0</v>
      </c>
      <c r="N1053" s="510">
        <f t="shared" si="689"/>
        <v>197.03</v>
      </c>
      <c r="O1053" s="510">
        <f t="shared" si="690"/>
        <v>0</v>
      </c>
      <c r="P1053" s="510">
        <f t="shared" si="691"/>
        <v>0</v>
      </c>
      <c r="Q1053" s="510">
        <f t="shared" si="692"/>
        <v>0</v>
      </c>
      <c r="R1053" s="510">
        <f t="shared" si="693"/>
        <v>0</v>
      </c>
    </row>
    <row r="1054" spans="1:18">
      <c r="A1054" s="505"/>
      <c r="B1054" s="607" t="s">
        <v>1175</v>
      </c>
      <c r="C1054" s="507">
        <v>8</v>
      </c>
      <c r="D1054" s="508">
        <v>200</v>
      </c>
      <c r="E1054" s="507">
        <v>3</v>
      </c>
      <c r="F1054" s="502">
        <v>2</v>
      </c>
      <c r="G1054" s="502">
        <f>+ROUND(2/(D1054/1000)+1,0)</f>
        <v>11</v>
      </c>
      <c r="H1054" s="602">
        <v>0.1</v>
      </c>
      <c r="I1054" s="602">
        <f>3.63-0.05</f>
        <v>3.58</v>
      </c>
      <c r="J1054" s="235">
        <v>0.1</v>
      </c>
      <c r="K1054" s="509"/>
      <c r="L1054" s="510">
        <f t="shared" si="694"/>
        <v>3.7800000000000002</v>
      </c>
      <c r="M1054" s="510">
        <f t="shared" si="688"/>
        <v>249.48</v>
      </c>
      <c r="N1054" s="510">
        <f t="shared" si="689"/>
        <v>0</v>
      </c>
      <c r="O1054" s="510">
        <f t="shared" si="690"/>
        <v>0</v>
      </c>
      <c r="P1054" s="510">
        <f t="shared" si="691"/>
        <v>0</v>
      </c>
      <c r="Q1054" s="510">
        <f t="shared" si="692"/>
        <v>0</v>
      </c>
      <c r="R1054" s="510">
        <f t="shared" si="693"/>
        <v>0</v>
      </c>
    </row>
    <row r="1055" spans="1:18">
      <c r="A1055" s="505"/>
      <c r="B1055" s="607" t="s">
        <v>1241</v>
      </c>
      <c r="C1055" s="507">
        <v>10</v>
      </c>
      <c r="D1055" s="508">
        <v>150</v>
      </c>
      <c r="E1055" s="507">
        <v>1</v>
      </c>
      <c r="F1055" s="502">
        <v>1</v>
      </c>
      <c r="G1055" s="502">
        <f>+ROUND(2/(D1055/1000)+1,0)</f>
        <v>14</v>
      </c>
      <c r="H1055" s="602">
        <v>0.1</v>
      </c>
      <c r="I1055" s="602">
        <v>0.3</v>
      </c>
      <c r="J1055" s="235">
        <v>0.49</v>
      </c>
      <c r="K1055" s="509"/>
      <c r="L1055" s="510">
        <f t="shared" ref="L1055" si="695">SUM(H1055:J1055)+K1055</f>
        <v>0.89</v>
      </c>
      <c r="M1055" s="510">
        <f t="shared" si="688"/>
        <v>0</v>
      </c>
      <c r="N1055" s="510">
        <f t="shared" si="689"/>
        <v>12.46</v>
      </c>
      <c r="O1055" s="510">
        <f t="shared" si="690"/>
        <v>0</v>
      </c>
      <c r="P1055" s="510">
        <f t="shared" si="691"/>
        <v>0</v>
      </c>
      <c r="Q1055" s="510">
        <f t="shared" si="692"/>
        <v>0</v>
      </c>
      <c r="R1055" s="510">
        <f t="shared" si="693"/>
        <v>0</v>
      </c>
    </row>
    <row r="1056" spans="1:18">
      <c r="A1056" s="505"/>
      <c r="B1056" s="511"/>
      <c r="C1056" s="507"/>
      <c r="D1056" s="508"/>
      <c r="E1056" s="507"/>
      <c r="F1056" s="502"/>
      <c r="G1056" s="502"/>
      <c r="H1056" s="602"/>
      <c r="I1056" s="602"/>
      <c r="J1056" s="235"/>
      <c r="K1056" s="509"/>
      <c r="L1056" s="510"/>
      <c r="M1056" s="510"/>
      <c r="N1056" s="510"/>
      <c r="O1056" s="510"/>
      <c r="P1056" s="510"/>
      <c r="Q1056" s="510"/>
      <c r="R1056" s="510"/>
    </row>
    <row r="1057" spans="1:18">
      <c r="A1057" s="505"/>
      <c r="B1057" s="506" t="s">
        <v>1209</v>
      </c>
      <c r="C1057" s="507"/>
      <c r="D1057" s="508"/>
      <c r="E1057" s="507"/>
      <c r="F1057" s="502"/>
      <c r="G1057" s="502"/>
      <c r="H1057" s="602"/>
      <c r="I1057" s="602"/>
      <c r="J1057" s="235"/>
      <c r="K1057" s="509"/>
      <c r="L1057" s="510">
        <f t="shared" ref="L1057:L1062" si="696">SUM(H1057:J1057)+K1057</f>
        <v>0</v>
      </c>
      <c r="M1057" s="510">
        <f t="shared" ref="M1057:M1062" si="697">+ROUND(IF(C1057=8,PRODUCT(E1057,F1057,G1057,L1057),0),2)</f>
        <v>0</v>
      </c>
      <c r="N1057" s="510">
        <f t="shared" ref="N1057:N1062" si="698">+ROUND(IF(C1057=10,PRODUCT(E1057,F1057,G1057,L1057),0),2)</f>
        <v>0</v>
      </c>
      <c r="O1057" s="510">
        <f t="shared" ref="O1057:O1062" si="699">+ROUND(IF(C1057=12,PRODUCT(E1057,F1057,G1057,L1057),0),2)</f>
        <v>0</v>
      </c>
      <c r="P1057" s="510">
        <f t="shared" ref="P1057:P1062" si="700">+ROUND(IF(C1057=16,PRODUCT(E1057,F1057,G1057,L1057),0),2)</f>
        <v>0</v>
      </c>
      <c r="Q1057" s="510">
        <f t="shared" ref="Q1057:Q1062" si="701">+ROUND(IF(C1057=20,PRODUCT(E1057,F1057,G1057,L1057),0),2)</f>
        <v>0</v>
      </c>
      <c r="R1057" s="510">
        <f t="shared" ref="R1057:R1062" si="702">+ROUND(IF(C1057=25,PRODUCT(E1057,F1057,G1057,L1057),0),2)</f>
        <v>0</v>
      </c>
    </row>
    <row r="1058" spans="1:18">
      <c r="A1058" s="505"/>
      <c r="B1058" s="607" t="s">
        <v>1173</v>
      </c>
      <c r="C1058" s="507">
        <v>10</v>
      </c>
      <c r="D1058" s="508">
        <v>150</v>
      </c>
      <c r="E1058" s="507">
        <v>3</v>
      </c>
      <c r="F1058" s="502">
        <v>1</v>
      </c>
      <c r="G1058" s="502">
        <f>+ROUND(1.65/(D1058/1000)+1,0)</f>
        <v>12</v>
      </c>
      <c r="H1058" s="602">
        <v>0.25</v>
      </c>
      <c r="I1058" s="602">
        <f>2-0.025</f>
        <v>1.9750000000000001</v>
      </c>
      <c r="J1058" s="235">
        <v>0.4</v>
      </c>
      <c r="K1058" s="509"/>
      <c r="L1058" s="510">
        <f t="shared" si="696"/>
        <v>2.625</v>
      </c>
      <c r="M1058" s="510">
        <f t="shared" si="697"/>
        <v>0</v>
      </c>
      <c r="N1058" s="510">
        <f t="shared" si="698"/>
        <v>94.5</v>
      </c>
      <c r="O1058" s="510">
        <f t="shared" si="699"/>
        <v>0</v>
      </c>
      <c r="P1058" s="510">
        <f t="shared" si="700"/>
        <v>0</v>
      </c>
      <c r="Q1058" s="510">
        <f t="shared" si="701"/>
        <v>0</v>
      </c>
      <c r="R1058" s="510">
        <f t="shared" si="702"/>
        <v>0</v>
      </c>
    </row>
    <row r="1059" spans="1:18">
      <c r="A1059" s="505"/>
      <c r="B1059" s="607" t="s">
        <v>1155</v>
      </c>
      <c r="C1059" s="507">
        <v>8</v>
      </c>
      <c r="D1059" s="508">
        <v>200</v>
      </c>
      <c r="E1059" s="507">
        <v>3</v>
      </c>
      <c r="F1059" s="502">
        <v>1</v>
      </c>
      <c r="G1059" s="502">
        <f>+ROUND(2/(D1059/1000)+1,0)</f>
        <v>11</v>
      </c>
      <c r="H1059" s="602"/>
      <c r="I1059" s="602">
        <f>1.65-0.05</f>
        <v>1.5999999999999999</v>
      </c>
      <c r="J1059" s="235">
        <v>0.1</v>
      </c>
      <c r="K1059" s="509"/>
      <c r="L1059" s="510">
        <f t="shared" si="696"/>
        <v>1.7</v>
      </c>
      <c r="M1059" s="510">
        <f t="shared" si="697"/>
        <v>56.1</v>
      </c>
      <c r="N1059" s="510">
        <f t="shared" si="698"/>
        <v>0</v>
      </c>
      <c r="O1059" s="510">
        <f t="shared" si="699"/>
        <v>0</v>
      </c>
      <c r="P1059" s="510">
        <f t="shared" si="700"/>
        <v>0</v>
      </c>
      <c r="Q1059" s="510">
        <f t="shared" si="701"/>
        <v>0</v>
      </c>
      <c r="R1059" s="510">
        <f t="shared" si="702"/>
        <v>0</v>
      </c>
    </row>
    <row r="1060" spans="1:18">
      <c r="A1060" s="505"/>
      <c r="B1060" s="607" t="s">
        <v>1174</v>
      </c>
      <c r="C1060" s="507">
        <v>12</v>
      </c>
      <c r="D1060" s="508">
        <v>100</v>
      </c>
      <c r="E1060" s="507">
        <v>3</v>
      </c>
      <c r="F1060" s="502">
        <v>1</v>
      </c>
      <c r="G1060" s="502">
        <f>+ROUND(1.65/(D1060/1000)+1,0)/2</f>
        <v>9</v>
      </c>
      <c r="H1060" s="602"/>
      <c r="I1060" s="602">
        <f>2+2.5-0.025</f>
        <v>4.4749999999999996</v>
      </c>
      <c r="J1060" s="235"/>
      <c r="K1060" s="509"/>
      <c r="L1060" s="510">
        <f t="shared" si="696"/>
        <v>4.4749999999999996</v>
      </c>
      <c r="M1060" s="510">
        <f t="shared" si="697"/>
        <v>0</v>
      </c>
      <c r="N1060" s="510">
        <f t="shared" si="698"/>
        <v>0</v>
      </c>
      <c r="O1060" s="510">
        <f t="shared" si="699"/>
        <v>120.83</v>
      </c>
      <c r="P1060" s="510">
        <f t="shared" si="700"/>
        <v>0</v>
      </c>
      <c r="Q1060" s="510">
        <f t="shared" si="701"/>
        <v>0</v>
      </c>
      <c r="R1060" s="510">
        <f t="shared" si="702"/>
        <v>0</v>
      </c>
    </row>
    <row r="1061" spans="1:18">
      <c r="A1061" s="505"/>
      <c r="B1061" s="607" t="s">
        <v>1174</v>
      </c>
      <c r="C1061" s="507">
        <v>10</v>
      </c>
      <c r="D1061" s="508">
        <v>100</v>
      </c>
      <c r="E1061" s="507">
        <v>3</v>
      </c>
      <c r="F1061" s="502">
        <v>1</v>
      </c>
      <c r="G1061" s="502">
        <f>+ROUND(1.65/(D1061/1000)+1,0)/2</f>
        <v>9</v>
      </c>
      <c r="H1061" s="602"/>
      <c r="I1061" s="602">
        <f>1.35+0.2+2</f>
        <v>3.55</v>
      </c>
      <c r="J1061" s="235"/>
      <c r="K1061" s="509"/>
      <c r="L1061" s="510">
        <f t="shared" si="696"/>
        <v>3.55</v>
      </c>
      <c r="M1061" s="510">
        <f t="shared" si="697"/>
        <v>0</v>
      </c>
      <c r="N1061" s="510">
        <f t="shared" si="698"/>
        <v>95.85</v>
      </c>
      <c r="O1061" s="510">
        <f t="shared" si="699"/>
        <v>0</v>
      </c>
      <c r="P1061" s="510">
        <f t="shared" si="700"/>
        <v>0</v>
      </c>
      <c r="Q1061" s="510">
        <f t="shared" si="701"/>
        <v>0</v>
      </c>
      <c r="R1061" s="510">
        <f t="shared" si="702"/>
        <v>0</v>
      </c>
    </row>
    <row r="1062" spans="1:18">
      <c r="A1062" s="505"/>
      <c r="B1062" s="607" t="s">
        <v>1175</v>
      </c>
      <c r="C1062" s="507">
        <v>8</v>
      </c>
      <c r="D1062" s="508">
        <v>200</v>
      </c>
      <c r="E1062" s="507">
        <v>3</v>
      </c>
      <c r="F1062" s="502">
        <v>2</v>
      </c>
      <c r="G1062" s="502">
        <f>+ROUND(2/(D1062/1000)+1,0)</f>
        <v>11</v>
      </c>
      <c r="H1062" s="602"/>
      <c r="I1062" s="602">
        <f>1.65-0.05</f>
        <v>1.5999999999999999</v>
      </c>
      <c r="J1062" s="235"/>
      <c r="K1062" s="509"/>
      <c r="L1062" s="510">
        <f t="shared" si="696"/>
        <v>1.5999999999999999</v>
      </c>
      <c r="M1062" s="510">
        <f t="shared" si="697"/>
        <v>105.6</v>
      </c>
      <c r="N1062" s="510">
        <f t="shared" si="698"/>
        <v>0</v>
      </c>
      <c r="O1062" s="510">
        <f t="shared" si="699"/>
        <v>0</v>
      </c>
      <c r="P1062" s="510">
        <f t="shared" si="700"/>
        <v>0</v>
      </c>
      <c r="Q1062" s="510">
        <f t="shared" si="701"/>
        <v>0</v>
      </c>
      <c r="R1062" s="510">
        <f t="shared" si="702"/>
        <v>0</v>
      </c>
    </row>
    <row r="1063" spans="1:18">
      <c r="A1063" s="505"/>
      <c r="B1063" s="511"/>
      <c r="C1063" s="507"/>
      <c r="D1063" s="508"/>
      <c r="E1063" s="507"/>
      <c r="F1063" s="502"/>
      <c r="G1063" s="502"/>
      <c r="H1063" s="602"/>
      <c r="I1063" s="602"/>
      <c r="J1063" s="235"/>
      <c r="K1063" s="509"/>
      <c r="L1063" s="510"/>
      <c r="M1063" s="510"/>
      <c r="N1063" s="510"/>
      <c r="O1063" s="510"/>
      <c r="P1063" s="510"/>
      <c r="Q1063" s="510"/>
      <c r="R1063" s="510"/>
    </row>
    <row r="1064" spans="1:18">
      <c r="A1064" s="505"/>
      <c r="B1064" s="506" t="s">
        <v>1210</v>
      </c>
      <c r="C1064" s="507"/>
      <c r="D1064" s="508"/>
      <c r="E1064" s="507"/>
      <c r="F1064" s="502"/>
      <c r="G1064" s="502"/>
      <c r="H1064" s="602"/>
      <c r="I1064" s="602"/>
      <c r="J1064" s="235"/>
      <c r="K1064" s="509"/>
      <c r="L1064" s="510">
        <f t="shared" si="6"/>
        <v>0</v>
      </c>
      <c r="M1064" s="510">
        <f t="shared" si="394"/>
        <v>0</v>
      </c>
      <c r="N1064" s="510">
        <f t="shared" si="437"/>
        <v>0</v>
      </c>
      <c r="O1064" s="510">
        <f t="shared" si="438"/>
        <v>0</v>
      </c>
      <c r="P1064" s="510">
        <f t="shared" si="439"/>
        <v>0</v>
      </c>
      <c r="Q1064" s="510">
        <f t="shared" si="440"/>
        <v>0</v>
      </c>
      <c r="R1064" s="510">
        <f t="shared" si="441"/>
        <v>0</v>
      </c>
    </row>
    <row r="1065" spans="1:18">
      <c r="A1065" s="505"/>
      <c r="B1065" s="607" t="s">
        <v>1211</v>
      </c>
      <c r="C1065" s="507">
        <v>8</v>
      </c>
      <c r="D1065" s="508">
        <v>200</v>
      </c>
      <c r="E1065" s="507">
        <v>1</v>
      </c>
      <c r="F1065" s="502">
        <v>1</v>
      </c>
      <c r="G1065" s="502">
        <v>16</v>
      </c>
      <c r="H1065" s="602"/>
      <c r="I1065" s="602">
        <v>2.82</v>
      </c>
      <c r="J1065" s="235"/>
      <c r="K1065" s="509"/>
      <c r="L1065" s="510">
        <f t="shared" ref="L1065:L1079" si="703">SUM(H1065:J1065)+K1065</f>
        <v>2.82</v>
      </c>
      <c r="M1065" s="510">
        <f t="shared" si="394"/>
        <v>45.12</v>
      </c>
      <c r="N1065" s="510">
        <f t="shared" si="437"/>
        <v>0</v>
      </c>
      <c r="O1065" s="510">
        <f t="shared" si="438"/>
        <v>0</v>
      </c>
      <c r="P1065" s="510">
        <f t="shared" si="439"/>
        <v>0</v>
      </c>
      <c r="Q1065" s="510">
        <f t="shared" si="440"/>
        <v>0</v>
      </c>
      <c r="R1065" s="510">
        <f t="shared" si="441"/>
        <v>0</v>
      </c>
    </row>
    <row r="1066" spans="1:18">
      <c r="A1066" s="505"/>
      <c r="B1066" s="607" t="s">
        <v>1211</v>
      </c>
      <c r="C1066" s="507">
        <v>8</v>
      </c>
      <c r="D1066" s="508">
        <v>200</v>
      </c>
      <c r="E1066" s="507">
        <v>1</v>
      </c>
      <c r="F1066" s="502">
        <v>1</v>
      </c>
      <c r="G1066" s="502">
        <v>10</v>
      </c>
      <c r="H1066" s="602"/>
      <c r="I1066" s="602">
        <f>0.175+1.5+0.175</f>
        <v>1.85</v>
      </c>
      <c r="J1066" s="235"/>
      <c r="K1066" s="509"/>
      <c r="L1066" s="510">
        <f t="shared" si="703"/>
        <v>1.85</v>
      </c>
      <c r="M1066" s="510">
        <f t="shared" si="394"/>
        <v>18.5</v>
      </c>
      <c r="N1066" s="510">
        <f t="shared" si="437"/>
        <v>0</v>
      </c>
      <c r="O1066" s="510">
        <f t="shared" si="438"/>
        <v>0</v>
      </c>
      <c r="P1066" s="510">
        <f t="shared" si="439"/>
        <v>0</v>
      </c>
      <c r="Q1066" s="510">
        <f t="shared" si="440"/>
        <v>0</v>
      </c>
      <c r="R1066" s="510">
        <f t="shared" si="441"/>
        <v>0</v>
      </c>
    </row>
    <row r="1067" spans="1:18">
      <c r="A1067" s="505"/>
      <c r="B1067" s="607" t="s">
        <v>1155</v>
      </c>
      <c r="C1067" s="507">
        <v>8</v>
      </c>
      <c r="D1067" s="508">
        <v>200</v>
      </c>
      <c r="E1067" s="507">
        <v>1</v>
      </c>
      <c r="F1067" s="502">
        <v>1</v>
      </c>
      <c r="G1067" s="502">
        <v>8</v>
      </c>
      <c r="H1067" s="602"/>
      <c r="I1067" s="602">
        <f>0.175+5.09+0.175</f>
        <v>5.4399999999999995</v>
      </c>
      <c r="J1067" s="235"/>
      <c r="K1067" s="509"/>
      <c r="L1067" s="510">
        <f t="shared" si="703"/>
        <v>5.4399999999999995</v>
      </c>
      <c r="M1067" s="510">
        <f t="shared" si="394"/>
        <v>43.52</v>
      </c>
      <c r="N1067" s="510">
        <f t="shared" si="437"/>
        <v>0</v>
      </c>
      <c r="O1067" s="510">
        <f t="shared" si="438"/>
        <v>0</v>
      </c>
      <c r="P1067" s="510">
        <f t="shared" si="439"/>
        <v>0</v>
      </c>
      <c r="Q1067" s="510">
        <f t="shared" si="440"/>
        <v>0</v>
      </c>
      <c r="R1067" s="510">
        <f t="shared" si="441"/>
        <v>0</v>
      </c>
    </row>
    <row r="1068" spans="1:18">
      <c r="A1068" s="505"/>
      <c r="B1068" s="607" t="s">
        <v>1155</v>
      </c>
      <c r="C1068" s="507">
        <v>8</v>
      </c>
      <c r="D1068" s="508">
        <v>200</v>
      </c>
      <c r="E1068" s="507">
        <v>1</v>
      </c>
      <c r="F1068" s="502">
        <v>1</v>
      </c>
      <c r="G1068" s="502">
        <v>5</v>
      </c>
      <c r="H1068" s="602"/>
      <c r="I1068" s="602">
        <v>3.55</v>
      </c>
      <c r="J1068" s="235"/>
      <c r="K1068" s="509"/>
      <c r="L1068" s="510">
        <f t="shared" si="703"/>
        <v>3.55</v>
      </c>
      <c r="M1068" s="510">
        <f t="shared" si="394"/>
        <v>17.75</v>
      </c>
      <c r="N1068" s="510">
        <f t="shared" si="437"/>
        <v>0</v>
      </c>
      <c r="O1068" s="510">
        <f t="shared" si="438"/>
        <v>0</v>
      </c>
      <c r="P1068" s="510">
        <f t="shared" si="439"/>
        <v>0</v>
      </c>
      <c r="Q1068" s="510">
        <f t="shared" si="440"/>
        <v>0</v>
      </c>
      <c r="R1068" s="510">
        <f t="shared" si="441"/>
        <v>0</v>
      </c>
    </row>
    <row r="1069" spans="1:18">
      <c r="A1069" s="505"/>
      <c r="B1069" s="607" t="s">
        <v>1156</v>
      </c>
      <c r="C1069" s="507">
        <v>8</v>
      </c>
      <c r="D1069" s="508">
        <v>200</v>
      </c>
      <c r="E1069" s="507">
        <v>1</v>
      </c>
      <c r="F1069" s="502">
        <v>1</v>
      </c>
      <c r="G1069" s="502">
        <v>25</v>
      </c>
      <c r="H1069" s="602">
        <v>0.1</v>
      </c>
      <c r="I1069" s="602">
        <v>0.70499999999999996</v>
      </c>
      <c r="J1069" s="235"/>
      <c r="K1069" s="509"/>
      <c r="L1069" s="510">
        <f t="shared" si="703"/>
        <v>0.80499999999999994</v>
      </c>
      <c r="M1069" s="510">
        <f t="shared" si="394"/>
        <v>20.13</v>
      </c>
      <c r="N1069" s="510">
        <f t="shared" si="437"/>
        <v>0</v>
      </c>
      <c r="O1069" s="510">
        <f t="shared" si="438"/>
        <v>0</v>
      </c>
      <c r="P1069" s="510">
        <f t="shared" si="439"/>
        <v>0</v>
      </c>
      <c r="Q1069" s="510">
        <f t="shared" si="440"/>
        <v>0</v>
      </c>
      <c r="R1069" s="510">
        <f t="shared" si="441"/>
        <v>0</v>
      </c>
    </row>
    <row r="1070" spans="1:18">
      <c r="A1070" s="505"/>
      <c r="B1070" s="607" t="s">
        <v>1159</v>
      </c>
      <c r="C1070" s="507">
        <v>8</v>
      </c>
      <c r="D1070" s="508">
        <v>200</v>
      </c>
      <c r="E1070" s="507">
        <v>1</v>
      </c>
      <c r="F1070" s="502">
        <v>1</v>
      </c>
      <c r="G1070" s="502">
        <f>+ROUND(0.5/(D1070/1000)+1,0)</f>
        <v>4</v>
      </c>
      <c r="H1070" s="602">
        <v>0.2</v>
      </c>
      <c r="I1070" s="602">
        <v>5.09</v>
      </c>
      <c r="J1070" s="235"/>
      <c r="K1070" s="509"/>
      <c r="L1070" s="510">
        <f t="shared" si="703"/>
        <v>5.29</v>
      </c>
      <c r="M1070" s="510">
        <f t="shared" si="394"/>
        <v>21.16</v>
      </c>
      <c r="N1070" s="510">
        <f t="shared" si="437"/>
        <v>0</v>
      </c>
      <c r="O1070" s="510">
        <f t="shared" si="438"/>
        <v>0</v>
      </c>
      <c r="P1070" s="510">
        <f t="shared" si="439"/>
        <v>0</v>
      </c>
      <c r="Q1070" s="510">
        <f t="shared" si="440"/>
        <v>0</v>
      </c>
      <c r="R1070" s="510">
        <f t="shared" si="441"/>
        <v>0</v>
      </c>
    </row>
    <row r="1071" spans="1:18">
      <c r="A1071" s="505"/>
      <c r="B1071" s="607" t="s">
        <v>1168</v>
      </c>
      <c r="C1071" s="507">
        <v>8</v>
      </c>
      <c r="D1071" s="508">
        <v>150</v>
      </c>
      <c r="E1071" s="507">
        <v>1</v>
      </c>
      <c r="F1071" s="502">
        <v>1</v>
      </c>
      <c r="G1071" s="502">
        <v>7</v>
      </c>
      <c r="H1071" s="602"/>
      <c r="I1071" s="602">
        <f>0.1+1.6</f>
        <v>1.7000000000000002</v>
      </c>
      <c r="J1071" s="235"/>
      <c r="K1071" s="509"/>
      <c r="L1071" s="510">
        <f t="shared" si="703"/>
        <v>1.7000000000000002</v>
      </c>
      <c r="M1071" s="510">
        <f t="shared" si="394"/>
        <v>11.9</v>
      </c>
      <c r="N1071" s="510">
        <f t="shared" si="437"/>
        <v>0</v>
      </c>
      <c r="O1071" s="510">
        <f t="shared" si="438"/>
        <v>0</v>
      </c>
      <c r="P1071" s="510">
        <f t="shared" si="439"/>
        <v>0</v>
      </c>
      <c r="Q1071" s="510">
        <f t="shared" si="440"/>
        <v>0</v>
      </c>
      <c r="R1071" s="510">
        <f t="shared" si="441"/>
        <v>0</v>
      </c>
    </row>
    <row r="1072" spans="1:18">
      <c r="A1072" s="505"/>
      <c r="B1072" s="607" t="s">
        <v>1168</v>
      </c>
      <c r="C1072" s="507">
        <v>8</v>
      </c>
      <c r="D1072" s="508">
        <v>150</v>
      </c>
      <c r="E1072" s="507">
        <v>1</v>
      </c>
      <c r="F1072" s="502">
        <v>1</v>
      </c>
      <c r="G1072" s="502">
        <v>9</v>
      </c>
      <c r="H1072" s="602"/>
      <c r="I1072" s="602">
        <f>0.1+0.8</f>
        <v>0.9</v>
      </c>
      <c r="J1072" s="235"/>
      <c r="K1072" s="509"/>
      <c r="L1072" s="510">
        <f t="shared" si="703"/>
        <v>0.9</v>
      </c>
      <c r="M1072" s="510">
        <f t="shared" si="394"/>
        <v>8.1</v>
      </c>
      <c r="N1072" s="510">
        <f t="shared" si="437"/>
        <v>0</v>
      </c>
      <c r="O1072" s="510">
        <f t="shared" si="438"/>
        <v>0</v>
      </c>
      <c r="P1072" s="510">
        <f t="shared" si="439"/>
        <v>0</v>
      </c>
      <c r="Q1072" s="510">
        <f t="shared" si="440"/>
        <v>0</v>
      </c>
      <c r="R1072" s="510">
        <f t="shared" si="441"/>
        <v>0</v>
      </c>
    </row>
    <row r="1073" spans="1:18">
      <c r="A1073" s="505"/>
      <c r="B1073" s="607" t="s">
        <v>1159</v>
      </c>
      <c r="C1073" s="507">
        <v>8</v>
      </c>
      <c r="D1073" s="508">
        <v>200</v>
      </c>
      <c r="E1073" s="507">
        <v>1</v>
      </c>
      <c r="F1073" s="502">
        <v>1</v>
      </c>
      <c r="G1073" s="502">
        <v>8</v>
      </c>
      <c r="H1073" s="602">
        <v>0.2</v>
      </c>
      <c r="I1073" s="602">
        <v>2</v>
      </c>
      <c r="J1073" s="235"/>
      <c r="K1073" s="509"/>
      <c r="L1073" s="510">
        <f t="shared" si="703"/>
        <v>2.2000000000000002</v>
      </c>
      <c r="M1073" s="510">
        <f t="shared" si="394"/>
        <v>17.600000000000001</v>
      </c>
      <c r="N1073" s="510">
        <f t="shared" si="437"/>
        <v>0</v>
      </c>
      <c r="O1073" s="510">
        <f t="shared" si="438"/>
        <v>0</v>
      </c>
      <c r="P1073" s="510">
        <f t="shared" si="439"/>
        <v>0</v>
      </c>
      <c r="Q1073" s="510">
        <f t="shared" si="440"/>
        <v>0</v>
      </c>
      <c r="R1073" s="510">
        <f t="shared" si="441"/>
        <v>0</v>
      </c>
    </row>
    <row r="1074" spans="1:18">
      <c r="A1074" s="505"/>
      <c r="B1074" s="607" t="s">
        <v>1158</v>
      </c>
      <c r="C1074" s="507">
        <v>8</v>
      </c>
      <c r="D1074" s="508">
        <v>175</v>
      </c>
      <c r="E1074" s="507">
        <v>1</v>
      </c>
      <c r="F1074" s="502">
        <v>1</v>
      </c>
      <c r="G1074" s="502">
        <f>+ROUND(3.14/(D1074/1000)+1,0)</f>
        <v>19</v>
      </c>
      <c r="H1074" s="602"/>
      <c r="I1074" s="602">
        <v>0.8</v>
      </c>
      <c r="J1074" s="235"/>
      <c r="K1074" s="509"/>
      <c r="L1074" s="510">
        <f t="shared" si="703"/>
        <v>0.8</v>
      </c>
      <c r="M1074" s="510">
        <f t="shared" si="394"/>
        <v>15.2</v>
      </c>
      <c r="N1074" s="510">
        <f t="shared" si="437"/>
        <v>0</v>
      </c>
      <c r="O1074" s="510">
        <f t="shared" si="438"/>
        <v>0</v>
      </c>
      <c r="P1074" s="510">
        <f t="shared" si="439"/>
        <v>0</v>
      </c>
      <c r="Q1074" s="510">
        <f t="shared" si="440"/>
        <v>0</v>
      </c>
      <c r="R1074" s="510">
        <f t="shared" si="441"/>
        <v>0</v>
      </c>
    </row>
    <row r="1075" spans="1:18">
      <c r="A1075" s="505"/>
      <c r="B1075" s="607" t="s">
        <v>1159</v>
      </c>
      <c r="C1075" s="507">
        <v>8</v>
      </c>
      <c r="D1075" s="508">
        <v>200</v>
      </c>
      <c r="E1075" s="507">
        <v>1</v>
      </c>
      <c r="F1075" s="502">
        <v>1</v>
      </c>
      <c r="G1075" s="502">
        <f>+ROUND(0.8/(D1075/1000)+1,0)</f>
        <v>5</v>
      </c>
      <c r="H1075" s="602">
        <v>0.2</v>
      </c>
      <c r="I1075" s="602">
        <v>3.14</v>
      </c>
      <c r="J1075" s="235"/>
      <c r="K1075" s="509"/>
      <c r="L1075" s="510">
        <f t="shared" si="703"/>
        <v>3.3400000000000003</v>
      </c>
      <c r="M1075" s="510">
        <f t="shared" si="394"/>
        <v>16.7</v>
      </c>
      <c r="N1075" s="510">
        <f t="shared" si="437"/>
        <v>0</v>
      </c>
      <c r="O1075" s="510">
        <f t="shared" si="438"/>
        <v>0</v>
      </c>
      <c r="P1075" s="510">
        <f t="shared" si="439"/>
        <v>0</v>
      </c>
      <c r="Q1075" s="510">
        <f t="shared" si="440"/>
        <v>0</v>
      </c>
      <c r="R1075" s="510">
        <f t="shared" si="441"/>
        <v>0</v>
      </c>
    </row>
    <row r="1076" spans="1:18">
      <c r="A1076" s="505"/>
      <c r="B1076" s="607" t="s">
        <v>1168</v>
      </c>
      <c r="C1076" s="507">
        <v>8</v>
      </c>
      <c r="D1076" s="508">
        <v>150</v>
      </c>
      <c r="E1076" s="507">
        <v>1</v>
      </c>
      <c r="F1076" s="502">
        <v>1</v>
      </c>
      <c r="G1076" s="502">
        <f>+ROUND(1.95/(D1076/1000)+1,0)</f>
        <v>14</v>
      </c>
      <c r="H1076" s="602"/>
      <c r="I1076" s="602">
        <f>0.5+0.1</f>
        <v>0.6</v>
      </c>
      <c r="J1076" s="235"/>
      <c r="K1076" s="509"/>
      <c r="L1076" s="510">
        <f t="shared" si="703"/>
        <v>0.6</v>
      </c>
      <c r="M1076" s="510">
        <f t="shared" si="394"/>
        <v>8.4</v>
      </c>
      <c r="N1076" s="510">
        <f t="shared" si="437"/>
        <v>0</v>
      </c>
      <c r="O1076" s="510">
        <f t="shared" si="438"/>
        <v>0</v>
      </c>
      <c r="P1076" s="510">
        <f t="shared" si="439"/>
        <v>0</v>
      </c>
      <c r="Q1076" s="510">
        <f t="shared" si="440"/>
        <v>0</v>
      </c>
      <c r="R1076" s="510">
        <f t="shared" si="441"/>
        <v>0</v>
      </c>
    </row>
    <row r="1077" spans="1:18">
      <c r="A1077" s="505"/>
      <c r="B1077" s="607" t="s">
        <v>1159</v>
      </c>
      <c r="C1077" s="507">
        <v>8</v>
      </c>
      <c r="D1077" s="508">
        <v>200</v>
      </c>
      <c r="E1077" s="507">
        <v>1</v>
      </c>
      <c r="F1077" s="502">
        <v>1</v>
      </c>
      <c r="G1077" s="502">
        <f>+ROUND(0.5/(D1077/1000)+1,0)</f>
        <v>4</v>
      </c>
      <c r="H1077" s="602">
        <v>0.2</v>
      </c>
      <c r="I1077" s="602">
        <v>1.95</v>
      </c>
      <c r="J1077" s="235"/>
      <c r="K1077" s="509"/>
      <c r="L1077" s="510">
        <f t="shared" si="703"/>
        <v>2.15</v>
      </c>
      <c r="M1077" s="510">
        <f t="shared" si="394"/>
        <v>8.6</v>
      </c>
      <c r="N1077" s="510">
        <f t="shared" si="437"/>
        <v>0</v>
      </c>
      <c r="O1077" s="510">
        <f t="shared" si="438"/>
        <v>0</v>
      </c>
      <c r="P1077" s="510">
        <f t="shared" si="439"/>
        <v>0</v>
      </c>
      <c r="Q1077" s="510">
        <f t="shared" si="440"/>
        <v>0</v>
      </c>
      <c r="R1077" s="510">
        <f t="shared" si="441"/>
        <v>0</v>
      </c>
    </row>
    <row r="1078" spans="1:18">
      <c r="A1078" s="505"/>
      <c r="B1078" s="607" t="s">
        <v>1156</v>
      </c>
      <c r="C1078" s="507">
        <v>8</v>
      </c>
      <c r="D1078" s="508">
        <v>200</v>
      </c>
      <c r="E1078" s="507">
        <v>1</v>
      </c>
      <c r="F1078" s="502">
        <v>1</v>
      </c>
      <c r="G1078" s="502">
        <f>+ROUND(1.5/(D1078/1000)+1,0)</f>
        <v>9</v>
      </c>
      <c r="H1078" s="602"/>
      <c r="I1078" s="602">
        <f>0.1+1.6</f>
        <v>1.7000000000000002</v>
      </c>
      <c r="J1078" s="235"/>
      <c r="K1078" s="509"/>
      <c r="L1078" s="510">
        <f t="shared" si="703"/>
        <v>1.7000000000000002</v>
      </c>
      <c r="M1078" s="510">
        <f t="shared" si="394"/>
        <v>15.3</v>
      </c>
      <c r="N1078" s="510">
        <f t="shared" si="437"/>
        <v>0</v>
      </c>
      <c r="O1078" s="510">
        <f t="shared" si="438"/>
        <v>0</v>
      </c>
      <c r="P1078" s="510">
        <f t="shared" si="439"/>
        <v>0</v>
      </c>
      <c r="Q1078" s="510">
        <f t="shared" si="440"/>
        <v>0</v>
      </c>
      <c r="R1078" s="510">
        <f t="shared" si="441"/>
        <v>0</v>
      </c>
    </row>
    <row r="1079" spans="1:18">
      <c r="A1079" s="505"/>
      <c r="B1079" s="607" t="s">
        <v>1159</v>
      </c>
      <c r="C1079" s="507">
        <v>8</v>
      </c>
      <c r="D1079" s="508">
        <v>200</v>
      </c>
      <c r="E1079" s="507">
        <v>1</v>
      </c>
      <c r="F1079" s="502">
        <v>1</v>
      </c>
      <c r="G1079" s="502">
        <f>+ROUND(1.6/(D1079/1000)+1,0)</f>
        <v>9</v>
      </c>
      <c r="H1079" s="602">
        <v>0.2</v>
      </c>
      <c r="I1079" s="602">
        <v>1.95</v>
      </c>
      <c r="J1079" s="235"/>
      <c r="K1079" s="509"/>
      <c r="L1079" s="510">
        <f t="shared" si="703"/>
        <v>2.15</v>
      </c>
      <c r="M1079" s="510">
        <f t="shared" si="394"/>
        <v>19.350000000000001</v>
      </c>
      <c r="N1079" s="510">
        <f t="shared" si="437"/>
        <v>0</v>
      </c>
      <c r="O1079" s="510">
        <f t="shared" si="438"/>
        <v>0</v>
      </c>
      <c r="P1079" s="510">
        <f t="shared" si="439"/>
        <v>0</v>
      </c>
      <c r="Q1079" s="510">
        <f t="shared" si="440"/>
        <v>0</v>
      </c>
      <c r="R1079" s="510">
        <f t="shared" si="441"/>
        <v>0</v>
      </c>
    </row>
    <row r="1080" spans="1:18">
      <c r="A1080" s="505"/>
      <c r="B1080" s="511"/>
      <c r="C1080" s="507"/>
      <c r="D1080" s="508"/>
      <c r="E1080" s="507"/>
      <c r="F1080" s="502"/>
      <c r="G1080" s="502"/>
      <c r="H1080" s="602"/>
      <c r="I1080" s="602"/>
      <c r="J1080" s="235"/>
      <c r="K1080" s="509"/>
      <c r="L1080" s="510"/>
      <c r="M1080" s="510"/>
      <c r="N1080" s="510"/>
      <c r="O1080" s="510"/>
      <c r="P1080" s="510"/>
      <c r="Q1080" s="510"/>
      <c r="R1080" s="510"/>
    </row>
    <row r="1081" spans="1:18">
      <c r="A1081" s="505"/>
      <c r="B1081" s="511"/>
      <c r="C1081" s="507"/>
      <c r="D1081" s="508"/>
      <c r="E1081" s="507"/>
      <c r="F1081" s="502"/>
      <c r="G1081" s="502"/>
      <c r="H1081" s="602"/>
      <c r="I1081" s="602"/>
      <c r="J1081" s="235"/>
      <c r="K1081" s="509"/>
      <c r="L1081" s="510"/>
      <c r="M1081" s="510"/>
      <c r="N1081" s="510"/>
      <c r="O1081" s="510"/>
      <c r="P1081" s="510"/>
      <c r="Q1081" s="510"/>
      <c r="R1081" s="510"/>
    </row>
    <row r="1082" spans="1:18">
      <c r="A1082" s="505"/>
      <c r="B1082" s="506" t="s">
        <v>1212</v>
      </c>
      <c r="C1082" s="507"/>
      <c r="D1082" s="508"/>
      <c r="E1082" s="507"/>
      <c r="F1082" s="502"/>
      <c r="G1082" s="502"/>
      <c r="H1082" s="602"/>
      <c r="I1082" s="602"/>
      <c r="J1082" s="235"/>
      <c r="K1082" s="509"/>
      <c r="L1082" s="510">
        <f t="shared" ref="L1082" si="704">SUM(H1082:J1082)+K1082</f>
        <v>0</v>
      </c>
      <c r="M1082" s="510">
        <f t="shared" si="394"/>
        <v>0</v>
      </c>
      <c r="N1082" s="510">
        <f t="shared" ref="N1082:N1125" si="705">+ROUND(IF(C1082=10,PRODUCT(E1082,F1082,G1082,L1082),0),2)</f>
        <v>0</v>
      </c>
      <c r="O1082" s="510">
        <f t="shared" ref="O1082:O1125" si="706">+ROUND(IF(C1082=12,PRODUCT(E1082,F1082,G1082,L1082),0),2)</f>
        <v>0</v>
      </c>
      <c r="P1082" s="510">
        <f t="shared" ref="P1082:P1125" si="707">+ROUND(IF(C1082=16,PRODUCT(E1082,F1082,G1082,L1082),0),2)</f>
        <v>0</v>
      </c>
      <c r="Q1082" s="510">
        <f t="shared" ref="Q1082:Q1125" si="708">+ROUND(IF(C1082=20,PRODUCT(E1082,F1082,G1082,L1082),0),2)</f>
        <v>0</v>
      </c>
      <c r="R1082" s="510">
        <f t="shared" ref="R1082:R1125" si="709">+ROUND(IF(C1082=25,PRODUCT(E1082,F1082,G1082,L1082),0),2)</f>
        <v>0</v>
      </c>
    </row>
    <row r="1083" spans="1:18">
      <c r="A1083" s="505"/>
      <c r="B1083" s="607" t="s">
        <v>1211</v>
      </c>
      <c r="C1083" s="507">
        <v>8</v>
      </c>
      <c r="D1083" s="508">
        <v>200</v>
      </c>
      <c r="E1083" s="507">
        <v>1</v>
      </c>
      <c r="F1083" s="502">
        <v>1</v>
      </c>
      <c r="G1083" s="502">
        <f>+ROUND(3.95/(D1083/1000)+1,0)</f>
        <v>21</v>
      </c>
      <c r="H1083" s="602"/>
      <c r="I1083" s="602">
        <f>0.175+1.61+0.175</f>
        <v>1.9600000000000002</v>
      </c>
      <c r="J1083" s="235"/>
      <c r="K1083" s="509"/>
      <c r="L1083" s="510">
        <f t="shared" ref="L1083:L1093" si="710">SUM(H1083:J1083)+K1083</f>
        <v>1.9600000000000002</v>
      </c>
      <c r="M1083" s="510">
        <f t="shared" si="394"/>
        <v>41.16</v>
      </c>
      <c r="N1083" s="510">
        <f t="shared" si="705"/>
        <v>0</v>
      </c>
      <c r="O1083" s="510">
        <f t="shared" si="706"/>
        <v>0</v>
      </c>
      <c r="P1083" s="510">
        <f t="shared" si="707"/>
        <v>0</v>
      </c>
      <c r="Q1083" s="510">
        <f t="shared" si="708"/>
        <v>0</v>
      </c>
      <c r="R1083" s="510">
        <f t="shared" si="709"/>
        <v>0</v>
      </c>
    </row>
    <row r="1084" spans="1:18">
      <c r="A1084" s="505"/>
      <c r="B1084" s="607" t="s">
        <v>1155</v>
      </c>
      <c r="C1084" s="507">
        <v>8</v>
      </c>
      <c r="D1084" s="508">
        <v>200</v>
      </c>
      <c r="E1084" s="507">
        <v>1</v>
      </c>
      <c r="F1084" s="502">
        <v>1</v>
      </c>
      <c r="G1084" s="502">
        <f>+ROUND(1.61/(D1084/1000)+1,0)</f>
        <v>9</v>
      </c>
      <c r="H1084" s="602"/>
      <c r="I1084" s="602">
        <f>0.175+3.95+0.175</f>
        <v>4.3</v>
      </c>
      <c r="J1084" s="235"/>
      <c r="K1084" s="509"/>
      <c r="L1084" s="510">
        <f t="shared" si="710"/>
        <v>4.3</v>
      </c>
      <c r="M1084" s="510">
        <f t="shared" si="394"/>
        <v>38.700000000000003</v>
      </c>
      <c r="N1084" s="510">
        <f t="shared" si="705"/>
        <v>0</v>
      </c>
      <c r="O1084" s="510">
        <f t="shared" si="706"/>
        <v>0</v>
      </c>
      <c r="P1084" s="510">
        <f t="shared" si="707"/>
        <v>0</v>
      </c>
      <c r="Q1084" s="510">
        <f t="shared" si="708"/>
        <v>0</v>
      </c>
      <c r="R1084" s="510">
        <f t="shared" si="709"/>
        <v>0</v>
      </c>
    </row>
    <row r="1085" spans="1:18">
      <c r="A1085" s="505"/>
      <c r="B1085" s="607" t="s">
        <v>1156</v>
      </c>
      <c r="C1085" s="507">
        <v>8</v>
      </c>
      <c r="D1085" s="508">
        <v>200</v>
      </c>
      <c r="E1085" s="507">
        <v>1</v>
      </c>
      <c r="F1085" s="502">
        <v>1</v>
      </c>
      <c r="G1085" s="502">
        <v>14</v>
      </c>
      <c r="H1085" s="602">
        <v>0.1</v>
      </c>
      <c r="I1085" s="602">
        <f>0.175+0.55</f>
        <v>0.72500000000000009</v>
      </c>
      <c r="J1085" s="235"/>
      <c r="K1085" s="509"/>
      <c r="L1085" s="510">
        <f t="shared" si="710"/>
        <v>0.82500000000000007</v>
      </c>
      <c r="M1085" s="510">
        <f t="shared" si="394"/>
        <v>11.55</v>
      </c>
      <c r="N1085" s="510">
        <f t="shared" si="705"/>
        <v>0</v>
      </c>
      <c r="O1085" s="510">
        <f t="shared" si="706"/>
        <v>0</v>
      </c>
      <c r="P1085" s="510">
        <f t="shared" si="707"/>
        <v>0</v>
      </c>
      <c r="Q1085" s="510">
        <f t="shared" si="708"/>
        <v>0</v>
      </c>
      <c r="R1085" s="510">
        <f t="shared" si="709"/>
        <v>0</v>
      </c>
    </row>
    <row r="1086" spans="1:18">
      <c r="A1086" s="505"/>
      <c r="B1086" s="607" t="s">
        <v>1156</v>
      </c>
      <c r="C1086" s="507">
        <v>8</v>
      </c>
      <c r="D1086" s="508">
        <v>200</v>
      </c>
      <c r="E1086" s="507">
        <v>1</v>
      </c>
      <c r="F1086" s="502">
        <v>1</v>
      </c>
      <c r="G1086" s="502">
        <v>23</v>
      </c>
      <c r="H1086" s="602"/>
      <c r="I1086" s="602">
        <f>0.1+0.55</f>
        <v>0.65</v>
      </c>
      <c r="J1086" s="235"/>
      <c r="K1086" s="509"/>
      <c r="L1086" s="510">
        <f t="shared" si="710"/>
        <v>0.65</v>
      </c>
      <c r="M1086" s="510">
        <f t="shared" si="394"/>
        <v>14.95</v>
      </c>
      <c r="N1086" s="510">
        <f t="shared" si="705"/>
        <v>0</v>
      </c>
      <c r="O1086" s="510">
        <f t="shared" si="706"/>
        <v>0</v>
      </c>
      <c r="P1086" s="510">
        <f t="shared" si="707"/>
        <v>0</v>
      </c>
      <c r="Q1086" s="510">
        <f t="shared" si="708"/>
        <v>0</v>
      </c>
      <c r="R1086" s="510">
        <f t="shared" si="709"/>
        <v>0</v>
      </c>
    </row>
    <row r="1087" spans="1:18">
      <c r="A1087" s="505"/>
      <c r="B1087" s="607" t="s">
        <v>1159</v>
      </c>
      <c r="C1087" s="507">
        <v>8</v>
      </c>
      <c r="D1087" s="508">
        <v>200</v>
      </c>
      <c r="E1087" s="507">
        <v>1</v>
      </c>
      <c r="F1087" s="502">
        <v>1</v>
      </c>
      <c r="G1087" s="502">
        <v>6</v>
      </c>
      <c r="H1087" s="602">
        <v>0.2</v>
      </c>
      <c r="I1087" s="602">
        <f>2.45+1.5</f>
        <v>3.95</v>
      </c>
      <c r="J1087" s="235"/>
      <c r="K1087" s="509"/>
      <c r="L1087" s="510">
        <f t="shared" si="710"/>
        <v>4.1500000000000004</v>
      </c>
      <c r="M1087" s="510">
        <f t="shared" si="394"/>
        <v>24.9</v>
      </c>
      <c r="N1087" s="510">
        <f t="shared" si="705"/>
        <v>0</v>
      </c>
      <c r="O1087" s="510">
        <f t="shared" si="706"/>
        <v>0</v>
      </c>
      <c r="P1087" s="510">
        <f t="shared" si="707"/>
        <v>0</v>
      </c>
      <c r="Q1087" s="510">
        <f t="shared" si="708"/>
        <v>0</v>
      </c>
      <c r="R1087" s="510">
        <f t="shared" si="709"/>
        <v>0</v>
      </c>
    </row>
    <row r="1088" spans="1:18">
      <c r="A1088" s="505"/>
      <c r="B1088" s="607" t="s">
        <v>1156</v>
      </c>
      <c r="C1088" s="507">
        <v>8</v>
      </c>
      <c r="D1088" s="508">
        <v>200</v>
      </c>
      <c r="E1088" s="507">
        <v>1</v>
      </c>
      <c r="F1088" s="502">
        <v>1</v>
      </c>
      <c r="G1088" s="502">
        <f>+ROUND(1.61/(D1088/1000)+1,0)/2</f>
        <v>4.5</v>
      </c>
      <c r="H1088" s="602"/>
      <c r="I1088" s="602">
        <f>0.1+1.2</f>
        <v>1.3</v>
      </c>
      <c r="J1088" s="235"/>
      <c r="K1088" s="509"/>
      <c r="L1088" s="510">
        <f t="shared" si="710"/>
        <v>1.3</v>
      </c>
      <c r="M1088" s="510">
        <f t="shared" si="394"/>
        <v>5.85</v>
      </c>
      <c r="N1088" s="510">
        <f t="shared" si="705"/>
        <v>0</v>
      </c>
      <c r="O1088" s="510">
        <f t="shared" si="706"/>
        <v>0</v>
      </c>
      <c r="P1088" s="510">
        <f t="shared" si="707"/>
        <v>0</v>
      </c>
      <c r="Q1088" s="510">
        <f t="shared" si="708"/>
        <v>0</v>
      </c>
      <c r="R1088" s="510">
        <f t="shared" si="709"/>
        <v>0</v>
      </c>
    </row>
    <row r="1089" spans="1:18">
      <c r="A1089" s="505"/>
      <c r="B1089" s="607" t="s">
        <v>1156</v>
      </c>
      <c r="C1089" s="507">
        <v>8</v>
      </c>
      <c r="D1089" s="508">
        <v>200</v>
      </c>
      <c r="E1089" s="507">
        <v>1</v>
      </c>
      <c r="F1089" s="502">
        <v>1</v>
      </c>
      <c r="G1089" s="502">
        <v>4</v>
      </c>
      <c r="H1089" s="602"/>
      <c r="I1089" s="602">
        <f>0.1+0.6</f>
        <v>0.7</v>
      </c>
      <c r="J1089" s="235"/>
      <c r="K1089" s="509"/>
      <c r="L1089" s="510">
        <f t="shared" si="710"/>
        <v>0.7</v>
      </c>
      <c r="M1089" s="510">
        <f t="shared" si="394"/>
        <v>2.8</v>
      </c>
      <c r="N1089" s="510">
        <f t="shared" si="705"/>
        <v>0</v>
      </c>
      <c r="O1089" s="510">
        <f t="shared" si="706"/>
        <v>0</v>
      </c>
      <c r="P1089" s="510">
        <f t="shared" si="707"/>
        <v>0</v>
      </c>
      <c r="Q1089" s="510">
        <f t="shared" si="708"/>
        <v>0</v>
      </c>
      <c r="R1089" s="510">
        <f t="shared" si="709"/>
        <v>0</v>
      </c>
    </row>
    <row r="1090" spans="1:18">
      <c r="A1090" s="505"/>
      <c r="B1090" s="607" t="s">
        <v>1159</v>
      </c>
      <c r="C1090" s="507">
        <v>8</v>
      </c>
      <c r="D1090" s="508">
        <v>200</v>
      </c>
      <c r="E1090" s="507">
        <v>1</v>
      </c>
      <c r="F1090" s="502">
        <v>1</v>
      </c>
      <c r="G1090" s="502">
        <v>6</v>
      </c>
      <c r="H1090" s="602">
        <v>0.2</v>
      </c>
      <c r="I1090" s="602">
        <v>1.61</v>
      </c>
      <c r="J1090" s="235"/>
      <c r="K1090" s="509"/>
      <c r="L1090" s="510">
        <f t="shared" si="710"/>
        <v>1.81</v>
      </c>
      <c r="M1090" s="510">
        <f t="shared" si="394"/>
        <v>10.86</v>
      </c>
      <c r="N1090" s="510">
        <f t="shared" si="705"/>
        <v>0</v>
      </c>
      <c r="O1090" s="510">
        <f t="shared" si="706"/>
        <v>0</v>
      </c>
      <c r="P1090" s="510">
        <f t="shared" si="707"/>
        <v>0</v>
      </c>
      <c r="Q1090" s="510">
        <f t="shared" si="708"/>
        <v>0</v>
      </c>
      <c r="R1090" s="510">
        <f t="shared" si="709"/>
        <v>0</v>
      </c>
    </row>
    <row r="1091" spans="1:18">
      <c r="A1091" s="505"/>
      <c r="B1091" s="607" t="s">
        <v>1168</v>
      </c>
      <c r="C1091" s="507">
        <v>8</v>
      </c>
      <c r="D1091" s="508">
        <v>200</v>
      </c>
      <c r="E1091" s="507">
        <v>1</v>
      </c>
      <c r="F1091" s="502">
        <v>1</v>
      </c>
      <c r="G1091" s="502">
        <f>+ROUND(1.61/(D1091/1000)+1,0)/2</f>
        <v>4.5</v>
      </c>
      <c r="H1091" s="602"/>
      <c r="I1091" s="602">
        <f>0.1+1.2</f>
        <v>1.3</v>
      </c>
      <c r="J1091" s="235"/>
      <c r="K1091" s="509"/>
      <c r="L1091" s="510">
        <f t="shared" si="710"/>
        <v>1.3</v>
      </c>
      <c r="M1091" s="510">
        <f t="shared" si="394"/>
        <v>5.85</v>
      </c>
      <c r="N1091" s="510">
        <f t="shared" si="705"/>
        <v>0</v>
      </c>
      <c r="O1091" s="510">
        <f t="shared" si="706"/>
        <v>0</v>
      </c>
      <c r="P1091" s="510">
        <f t="shared" si="707"/>
        <v>0</v>
      </c>
      <c r="Q1091" s="510">
        <f t="shared" si="708"/>
        <v>0</v>
      </c>
      <c r="R1091" s="510">
        <f t="shared" si="709"/>
        <v>0</v>
      </c>
    </row>
    <row r="1092" spans="1:18">
      <c r="A1092" s="505"/>
      <c r="B1092" s="607" t="s">
        <v>1168</v>
      </c>
      <c r="C1092" s="507">
        <v>8</v>
      </c>
      <c r="D1092" s="508">
        <v>150</v>
      </c>
      <c r="E1092" s="507">
        <v>1</v>
      </c>
      <c r="F1092" s="502">
        <v>1</v>
      </c>
      <c r="G1092" s="502">
        <v>4</v>
      </c>
      <c r="H1092" s="602"/>
      <c r="I1092" s="602">
        <f>0.1+0.6</f>
        <v>0.7</v>
      </c>
      <c r="J1092" s="235"/>
      <c r="K1092" s="509"/>
      <c r="L1092" s="510">
        <f t="shared" si="710"/>
        <v>0.7</v>
      </c>
      <c r="M1092" s="510">
        <f t="shared" si="394"/>
        <v>2.8</v>
      </c>
      <c r="N1092" s="510">
        <f t="shared" si="705"/>
        <v>0</v>
      </c>
      <c r="O1092" s="510">
        <f t="shared" si="706"/>
        <v>0</v>
      </c>
      <c r="P1092" s="510">
        <f t="shared" si="707"/>
        <v>0</v>
      </c>
      <c r="Q1092" s="510">
        <f t="shared" si="708"/>
        <v>0</v>
      </c>
      <c r="R1092" s="510">
        <f t="shared" si="709"/>
        <v>0</v>
      </c>
    </row>
    <row r="1093" spans="1:18">
      <c r="A1093" s="505"/>
      <c r="B1093" s="607" t="s">
        <v>1159</v>
      </c>
      <c r="C1093" s="507">
        <v>8</v>
      </c>
      <c r="D1093" s="508">
        <v>150</v>
      </c>
      <c r="E1093" s="507">
        <v>1</v>
      </c>
      <c r="F1093" s="502">
        <v>1</v>
      </c>
      <c r="G1093" s="502">
        <v>7</v>
      </c>
      <c r="H1093" s="602">
        <v>0.2</v>
      </c>
      <c r="I1093" s="602">
        <v>1.61</v>
      </c>
      <c r="J1093" s="235"/>
      <c r="K1093" s="509"/>
      <c r="L1093" s="510">
        <f t="shared" si="710"/>
        <v>1.81</v>
      </c>
      <c r="M1093" s="510">
        <f t="shared" si="394"/>
        <v>12.67</v>
      </c>
      <c r="N1093" s="510">
        <f t="shared" si="705"/>
        <v>0</v>
      </c>
      <c r="O1093" s="510">
        <f t="shared" si="706"/>
        <v>0</v>
      </c>
      <c r="P1093" s="510">
        <f t="shared" si="707"/>
        <v>0</v>
      </c>
      <c r="Q1093" s="510">
        <f t="shared" si="708"/>
        <v>0</v>
      </c>
      <c r="R1093" s="510">
        <f t="shared" si="709"/>
        <v>0</v>
      </c>
    </row>
    <row r="1094" spans="1:18">
      <c r="A1094" s="505"/>
      <c r="B1094" s="511"/>
      <c r="C1094" s="507"/>
      <c r="D1094" s="508"/>
      <c r="E1094" s="507"/>
      <c r="F1094" s="502"/>
      <c r="G1094" s="502"/>
      <c r="H1094" s="602"/>
      <c r="I1094" s="602"/>
      <c r="J1094" s="235"/>
      <c r="K1094" s="509"/>
      <c r="L1094" s="510"/>
      <c r="M1094" s="510"/>
      <c r="N1094" s="510"/>
      <c r="O1094" s="510"/>
      <c r="P1094" s="510"/>
      <c r="Q1094" s="510"/>
      <c r="R1094" s="510"/>
    </row>
    <row r="1095" spans="1:18">
      <c r="A1095" s="505"/>
      <c r="B1095" s="506" t="s">
        <v>1213</v>
      </c>
      <c r="C1095" s="507"/>
      <c r="D1095" s="508"/>
      <c r="E1095" s="507"/>
      <c r="F1095" s="502"/>
      <c r="G1095" s="502"/>
      <c r="H1095" s="602"/>
      <c r="I1095" s="602"/>
      <c r="J1095" s="235"/>
      <c r="K1095" s="509"/>
      <c r="L1095" s="510">
        <f t="shared" ref="L1095" si="711">SUM(H1095:J1095)+K1095</f>
        <v>0</v>
      </c>
      <c r="M1095" s="510">
        <f t="shared" si="394"/>
        <v>0</v>
      </c>
      <c r="N1095" s="510">
        <f t="shared" si="705"/>
        <v>0</v>
      </c>
      <c r="O1095" s="510">
        <f t="shared" si="706"/>
        <v>0</v>
      </c>
      <c r="P1095" s="510">
        <f t="shared" si="707"/>
        <v>0</v>
      </c>
      <c r="Q1095" s="510">
        <f t="shared" si="708"/>
        <v>0</v>
      </c>
      <c r="R1095" s="510">
        <f t="shared" si="709"/>
        <v>0</v>
      </c>
    </row>
    <row r="1096" spans="1:18">
      <c r="A1096" s="505"/>
      <c r="B1096" s="607" t="s">
        <v>1211</v>
      </c>
      <c r="C1096" s="507">
        <v>8</v>
      </c>
      <c r="D1096" s="508">
        <v>200</v>
      </c>
      <c r="E1096" s="507">
        <v>1</v>
      </c>
      <c r="F1096" s="502">
        <v>1</v>
      </c>
      <c r="G1096" s="502">
        <f>+ROUND(5.665/(D1096/1000)+1,0)</f>
        <v>29</v>
      </c>
      <c r="H1096" s="602"/>
      <c r="I1096" s="602">
        <f>0.175+2.44+0.175</f>
        <v>2.7899999999999996</v>
      </c>
      <c r="J1096" s="235"/>
      <c r="K1096" s="509"/>
      <c r="L1096" s="510">
        <f t="shared" ref="L1096:L1103" si="712">SUM(H1096:J1096)+K1096</f>
        <v>2.7899999999999996</v>
      </c>
      <c r="M1096" s="510">
        <f t="shared" si="394"/>
        <v>80.91</v>
      </c>
      <c r="N1096" s="510">
        <f t="shared" si="705"/>
        <v>0</v>
      </c>
      <c r="O1096" s="510">
        <f t="shared" si="706"/>
        <v>0</v>
      </c>
      <c r="P1096" s="510">
        <f t="shared" si="707"/>
        <v>0</v>
      </c>
      <c r="Q1096" s="510">
        <f t="shared" si="708"/>
        <v>0</v>
      </c>
      <c r="R1096" s="510">
        <f t="shared" si="709"/>
        <v>0</v>
      </c>
    </row>
    <row r="1097" spans="1:18">
      <c r="A1097" s="505"/>
      <c r="B1097" s="607" t="s">
        <v>1155</v>
      </c>
      <c r="C1097" s="507">
        <v>8</v>
      </c>
      <c r="D1097" s="508">
        <v>200</v>
      </c>
      <c r="E1097" s="507">
        <v>1</v>
      </c>
      <c r="F1097" s="502">
        <v>1</v>
      </c>
      <c r="G1097" s="502">
        <f>+ROUND(2.44/(D1097/1000)+1,0)</f>
        <v>13</v>
      </c>
      <c r="H1097" s="602"/>
      <c r="I1097" s="602">
        <f>0.175+5.665+0.175</f>
        <v>6.0149999999999997</v>
      </c>
      <c r="J1097" s="235"/>
      <c r="K1097" s="509"/>
      <c r="L1097" s="510">
        <f t="shared" si="712"/>
        <v>6.0149999999999997</v>
      </c>
      <c r="M1097" s="510">
        <f t="shared" si="394"/>
        <v>78.2</v>
      </c>
      <c r="N1097" s="510">
        <f t="shared" si="705"/>
        <v>0</v>
      </c>
      <c r="O1097" s="510">
        <f t="shared" si="706"/>
        <v>0</v>
      </c>
      <c r="P1097" s="510">
        <f t="shared" si="707"/>
        <v>0</v>
      </c>
      <c r="Q1097" s="510">
        <f t="shared" si="708"/>
        <v>0</v>
      </c>
      <c r="R1097" s="510">
        <f t="shared" si="709"/>
        <v>0</v>
      </c>
    </row>
    <row r="1098" spans="1:18">
      <c r="A1098" s="505"/>
      <c r="B1098" s="607" t="s">
        <v>1156</v>
      </c>
      <c r="C1098" s="507">
        <v>8</v>
      </c>
      <c r="D1098" s="508">
        <v>200</v>
      </c>
      <c r="E1098" s="507">
        <v>1</v>
      </c>
      <c r="F1098" s="502">
        <v>1</v>
      </c>
      <c r="G1098" s="502">
        <f>+ROUND(5.665/(D1098/1000)+1,0)</f>
        <v>29</v>
      </c>
      <c r="H1098" s="602">
        <v>0.1</v>
      </c>
      <c r="I1098" s="602">
        <f>0.45+0.175</f>
        <v>0.625</v>
      </c>
      <c r="J1098" s="235"/>
      <c r="K1098" s="509"/>
      <c r="L1098" s="510">
        <f t="shared" si="712"/>
        <v>0.72499999999999998</v>
      </c>
      <c r="M1098" s="510">
        <f t="shared" si="394"/>
        <v>21.03</v>
      </c>
      <c r="N1098" s="510">
        <f t="shared" si="705"/>
        <v>0</v>
      </c>
      <c r="O1098" s="510">
        <f t="shared" si="706"/>
        <v>0</v>
      </c>
      <c r="P1098" s="510">
        <f t="shared" si="707"/>
        <v>0</v>
      </c>
      <c r="Q1098" s="510">
        <f t="shared" si="708"/>
        <v>0</v>
      </c>
      <c r="R1098" s="510">
        <f t="shared" si="709"/>
        <v>0</v>
      </c>
    </row>
    <row r="1099" spans="1:18">
      <c r="A1099" s="505"/>
      <c r="B1099" s="607" t="s">
        <v>1159</v>
      </c>
      <c r="C1099" s="507">
        <v>8</v>
      </c>
      <c r="D1099" s="508">
        <v>200</v>
      </c>
      <c r="E1099" s="507">
        <v>1</v>
      </c>
      <c r="F1099" s="502">
        <v>1</v>
      </c>
      <c r="G1099" s="502">
        <f>+ROUND(0.45/(D1099/1000)+1,0)</f>
        <v>3</v>
      </c>
      <c r="H1099" s="602">
        <v>0.2</v>
      </c>
      <c r="I1099" s="602">
        <v>5.665</v>
      </c>
      <c r="J1099" s="235"/>
      <c r="K1099" s="509"/>
      <c r="L1099" s="510">
        <f t="shared" ref="L1099" si="713">SUM(H1099:J1099)+K1099</f>
        <v>5.8650000000000002</v>
      </c>
      <c r="M1099" s="510">
        <f t="shared" si="394"/>
        <v>17.600000000000001</v>
      </c>
      <c r="N1099" s="510">
        <f t="shared" si="705"/>
        <v>0</v>
      </c>
      <c r="O1099" s="510">
        <f t="shared" si="706"/>
        <v>0</v>
      </c>
      <c r="P1099" s="510">
        <f t="shared" si="707"/>
        <v>0</v>
      </c>
      <c r="Q1099" s="510">
        <f t="shared" si="708"/>
        <v>0</v>
      </c>
      <c r="R1099" s="510">
        <f t="shared" si="709"/>
        <v>0</v>
      </c>
    </row>
    <row r="1100" spans="1:18">
      <c r="A1100" s="505"/>
      <c r="B1100" s="607" t="s">
        <v>1157</v>
      </c>
      <c r="C1100" s="507">
        <v>8</v>
      </c>
      <c r="D1100" s="508">
        <v>100</v>
      </c>
      <c r="E1100" s="507">
        <v>1</v>
      </c>
      <c r="F1100" s="502">
        <v>1</v>
      </c>
      <c r="G1100" s="502">
        <f>+ROUND(2.44/(D1100/1000)+1,0)/2</f>
        <v>12.5</v>
      </c>
      <c r="H1100" s="602"/>
      <c r="I1100" s="602">
        <f>0.1+1.8</f>
        <v>1.9000000000000001</v>
      </c>
      <c r="J1100" s="235"/>
      <c r="K1100" s="509"/>
      <c r="L1100" s="510">
        <f t="shared" si="712"/>
        <v>1.9000000000000001</v>
      </c>
      <c r="M1100" s="510">
        <f t="shared" si="394"/>
        <v>23.75</v>
      </c>
      <c r="N1100" s="510">
        <f t="shared" si="705"/>
        <v>0</v>
      </c>
      <c r="O1100" s="510">
        <f t="shared" si="706"/>
        <v>0</v>
      </c>
      <c r="P1100" s="510">
        <f t="shared" si="707"/>
        <v>0</v>
      </c>
      <c r="Q1100" s="510">
        <f t="shared" si="708"/>
        <v>0</v>
      </c>
      <c r="R1100" s="510">
        <f t="shared" si="709"/>
        <v>0</v>
      </c>
    </row>
    <row r="1101" spans="1:18">
      <c r="A1101" s="505"/>
      <c r="B1101" s="607" t="s">
        <v>1157</v>
      </c>
      <c r="C1101" s="507">
        <v>8</v>
      </c>
      <c r="D1101" s="508">
        <v>100</v>
      </c>
      <c r="E1101" s="507">
        <v>1</v>
      </c>
      <c r="F1101" s="502">
        <v>1</v>
      </c>
      <c r="G1101" s="502">
        <f>+ROUND(2.44/(D1101/1000)+1,0)/2</f>
        <v>12.5</v>
      </c>
      <c r="H1101" s="602"/>
      <c r="I1101" s="602">
        <f>0.1+0.9</f>
        <v>1</v>
      </c>
      <c r="J1101" s="235"/>
      <c r="K1101" s="509"/>
      <c r="L1101" s="510">
        <f t="shared" si="712"/>
        <v>1</v>
      </c>
      <c r="M1101" s="510">
        <f t="shared" si="394"/>
        <v>12.5</v>
      </c>
      <c r="N1101" s="510">
        <f t="shared" si="705"/>
        <v>0</v>
      </c>
      <c r="O1101" s="510">
        <f t="shared" si="706"/>
        <v>0</v>
      </c>
      <c r="P1101" s="510">
        <f t="shared" si="707"/>
        <v>0</v>
      </c>
      <c r="Q1101" s="510">
        <f t="shared" si="708"/>
        <v>0</v>
      </c>
      <c r="R1101" s="510">
        <f t="shared" si="709"/>
        <v>0</v>
      </c>
    </row>
    <row r="1102" spans="1:18">
      <c r="A1102" s="505"/>
      <c r="B1102" s="607" t="s">
        <v>1159</v>
      </c>
      <c r="C1102" s="507">
        <v>8</v>
      </c>
      <c r="D1102" s="508">
        <v>200</v>
      </c>
      <c r="E1102" s="507">
        <v>1</v>
      </c>
      <c r="F1102" s="502">
        <v>1</v>
      </c>
      <c r="G1102" s="502">
        <f>+ROUND(1.8/(D1102/1000)+1,0)</f>
        <v>10</v>
      </c>
      <c r="H1102" s="602">
        <v>0.2</v>
      </c>
      <c r="I1102" s="602">
        <v>2.44</v>
      </c>
      <c r="J1102" s="235"/>
      <c r="K1102" s="509"/>
      <c r="L1102" s="510">
        <f t="shared" si="712"/>
        <v>2.64</v>
      </c>
      <c r="M1102" s="510">
        <f t="shared" si="394"/>
        <v>26.4</v>
      </c>
      <c r="N1102" s="510">
        <f t="shared" si="705"/>
        <v>0</v>
      </c>
      <c r="O1102" s="510">
        <f t="shared" si="706"/>
        <v>0</v>
      </c>
      <c r="P1102" s="510">
        <f t="shared" si="707"/>
        <v>0</v>
      </c>
      <c r="Q1102" s="510">
        <f t="shared" si="708"/>
        <v>0</v>
      </c>
      <c r="R1102" s="510">
        <f t="shared" si="709"/>
        <v>0</v>
      </c>
    </row>
    <row r="1103" spans="1:18">
      <c r="A1103" s="505"/>
      <c r="B1103" s="607" t="s">
        <v>1156</v>
      </c>
      <c r="C1103" s="507">
        <v>8</v>
      </c>
      <c r="D1103" s="508">
        <v>200</v>
      </c>
      <c r="E1103" s="507">
        <v>1</v>
      </c>
      <c r="F1103" s="502">
        <v>1</v>
      </c>
      <c r="G1103" s="502">
        <f>+ROUND(4.235/(D1103/1000)+1,0)</f>
        <v>22</v>
      </c>
      <c r="H1103" s="602">
        <v>0.1</v>
      </c>
      <c r="I1103" s="602">
        <f>0.45+0.175</f>
        <v>0.625</v>
      </c>
      <c r="J1103" s="235"/>
      <c r="K1103" s="509"/>
      <c r="L1103" s="510">
        <f t="shared" si="712"/>
        <v>0.72499999999999998</v>
      </c>
      <c r="M1103" s="510">
        <f t="shared" si="394"/>
        <v>15.95</v>
      </c>
      <c r="N1103" s="510">
        <f t="shared" si="705"/>
        <v>0</v>
      </c>
      <c r="O1103" s="510">
        <f t="shared" si="706"/>
        <v>0</v>
      </c>
      <c r="P1103" s="510">
        <f t="shared" si="707"/>
        <v>0</v>
      </c>
      <c r="Q1103" s="510">
        <f t="shared" si="708"/>
        <v>0</v>
      </c>
      <c r="R1103" s="510">
        <f t="shared" si="709"/>
        <v>0</v>
      </c>
    </row>
    <row r="1104" spans="1:18">
      <c r="A1104" s="505"/>
      <c r="B1104" s="607" t="s">
        <v>1156</v>
      </c>
      <c r="C1104" s="507">
        <v>8</v>
      </c>
      <c r="D1104" s="508">
        <v>200</v>
      </c>
      <c r="E1104" s="507">
        <v>1</v>
      </c>
      <c r="F1104" s="502">
        <v>1</v>
      </c>
      <c r="G1104" s="502">
        <f>+ROUND(1.4/(D1104/1000)+1,0)/2</f>
        <v>4</v>
      </c>
      <c r="H1104" s="602"/>
      <c r="I1104" s="602">
        <f>0.1+0.8</f>
        <v>0.9</v>
      </c>
      <c r="J1104" s="235"/>
      <c r="K1104" s="509"/>
      <c r="L1104" s="510">
        <f t="shared" ref="L1104" si="714">SUM(H1104:J1104)+K1104</f>
        <v>0.9</v>
      </c>
      <c r="M1104" s="510">
        <f t="shared" si="394"/>
        <v>3.6</v>
      </c>
      <c r="N1104" s="510">
        <f t="shared" si="705"/>
        <v>0</v>
      </c>
      <c r="O1104" s="510">
        <f t="shared" si="706"/>
        <v>0</v>
      </c>
      <c r="P1104" s="510">
        <f t="shared" si="707"/>
        <v>0</v>
      </c>
      <c r="Q1104" s="510">
        <f t="shared" si="708"/>
        <v>0</v>
      </c>
      <c r="R1104" s="510">
        <f t="shared" si="709"/>
        <v>0</v>
      </c>
    </row>
    <row r="1105" spans="1:18">
      <c r="A1105" s="505"/>
      <c r="B1105" s="607" t="s">
        <v>1156</v>
      </c>
      <c r="C1105" s="507">
        <v>8</v>
      </c>
      <c r="D1105" s="508">
        <v>200</v>
      </c>
      <c r="E1105" s="507">
        <v>1</v>
      </c>
      <c r="F1105" s="502">
        <v>1</v>
      </c>
      <c r="G1105" s="502">
        <f>+ROUND(1.4/(D1105/1000)+1,0)/2</f>
        <v>4</v>
      </c>
      <c r="H1105" s="602"/>
      <c r="I1105" s="602">
        <f>0.1+0.4</f>
        <v>0.5</v>
      </c>
      <c r="J1105" s="235"/>
      <c r="K1105" s="509"/>
      <c r="L1105" s="510">
        <f t="shared" ref="L1105:L1107" si="715">SUM(H1105:J1105)+K1105</f>
        <v>0.5</v>
      </c>
      <c r="M1105" s="510">
        <f t="shared" si="394"/>
        <v>2</v>
      </c>
      <c r="N1105" s="510">
        <f t="shared" si="705"/>
        <v>0</v>
      </c>
      <c r="O1105" s="510">
        <f t="shared" si="706"/>
        <v>0</v>
      </c>
      <c r="P1105" s="510">
        <f t="shared" si="707"/>
        <v>0</v>
      </c>
      <c r="Q1105" s="510">
        <f t="shared" si="708"/>
        <v>0</v>
      </c>
      <c r="R1105" s="510">
        <f t="shared" si="709"/>
        <v>0</v>
      </c>
    </row>
    <row r="1106" spans="1:18">
      <c r="A1106" s="505"/>
      <c r="B1106" s="607" t="s">
        <v>1159</v>
      </c>
      <c r="C1106" s="507">
        <v>8</v>
      </c>
      <c r="D1106" s="508">
        <v>200</v>
      </c>
      <c r="E1106" s="507">
        <v>1</v>
      </c>
      <c r="F1106" s="502">
        <v>1</v>
      </c>
      <c r="G1106" s="502">
        <f>+ROUND(0.8/(D1106/1000)+1,0)</f>
        <v>5</v>
      </c>
      <c r="H1106" s="602">
        <v>0.2</v>
      </c>
      <c r="I1106" s="602">
        <v>1.4</v>
      </c>
      <c r="J1106" s="235"/>
      <c r="K1106" s="509"/>
      <c r="L1106" s="510">
        <f t="shared" si="715"/>
        <v>1.5999999999999999</v>
      </c>
      <c r="M1106" s="510">
        <f t="shared" si="394"/>
        <v>8</v>
      </c>
      <c r="N1106" s="510">
        <f t="shared" si="705"/>
        <v>0</v>
      </c>
      <c r="O1106" s="510">
        <f t="shared" si="706"/>
        <v>0</v>
      </c>
      <c r="P1106" s="510">
        <f t="shared" si="707"/>
        <v>0</v>
      </c>
      <c r="Q1106" s="510">
        <f t="shared" si="708"/>
        <v>0</v>
      </c>
      <c r="R1106" s="510">
        <f t="shared" si="709"/>
        <v>0</v>
      </c>
    </row>
    <row r="1107" spans="1:18">
      <c r="A1107" s="505"/>
      <c r="B1107" s="607" t="s">
        <v>1156</v>
      </c>
      <c r="C1107" s="507">
        <v>8</v>
      </c>
      <c r="D1107" s="508">
        <v>200</v>
      </c>
      <c r="E1107" s="507">
        <v>1</v>
      </c>
      <c r="F1107" s="502">
        <v>1</v>
      </c>
      <c r="G1107" s="502">
        <v>4</v>
      </c>
      <c r="H1107" s="602"/>
      <c r="I1107" s="602">
        <f>0.1+1.8</f>
        <v>1.9000000000000001</v>
      </c>
      <c r="J1107" s="235"/>
      <c r="K1107" s="509"/>
      <c r="L1107" s="510">
        <f t="shared" si="715"/>
        <v>1.9000000000000001</v>
      </c>
      <c r="M1107" s="510">
        <f t="shared" si="394"/>
        <v>7.6</v>
      </c>
      <c r="N1107" s="510">
        <f t="shared" si="705"/>
        <v>0</v>
      </c>
      <c r="O1107" s="510">
        <f t="shared" si="706"/>
        <v>0</v>
      </c>
      <c r="P1107" s="510">
        <f t="shared" si="707"/>
        <v>0</v>
      </c>
      <c r="Q1107" s="510">
        <f t="shared" si="708"/>
        <v>0</v>
      </c>
      <c r="R1107" s="510">
        <f t="shared" si="709"/>
        <v>0</v>
      </c>
    </row>
    <row r="1108" spans="1:18">
      <c r="A1108" s="505"/>
      <c r="B1108" s="607" t="s">
        <v>1156</v>
      </c>
      <c r="C1108" s="507">
        <v>8</v>
      </c>
      <c r="D1108" s="508">
        <v>200</v>
      </c>
      <c r="E1108" s="507">
        <v>1</v>
      </c>
      <c r="F1108" s="502">
        <v>1</v>
      </c>
      <c r="G1108" s="502">
        <v>6</v>
      </c>
      <c r="H1108" s="602"/>
      <c r="I1108" s="602">
        <f>0.1+0.9</f>
        <v>1</v>
      </c>
      <c r="J1108" s="235"/>
      <c r="K1108" s="509"/>
      <c r="L1108" s="510">
        <f t="shared" ref="L1108:L1109" si="716">SUM(H1108:J1108)+K1108</f>
        <v>1</v>
      </c>
      <c r="M1108" s="510">
        <f t="shared" si="394"/>
        <v>6</v>
      </c>
      <c r="N1108" s="510">
        <f t="shared" si="705"/>
        <v>0</v>
      </c>
      <c r="O1108" s="510">
        <f t="shared" si="706"/>
        <v>0</v>
      </c>
      <c r="P1108" s="510">
        <f t="shared" si="707"/>
        <v>0</v>
      </c>
      <c r="Q1108" s="510">
        <f t="shared" si="708"/>
        <v>0</v>
      </c>
      <c r="R1108" s="510">
        <f t="shared" si="709"/>
        <v>0</v>
      </c>
    </row>
    <row r="1109" spans="1:18">
      <c r="A1109" s="505"/>
      <c r="B1109" s="607" t="s">
        <v>1159</v>
      </c>
      <c r="C1109" s="507">
        <v>8</v>
      </c>
      <c r="D1109" s="508">
        <v>200</v>
      </c>
      <c r="E1109" s="507">
        <v>1</v>
      </c>
      <c r="F1109" s="502">
        <v>1</v>
      </c>
      <c r="G1109" s="502">
        <f>+ROUND(1.8/(D1109/1000)+1,0)</f>
        <v>10</v>
      </c>
      <c r="H1109" s="602">
        <v>0.2</v>
      </c>
      <c r="I1109" s="602">
        <v>2.6</v>
      </c>
      <c r="J1109" s="235"/>
      <c r="K1109" s="509"/>
      <c r="L1109" s="510">
        <f t="shared" si="716"/>
        <v>2.8000000000000003</v>
      </c>
      <c r="M1109" s="510">
        <f t="shared" si="394"/>
        <v>28</v>
      </c>
      <c r="N1109" s="510">
        <f t="shared" si="705"/>
        <v>0</v>
      </c>
      <c r="O1109" s="510">
        <f t="shared" si="706"/>
        <v>0</v>
      </c>
      <c r="P1109" s="510">
        <f t="shared" si="707"/>
        <v>0</v>
      </c>
      <c r="Q1109" s="510">
        <f t="shared" si="708"/>
        <v>0</v>
      </c>
      <c r="R1109" s="510">
        <f t="shared" si="709"/>
        <v>0</v>
      </c>
    </row>
    <row r="1110" spans="1:18">
      <c r="A1110" s="505"/>
      <c r="B1110" s="511"/>
      <c r="C1110" s="507"/>
      <c r="D1110" s="508"/>
      <c r="E1110" s="507"/>
      <c r="F1110" s="502"/>
      <c r="G1110" s="502"/>
      <c r="H1110" s="602"/>
      <c r="I1110" s="602"/>
      <c r="J1110" s="235"/>
      <c r="K1110" s="509"/>
      <c r="L1110" s="510"/>
      <c r="M1110" s="510"/>
      <c r="N1110" s="510"/>
      <c r="O1110" s="510"/>
      <c r="P1110" s="510"/>
      <c r="Q1110" s="510"/>
      <c r="R1110" s="510"/>
    </row>
    <row r="1111" spans="1:18">
      <c r="A1111" s="505"/>
      <c r="B1111" s="506" t="s">
        <v>1214</v>
      </c>
      <c r="C1111" s="507"/>
      <c r="D1111" s="508"/>
      <c r="E1111" s="507"/>
      <c r="F1111" s="502"/>
      <c r="G1111" s="502"/>
      <c r="H1111" s="602"/>
      <c r="I1111" s="602"/>
      <c r="J1111" s="235"/>
      <c r="K1111" s="509"/>
      <c r="L1111" s="510">
        <f t="shared" ref="L1111" si="717">SUM(H1111:J1111)+K1111</f>
        <v>0</v>
      </c>
      <c r="M1111" s="510">
        <f t="shared" si="394"/>
        <v>0</v>
      </c>
      <c r="N1111" s="510">
        <f t="shared" si="705"/>
        <v>0</v>
      </c>
      <c r="O1111" s="510">
        <f t="shared" si="706"/>
        <v>0</v>
      </c>
      <c r="P1111" s="510">
        <f t="shared" si="707"/>
        <v>0</v>
      </c>
      <c r="Q1111" s="510">
        <f t="shared" si="708"/>
        <v>0</v>
      </c>
      <c r="R1111" s="510">
        <f t="shared" si="709"/>
        <v>0</v>
      </c>
    </row>
    <row r="1112" spans="1:18">
      <c r="A1112" s="505"/>
      <c r="B1112" s="607" t="s">
        <v>1211</v>
      </c>
      <c r="C1112" s="507">
        <v>8</v>
      </c>
      <c r="D1112" s="508">
        <v>200</v>
      </c>
      <c r="E1112" s="507">
        <v>1</v>
      </c>
      <c r="F1112" s="502">
        <v>1</v>
      </c>
      <c r="G1112" s="502">
        <v>3</v>
      </c>
      <c r="H1112" s="602">
        <v>0.1</v>
      </c>
      <c r="I1112" s="602">
        <v>1.98</v>
      </c>
      <c r="J1112" s="235"/>
      <c r="K1112" s="509"/>
      <c r="L1112" s="510">
        <f>SUM(H1112:J1112)+K1112</f>
        <v>2.08</v>
      </c>
      <c r="M1112" s="510">
        <f t="shared" si="394"/>
        <v>6.24</v>
      </c>
      <c r="N1112" s="510">
        <f t="shared" si="705"/>
        <v>0</v>
      </c>
      <c r="O1112" s="510">
        <f t="shared" si="706"/>
        <v>0</v>
      </c>
      <c r="P1112" s="510">
        <f t="shared" si="707"/>
        <v>0</v>
      </c>
      <c r="Q1112" s="510">
        <f t="shared" si="708"/>
        <v>0</v>
      </c>
      <c r="R1112" s="510">
        <f t="shared" si="709"/>
        <v>0</v>
      </c>
    </row>
    <row r="1113" spans="1:18">
      <c r="A1113" s="505"/>
      <c r="B1113" s="607" t="s">
        <v>1211</v>
      </c>
      <c r="C1113" s="507">
        <v>8</v>
      </c>
      <c r="D1113" s="508">
        <v>200</v>
      </c>
      <c r="E1113" s="507">
        <v>1</v>
      </c>
      <c r="F1113" s="502">
        <v>1</v>
      </c>
      <c r="G1113" s="502">
        <v>24</v>
      </c>
      <c r="H1113" s="602"/>
      <c r="I1113" s="602">
        <f>0.175+3.19+0.175</f>
        <v>3.5399999999999996</v>
      </c>
      <c r="J1113" s="235"/>
      <c r="K1113" s="509"/>
      <c r="L1113" s="510">
        <f>SUM(H1113:J1113)+K1113</f>
        <v>3.5399999999999996</v>
      </c>
      <c r="M1113" s="510">
        <f t="shared" ref="M1113" si="718">+ROUND(IF(C1113=8,PRODUCT(E1113,F1113,G1113,L1113),0),2)</f>
        <v>84.96</v>
      </c>
      <c r="N1113" s="510">
        <f t="shared" ref="N1113" si="719">+ROUND(IF(C1113=10,PRODUCT(E1113,F1113,G1113,L1113),0),2)</f>
        <v>0</v>
      </c>
      <c r="O1113" s="510">
        <f t="shared" ref="O1113" si="720">+ROUND(IF(C1113=12,PRODUCT(E1113,F1113,G1113,L1113),0),2)</f>
        <v>0</v>
      </c>
      <c r="P1113" s="510">
        <f t="shared" ref="P1113" si="721">+ROUND(IF(C1113=16,PRODUCT(E1113,F1113,G1113,L1113),0),2)</f>
        <v>0</v>
      </c>
      <c r="Q1113" s="510">
        <f t="shared" ref="Q1113" si="722">+ROUND(IF(C1113=20,PRODUCT(E1113,F1113,G1113,L1113),0),2)</f>
        <v>0</v>
      </c>
      <c r="R1113" s="510">
        <f t="shared" ref="R1113" si="723">+ROUND(IF(C1113=25,PRODUCT(E1113,F1113,G1113,L1113),0),2)</f>
        <v>0</v>
      </c>
    </row>
    <row r="1114" spans="1:18">
      <c r="A1114" s="505"/>
      <c r="B1114" s="607" t="s">
        <v>1155</v>
      </c>
      <c r="C1114" s="507">
        <v>8</v>
      </c>
      <c r="D1114" s="508">
        <v>200</v>
      </c>
      <c r="E1114" s="507">
        <v>1</v>
      </c>
      <c r="F1114" s="502">
        <v>1</v>
      </c>
      <c r="G1114" s="502">
        <v>7</v>
      </c>
      <c r="H1114" s="602"/>
      <c r="I1114" s="602">
        <v>5.8449999999999998</v>
      </c>
      <c r="J1114" s="235"/>
      <c r="K1114" s="509"/>
      <c r="L1114" s="510">
        <f>SUM(H1114:J1114)+K1114</f>
        <v>5.8449999999999998</v>
      </c>
      <c r="M1114" s="510">
        <f t="shared" si="394"/>
        <v>40.92</v>
      </c>
      <c r="N1114" s="510">
        <f t="shared" si="705"/>
        <v>0</v>
      </c>
      <c r="O1114" s="510">
        <f t="shared" si="706"/>
        <v>0</v>
      </c>
      <c r="P1114" s="510">
        <f t="shared" si="707"/>
        <v>0</v>
      </c>
      <c r="Q1114" s="510">
        <f t="shared" si="708"/>
        <v>0</v>
      </c>
      <c r="R1114" s="510">
        <f t="shared" si="709"/>
        <v>0</v>
      </c>
    </row>
    <row r="1115" spans="1:18">
      <c r="A1115" s="505"/>
      <c r="B1115" s="607" t="s">
        <v>1155</v>
      </c>
      <c r="C1115" s="507">
        <v>8</v>
      </c>
      <c r="D1115" s="508">
        <v>200</v>
      </c>
      <c r="E1115" s="507">
        <v>1</v>
      </c>
      <c r="F1115" s="502">
        <v>1</v>
      </c>
      <c r="G1115" s="502">
        <v>9</v>
      </c>
      <c r="H1115" s="602"/>
      <c r="I1115" s="602">
        <f>0.175+4.79+0.175</f>
        <v>5.14</v>
      </c>
      <c r="J1115" s="235"/>
      <c r="K1115" s="509"/>
      <c r="L1115" s="510">
        <f>SUM(H1115:J1115)+K1115</f>
        <v>5.14</v>
      </c>
      <c r="M1115" s="510">
        <f t="shared" ref="M1115" si="724">+ROUND(IF(C1115=8,PRODUCT(E1115,F1115,G1115,L1115),0),2)</f>
        <v>46.26</v>
      </c>
      <c r="N1115" s="510">
        <f t="shared" ref="N1115" si="725">+ROUND(IF(C1115=10,PRODUCT(E1115,F1115,G1115,L1115),0),2)</f>
        <v>0</v>
      </c>
      <c r="O1115" s="510">
        <f t="shared" ref="O1115" si="726">+ROUND(IF(C1115=12,PRODUCT(E1115,F1115,G1115,L1115),0),2)</f>
        <v>0</v>
      </c>
      <c r="P1115" s="510">
        <f t="shared" ref="P1115" si="727">+ROUND(IF(C1115=16,PRODUCT(E1115,F1115,G1115,L1115),0),2)</f>
        <v>0</v>
      </c>
      <c r="Q1115" s="510">
        <f t="shared" ref="Q1115" si="728">+ROUND(IF(C1115=20,PRODUCT(E1115,F1115,G1115,L1115),0),2)</f>
        <v>0</v>
      </c>
      <c r="R1115" s="510">
        <f t="shared" ref="R1115" si="729">+ROUND(IF(C1115=25,PRODUCT(E1115,F1115,G1115,L1115),0),2)</f>
        <v>0</v>
      </c>
    </row>
    <row r="1116" spans="1:18">
      <c r="A1116" s="505"/>
      <c r="B1116" s="607" t="s">
        <v>1156</v>
      </c>
      <c r="C1116" s="507">
        <v>8</v>
      </c>
      <c r="D1116" s="508">
        <v>200</v>
      </c>
      <c r="E1116" s="507">
        <v>1</v>
      </c>
      <c r="F1116" s="502">
        <v>1</v>
      </c>
      <c r="G1116" s="502">
        <v>16</v>
      </c>
      <c r="H1116" s="602">
        <v>0.1</v>
      </c>
      <c r="I1116" s="602">
        <f>0.55+0.15</f>
        <v>0.70000000000000007</v>
      </c>
      <c r="J1116" s="235"/>
      <c r="K1116" s="509"/>
      <c r="L1116" s="510">
        <f>SUM(H1116:J1116)+K1116</f>
        <v>0.8</v>
      </c>
      <c r="M1116" s="510">
        <f t="shared" si="394"/>
        <v>12.8</v>
      </c>
      <c r="N1116" s="510">
        <f t="shared" si="705"/>
        <v>0</v>
      </c>
      <c r="O1116" s="510">
        <f t="shared" si="706"/>
        <v>0</v>
      </c>
      <c r="P1116" s="510">
        <f t="shared" si="707"/>
        <v>0</v>
      </c>
      <c r="Q1116" s="510">
        <f t="shared" si="708"/>
        <v>0</v>
      </c>
      <c r="R1116" s="510">
        <f t="shared" si="709"/>
        <v>0</v>
      </c>
    </row>
    <row r="1117" spans="1:18">
      <c r="A1117" s="505"/>
      <c r="B1117" s="607" t="s">
        <v>1159</v>
      </c>
      <c r="C1117" s="507">
        <v>8</v>
      </c>
      <c r="D1117" s="508">
        <v>200</v>
      </c>
      <c r="E1117" s="507">
        <v>1</v>
      </c>
      <c r="F1117" s="502">
        <v>1</v>
      </c>
      <c r="G1117" s="502">
        <v>10</v>
      </c>
      <c r="H1117" s="602">
        <v>0.2</v>
      </c>
      <c r="I1117" s="602">
        <v>5.4450000000000003</v>
      </c>
      <c r="J1117" s="235"/>
      <c r="K1117" s="509"/>
      <c r="L1117" s="510">
        <f t="shared" ref="L1117:L1122" si="730">SUM(H1117:J1117)+K1117</f>
        <v>5.6450000000000005</v>
      </c>
      <c r="M1117" s="510">
        <f t="shared" si="394"/>
        <v>56.45</v>
      </c>
      <c r="N1117" s="510">
        <f t="shared" si="705"/>
        <v>0</v>
      </c>
      <c r="O1117" s="510">
        <f t="shared" si="706"/>
        <v>0</v>
      </c>
      <c r="P1117" s="510">
        <f t="shared" si="707"/>
        <v>0</v>
      </c>
      <c r="Q1117" s="510">
        <f t="shared" si="708"/>
        <v>0</v>
      </c>
      <c r="R1117" s="510">
        <f t="shared" si="709"/>
        <v>0</v>
      </c>
    </row>
    <row r="1118" spans="1:18">
      <c r="A1118" s="505"/>
      <c r="B1118" s="607" t="s">
        <v>1156</v>
      </c>
      <c r="C1118" s="507">
        <v>8</v>
      </c>
      <c r="D1118" s="508">
        <v>200</v>
      </c>
      <c r="E1118" s="507">
        <v>1</v>
      </c>
      <c r="F1118" s="502">
        <v>1</v>
      </c>
      <c r="G1118" s="502">
        <f>+ROUND(1.4/(D1118/1000)+1,0)/2</f>
        <v>4</v>
      </c>
      <c r="H1118" s="602"/>
      <c r="I1118" s="602">
        <f>0.1+1.5</f>
        <v>1.6</v>
      </c>
      <c r="J1118" s="235"/>
      <c r="K1118" s="509"/>
      <c r="L1118" s="510">
        <f t="shared" si="730"/>
        <v>1.6</v>
      </c>
      <c r="M1118" s="510">
        <f t="shared" si="394"/>
        <v>6.4</v>
      </c>
      <c r="N1118" s="510">
        <f t="shared" si="705"/>
        <v>0</v>
      </c>
      <c r="O1118" s="510">
        <f t="shared" si="706"/>
        <v>0</v>
      </c>
      <c r="P1118" s="510">
        <f t="shared" si="707"/>
        <v>0</v>
      </c>
      <c r="Q1118" s="510">
        <f t="shared" si="708"/>
        <v>0</v>
      </c>
      <c r="R1118" s="510">
        <f t="shared" si="709"/>
        <v>0</v>
      </c>
    </row>
    <row r="1119" spans="1:18">
      <c r="A1119" s="505"/>
      <c r="B1119" s="607" t="s">
        <v>1156</v>
      </c>
      <c r="C1119" s="507">
        <v>8</v>
      </c>
      <c r="D1119" s="508">
        <v>200</v>
      </c>
      <c r="E1119" s="507">
        <v>1</v>
      </c>
      <c r="F1119" s="502">
        <v>1</v>
      </c>
      <c r="G1119" s="502">
        <f>+ROUND(1.4/(D1119/1000)+1,0)/2</f>
        <v>4</v>
      </c>
      <c r="H1119" s="602"/>
      <c r="I1119" s="602">
        <f>0.1+0.75</f>
        <v>0.85</v>
      </c>
      <c r="J1119" s="235"/>
      <c r="K1119" s="509"/>
      <c r="L1119" s="510">
        <f t="shared" si="730"/>
        <v>0.85</v>
      </c>
      <c r="M1119" s="510">
        <f t="shared" si="394"/>
        <v>3.4</v>
      </c>
      <c r="N1119" s="510">
        <f t="shared" si="705"/>
        <v>0</v>
      </c>
      <c r="O1119" s="510">
        <f t="shared" si="706"/>
        <v>0</v>
      </c>
      <c r="P1119" s="510">
        <f t="shared" si="707"/>
        <v>0</v>
      </c>
      <c r="Q1119" s="510">
        <f t="shared" si="708"/>
        <v>0</v>
      </c>
      <c r="R1119" s="510">
        <f t="shared" si="709"/>
        <v>0</v>
      </c>
    </row>
    <row r="1120" spans="1:18">
      <c r="A1120" s="505"/>
      <c r="B1120" s="607" t="s">
        <v>1156</v>
      </c>
      <c r="C1120" s="507">
        <v>8</v>
      </c>
      <c r="D1120" s="508">
        <v>200</v>
      </c>
      <c r="E1120" s="507">
        <v>1</v>
      </c>
      <c r="F1120" s="502">
        <v>1</v>
      </c>
      <c r="G1120" s="502">
        <v>13</v>
      </c>
      <c r="H1120" s="602"/>
      <c r="I1120" s="602">
        <v>1.2</v>
      </c>
      <c r="J1120" s="235"/>
      <c r="K1120" s="509"/>
      <c r="L1120" s="510">
        <f t="shared" ref="L1120" si="731">SUM(H1120:J1120)+K1120</f>
        <v>1.2</v>
      </c>
      <c r="M1120" s="510">
        <f t="shared" ref="M1120" si="732">+ROUND(IF(C1120=8,PRODUCT(E1120,F1120,G1120,L1120),0),2)</f>
        <v>15.6</v>
      </c>
      <c r="N1120" s="510">
        <f t="shared" ref="N1120" si="733">+ROUND(IF(C1120=10,PRODUCT(E1120,F1120,G1120,L1120),0),2)</f>
        <v>0</v>
      </c>
      <c r="O1120" s="510">
        <f t="shared" ref="O1120" si="734">+ROUND(IF(C1120=12,PRODUCT(E1120,F1120,G1120,L1120),0),2)</f>
        <v>0</v>
      </c>
      <c r="P1120" s="510">
        <f t="shared" ref="P1120" si="735">+ROUND(IF(C1120=16,PRODUCT(E1120,F1120,G1120,L1120),0),2)</f>
        <v>0</v>
      </c>
      <c r="Q1120" s="510">
        <f t="shared" ref="Q1120" si="736">+ROUND(IF(C1120=20,PRODUCT(E1120,F1120,G1120,L1120),0),2)</f>
        <v>0</v>
      </c>
      <c r="R1120" s="510">
        <f t="shared" ref="R1120" si="737">+ROUND(IF(C1120=25,PRODUCT(E1120,F1120,G1120,L1120),0),2)</f>
        <v>0</v>
      </c>
    </row>
    <row r="1121" spans="1:18">
      <c r="A1121" s="505"/>
      <c r="B1121" s="607" t="s">
        <v>1156</v>
      </c>
      <c r="C1121" s="507">
        <v>8</v>
      </c>
      <c r="D1121" s="508">
        <v>200</v>
      </c>
      <c r="E1121" s="507">
        <v>1</v>
      </c>
      <c r="F1121" s="502">
        <v>1</v>
      </c>
      <c r="G1121" s="502">
        <v>11</v>
      </c>
      <c r="H1121" s="602"/>
      <c r="I1121" s="602">
        <v>0.6</v>
      </c>
      <c r="J1121" s="235"/>
      <c r="K1121" s="509"/>
      <c r="L1121" s="510">
        <f t="shared" ref="L1121" si="738">SUM(H1121:J1121)+K1121</f>
        <v>0.6</v>
      </c>
      <c r="M1121" s="510">
        <f t="shared" ref="M1121" si="739">+ROUND(IF(C1121=8,PRODUCT(E1121,F1121,G1121,L1121),0),2)</f>
        <v>6.6</v>
      </c>
      <c r="N1121" s="510">
        <f t="shared" ref="N1121" si="740">+ROUND(IF(C1121=10,PRODUCT(E1121,F1121,G1121,L1121),0),2)</f>
        <v>0</v>
      </c>
      <c r="O1121" s="510">
        <f t="shared" ref="O1121" si="741">+ROUND(IF(C1121=12,PRODUCT(E1121,F1121,G1121,L1121),0),2)</f>
        <v>0</v>
      </c>
      <c r="P1121" s="510">
        <f t="shared" ref="P1121" si="742">+ROUND(IF(C1121=16,PRODUCT(E1121,F1121,G1121,L1121),0),2)</f>
        <v>0</v>
      </c>
      <c r="Q1121" s="510">
        <f t="shared" ref="Q1121" si="743">+ROUND(IF(C1121=20,PRODUCT(E1121,F1121,G1121,L1121),0),2)</f>
        <v>0</v>
      </c>
      <c r="R1121" s="510">
        <f t="shared" ref="R1121" si="744">+ROUND(IF(C1121=25,PRODUCT(E1121,F1121,G1121,L1121),0),2)</f>
        <v>0</v>
      </c>
    </row>
    <row r="1122" spans="1:18">
      <c r="A1122" s="505"/>
      <c r="B1122" s="607" t="s">
        <v>1159</v>
      </c>
      <c r="C1122" s="507">
        <v>8</v>
      </c>
      <c r="D1122" s="508">
        <v>200</v>
      </c>
      <c r="E1122" s="507">
        <v>1</v>
      </c>
      <c r="F1122" s="502">
        <v>1</v>
      </c>
      <c r="G1122" s="502">
        <f>+ROUND(1.5/(D1122/1000)+1,0)</f>
        <v>9</v>
      </c>
      <c r="H1122" s="602">
        <v>0.2</v>
      </c>
      <c r="I1122" s="602">
        <v>1.9</v>
      </c>
      <c r="J1122" s="235"/>
      <c r="K1122" s="509"/>
      <c r="L1122" s="510">
        <f t="shared" si="730"/>
        <v>2.1</v>
      </c>
      <c r="M1122" s="510">
        <f t="shared" si="394"/>
        <v>18.899999999999999</v>
      </c>
      <c r="N1122" s="510">
        <f t="shared" si="705"/>
        <v>0</v>
      </c>
      <c r="O1122" s="510">
        <f t="shared" si="706"/>
        <v>0</v>
      </c>
      <c r="P1122" s="510">
        <f t="shared" si="707"/>
        <v>0</v>
      </c>
      <c r="Q1122" s="510">
        <f t="shared" si="708"/>
        <v>0</v>
      </c>
      <c r="R1122" s="510">
        <f t="shared" si="709"/>
        <v>0</v>
      </c>
    </row>
    <row r="1123" spans="1:18">
      <c r="A1123" s="505"/>
      <c r="B1123" s="607" t="s">
        <v>1168</v>
      </c>
      <c r="C1123" s="507">
        <v>8</v>
      </c>
      <c r="D1123" s="508">
        <v>150</v>
      </c>
      <c r="E1123" s="507">
        <v>1</v>
      </c>
      <c r="F1123" s="502">
        <v>1</v>
      </c>
      <c r="G1123" s="502">
        <f>+ROUND(1.79/(D1123/1000)+1,0)/2</f>
        <v>6.5</v>
      </c>
      <c r="H1123" s="602"/>
      <c r="I1123" s="602">
        <f>0.1+1.5</f>
        <v>1.6</v>
      </c>
      <c r="J1123" s="235"/>
      <c r="K1123" s="509"/>
      <c r="L1123" s="510">
        <f t="shared" ref="L1123:L1125" si="745">SUM(H1123:J1123)+K1123</f>
        <v>1.6</v>
      </c>
      <c r="M1123" s="510">
        <f t="shared" si="394"/>
        <v>10.4</v>
      </c>
      <c r="N1123" s="510">
        <f t="shared" si="705"/>
        <v>0</v>
      </c>
      <c r="O1123" s="510">
        <f t="shared" si="706"/>
        <v>0</v>
      </c>
      <c r="P1123" s="510">
        <f t="shared" si="707"/>
        <v>0</v>
      </c>
      <c r="Q1123" s="510">
        <f t="shared" si="708"/>
        <v>0</v>
      </c>
      <c r="R1123" s="510">
        <f t="shared" si="709"/>
        <v>0</v>
      </c>
    </row>
    <row r="1124" spans="1:18">
      <c r="A1124" s="505"/>
      <c r="B1124" s="607" t="s">
        <v>1168</v>
      </c>
      <c r="C1124" s="507">
        <v>8</v>
      </c>
      <c r="D1124" s="508">
        <v>150</v>
      </c>
      <c r="E1124" s="507">
        <v>1</v>
      </c>
      <c r="F1124" s="502">
        <v>1</v>
      </c>
      <c r="G1124" s="502">
        <f>+ROUND(1.79/(D1124/1000)+1,0)/2</f>
        <v>6.5</v>
      </c>
      <c r="H1124" s="602"/>
      <c r="I1124" s="602">
        <f>0.1+0.75</f>
        <v>0.85</v>
      </c>
      <c r="J1124" s="235"/>
      <c r="K1124" s="509"/>
      <c r="L1124" s="510">
        <f t="shared" si="745"/>
        <v>0.85</v>
      </c>
      <c r="M1124" s="510">
        <f t="shared" si="394"/>
        <v>5.53</v>
      </c>
      <c r="N1124" s="510">
        <f t="shared" si="705"/>
        <v>0</v>
      </c>
      <c r="O1124" s="510">
        <f t="shared" si="706"/>
        <v>0</v>
      </c>
      <c r="P1124" s="510">
        <f t="shared" si="707"/>
        <v>0</v>
      </c>
      <c r="Q1124" s="510">
        <f t="shared" si="708"/>
        <v>0</v>
      </c>
      <c r="R1124" s="510">
        <f t="shared" si="709"/>
        <v>0</v>
      </c>
    </row>
    <row r="1125" spans="1:18">
      <c r="A1125" s="505"/>
      <c r="B1125" s="607" t="s">
        <v>1159</v>
      </c>
      <c r="C1125" s="507">
        <v>8</v>
      </c>
      <c r="D1125" s="508">
        <v>200</v>
      </c>
      <c r="E1125" s="507">
        <v>1</v>
      </c>
      <c r="F1125" s="502">
        <v>1</v>
      </c>
      <c r="G1125" s="502">
        <f>+ROUND(1.5/(D1125/1000)+1,0)</f>
        <v>9</v>
      </c>
      <c r="H1125" s="602">
        <v>0.2</v>
      </c>
      <c r="I1125" s="602">
        <v>1.95</v>
      </c>
      <c r="J1125" s="235"/>
      <c r="K1125" s="509"/>
      <c r="L1125" s="510">
        <f t="shared" si="745"/>
        <v>2.15</v>
      </c>
      <c r="M1125" s="510">
        <f t="shared" si="394"/>
        <v>19.350000000000001</v>
      </c>
      <c r="N1125" s="510">
        <f t="shared" si="705"/>
        <v>0</v>
      </c>
      <c r="O1125" s="510">
        <f t="shared" si="706"/>
        <v>0</v>
      </c>
      <c r="P1125" s="510">
        <f t="shared" si="707"/>
        <v>0</v>
      </c>
      <c r="Q1125" s="510">
        <f t="shared" si="708"/>
        <v>0</v>
      </c>
      <c r="R1125" s="510">
        <f t="shared" si="709"/>
        <v>0</v>
      </c>
    </row>
    <row r="1126" spans="1:18">
      <c r="A1126" s="505"/>
      <c r="B1126" s="511"/>
      <c r="C1126" s="507"/>
      <c r="D1126" s="508"/>
      <c r="E1126" s="507"/>
      <c r="F1126" s="502"/>
      <c r="G1126" s="502"/>
      <c r="H1126" s="602"/>
      <c r="I1126" s="602"/>
      <c r="J1126" s="235"/>
      <c r="K1126" s="509"/>
      <c r="L1126" s="510"/>
      <c r="M1126" s="510"/>
      <c r="N1126" s="510"/>
      <c r="O1126" s="510"/>
      <c r="P1126" s="510"/>
      <c r="Q1126" s="510"/>
      <c r="R1126" s="510"/>
    </row>
    <row r="1127" spans="1:18">
      <c r="A1127" s="505"/>
      <c r="B1127" s="506" t="s">
        <v>1215</v>
      </c>
      <c r="C1127" s="507"/>
      <c r="D1127" s="508"/>
      <c r="E1127" s="507"/>
      <c r="F1127" s="502"/>
      <c r="G1127" s="502"/>
      <c r="H1127" s="602"/>
      <c r="I1127" s="602"/>
      <c r="J1127" s="235"/>
      <c r="K1127" s="509"/>
      <c r="L1127" s="510">
        <f t="shared" ref="L1127" si="746">SUM(H1127:J1127)+K1127</f>
        <v>0</v>
      </c>
      <c r="M1127" s="510">
        <f t="shared" ref="M1127:M1130" si="747">+ROUND(IF(C1127=8,PRODUCT(E1127,F1127,G1127,L1127),0),2)</f>
        <v>0</v>
      </c>
      <c r="N1127" s="510">
        <f t="shared" ref="N1127:N1130" si="748">+ROUND(IF(C1127=10,PRODUCT(E1127,F1127,G1127,L1127),0),2)</f>
        <v>0</v>
      </c>
      <c r="O1127" s="510">
        <f t="shared" ref="O1127:O1130" si="749">+ROUND(IF(C1127=12,PRODUCT(E1127,F1127,G1127,L1127),0),2)</f>
        <v>0</v>
      </c>
      <c r="P1127" s="510">
        <f t="shared" ref="P1127:P1130" si="750">+ROUND(IF(C1127=16,PRODUCT(E1127,F1127,G1127,L1127),0),2)</f>
        <v>0</v>
      </c>
      <c r="Q1127" s="510">
        <f t="shared" ref="Q1127:Q1130" si="751">+ROUND(IF(C1127=20,PRODUCT(E1127,F1127,G1127,L1127),0),2)</f>
        <v>0</v>
      </c>
      <c r="R1127" s="510">
        <f t="shared" ref="R1127:R1130" si="752">+ROUND(IF(C1127=25,PRODUCT(E1127,F1127,G1127,L1127),0),2)</f>
        <v>0</v>
      </c>
    </row>
    <row r="1128" spans="1:18">
      <c r="A1128" s="505"/>
      <c r="B1128" s="607" t="s">
        <v>1211</v>
      </c>
      <c r="C1128" s="507">
        <v>8</v>
      </c>
      <c r="D1128" s="508">
        <v>200</v>
      </c>
      <c r="E1128" s="507">
        <v>4</v>
      </c>
      <c r="F1128" s="502">
        <v>1</v>
      </c>
      <c r="G1128" s="502">
        <v>8</v>
      </c>
      <c r="H1128" s="602">
        <v>7.0000000000000007E-2</v>
      </c>
      <c r="I1128" s="602">
        <v>1.1299999999999999</v>
      </c>
      <c r="J1128" s="235"/>
      <c r="K1128" s="509"/>
      <c r="L1128" s="510">
        <f>SUM(H1128:J1128)+K1128</f>
        <v>1.2</v>
      </c>
      <c r="M1128" s="510">
        <f t="shared" si="747"/>
        <v>38.4</v>
      </c>
      <c r="N1128" s="510">
        <f t="shared" si="748"/>
        <v>0</v>
      </c>
      <c r="O1128" s="510">
        <f t="shared" si="749"/>
        <v>0</v>
      </c>
      <c r="P1128" s="510">
        <f t="shared" si="750"/>
        <v>0</v>
      </c>
      <c r="Q1128" s="510">
        <f t="shared" si="751"/>
        <v>0</v>
      </c>
      <c r="R1128" s="510">
        <f t="shared" si="752"/>
        <v>0</v>
      </c>
    </row>
    <row r="1129" spans="1:18">
      <c r="A1129" s="505"/>
      <c r="B1129" s="607" t="s">
        <v>1211</v>
      </c>
      <c r="C1129" s="507">
        <v>8</v>
      </c>
      <c r="D1129" s="508">
        <v>200</v>
      </c>
      <c r="E1129" s="507">
        <v>4</v>
      </c>
      <c r="F1129" s="502">
        <v>1</v>
      </c>
      <c r="G1129" s="502">
        <v>6</v>
      </c>
      <c r="H1129" s="602">
        <v>0.2</v>
      </c>
      <c r="I1129" s="602">
        <v>1.48</v>
      </c>
      <c r="J1129" s="235"/>
      <c r="K1129" s="509"/>
      <c r="L1129" s="510">
        <f>SUM(H1129:J1129)+K1129</f>
        <v>1.68</v>
      </c>
      <c r="M1129" s="510">
        <f t="shared" ref="M1129" si="753">+ROUND(IF(C1129=8,PRODUCT(E1129,F1129,G1129,L1129),0),2)</f>
        <v>40.32</v>
      </c>
      <c r="N1129" s="510">
        <f t="shared" ref="N1129" si="754">+ROUND(IF(C1129=10,PRODUCT(E1129,F1129,G1129,L1129),0),2)</f>
        <v>0</v>
      </c>
      <c r="O1129" s="510">
        <f t="shared" ref="O1129" si="755">+ROUND(IF(C1129=12,PRODUCT(E1129,F1129,G1129,L1129),0),2)</f>
        <v>0</v>
      </c>
      <c r="P1129" s="510">
        <f t="shared" ref="P1129" si="756">+ROUND(IF(C1129=16,PRODUCT(E1129,F1129,G1129,L1129),0),2)</f>
        <v>0</v>
      </c>
      <c r="Q1129" s="510">
        <f t="shared" ref="Q1129" si="757">+ROUND(IF(C1129=20,PRODUCT(E1129,F1129,G1129,L1129),0),2)</f>
        <v>0</v>
      </c>
      <c r="R1129" s="510">
        <f t="shared" ref="R1129" si="758">+ROUND(IF(C1129=25,PRODUCT(E1129,F1129,G1129,L1129),0),2)</f>
        <v>0</v>
      </c>
    </row>
    <row r="1130" spans="1:18">
      <c r="A1130" s="505"/>
      <c r="B1130" s="607" t="s">
        <v>1155</v>
      </c>
      <c r="C1130" s="507">
        <v>8</v>
      </c>
      <c r="D1130" s="508">
        <v>200</v>
      </c>
      <c r="E1130" s="507">
        <v>4</v>
      </c>
      <c r="F1130" s="502">
        <v>1</v>
      </c>
      <c r="G1130" s="502">
        <v>8</v>
      </c>
      <c r="H1130" s="602">
        <v>0.2</v>
      </c>
      <c r="I1130" s="602">
        <v>0.5</v>
      </c>
      <c r="J1130" s="235"/>
      <c r="K1130" s="509"/>
      <c r="L1130" s="510">
        <f>SUM(H1130:J1130)+K1130</f>
        <v>0.7</v>
      </c>
      <c r="M1130" s="510">
        <f t="shared" si="747"/>
        <v>22.4</v>
      </c>
      <c r="N1130" s="510">
        <f t="shared" si="748"/>
        <v>0</v>
      </c>
      <c r="O1130" s="510">
        <f t="shared" si="749"/>
        <v>0</v>
      </c>
      <c r="P1130" s="510">
        <f t="shared" si="750"/>
        <v>0</v>
      </c>
      <c r="Q1130" s="510">
        <f t="shared" si="751"/>
        <v>0</v>
      </c>
      <c r="R1130" s="510">
        <f t="shared" si="752"/>
        <v>0</v>
      </c>
    </row>
    <row r="1131" spans="1:18">
      <c r="A1131" s="505"/>
      <c r="B1131" s="511"/>
      <c r="C1131" s="507"/>
      <c r="D1131" s="508"/>
      <c r="E1131" s="507"/>
      <c r="F1131" s="502"/>
      <c r="G1131" s="502"/>
      <c r="H1131" s="602"/>
      <c r="I1131" s="602"/>
      <c r="J1131" s="235"/>
      <c r="K1131" s="509"/>
      <c r="L1131" s="510"/>
      <c r="M1131" s="510"/>
      <c r="N1131" s="510"/>
      <c r="O1131" s="510"/>
      <c r="P1131" s="510"/>
      <c r="Q1131" s="510"/>
      <c r="R1131" s="510"/>
    </row>
    <row r="1132" spans="1:18">
      <c r="A1132" s="505"/>
      <c r="B1132" s="506" t="s">
        <v>1235</v>
      </c>
      <c r="C1132" s="507"/>
      <c r="D1132" s="508"/>
      <c r="E1132" s="507"/>
      <c r="F1132" s="502"/>
      <c r="G1132" s="502"/>
      <c r="H1132" s="602"/>
      <c r="I1132" s="602"/>
      <c r="J1132" s="235"/>
      <c r="K1132" s="509"/>
      <c r="L1132" s="510"/>
      <c r="M1132" s="510"/>
      <c r="N1132" s="510"/>
      <c r="O1132" s="510"/>
      <c r="P1132" s="510"/>
      <c r="Q1132" s="510"/>
      <c r="R1132" s="510"/>
    </row>
    <row r="1133" spans="1:18">
      <c r="A1133" s="505"/>
      <c r="B1133" s="506" t="s">
        <v>1236</v>
      </c>
      <c r="C1133" s="507"/>
      <c r="D1133" s="508"/>
      <c r="E1133" s="507"/>
      <c r="F1133" s="502"/>
      <c r="G1133" s="502"/>
      <c r="H1133" s="602"/>
      <c r="I1133" s="602"/>
      <c r="J1133" s="235"/>
      <c r="K1133" s="509"/>
      <c r="L1133" s="510">
        <f t="shared" ref="L1133" si="759">SUM(H1133:J1133)+K1133</f>
        <v>0</v>
      </c>
      <c r="M1133" s="510">
        <f t="shared" ref="M1133:M1136" si="760">+ROUND(IF(C1133=8,PRODUCT(E1133,F1133,G1133,L1133),0),2)</f>
        <v>0</v>
      </c>
      <c r="N1133" s="510">
        <f t="shared" ref="N1133:N1136" si="761">+ROUND(IF(C1133=10,PRODUCT(E1133,F1133,G1133,L1133),0),2)</f>
        <v>0</v>
      </c>
      <c r="O1133" s="510">
        <f t="shared" ref="O1133:O1136" si="762">+ROUND(IF(C1133=12,PRODUCT(E1133,F1133,G1133,L1133),0),2)</f>
        <v>0</v>
      </c>
      <c r="P1133" s="510">
        <f t="shared" ref="P1133:P1136" si="763">+ROUND(IF(C1133=16,PRODUCT(E1133,F1133,G1133,L1133),0),2)</f>
        <v>0</v>
      </c>
      <c r="Q1133" s="510">
        <f t="shared" ref="Q1133:Q1136" si="764">+ROUND(IF(C1133=20,PRODUCT(E1133,F1133,G1133,L1133),0),2)</f>
        <v>0</v>
      </c>
      <c r="R1133" s="510">
        <f t="shared" ref="R1133:R1136" si="765">+ROUND(IF(C1133=25,PRODUCT(E1133,F1133,G1133,L1133),0),2)</f>
        <v>0</v>
      </c>
    </row>
    <row r="1134" spans="1:18">
      <c r="A1134" s="505"/>
      <c r="B1134" s="607" t="s">
        <v>1230</v>
      </c>
      <c r="C1134" s="507">
        <v>10</v>
      </c>
      <c r="D1134" s="508"/>
      <c r="E1134" s="507">
        <v>1</v>
      </c>
      <c r="F1134" s="502">
        <v>1</v>
      </c>
      <c r="G1134" s="502">
        <v>4</v>
      </c>
      <c r="H1134" s="602"/>
      <c r="I1134" s="642">
        <v>1.835</v>
      </c>
      <c r="J1134" s="235"/>
      <c r="K1134" s="509"/>
      <c r="L1134" s="510">
        <f>SUM(H1134:J1134)+K1134</f>
        <v>1.835</v>
      </c>
      <c r="M1134" s="510">
        <f t="shared" si="760"/>
        <v>0</v>
      </c>
      <c r="N1134" s="510">
        <f t="shared" si="761"/>
        <v>7.34</v>
      </c>
      <c r="O1134" s="510">
        <f t="shared" si="762"/>
        <v>0</v>
      </c>
      <c r="P1134" s="510">
        <f t="shared" si="763"/>
        <v>0</v>
      </c>
      <c r="Q1134" s="510">
        <f t="shared" si="764"/>
        <v>0</v>
      </c>
      <c r="R1134" s="510">
        <f t="shared" si="765"/>
        <v>0</v>
      </c>
    </row>
    <row r="1135" spans="1:18">
      <c r="A1135" s="505"/>
      <c r="B1135" s="607" t="s">
        <v>1230</v>
      </c>
      <c r="C1135" s="507">
        <v>8</v>
      </c>
      <c r="D1135" s="508">
        <v>200</v>
      </c>
      <c r="E1135" s="507">
        <v>1</v>
      </c>
      <c r="F1135" s="502">
        <v>1</v>
      </c>
      <c r="G1135" s="502">
        <v>6</v>
      </c>
      <c r="H1135" s="602"/>
      <c r="I1135" s="642">
        <v>1.07</v>
      </c>
      <c r="J1135" s="235"/>
      <c r="K1135" s="509"/>
      <c r="L1135" s="510">
        <f>SUM(H1135:J1135)+K1135</f>
        <v>1.07</v>
      </c>
      <c r="M1135" s="510">
        <f t="shared" si="760"/>
        <v>6.42</v>
      </c>
      <c r="N1135" s="510">
        <f t="shared" si="761"/>
        <v>0</v>
      </c>
      <c r="O1135" s="510">
        <f t="shared" si="762"/>
        <v>0</v>
      </c>
      <c r="P1135" s="510">
        <f t="shared" si="763"/>
        <v>0</v>
      </c>
      <c r="Q1135" s="510">
        <f t="shared" si="764"/>
        <v>0</v>
      </c>
      <c r="R1135" s="510">
        <f t="shared" si="765"/>
        <v>0</v>
      </c>
    </row>
    <row r="1136" spans="1:18">
      <c r="A1136" s="505"/>
      <c r="B1136" s="607" t="s">
        <v>1231</v>
      </c>
      <c r="C1136" s="507">
        <v>8</v>
      </c>
      <c r="D1136" s="508">
        <v>200</v>
      </c>
      <c r="E1136" s="507">
        <v>1</v>
      </c>
      <c r="F1136" s="502">
        <v>1</v>
      </c>
      <c r="G1136" s="502">
        <v>8</v>
      </c>
      <c r="H1136" s="602"/>
      <c r="I1136" s="642">
        <v>0.63</v>
      </c>
      <c r="J1136" s="235"/>
      <c r="K1136" s="509"/>
      <c r="L1136" s="510">
        <f>SUM(H1136:J1136)+K1136</f>
        <v>0.63</v>
      </c>
      <c r="M1136" s="510">
        <f t="shared" si="760"/>
        <v>5.04</v>
      </c>
      <c r="N1136" s="510">
        <f t="shared" si="761"/>
        <v>0</v>
      </c>
      <c r="O1136" s="510">
        <f t="shared" si="762"/>
        <v>0</v>
      </c>
      <c r="P1136" s="510">
        <f t="shared" si="763"/>
        <v>0</v>
      </c>
      <c r="Q1136" s="510">
        <f t="shared" si="764"/>
        <v>0</v>
      </c>
      <c r="R1136" s="510">
        <f t="shared" si="765"/>
        <v>0</v>
      </c>
    </row>
    <row r="1137" spans="1:18">
      <c r="A1137" s="505"/>
      <c r="B1137" s="506" t="s">
        <v>1237</v>
      </c>
      <c r="C1137" s="507"/>
      <c r="D1137" s="508"/>
      <c r="E1137" s="507"/>
      <c r="F1137" s="502"/>
      <c r="G1137" s="502"/>
      <c r="H1137" s="602"/>
      <c r="I1137" s="642"/>
      <c r="J1137" s="235"/>
      <c r="K1137" s="509"/>
      <c r="L1137" s="510"/>
      <c r="M1137" s="510"/>
      <c r="N1137" s="510"/>
      <c r="O1137" s="510"/>
      <c r="P1137" s="510"/>
      <c r="Q1137" s="510"/>
      <c r="R1137" s="510"/>
    </row>
    <row r="1138" spans="1:18">
      <c r="A1138" s="505"/>
      <c r="B1138" s="506" t="s">
        <v>1236</v>
      </c>
      <c r="C1138" s="507"/>
      <c r="D1138" s="508"/>
      <c r="E1138" s="507"/>
      <c r="F1138" s="502"/>
      <c r="G1138" s="502"/>
      <c r="H1138" s="602"/>
      <c r="I1138" s="642"/>
      <c r="J1138" s="235"/>
      <c r="K1138" s="509"/>
      <c r="L1138" s="510">
        <f t="shared" ref="L1138" si="766">SUM(H1138:J1138)+K1138</f>
        <v>0</v>
      </c>
      <c r="M1138" s="510">
        <f t="shared" ref="M1138:M1141" si="767">+ROUND(IF(C1138=8,PRODUCT(E1138,F1138,G1138,L1138),0),2)</f>
        <v>0</v>
      </c>
      <c r="N1138" s="510">
        <f t="shared" ref="N1138:N1141" si="768">+ROUND(IF(C1138=10,PRODUCT(E1138,F1138,G1138,L1138),0),2)</f>
        <v>0</v>
      </c>
      <c r="O1138" s="510">
        <f t="shared" ref="O1138:O1141" si="769">+ROUND(IF(C1138=12,PRODUCT(E1138,F1138,G1138,L1138),0),2)</f>
        <v>0</v>
      </c>
      <c r="P1138" s="510">
        <f t="shared" ref="P1138:P1141" si="770">+ROUND(IF(C1138=16,PRODUCT(E1138,F1138,G1138,L1138),0),2)</f>
        <v>0</v>
      </c>
      <c r="Q1138" s="510">
        <f t="shared" ref="Q1138:Q1141" si="771">+ROUND(IF(C1138=20,PRODUCT(E1138,F1138,G1138,L1138),0),2)</f>
        <v>0</v>
      </c>
      <c r="R1138" s="510">
        <f t="shared" ref="R1138:R1141" si="772">+ROUND(IF(C1138=25,PRODUCT(E1138,F1138,G1138,L1138),0),2)</f>
        <v>0</v>
      </c>
    </row>
    <row r="1139" spans="1:18">
      <c r="A1139" s="505"/>
      <c r="B1139" s="607" t="s">
        <v>1230</v>
      </c>
      <c r="C1139" s="507">
        <v>10</v>
      </c>
      <c r="D1139" s="508"/>
      <c r="E1139" s="507">
        <v>1</v>
      </c>
      <c r="F1139" s="502">
        <v>1</v>
      </c>
      <c r="G1139" s="502">
        <v>4</v>
      </c>
      <c r="H1139" s="602"/>
      <c r="I1139" s="642">
        <v>1.835</v>
      </c>
      <c r="J1139" s="235"/>
      <c r="K1139" s="509"/>
      <c r="L1139" s="510">
        <f>SUM(H1139:J1139)+K1139</f>
        <v>1.835</v>
      </c>
      <c r="M1139" s="510">
        <f t="shared" si="767"/>
        <v>0</v>
      </c>
      <c r="N1139" s="510">
        <f t="shared" si="768"/>
        <v>7.34</v>
      </c>
      <c r="O1139" s="510">
        <f t="shared" si="769"/>
        <v>0</v>
      </c>
      <c r="P1139" s="510">
        <f t="shared" si="770"/>
        <v>0</v>
      </c>
      <c r="Q1139" s="510">
        <f t="shared" si="771"/>
        <v>0</v>
      </c>
      <c r="R1139" s="510">
        <f t="shared" si="772"/>
        <v>0</v>
      </c>
    </row>
    <row r="1140" spans="1:18">
      <c r="A1140" s="505"/>
      <c r="B1140" s="607" t="s">
        <v>1230</v>
      </c>
      <c r="C1140" s="507">
        <v>8</v>
      </c>
      <c r="D1140" s="508">
        <v>200</v>
      </c>
      <c r="E1140" s="507">
        <v>1</v>
      </c>
      <c r="F1140" s="502">
        <v>1</v>
      </c>
      <c r="G1140" s="502">
        <v>6</v>
      </c>
      <c r="H1140" s="602"/>
      <c r="I1140" s="642">
        <v>1.07</v>
      </c>
      <c r="J1140" s="235"/>
      <c r="K1140" s="509"/>
      <c r="L1140" s="510">
        <f>SUM(H1140:J1140)+K1140</f>
        <v>1.07</v>
      </c>
      <c r="M1140" s="510">
        <f t="shared" si="767"/>
        <v>6.42</v>
      </c>
      <c r="N1140" s="510">
        <f t="shared" si="768"/>
        <v>0</v>
      </c>
      <c r="O1140" s="510">
        <f t="shared" si="769"/>
        <v>0</v>
      </c>
      <c r="P1140" s="510">
        <f t="shared" si="770"/>
        <v>0</v>
      </c>
      <c r="Q1140" s="510">
        <f t="shared" si="771"/>
        <v>0</v>
      </c>
      <c r="R1140" s="510">
        <f t="shared" si="772"/>
        <v>0</v>
      </c>
    </row>
    <row r="1141" spans="1:18">
      <c r="A1141" s="505"/>
      <c r="B1141" s="607" t="s">
        <v>1231</v>
      </c>
      <c r="C1141" s="507">
        <v>8</v>
      </c>
      <c r="D1141" s="508">
        <v>200</v>
      </c>
      <c r="E1141" s="507">
        <v>1</v>
      </c>
      <c r="F1141" s="502">
        <v>1</v>
      </c>
      <c r="G1141" s="502">
        <v>8</v>
      </c>
      <c r="H1141" s="602"/>
      <c r="I1141" s="642">
        <v>0.63</v>
      </c>
      <c r="J1141" s="235"/>
      <c r="K1141" s="509"/>
      <c r="L1141" s="510">
        <f>SUM(H1141:J1141)+K1141</f>
        <v>0.63</v>
      </c>
      <c r="M1141" s="510">
        <f t="shared" si="767"/>
        <v>5.04</v>
      </c>
      <c r="N1141" s="510">
        <f t="shared" si="768"/>
        <v>0</v>
      </c>
      <c r="O1141" s="510">
        <f t="shared" si="769"/>
        <v>0</v>
      </c>
      <c r="P1141" s="510">
        <f t="shared" si="770"/>
        <v>0</v>
      </c>
      <c r="Q1141" s="510">
        <f t="shared" si="771"/>
        <v>0</v>
      </c>
      <c r="R1141" s="510">
        <f t="shared" si="772"/>
        <v>0</v>
      </c>
    </row>
    <row r="1142" spans="1:18">
      <c r="A1142" s="505"/>
      <c r="B1142" s="506" t="s">
        <v>1238</v>
      </c>
      <c r="C1142" s="507"/>
      <c r="D1142" s="508"/>
      <c r="E1142" s="507"/>
      <c r="F1142" s="502"/>
      <c r="G1142" s="502"/>
      <c r="H1142" s="602"/>
      <c r="I1142" s="642"/>
      <c r="J1142" s="235"/>
      <c r="K1142" s="509"/>
      <c r="L1142" s="510">
        <f t="shared" ref="L1142" si="773">SUM(H1142:J1142)+K1142</f>
        <v>0</v>
      </c>
      <c r="M1142" s="510">
        <f t="shared" ref="M1142:M1145" si="774">+ROUND(IF(C1142=8,PRODUCT(E1142,F1142,G1142,L1142),0),2)</f>
        <v>0</v>
      </c>
      <c r="N1142" s="510">
        <f t="shared" ref="N1142:N1145" si="775">+ROUND(IF(C1142=10,PRODUCT(E1142,F1142,G1142,L1142),0),2)</f>
        <v>0</v>
      </c>
      <c r="O1142" s="510">
        <f t="shared" ref="O1142:O1145" si="776">+ROUND(IF(C1142=12,PRODUCT(E1142,F1142,G1142,L1142),0),2)</f>
        <v>0</v>
      </c>
      <c r="P1142" s="510">
        <f t="shared" ref="P1142:P1145" si="777">+ROUND(IF(C1142=16,PRODUCT(E1142,F1142,G1142,L1142),0),2)</f>
        <v>0</v>
      </c>
      <c r="Q1142" s="510">
        <f t="shared" ref="Q1142:Q1145" si="778">+ROUND(IF(C1142=20,PRODUCT(E1142,F1142,G1142,L1142),0),2)</f>
        <v>0</v>
      </c>
      <c r="R1142" s="510">
        <f t="shared" ref="R1142:R1145" si="779">+ROUND(IF(C1142=25,PRODUCT(E1142,F1142,G1142,L1142),0),2)</f>
        <v>0</v>
      </c>
    </row>
    <row r="1143" spans="1:18">
      <c r="A1143" s="505"/>
      <c r="B1143" s="607" t="s">
        <v>1230</v>
      </c>
      <c r="C1143" s="507">
        <v>10</v>
      </c>
      <c r="D1143" s="508"/>
      <c r="E1143" s="507">
        <v>1</v>
      </c>
      <c r="F1143" s="502">
        <v>1</v>
      </c>
      <c r="G1143" s="502">
        <v>4</v>
      </c>
      <c r="H1143" s="602"/>
      <c r="I1143" s="642">
        <v>2.82</v>
      </c>
      <c r="J1143" s="235"/>
      <c r="K1143" s="509"/>
      <c r="L1143" s="510">
        <f>SUM(H1143:J1143)+K1143</f>
        <v>2.82</v>
      </c>
      <c r="M1143" s="510">
        <f t="shared" si="774"/>
        <v>0</v>
      </c>
      <c r="N1143" s="510">
        <f t="shared" si="775"/>
        <v>11.28</v>
      </c>
      <c r="O1143" s="510">
        <f t="shared" si="776"/>
        <v>0</v>
      </c>
      <c r="P1143" s="510">
        <f t="shared" si="777"/>
        <v>0</v>
      </c>
      <c r="Q1143" s="510">
        <f t="shared" si="778"/>
        <v>0</v>
      </c>
      <c r="R1143" s="510">
        <f t="shared" si="779"/>
        <v>0</v>
      </c>
    </row>
    <row r="1144" spans="1:18">
      <c r="A1144" s="505"/>
      <c r="B1144" s="607" t="s">
        <v>1230</v>
      </c>
      <c r="C1144" s="507">
        <v>8</v>
      </c>
      <c r="D1144" s="508">
        <v>200</v>
      </c>
      <c r="E1144" s="507">
        <v>1</v>
      </c>
      <c r="F1144" s="502">
        <v>1</v>
      </c>
      <c r="G1144" s="502">
        <v>11</v>
      </c>
      <c r="H1144" s="602"/>
      <c r="I1144" s="642">
        <v>1.07</v>
      </c>
      <c r="J1144" s="235"/>
      <c r="K1144" s="509"/>
      <c r="L1144" s="510">
        <f>SUM(H1144:J1144)+K1144</f>
        <v>1.07</v>
      </c>
      <c r="M1144" s="510">
        <f t="shared" si="774"/>
        <v>11.77</v>
      </c>
      <c r="N1144" s="510">
        <f t="shared" si="775"/>
        <v>0</v>
      </c>
      <c r="O1144" s="510">
        <f t="shared" si="776"/>
        <v>0</v>
      </c>
      <c r="P1144" s="510">
        <f t="shared" si="777"/>
        <v>0</v>
      </c>
      <c r="Q1144" s="510">
        <f t="shared" si="778"/>
        <v>0</v>
      </c>
      <c r="R1144" s="510">
        <f t="shared" si="779"/>
        <v>0</v>
      </c>
    </row>
    <row r="1145" spans="1:18">
      <c r="A1145" s="505"/>
      <c r="B1145" s="607" t="s">
        <v>1231</v>
      </c>
      <c r="C1145" s="507">
        <v>8</v>
      </c>
      <c r="D1145" s="508">
        <v>200</v>
      </c>
      <c r="E1145" s="507">
        <v>1</v>
      </c>
      <c r="F1145" s="502">
        <v>1</v>
      </c>
      <c r="G1145" s="502">
        <v>13</v>
      </c>
      <c r="H1145" s="602"/>
      <c r="I1145" s="642">
        <v>0.63</v>
      </c>
      <c r="J1145" s="235"/>
      <c r="K1145" s="509"/>
      <c r="L1145" s="510">
        <f>SUM(H1145:J1145)+K1145</f>
        <v>0.63</v>
      </c>
      <c r="M1145" s="510">
        <f t="shared" si="774"/>
        <v>8.19</v>
      </c>
      <c r="N1145" s="510">
        <f t="shared" si="775"/>
        <v>0</v>
      </c>
      <c r="O1145" s="510">
        <f t="shared" si="776"/>
        <v>0</v>
      </c>
      <c r="P1145" s="510">
        <f t="shared" si="777"/>
        <v>0</v>
      </c>
      <c r="Q1145" s="510">
        <f t="shared" si="778"/>
        <v>0</v>
      </c>
      <c r="R1145" s="510">
        <f t="shared" si="779"/>
        <v>0</v>
      </c>
    </row>
    <row r="1146" spans="1:18">
      <c r="A1146" s="505"/>
      <c r="B1146" s="506" t="s">
        <v>1239</v>
      </c>
      <c r="C1146" s="507"/>
      <c r="D1146" s="508"/>
      <c r="E1146" s="507"/>
      <c r="F1146" s="502"/>
      <c r="G1146" s="502"/>
      <c r="H1146" s="602"/>
      <c r="I1146" s="642"/>
      <c r="J1146" s="235"/>
      <c r="K1146" s="509"/>
      <c r="L1146" s="510"/>
      <c r="M1146" s="510"/>
      <c r="N1146" s="510"/>
      <c r="O1146" s="510"/>
      <c r="P1146" s="510"/>
      <c r="Q1146" s="510"/>
      <c r="R1146" s="510"/>
    </row>
    <row r="1147" spans="1:18">
      <c r="A1147" s="505"/>
      <c r="B1147" s="506" t="s">
        <v>1240</v>
      </c>
      <c r="C1147" s="507"/>
      <c r="D1147" s="508"/>
      <c r="E1147" s="507"/>
      <c r="F1147" s="502"/>
      <c r="G1147" s="502"/>
      <c r="H1147" s="602"/>
      <c r="I1147" s="642"/>
      <c r="J1147" s="235"/>
      <c r="K1147" s="509"/>
      <c r="L1147" s="510">
        <f t="shared" ref="L1147" si="780">SUM(H1147:J1147)+K1147</f>
        <v>0</v>
      </c>
      <c r="M1147" s="510">
        <f t="shared" ref="M1147:M1150" si="781">+ROUND(IF(C1147=8,PRODUCT(E1147,F1147,G1147,L1147),0),2)</f>
        <v>0</v>
      </c>
      <c r="N1147" s="510">
        <f t="shared" ref="N1147:N1150" si="782">+ROUND(IF(C1147=10,PRODUCT(E1147,F1147,G1147,L1147),0),2)</f>
        <v>0</v>
      </c>
      <c r="O1147" s="510">
        <f t="shared" ref="O1147:O1150" si="783">+ROUND(IF(C1147=12,PRODUCT(E1147,F1147,G1147,L1147),0),2)</f>
        <v>0</v>
      </c>
      <c r="P1147" s="510">
        <f t="shared" ref="P1147:P1150" si="784">+ROUND(IF(C1147=16,PRODUCT(E1147,F1147,G1147,L1147),0),2)</f>
        <v>0</v>
      </c>
      <c r="Q1147" s="510">
        <f t="shared" ref="Q1147:Q1150" si="785">+ROUND(IF(C1147=20,PRODUCT(E1147,F1147,G1147,L1147),0),2)</f>
        <v>0</v>
      </c>
      <c r="R1147" s="510">
        <f t="shared" ref="R1147:R1150" si="786">+ROUND(IF(C1147=25,PRODUCT(E1147,F1147,G1147,L1147),0),2)</f>
        <v>0</v>
      </c>
    </row>
    <row r="1148" spans="1:18">
      <c r="A1148" s="505"/>
      <c r="B1148" s="607" t="s">
        <v>1230</v>
      </c>
      <c r="C1148" s="507">
        <v>10</v>
      </c>
      <c r="D1148" s="508"/>
      <c r="E1148" s="507">
        <v>1</v>
      </c>
      <c r="F1148" s="502">
        <v>1</v>
      </c>
      <c r="G1148" s="502">
        <v>4</v>
      </c>
      <c r="H1148" s="602"/>
      <c r="I1148" s="642">
        <v>1.92</v>
      </c>
      <c r="J1148" s="235"/>
      <c r="K1148" s="509"/>
      <c r="L1148" s="510">
        <f>SUM(H1148:J1148)+K1148</f>
        <v>1.92</v>
      </c>
      <c r="M1148" s="510">
        <f t="shared" si="781"/>
        <v>0</v>
      </c>
      <c r="N1148" s="510">
        <f t="shared" si="782"/>
        <v>7.68</v>
      </c>
      <c r="O1148" s="510">
        <f t="shared" si="783"/>
        <v>0</v>
      </c>
      <c r="P1148" s="510">
        <f t="shared" si="784"/>
        <v>0</v>
      </c>
      <c r="Q1148" s="510">
        <f t="shared" si="785"/>
        <v>0</v>
      </c>
      <c r="R1148" s="510">
        <f t="shared" si="786"/>
        <v>0</v>
      </c>
    </row>
    <row r="1149" spans="1:18">
      <c r="A1149" s="505"/>
      <c r="B1149" s="607" t="s">
        <v>1230</v>
      </c>
      <c r="C1149" s="507">
        <v>8</v>
      </c>
      <c r="D1149" s="508">
        <v>200</v>
      </c>
      <c r="E1149" s="507">
        <v>1</v>
      </c>
      <c r="F1149" s="502">
        <v>1</v>
      </c>
      <c r="G1149" s="502">
        <v>7</v>
      </c>
      <c r="H1149" s="602"/>
      <c r="I1149" s="642">
        <v>1.07</v>
      </c>
      <c r="J1149" s="235"/>
      <c r="K1149" s="509"/>
      <c r="L1149" s="510">
        <f>SUM(H1149:J1149)+K1149</f>
        <v>1.07</v>
      </c>
      <c r="M1149" s="510">
        <f t="shared" si="781"/>
        <v>7.49</v>
      </c>
      <c r="N1149" s="510">
        <f t="shared" si="782"/>
        <v>0</v>
      </c>
      <c r="O1149" s="510">
        <f t="shared" si="783"/>
        <v>0</v>
      </c>
      <c r="P1149" s="510">
        <f t="shared" si="784"/>
        <v>0</v>
      </c>
      <c r="Q1149" s="510">
        <f t="shared" si="785"/>
        <v>0</v>
      </c>
      <c r="R1149" s="510">
        <f t="shared" si="786"/>
        <v>0</v>
      </c>
    </row>
    <row r="1150" spans="1:18">
      <c r="A1150" s="505"/>
      <c r="B1150" s="607" t="s">
        <v>1231</v>
      </c>
      <c r="C1150" s="507">
        <v>8</v>
      </c>
      <c r="D1150" s="508">
        <v>200</v>
      </c>
      <c r="E1150" s="507">
        <v>1</v>
      </c>
      <c r="F1150" s="502">
        <v>1</v>
      </c>
      <c r="G1150" s="502">
        <v>9</v>
      </c>
      <c r="H1150" s="602"/>
      <c r="I1150" s="642">
        <v>0.63</v>
      </c>
      <c r="J1150" s="235"/>
      <c r="K1150" s="509"/>
      <c r="L1150" s="510">
        <f>SUM(H1150:J1150)+K1150</f>
        <v>0.63</v>
      </c>
      <c r="M1150" s="510">
        <f t="shared" si="781"/>
        <v>5.67</v>
      </c>
      <c r="N1150" s="510">
        <f t="shared" si="782"/>
        <v>0</v>
      </c>
      <c r="O1150" s="510">
        <f t="shared" si="783"/>
        <v>0</v>
      </c>
      <c r="P1150" s="510">
        <f t="shared" si="784"/>
        <v>0</v>
      </c>
      <c r="Q1150" s="510">
        <f t="shared" si="785"/>
        <v>0</v>
      </c>
      <c r="R1150" s="510">
        <f t="shared" si="786"/>
        <v>0</v>
      </c>
    </row>
    <row r="1151" spans="1:18">
      <c r="A1151" s="505"/>
      <c r="B1151" s="506" t="s">
        <v>1234</v>
      </c>
      <c r="C1151" s="507"/>
      <c r="D1151" s="508"/>
      <c r="E1151" s="507"/>
      <c r="F1151" s="502"/>
      <c r="G1151" s="502"/>
      <c r="H1151" s="602"/>
      <c r="I1151" s="642"/>
      <c r="J1151" s="235"/>
      <c r="K1151" s="509"/>
      <c r="L1151" s="510"/>
      <c r="M1151" s="510"/>
      <c r="N1151" s="510"/>
      <c r="O1151" s="510"/>
      <c r="P1151" s="510"/>
      <c r="Q1151" s="510"/>
      <c r="R1151" s="510"/>
    </row>
    <row r="1152" spans="1:18">
      <c r="A1152" s="505"/>
      <c r="B1152" s="506" t="s">
        <v>1232</v>
      </c>
      <c r="C1152" s="507"/>
      <c r="D1152" s="508"/>
      <c r="E1152" s="507"/>
      <c r="F1152" s="502"/>
      <c r="G1152" s="502"/>
      <c r="H1152" s="602"/>
      <c r="I1152" s="642"/>
      <c r="J1152" s="235"/>
      <c r="K1152" s="509"/>
      <c r="L1152" s="510">
        <f t="shared" ref="L1152" si="787">SUM(H1152:J1152)+K1152</f>
        <v>0</v>
      </c>
      <c r="M1152" s="510">
        <f t="shared" ref="M1152:M1155" si="788">+ROUND(IF(C1152=8,PRODUCT(E1152,F1152,G1152,L1152),0),2)</f>
        <v>0</v>
      </c>
      <c r="N1152" s="510">
        <f t="shared" ref="N1152:N1155" si="789">+ROUND(IF(C1152=10,PRODUCT(E1152,F1152,G1152,L1152),0),2)</f>
        <v>0</v>
      </c>
      <c r="O1152" s="510">
        <f t="shared" ref="O1152:O1155" si="790">+ROUND(IF(C1152=12,PRODUCT(E1152,F1152,G1152,L1152),0),2)</f>
        <v>0</v>
      </c>
      <c r="P1152" s="510">
        <f t="shared" ref="P1152:P1155" si="791">+ROUND(IF(C1152=16,PRODUCT(E1152,F1152,G1152,L1152),0),2)</f>
        <v>0</v>
      </c>
      <c r="Q1152" s="510">
        <f t="shared" ref="Q1152:Q1155" si="792">+ROUND(IF(C1152=20,PRODUCT(E1152,F1152,G1152,L1152),0),2)</f>
        <v>0</v>
      </c>
      <c r="R1152" s="510">
        <f t="shared" ref="R1152:R1155" si="793">+ROUND(IF(C1152=25,PRODUCT(E1152,F1152,G1152,L1152),0),2)</f>
        <v>0</v>
      </c>
    </row>
    <row r="1153" spans="1:18">
      <c r="A1153" s="505"/>
      <c r="B1153" s="607" t="s">
        <v>1230</v>
      </c>
      <c r="C1153" s="507">
        <v>10</v>
      </c>
      <c r="D1153" s="508"/>
      <c r="E1153" s="507">
        <v>3</v>
      </c>
      <c r="F1153" s="502">
        <v>2</v>
      </c>
      <c r="G1153" s="502">
        <v>4</v>
      </c>
      <c r="H1153" s="602"/>
      <c r="I1153" s="642">
        <v>1.83</v>
      </c>
      <c r="J1153" s="235"/>
      <c r="K1153" s="509"/>
      <c r="L1153" s="510">
        <f>SUM(H1153:J1153)+K1153</f>
        <v>1.83</v>
      </c>
      <c r="M1153" s="510">
        <f t="shared" si="788"/>
        <v>0</v>
      </c>
      <c r="N1153" s="510">
        <f t="shared" si="789"/>
        <v>43.92</v>
      </c>
      <c r="O1153" s="510">
        <f t="shared" si="790"/>
        <v>0</v>
      </c>
      <c r="P1153" s="510">
        <f t="shared" si="791"/>
        <v>0</v>
      </c>
      <c r="Q1153" s="510">
        <f t="shared" si="792"/>
        <v>0</v>
      </c>
      <c r="R1153" s="510">
        <f t="shared" si="793"/>
        <v>0</v>
      </c>
    </row>
    <row r="1154" spans="1:18">
      <c r="A1154" s="505"/>
      <c r="B1154" s="607" t="s">
        <v>1230</v>
      </c>
      <c r="C1154" s="507">
        <v>8</v>
      </c>
      <c r="D1154" s="508">
        <v>200</v>
      </c>
      <c r="E1154" s="507">
        <v>3</v>
      </c>
      <c r="F1154" s="502">
        <v>2</v>
      </c>
      <c r="G1154" s="502">
        <v>6</v>
      </c>
      <c r="H1154" s="602"/>
      <c r="I1154" s="642">
        <v>1.07</v>
      </c>
      <c r="J1154" s="235"/>
      <c r="K1154" s="509"/>
      <c r="L1154" s="510">
        <f>SUM(H1154:J1154)+K1154</f>
        <v>1.07</v>
      </c>
      <c r="M1154" s="510">
        <f t="shared" si="788"/>
        <v>38.520000000000003</v>
      </c>
      <c r="N1154" s="510">
        <f t="shared" si="789"/>
        <v>0</v>
      </c>
      <c r="O1154" s="510">
        <f t="shared" si="790"/>
        <v>0</v>
      </c>
      <c r="P1154" s="510">
        <f t="shared" si="791"/>
        <v>0</v>
      </c>
      <c r="Q1154" s="510">
        <f t="shared" si="792"/>
        <v>0</v>
      </c>
      <c r="R1154" s="510">
        <f t="shared" si="793"/>
        <v>0</v>
      </c>
    </row>
    <row r="1155" spans="1:18">
      <c r="A1155" s="505"/>
      <c r="B1155" s="607" t="s">
        <v>1231</v>
      </c>
      <c r="C1155" s="507">
        <v>8</v>
      </c>
      <c r="D1155" s="508">
        <v>200</v>
      </c>
      <c r="E1155" s="507">
        <v>3</v>
      </c>
      <c r="F1155" s="502">
        <v>2</v>
      </c>
      <c r="G1155" s="502">
        <v>8</v>
      </c>
      <c r="H1155" s="602"/>
      <c r="I1155" s="642">
        <v>0.63</v>
      </c>
      <c r="J1155" s="235"/>
      <c r="K1155" s="509"/>
      <c r="L1155" s="510">
        <f>SUM(H1155:J1155)+K1155</f>
        <v>0.63</v>
      </c>
      <c r="M1155" s="510">
        <f t="shared" si="788"/>
        <v>30.24</v>
      </c>
      <c r="N1155" s="510">
        <f t="shared" si="789"/>
        <v>0</v>
      </c>
      <c r="O1155" s="510">
        <f t="shared" si="790"/>
        <v>0</v>
      </c>
      <c r="P1155" s="510">
        <f t="shared" si="791"/>
        <v>0</v>
      </c>
      <c r="Q1155" s="510">
        <f t="shared" si="792"/>
        <v>0</v>
      </c>
      <c r="R1155" s="510">
        <f t="shared" si="793"/>
        <v>0</v>
      </c>
    </row>
    <row r="1156" spans="1:18">
      <c r="A1156" s="505"/>
      <c r="B1156" s="506" t="s">
        <v>1233</v>
      </c>
      <c r="C1156" s="507"/>
      <c r="D1156" s="508"/>
      <c r="E1156" s="507"/>
      <c r="F1156" s="502"/>
      <c r="G1156" s="502"/>
      <c r="H1156" s="602"/>
      <c r="I1156" s="642"/>
      <c r="J1156" s="235"/>
      <c r="K1156" s="509"/>
      <c r="L1156" s="510">
        <f t="shared" ref="L1156" si="794">SUM(H1156:J1156)+K1156</f>
        <v>0</v>
      </c>
      <c r="M1156" s="510">
        <f t="shared" ref="M1156:M1159" si="795">+ROUND(IF(C1156=8,PRODUCT(E1156,F1156,G1156,L1156),0),2)</f>
        <v>0</v>
      </c>
      <c r="N1156" s="510">
        <f t="shared" ref="N1156:N1159" si="796">+ROUND(IF(C1156=10,PRODUCT(E1156,F1156,G1156,L1156),0),2)</f>
        <v>0</v>
      </c>
      <c r="O1156" s="510">
        <f t="shared" ref="O1156:O1159" si="797">+ROUND(IF(C1156=12,PRODUCT(E1156,F1156,G1156,L1156),0),2)</f>
        <v>0</v>
      </c>
      <c r="P1156" s="510">
        <f t="shared" ref="P1156:P1159" si="798">+ROUND(IF(C1156=16,PRODUCT(E1156,F1156,G1156,L1156),0),2)</f>
        <v>0</v>
      </c>
      <c r="Q1156" s="510">
        <f t="shared" ref="Q1156:Q1159" si="799">+ROUND(IF(C1156=20,PRODUCT(E1156,F1156,G1156,L1156),0),2)</f>
        <v>0</v>
      </c>
      <c r="R1156" s="510">
        <f t="shared" ref="R1156:R1159" si="800">+ROUND(IF(C1156=25,PRODUCT(E1156,F1156,G1156,L1156),0),2)</f>
        <v>0</v>
      </c>
    </row>
    <row r="1157" spans="1:18">
      <c r="A1157" s="505"/>
      <c r="B1157" s="607" t="s">
        <v>1230</v>
      </c>
      <c r="C1157" s="507">
        <v>10</v>
      </c>
      <c r="D1157" s="508"/>
      <c r="E1157" s="507">
        <v>3</v>
      </c>
      <c r="F1157" s="502">
        <v>1</v>
      </c>
      <c r="G1157" s="502">
        <v>4</v>
      </c>
      <c r="H1157" s="602"/>
      <c r="I1157" s="642">
        <v>1.85</v>
      </c>
      <c r="J1157" s="235"/>
      <c r="K1157" s="509"/>
      <c r="L1157" s="510">
        <f>SUM(H1157:J1157)+K1157</f>
        <v>1.85</v>
      </c>
      <c r="M1157" s="510">
        <f t="shared" si="795"/>
        <v>0</v>
      </c>
      <c r="N1157" s="510">
        <f t="shared" si="796"/>
        <v>22.2</v>
      </c>
      <c r="O1157" s="510">
        <f t="shared" si="797"/>
        <v>0</v>
      </c>
      <c r="P1157" s="510">
        <f t="shared" si="798"/>
        <v>0</v>
      </c>
      <c r="Q1157" s="510">
        <f t="shared" si="799"/>
        <v>0</v>
      </c>
      <c r="R1157" s="510">
        <f t="shared" si="800"/>
        <v>0</v>
      </c>
    </row>
    <row r="1158" spans="1:18">
      <c r="A1158" s="505"/>
      <c r="B1158" s="607" t="s">
        <v>1230</v>
      </c>
      <c r="C1158" s="507">
        <v>8</v>
      </c>
      <c r="D1158" s="508">
        <v>200</v>
      </c>
      <c r="E1158" s="507">
        <v>3</v>
      </c>
      <c r="F1158" s="502">
        <v>1</v>
      </c>
      <c r="G1158" s="502">
        <v>6</v>
      </c>
      <c r="H1158" s="602"/>
      <c r="I1158" s="642">
        <v>1.07</v>
      </c>
      <c r="J1158" s="235"/>
      <c r="K1158" s="509"/>
      <c r="L1158" s="510">
        <f>SUM(H1158:J1158)+K1158</f>
        <v>1.07</v>
      </c>
      <c r="M1158" s="510">
        <f t="shared" si="795"/>
        <v>19.260000000000002</v>
      </c>
      <c r="N1158" s="510">
        <f t="shared" si="796"/>
        <v>0</v>
      </c>
      <c r="O1158" s="510">
        <f t="shared" si="797"/>
        <v>0</v>
      </c>
      <c r="P1158" s="510">
        <f t="shared" si="798"/>
        <v>0</v>
      </c>
      <c r="Q1158" s="510">
        <f t="shared" si="799"/>
        <v>0</v>
      </c>
      <c r="R1158" s="510">
        <f t="shared" si="800"/>
        <v>0</v>
      </c>
    </row>
    <row r="1159" spans="1:18">
      <c r="A1159" s="505"/>
      <c r="B1159" s="607" t="s">
        <v>1231</v>
      </c>
      <c r="C1159" s="507">
        <v>8</v>
      </c>
      <c r="D1159" s="508">
        <v>200</v>
      </c>
      <c r="E1159" s="507">
        <v>3</v>
      </c>
      <c r="F1159" s="502">
        <v>1</v>
      </c>
      <c r="G1159" s="502">
        <v>8</v>
      </c>
      <c r="H1159" s="602"/>
      <c r="I1159" s="642">
        <v>0.63</v>
      </c>
      <c r="J1159" s="235"/>
      <c r="K1159" s="509"/>
      <c r="L1159" s="510">
        <f>SUM(H1159:J1159)+K1159</f>
        <v>0.63</v>
      </c>
      <c r="M1159" s="510">
        <f t="shared" si="795"/>
        <v>15.12</v>
      </c>
      <c r="N1159" s="510">
        <f t="shared" si="796"/>
        <v>0</v>
      </c>
      <c r="O1159" s="510">
        <f t="shared" si="797"/>
        <v>0</v>
      </c>
      <c r="P1159" s="510">
        <f t="shared" si="798"/>
        <v>0</v>
      </c>
      <c r="Q1159" s="510">
        <f t="shared" si="799"/>
        <v>0</v>
      </c>
      <c r="R1159" s="510">
        <f t="shared" si="800"/>
        <v>0</v>
      </c>
    </row>
    <row r="1160" spans="1:18">
      <c r="A1160" s="505"/>
      <c r="B1160" s="511"/>
      <c r="C1160" s="507"/>
      <c r="D1160" s="508"/>
      <c r="E1160" s="507"/>
      <c r="F1160" s="502"/>
      <c r="G1160" s="502"/>
      <c r="H1160" s="602"/>
      <c r="I1160" s="642"/>
      <c r="J1160" s="235"/>
      <c r="K1160" s="509"/>
      <c r="L1160" s="510">
        <f t="shared" si="6"/>
        <v>0</v>
      </c>
      <c r="M1160" s="510">
        <f t="shared" si="394"/>
        <v>0</v>
      </c>
      <c r="N1160" s="510">
        <f t="shared" si="437"/>
        <v>0</v>
      </c>
      <c r="O1160" s="510">
        <f t="shared" si="438"/>
        <v>0</v>
      </c>
      <c r="P1160" s="510">
        <f t="shared" si="439"/>
        <v>0</v>
      </c>
      <c r="Q1160" s="510">
        <f t="shared" si="440"/>
        <v>0</v>
      </c>
      <c r="R1160" s="510">
        <f t="shared" si="441"/>
        <v>0</v>
      </c>
    </row>
    <row r="1161" spans="1:18">
      <c r="A1161" s="505"/>
      <c r="B1161" s="520" t="s">
        <v>1229</v>
      </c>
      <c r="C1161" s="507"/>
      <c r="D1161" s="508"/>
      <c r="E1161" s="507"/>
      <c r="F1161" s="502"/>
      <c r="G1161" s="502"/>
      <c r="H1161" s="602"/>
      <c r="I1161" s="642"/>
      <c r="J1161" s="235"/>
      <c r="K1161" s="509"/>
      <c r="L1161" s="510"/>
      <c r="M1161" s="510"/>
      <c r="N1161" s="510"/>
      <c r="O1161" s="510"/>
      <c r="P1161" s="510"/>
      <c r="Q1161" s="510"/>
      <c r="R1161" s="510"/>
    </row>
    <row r="1162" spans="1:18">
      <c r="A1162" s="505" t="s">
        <v>779</v>
      </c>
      <c r="B1162" s="506" t="s">
        <v>1242</v>
      </c>
      <c r="C1162" s="507"/>
      <c r="D1162" s="508"/>
      <c r="E1162" s="507"/>
      <c r="F1162" s="502"/>
      <c r="G1162" s="502"/>
      <c r="H1162" s="602"/>
      <c r="I1162" s="642"/>
      <c r="J1162" s="235"/>
      <c r="K1162" s="509"/>
      <c r="L1162" s="510">
        <f t="shared" ref="L1162" si="801">SUM(H1162:J1162)+K1162</f>
        <v>0</v>
      </c>
      <c r="M1162" s="510">
        <f t="shared" ref="M1162:M1165" si="802">+ROUND(IF(C1162=8,PRODUCT(E1162,F1162,G1162,L1162),0),2)</f>
        <v>0</v>
      </c>
      <c r="N1162" s="510">
        <f t="shared" ref="N1162:N1165" si="803">+ROUND(IF(C1162=10,PRODUCT(E1162,F1162,G1162,L1162),0),2)</f>
        <v>0</v>
      </c>
      <c r="O1162" s="510">
        <f t="shared" ref="O1162:O1165" si="804">+ROUND(IF(C1162=12,PRODUCT(E1162,F1162,G1162,L1162),0),2)</f>
        <v>0</v>
      </c>
      <c r="P1162" s="510">
        <f t="shared" ref="P1162:P1165" si="805">+ROUND(IF(C1162=16,PRODUCT(E1162,F1162,G1162,L1162),0),2)</f>
        <v>0</v>
      </c>
      <c r="Q1162" s="510">
        <f t="shared" ref="Q1162:Q1165" si="806">+ROUND(IF(C1162=20,PRODUCT(E1162,F1162,G1162,L1162),0),2)</f>
        <v>0</v>
      </c>
      <c r="R1162" s="510">
        <f t="shared" ref="R1162:R1165" si="807">+ROUND(IF(C1162=25,PRODUCT(E1162,F1162,G1162,L1162),0),2)</f>
        <v>0</v>
      </c>
    </row>
    <row r="1163" spans="1:18">
      <c r="A1163" s="505"/>
      <c r="B1163" s="607" t="s">
        <v>740</v>
      </c>
      <c r="C1163" s="507">
        <v>20</v>
      </c>
      <c r="D1163" s="508"/>
      <c r="E1163" s="507">
        <v>1</v>
      </c>
      <c r="F1163" s="502">
        <v>1</v>
      </c>
      <c r="G1163" s="502">
        <v>2</v>
      </c>
      <c r="H1163" s="602">
        <v>0.2</v>
      </c>
      <c r="I1163" s="642">
        <v>3.2</v>
      </c>
      <c r="J1163" s="235">
        <v>0.2</v>
      </c>
      <c r="K1163" s="509"/>
      <c r="L1163" s="510">
        <f>SUM(H1163:J1163)+K1163</f>
        <v>3.6000000000000005</v>
      </c>
      <c r="M1163" s="510">
        <f t="shared" si="802"/>
        <v>0</v>
      </c>
      <c r="N1163" s="510">
        <f t="shared" si="803"/>
        <v>0</v>
      </c>
      <c r="O1163" s="510">
        <f t="shared" si="804"/>
        <v>0</v>
      </c>
      <c r="P1163" s="510">
        <f t="shared" si="805"/>
        <v>0</v>
      </c>
      <c r="Q1163" s="510">
        <f t="shared" si="806"/>
        <v>7.2</v>
      </c>
      <c r="R1163" s="510">
        <f t="shared" si="807"/>
        <v>0</v>
      </c>
    </row>
    <row r="1164" spans="1:18">
      <c r="A1164" s="505"/>
      <c r="B1164" s="607" t="s">
        <v>773</v>
      </c>
      <c r="C1164" s="507">
        <v>20</v>
      </c>
      <c r="D1164" s="508"/>
      <c r="E1164" s="507">
        <v>1</v>
      </c>
      <c r="F1164" s="502">
        <v>1</v>
      </c>
      <c r="G1164" s="502">
        <v>2</v>
      </c>
      <c r="H1164" s="602">
        <v>0.2</v>
      </c>
      <c r="I1164" s="642">
        <v>3.2</v>
      </c>
      <c r="J1164" s="235">
        <v>0.2</v>
      </c>
      <c r="K1164" s="509"/>
      <c r="L1164" s="510">
        <f t="shared" ref="L1164" si="808">SUM(H1164:J1164)+K1164</f>
        <v>3.6000000000000005</v>
      </c>
      <c r="M1164" s="510">
        <f t="shared" si="802"/>
        <v>0</v>
      </c>
      <c r="N1164" s="510">
        <f t="shared" si="803"/>
        <v>0</v>
      </c>
      <c r="O1164" s="510">
        <f t="shared" si="804"/>
        <v>0</v>
      </c>
      <c r="P1164" s="510">
        <f t="shared" si="805"/>
        <v>0</v>
      </c>
      <c r="Q1164" s="510">
        <f t="shared" si="806"/>
        <v>7.2</v>
      </c>
      <c r="R1164" s="510">
        <f t="shared" si="807"/>
        <v>0</v>
      </c>
    </row>
    <row r="1165" spans="1:18">
      <c r="A1165" s="505"/>
      <c r="B1165" s="607" t="s">
        <v>775</v>
      </c>
      <c r="C1165" s="507">
        <v>10</v>
      </c>
      <c r="D1165" s="508">
        <v>100</v>
      </c>
      <c r="E1165" s="507">
        <v>1</v>
      </c>
      <c r="F1165" s="502">
        <v>1</v>
      </c>
      <c r="G1165" s="502">
        <f>+ROUND(3.2/0.1+1,0)</f>
        <v>33</v>
      </c>
      <c r="H1165" s="602"/>
      <c r="I1165" s="642">
        <f>2*(0.18+0.4)+16*C1165/1000</f>
        <v>1.32</v>
      </c>
      <c r="J1165" s="235"/>
      <c r="K1165" s="589"/>
      <c r="L1165" s="510">
        <f>SUM(H1165:J1165)+K1165</f>
        <v>1.32</v>
      </c>
      <c r="M1165" s="510">
        <f t="shared" si="802"/>
        <v>0</v>
      </c>
      <c r="N1165" s="510">
        <f t="shared" si="803"/>
        <v>43.56</v>
      </c>
      <c r="O1165" s="510">
        <f t="shared" si="804"/>
        <v>0</v>
      </c>
      <c r="P1165" s="510">
        <f t="shared" si="805"/>
        <v>0</v>
      </c>
      <c r="Q1165" s="510">
        <f t="shared" si="806"/>
        <v>0</v>
      </c>
      <c r="R1165" s="510">
        <f t="shared" si="807"/>
        <v>0</v>
      </c>
    </row>
    <row r="1166" spans="1:18">
      <c r="A1166" s="505"/>
      <c r="B1166" s="609"/>
      <c r="C1166" s="507"/>
      <c r="D1166" s="508"/>
      <c r="E1166" s="507"/>
      <c r="F1166" s="502"/>
      <c r="G1166" s="502"/>
      <c r="H1166" s="602"/>
      <c r="I1166" s="642"/>
      <c r="J1166" s="235"/>
      <c r="K1166" s="509"/>
      <c r="L1166" s="510"/>
      <c r="M1166" s="510"/>
      <c r="N1166" s="510"/>
      <c r="O1166" s="510"/>
      <c r="P1166" s="510"/>
      <c r="Q1166" s="510"/>
      <c r="R1166" s="510"/>
    </row>
    <row r="1167" spans="1:18">
      <c r="A1167" s="505"/>
      <c r="B1167" s="609"/>
      <c r="C1167" s="507"/>
      <c r="D1167" s="508"/>
      <c r="E1167" s="507"/>
      <c r="F1167" s="502"/>
      <c r="G1167" s="502"/>
      <c r="H1167" s="602"/>
      <c r="I1167" s="642"/>
      <c r="J1167" s="235"/>
      <c r="K1167" s="509"/>
      <c r="L1167" s="510"/>
      <c r="M1167" s="510"/>
      <c r="N1167" s="510"/>
      <c r="O1167" s="510"/>
      <c r="P1167" s="510"/>
      <c r="Q1167" s="510"/>
      <c r="R1167" s="510"/>
    </row>
    <row r="1168" spans="1:18">
      <c r="A1168" s="505"/>
      <c r="B1168" s="607" t="s">
        <v>1217</v>
      </c>
      <c r="C1168" s="507">
        <v>12</v>
      </c>
      <c r="D1168" s="508">
        <v>100</v>
      </c>
      <c r="E1168" s="507">
        <v>1</v>
      </c>
      <c r="F1168" s="502">
        <v>2</v>
      </c>
      <c r="G1168" s="502">
        <f>+ROUND(1.5/(D1168/1000)+1,0)</f>
        <v>16</v>
      </c>
      <c r="H1168" s="602">
        <v>0.1</v>
      </c>
      <c r="I1168" s="642">
        <v>4.7050000000000001</v>
      </c>
      <c r="J1168" s="235"/>
      <c r="K1168" s="509"/>
      <c r="L1168" s="510">
        <f t="shared" ref="L1168:L1197" si="809">SUM(H1168:J1168)+K1168</f>
        <v>4.8049999999999997</v>
      </c>
      <c r="M1168" s="510">
        <f t="shared" ref="M1168:M1202" si="810">+ROUND(IF(C1168=8,PRODUCT(E1168,F1168,G1168,L1168),0),2)</f>
        <v>0</v>
      </c>
      <c r="N1168" s="510">
        <f t="shared" ref="N1168:N1202" si="811">+ROUND(IF(C1168=10,PRODUCT(E1168,F1168,G1168,L1168),0),2)</f>
        <v>0</v>
      </c>
      <c r="O1168" s="510">
        <f t="shared" ref="O1168:O1202" si="812">+ROUND(IF(C1168=12,PRODUCT(E1168,F1168,G1168,L1168),0),2)</f>
        <v>153.76</v>
      </c>
      <c r="P1168" s="510">
        <f t="shared" ref="P1168:P1202" si="813">+ROUND(IF(C1168=16,PRODUCT(E1168,F1168,G1168,L1168),0),2)</f>
        <v>0</v>
      </c>
      <c r="Q1168" s="510">
        <f t="shared" ref="Q1168:Q1202" si="814">+ROUND(IF(C1168=20,PRODUCT(E1168,F1168,G1168,L1168),0),2)</f>
        <v>0</v>
      </c>
      <c r="R1168" s="510">
        <f t="shared" ref="R1168:R1202" si="815">+ROUND(IF(C1168=25,PRODUCT(E1168,F1168,G1168,L1168),0),2)</f>
        <v>0</v>
      </c>
    </row>
    <row r="1169" spans="1:18">
      <c r="A1169" s="505"/>
      <c r="B1169" s="607" t="s">
        <v>1217</v>
      </c>
      <c r="C1169" s="507">
        <v>12</v>
      </c>
      <c r="D1169" s="508">
        <v>100</v>
      </c>
      <c r="E1169" s="507">
        <v>1</v>
      </c>
      <c r="F1169" s="502">
        <v>2</v>
      </c>
      <c r="G1169" s="502">
        <f>+ROUND(1.5/(D1169/1000)+1,0)</f>
        <v>16</v>
      </c>
      <c r="H1169" s="602">
        <v>0.1</v>
      </c>
      <c r="I1169" s="642">
        <v>2.3250000000000002</v>
      </c>
      <c r="J1169" s="235"/>
      <c r="K1169" s="509"/>
      <c r="L1169" s="510">
        <f t="shared" ref="L1169" si="816">SUM(H1169:J1169)+K1169</f>
        <v>2.4250000000000003</v>
      </c>
      <c r="M1169" s="510">
        <f t="shared" si="810"/>
        <v>0</v>
      </c>
      <c r="N1169" s="510">
        <f t="shared" si="811"/>
        <v>0</v>
      </c>
      <c r="O1169" s="510">
        <f t="shared" si="812"/>
        <v>77.599999999999994</v>
      </c>
      <c r="P1169" s="510">
        <f t="shared" si="813"/>
        <v>0</v>
      </c>
      <c r="Q1169" s="510">
        <f t="shared" si="814"/>
        <v>0</v>
      </c>
      <c r="R1169" s="510">
        <f t="shared" si="815"/>
        <v>0</v>
      </c>
    </row>
    <row r="1170" spans="1:18">
      <c r="A1170" s="505"/>
      <c r="B1170" s="607" t="s">
        <v>1218</v>
      </c>
      <c r="C1170" s="507">
        <v>10</v>
      </c>
      <c r="D1170" s="508">
        <v>150</v>
      </c>
      <c r="E1170" s="507">
        <v>1</v>
      </c>
      <c r="F1170" s="502">
        <v>2</v>
      </c>
      <c r="G1170" s="502">
        <f>+ROUND(1.5/(D1170/1000)+1,0)</f>
        <v>11</v>
      </c>
      <c r="H1170" s="602">
        <v>0.2</v>
      </c>
      <c r="I1170" s="642">
        <v>2.2999999999999998</v>
      </c>
      <c r="J1170" s="235"/>
      <c r="K1170" s="509"/>
      <c r="L1170" s="510">
        <f t="shared" si="809"/>
        <v>2.5</v>
      </c>
      <c r="M1170" s="510">
        <f t="shared" si="810"/>
        <v>0</v>
      </c>
      <c r="N1170" s="510">
        <f t="shared" si="811"/>
        <v>55</v>
      </c>
      <c r="O1170" s="510">
        <f t="shared" si="812"/>
        <v>0</v>
      </c>
      <c r="P1170" s="510">
        <f t="shared" si="813"/>
        <v>0</v>
      </c>
      <c r="Q1170" s="510">
        <f t="shared" si="814"/>
        <v>0</v>
      </c>
      <c r="R1170" s="510">
        <f t="shared" si="815"/>
        <v>0</v>
      </c>
    </row>
    <row r="1171" spans="1:18">
      <c r="A1171" s="505"/>
      <c r="B1171" s="607" t="s">
        <v>1218</v>
      </c>
      <c r="C1171" s="507">
        <v>10</v>
      </c>
      <c r="D1171" s="508">
        <v>150</v>
      </c>
      <c r="E1171" s="507">
        <v>1</v>
      </c>
      <c r="F1171" s="502">
        <v>2</v>
      </c>
      <c r="G1171" s="502">
        <f>+ROUND(1.5/(D1171/1000)+1,0)</f>
        <v>11</v>
      </c>
      <c r="H1171" s="602"/>
      <c r="I1171" s="642">
        <v>1.625</v>
      </c>
      <c r="J1171" s="235"/>
      <c r="K1171" s="509"/>
      <c r="L1171" s="510">
        <f t="shared" si="809"/>
        <v>1.625</v>
      </c>
      <c r="M1171" s="510">
        <f t="shared" si="810"/>
        <v>0</v>
      </c>
      <c r="N1171" s="510">
        <f t="shared" si="811"/>
        <v>35.75</v>
      </c>
      <c r="O1171" s="510">
        <f t="shared" si="812"/>
        <v>0</v>
      </c>
      <c r="P1171" s="510">
        <f t="shared" si="813"/>
        <v>0</v>
      </c>
      <c r="Q1171" s="510">
        <f t="shared" si="814"/>
        <v>0</v>
      </c>
      <c r="R1171" s="510">
        <f t="shared" si="815"/>
        <v>0</v>
      </c>
    </row>
    <row r="1172" spans="1:18">
      <c r="A1172" s="505"/>
      <c r="B1172" s="607" t="s">
        <v>1218</v>
      </c>
      <c r="C1172" s="507">
        <v>10</v>
      </c>
      <c r="D1172" s="508">
        <v>200</v>
      </c>
      <c r="E1172" s="507">
        <v>1</v>
      </c>
      <c r="F1172" s="502">
        <v>2</v>
      </c>
      <c r="G1172" s="502">
        <f>+ROUND(1.5/(D1172/1000)+1,0)</f>
        <v>9</v>
      </c>
      <c r="H1172" s="602"/>
      <c r="I1172" s="642">
        <v>2.7</v>
      </c>
      <c r="J1172" s="235">
        <v>0.2</v>
      </c>
      <c r="K1172" s="509"/>
      <c r="L1172" s="510">
        <f t="shared" si="809"/>
        <v>2.9000000000000004</v>
      </c>
      <c r="M1172" s="510">
        <f t="shared" si="810"/>
        <v>0</v>
      </c>
      <c r="N1172" s="510">
        <f t="shared" si="811"/>
        <v>52.2</v>
      </c>
      <c r="O1172" s="510">
        <f t="shared" si="812"/>
        <v>0</v>
      </c>
      <c r="P1172" s="510">
        <f t="shared" si="813"/>
        <v>0</v>
      </c>
      <c r="Q1172" s="510">
        <f t="shared" si="814"/>
        <v>0</v>
      </c>
      <c r="R1172" s="510">
        <f t="shared" si="815"/>
        <v>0</v>
      </c>
    </row>
    <row r="1173" spans="1:18">
      <c r="A1173" s="505"/>
      <c r="B1173" s="607" t="s">
        <v>1159</v>
      </c>
      <c r="C1173" s="507">
        <v>8</v>
      </c>
      <c r="D1173" s="508">
        <v>200</v>
      </c>
      <c r="E1173" s="507">
        <v>1</v>
      </c>
      <c r="F1173" s="502">
        <v>2</v>
      </c>
      <c r="G1173" s="502">
        <v>43</v>
      </c>
      <c r="H1173" s="602"/>
      <c r="I1173" s="642">
        <f>1.5-0.05</f>
        <v>1.45</v>
      </c>
      <c r="J1173" s="235"/>
      <c r="K1173" s="509"/>
      <c r="L1173" s="510">
        <f t="shared" ref="L1173:L1174" si="817">SUM(H1173:J1173)+K1173</f>
        <v>1.45</v>
      </c>
      <c r="M1173" s="510">
        <f t="shared" si="810"/>
        <v>124.7</v>
      </c>
      <c r="N1173" s="510">
        <f t="shared" si="811"/>
        <v>0</v>
      </c>
      <c r="O1173" s="510">
        <f t="shared" si="812"/>
        <v>0</v>
      </c>
      <c r="P1173" s="510">
        <f t="shared" si="813"/>
        <v>0</v>
      </c>
      <c r="Q1173" s="510">
        <f t="shared" si="814"/>
        <v>0</v>
      </c>
      <c r="R1173" s="510">
        <f t="shared" si="815"/>
        <v>0</v>
      </c>
    </row>
    <row r="1174" spans="1:18">
      <c r="A1174" s="505"/>
      <c r="B1174" s="607" t="s">
        <v>1159</v>
      </c>
      <c r="C1174" s="507">
        <v>8</v>
      </c>
      <c r="D1174" s="508">
        <v>200</v>
      </c>
      <c r="E1174" s="507">
        <v>1</v>
      </c>
      <c r="F1174" s="502">
        <v>2</v>
      </c>
      <c r="G1174" s="502">
        <v>11</v>
      </c>
      <c r="H1174" s="602"/>
      <c r="I1174" s="642">
        <f>3.2+0.16</f>
        <v>3.3600000000000003</v>
      </c>
      <c r="J1174" s="235"/>
      <c r="K1174" s="509"/>
      <c r="L1174" s="510">
        <f t="shared" si="817"/>
        <v>3.3600000000000003</v>
      </c>
      <c r="M1174" s="510">
        <f t="shared" si="810"/>
        <v>73.92</v>
      </c>
      <c r="N1174" s="510">
        <f t="shared" si="811"/>
        <v>0</v>
      </c>
      <c r="O1174" s="510">
        <f t="shared" si="812"/>
        <v>0</v>
      </c>
      <c r="P1174" s="510">
        <f t="shared" si="813"/>
        <v>0</v>
      </c>
      <c r="Q1174" s="510">
        <f t="shared" si="814"/>
        <v>0</v>
      </c>
      <c r="R1174" s="510">
        <f t="shared" si="815"/>
        <v>0</v>
      </c>
    </row>
    <row r="1175" spans="1:18">
      <c r="A1175" s="505"/>
      <c r="B1175" s="511"/>
      <c r="C1175" s="507"/>
      <c r="D1175" s="508"/>
      <c r="E1175" s="507"/>
      <c r="F1175" s="502"/>
      <c r="G1175" s="502"/>
      <c r="H1175" s="602"/>
      <c r="I1175" s="602"/>
      <c r="J1175" s="235"/>
      <c r="K1175" s="509"/>
      <c r="L1175" s="510"/>
      <c r="M1175" s="510"/>
      <c r="N1175" s="510"/>
      <c r="O1175" s="510"/>
      <c r="P1175" s="510"/>
      <c r="Q1175" s="510"/>
      <c r="R1175" s="510"/>
    </row>
    <row r="1176" spans="1:18">
      <c r="A1176" s="505"/>
      <c r="B1176" s="520" t="s">
        <v>1228</v>
      </c>
      <c r="C1176" s="507"/>
      <c r="D1176" s="508"/>
      <c r="E1176" s="507"/>
      <c r="F1176" s="502"/>
      <c r="G1176" s="502"/>
      <c r="H1176" s="602"/>
      <c r="I1176" s="602"/>
      <c r="J1176" s="235"/>
      <c r="K1176" s="509"/>
      <c r="L1176" s="510"/>
      <c r="M1176" s="510"/>
      <c r="N1176" s="510"/>
      <c r="O1176" s="510"/>
      <c r="P1176" s="510"/>
      <c r="Q1176" s="510"/>
      <c r="R1176" s="510"/>
    </row>
    <row r="1177" spans="1:18">
      <c r="A1177" s="505" t="s">
        <v>779</v>
      </c>
      <c r="B1177" s="609" t="s">
        <v>1216</v>
      </c>
      <c r="C1177" s="507"/>
      <c r="D1177" s="508"/>
      <c r="E1177" s="507"/>
      <c r="F1177" s="502"/>
      <c r="G1177" s="502"/>
      <c r="H1177" s="602"/>
      <c r="I1177" s="602"/>
      <c r="J1177" s="235"/>
      <c r="K1177" s="509"/>
      <c r="L1177" s="510">
        <f t="shared" ref="L1177" si="818">SUM(H1177:J1177)+K1177</f>
        <v>0</v>
      </c>
      <c r="M1177" s="510">
        <f t="shared" ref="M1177:M1180" si="819">+ROUND(IF(C1177=8,PRODUCT(E1177,F1177,G1177,L1177),0),2)</f>
        <v>0</v>
      </c>
      <c r="N1177" s="510">
        <f t="shared" ref="N1177:N1180" si="820">+ROUND(IF(C1177=10,PRODUCT(E1177,F1177,G1177,L1177),0),2)</f>
        <v>0</v>
      </c>
      <c r="O1177" s="510">
        <f t="shared" ref="O1177:O1180" si="821">+ROUND(IF(C1177=12,PRODUCT(E1177,F1177,G1177,L1177),0),2)</f>
        <v>0</v>
      </c>
      <c r="P1177" s="510">
        <f t="shared" ref="P1177:P1180" si="822">+ROUND(IF(C1177=16,PRODUCT(E1177,F1177,G1177,L1177),0),2)</f>
        <v>0</v>
      </c>
      <c r="Q1177" s="510">
        <f t="shared" ref="Q1177:Q1180" si="823">+ROUND(IF(C1177=20,PRODUCT(E1177,F1177,G1177,L1177),0),2)</f>
        <v>0</v>
      </c>
      <c r="R1177" s="510">
        <f t="shared" ref="R1177:R1180" si="824">+ROUND(IF(C1177=25,PRODUCT(E1177,F1177,G1177,L1177),0),2)</f>
        <v>0</v>
      </c>
    </row>
    <row r="1178" spans="1:18">
      <c r="A1178" s="505"/>
      <c r="B1178" s="607" t="s">
        <v>740</v>
      </c>
      <c r="C1178" s="507">
        <v>20</v>
      </c>
      <c r="D1178" s="508"/>
      <c r="E1178" s="507">
        <v>1</v>
      </c>
      <c r="F1178" s="502">
        <v>1</v>
      </c>
      <c r="G1178" s="502">
        <v>2</v>
      </c>
      <c r="H1178" s="602">
        <v>0.1</v>
      </c>
      <c r="I1178" s="602">
        <f>4.18-0.06</f>
        <v>4.12</v>
      </c>
      <c r="J1178" s="235">
        <v>0.3</v>
      </c>
      <c r="K1178" s="509"/>
      <c r="L1178" s="510">
        <f>SUM(H1178:J1178)+K1178</f>
        <v>4.5199999999999996</v>
      </c>
      <c r="M1178" s="510">
        <f t="shared" si="819"/>
        <v>0</v>
      </c>
      <c r="N1178" s="510">
        <f t="shared" si="820"/>
        <v>0</v>
      </c>
      <c r="O1178" s="510">
        <f t="shared" si="821"/>
        <v>0</v>
      </c>
      <c r="P1178" s="510">
        <f t="shared" si="822"/>
        <v>0</v>
      </c>
      <c r="Q1178" s="510">
        <f t="shared" si="823"/>
        <v>9.0399999999999991</v>
      </c>
      <c r="R1178" s="510">
        <f t="shared" si="824"/>
        <v>0</v>
      </c>
    </row>
    <row r="1179" spans="1:18">
      <c r="A1179" s="505"/>
      <c r="B1179" s="607" t="s">
        <v>773</v>
      </c>
      <c r="C1179" s="507">
        <v>20</v>
      </c>
      <c r="D1179" s="508"/>
      <c r="E1179" s="507">
        <v>1</v>
      </c>
      <c r="F1179" s="502">
        <v>1</v>
      </c>
      <c r="G1179" s="502">
        <v>2</v>
      </c>
      <c r="H1179" s="602">
        <v>0.3</v>
      </c>
      <c r="I1179" s="602">
        <f>4.18-0.06</f>
        <v>4.12</v>
      </c>
      <c r="J1179" s="235">
        <v>0.3</v>
      </c>
      <c r="K1179" s="509"/>
      <c r="L1179" s="510">
        <f t="shared" ref="L1179" si="825">SUM(H1179:J1179)+K1179</f>
        <v>4.72</v>
      </c>
      <c r="M1179" s="510">
        <f t="shared" si="819"/>
        <v>0</v>
      </c>
      <c r="N1179" s="510">
        <f t="shared" si="820"/>
        <v>0</v>
      </c>
      <c r="O1179" s="510">
        <f t="shared" si="821"/>
        <v>0</v>
      </c>
      <c r="P1179" s="510">
        <f t="shared" si="822"/>
        <v>0</v>
      </c>
      <c r="Q1179" s="510">
        <f t="shared" si="823"/>
        <v>9.44</v>
      </c>
      <c r="R1179" s="510">
        <f t="shared" si="824"/>
        <v>0</v>
      </c>
    </row>
    <row r="1180" spans="1:18">
      <c r="A1180" s="505"/>
      <c r="B1180" s="607" t="s">
        <v>775</v>
      </c>
      <c r="C1180" s="507">
        <v>10</v>
      </c>
      <c r="D1180" s="508">
        <v>100</v>
      </c>
      <c r="E1180" s="507">
        <v>1</v>
      </c>
      <c r="F1180" s="502">
        <v>1</v>
      </c>
      <c r="G1180" s="502">
        <f>+ROUND(3.2/0.1+1,0)</f>
        <v>33</v>
      </c>
      <c r="H1180" s="602"/>
      <c r="I1180" s="602">
        <f>2*(0.18+0.4)+16*C1180/1000</f>
        <v>1.32</v>
      </c>
      <c r="J1180" s="235"/>
      <c r="K1180" s="596"/>
      <c r="L1180" s="510">
        <f>SUM(H1180:J1180)+K1180</f>
        <v>1.32</v>
      </c>
      <c r="M1180" s="510">
        <f t="shared" si="819"/>
        <v>0</v>
      </c>
      <c r="N1180" s="510">
        <f t="shared" si="820"/>
        <v>43.56</v>
      </c>
      <c r="O1180" s="510">
        <f t="shared" si="821"/>
        <v>0</v>
      </c>
      <c r="P1180" s="510">
        <f t="shared" si="822"/>
        <v>0</v>
      </c>
      <c r="Q1180" s="510">
        <f t="shared" si="823"/>
        <v>0</v>
      </c>
      <c r="R1180" s="510">
        <f t="shared" si="824"/>
        <v>0</v>
      </c>
    </row>
    <row r="1181" spans="1:18">
      <c r="A1181" s="505"/>
      <c r="B1181" s="609"/>
      <c r="C1181" s="507"/>
      <c r="D1181" s="508"/>
      <c r="E1181" s="507"/>
      <c r="F1181" s="502"/>
      <c r="G1181" s="502"/>
      <c r="H1181" s="602"/>
      <c r="I1181" s="602"/>
      <c r="J1181" s="235"/>
      <c r="K1181" s="509"/>
      <c r="L1181" s="510"/>
      <c r="M1181" s="510"/>
      <c r="N1181" s="510"/>
      <c r="O1181" s="510"/>
      <c r="P1181" s="510"/>
      <c r="Q1181" s="510"/>
      <c r="R1181" s="510"/>
    </row>
    <row r="1182" spans="1:18">
      <c r="A1182" s="505"/>
      <c r="B1182" s="609"/>
      <c r="C1182" s="507"/>
      <c r="D1182" s="508"/>
      <c r="E1182" s="507"/>
      <c r="F1182" s="502"/>
      <c r="G1182" s="502"/>
      <c r="H1182" s="602"/>
      <c r="I1182" s="602"/>
      <c r="J1182" s="235"/>
      <c r="K1182" s="509"/>
      <c r="L1182" s="510"/>
      <c r="M1182" s="510"/>
      <c r="N1182" s="510"/>
      <c r="O1182" s="510"/>
      <c r="P1182" s="510"/>
      <c r="Q1182" s="510"/>
      <c r="R1182" s="510"/>
    </row>
    <row r="1183" spans="1:18">
      <c r="A1183" s="505"/>
      <c r="B1183" s="607" t="s">
        <v>1217</v>
      </c>
      <c r="C1183" s="507">
        <v>12</v>
      </c>
      <c r="D1183" s="508">
        <v>150</v>
      </c>
      <c r="E1183" s="507">
        <v>1</v>
      </c>
      <c r="F1183" s="502">
        <v>1</v>
      </c>
      <c r="G1183" s="502">
        <f>+ROUND(1.5/(D1183/1000)+1,0)</f>
        <v>11</v>
      </c>
      <c r="H1183" s="602">
        <v>0.1</v>
      </c>
      <c r="I1183" s="602">
        <v>4.5999999999999996</v>
      </c>
      <c r="J1183" s="235">
        <v>0.1</v>
      </c>
      <c r="K1183" s="509"/>
      <c r="L1183" s="510">
        <f t="shared" ref="L1183" si="826">SUM(H1183:J1183)+K1183</f>
        <v>4.7999999999999989</v>
      </c>
      <c r="M1183" s="510">
        <f t="shared" ref="M1183:M1195" si="827">+ROUND(IF(C1183=8,PRODUCT(E1183,F1183,G1183,L1183),0),2)</f>
        <v>0</v>
      </c>
      <c r="N1183" s="510">
        <f t="shared" ref="N1183:N1195" si="828">+ROUND(IF(C1183=10,PRODUCT(E1183,F1183,G1183,L1183),0),2)</f>
        <v>0</v>
      </c>
      <c r="O1183" s="510">
        <f t="shared" ref="O1183:O1195" si="829">+ROUND(IF(C1183=12,PRODUCT(E1183,F1183,G1183,L1183),0),2)</f>
        <v>52.8</v>
      </c>
      <c r="P1183" s="510">
        <f t="shared" ref="P1183:P1195" si="830">+ROUND(IF(C1183=16,PRODUCT(E1183,F1183,G1183,L1183),0),2)</f>
        <v>0</v>
      </c>
      <c r="Q1183" s="510">
        <f t="shared" ref="Q1183:Q1195" si="831">+ROUND(IF(C1183=20,PRODUCT(E1183,F1183,G1183,L1183),0),2)</f>
        <v>0</v>
      </c>
      <c r="R1183" s="510">
        <f t="shared" ref="R1183:R1195" si="832">+ROUND(IF(C1183=25,PRODUCT(E1183,F1183,G1183,L1183),0),2)</f>
        <v>0</v>
      </c>
    </row>
    <row r="1184" spans="1:18">
      <c r="A1184" s="505"/>
      <c r="B1184" s="607" t="s">
        <v>1217</v>
      </c>
      <c r="C1184" s="507">
        <v>10</v>
      </c>
      <c r="D1184" s="508">
        <v>150</v>
      </c>
      <c r="E1184" s="507">
        <v>1</v>
      </c>
      <c r="F1184" s="502">
        <v>1</v>
      </c>
      <c r="G1184" s="502">
        <v>8</v>
      </c>
      <c r="H1184" s="602">
        <v>0.1</v>
      </c>
      <c r="I1184" s="602">
        <v>4.0999999999999996</v>
      </c>
      <c r="J1184" s="235"/>
      <c r="K1184" s="509"/>
      <c r="L1184" s="510">
        <f t="shared" ref="L1184" si="833">SUM(H1184:J1184)+K1184</f>
        <v>4.1999999999999993</v>
      </c>
      <c r="M1184" s="510">
        <f t="shared" si="827"/>
        <v>0</v>
      </c>
      <c r="N1184" s="510">
        <f t="shared" si="828"/>
        <v>33.6</v>
      </c>
      <c r="O1184" s="510">
        <f t="shared" si="829"/>
        <v>0</v>
      </c>
      <c r="P1184" s="510">
        <f t="shared" si="830"/>
        <v>0</v>
      </c>
      <c r="Q1184" s="510">
        <f t="shared" si="831"/>
        <v>0</v>
      </c>
      <c r="R1184" s="510">
        <f t="shared" si="832"/>
        <v>0</v>
      </c>
    </row>
    <row r="1185" spans="1:18">
      <c r="A1185" s="505"/>
      <c r="B1185" s="607" t="s">
        <v>1218</v>
      </c>
      <c r="C1185" s="507">
        <v>12</v>
      </c>
      <c r="D1185" s="508">
        <v>150</v>
      </c>
      <c r="E1185" s="507">
        <v>1</v>
      </c>
      <c r="F1185" s="502">
        <v>2</v>
      </c>
      <c r="G1185" s="502">
        <f>+ROUND(1.5/(D1185/1000)+1,0)</f>
        <v>11</v>
      </c>
      <c r="H1185" s="602">
        <v>0.1</v>
      </c>
      <c r="I1185" s="602">
        <v>1.52</v>
      </c>
      <c r="J1185" s="235">
        <v>0.1</v>
      </c>
      <c r="K1185" s="509"/>
      <c r="L1185" s="510">
        <f t="shared" ref="L1185:L1190" si="834">SUM(H1185:J1185)+K1185</f>
        <v>1.7200000000000002</v>
      </c>
      <c r="M1185" s="510">
        <f t="shared" si="827"/>
        <v>0</v>
      </c>
      <c r="N1185" s="510">
        <f t="shared" si="828"/>
        <v>0</v>
      </c>
      <c r="O1185" s="510">
        <f t="shared" si="829"/>
        <v>37.840000000000003</v>
      </c>
      <c r="P1185" s="510">
        <f t="shared" si="830"/>
        <v>0</v>
      </c>
      <c r="Q1185" s="510">
        <f t="shared" si="831"/>
        <v>0</v>
      </c>
      <c r="R1185" s="510">
        <f t="shared" si="832"/>
        <v>0</v>
      </c>
    </row>
    <row r="1186" spans="1:18">
      <c r="A1186" s="505"/>
      <c r="B1186" s="607" t="s">
        <v>1218</v>
      </c>
      <c r="C1186" s="507">
        <v>12</v>
      </c>
      <c r="D1186" s="508">
        <v>150</v>
      </c>
      <c r="E1186" s="507">
        <v>1</v>
      </c>
      <c r="F1186" s="502">
        <v>2</v>
      </c>
      <c r="G1186" s="502">
        <f>+ROUND(1.5/(D1186/1000)+1,0)</f>
        <v>11</v>
      </c>
      <c r="H1186" s="602"/>
      <c r="I1186" s="602">
        <v>1.4</v>
      </c>
      <c r="J1186" s="235">
        <v>0.45</v>
      </c>
      <c r="K1186" s="509"/>
      <c r="L1186" s="510">
        <f t="shared" si="834"/>
        <v>1.8499999999999999</v>
      </c>
      <c r="M1186" s="510">
        <f t="shared" si="827"/>
        <v>0</v>
      </c>
      <c r="N1186" s="510">
        <f t="shared" si="828"/>
        <v>0</v>
      </c>
      <c r="O1186" s="510">
        <f t="shared" si="829"/>
        <v>40.700000000000003</v>
      </c>
      <c r="P1186" s="510">
        <f t="shared" si="830"/>
        <v>0</v>
      </c>
      <c r="Q1186" s="510">
        <f t="shared" si="831"/>
        <v>0</v>
      </c>
      <c r="R1186" s="510">
        <f t="shared" si="832"/>
        <v>0</v>
      </c>
    </row>
    <row r="1187" spans="1:18">
      <c r="A1187" s="505"/>
      <c r="B1187" s="607" t="s">
        <v>1218</v>
      </c>
      <c r="C1187" s="507">
        <v>10</v>
      </c>
      <c r="D1187" s="508">
        <v>200</v>
      </c>
      <c r="E1187" s="507">
        <v>1</v>
      </c>
      <c r="F1187" s="502">
        <v>2</v>
      </c>
      <c r="G1187" s="502">
        <v>11</v>
      </c>
      <c r="H1187" s="602"/>
      <c r="I1187" s="602">
        <v>2.25</v>
      </c>
      <c r="J1187" s="235">
        <v>0.2</v>
      </c>
      <c r="K1187" s="509"/>
      <c r="L1187" s="510">
        <f t="shared" si="834"/>
        <v>2.4500000000000002</v>
      </c>
      <c r="M1187" s="510">
        <f t="shared" si="827"/>
        <v>0</v>
      </c>
      <c r="N1187" s="510">
        <f t="shared" si="828"/>
        <v>53.9</v>
      </c>
      <c r="O1187" s="510">
        <f t="shared" si="829"/>
        <v>0</v>
      </c>
      <c r="P1187" s="510">
        <f t="shared" si="830"/>
        <v>0</v>
      </c>
      <c r="Q1187" s="510">
        <f t="shared" si="831"/>
        <v>0</v>
      </c>
      <c r="R1187" s="510">
        <f t="shared" si="832"/>
        <v>0</v>
      </c>
    </row>
    <row r="1188" spans="1:18">
      <c r="A1188" s="505"/>
      <c r="B1188" s="607" t="s">
        <v>1218</v>
      </c>
      <c r="C1188" s="507">
        <v>12</v>
      </c>
      <c r="D1188" s="508">
        <v>200</v>
      </c>
      <c r="E1188" s="507">
        <v>1</v>
      </c>
      <c r="F1188" s="502">
        <v>2</v>
      </c>
      <c r="G1188" s="502">
        <v>11</v>
      </c>
      <c r="H1188" s="602"/>
      <c r="I1188" s="602">
        <v>2.1</v>
      </c>
      <c r="J1188" s="235">
        <v>0.1</v>
      </c>
      <c r="K1188" s="509"/>
      <c r="L1188" s="510">
        <f t="shared" si="834"/>
        <v>2.2000000000000002</v>
      </c>
      <c r="M1188" s="510">
        <f t="shared" si="827"/>
        <v>0</v>
      </c>
      <c r="N1188" s="510">
        <f t="shared" si="828"/>
        <v>0</v>
      </c>
      <c r="O1188" s="510">
        <f t="shared" si="829"/>
        <v>48.4</v>
      </c>
      <c r="P1188" s="510">
        <f t="shared" si="830"/>
        <v>0</v>
      </c>
      <c r="Q1188" s="510">
        <f t="shared" si="831"/>
        <v>0</v>
      </c>
      <c r="R1188" s="510">
        <f t="shared" si="832"/>
        <v>0</v>
      </c>
    </row>
    <row r="1189" spans="1:18">
      <c r="A1189" s="505"/>
      <c r="B1189" s="607" t="s">
        <v>1159</v>
      </c>
      <c r="C1189" s="507">
        <v>8</v>
      </c>
      <c r="D1189" s="508">
        <v>200</v>
      </c>
      <c r="E1189" s="507">
        <v>1</v>
      </c>
      <c r="F1189" s="502">
        <v>1</v>
      </c>
      <c r="G1189" s="502">
        <v>4</v>
      </c>
      <c r="H1189" s="602"/>
      <c r="I1189" s="602">
        <v>1.5</v>
      </c>
      <c r="J1189" s="235"/>
      <c r="K1189" s="509"/>
      <c r="L1189" s="510">
        <f t="shared" si="834"/>
        <v>1.5</v>
      </c>
      <c r="M1189" s="510">
        <f t="shared" si="827"/>
        <v>6</v>
      </c>
      <c r="N1189" s="510">
        <f t="shared" si="828"/>
        <v>0</v>
      </c>
      <c r="O1189" s="510">
        <f t="shared" si="829"/>
        <v>0</v>
      </c>
      <c r="P1189" s="510">
        <f t="shared" si="830"/>
        <v>0</v>
      </c>
      <c r="Q1189" s="510">
        <f t="shared" si="831"/>
        <v>0</v>
      </c>
      <c r="R1189" s="510">
        <f t="shared" si="832"/>
        <v>0</v>
      </c>
    </row>
    <row r="1190" spans="1:18">
      <c r="A1190" s="505"/>
      <c r="B1190" s="607" t="s">
        <v>1159</v>
      </c>
      <c r="C1190" s="507">
        <v>8</v>
      </c>
      <c r="D1190" s="508">
        <v>200</v>
      </c>
      <c r="E1190" s="507">
        <v>1</v>
      </c>
      <c r="F1190" s="502">
        <v>1</v>
      </c>
      <c r="G1190" s="502">
        <v>13</v>
      </c>
      <c r="H1190" s="602"/>
      <c r="I1190" s="602">
        <v>1.7</v>
      </c>
      <c r="J1190" s="235"/>
      <c r="K1190" s="509"/>
      <c r="L1190" s="510">
        <f t="shared" si="834"/>
        <v>1.7</v>
      </c>
      <c r="M1190" s="510">
        <f t="shared" si="827"/>
        <v>22.1</v>
      </c>
      <c r="N1190" s="510">
        <f t="shared" si="828"/>
        <v>0</v>
      </c>
      <c r="O1190" s="510">
        <f t="shared" si="829"/>
        <v>0</v>
      </c>
      <c r="P1190" s="510">
        <f t="shared" si="830"/>
        <v>0</v>
      </c>
      <c r="Q1190" s="510">
        <f t="shared" si="831"/>
        <v>0</v>
      </c>
      <c r="R1190" s="510">
        <f t="shared" si="832"/>
        <v>0</v>
      </c>
    </row>
    <row r="1191" spans="1:18">
      <c r="A1191" s="505"/>
      <c r="B1191" s="607" t="s">
        <v>1219</v>
      </c>
      <c r="C1191" s="507"/>
      <c r="D1191" s="508"/>
      <c r="E1191" s="507"/>
      <c r="F1191" s="502"/>
      <c r="G1191" s="502"/>
      <c r="H1191" s="602"/>
      <c r="I1191" s="602"/>
      <c r="J1191" s="235"/>
      <c r="K1191" s="509"/>
      <c r="L1191" s="510"/>
      <c r="M1191" s="510">
        <f t="shared" si="827"/>
        <v>0</v>
      </c>
      <c r="N1191" s="510">
        <f t="shared" si="828"/>
        <v>0</v>
      </c>
      <c r="O1191" s="510">
        <f t="shared" si="829"/>
        <v>0</v>
      </c>
      <c r="P1191" s="510">
        <f t="shared" si="830"/>
        <v>0</v>
      </c>
      <c r="Q1191" s="510">
        <f t="shared" si="831"/>
        <v>0</v>
      </c>
      <c r="R1191" s="510">
        <f t="shared" si="832"/>
        <v>0</v>
      </c>
    </row>
    <row r="1192" spans="1:18">
      <c r="A1192" s="505"/>
      <c r="B1192" s="607" t="s">
        <v>1217</v>
      </c>
      <c r="C1192" s="507">
        <v>12</v>
      </c>
      <c r="D1192" s="508">
        <v>150</v>
      </c>
      <c r="E1192" s="507">
        <v>1</v>
      </c>
      <c r="F1192" s="502">
        <v>1</v>
      </c>
      <c r="G1192" s="502">
        <v>11</v>
      </c>
      <c r="H1192" s="602"/>
      <c r="I1192" s="602">
        <v>4.5999999999999996</v>
      </c>
      <c r="J1192" s="235"/>
      <c r="K1192" s="509"/>
      <c r="L1192" s="510">
        <f t="shared" ref="L1192:L1195" si="835">SUM(H1192:J1192)+K1192</f>
        <v>4.5999999999999996</v>
      </c>
      <c r="M1192" s="510">
        <f t="shared" si="827"/>
        <v>0</v>
      </c>
      <c r="N1192" s="510">
        <f t="shared" si="828"/>
        <v>0</v>
      </c>
      <c r="O1192" s="510">
        <f t="shared" si="829"/>
        <v>50.6</v>
      </c>
      <c r="P1192" s="510">
        <f t="shared" si="830"/>
        <v>0</v>
      </c>
      <c r="Q1192" s="510">
        <f t="shared" si="831"/>
        <v>0</v>
      </c>
      <c r="R1192" s="510">
        <f t="shared" si="832"/>
        <v>0</v>
      </c>
    </row>
    <row r="1193" spans="1:18">
      <c r="A1193" s="505"/>
      <c r="B1193" s="607" t="s">
        <v>1217</v>
      </c>
      <c r="C1193" s="507">
        <v>10</v>
      </c>
      <c r="D1193" s="508">
        <v>200</v>
      </c>
      <c r="E1193" s="507">
        <v>1</v>
      </c>
      <c r="F1193" s="502">
        <v>1</v>
      </c>
      <c r="G1193" s="502">
        <v>8</v>
      </c>
      <c r="H1193" s="602"/>
      <c r="I1193" s="602">
        <v>2.63</v>
      </c>
      <c r="J1193" s="235"/>
      <c r="K1193" s="509"/>
      <c r="L1193" s="510">
        <f t="shared" si="835"/>
        <v>2.63</v>
      </c>
      <c r="M1193" s="510">
        <f t="shared" si="827"/>
        <v>0</v>
      </c>
      <c r="N1193" s="510">
        <f t="shared" si="828"/>
        <v>21.04</v>
      </c>
      <c r="O1193" s="510">
        <f t="shared" si="829"/>
        <v>0</v>
      </c>
      <c r="P1193" s="510">
        <f t="shared" si="830"/>
        <v>0</v>
      </c>
      <c r="Q1193" s="510">
        <f t="shared" si="831"/>
        <v>0</v>
      </c>
      <c r="R1193" s="510">
        <f t="shared" si="832"/>
        <v>0</v>
      </c>
    </row>
    <row r="1194" spans="1:18">
      <c r="A1194" s="505"/>
      <c r="B1194" s="607" t="s">
        <v>256</v>
      </c>
      <c r="C1194" s="507">
        <v>10</v>
      </c>
      <c r="D1194" s="508">
        <v>200</v>
      </c>
      <c r="E1194" s="507">
        <v>1</v>
      </c>
      <c r="F1194" s="502">
        <v>1</v>
      </c>
      <c r="G1194" s="502">
        <v>8</v>
      </c>
      <c r="H1194" s="602"/>
      <c r="I1194" s="602">
        <v>1.5</v>
      </c>
      <c r="J1194" s="235"/>
      <c r="K1194" s="509"/>
      <c r="L1194" s="510">
        <f t="shared" si="835"/>
        <v>1.5</v>
      </c>
      <c r="M1194" s="510">
        <f t="shared" si="827"/>
        <v>0</v>
      </c>
      <c r="N1194" s="510">
        <f t="shared" si="828"/>
        <v>12</v>
      </c>
      <c r="O1194" s="510">
        <f t="shared" si="829"/>
        <v>0</v>
      </c>
      <c r="P1194" s="510">
        <f t="shared" si="830"/>
        <v>0</v>
      </c>
      <c r="Q1194" s="510">
        <f t="shared" si="831"/>
        <v>0</v>
      </c>
      <c r="R1194" s="510">
        <f t="shared" si="832"/>
        <v>0</v>
      </c>
    </row>
    <row r="1195" spans="1:18">
      <c r="A1195" s="505"/>
      <c r="B1195" s="607" t="s">
        <v>1220</v>
      </c>
      <c r="C1195" s="507">
        <v>12</v>
      </c>
      <c r="D1195" s="508">
        <v>200</v>
      </c>
      <c r="E1195" s="507">
        <v>1</v>
      </c>
      <c r="F1195" s="502">
        <v>1</v>
      </c>
      <c r="G1195" s="502">
        <v>11</v>
      </c>
      <c r="H1195" s="602"/>
      <c r="I1195" s="602">
        <v>1.4</v>
      </c>
      <c r="J1195" s="235"/>
      <c r="K1195" s="509"/>
      <c r="L1195" s="510">
        <f t="shared" si="835"/>
        <v>1.4</v>
      </c>
      <c r="M1195" s="510">
        <f t="shared" si="827"/>
        <v>0</v>
      </c>
      <c r="N1195" s="510">
        <f t="shared" si="828"/>
        <v>0</v>
      </c>
      <c r="O1195" s="510">
        <f t="shared" si="829"/>
        <v>15.4</v>
      </c>
      <c r="P1195" s="510">
        <f t="shared" si="830"/>
        <v>0</v>
      </c>
      <c r="Q1195" s="510">
        <f t="shared" si="831"/>
        <v>0</v>
      </c>
      <c r="R1195" s="510">
        <f t="shared" si="832"/>
        <v>0</v>
      </c>
    </row>
    <row r="1196" spans="1:18">
      <c r="A1196" s="505"/>
      <c r="B1196" s="607"/>
      <c r="C1196" s="507"/>
      <c r="D1196" s="508"/>
      <c r="E1196" s="507"/>
      <c r="F1196" s="502"/>
      <c r="G1196" s="502"/>
      <c r="H1196" s="602"/>
      <c r="I1196" s="602"/>
      <c r="J1196" s="235"/>
      <c r="K1196" s="509"/>
      <c r="L1196" s="510"/>
      <c r="M1196" s="510"/>
      <c r="N1196" s="510"/>
      <c r="O1196" s="510"/>
      <c r="P1196" s="510"/>
      <c r="Q1196" s="510"/>
      <c r="R1196" s="510"/>
    </row>
    <row r="1197" spans="1:18">
      <c r="A1197" s="505"/>
      <c r="B1197" s="506"/>
      <c r="C1197" s="507"/>
      <c r="D1197" s="508"/>
      <c r="E1197" s="507"/>
      <c r="F1197" s="502"/>
      <c r="G1197" s="502"/>
      <c r="H1197" s="503"/>
      <c r="I1197" s="503"/>
      <c r="J1197" s="589"/>
      <c r="K1197" s="509"/>
      <c r="L1197" s="510">
        <f t="shared" si="809"/>
        <v>0</v>
      </c>
      <c r="M1197" s="510">
        <f t="shared" si="810"/>
        <v>0</v>
      </c>
      <c r="N1197" s="510">
        <f t="shared" si="811"/>
        <v>0</v>
      </c>
      <c r="O1197" s="510">
        <f t="shared" si="812"/>
        <v>0</v>
      </c>
      <c r="P1197" s="510">
        <f t="shared" si="813"/>
        <v>0</v>
      </c>
      <c r="Q1197" s="510">
        <f t="shared" si="814"/>
        <v>0</v>
      </c>
      <c r="R1197" s="510">
        <f t="shared" si="815"/>
        <v>0</v>
      </c>
    </row>
    <row r="1198" spans="1:18">
      <c r="A1198" s="505"/>
      <c r="B1198" s="607" t="s">
        <v>1221</v>
      </c>
      <c r="C1198" s="507">
        <v>10</v>
      </c>
      <c r="D1198" s="508"/>
      <c r="E1198" s="507">
        <v>1</v>
      </c>
      <c r="F1198" s="502">
        <v>1</v>
      </c>
      <c r="G1198" s="502">
        <v>196</v>
      </c>
      <c r="H1198" s="602">
        <v>0.3</v>
      </c>
      <c r="I1198" s="602">
        <v>0.6</v>
      </c>
      <c r="J1198" s="235">
        <v>0.3</v>
      </c>
      <c r="K1198" s="509"/>
      <c r="L1198" s="510">
        <f t="shared" ref="L1198" si="836">SUM(H1198:J1198)+K1198</f>
        <v>1.2</v>
      </c>
      <c r="M1198" s="510">
        <f t="shared" si="810"/>
        <v>0</v>
      </c>
      <c r="N1198" s="510">
        <f t="shared" si="811"/>
        <v>235.2</v>
      </c>
      <c r="O1198" s="510">
        <f t="shared" si="812"/>
        <v>0</v>
      </c>
      <c r="P1198" s="510">
        <f t="shared" si="813"/>
        <v>0</v>
      </c>
      <c r="Q1198" s="510">
        <f t="shared" si="814"/>
        <v>0</v>
      </c>
      <c r="R1198" s="510">
        <f t="shared" si="815"/>
        <v>0</v>
      </c>
    </row>
    <row r="1199" spans="1:18">
      <c r="A1199" s="505"/>
      <c r="B1199" s="607" t="s">
        <v>1222</v>
      </c>
      <c r="C1199" s="507">
        <v>10</v>
      </c>
      <c r="D1199" s="508"/>
      <c r="E1199" s="507">
        <v>1</v>
      </c>
      <c r="F1199" s="502">
        <v>1</v>
      </c>
      <c r="G1199" s="502">
        <v>194</v>
      </c>
      <c r="H1199" s="602">
        <v>0.31</v>
      </c>
      <c r="I1199" s="602">
        <v>0.6</v>
      </c>
      <c r="J1199" s="235">
        <v>0.31</v>
      </c>
      <c r="K1199" s="509"/>
      <c r="L1199" s="510">
        <f t="shared" ref="L1199:L1202" si="837">SUM(H1199:J1199)+K1199</f>
        <v>1.22</v>
      </c>
      <c r="M1199" s="510">
        <f t="shared" si="810"/>
        <v>0</v>
      </c>
      <c r="N1199" s="510">
        <f t="shared" si="811"/>
        <v>236.68</v>
      </c>
      <c r="O1199" s="510">
        <f t="shared" si="812"/>
        <v>0</v>
      </c>
      <c r="P1199" s="510">
        <f t="shared" si="813"/>
        <v>0</v>
      </c>
      <c r="Q1199" s="510">
        <f t="shared" si="814"/>
        <v>0</v>
      </c>
      <c r="R1199" s="510">
        <f t="shared" si="815"/>
        <v>0</v>
      </c>
    </row>
    <row r="1200" spans="1:18">
      <c r="A1200" s="505"/>
      <c r="B1200" s="607" t="s">
        <v>1223</v>
      </c>
      <c r="C1200" s="507">
        <v>10</v>
      </c>
      <c r="D1200" s="508"/>
      <c r="E1200" s="507">
        <v>1</v>
      </c>
      <c r="F1200" s="502">
        <v>1</v>
      </c>
      <c r="G1200" s="502">
        <v>122</v>
      </c>
      <c r="H1200" s="602">
        <v>0.32500000000000001</v>
      </c>
      <c r="I1200" s="602">
        <v>0.6</v>
      </c>
      <c r="J1200" s="235">
        <v>0.32500000000000001</v>
      </c>
      <c r="K1200" s="509"/>
      <c r="L1200" s="510">
        <f t="shared" si="837"/>
        <v>1.25</v>
      </c>
      <c r="M1200" s="510">
        <f t="shared" si="810"/>
        <v>0</v>
      </c>
      <c r="N1200" s="510">
        <f t="shared" si="811"/>
        <v>152.5</v>
      </c>
      <c r="O1200" s="510">
        <f t="shared" si="812"/>
        <v>0</v>
      </c>
      <c r="P1200" s="510">
        <f t="shared" si="813"/>
        <v>0</v>
      </c>
      <c r="Q1200" s="510">
        <f t="shared" si="814"/>
        <v>0</v>
      </c>
      <c r="R1200" s="510">
        <f t="shared" si="815"/>
        <v>0</v>
      </c>
    </row>
    <row r="1201" spans="1:19">
      <c r="A1201" s="505"/>
      <c r="B1201" s="607" t="s">
        <v>1224</v>
      </c>
      <c r="C1201" s="507">
        <v>10</v>
      </c>
      <c r="D1201" s="508"/>
      <c r="E1201" s="507">
        <v>1</v>
      </c>
      <c r="F1201" s="502">
        <v>1</v>
      </c>
      <c r="G1201" s="502">
        <v>30</v>
      </c>
      <c r="H1201" s="602">
        <v>0.35</v>
      </c>
      <c r="I1201" s="602">
        <v>0.6</v>
      </c>
      <c r="J1201" s="235">
        <v>0.35</v>
      </c>
      <c r="K1201" s="509"/>
      <c r="L1201" s="510">
        <f t="shared" si="837"/>
        <v>1.2999999999999998</v>
      </c>
      <c r="M1201" s="510">
        <f t="shared" si="810"/>
        <v>0</v>
      </c>
      <c r="N1201" s="510">
        <f t="shared" si="811"/>
        <v>39</v>
      </c>
      <c r="O1201" s="510">
        <f t="shared" si="812"/>
        <v>0</v>
      </c>
      <c r="P1201" s="510">
        <f t="shared" si="813"/>
        <v>0</v>
      </c>
      <c r="Q1201" s="510">
        <f t="shared" si="814"/>
        <v>0</v>
      </c>
      <c r="R1201" s="510">
        <f t="shared" si="815"/>
        <v>0</v>
      </c>
    </row>
    <row r="1202" spans="1:19">
      <c r="A1202" s="505"/>
      <c r="B1202" s="607" t="s">
        <v>1225</v>
      </c>
      <c r="C1202" s="507">
        <v>10</v>
      </c>
      <c r="D1202" s="508"/>
      <c r="E1202" s="507">
        <v>1</v>
      </c>
      <c r="F1202" s="502">
        <v>1</v>
      </c>
      <c r="G1202" s="502">
        <v>172</v>
      </c>
      <c r="H1202" s="602">
        <v>0.375</v>
      </c>
      <c r="I1202" s="602">
        <v>0.6</v>
      </c>
      <c r="J1202" s="235">
        <v>0.375</v>
      </c>
      <c r="K1202" s="509"/>
      <c r="L1202" s="510">
        <f t="shared" si="837"/>
        <v>1.35</v>
      </c>
      <c r="M1202" s="510">
        <f t="shared" si="810"/>
        <v>0</v>
      </c>
      <c r="N1202" s="510">
        <f t="shared" si="811"/>
        <v>232.2</v>
      </c>
      <c r="O1202" s="510">
        <f t="shared" si="812"/>
        <v>0</v>
      </c>
      <c r="P1202" s="510">
        <f t="shared" si="813"/>
        <v>0</v>
      </c>
      <c r="Q1202" s="510">
        <f t="shared" si="814"/>
        <v>0</v>
      </c>
      <c r="R1202" s="510">
        <f t="shared" si="815"/>
        <v>0</v>
      </c>
    </row>
    <row r="1203" spans="1:19">
      <c r="A1203" s="505"/>
      <c r="B1203" s="506"/>
      <c r="C1203" s="507"/>
      <c r="D1203" s="508"/>
      <c r="E1203" s="507"/>
      <c r="F1203" s="502"/>
      <c r="G1203" s="502"/>
      <c r="H1203" s="602"/>
      <c r="I1203" s="602"/>
      <c r="J1203" s="235"/>
      <c r="K1203" s="509"/>
      <c r="L1203" s="510"/>
      <c r="M1203" s="510"/>
      <c r="N1203" s="510"/>
      <c r="O1203" s="510"/>
      <c r="P1203" s="510"/>
      <c r="Q1203" s="510"/>
      <c r="R1203" s="510"/>
    </row>
    <row r="1204" spans="1:19">
      <c r="A1204" s="505"/>
      <c r="B1204" s="506"/>
      <c r="C1204" s="507"/>
      <c r="D1204" s="508"/>
      <c r="E1204" s="507"/>
      <c r="F1204" s="502"/>
      <c r="G1204" s="502"/>
      <c r="H1204" s="602"/>
      <c r="I1204" s="602"/>
      <c r="J1204" s="235"/>
      <c r="K1204" s="509"/>
      <c r="L1204" s="510"/>
      <c r="M1204" s="510"/>
      <c r="N1204" s="510"/>
      <c r="O1204" s="510"/>
      <c r="P1204" s="510"/>
      <c r="Q1204" s="510"/>
      <c r="R1204" s="510"/>
    </row>
    <row r="1205" spans="1:19">
      <c r="A1205" s="505"/>
      <c r="B1205" s="511"/>
      <c r="C1205" s="507"/>
      <c r="D1205" s="508"/>
      <c r="E1205" s="507"/>
      <c r="F1205" s="502"/>
      <c r="G1205" s="502"/>
      <c r="H1205" s="503"/>
      <c r="I1205" s="503"/>
      <c r="J1205" s="589"/>
      <c r="K1205" s="509"/>
      <c r="L1205" s="510">
        <f t="shared" ref="L1205" si="838">SUM(H1205:J1205)+K1205</f>
        <v>0</v>
      </c>
      <c r="M1205" s="510">
        <f t="shared" ref="M1205" si="839">+ROUND(IF(C1205=8,PRODUCT(E1205,F1205,G1205,L1205),0),2)</f>
        <v>0</v>
      </c>
      <c r="N1205" s="510">
        <f t="shared" ref="N1205" si="840">+ROUND(IF(C1205=10,PRODUCT(E1205,F1205,G1205,L1205),0),2)</f>
        <v>0</v>
      </c>
      <c r="O1205" s="510">
        <f t="shared" ref="O1205" si="841">+ROUND(IF(C1205=12,PRODUCT(E1205,F1205,G1205,L1205),0),2)</f>
        <v>0</v>
      </c>
      <c r="P1205" s="510">
        <f t="shared" ref="P1205" si="842">+ROUND(IF(C1205=16,PRODUCT(E1205,F1205,G1205,L1205),0),2)</f>
        <v>0</v>
      </c>
      <c r="Q1205" s="510">
        <f t="shared" ref="Q1205" si="843">+ROUND(IF(C1205=20,PRODUCT(E1205,F1205,G1205,L1205),0),2)</f>
        <v>0</v>
      </c>
      <c r="R1205" s="510">
        <f t="shared" ref="R1205" si="844">+ROUND(IF(C1205=25,PRODUCT(E1205,F1205,G1205,L1205),0),2)</f>
        <v>0</v>
      </c>
    </row>
    <row r="1206" spans="1:19">
      <c r="A1206" s="505"/>
      <c r="B1206" s="520" t="s">
        <v>1148</v>
      </c>
      <c r="C1206" s="521"/>
      <c r="D1206" s="522"/>
      <c r="E1206" s="521"/>
      <c r="F1206" s="523"/>
      <c r="G1206" s="523"/>
      <c r="H1206" s="524"/>
      <c r="I1206" s="524"/>
      <c r="J1206" s="467"/>
      <c r="K1206" s="525"/>
      <c r="L1206" s="524"/>
      <c r="M1206" s="526">
        <f t="shared" ref="M1206:R1206" si="845">SUM(M493:M1205)</f>
        <v>16915.340000000004</v>
      </c>
      <c r="N1206" s="526">
        <f t="shared" si="845"/>
        <v>3964.3999999999996</v>
      </c>
      <c r="O1206" s="526">
        <f t="shared" si="845"/>
        <v>2078.38</v>
      </c>
      <c r="P1206" s="526">
        <f t="shared" si="845"/>
        <v>0</v>
      </c>
      <c r="Q1206" s="526">
        <f t="shared" si="845"/>
        <v>32.879999999999995</v>
      </c>
      <c r="R1206" s="526">
        <f t="shared" si="845"/>
        <v>0</v>
      </c>
      <c r="S1206" s="527"/>
    </row>
    <row r="1207" spans="1:19" ht="15.75">
      <c r="A1207" s="505"/>
      <c r="B1207" s="511" t="s">
        <v>1149</v>
      </c>
      <c r="C1207" s="507"/>
      <c r="D1207" s="508"/>
      <c r="E1207" s="507"/>
      <c r="F1207" s="502"/>
      <c r="G1207" s="502"/>
      <c r="H1207" s="503"/>
      <c r="I1207" s="503"/>
      <c r="J1207" s="589"/>
      <c r="K1207" s="509"/>
      <c r="L1207" s="503"/>
      <c r="M1207" s="602">
        <v>0.39500000000000002</v>
      </c>
      <c r="N1207" s="503">
        <v>0.61699999999999999</v>
      </c>
      <c r="O1207" s="503">
        <v>0.88800000000000001</v>
      </c>
      <c r="P1207" s="503">
        <v>1.58</v>
      </c>
      <c r="Q1207" s="503">
        <v>2.4700000000000002</v>
      </c>
      <c r="R1207" s="503">
        <v>3.85</v>
      </c>
      <c r="S1207" s="612" t="s">
        <v>62</v>
      </c>
    </row>
    <row r="1208" spans="1:19" ht="15.75">
      <c r="A1208" s="509"/>
      <c r="B1208" s="509" t="s">
        <v>1150</v>
      </c>
      <c r="C1208" s="533"/>
      <c r="D1208" s="251"/>
      <c r="E1208" s="533"/>
      <c r="F1208" s="533"/>
      <c r="G1208" s="533"/>
      <c r="H1208" s="509"/>
      <c r="I1208" s="509"/>
      <c r="J1208" s="589"/>
      <c r="K1208" s="509"/>
      <c r="L1208" s="509"/>
      <c r="M1208" s="604">
        <f>M1206*M1207</f>
        <v>6681.5593000000017</v>
      </c>
      <c r="N1208" s="604">
        <f t="shared" ref="N1208:R1208" si="846">N1206*N1207</f>
        <v>2446.0347999999999</v>
      </c>
      <c r="O1208" s="604">
        <f t="shared" si="846"/>
        <v>1845.6014400000001</v>
      </c>
      <c r="P1208" s="604">
        <f t="shared" si="846"/>
        <v>0</v>
      </c>
      <c r="Q1208" s="604">
        <f t="shared" si="846"/>
        <v>81.2136</v>
      </c>
      <c r="R1208" s="604">
        <f t="shared" si="846"/>
        <v>0</v>
      </c>
      <c r="S1208" s="610">
        <f>SUM(M1208:R1208)</f>
        <v>11054.409140000002</v>
      </c>
    </row>
    <row r="1210" spans="1:19" ht="15.75">
      <c r="R1210" s="611" t="s">
        <v>1226</v>
      </c>
      <c r="S1210" s="610">
        <f>S490+S1208</f>
        <v>17516.071580000003</v>
      </c>
    </row>
  </sheetData>
  <mergeCells count="11">
    <mergeCell ref="G2:G3"/>
    <mergeCell ref="H2:J2"/>
    <mergeCell ref="K2:K3"/>
    <mergeCell ref="L2:L3"/>
    <mergeCell ref="M2:R2"/>
    <mergeCell ref="F2:F3"/>
    <mergeCell ref="A2:A3"/>
    <mergeCell ref="B2:B3"/>
    <mergeCell ref="C2:C3"/>
    <mergeCell ref="D2:D3"/>
    <mergeCell ref="E2:E3"/>
  </mergeCells>
  <conditionalFormatting sqref="M1207:R1207 M620:R620 O1065:R1065 N1066:R1066 N1068:R1068 M5:R101 M103:R133 M142:R182 M185:R214 M217:R280 M283:R286 M288:R339 M341:R363 M369:R374 M410:R414 M532:R533 M561:R563 M568:R576 M601:R603 O621:R622 M655:R657 M662:R669 M690:R690 M688:R688 M694:R694 M731:R731 M754:R756 M759:R759 M811:R811 M766:R766 M942:R942 M1001:R1001 M1028:R1028 M1160:R1161 M1064:R1064 M1074:R1075 M429:R433 M438:R441 M501:R505 M508:R508 M491:R493 M1196:R1205 M1157:M1159 N1159:R1159 M1132:R1132 M625:R626 M633:R633 M1166:R1175 M909:R909">
    <cfRule type="cellIs" dxfId="1009" priority="1020" operator="greaterThan">
      <formula>0</formula>
    </cfRule>
  </conditionalFormatting>
  <conditionalFormatting sqref="M5:R5">
    <cfRule type="cellIs" dxfId="1008" priority="1019" operator="greaterThan">
      <formula>0</formula>
    </cfRule>
  </conditionalFormatting>
  <conditionalFormatting sqref="M10:R11">
    <cfRule type="cellIs" dxfId="1007" priority="1018" operator="greaterThan">
      <formula>0</formula>
    </cfRule>
  </conditionalFormatting>
  <conditionalFormatting sqref="M9:R9">
    <cfRule type="cellIs" dxfId="1006" priority="1017" operator="greaterThan">
      <formula>0</formula>
    </cfRule>
  </conditionalFormatting>
  <conditionalFormatting sqref="M13:R13">
    <cfRule type="cellIs" dxfId="1005" priority="1016" operator="greaterThan">
      <formula>0</formula>
    </cfRule>
  </conditionalFormatting>
  <conditionalFormatting sqref="M375:R375 M397:R397">
    <cfRule type="cellIs" dxfId="1004" priority="1011" operator="greaterThan">
      <formula>0</formula>
    </cfRule>
  </conditionalFormatting>
  <conditionalFormatting sqref="M12:R12">
    <cfRule type="cellIs" dxfId="1003" priority="1015" operator="greaterThan">
      <formula>0</formula>
    </cfRule>
  </conditionalFormatting>
  <conditionalFormatting sqref="M302:R302">
    <cfRule type="cellIs" dxfId="1002" priority="1013" operator="greaterThan">
      <formula>0</formula>
    </cfRule>
  </conditionalFormatting>
  <conditionalFormatting sqref="M39:R39">
    <cfRule type="cellIs" dxfId="1001" priority="1014" operator="greaterThan">
      <formula>0</formula>
    </cfRule>
  </conditionalFormatting>
  <conditionalFormatting sqref="M513:R514">
    <cfRule type="cellIs" dxfId="1000" priority="1007" operator="greaterThan">
      <formula>0</formula>
    </cfRule>
  </conditionalFormatting>
  <conditionalFormatting sqref="M487:R487">
    <cfRule type="cellIs" dxfId="999" priority="1010" operator="greaterThan">
      <formula>0</formula>
    </cfRule>
  </conditionalFormatting>
  <conditionalFormatting sqref="M163:R163">
    <cfRule type="cellIs" dxfId="998" priority="1012" operator="greaterThan">
      <formula>0</formula>
    </cfRule>
  </conditionalFormatting>
  <conditionalFormatting sqref="M493:R493 M510:R511">
    <cfRule type="cellIs" dxfId="997" priority="1008" operator="greaterThan">
      <formula>0</formula>
    </cfRule>
  </conditionalFormatting>
  <conditionalFormatting sqref="M512:R512">
    <cfRule type="cellIs" dxfId="996" priority="1006" operator="greaterThan">
      <formula>0</formula>
    </cfRule>
  </conditionalFormatting>
  <conditionalFormatting sqref="N423:R423">
    <cfRule type="cellIs" dxfId="995" priority="1009" operator="greaterThan">
      <formula>0</formula>
    </cfRule>
  </conditionalFormatting>
  <conditionalFormatting sqref="M515:R515">
    <cfRule type="cellIs" dxfId="994" priority="1004" operator="greaterThan">
      <formula>0</formula>
    </cfRule>
  </conditionalFormatting>
  <conditionalFormatting sqref="M18:R18">
    <cfRule type="cellIs" dxfId="993" priority="998" operator="greaterThan">
      <formula>0</formula>
    </cfRule>
  </conditionalFormatting>
  <conditionalFormatting sqref="M950:R950">
    <cfRule type="cellIs" dxfId="992" priority="1002" operator="greaterThan">
      <formula>0</formula>
    </cfRule>
  </conditionalFormatting>
  <conditionalFormatting sqref="M516:R516 N592:R592">
    <cfRule type="cellIs" dxfId="991" priority="1005" operator="greaterThan">
      <formula>0</formula>
    </cfRule>
  </conditionalFormatting>
  <conditionalFormatting sqref="M623:R623 M644:R644">
    <cfRule type="cellIs" dxfId="990" priority="1003" operator="greaterThan">
      <formula>0</formula>
    </cfRule>
  </conditionalFormatting>
  <conditionalFormatting sqref="M16:R16">
    <cfRule type="cellIs" dxfId="989" priority="999" operator="greaterThan">
      <formula>0</formula>
    </cfRule>
  </conditionalFormatting>
  <conditionalFormatting sqref="M17:R17">
    <cfRule type="cellIs" dxfId="988" priority="1000" operator="greaterThan">
      <formula>0</formula>
    </cfRule>
  </conditionalFormatting>
  <conditionalFormatting sqref="M14:R15">
    <cfRule type="cellIs" dxfId="987" priority="1001" operator="greaterThan">
      <formula>0</formula>
    </cfRule>
  </conditionalFormatting>
  <conditionalFormatting sqref="M28:R29">
    <cfRule type="cellIs" dxfId="986" priority="991" operator="greaterThan">
      <formula>0</formula>
    </cfRule>
  </conditionalFormatting>
  <conditionalFormatting sqref="M24:R25">
    <cfRule type="cellIs" dxfId="985" priority="994" operator="greaterThan">
      <formula>0</formula>
    </cfRule>
  </conditionalFormatting>
  <conditionalFormatting sqref="M26:R26">
    <cfRule type="cellIs" dxfId="984" priority="993" operator="greaterThan">
      <formula>0</formula>
    </cfRule>
  </conditionalFormatting>
  <conditionalFormatting sqref="M21:R22">
    <cfRule type="cellIs" dxfId="983" priority="996" operator="greaterThan">
      <formula>0</formula>
    </cfRule>
  </conditionalFormatting>
  <conditionalFormatting sqref="M40:R40">
    <cfRule type="cellIs" dxfId="982" priority="983" operator="greaterThan">
      <formula>0</formula>
    </cfRule>
  </conditionalFormatting>
  <conditionalFormatting sqref="M19:R20">
    <cfRule type="cellIs" dxfId="981" priority="997" operator="greaterThan">
      <formula>0</formula>
    </cfRule>
  </conditionalFormatting>
  <conditionalFormatting sqref="M33:R33">
    <cfRule type="cellIs" dxfId="980" priority="988" operator="greaterThan">
      <formula>0</formula>
    </cfRule>
  </conditionalFormatting>
  <conditionalFormatting sqref="M23:R23">
    <cfRule type="cellIs" dxfId="979" priority="995" operator="greaterThan">
      <formula>0</formula>
    </cfRule>
  </conditionalFormatting>
  <conditionalFormatting sqref="M30:R30">
    <cfRule type="cellIs" dxfId="978" priority="989" operator="greaterThan">
      <formula>0</formula>
    </cfRule>
  </conditionalFormatting>
  <conditionalFormatting sqref="M38:R38">
    <cfRule type="cellIs" dxfId="977" priority="985" operator="greaterThan">
      <formula>0</formula>
    </cfRule>
  </conditionalFormatting>
  <conditionalFormatting sqref="M27:R27">
    <cfRule type="cellIs" dxfId="976" priority="992" operator="greaterThan">
      <formula>0</formula>
    </cfRule>
  </conditionalFormatting>
  <conditionalFormatting sqref="M31:R32">
    <cfRule type="cellIs" dxfId="975" priority="990" operator="greaterThan">
      <formula>0</formula>
    </cfRule>
  </conditionalFormatting>
  <conditionalFormatting sqref="M35:R37">
    <cfRule type="cellIs" dxfId="974" priority="986" operator="greaterThan">
      <formula>0</formula>
    </cfRule>
  </conditionalFormatting>
  <conditionalFormatting sqref="M43:R43">
    <cfRule type="cellIs" dxfId="973" priority="981" operator="greaterThan">
      <formula>0</formula>
    </cfRule>
  </conditionalFormatting>
  <conditionalFormatting sqref="M41:R42">
    <cfRule type="cellIs" dxfId="972" priority="982" operator="greaterThan">
      <formula>0</formula>
    </cfRule>
  </conditionalFormatting>
  <conditionalFormatting sqref="M49:R49">
    <cfRule type="cellIs" dxfId="971" priority="977" operator="greaterThan">
      <formula>0</formula>
    </cfRule>
  </conditionalFormatting>
  <conditionalFormatting sqref="M34:R34">
    <cfRule type="cellIs" dxfId="970" priority="987" operator="greaterThan">
      <formula>0</formula>
    </cfRule>
  </conditionalFormatting>
  <conditionalFormatting sqref="M44:R44">
    <cfRule type="cellIs" dxfId="969" priority="984" operator="greaterThan">
      <formula>0</formula>
    </cfRule>
  </conditionalFormatting>
  <conditionalFormatting sqref="M51:R51">
    <cfRule type="cellIs" dxfId="968" priority="975" operator="greaterThan">
      <formula>0</formula>
    </cfRule>
  </conditionalFormatting>
  <conditionalFormatting sqref="M46:R48">
    <cfRule type="cellIs" dxfId="967" priority="978" operator="greaterThan">
      <formula>0</formula>
    </cfRule>
  </conditionalFormatting>
  <conditionalFormatting sqref="M59:R59">
    <cfRule type="cellIs" dxfId="966" priority="974" operator="greaterThan">
      <formula>0</formula>
    </cfRule>
  </conditionalFormatting>
  <conditionalFormatting sqref="M58:R58">
    <cfRule type="cellIs" dxfId="965" priority="971" operator="greaterThan">
      <formula>0</formula>
    </cfRule>
  </conditionalFormatting>
  <conditionalFormatting sqref="M52:R52">
    <cfRule type="cellIs" dxfId="964" priority="976" operator="greaterThan">
      <formula>0</formula>
    </cfRule>
  </conditionalFormatting>
  <conditionalFormatting sqref="M50:R50">
    <cfRule type="cellIs" dxfId="963" priority="980" operator="greaterThan">
      <formula>0</formula>
    </cfRule>
  </conditionalFormatting>
  <conditionalFormatting sqref="M45:R45">
    <cfRule type="cellIs" dxfId="962" priority="979" operator="greaterThan">
      <formula>0</formula>
    </cfRule>
  </conditionalFormatting>
  <conditionalFormatting sqref="M54:R57">
    <cfRule type="cellIs" dxfId="961" priority="972" operator="greaterThan">
      <formula>0</formula>
    </cfRule>
  </conditionalFormatting>
  <conditionalFormatting sqref="M53:R53">
    <cfRule type="cellIs" dxfId="960" priority="973" operator="greaterThan">
      <formula>0</formula>
    </cfRule>
  </conditionalFormatting>
  <conditionalFormatting sqref="M64:R64">
    <cfRule type="cellIs" dxfId="959" priority="968" operator="greaterThan">
      <formula>0</formula>
    </cfRule>
  </conditionalFormatting>
  <conditionalFormatting sqref="M65:R65">
    <cfRule type="cellIs" dxfId="958" priority="970" operator="greaterThan">
      <formula>0</formula>
    </cfRule>
  </conditionalFormatting>
  <conditionalFormatting sqref="M60:R60">
    <cfRule type="cellIs" dxfId="957" priority="969" operator="greaterThan">
      <formula>0</formula>
    </cfRule>
  </conditionalFormatting>
  <conditionalFormatting sqref="M63:R63">
    <cfRule type="cellIs" dxfId="956" priority="967" operator="greaterThan">
      <formula>0</formula>
    </cfRule>
  </conditionalFormatting>
  <conditionalFormatting sqref="M71:R71">
    <cfRule type="cellIs" dxfId="955" priority="963" operator="greaterThan">
      <formula>0</formula>
    </cfRule>
  </conditionalFormatting>
  <conditionalFormatting sqref="M67:R68">
    <cfRule type="cellIs" dxfId="954" priority="964" operator="greaterThan">
      <formula>0</formula>
    </cfRule>
  </conditionalFormatting>
  <conditionalFormatting sqref="M72:R72">
    <cfRule type="cellIs" dxfId="953" priority="966" operator="greaterThan">
      <formula>0</formula>
    </cfRule>
  </conditionalFormatting>
  <conditionalFormatting sqref="M66:R66">
    <cfRule type="cellIs" dxfId="952" priority="965" operator="greaterThan">
      <formula>0</formula>
    </cfRule>
  </conditionalFormatting>
  <conditionalFormatting sqref="M69:R70">
    <cfRule type="cellIs" dxfId="951" priority="962" operator="greaterThan">
      <formula>0</formula>
    </cfRule>
  </conditionalFormatting>
  <conditionalFormatting sqref="M79:R79">
    <cfRule type="cellIs" dxfId="950" priority="958" operator="greaterThan">
      <formula>0</formula>
    </cfRule>
  </conditionalFormatting>
  <conditionalFormatting sqref="M74:R75">
    <cfRule type="cellIs" dxfId="949" priority="959" operator="greaterThan">
      <formula>0</formula>
    </cfRule>
  </conditionalFormatting>
  <conditionalFormatting sqref="M80:R80">
    <cfRule type="cellIs" dxfId="948" priority="961" operator="greaterThan">
      <formula>0</formula>
    </cfRule>
  </conditionalFormatting>
  <conditionalFormatting sqref="M73:R73">
    <cfRule type="cellIs" dxfId="947" priority="960" operator="greaterThan">
      <formula>0</formula>
    </cfRule>
  </conditionalFormatting>
  <conditionalFormatting sqref="M76:R78">
    <cfRule type="cellIs" dxfId="946" priority="957" operator="greaterThan">
      <formula>0</formula>
    </cfRule>
  </conditionalFormatting>
  <conditionalFormatting sqref="M85:R85">
    <cfRule type="cellIs" dxfId="945" priority="953" operator="greaterThan">
      <formula>0</formula>
    </cfRule>
  </conditionalFormatting>
  <conditionalFormatting sqref="M87:R87">
    <cfRule type="cellIs" dxfId="944" priority="952" operator="greaterThan">
      <formula>0</formula>
    </cfRule>
  </conditionalFormatting>
  <conditionalFormatting sqref="M82:R84">
    <cfRule type="cellIs" dxfId="943" priority="954" operator="greaterThan">
      <formula>0</formula>
    </cfRule>
  </conditionalFormatting>
  <conditionalFormatting sqref="M86:R86">
    <cfRule type="cellIs" dxfId="942" priority="956" operator="greaterThan">
      <formula>0</formula>
    </cfRule>
  </conditionalFormatting>
  <conditionalFormatting sqref="M81:R81">
    <cfRule type="cellIs" dxfId="941" priority="955" operator="greaterThan">
      <formula>0</formula>
    </cfRule>
  </conditionalFormatting>
  <conditionalFormatting sqref="M92:R92">
    <cfRule type="cellIs" dxfId="940" priority="950" operator="greaterThan">
      <formula>0</formula>
    </cfRule>
  </conditionalFormatting>
  <conditionalFormatting sqref="M93:R93">
    <cfRule type="cellIs" dxfId="939" priority="949" operator="greaterThan">
      <formula>0</formula>
    </cfRule>
  </conditionalFormatting>
  <conditionalFormatting sqref="M88:R88">
    <cfRule type="cellIs" dxfId="938" priority="951" operator="greaterThan">
      <formula>0</formula>
    </cfRule>
  </conditionalFormatting>
  <conditionalFormatting sqref="M99:R101">
    <cfRule type="cellIs" dxfId="937" priority="945" operator="greaterThan">
      <formula>0</formula>
    </cfRule>
  </conditionalFormatting>
  <conditionalFormatting sqref="M95:R96">
    <cfRule type="cellIs" dxfId="936" priority="948" operator="greaterThan">
      <formula>0</formula>
    </cfRule>
  </conditionalFormatting>
  <conditionalFormatting sqref="M97:R97">
    <cfRule type="cellIs" dxfId="935" priority="946" operator="greaterThan">
      <formula>0</formula>
    </cfRule>
  </conditionalFormatting>
  <conditionalFormatting sqref="M98:R98">
    <cfRule type="cellIs" dxfId="934" priority="944" operator="greaterThan">
      <formula>0</formula>
    </cfRule>
  </conditionalFormatting>
  <conditionalFormatting sqref="M94:R94">
    <cfRule type="cellIs" dxfId="933" priority="947" operator="greaterThan">
      <formula>0</formula>
    </cfRule>
  </conditionalFormatting>
  <conditionalFormatting sqref="M106:R107">
    <cfRule type="cellIs" dxfId="932" priority="943" operator="greaterThan">
      <formula>0</formula>
    </cfRule>
  </conditionalFormatting>
  <conditionalFormatting sqref="M108:R108">
    <cfRule type="cellIs" dxfId="931" priority="942" operator="greaterThan">
      <formula>0</formula>
    </cfRule>
  </conditionalFormatting>
  <conditionalFormatting sqref="M103:R103">
    <cfRule type="cellIs" dxfId="930" priority="941" operator="greaterThan">
      <formula>0</formula>
    </cfRule>
  </conditionalFormatting>
  <conditionalFormatting sqref="M109:R110">
    <cfRule type="cellIs" dxfId="929" priority="940" operator="greaterThan">
      <formula>0</formula>
    </cfRule>
  </conditionalFormatting>
  <conditionalFormatting sqref="M112:R113">
    <cfRule type="cellIs" dxfId="928" priority="939" operator="greaterThan">
      <formula>0</formula>
    </cfRule>
  </conditionalFormatting>
  <conditionalFormatting sqref="M115:R115">
    <cfRule type="cellIs" dxfId="927" priority="936" operator="greaterThan">
      <formula>0</formula>
    </cfRule>
  </conditionalFormatting>
  <conditionalFormatting sqref="M116:R116">
    <cfRule type="cellIs" dxfId="926" priority="938" operator="greaterThan">
      <formula>0</formula>
    </cfRule>
  </conditionalFormatting>
  <conditionalFormatting sqref="M111:R111">
    <cfRule type="cellIs" dxfId="925" priority="937" operator="greaterThan">
      <formula>0</formula>
    </cfRule>
  </conditionalFormatting>
  <conditionalFormatting sqref="M114:R114">
    <cfRule type="cellIs" dxfId="924" priority="935" operator="greaterThan">
      <formula>0</formula>
    </cfRule>
  </conditionalFormatting>
  <conditionalFormatting sqref="M118:R120">
    <cfRule type="cellIs" dxfId="923" priority="934" operator="greaterThan">
      <formula>0</formula>
    </cfRule>
  </conditionalFormatting>
  <conditionalFormatting sqref="M121:R121">
    <cfRule type="cellIs" dxfId="922" priority="931" operator="greaterThan">
      <formula>0</formula>
    </cfRule>
  </conditionalFormatting>
  <conditionalFormatting sqref="M122:R122">
    <cfRule type="cellIs" dxfId="921" priority="933" operator="greaterThan">
      <formula>0</formula>
    </cfRule>
  </conditionalFormatting>
  <conditionalFormatting sqref="M117:R117">
    <cfRule type="cellIs" dxfId="920" priority="932" operator="greaterThan">
      <formula>0</formula>
    </cfRule>
  </conditionalFormatting>
  <conditionalFormatting sqref="M128:R128">
    <cfRule type="cellIs" dxfId="919" priority="928" operator="greaterThan">
      <formula>0</formula>
    </cfRule>
  </conditionalFormatting>
  <conditionalFormatting sqref="M129:R129">
    <cfRule type="cellIs" dxfId="918" priority="930" operator="greaterThan">
      <formula>0</formula>
    </cfRule>
  </conditionalFormatting>
  <conditionalFormatting sqref="M123:R123">
    <cfRule type="cellIs" dxfId="917" priority="929" operator="greaterThan">
      <formula>0</formula>
    </cfRule>
  </conditionalFormatting>
  <conditionalFormatting sqref="M126:R127">
    <cfRule type="cellIs" dxfId="916" priority="927" operator="greaterThan">
      <formula>0</formula>
    </cfRule>
  </conditionalFormatting>
  <conditionalFormatting sqref="M133:R133">
    <cfRule type="cellIs" dxfId="915" priority="925" operator="greaterThan">
      <formula>0</formula>
    </cfRule>
  </conditionalFormatting>
  <conditionalFormatting sqref="M130:R130">
    <cfRule type="cellIs" dxfId="914" priority="926" operator="greaterThan">
      <formula>0</formula>
    </cfRule>
  </conditionalFormatting>
  <conditionalFormatting sqref="M143:R144">
    <cfRule type="cellIs" dxfId="913" priority="924" operator="greaterThan">
      <formula>0</formula>
    </cfRule>
  </conditionalFormatting>
  <conditionalFormatting sqref="M142:R142">
    <cfRule type="cellIs" dxfId="912" priority="923" operator="greaterThan">
      <formula>0</formula>
    </cfRule>
  </conditionalFormatting>
  <conditionalFormatting sqref="M145:R145">
    <cfRule type="cellIs" dxfId="911" priority="922" operator="greaterThan">
      <formula>0</formula>
    </cfRule>
  </conditionalFormatting>
  <conditionalFormatting sqref="M146:R146">
    <cfRule type="cellIs" dxfId="910" priority="919" operator="greaterThan">
      <formula>0</formula>
    </cfRule>
  </conditionalFormatting>
  <conditionalFormatting sqref="M151:R152">
    <cfRule type="cellIs" dxfId="909" priority="921" operator="greaterThan">
      <formula>0</formula>
    </cfRule>
  </conditionalFormatting>
  <conditionalFormatting sqref="M147:R148">
    <cfRule type="cellIs" dxfId="908" priority="920" operator="greaterThan">
      <formula>0</formula>
    </cfRule>
  </conditionalFormatting>
  <conditionalFormatting sqref="M149:R150">
    <cfRule type="cellIs" dxfId="907" priority="918" operator="greaterThan">
      <formula>0</formula>
    </cfRule>
  </conditionalFormatting>
  <conditionalFormatting sqref="M153:R153">
    <cfRule type="cellIs" dxfId="906" priority="915" operator="greaterThan">
      <formula>0</formula>
    </cfRule>
  </conditionalFormatting>
  <conditionalFormatting sqref="M161:R162">
    <cfRule type="cellIs" dxfId="905" priority="917" operator="greaterThan">
      <formula>0</formula>
    </cfRule>
  </conditionalFormatting>
  <conditionalFormatting sqref="M154:R155">
    <cfRule type="cellIs" dxfId="904" priority="916" operator="greaterThan">
      <formula>0</formula>
    </cfRule>
  </conditionalFormatting>
  <conditionalFormatting sqref="M164:R164">
    <cfRule type="cellIs" dxfId="903" priority="909" operator="greaterThan">
      <formula>0</formula>
    </cfRule>
  </conditionalFormatting>
  <conditionalFormatting sqref="M156:R159">
    <cfRule type="cellIs" dxfId="902" priority="914" operator="greaterThan">
      <formula>0</formula>
    </cfRule>
  </conditionalFormatting>
  <conditionalFormatting sqref="M160:R160">
    <cfRule type="cellIs" dxfId="901" priority="913" operator="greaterThan">
      <formula>0</formula>
    </cfRule>
  </conditionalFormatting>
  <conditionalFormatting sqref="M173:R173">
    <cfRule type="cellIs" dxfId="900" priority="912" operator="greaterThan">
      <formula>0</formula>
    </cfRule>
  </conditionalFormatting>
  <conditionalFormatting sqref="M174:R174">
    <cfRule type="cellIs" dxfId="899" priority="905" operator="greaterThan">
      <formula>0</formula>
    </cfRule>
  </conditionalFormatting>
  <conditionalFormatting sqref="M170:R171">
    <cfRule type="cellIs" dxfId="898" priority="911" operator="greaterThan">
      <formula>0</formula>
    </cfRule>
  </conditionalFormatting>
  <conditionalFormatting sqref="M165:R169">
    <cfRule type="cellIs" dxfId="897" priority="910" operator="greaterThan">
      <formula>0</formula>
    </cfRule>
  </conditionalFormatting>
  <conditionalFormatting sqref="M178:R180">
    <cfRule type="cellIs" dxfId="896" priority="904" operator="greaterThan">
      <formula>0</formula>
    </cfRule>
  </conditionalFormatting>
  <conditionalFormatting sqref="M172:R172">
    <cfRule type="cellIs" dxfId="895" priority="908" operator="greaterThan">
      <formula>0</formula>
    </cfRule>
  </conditionalFormatting>
  <conditionalFormatting sqref="M185:R185">
    <cfRule type="cellIs" dxfId="894" priority="901" operator="greaterThan">
      <formula>0</formula>
    </cfRule>
  </conditionalFormatting>
  <conditionalFormatting sqref="M186:R189">
    <cfRule type="cellIs" dxfId="893" priority="902" operator="greaterThan">
      <formula>0</formula>
    </cfRule>
  </conditionalFormatting>
  <conditionalFormatting sqref="M181:R182">
    <cfRule type="cellIs" dxfId="892" priority="907" operator="greaterThan">
      <formula>0</formula>
    </cfRule>
  </conditionalFormatting>
  <conditionalFormatting sqref="M175:R177">
    <cfRule type="cellIs" dxfId="891" priority="906" operator="greaterThan">
      <formula>0</formula>
    </cfRule>
  </conditionalFormatting>
  <conditionalFormatting sqref="M193:R193">
    <cfRule type="cellIs" dxfId="890" priority="899" operator="greaterThan">
      <formula>0</formula>
    </cfRule>
  </conditionalFormatting>
  <conditionalFormatting sqref="M190:R192">
    <cfRule type="cellIs" dxfId="889" priority="903" operator="greaterThan">
      <formula>0</formula>
    </cfRule>
  </conditionalFormatting>
  <conditionalFormatting sqref="M207:R207">
    <cfRule type="cellIs" dxfId="888" priority="896" operator="greaterThan">
      <formula>0</formula>
    </cfRule>
  </conditionalFormatting>
  <conditionalFormatting sqref="M196:R198">
    <cfRule type="cellIs" dxfId="887" priority="900" operator="greaterThan">
      <formula>0</formula>
    </cfRule>
  </conditionalFormatting>
  <conditionalFormatting sqref="M208:R212">
    <cfRule type="cellIs" dxfId="886" priority="897" operator="greaterThan">
      <formula>0</formula>
    </cfRule>
  </conditionalFormatting>
  <conditionalFormatting sqref="M217:R217">
    <cfRule type="cellIs" dxfId="885" priority="892" operator="greaterThan">
      <formula>0</formula>
    </cfRule>
  </conditionalFormatting>
  <conditionalFormatting sqref="M213:R213">
    <cfRule type="cellIs" dxfId="884" priority="898" operator="greaterThan">
      <formula>0</formula>
    </cfRule>
  </conditionalFormatting>
  <conditionalFormatting sqref="M218:R219">
    <cfRule type="cellIs" dxfId="883" priority="893" operator="greaterThan">
      <formula>0</formula>
    </cfRule>
  </conditionalFormatting>
  <conditionalFormatting sqref="M220:R220">
    <cfRule type="cellIs" dxfId="882" priority="894" operator="greaterThan">
      <formula>0</formula>
    </cfRule>
  </conditionalFormatting>
  <conditionalFormatting sqref="M221:R221">
    <cfRule type="cellIs" dxfId="881" priority="895" operator="greaterThan">
      <formula>0</formula>
    </cfRule>
  </conditionalFormatting>
  <conditionalFormatting sqref="M222:R222">
    <cfRule type="cellIs" dxfId="880" priority="888" operator="greaterThan">
      <formula>0</formula>
    </cfRule>
  </conditionalFormatting>
  <conditionalFormatting sqref="M223:R224">
    <cfRule type="cellIs" dxfId="879" priority="889" operator="greaterThan">
      <formula>0</formula>
    </cfRule>
  </conditionalFormatting>
  <conditionalFormatting sqref="M225:R226">
    <cfRule type="cellIs" dxfId="878" priority="890" operator="greaterThan">
      <formula>0</formula>
    </cfRule>
  </conditionalFormatting>
  <conditionalFormatting sqref="M227:R227">
    <cfRule type="cellIs" dxfId="877" priority="891" operator="greaterThan">
      <formula>0</formula>
    </cfRule>
  </conditionalFormatting>
  <conditionalFormatting sqref="M233:R233">
    <cfRule type="cellIs" dxfId="876" priority="887" operator="greaterThan">
      <formula>0</formula>
    </cfRule>
  </conditionalFormatting>
  <conditionalFormatting sqref="M228:R228">
    <cfRule type="cellIs" dxfId="875" priority="883" operator="greaterThan">
      <formula>0</formula>
    </cfRule>
  </conditionalFormatting>
  <conditionalFormatting sqref="M229:R232">
    <cfRule type="cellIs" dxfId="874" priority="884" operator="greaterThan">
      <formula>0</formula>
    </cfRule>
  </conditionalFormatting>
  <conditionalFormatting sqref="M234:R234">
    <cfRule type="cellIs" dxfId="873" priority="885" operator="greaterThan">
      <formula>0</formula>
    </cfRule>
  </conditionalFormatting>
  <conditionalFormatting sqref="M235:R236">
    <cfRule type="cellIs" dxfId="872" priority="886" operator="greaterThan">
      <formula>0</formula>
    </cfRule>
  </conditionalFormatting>
  <conditionalFormatting sqref="M242:R243">
    <cfRule type="cellIs" dxfId="871" priority="882" operator="greaterThan">
      <formula>0</formula>
    </cfRule>
  </conditionalFormatting>
  <conditionalFormatting sqref="M237:R237">
    <cfRule type="cellIs" dxfId="870" priority="879" operator="greaterThan">
      <formula>0</formula>
    </cfRule>
  </conditionalFormatting>
  <conditionalFormatting sqref="M238:R240">
    <cfRule type="cellIs" dxfId="869" priority="880" operator="greaterThan">
      <formula>0</formula>
    </cfRule>
  </conditionalFormatting>
  <conditionalFormatting sqref="M241:R241">
    <cfRule type="cellIs" dxfId="868" priority="881" operator="greaterThan">
      <formula>0</formula>
    </cfRule>
  </conditionalFormatting>
  <conditionalFormatting sqref="M251:R251">
    <cfRule type="cellIs" dxfId="867" priority="878" operator="greaterThan">
      <formula>0</formula>
    </cfRule>
  </conditionalFormatting>
  <conditionalFormatting sqref="M256:R257">
    <cfRule type="cellIs" dxfId="866" priority="874" operator="greaterThan">
      <formula>0</formula>
    </cfRule>
  </conditionalFormatting>
  <conditionalFormatting sqref="M244:R244">
    <cfRule type="cellIs" dxfId="865" priority="875" operator="greaterThan">
      <formula>0</formula>
    </cfRule>
  </conditionalFormatting>
  <conditionalFormatting sqref="M245:R247">
    <cfRule type="cellIs" dxfId="864" priority="876" operator="greaterThan">
      <formula>0</formula>
    </cfRule>
  </conditionalFormatting>
  <conditionalFormatting sqref="M248:R250">
    <cfRule type="cellIs" dxfId="863" priority="877" operator="greaterThan">
      <formula>0</formula>
    </cfRule>
  </conditionalFormatting>
  <conditionalFormatting sqref="M252:R252">
    <cfRule type="cellIs" dxfId="862" priority="872" operator="greaterThan">
      <formula>0</formula>
    </cfRule>
  </conditionalFormatting>
  <conditionalFormatting sqref="M253:R255">
    <cfRule type="cellIs" dxfId="861" priority="873" operator="greaterThan">
      <formula>0</formula>
    </cfRule>
  </conditionalFormatting>
  <conditionalFormatting sqref="M266:R268">
    <cfRule type="cellIs" dxfId="860" priority="868" operator="greaterThan">
      <formula>0</formula>
    </cfRule>
  </conditionalFormatting>
  <conditionalFormatting sqref="M258:R259">
    <cfRule type="cellIs" dxfId="859" priority="871" operator="greaterThan">
      <formula>0</formula>
    </cfRule>
  </conditionalFormatting>
  <conditionalFormatting sqref="M290:R291">
    <cfRule type="cellIs" dxfId="858" priority="858" operator="greaterThan">
      <formula>0</formula>
    </cfRule>
  </conditionalFormatting>
  <conditionalFormatting sqref="M269:R269">
    <cfRule type="cellIs" dxfId="857" priority="869" operator="greaterThan">
      <formula>0</formula>
    </cfRule>
  </conditionalFormatting>
  <conditionalFormatting sqref="M265:R265">
    <cfRule type="cellIs" dxfId="856" priority="867" operator="greaterThan">
      <formula>0</formula>
    </cfRule>
  </conditionalFormatting>
  <conditionalFormatting sqref="M270:R270">
    <cfRule type="cellIs" dxfId="855" priority="870" operator="greaterThan">
      <formula>0</formula>
    </cfRule>
  </conditionalFormatting>
  <conditionalFormatting sqref="M271:R271">
    <cfRule type="cellIs" dxfId="854" priority="865" operator="greaterThan">
      <formula>0</formula>
    </cfRule>
  </conditionalFormatting>
  <conditionalFormatting sqref="M272:R272">
    <cfRule type="cellIs" dxfId="853" priority="866" operator="greaterThan">
      <formula>0</formula>
    </cfRule>
  </conditionalFormatting>
  <conditionalFormatting sqref="M273:R273">
    <cfRule type="cellIs" dxfId="852" priority="862" operator="greaterThan">
      <formula>0</formula>
    </cfRule>
  </conditionalFormatting>
  <conditionalFormatting sqref="M283:R283">
    <cfRule type="cellIs" dxfId="851" priority="859" operator="greaterThan">
      <formula>0</formula>
    </cfRule>
  </conditionalFormatting>
  <conditionalFormatting sqref="M279:R279">
    <cfRule type="cellIs" dxfId="850" priority="863" operator="greaterThan">
      <formula>0</formula>
    </cfRule>
  </conditionalFormatting>
  <conditionalFormatting sqref="M280:R280">
    <cfRule type="cellIs" dxfId="849" priority="864" operator="greaterThan">
      <formula>0</formula>
    </cfRule>
  </conditionalFormatting>
  <conditionalFormatting sqref="M284:R285">
    <cfRule type="cellIs" dxfId="848" priority="861" operator="greaterThan">
      <formula>0</formula>
    </cfRule>
  </conditionalFormatting>
  <conditionalFormatting sqref="M286:R286 M288:R288">
    <cfRule type="cellIs" dxfId="847" priority="860" operator="greaterThan">
      <formula>0</formula>
    </cfRule>
  </conditionalFormatting>
  <conditionalFormatting sqref="M292:R292">
    <cfRule type="cellIs" dxfId="846" priority="857" operator="greaterThan">
      <formula>0</formula>
    </cfRule>
  </conditionalFormatting>
  <conditionalFormatting sqref="M289:R289">
    <cfRule type="cellIs" dxfId="845" priority="856" operator="greaterThan">
      <formula>0</formula>
    </cfRule>
  </conditionalFormatting>
  <conditionalFormatting sqref="M294:R294">
    <cfRule type="cellIs" dxfId="844" priority="853" operator="greaterThan">
      <formula>0</formula>
    </cfRule>
  </conditionalFormatting>
  <conditionalFormatting sqref="M295:R296 M298:R299">
    <cfRule type="cellIs" dxfId="843" priority="855" operator="greaterThan">
      <formula>0</formula>
    </cfRule>
  </conditionalFormatting>
  <conditionalFormatting sqref="M300:R301">
    <cfRule type="cellIs" dxfId="842" priority="854" operator="greaterThan">
      <formula>0</formula>
    </cfRule>
  </conditionalFormatting>
  <conditionalFormatting sqref="M297:R297">
    <cfRule type="cellIs" dxfId="841" priority="852" operator="greaterThan">
      <formula>0</formula>
    </cfRule>
  </conditionalFormatting>
  <conditionalFormatting sqref="M310:R310">
    <cfRule type="cellIs" dxfId="840" priority="845" operator="greaterThan">
      <formula>0</formula>
    </cfRule>
  </conditionalFormatting>
  <conditionalFormatting sqref="M308:R309">
    <cfRule type="cellIs" dxfId="839" priority="851" operator="greaterThan">
      <formula>0</formula>
    </cfRule>
  </conditionalFormatting>
  <conditionalFormatting sqref="M303:R303">
    <cfRule type="cellIs" dxfId="838" priority="848" operator="greaterThan">
      <formula>0</formula>
    </cfRule>
  </conditionalFormatting>
  <conditionalFormatting sqref="M304:R306">
    <cfRule type="cellIs" dxfId="837" priority="850" operator="greaterThan">
      <formula>0</formula>
    </cfRule>
  </conditionalFormatting>
  <conditionalFormatting sqref="M307:R307">
    <cfRule type="cellIs" dxfId="836" priority="849" operator="greaterThan">
      <formula>0</formula>
    </cfRule>
  </conditionalFormatting>
  <conditionalFormatting sqref="M315:R315">
    <cfRule type="cellIs" dxfId="835" priority="841" operator="greaterThan">
      <formula>0</formula>
    </cfRule>
  </conditionalFormatting>
  <conditionalFormatting sqref="M322:R322">
    <cfRule type="cellIs" dxfId="834" priority="837" operator="greaterThan">
      <formula>0</formula>
    </cfRule>
  </conditionalFormatting>
  <conditionalFormatting sqref="M311:R312">
    <cfRule type="cellIs" dxfId="833" priority="847" operator="greaterThan">
      <formula>0</formula>
    </cfRule>
  </conditionalFormatting>
  <conditionalFormatting sqref="M313:R314">
    <cfRule type="cellIs" dxfId="832" priority="846" operator="greaterThan">
      <formula>0</formula>
    </cfRule>
  </conditionalFormatting>
  <conditionalFormatting sqref="M327:R327">
    <cfRule type="cellIs" dxfId="831" priority="833" operator="greaterThan">
      <formula>0</formula>
    </cfRule>
  </conditionalFormatting>
  <conditionalFormatting sqref="M321:R321">
    <cfRule type="cellIs" dxfId="830" priority="844" operator="greaterThan">
      <formula>0</formula>
    </cfRule>
  </conditionalFormatting>
  <conditionalFormatting sqref="M316:R319">
    <cfRule type="cellIs" dxfId="829" priority="843" operator="greaterThan">
      <formula>0</formula>
    </cfRule>
  </conditionalFormatting>
  <conditionalFormatting sqref="M320:R320">
    <cfRule type="cellIs" dxfId="828" priority="842" operator="greaterThan">
      <formula>0</formula>
    </cfRule>
  </conditionalFormatting>
  <conditionalFormatting sqref="M332:R332">
    <cfRule type="cellIs" dxfId="827" priority="829" operator="greaterThan">
      <formula>0</formula>
    </cfRule>
  </conditionalFormatting>
  <conditionalFormatting sqref="M326:R326">
    <cfRule type="cellIs" dxfId="826" priority="840" operator="greaterThan">
      <formula>0</formula>
    </cfRule>
  </conditionalFormatting>
  <conditionalFormatting sqref="M323:R324">
    <cfRule type="cellIs" dxfId="825" priority="839" operator="greaterThan">
      <formula>0</formula>
    </cfRule>
  </conditionalFormatting>
  <conditionalFormatting sqref="M325:R325">
    <cfRule type="cellIs" dxfId="824" priority="838" operator="greaterThan">
      <formula>0</formula>
    </cfRule>
  </conditionalFormatting>
  <conditionalFormatting sqref="M337:R337">
    <cfRule type="cellIs" dxfId="823" priority="826" operator="greaterThan">
      <formula>0</formula>
    </cfRule>
  </conditionalFormatting>
  <conditionalFormatting sqref="M331:R331">
    <cfRule type="cellIs" dxfId="822" priority="836" operator="greaterThan">
      <formula>0</formula>
    </cfRule>
  </conditionalFormatting>
  <conditionalFormatting sqref="M328:R329">
    <cfRule type="cellIs" dxfId="821" priority="835" operator="greaterThan">
      <formula>0</formula>
    </cfRule>
  </conditionalFormatting>
  <conditionalFormatting sqref="M330:R330">
    <cfRule type="cellIs" dxfId="820" priority="834" operator="greaterThan">
      <formula>0</formula>
    </cfRule>
  </conditionalFormatting>
  <conditionalFormatting sqref="M343:R343">
    <cfRule type="cellIs" dxfId="819" priority="823" operator="greaterThan">
      <formula>0</formula>
    </cfRule>
  </conditionalFormatting>
  <conditionalFormatting sqref="M336:R336">
    <cfRule type="cellIs" dxfId="818" priority="832" operator="greaterThan">
      <formula>0</formula>
    </cfRule>
  </conditionalFormatting>
  <conditionalFormatting sqref="M333:R334">
    <cfRule type="cellIs" dxfId="817" priority="831" operator="greaterThan">
      <formula>0</formula>
    </cfRule>
  </conditionalFormatting>
  <conditionalFormatting sqref="M335:R335">
    <cfRule type="cellIs" dxfId="816" priority="830" operator="greaterThan">
      <formula>0</formula>
    </cfRule>
  </conditionalFormatting>
  <conditionalFormatting sqref="M344:R345">
    <cfRule type="cellIs" dxfId="815" priority="825" operator="greaterThan">
      <formula>0</formula>
    </cfRule>
  </conditionalFormatting>
  <conditionalFormatting sqref="M338:R339">
    <cfRule type="cellIs" dxfId="814" priority="828" operator="greaterThan">
      <formula>0</formula>
    </cfRule>
  </conditionalFormatting>
  <conditionalFormatting sqref="M341:R342">
    <cfRule type="cellIs" dxfId="813" priority="827" operator="greaterThan">
      <formula>0</formula>
    </cfRule>
  </conditionalFormatting>
  <conditionalFormatting sqref="M348:R348">
    <cfRule type="cellIs" dxfId="812" priority="820" operator="greaterThan">
      <formula>0</formula>
    </cfRule>
  </conditionalFormatting>
  <conditionalFormatting sqref="M362:R363">
    <cfRule type="cellIs" dxfId="811" priority="816" operator="greaterThan">
      <formula>0</formula>
    </cfRule>
  </conditionalFormatting>
  <conditionalFormatting sqref="M346:R347">
    <cfRule type="cellIs" dxfId="810" priority="824" operator="greaterThan">
      <formula>0</formula>
    </cfRule>
  </conditionalFormatting>
  <conditionalFormatting sqref="M375:R375 M397:R397 M487:R487 N423:R423 M620:R620 N592:R592 M623:R623 M644:R644 M950:R950 O1065:R1065 N1066:R1066 N1068:R1068 M510:R516 O621:R622">
    <cfRule type="cellIs" dxfId="809" priority="817" operator="greaterThan">
      <formula>0</formula>
    </cfRule>
  </conditionalFormatting>
  <conditionalFormatting sqref="M349:R350">
    <cfRule type="cellIs" dxfId="808" priority="822" operator="greaterThan">
      <formula>0</formula>
    </cfRule>
  </conditionalFormatting>
  <conditionalFormatting sqref="M351:R353">
    <cfRule type="cellIs" dxfId="807" priority="821" operator="greaterThan">
      <formula>0</formula>
    </cfRule>
  </conditionalFormatting>
  <conditionalFormatting sqref="M355:R356">
    <cfRule type="cellIs" dxfId="806" priority="819" operator="greaterThan">
      <formula>0</formula>
    </cfRule>
  </conditionalFormatting>
  <conditionalFormatting sqref="M357:R358">
    <cfRule type="cellIs" dxfId="805" priority="818" operator="greaterThan">
      <formula>0</formula>
    </cfRule>
  </conditionalFormatting>
  <conditionalFormatting sqref="M359:R359">
    <cfRule type="cellIs" dxfId="804" priority="815" operator="greaterThan">
      <formula>0</formula>
    </cfRule>
  </conditionalFormatting>
  <conditionalFormatting sqref="M373:R373">
    <cfRule type="cellIs" dxfId="803" priority="814" operator="greaterThan">
      <formula>0</formula>
    </cfRule>
  </conditionalFormatting>
  <conditionalFormatting sqref="M369:R369">
    <cfRule type="cellIs" dxfId="802" priority="813" operator="greaterThan">
      <formula>0</formula>
    </cfRule>
  </conditionalFormatting>
  <conditionalFormatting sqref="M374:R374">
    <cfRule type="cellIs" dxfId="801" priority="812" operator="greaterThan">
      <formula>0</formula>
    </cfRule>
  </conditionalFormatting>
  <conditionalFormatting sqref="M376:R382 M384:R384">
    <cfRule type="cellIs" dxfId="800" priority="811" operator="greaterThan">
      <formula>0</formula>
    </cfRule>
  </conditionalFormatting>
  <conditionalFormatting sqref="M385:R389 M392:R392">
    <cfRule type="cellIs" dxfId="799" priority="804" operator="greaterThan">
      <formula>0</formula>
    </cfRule>
  </conditionalFormatting>
  <conditionalFormatting sqref="M386:R387">
    <cfRule type="cellIs" dxfId="798" priority="807" operator="greaterThan">
      <formula>0</formula>
    </cfRule>
  </conditionalFormatting>
  <conditionalFormatting sqref="M380:R381">
    <cfRule type="cellIs" dxfId="797" priority="810" operator="greaterThan">
      <formula>0</formula>
    </cfRule>
  </conditionalFormatting>
  <conditionalFormatting sqref="M376:R376">
    <cfRule type="cellIs" dxfId="796" priority="809" operator="greaterThan">
      <formula>0</formula>
    </cfRule>
  </conditionalFormatting>
  <conditionalFormatting sqref="M382:R382 M384:R384">
    <cfRule type="cellIs" dxfId="795" priority="808" operator="greaterThan">
      <formula>0</formula>
    </cfRule>
  </conditionalFormatting>
  <conditionalFormatting sqref="M402:R403">
    <cfRule type="cellIs" dxfId="794" priority="798" operator="greaterThan">
      <formula>0</formula>
    </cfRule>
  </conditionalFormatting>
  <conditionalFormatting sqref="M385:R385">
    <cfRule type="cellIs" dxfId="793" priority="805" operator="greaterThan">
      <formula>0</formula>
    </cfRule>
  </conditionalFormatting>
  <conditionalFormatting sqref="M394:R395">
    <cfRule type="cellIs" dxfId="792" priority="803" operator="greaterThan">
      <formula>0</formula>
    </cfRule>
  </conditionalFormatting>
  <conditionalFormatting sqref="M388:R389 M392:R392">
    <cfRule type="cellIs" dxfId="791" priority="806" operator="greaterThan">
      <formula>0</formula>
    </cfRule>
  </conditionalFormatting>
  <conditionalFormatting sqref="M408:R408">
    <cfRule type="cellIs" dxfId="790" priority="792" operator="greaterThan">
      <formula>0</formula>
    </cfRule>
  </conditionalFormatting>
  <conditionalFormatting sqref="M399:R400">
    <cfRule type="cellIs" dxfId="789" priority="797" operator="greaterThan">
      <formula>0</formula>
    </cfRule>
  </conditionalFormatting>
  <conditionalFormatting sqref="M393:R393">
    <cfRule type="cellIs" dxfId="788" priority="801" operator="greaterThan">
      <formula>0</formula>
    </cfRule>
  </conditionalFormatting>
  <conditionalFormatting sqref="M396:R396">
    <cfRule type="cellIs" dxfId="787" priority="802" operator="greaterThan">
      <formula>0</formula>
    </cfRule>
  </conditionalFormatting>
  <conditionalFormatting sqref="M393:R396">
    <cfRule type="cellIs" dxfId="786" priority="800" operator="greaterThan">
      <formula>0</formula>
    </cfRule>
  </conditionalFormatting>
  <conditionalFormatting sqref="M402:R403">
    <cfRule type="cellIs" dxfId="785" priority="799" operator="greaterThan">
      <formula>0</formula>
    </cfRule>
  </conditionalFormatting>
  <conditionalFormatting sqref="M405:R406">
    <cfRule type="cellIs" dxfId="784" priority="791" operator="greaterThan">
      <formula>0</formula>
    </cfRule>
  </conditionalFormatting>
  <conditionalFormatting sqref="M398:R398">
    <cfRule type="cellIs" dxfId="783" priority="795" operator="greaterThan">
      <formula>0</formula>
    </cfRule>
  </conditionalFormatting>
  <conditionalFormatting sqref="M401:R401">
    <cfRule type="cellIs" dxfId="782" priority="796" operator="greaterThan">
      <formula>0</formula>
    </cfRule>
  </conditionalFormatting>
  <conditionalFormatting sqref="M398:R401">
    <cfRule type="cellIs" dxfId="781" priority="794" operator="greaterThan">
      <formula>0</formula>
    </cfRule>
  </conditionalFormatting>
  <conditionalFormatting sqref="M415:R415">
    <cfRule type="cellIs" dxfId="780" priority="786" operator="greaterThan">
      <formula>0</formula>
    </cfRule>
  </conditionalFormatting>
  <conditionalFormatting sqref="M408:R408">
    <cfRule type="cellIs" dxfId="779" priority="793" operator="greaterThan">
      <formula>0</formula>
    </cfRule>
  </conditionalFormatting>
  <conditionalFormatting sqref="M404:R404">
    <cfRule type="cellIs" dxfId="778" priority="789" operator="greaterThan">
      <formula>0</formula>
    </cfRule>
  </conditionalFormatting>
  <conditionalFormatting sqref="M407:R407">
    <cfRule type="cellIs" dxfId="777" priority="790" operator="greaterThan">
      <formula>0</formula>
    </cfRule>
  </conditionalFormatting>
  <conditionalFormatting sqref="M404:R407">
    <cfRule type="cellIs" dxfId="776" priority="788" operator="greaterThan">
      <formula>0</formula>
    </cfRule>
  </conditionalFormatting>
  <conditionalFormatting sqref="M418:R420">
    <cfRule type="cellIs" dxfId="775" priority="781" operator="greaterThan">
      <formula>0</formula>
    </cfRule>
  </conditionalFormatting>
  <conditionalFormatting sqref="M415:R415">
    <cfRule type="cellIs" dxfId="774" priority="787" operator="greaterThan">
      <formula>0</formula>
    </cfRule>
  </conditionalFormatting>
  <conditionalFormatting sqref="M411:R411">
    <cfRule type="cellIs" dxfId="773" priority="784" operator="greaterThan">
      <formula>0</formula>
    </cfRule>
  </conditionalFormatting>
  <conditionalFormatting sqref="M414:R414">
    <cfRule type="cellIs" dxfId="772" priority="785" operator="greaterThan">
      <formula>0</formula>
    </cfRule>
  </conditionalFormatting>
  <conditionalFormatting sqref="M428:R428">
    <cfRule type="cellIs" dxfId="771" priority="776" operator="greaterThan">
      <formula>0</formula>
    </cfRule>
  </conditionalFormatting>
  <conditionalFormatting sqref="M421:R422 M423">
    <cfRule type="cellIs" dxfId="770" priority="780" operator="greaterThan">
      <formula>0</formula>
    </cfRule>
  </conditionalFormatting>
  <conditionalFormatting sqref="M425:R426">
    <cfRule type="cellIs" dxfId="769" priority="775" operator="greaterThan">
      <formula>0</formula>
    </cfRule>
  </conditionalFormatting>
  <conditionalFormatting sqref="M427:R427">
    <cfRule type="cellIs" dxfId="768" priority="774" operator="greaterThan">
      <formula>0</formula>
    </cfRule>
  </conditionalFormatting>
  <conditionalFormatting sqref="M416:R416">
    <cfRule type="cellIs" dxfId="767" priority="782" operator="greaterThan">
      <formula>0</formula>
    </cfRule>
  </conditionalFormatting>
  <conditionalFormatting sqref="M435:R436">
    <cfRule type="cellIs" dxfId="766" priority="766" operator="greaterThan">
      <formula>0</formula>
    </cfRule>
  </conditionalFormatting>
  <conditionalFormatting sqref="M416:R416">
    <cfRule type="cellIs" dxfId="765" priority="783" operator="greaterThan">
      <formula>0</formula>
    </cfRule>
  </conditionalFormatting>
  <conditionalFormatting sqref="M517:R521">
    <cfRule type="cellIs" dxfId="764" priority="763" operator="greaterThan">
      <formula>0</formula>
    </cfRule>
  </conditionalFormatting>
  <conditionalFormatting sqref="M517:R521">
    <cfRule type="cellIs" dxfId="763" priority="764" operator="greaterThan">
      <formula>0</formula>
    </cfRule>
  </conditionalFormatting>
  <conditionalFormatting sqref="M428:R428">
    <cfRule type="cellIs" dxfId="762" priority="777" operator="greaterThan">
      <formula>0</formula>
    </cfRule>
  </conditionalFormatting>
  <conditionalFormatting sqref="M417:R417">
    <cfRule type="cellIs" dxfId="761" priority="779" operator="greaterThan">
      <formula>0</formula>
    </cfRule>
  </conditionalFormatting>
  <conditionalFormatting sqref="M435:R436">
    <cfRule type="cellIs" dxfId="760" priority="765" operator="greaterThan">
      <formula>0</formula>
    </cfRule>
  </conditionalFormatting>
  <conditionalFormatting sqref="M417:R422 M423">
    <cfRule type="cellIs" dxfId="759" priority="778" operator="greaterThan">
      <formula>0</formula>
    </cfRule>
  </conditionalFormatting>
  <conditionalFormatting sqref="M429:R429">
    <cfRule type="cellIs" dxfId="758" priority="767" operator="greaterThan">
      <formula>0</formula>
    </cfRule>
  </conditionalFormatting>
  <conditionalFormatting sqref="M424:R424">
    <cfRule type="cellIs" dxfId="757" priority="773" operator="greaterThan">
      <formula>0</formula>
    </cfRule>
  </conditionalFormatting>
  <conditionalFormatting sqref="M585:R587">
    <cfRule type="cellIs" dxfId="756" priority="761" operator="greaterThan">
      <formula>0</formula>
    </cfRule>
  </conditionalFormatting>
  <conditionalFormatting sqref="M424:R427">
    <cfRule type="cellIs" dxfId="755" priority="772" operator="greaterThan">
      <formula>0</formula>
    </cfRule>
  </conditionalFormatting>
  <conditionalFormatting sqref="M434:R434">
    <cfRule type="cellIs" dxfId="754" priority="770" operator="greaterThan">
      <formula>0</formula>
    </cfRule>
  </conditionalFormatting>
  <conditionalFormatting sqref="M430:R432">
    <cfRule type="cellIs" dxfId="753" priority="769" operator="greaterThan">
      <formula>0</formula>
    </cfRule>
  </conditionalFormatting>
  <conditionalFormatting sqref="M434:R434">
    <cfRule type="cellIs" dxfId="752" priority="771" operator="greaterThan">
      <formula>0</formula>
    </cfRule>
  </conditionalFormatting>
  <conditionalFormatting sqref="M433:R433">
    <cfRule type="cellIs" dxfId="751" priority="768" operator="greaterThan">
      <formula>0</formula>
    </cfRule>
  </conditionalFormatting>
  <conditionalFormatting sqref="M581:R584">
    <cfRule type="cellIs" dxfId="750" priority="760" operator="greaterThan">
      <formula>0</formula>
    </cfRule>
  </conditionalFormatting>
  <conditionalFormatting sqref="M593:R593 M594">
    <cfRule type="cellIs" dxfId="749" priority="754" operator="greaterThan">
      <formula>0</formula>
    </cfRule>
  </conditionalFormatting>
  <conditionalFormatting sqref="M580:R580">
    <cfRule type="cellIs" dxfId="748" priority="762" operator="greaterThan">
      <formula>0</formula>
    </cfRule>
  </conditionalFormatting>
  <conditionalFormatting sqref="M590:R590">
    <cfRule type="cellIs" dxfId="747" priority="758" operator="greaterThan">
      <formula>0</formula>
    </cfRule>
  </conditionalFormatting>
  <conditionalFormatting sqref="M595:R596">
    <cfRule type="cellIs" dxfId="746" priority="751" operator="greaterThan">
      <formula>0</formula>
    </cfRule>
  </conditionalFormatting>
  <conditionalFormatting sqref="M591:R591 M592">
    <cfRule type="cellIs" dxfId="745" priority="759" operator="greaterThan">
      <formula>0</formula>
    </cfRule>
  </conditionalFormatting>
  <conditionalFormatting sqref="N594:R594">
    <cfRule type="cellIs" dxfId="744" priority="756" operator="greaterThan">
      <formula>0</formula>
    </cfRule>
  </conditionalFormatting>
  <conditionalFormatting sqref="M592 M580:R587 M590:R591">
    <cfRule type="cellIs" dxfId="743" priority="757" operator="greaterThan">
      <formula>0</formula>
    </cfRule>
  </conditionalFormatting>
  <conditionalFormatting sqref="N594:R594">
    <cfRule type="cellIs" dxfId="742" priority="755" operator="greaterThan">
      <formula>0</formula>
    </cfRule>
  </conditionalFormatting>
  <conditionalFormatting sqref="M593:R593 M594">
    <cfRule type="cellIs" dxfId="741" priority="753" operator="greaterThan">
      <formula>0</formula>
    </cfRule>
  </conditionalFormatting>
  <conditionalFormatting sqref="M595:R596">
    <cfRule type="cellIs" dxfId="740" priority="752" operator="greaterThan">
      <formula>0</formula>
    </cfRule>
  </conditionalFormatting>
  <conditionalFormatting sqref="N597:R597 N600:R600">
    <cfRule type="cellIs" dxfId="739" priority="749" operator="greaterThan">
      <formula>0</formula>
    </cfRule>
  </conditionalFormatting>
  <conditionalFormatting sqref="M597 M600">
    <cfRule type="cellIs" dxfId="738" priority="748" operator="greaterThan">
      <formula>0</formula>
    </cfRule>
  </conditionalFormatting>
  <conditionalFormatting sqref="N597:R597 N600:R600">
    <cfRule type="cellIs" dxfId="737" priority="750" operator="greaterThan">
      <formula>0</formula>
    </cfRule>
  </conditionalFormatting>
  <conditionalFormatting sqref="M601:R602">
    <cfRule type="cellIs" dxfId="736" priority="746" operator="greaterThan">
      <formula>0</formula>
    </cfRule>
  </conditionalFormatting>
  <conditionalFormatting sqref="M597 M600">
    <cfRule type="cellIs" dxfId="735" priority="747" operator="greaterThan">
      <formula>0</formula>
    </cfRule>
  </conditionalFormatting>
  <conditionalFormatting sqref="M604:R605">
    <cfRule type="cellIs" dxfId="734" priority="745" operator="greaterThan">
      <formula>0</formula>
    </cfRule>
  </conditionalFormatting>
  <conditionalFormatting sqref="M604:R605">
    <cfRule type="cellIs" dxfId="733" priority="744" operator="greaterThan">
      <formula>0</formula>
    </cfRule>
  </conditionalFormatting>
  <conditionalFormatting sqref="N606:R613">
    <cfRule type="cellIs" dxfId="732" priority="742" operator="greaterThan">
      <formula>0</formula>
    </cfRule>
  </conditionalFormatting>
  <conditionalFormatting sqref="M606:M613">
    <cfRule type="cellIs" dxfId="731" priority="741" operator="greaterThan">
      <formula>0</formula>
    </cfRule>
  </conditionalFormatting>
  <conditionalFormatting sqref="N606:R613">
    <cfRule type="cellIs" dxfId="730" priority="743" operator="greaterThan">
      <formula>0</formula>
    </cfRule>
  </conditionalFormatting>
  <conditionalFormatting sqref="M606:M613">
    <cfRule type="cellIs" dxfId="729" priority="740" operator="greaterThan">
      <formula>0</formula>
    </cfRule>
  </conditionalFormatting>
  <conditionalFormatting sqref="M614:R616 M619:R619">
    <cfRule type="cellIs" dxfId="728" priority="739" operator="greaterThan">
      <formula>0</formula>
    </cfRule>
  </conditionalFormatting>
  <conditionalFormatting sqref="M614:R615">
    <cfRule type="cellIs" dxfId="727" priority="738" operator="greaterThan">
      <formula>0</formula>
    </cfRule>
  </conditionalFormatting>
  <conditionalFormatting sqref="M624:R624">
    <cfRule type="cellIs" dxfId="726" priority="733" operator="greaterThan">
      <formula>0</formula>
    </cfRule>
  </conditionalFormatting>
  <conditionalFormatting sqref="M624:R624">
    <cfRule type="cellIs" dxfId="725" priority="732" operator="greaterThan">
      <formula>0</formula>
    </cfRule>
  </conditionalFormatting>
  <conditionalFormatting sqref="M627:R627">
    <cfRule type="cellIs" dxfId="724" priority="731" operator="greaterThan">
      <formula>0</formula>
    </cfRule>
  </conditionalFormatting>
  <conditionalFormatting sqref="M634:R634">
    <cfRule type="cellIs" dxfId="723" priority="730" operator="greaterThan">
      <formula>0</formula>
    </cfRule>
  </conditionalFormatting>
  <conditionalFormatting sqref="M621:M622">
    <cfRule type="cellIs" dxfId="722" priority="734" operator="greaterThan">
      <formula>0</formula>
    </cfRule>
  </conditionalFormatting>
  <conditionalFormatting sqref="N621:N622">
    <cfRule type="cellIs" dxfId="721" priority="737" operator="greaterThan">
      <formula>0</formula>
    </cfRule>
  </conditionalFormatting>
  <conditionalFormatting sqref="N621:N622">
    <cfRule type="cellIs" dxfId="720" priority="736" operator="greaterThan">
      <formula>0</formula>
    </cfRule>
  </conditionalFormatting>
  <conditionalFormatting sqref="M621:M622">
    <cfRule type="cellIs" dxfId="719" priority="735" operator="greaterThan">
      <formula>0</formula>
    </cfRule>
  </conditionalFormatting>
  <conditionalFormatting sqref="M627:R627 M634:R634">
    <cfRule type="cellIs" dxfId="718" priority="729" operator="greaterThan">
      <formula>0</formula>
    </cfRule>
  </conditionalFormatting>
  <conditionalFormatting sqref="M635:R635">
    <cfRule type="cellIs" dxfId="717" priority="728" operator="greaterThan">
      <formula>0</formula>
    </cfRule>
  </conditionalFormatting>
  <conditionalFormatting sqref="M635:R635">
    <cfRule type="cellIs" dxfId="716" priority="727" operator="greaterThan">
      <formula>0</formula>
    </cfRule>
  </conditionalFormatting>
  <conditionalFormatting sqref="M661:R661">
    <cfRule type="cellIs" dxfId="715" priority="724" operator="greaterThan">
      <formula>0</formula>
    </cfRule>
  </conditionalFormatting>
  <conditionalFormatting sqref="M661:R661">
    <cfRule type="cellIs" dxfId="714" priority="723" operator="greaterThan">
      <formula>0</formula>
    </cfRule>
  </conditionalFormatting>
  <conditionalFormatting sqref="M645:R646">
    <cfRule type="cellIs" dxfId="713" priority="726" operator="greaterThan">
      <formula>0</formula>
    </cfRule>
  </conditionalFormatting>
  <conditionalFormatting sqref="M645:R646">
    <cfRule type="cellIs" dxfId="712" priority="725" operator="greaterThan">
      <formula>0</formula>
    </cfRule>
  </conditionalFormatting>
  <conditionalFormatting sqref="M673:R673">
    <cfRule type="cellIs" dxfId="711" priority="721" operator="greaterThan">
      <formula>0</formula>
    </cfRule>
  </conditionalFormatting>
  <conditionalFormatting sqref="M673:R673">
    <cfRule type="cellIs" dxfId="710" priority="722" operator="greaterThan">
      <formula>0</formula>
    </cfRule>
  </conditionalFormatting>
  <conditionalFormatting sqref="M706:R706">
    <cfRule type="cellIs" dxfId="709" priority="720" operator="greaterThan">
      <formula>0</formula>
    </cfRule>
  </conditionalFormatting>
  <conditionalFormatting sqref="M706:R706">
    <cfRule type="cellIs" dxfId="708" priority="719" operator="greaterThan">
      <formula>0</formula>
    </cfRule>
  </conditionalFormatting>
  <conditionalFormatting sqref="M702:R702">
    <cfRule type="cellIs" dxfId="707" priority="718" operator="greaterThan">
      <formula>0</formula>
    </cfRule>
  </conditionalFormatting>
  <conditionalFormatting sqref="M705:R705">
    <cfRule type="cellIs" dxfId="706" priority="717" operator="greaterThan">
      <formula>0</formula>
    </cfRule>
  </conditionalFormatting>
  <conditionalFormatting sqref="M703:R704">
    <cfRule type="cellIs" dxfId="705" priority="716" operator="greaterThan">
      <formula>0</formula>
    </cfRule>
  </conditionalFormatting>
  <conditionalFormatting sqref="M702:R705">
    <cfRule type="cellIs" dxfId="704" priority="715" operator="greaterThan">
      <formula>0</formula>
    </cfRule>
  </conditionalFormatting>
  <conditionalFormatting sqref="M710:R716">
    <cfRule type="cellIs" dxfId="703" priority="714" operator="greaterThan">
      <formula>0</formula>
    </cfRule>
  </conditionalFormatting>
  <conditionalFormatting sqref="M710:R716">
    <cfRule type="cellIs" dxfId="702" priority="713" operator="greaterThan">
      <formula>0</formula>
    </cfRule>
  </conditionalFormatting>
  <conditionalFormatting sqref="M709:R709">
    <cfRule type="cellIs" dxfId="701" priority="712" operator="greaterThan">
      <formula>0</formula>
    </cfRule>
  </conditionalFormatting>
  <conditionalFormatting sqref="M709:R709">
    <cfRule type="cellIs" dxfId="700" priority="711" operator="greaterThan">
      <formula>0</formula>
    </cfRule>
  </conditionalFormatting>
  <conditionalFormatting sqref="M717:R717">
    <cfRule type="cellIs" dxfId="699" priority="709" operator="greaterThan">
      <formula>0</formula>
    </cfRule>
  </conditionalFormatting>
  <conditionalFormatting sqref="M717:R717">
    <cfRule type="cellIs" dxfId="698" priority="710" operator="greaterThan">
      <formula>0</formula>
    </cfRule>
  </conditionalFormatting>
  <conditionalFormatting sqref="M732:R732">
    <cfRule type="cellIs" dxfId="697" priority="708" operator="greaterThan">
      <formula>0</formula>
    </cfRule>
  </conditionalFormatting>
  <conditionalFormatting sqref="M733:R734">
    <cfRule type="cellIs" dxfId="696" priority="707" operator="greaterThan">
      <formula>0</formula>
    </cfRule>
  </conditionalFormatting>
  <conditionalFormatting sqref="M732:R734">
    <cfRule type="cellIs" dxfId="695" priority="706" operator="greaterThan">
      <formula>0</formula>
    </cfRule>
  </conditionalFormatting>
  <conditionalFormatting sqref="M735:R735">
    <cfRule type="cellIs" dxfId="694" priority="705" operator="greaterThan">
      <formula>0</formula>
    </cfRule>
  </conditionalFormatting>
  <conditionalFormatting sqref="M735:R735">
    <cfRule type="cellIs" dxfId="693" priority="704" operator="greaterThan">
      <formula>0</formula>
    </cfRule>
  </conditionalFormatting>
  <conditionalFormatting sqref="M737:R738 M774:R774">
    <cfRule type="cellIs" dxfId="692" priority="703" operator="greaterThan">
      <formula>0</formula>
    </cfRule>
  </conditionalFormatting>
  <conditionalFormatting sqref="M737:R738 M774:R774">
    <cfRule type="cellIs" dxfId="691" priority="702" operator="greaterThan">
      <formula>0</formula>
    </cfRule>
  </conditionalFormatting>
  <conditionalFormatting sqref="M736:R736">
    <cfRule type="cellIs" dxfId="690" priority="701" operator="greaterThan">
      <formula>0</formula>
    </cfRule>
  </conditionalFormatting>
  <conditionalFormatting sqref="M736:R736">
    <cfRule type="cellIs" dxfId="689" priority="700" operator="greaterThan">
      <formula>0</formula>
    </cfRule>
  </conditionalFormatting>
  <conditionalFormatting sqref="M775:R777">
    <cfRule type="cellIs" dxfId="688" priority="697" operator="greaterThan">
      <formula>0</formula>
    </cfRule>
  </conditionalFormatting>
  <conditionalFormatting sqref="M775:R775">
    <cfRule type="cellIs" dxfId="687" priority="699" operator="greaterThan">
      <formula>0</formula>
    </cfRule>
  </conditionalFormatting>
  <conditionalFormatting sqref="M776:R777">
    <cfRule type="cellIs" dxfId="686" priority="698" operator="greaterThan">
      <formula>0</formula>
    </cfRule>
  </conditionalFormatting>
  <conditionalFormatting sqref="M778:R778">
    <cfRule type="cellIs" dxfId="685" priority="696" operator="greaterThan">
      <formula>0</formula>
    </cfRule>
  </conditionalFormatting>
  <conditionalFormatting sqref="M778:R778">
    <cfRule type="cellIs" dxfId="684" priority="695" operator="greaterThan">
      <formula>0</formula>
    </cfRule>
  </conditionalFormatting>
  <conditionalFormatting sqref="M780:R780 M787:R787">
    <cfRule type="cellIs" dxfId="683" priority="694" operator="greaterThan">
      <formula>0</formula>
    </cfRule>
  </conditionalFormatting>
  <conditionalFormatting sqref="M780:R780 M787:R787">
    <cfRule type="cellIs" dxfId="682" priority="693" operator="greaterThan">
      <formula>0</formula>
    </cfRule>
  </conditionalFormatting>
  <conditionalFormatting sqref="M779:R779">
    <cfRule type="cellIs" dxfId="681" priority="692" operator="greaterThan">
      <formula>0</formula>
    </cfRule>
  </conditionalFormatting>
  <conditionalFormatting sqref="M779:R779">
    <cfRule type="cellIs" dxfId="680" priority="691" operator="greaterThan">
      <formula>0</formula>
    </cfRule>
  </conditionalFormatting>
  <conditionalFormatting sqref="M788:R790">
    <cfRule type="cellIs" dxfId="679" priority="688" operator="greaterThan">
      <formula>0</formula>
    </cfRule>
  </conditionalFormatting>
  <conditionalFormatting sqref="M788:R788">
    <cfRule type="cellIs" dxfId="678" priority="690" operator="greaterThan">
      <formula>0</formula>
    </cfRule>
  </conditionalFormatting>
  <conditionalFormatting sqref="M789:R790">
    <cfRule type="cellIs" dxfId="677" priority="689" operator="greaterThan">
      <formula>0</formula>
    </cfRule>
  </conditionalFormatting>
  <conditionalFormatting sqref="M791:R791">
    <cfRule type="cellIs" dxfId="676" priority="687" operator="greaterThan">
      <formula>0</formula>
    </cfRule>
  </conditionalFormatting>
  <conditionalFormatting sqref="M791:R791">
    <cfRule type="cellIs" dxfId="675" priority="686" operator="greaterThan">
      <formula>0</formula>
    </cfRule>
  </conditionalFormatting>
  <conditionalFormatting sqref="M793:R798">
    <cfRule type="cellIs" dxfId="674" priority="685" operator="greaterThan">
      <formula>0</formula>
    </cfRule>
  </conditionalFormatting>
  <conditionalFormatting sqref="M793:R798">
    <cfRule type="cellIs" dxfId="673" priority="684" operator="greaterThan">
      <formula>0</formula>
    </cfRule>
  </conditionalFormatting>
  <conditionalFormatting sqref="M792:R792">
    <cfRule type="cellIs" dxfId="672" priority="683" operator="greaterThan">
      <formula>0</formula>
    </cfRule>
  </conditionalFormatting>
  <conditionalFormatting sqref="M792:R792">
    <cfRule type="cellIs" dxfId="671" priority="682" operator="greaterThan">
      <formula>0</formula>
    </cfRule>
  </conditionalFormatting>
  <conditionalFormatting sqref="M945:R946">
    <cfRule type="cellIs" dxfId="670" priority="679" operator="greaterThan">
      <formula>0</formula>
    </cfRule>
  </conditionalFormatting>
  <conditionalFormatting sqref="M947:R949">
    <cfRule type="cellIs" dxfId="669" priority="680" operator="greaterThan">
      <formula>0</formula>
    </cfRule>
  </conditionalFormatting>
  <conditionalFormatting sqref="M952:R957">
    <cfRule type="cellIs" dxfId="668" priority="676" operator="greaterThan">
      <formula>0</formula>
    </cfRule>
  </conditionalFormatting>
  <conditionalFormatting sqref="M943:R944">
    <cfRule type="cellIs" dxfId="667" priority="681" operator="greaterThan">
      <formula>0</formula>
    </cfRule>
  </conditionalFormatting>
  <conditionalFormatting sqref="M951:R951">
    <cfRule type="cellIs" dxfId="666" priority="675" operator="greaterThan">
      <formula>0</formula>
    </cfRule>
  </conditionalFormatting>
  <conditionalFormatting sqref="M943:R949">
    <cfRule type="cellIs" dxfId="665" priority="678" operator="greaterThan">
      <formula>0</formula>
    </cfRule>
  </conditionalFormatting>
  <conditionalFormatting sqref="M952:R957">
    <cfRule type="cellIs" dxfId="664" priority="677" operator="greaterThan">
      <formula>0</formula>
    </cfRule>
  </conditionalFormatting>
  <conditionalFormatting sqref="M951:R951">
    <cfRule type="cellIs" dxfId="663" priority="674" operator="greaterThan">
      <formula>0</formula>
    </cfRule>
  </conditionalFormatting>
  <conditionalFormatting sqref="M760:R760">
    <cfRule type="cellIs" dxfId="662" priority="673" operator="greaterThan">
      <formula>0</formula>
    </cfRule>
  </conditionalFormatting>
  <conditionalFormatting sqref="M760:R760">
    <cfRule type="cellIs" dxfId="661" priority="672" operator="greaterThan">
      <formula>0</formula>
    </cfRule>
  </conditionalFormatting>
  <conditionalFormatting sqref="M767:R767">
    <cfRule type="cellIs" dxfId="660" priority="671" operator="greaterThan">
      <formula>0</formula>
    </cfRule>
  </conditionalFormatting>
  <conditionalFormatting sqref="M767:R767">
    <cfRule type="cellIs" dxfId="659" priority="670" operator="greaterThan">
      <formula>0</formula>
    </cfRule>
  </conditionalFormatting>
  <conditionalFormatting sqref="M812:R812">
    <cfRule type="cellIs" dxfId="658" priority="669" operator="greaterThan">
      <formula>0</formula>
    </cfRule>
  </conditionalFormatting>
  <conditionalFormatting sqref="M812:R812">
    <cfRule type="cellIs" dxfId="657" priority="668" operator="greaterThan">
      <formula>0</formula>
    </cfRule>
  </conditionalFormatting>
  <conditionalFormatting sqref="M973:R973">
    <cfRule type="cellIs" dxfId="656" priority="664" operator="greaterThan">
      <formula>0</formula>
    </cfRule>
  </conditionalFormatting>
  <conditionalFormatting sqref="M987:R987">
    <cfRule type="cellIs" dxfId="655" priority="662" operator="greaterThan">
      <formula>0</formula>
    </cfRule>
  </conditionalFormatting>
  <conditionalFormatting sqref="M987:R987">
    <cfRule type="cellIs" dxfId="654" priority="663" operator="greaterThan">
      <formula>0</formula>
    </cfRule>
  </conditionalFormatting>
  <conditionalFormatting sqref="M989:R990">
    <cfRule type="cellIs" dxfId="653" priority="659" operator="greaterThan">
      <formula>0</formula>
    </cfRule>
  </conditionalFormatting>
  <conditionalFormatting sqref="M958:R958">
    <cfRule type="cellIs" dxfId="652" priority="667" operator="greaterThan">
      <formula>0</formula>
    </cfRule>
  </conditionalFormatting>
  <conditionalFormatting sqref="M958:R958">
    <cfRule type="cellIs" dxfId="651" priority="666" operator="greaterThan">
      <formula>0</formula>
    </cfRule>
  </conditionalFormatting>
  <conditionalFormatting sqref="M991:R992">
    <cfRule type="cellIs" dxfId="650" priority="660" operator="greaterThan">
      <formula>0</formula>
    </cfRule>
  </conditionalFormatting>
  <conditionalFormatting sqref="M973:R973">
    <cfRule type="cellIs" dxfId="649" priority="665" operator="greaterThan">
      <formula>0</formula>
    </cfRule>
  </conditionalFormatting>
  <conditionalFormatting sqref="M993:R993">
    <cfRule type="cellIs" dxfId="648" priority="658" operator="greaterThan">
      <formula>0</formula>
    </cfRule>
  </conditionalFormatting>
  <conditionalFormatting sqref="M988:R993">
    <cfRule type="cellIs" dxfId="647" priority="657" operator="greaterThan">
      <formula>0</formula>
    </cfRule>
  </conditionalFormatting>
  <conditionalFormatting sqref="M1007:R1008">
    <cfRule type="cellIs" dxfId="646" priority="654" operator="greaterThan">
      <formula>0</formula>
    </cfRule>
  </conditionalFormatting>
  <conditionalFormatting sqref="M988:R988">
    <cfRule type="cellIs" dxfId="645" priority="661" operator="greaterThan">
      <formula>0</formula>
    </cfRule>
  </conditionalFormatting>
  <conditionalFormatting sqref="M1002:R1008 M1011:R1014">
    <cfRule type="cellIs" dxfId="644" priority="652" operator="greaterThan">
      <formula>0</formula>
    </cfRule>
  </conditionalFormatting>
  <conditionalFormatting sqref="M1011:R1012">
    <cfRule type="cellIs" dxfId="643" priority="655" operator="greaterThan">
      <formula>0</formula>
    </cfRule>
  </conditionalFormatting>
  <conditionalFormatting sqref="M1015:R1016">
    <cfRule type="cellIs" dxfId="642" priority="650" operator="greaterThan">
      <formula>0</formula>
    </cfRule>
  </conditionalFormatting>
  <conditionalFormatting sqref="M1013:R1014">
    <cfRule type="cellIs" dxfId="641" priority="653" operator="greaterThan">
      <formula>0</formula>
    </cfRule>
  </conditionalFormatting>
  <conditionalFormatting sqref="M1015:R1016">
    <cfRule type="cellIs" dxfId="640" priority="651" operator="greaterThan">
      <formula>0</formula>
    </cfRule>
  </conditionalFormatting>
  <conditionalFormatting sqref="M1031:R1032">
    <cfRule type="cellIs" dxfId="639" priority="645" operator="greaterThan">
      <formula>0</formula>
    </cfRule>
  </conditionalFormatting>
  <conditionalFormatting sqref="M1002:R1006">
    <cfRule type="cellIs" dxfId="638" priority="656" operator="greaterThan">
      <formula>0</formula>
    </cfRule>
  </conditionalFormatting>
  <conditionalFormatting sqref="M1033:R1034">
    <cfRule type="cellIs" dxfId="637" priority="646" operator="greaterThan">
      <formula>0</formula>
    </cfRule>
  </conditionalFormatting>
  <conditionalFormatting sqref="M1017:R1018 M1029:R1029">
    <cfRule type="cellIs" dxfId="636" priority="649" operator="greaterThan">
      <formula>0</formula>
    </cfRule>
  </conditionalFormatting>
  <conditionalFormatting sqref="M1017:R1018 M1029:R1029">
    <cfRule type="cellIs" dxfId="635" priority="648" operator="greaterThan">
      <formula>0</formula>
    </cfRule>
  </conditionalFormatting>
  <conditionalFormatting sqref="M1035:R1037 M1063:R1063">
    <cfRule type="cellIs" dxfId="634" priority="644" operator="greaterThan">
      <formula>0</formula>
    </cfRule>
  </conditionalFormatting>
  <conditionalFormatting sqref="M1030:R1037 M1063:R1063">
    <cfRule type="cellIs" dxfId="633" priority="643" operator="greaterThan">
      <formula>0</formula>
    </cfRule>
  </conditionalFormatting>
  <conditionalFormatting sqref="M1030:R1030">
    <cfRule type="cellIs" dxfId="632" priority="647" operator="greaterThan">
      <formula>0</formula>
    </cfRule>
  </conditionalFormatting>
  <conditionalFormatting sqref="M1065:M1066">
    <cfRule type="cellIs" dxfId="631" priority="639" operator="greaterThan">
      <formula>0</formula>
    </cfRule>
  </conditionalFormatting>
  <conditionalFormatting sqref="M1069:R1073 M1080:R1081">
    <cfRule type="cellIs" dxfId="630" priority="635" operator="greaterThan">
      <formula>0</formula>
    </cfRule>
  </conditionalFormatting>
  <conditionalFormatting sqref="M1065:M1066">
    <cfRule type="cellIs" dxfId="629" priority="640" operator="greaterThan">
      <formula>0</formula>
    </cfRule>
  </conditionalFormatting>
  <conditionalFormatting sqref="M1096:M1097">
    <cfRule type="cellIs" dxfId="628" priority="617" operator="greaterThan">
      <formula>0</formula>
    </cfRule>
  </conditionalFormatting>
  <conditionalFormatting sqref="M1069:R1073 M1080:R1081">
    <cfRule type="cellIs" dxfId="627" priority="636" operator="greaterThan">
      <formula>0</formula>
    </cfRule>
  </conditionalFormatting>
  <conditionalFormatting sqref="N1065">
    <cfRule type="cellIs" dxfId="626" priority="642" operator="greaterThan">
      <formula>0</formula>
    </cfRule>
  </conditionalFormatting>
  <conditionalFormatting sqref="N1065">
    <cfRule type="cellIs" dxfId="625" priority="641" operator="greaterThan">
      <formula>0</formula>
    </cfRule>
  </conditionalFormatting>
  <conditionalFormatting sqref="M1067:R1067 M1068">
    <cfRule type="cellIs" dxfId="624" priority="638" operator="greaterThan">
      <formula>0</formula>
    </cfRule>
  </conditionalFormatting>
  <conditionalFormatting sqref="M1067:R1067 M1068">
    <cfRule type="cellIs" dxfId="623" priority="637" operator="greaterThan">
      <formula>0</formula>
    </cfRule>
  </conditionalFormatting>
  <conditionalFormatting sqref="M1096:M1097">
    <cfRule type="cellIs" dxfId="622" priority="618" operator="greaterThan">
      <formula>0</formula>
    </cfRule>
  </conditionalFormatting>
  <conditionalFormatting sqref="M1112:M1115">
    <cfRule type="cellIs" dxfId="621" priority="607" operator="greaterThan">
      <formula>0</formula>
    </cfRule>
  </conditionalFormatting>
  <conditionalFormatting sqref="M1082:R1082">
    <cfRule type="cellIs" dxfId="620" priority="634" operator="greaterThan">
      <formula>0</formula>
    </cfRule>
  </conditionalFormatting>
  <conditionalFormatting sqref="M1082:R1082">
    <cfRule type="cellIs" dxfId="619" priority="633" operator="greaterThan">
      <formula>0</formula>
    </cfRule>
  </conditionalFormatting>
  <conditionalFormatting sqref="O1083:R1083 N1084:R1084">
    <cfRule type="cellIs" dxfId="618" priority="632" operator="greaterThan">
      <formula>0</formula>
    </cfRule>
  </conditionalFormatting>
  <conditionalFormatting sqref="O1083:R1083 N1084:R1084">
    <cfRule type="cellIs" dxfId="617" priority="631" operator="greaterThan">
      <formula>0</formula>
    </cfRule>
  </conditionalFormatting>
  <conditionalFormatting sqref="M1083:M1084">
    <cfRule type="cellIs" dxfId="616" priority="627" operator="greaterThan">
      <formula>0</formula>
    </cfRule>
  </conditionalFormatting>
  <conditionalFormatting sqref="M1085:R1086 M1094:R1094">
    <cfRule type="cellIs" dxfId="615" priority="625" operator="greaterThan">
      <formula>0</formula>
    </cfRule>
  </conditionalFormatting>
  <conditionalFormatting sqref="M1083:M1084">
    <cfRule type="cellIs" dxfId="614" priority="628" operator="greaterThan">
      <formula>0</formula>
    </cfRule>
  </conditionalFormatting>
  <conditionalFormatting sqref="M1085:R1086 M1094:R1094">
    <cfRule type="cellIs" dxfId="613" priority="626" operator="greaterThan">
      <formula>0</formula>
    </cfRule>
  </conditionalFormatting>
  <conditionalFormatting sqref="N1083">
    <cfRule type="cellIs" dxfId="612" priority="630" operator="greaterThan">
      <formula>0</formula>
    </cfRule>
  </conditionalFormatting>
  <conditionalFormatting sqref="N1083">
    <cfRule type="cellIs" dxfId="611" priority="629" operator="greaterThan">
      <formula>0</formula>
    </cfRule>
  </conditionalFormatting>
  <conditionalFormatting sqref="M1112:M1115">
    <cfRule type="cellIs" dxfId="610" priority="608" operator="greaterThan">
      <formula>0</formula>
    </cfRule>
  </conditionalFormatting>
  <conditionalFormatting sqref="M1095:R1095">
    <cfRule type="cellIs" dxfId="609" priority="624" operator="greaterThan">
      <formula>0</formula>
    </cfRule>
  </conditionalFormatting>
  <conditionalFormatting sqref="M1095:R1095">
    <cfRule type="cellIs" dxfId="608" priority="623" operator="greaterThan">
      <formula>0</formula>
    </cfRule>
  </conditionalFormatting>
  <conditionalFormatting sqref="O1096:R1096 N1097:R1097">
    <cfRule type="cellIs" dxfId="607" priority="622" operator="greaterThan">
      <formula>0</formula>
    </cfRule>
  </conditionalFormatting>
  <conditionalFormatting sqref="O1096:R1096 N1097:R1097">
    <cfRule type="cellIs" dxfId="606" priority="621" operator="greaterThan">
      <formula>0</formula>
    </cfRule>
  </conditionalFormatting>
  <conditionalFormatting sqref="M1098:R1101 M1103:R1105 M1110:R1110">
    <cfRule type="cellIs" dxfId="605" priority="615" operator="greaterThan">
      <formula>0</formula>
    </cfRule>
  </conditionalFormatting>
  <conditionalFormatting sqref="M1098:R1101 M1103:R1105 M1110:R1110">
    <cfRule type="cellIs" dxfId="604" priority="616" operator="greaterThan">
      <formula>0</formula>
    </cfRule>
  </conditionalFormatting>
  <conditionalFormatting sqref="N1096">
    <cfRule type="cellIs" dxfId="603" priority="620" operator="greaterThan">
      <formula>0</formula>
    </cfRule>
  </conditionalFormatting>
  <conditionalFormatting sqref="N1096">
    <cfRule type="cellIs" dxfId="602" priority="619" operator="greaterThan">
      <formula>0</formula>
    </cfRule>
  </conditionalFormatting>
  <conditionalFormatting sqref="M1111:R1111">
    <cfRule type="cellIs" dxfId="601" priority="614" operator="greaterThan">
      <formula>0</formula>
    </cfRule>
  </conditionalFormatting>
  <conditionalFormatting sqref="M1111:R1111">
    <cfRule type="cellIs" dxfId="600" priority="613" operator="greaterThan">
      <formula>0</formula>
    </cfRule>
  </conditionalFormatting>
  <conditionalFormatting sqref="O1112:R1113 N1114:R1115">
    <cfRule type="cellIs" dxfId="599" priority="612" operator="greaterThan">
      <formula>0</formula>
    </cfRule>
  </conditionalFormatting>
  <conditionalFormatting sqref="O1112:R1113 N1114:R1115">
    <cfRule type="cellIs" dxfId="598" priority="611" operator="greaterThan">
      <formula>0</formula>
    </cfRule>
  </conditionalFormatting>
  <conditionalFormatting sqref="M1116:R1116">
    <cfRule type="cellIs" dxfId="597" priority="605" operator="greaterThan">
      <formula>0</formula>
    </cfRule>
  </conditionalFormatting>
  <conditionalFormatting sqref="M1116:R1116">
    <cfRule type="cellIs" dxfId="596" priority="606" operator="greaterThan">
      <formula>0</formula>
    </cfRule>
  </conditionalFormatting>
  <conditionalFormatting sqref="N1112:N1113">
    <cfRule type="cellIs" dxfId="595" priority="610" operator="greaterThan">
      <formula>0</formula>
    </cfRule>
  </conditionalFormatting>
  <conditionalFormatting sqref="N1112:N1113">
    <cfRule type="cellIs" dxfId="594" priority="609" operator="greaterThan">
      <formula>0</formula>
    </cfRule>
  </conditionalFormatting>
  <conditionalFormatting sqref="M1163:R1164">
    <cfRule type="cellIs" dxfId="593" priority="603" operator="greaterThan">
      <formula>0</formula>
    </cfRule>
  </conditionalFormatting>
  <conditionalFormatting sqref="M1165:R1165">
    <cfRule type="cellIs" dxfId="592" priority="602" operator="greaterThan">
      <formula>0</formula>
    </cfRule>
  </conditionalFormatting>
  <conditionalFormatting sqref="M1162:R1162">
    <cfRule type="cellIs" dxfId="591" priority="604" operator="greaterThan">
      <formula>0</formula>
    </cfRule>
  </conditionalFormatting>
  <conditionalFormatting sqref="M1162:R1165">
    <cfRule type="cellIs" dxfId="590" priority="601" operator="greaterThan">
      <formula>0</formula>
    </cfRule>
  </conditionalFormatting>
  <conditionalFormatting sqref="M489:R489">
    <cfRule type="cellIs" dxfId="589" priority="598" operator="greaterThan">
      <formula>0</formula>
    </cfRule>
  </conditionalFormatting>
  <conditionalFormatting sqref="M102:R102">
    <cfRule type="cellIs" dxfId="588" priority="597" operator="greaterThan">
      <formula>0</formula>
    </cfRule>
  </conditionalFormatting>
  <conditionalFormatting sqref="M102:R102">
    <cfRule type="cellIs" dxfId="587" priority="596" operator="greaterThan">
      <formula>0</formula>
    </cfRule>
  </conditionalFormatting>
  <conditionalFormatting sqref="M134:R141">
    <cfRule type="cellIs" dxfId="586" priority="595" operator="greaterThan">
      <formula>0</formula>
    </cfRule>
  </conditionalFormatting>
  <conditionalFormatting sqref="M140:R141">
    <cfRule type="cellIs" dxfId="585" priority="593" operator="greaterThan">
      <formula>0</formula>
    </cfRule>
  </conditionalFormatting>
  <conditionalFormatting sqref="M134:R134">
    <cfRule type="cellIs" dxfId="584" priority="594" operator="greaterThan">
      <formula>0</formula>
    </cfRule>
  </conditionalFormatting>
  <conditionalFormatting sqref="M183:R184">
    <cfRule type="cellIs" dxfId="583" priority="592" operator="greaterThan">
      <formula>0</formula>
    </cfRule>
  </conditionalFormatting>
  <conditionalFormatting sqref="M183:R184">
    <cfRule type="cellIs" dxfId="582" priority="591" operator="greaterThan">
      <formula>0</formula>
    </cfRule>
  </conditionalFormatting>
  <conditionalFormatting sqref="M200:R202">
    <cfRule type="cellIs" dxfId="581" priority="589" operator="greaterThan">
      <formula>0</formula>
    </cfRule>
  </conditionalFormatting>
  <conditionalFormatting sqref="M199:R199">
    <cfRule type="cellIs" dxfId="580" priority="588" operator="greaterThan">
      <formula>0</formula>
    </cfRule>
  </conditionalFormatting>
  <conditionalFormatting sqref="M203:R206">
    <cfRule type="cellIs" dxfId="579" priority="590" operator="greaterThan">
      <formula>0</formula>
    </cfRule>
  </conditionalFormatting>
  <conditionalFormatting sqref="M215:R216">
    <cfRule type="cellIs" dxfId="578" priority="587" operator="greaterThan">
      <formula>0</formula>
    </cfRule>
  </conditionalFormatting>
  <conditionalFormatting sqref="M215:R215">
    <cfRule type="cellIs" dxfId="577" priority="586" operator="greaterThan">
      <formula>0</formula>
    </cfRule>
  </conditionalFormatting>
  <conditionalFormatting sqref="M263:R264">
    <cfRule type="cellIs" dxfId="576" priority="585" operator="greaterThan">
      <formula>0</formula>
    </cfRule>
  </conditionalFormatting>
  <conditionalFormatting sqref="M260:R260">
    <cfRule type="cellIs" dxfId="575" priority="583" operator="greaterThan">
      <formula>0</formula>
    </cfRule>
  </conditionalFormatting>
  <conditionalFormatting sqref="M261:R262">
    <cfRule type="cellIs" dxfId="574" priority="584" operator="greaterThan">
      <formula>0</formula>
    </cfRule>
  </conditionalFormatting>
  <conditionalFormatting sqref="M281:R282">
    <cfRule type="cellIs" dxfId="573" priority="582" operator="greaterThan">
      <formula>0</formula>
    </cfRule>
  </conditionalFormatting>
  <conditionalFormatting sqref="M281:R281">
    <cfRule type="cellIs" dxfId="572" priority="580" operator="greaterThan">
      <formula>0</formula>
    </cfRule>
  </conditionalFormatting>
  <conditionalFormatting sqref="M282:R282">
    <cfRule type="cellIs" dxfId="571" priority="581" operator="greaterThan">
      <formula>0</formula>
    </cfRule>
  </conditionalFormatting>
  <conditionalFormatting sqref="M287:R287">
    <cfRule type="cellIs" dxfId="570" priority="579" operator="greaterThan">
      <formula>0</formula>
    </cfRule>
  </conditionalFormatting>
  <conditionalFormatting sqref="M287:R287">
    <cfRule type="cellIs" dxfId="569" priority="578" operator="greaterThan">
      <formula>0</formula>
    </cfRule>
  </conditionalFormatting>
  <conditionalFormatting sqref="M340:R340">
    <cfRule type="cellIs" dxfId="568" priority="577" operator="greaterThan">
      <formula>0</formula>
    </cfRule>
  </conditionalFormatting>
  <conditionalFormatting sqref="M340:R340">
    <cfRule type="cellIs" dxfId="567" priority="576" operator="greaterThan">
      <formula>0</formula>
    </cfRule>
  </conditionalFormatting>
  <conditionalFormatting sqref="M364:R368">
    <cfRule type="cellIs" dxfId="566" priority="575" operator="greaterThan">
      <formula>0</formula>
    </cfRule>
  </conditionalFormatting>
  <conditionalFormatting sqref="M365:R366">
    <cfRule type="cellIs" dxfId="565" priority="574" operator="greaterThan">
      <formula>0</formula>
    </cfRule>
  </conditionalFormatting>
  <conditionalFormatting sqref="M367:R368">
    <cfRule type="cellIs" dxfId="564" priority="573" operator="greaterThan">
      <formula>0</formula>
    </cfRule>
  </conditionalFormatting>
  <conditionalFormatting sqref="M383:R383">
    <cfRule type="cellIs" dxfId="563" priority="572" operator="greaterThan">
      <formula>0</formula>
    </cfRule>
  </conditionalFormatting>
  <conditionalFormatting sqref="M383:R383">
    <cfRule type="cellIs" dxfId="562" priority="571" operator="greaterThan">
      <formula>0</formula>
    </cfRule>
  </conditionalFormatting>
  <conditionalFormatting sqref="M390:R391">
    <cfRule type="cellIs" dxfId="561" priority="569" operator="greaterThan">
      <formula>0</formula>
    </cfRule>
  </conditionalFormatting>
  <conditionalFormatting sqref="M390:R391">
    <cfRule type="cellIs" dxfId="560" priority="570" operator="greaterThan">
      <formula>0</formula>
    </cfRule>
  </conditionalFormatting>
  <conditionalFormatting sqref="M409:R409">
    <cfRule type="cellIs" dxfId="559" priority="568" operator="greaterThan">
      <formula>0</formula>
    </cfRule>
  </conditionalFormatting>
  <conditionalFormatting sqref="M409:R409">
    <cfRule type="cellIs" dxfId="558" priority="567" operator="greaterThan">
      <formula>0</formula>
    </cfRule>
  </conditionalFormatting>
  <conditionalFormatting sqref="M522:R523">
    <cfRule type="cellIs" dxfId="557" priority="566" operator="greaterThan">
      <formula>0</formula>
    </cfRule>
  </conditionalFormatting>
  <conditionalFormatting sqref="M522:R523">
    <cfRule type="cellIs" dxfId="556" priority="565" operator="greaterThan">
      <formula>0</formula>
    </cfRule>
  </conditionalFormatting>
  <conditionalFormatting sqref="M497:R498">
    <cfRule type="cellIs" dxfId="555" priority="563" operator="greaterThan">
      <formula>0</formula>
    </cfRule>
  </conditionalFormatting>
  <conditionalFormatting sqref="M494:R495">
    <cfRule type="cellIs" dxfId="554" priority="564" operator="greaterThan">
      <formula>0</formula>
    </cfRule>
  </conditionalFormatting>
  <conditionalFormatting sqref="M496:R496">
    <cfRule type="cellIs" dxfId="553" priority="562" operator="greaterThan">
      <formula>0</formula>
    </cfRule>
  </conditionalFormatting>
  <conditionalFormatting sqref="M499:R499">
    <cfRule type="cellIs" dxfId="552" priority="560" operator="greaterThan">
      <formula>0</formula>
    </cfRule>
  </conditionalFormatting>
  <conditionalFormatting sqref="M500:R500">
    <cfRule type="cellIs" dxfId="551" priority="561" operator="greaterThan">
      <formula>0</formula>
    </cfRule>
  </conditionalFormatting>
  <conditionalFormatting sqref="M494:R500">
    <cfRule type="cellIs" dxfId="550" priority="559" operator="greaterThan">
      <formula>0</formula>
    </cfRule>
  </conditionalFormatting>
  <conditionalFormatting sqref="M506:R507 M509:R509">
    <cfRule type="cellIs" dxfId="549" priority="558" operator="greaterThan">
      <formula>0</formula>
    </cfRule>
  </conditionalFormatting>
  <conditionalFormatting sqref="M506:R507 M509:R509">
    <cfRule type="cellIs" dxfId="548" priority="557" operator="greaterThan">
      <formula>0</formula>
    </cfRule>
  </conditionalFormatting>
  <conditionalFormatting sqref="M528:R529">
    <cfRule type="cellIs" dxfId="547" priority="555" operator="greaterThan">
      <formula>0</formula>
    </cfRule>
  </conditionalFormatting>
  <conditionalFormatting sqref="M525:R526">
    <cfRule type="cellIs" dxfId="546" priority="556" operator="greaterThan">
      <formula>0</formula>
    </cfRule>
  </conditionalFormatting>
  <conditionalFormatting sqref="M527:R527">
    <cfRule type="cellIs" dxfId="545" priority="554" operator="greaterThan">
      <formula>0</formula>
    </cfRule>
  </conditionalFormatting>
  <conditionalFormatting sqref="M530:R530">
    <cfRule type="cellIs" dxfId="544" priority="552" operator="greaterThan">
      <formula>0</formula>
    </cfRule>
  </conditionalFormatting>
  <conditionalFormatting sqref="M531:R531">
    <cfRule type="cellIs" dxfId="543" priority="553" operator="greaterThan">
      <formula>0</formula>
    </cfRule>
  </conditionalFormatting>
  <conditionalFormatting sqref="M525:R531">
    <cfRule type="cellIs" dxfId="542" priority="551" operator="greaterThan">
      <formula>0</formula>
    </cfRule>
  </conditionalFormatting>
  <conditionalFormatting sqref="M534:R535">
    <cfRule type="cellIs" dxfId="541" priority="550" operator="greaterThan">
      <formula>0</formula>
    </cfRule>
  </conditionalFormatting>
  <conditionalFormatting sqref="M534:R535">
    <cfRule type="cellIs" dxfId="540" priority="549" operator="greaterThan">
      <formula>0</formula>
    </cfRule>
  </conditionalFormatting>
  <conditionalFormatting sqref="M524:R524">
    <cfRule type="cellIs" dxfId="539" priority="548" operator="greaterThan">
      <formula>0</formula>
    </cfRule>
  </conditionalFormatting>
  <conditionalFormatting sqref="M524:R524">
    <cfRule type="cellIs" dxfId="538" priority="547" operator="greaterThan">
      <formula>0</formula>
    </cfRule>
  </conditionalFormatting>
  <conditionalFormatting sqref="M556:R558">
    <cfRule type="cellIs" dxfId="537" priority="545" operator="greaterThan">
      <formula>0</formula>
    </cfRule>
  </conditionalFormatting>
  <conditionalFormatting sqref="M551:R553">
    <cfRule type="cellIs" dxfId="536" priority="546" operator="greaterThan">
      <formula>0</formula>
    </cfRule>
  </conditionalFormatting>
  <conditionalFormatting sqref="M554:R555">
    <cfRule type="cellIs" dxfId="535" priority="544" operator="greaterThan">
      <formula>0</formula>
    </cfRule>
  </conditionalFormatting>
  <conditionalFormatting sqref="M559:R559">
    <cfRule type="cellIs" dxfId="534" priority="542" operator="greaterThan">
      <formula>0</formula>
    </cfRule>
  </conditionalFormatting>
  <conditionalFormatting sqref="M560:R560">
    <cfRule type="cellIs" dxfId="533" priority="543" operator="greaterThan">
      <formula>0</formula>
    </cfRule>
  </conditionalFormatting>
  <conditionalFormatting sqref="M551:R560">
    <cfRule type="cellIs" dxfId="532" priority="541" operator="greaterThan">
      <formula>0</formula>
    </cfRule>
  </conditionalFormatting>
  <conditionalFormatting sqref="M579:R579 M564:R566">
    <cfRule type="cellIs" dxfId="531" priority="540" operator="greaterThan">
      <formula>0</formula>
    </cfRule>
  </conditionalFormatting>
  <conditionalFormatting sqref="M579:R579 M564:R566">
    <cfRule type="cellIs" dxfId="530" priority="539" operator="greaterThan">
      <formula>0</formula>
    </cfRule>
  </conditionalFormatting>
  <conditionalFormatting sqref="M550:R550">
    <cfRule type="cellIs" dxfId="529" priority="538" operator="greaterThan">
      <formula>0</formula>
    </cfRule>
  </conditionalFormatting>
  <conditionalFormatting sqref="M550:R550">
    <cfRule type="cellIs" dxfId="528" priority="537" operator="greaterThan">
      <formula>0</formula>
    </cfRule>
  </conditionalFormatting>
  <conditionalFormatting sqref="M544:R547">
    <cfRule type="cellIs" dxfId="527" priority="536" operator="greaterThan">
      <formula>0</formula>
    </cfRule>
  </conditionalFormatting>
  <conditionalFormatting sqref="M540:R541">
    <cfRule type="cellIs" dxfId="526" priority="534" operator="greaterThan">
      <formula>0</formula>
    </cfRule>
  </conditionalFormatting>
  <conditionalFormatting sqref="M537:R538">
    <cfRule type="cellIs" dxfId="525" priority="535" operator="greaterThan">
      <formula>0</formula>
    </cfRule>
  </conditionalFormatting>
  <conditionalFormatting sqref="M539:R539">
    <cfRule type="cellIs" dxfId="524" priority="533" operator="greaterThan">
      <formula>0</formula>
    </cfRule>
  </conditionalFormatting>
  <conditionalFormatting sqref="M542:R542">
    <cfRule type="cellIs" dxfId="523" priority="531" operator="greaterThan">
      <formula>0</formula>
    </cfRule>
  </conditionalFormatting>
  <conditionalFormatting sqref="M543:R543">
    <cfRule type="cellIs" dxfId="522" priority="532" operator="greaterThan">
      <formula>0</formula>
    </cfRule>
  </conditionalFormatting>
  <conditionalFormatting sqref="M537:R543">
    <cfRule type="cellIs" dxfId="521" priority="530" operator="greaterThan">
      <formula>0</formula>
    </cfRule>
  </conditionalFormatting>
  <conditionalFormatting sqref="M548:R549">
    <cfRule type="cellIs" dxfId="520" priority="529" operator="greaterThan">
      <formula>0</formula>
    </cfRule>
  </conditionalFormatting>
  <conditionalFormatting sqref="M548:R549">
    <cfRule type="cellIs" dxfId="519" priority="528" operator="greaterThan">
      <formula>0</formula>
    </cfRule>
  </conditionalFormatting>
  <conditionalFormatting sqref="M536:R536">
    <cfRule type="cellIs" dxfId="518" priority="527" operator="greaterThan">
      <formula>0</formula>
    </cfRule>
  </conditionalFormatting>
  <conditionalFormatting sqref="M536:R536">
    <cfRule type="cellIs" dxfId="517" priority="526" operator="greaterThan">
      <formula>0</formula>
    </cfRule>
  </conditionalFormatting>
  <conditionalFormatting sqref="M571:R572">
    <cfRule type="cellIs" dxfId="516" priority="524" operator="greaterThan">
      <formula>0</formula>
    </cfRule>
  </conditionalFormatting>
  <conditionalFormatting sqref="M568:R569">
    <cfRule type="cellIs" dxfId="515" priority="525" operator="greaterThan">
      <formula>0</formula>
    </cfRule>
  </conditionalFormatting>
  <conditionalFormatting sqref="M570:R570">
    <cfRule type="cellIs" dxfId="514" priority="523" operator="greaterThan">
      <formula>0</formula>
    </cfRule>
  </conditionalFormatting>
  <conditionalFormatting sqref="M573:R573">
    <cfRule type="cellIs" dxfId="513" priority="521" operator="greaterThan">
      <formula>0</formula>
    </cfRule>
  </conditionalFormatting>
  <conditionalFormatting sqref="M574:R574">
    <cfRule type="cellIs" dxfId="512" priority="522" operator="greaterThan">
      <formula>0</formula>
    </cfRule>
  </conditionalFormatting>
  <conditionalFormatting sqref="M577:R578">
    <cfRule type="cellIs" dxfId="511" priority="520" operator="greaterThan">
      <formula>0</formula>
    </cfRule>
  </conditionalFormatting>
  <conditionalFormatting sqref="M577:R578">
    <cfRule type="cellIs" dxfId="510" priority="519" operator="greaterThan">
      <formula>0</formula>
    </cfRule>
  </conditionalFormatting>
  <conditionalFormatting sqref="M567:R567">
    <cfRule type="cellIs" dxfId="509" priority="518" operator="greaterThan">
      <formula>0</formula>
    </cfRule>
  </conditionalFormatting>
  <conditionalFormatting sqref="M567:R567">
    <cfRule type="cellIs" dxfId="508" priority="517" operator="greaterThan">
      <formula>0</formula>
    </cfRule>
  </conditionalFormatting>
  <conditionalFormatting sqref="M588:R589">
    <cfRule type="cellIs" dxfId="507" priority="516" operator="greaterThan">
      <formula>0</formula>
    </cfRule>
  </conditionalFormatting>
  <conditionalFormatting sqref="M588:R589">
    <cfRule type="cellIs" dxfId="506" priority="515" operator="greaterThan">
      <formula>0</formula>
    </cfRule>
  </conditionalFormatting>
  <conditionalFormatting sqref="M598:R598">
    <cfRule type="cellIs" dxfId="505" priority="513" operator="greaterThan">
      <formula>0</formula>
    </cfRule>
  </conditionalFormatting>
  <conditionalFormatting sqref="M598:R598">
    <cfRule type="cellIs" dxfId="504" priority="514" operator="greaterThan">
      <formula>0</formula>
    </cfRule>
  </conditionalFormatting>
  <conditionalFormatting sqref="N599:R599">
    <cfRule type="cellIs" dxfId="503" priority="511" operator="greaterThan">
      <formula>0</formula>
    </cfRule>
  </conditionalFormatting>
  <conditionalFormatting sqref="M599">
    <cfRule type="cellIs" dxfId="502" priority="510" operator="greaterThan">
      <formula>0</formula>
    </cfRule>
  </conditionalFormatting>
  <conditionalFormatting sqref="N599:R599">
    <cfRule type="cellIs" dxfId="501" priority="512" operator="greaterThan">
      <formula>0</formula>
    </cfRule>
  </conditionalFormatting>
  <conditionalFormatting sqref="M599">
    <cfRule type="cellIs" dxfId="500" priority="509" operator="greaterThan">
      <formula>0</formula>
    </cfRule>
  </conditionalFormatting>
  <conditionalFormatting sqref="N617:R618">
    <cfRule type="cellIs" dxfId="499" priority="507" operator="greaterThan">
      <formula>0</formula>
    </cfRule>
  </conditionalFormatting>
  <conditionalFormatting sqref="M617:M618">
    <cfRule type="cellIs" dxfId="498" priority="506" operator="greaterThan">
      <formula>0</formula>
    </cfRule>
  </conditionalFormatting>
  <conditionalFormatting sqref="N617:R618">
    <cfRule type="cellIs" dxfId="497" priority="508" operator="greaterThan">
      <formula>0</formula>
    </cfRule>
  </conditionalFormatting>
  <conditionalFormatting sqref="M617:M618">
    <cfRule type="cellIs" dxfId="496" priority="505" operator="greaterThan">
      <formula>0</formula>
    </cfRule>
  </conditionalFormatting>
  <conditionalFormatting sqref="O628:R629">
    <cfRule type="cellIs" dxfId="495" priority="504" operator="greaterThan">
      <formula>0</formula>
    </cfRule>
  </conditionalFormatting>
  <conditionalFormatting sqref="M630:R630 M632:R632">
    <cfRule type="cellIs" dxfId="494" priority="503" operator="greaterThan">
      <formula>0</formula>
    </cfRule>
  </conditionalFormatting>
  <conditionalFormatting sqref="M630:R630 M632:R632 O628:R629">
    <cfRule type="cellIs" dxfId="493" priority="502" operator="greaterThan">
      <formula>0</formula>
    </cfRule>
  </conditionalFormatting>
  <conditionalFormatting sqref="N628:N629">
    <cfRule type="cellIs" dxfId="492" priority="501" operator="greaterThan">
      <formula>0</formula>
    </cfRule>
  </conditionalFormatting>
  <conditionalFormatting sqref="N628:N629">
    <cfRule type="cellIs" dxfId="491" priority="500" operator="greaterThan">
      <formula>0</formula>
    </cfRule>
  </conditionalFormatting>
  <conditionalFormatting sqref="M628:M629">
    <cfRule type="cellIs" dxfId="490" priority="499" operator="greaterThan">
      <formula>0</formula>
    </cfRule>
  </conditionalFormatting>
  <conditionalFormatting sqref="M628:M629">
    <cfRule type="cellIs" dxfId="489" priority="498" operator="greaterThan">
      <formula>0</formula>
    </cfRule>
  </conditionalFormatting>
  <conditionalFormatting sqref="M631:R631">
    <cfRule type="cellIs" dxfId="488" priority="497" operator="greaterThan">
      <formula>0</formula>
    </cfRule>
  </conditionalFormatting>
  <conditionalFormatting sqref="M631:R631">
    <cfRule type="cellIs" dxfId="487" priority="496" operator="greaterThan">
      <formula>0</formula>
    </cfRule>
  </conditionalFormatting>
  <conditionalFormatting sqref="O636:R638">
    <cfRule type="cellIs" dxfId="486" priority="495" operator="greaterThan">
      <formula>0</formula>
    </cfRule>
  </conditionalFormatting>
  <conditionalFormatting sqref="M639:R639 M641:R643">
    <cfRule type="cellIs" dxfId="485" priority="494" operator="greaterThan">
      <formula>0</formula>
    </cfRule>
  </conditionalFormatting>
  <conditionalFormatting sqref="M639:R639 O636:R638 M641:R643">
    <cfRule type="cellIs" dxfId="484" priority="493" operator="greaterThan">
      <formula>0</formula>
    </cfRule>
  </conditionalFormatting>
  <conditionalFormatting sqref="N636:N638">
    <cfRule type="cellIs" dxfId="483" priority="492" operator="greaterThan">
      <formula>0</formula>
    </cfRule>
  </conditionalFormatting>
  <conditionalFormatting sqref="N636:N638">
    <cfRule type="cellIs" dxfId="482" priority="491" operator="greaterThan">
      <formula>0</formula>
    </cfRule>
  </conditionalFormatting>
  <conditionalFormatting sqref="M636:M638">
    <cfRule type="cellIs" dxfId="481" priority="490" operator="greaterThan">
      <formula>0</formula>
    </cfRule>
  </conditionalFormatting>
  <conditionalFormatting sqref="M636:M638">
    <cfRule type="cellIs" dxfId="480" priority="489" operator="greaterThan">
      <formula>0</formula>
    </cfRule>
  </conditionalFormatting>
  <conditionalFormatting sqref="M640:R640">
    <cfRule type="cellIs" dxfId="479" priority="488" operator="greaterThan">
      <formula>0</formula>
    </cfRule>
  </conditionalFormatting>
  <conditionalFormatting sqref="M640:R640">
    <cfRule type="cellIs" dxfId="478" priority="487" operator="greaterThan">
      <formula>0</formula>
    </cfRule>
  </conditionalFormatting>
  <conditionalFormatting sqref="M649:R650">
    <cfRule type="cellIs" dxfId="477" priority="485" operator="greaterThan">
      <formula>0</formula>
    </cfRule>
  </conditionalFormatting>
  <conditionalFormatting sqref="M647:R647">
    <cfRule type="cellIs" dxfId="476" priority="486" operator="greaterThan">
      <formula>0</formula>
    </cfRule>
  </conditionalFormatting>
  <conditionalFormatting sqref="M648:R648">
    <cfRule type="cellIs" dxfId="475" priority="484" operator="greaterThan">
      <formula>0</formula>
    </cfRule>
  </conditionalFormatting>
  <conditionalFormatting sqref="M651:R651">
    <cfRule type="cellIs" dxfId="474" priority="482" operator="greaterThan">
      <formula>0</formula>
    </cfRule>
  </conditionalFormatting>
  <conditionalFormatting sqref="M654:R654">
    <cfRule type="cellIs" dxfId="473" priority="483" operator="greaterThan">
      <formula>0</formula>
    </cfRule>
  </conditionalFormatting>
  <conditionalFormatting sqref="M647:R651 M654:R654">
    <cfRule type="cellIs" dxfId="472" priority="481" operator="greaterThan">
      <formula>0</formula>
    </cfRule>
  </conditionalFormatting>
  <conditionalFormatting sqref="M658:R660">
    <cfRule type="cellIs" dxfId="471" priority="480" operator="greaterThan">
      <formula>0</formula>
    </cfRule>
  </conditionalFormatting>
  <conditionalFormatting sqref="M658:R660">
    <cfRule type="cellIs" dxfId="470" priority="479" operator="greaterThan">
      <formula>0</formula>
    </cfRule>
  </conditionalFormatting>
  <conditionalFormatting sqref="M652:R652">
    <cfRule type="cellIs" dxfId="469" priority="478" operator="greaterThan">
      <formula>0</formula>
    </cfRule>
  </conditionalFormatting>
  <conditionalFormatting sqref="M653:R653">
    <cfRule type="cellIs" dxfId="468" priority="477" operator="greaterThan">
      <formula>0</formula>
    </cfRule>
  </conditionalFormatting>
  <conditionalFormatting sqref="M652:R653">
    <cfRule type="cellIs" dxfId="467" priority="476" operator="greaterThan">
      <formula>0</formula>
    </cfRule>
  </conditionalFormatting>
  <conditionalFormatting sqref="M664:R665">
    <cfRule type="cellIs" dxfId="466" priority="475" operator="greaterThan">
      <formula>0</formula>
    </cfRule>
  </conditionalFormatting>
  <conditionalFormatting sqref="M663:R663">
    <cfRule type="cellIs" dxfId="465" priority="474" operator="greaterThan">
      <formula>0</formula>
    </cfRule>
  </conditionalFormatting>
  <conditionalFormatting sqref="M666:R666">
    <cfRule type="cellIs" dxfId="464" priority="472" operator="greaterThan">
      <formula>0</formula>
    </cfRule>
  </conditionalFormatting>
  <conditionalFormatting sqref="M667:R667">
    <cfRule type="cellIs" dxfId="463" priority="473" operator="greaterThan">
      <formula>0</formula>
    </cfRule>
  </conditionalFormatting>
  <conditionalFormatting sqref="M670:R672">
    <cfRule type="cellIs" dxfId="462" priority="471" operator="greaterThan">
      <formula>0</formula>
    </cfRule>
  </conditionalFormatting>
  <conditionalFormatting sqref="M670:R672">
    <cfRule type="cellIs" dxfId="461" priority="470" operator="greaterThan">
      <formula>0</formula>
    </cfRule>
  </conditionalFormatting>
  <conditionalFormatting sqref="N689:R689">
    <cfRule type="cellIs" dxfId="460" priority="469" operator="greaterThan">
      <formula>0</formula>
    </cfRule>
  </conditionalFormatting>
  <conditionalFormatting sqref="N689:R689">
    <cfRule type="cellIs" dxfId="459" priority="468" operator="greaterThan">
      <formula>0</formula>
    </cfRule>
  </conditionalFormatting>
  <conditionalFormatting sqref="M683:R685">
    <cfRule type="cellIs" dxfId="458" priority="467" operator="greaterThan">
      <formula>0</formula>
    </cfRule>
  </conditionalFormatting>
  <conditionalFormatting sqref="M674:R675 M678:R682">
    <cfRule type="cellIs" dxfId="457" priority="466" operator="greaterThan">
      <formula>0</formula>
    </cfRule>
  </conditionalFormatting>
  <conditionalFormatting sqref="M693 M691:R692">
    <cfRule type="cellIs" dxfId="456" priority="460" operator="greaterThan">
      <formula>0</formula>
    </cfRule>
  </conditionalFormatting>
  <conditionalFormatting sqref="M690:R690">
    <cfRule type="cellIs" dxfId="455" priority="464" operator="greaterThan">
      <formula>0</formula>
    </cfRule>
  </conditionalFormatting>
  <conditionalFormatting sqref="M688:R688 M689">
    <cfRule type="cellIs" dxfId="454" priority="465" operator="greaterThan">
      <formula>0</formula>
    </cfRule>
  </conditionalFormatting>
  <conditionalFormatting sqref="N693:R693">
    <cfRule type="cellIs" dxfId="453" priority="462" operator="greaterThan">
      <formula>0</formula>
    </cfRule>
  </conditionalFormatting>
  <conditionalFormatting sqref="M689 M674:R675 M678:R685">
    <cfRule type="cellIs" dxfId="452" priority="463" operator="greaterThan">
      <formula>0</formula>
    </cfRule>
  </conditionalFormatting>
  <conditionalFormatting sqref="N693:R693">
    <cfRule type="cellIs" dxfId="451" priority="461" operator="greaterThan">
      <formula>0</formula>
    </cfRule>
  </conditionalFormatting>
  <conditionalFormatting sqref="M693 M691:R692">
    <cfRule type="cellIs" dxfId="450" priority="459" operator="greaterThan">
      <formula>0</formula>
    </cfRule>
  </conditionalFormatting>
  <conditionalFormatting sqref="N695:R695">
    <cfRule type="cellIs" dxfId="449" priority="457" operator="greaterThan">
      <formula>0</formula>
    </cfRule>
  </conditionalFormatting>
  <conditionalFormatting sqref="M695">
    <cfRule type="cellIs" dxfId="448" priority="456" operator="greaterThan">
      <formula>0</formula>
    </cfRule>
  </conditionalFormatting>
  <conditionalFormatting sqref="N695:R695">
    <cfRule type="cellIs" dxfId="447" priority="458" operator="greaterThan">
      <formula>0</formula>
    </cfRule>
  </conditionalFormatting>
  <conditionalFormatting sqref="M695">
    <cfRule type="cellIs" dxfId="446" priority="455" operator="greaterThan">
      <formula>0</formula>
    </cfRule>
  </conditionalFormatting>
  <conditionalFormatting sqref="M686:R687">
    <cfRule type="cellIs" dxfId="445" priority="454" operator="greaterThan">
      <formula>0</formula>
    </cfRule>
  </conditionalFormatting>
  <conditionalFormatting sqref="M686:R687">
    <cfRule type="cellIs" dxfId="444" priority="453" operator="greaterThan">
      <formula>0</formula>
    </cfRule>
  </conditionalFormatting>
  <conditionalFormatting sqref="M696:R696">
    <cfRule type="cellIs" dxfId="443" priority="451" operator="greaterThan">
      <formula>0</formula>
    </cfRule>
  </conditionalFormatting>
  <conditionalFormatting sqref="M696:R696">
    <cfRule type="cellIs" dxfId="442" priority="452" operator="greaterThan">
      <formula>0</formula>
    </cfRule>
  </conditionalFormatting>
  <conditionalFormatting sqref="N697:R701">
    <cfRule type="cellIs" dxfId="441" priority="449" operator="greaterThan">
      <formula>0</formula>
    </cfRule>
  </conditionalFormatting>
  <conditionalFormatting sqref="M697:M701">
    <cfRule type="cellIs" dxfId="440" priority="448" operator="greaterThan">
      <formula>0</formula>
    </cfRule>
  </conditionalFormatting>
  <conditionalFormatting sqref="N697:R701">
    <cfRule type="cellIs" dxfId="439" priority="450" operator="greaterThan">
      <formula>0</formula>
    </cfRule>
  </conditionalFormatting>
  <conditionalFormatting sqref="M697:M701">
    <cfRule type="cellIs" dxfId="438" priority="447" operator="greaterThan">
      <formula>0</formula>
    </cfRule>
  </conditionalFormatting>
  <conditionalFormatting sqref="M676:R677">
    <cfRule type="cellIs" dxfId="437" priority="446" operator="greaterThan">
      <formula>0</formula>
    </cfRule>
  </conditionalFormatting>
  <conditionalFormatting sqref="M676:R677">
    <cfRule type="cellIs" dxfId="436" priority="445" operator="greaterThan">
      <formula>0</formula>
    </cfRule>
  </conditionalFormatting>
  <conditionalFormatting sqref="M708:R708">
    <cfRule type="cellIs" dxfId="435" priority="444" operator="greaterThan">
      <formula>0</formula>
    </cfRule>
  </conditionalFormatting>
  <conditionalFormatting sqref="M708:R708">
    <cfRule type="cellIs" dxfId="434" priority="443" operator="greaterThan">
      <formula>0</formula>
    </cfRule>
  </conditionalFormatting>
  <conditionalFormatting sqref="M707:R707">
    <cfRule type="cellIs" dxfId="433" priority="442" operator="greaterThan">
      <formula>0</formula>
    </cfRule>
  </conditionalFormatting>
  <conditionalFormatting sqref="M707:R707">
    <cfRule type="cellIs" dxfId="432" priority="441" operator="greaterThan">
      <formula>0</formula>
    </cfRule>
  </conditionalFormatting>
  <conditionalFormatting sqref="M721:R721">
    <cfRule type="cellIs" dxfId="431" priority="440" operator="greaterThan">
      <formula>0</formula>
    </cfRule>
  </conditionalFormatting>
  <conditionalFormatting sqref="M721:R721">
    <cfRule type="cellIs" dxfId="430" priority="439" operator="greaterThan">
      <formula>0</formula>
    </cfRule>
  </conditionalFormatting>
  <conditionalFormatting sqref="M720:R720">
    <cfRule type="cellIs" dxfId="429" priority="438" operator="greaterThan">
      <formula>0</formula>
    </cfRule>
  </conditionalFormatting>
  <conditionalFormatting sqref="M718:R719">
    <cfRule type="cellIs" dxfId="428" priority="437" operator="greaterThan">
      <formula>0</formula>
    </cfRule>
  </conditionalFormatting>
  <conditionalFormatting sqref="M718:R720">
    <cfRule type="cellIs" dxfId="427" priority="436" operator="greaterThan">
      <formula>0</formula>
    </cfRule>
  </conditionalFormatting>
  <conditionalFormatting sqref="M725:R725">
    <cfRule type="cellIs" dxfId="426" priority="435" operator="greaterThan">
      <formula>0</formula>
    </cfRule>
  </conditionalFormatting>
  <conditionalFormatting sqref="M725:R725">
    <cfRule type="cellIs" dxfId="425" priority="434" operator="greaterThan">
      <formula>0</formula>
    </cfRule>
  </conditionalFormatting>
  <conditionalFormatting sqref="M724:R724">
    <cfRule type="cellIs" dxfId="424" priority="433" operator="greaterThan">
      <formula>0</formula>
    </cfRule>
  </conditionalFormatting>
  <conditionalFormatting sqref="M724:R724">
    <cfRule type="cellIs" dxfId="423" priority="432" operator="greaterThan">
      <formula>0</formula>
    </cfRule>
  </conditionalFormatting>
  <conditionalFormatting sqref="M723:R723">
    <cfRule type="cellIs" dxfId="422" priority="431" operator="greaterThan">
      <formula>0</formula>
    </cfRule>
  </conditionalFormatting>
  <conditionalFormatting sqref="M723:R723">
    <cfRule type="cellIs" dxfId="421" priority="430" operator="greaterThan">
      <formula>0</formula>
    </cfRule>
  </conditionalFormatting>
  <conditionalFormatting sqref="M722:R722">
    <cfRule type="cellIs" dxfId="420" priority="429" operator="greaterThan">
      <formula>0</formula>
    </cfRule>
  </conditionalFormatting>
  <conditionalFormatting sqref="M722:R722">
    <cfRule type="cellIs" dxfId="419" priority="428" operator="greaterThan">
      <formula>0</formula>
    </cfRule>
  </conditionalFormatting>
  <conditionalFormatting sqref="M727:R727">
    <cfRule type="cellIs" dxfId="418" priority="427" operator="greaterThan">
      <formula>0</formula>
    </cfRule>
  </conditionalFormatting>
  <conditionalFormatting sqref="M727:R727">
    <cfRule type="cellIs" dxfId="417" priority="426" operator="greaterThan">
      <formula>0</formula>
    </cfRule>
  </conditionalFormatting>
  <conditionalFormatting sqref="M726:R726">
    <cfRule type="cellIs" dxfId="416" priority="425" operator="greaterThan">
      <formula>0</formula>
    </cfRule>
  </conditionalFormatting>
  <conditionalFormatting sqref="M726:R726">
    <cfRule type="cellIs" dxfId="415" priority="424" operator="greaterThan">
      <formula>0</formula>
    </cfRule>
  </conditionalFormatting>
  <conditionalFormatting sqref="M728:R730">
    <cfRule type="cellIs" dxfId="414" priority="423" operator="greaterThan">
      <formula>0</formula>
    </cfRule>
  </conditionalFormatting>
  <conditionalFormatting sqref="M728:R730">
    <cfRule type="cellIs" dxfId="413" priority="422" operator="greaterThan">
      <formula>0</formula>
    </cfRule>
  </conditionalFormatting>
  <conditionalFormatting sqref="M739:R740">
    <cfRule type="cellIs" dxfId="412" priority="421" operator="greaterThan">
      <formula>0</formula>
    </cfRule>
  </conditionalFormatting>
  <conditionalFormatting sqref="M739:R740">
    <cfRule type="cellIs" dxfId="411" priority="420" operator="greaterThan">
      <formula>0</formula>
    </cfRule>
  </conditionalFormatting>
  <conditionalFormatting sqref="M741:R745">
    <cfRule type="cellIs" dxfId="410" priority="419" operator="greaterThan">
      <formula>0</formula>
    </cfRule>
  </conditionalFormatting>
  <conditionalFormatting sqref="M774:R774 M741:R745">
    <cfRule type="cellIs" dxfId="409" priority="418" operator="greaterThan">
      <formula>0</formula>
    </cfRule>
  </conditionalFormatting>
  <conditionalFormatting sqref="M746:R746">
    <cfRule type="cellIs" dxfId="408" priority="417" operator="greaterThan">
      <formula>0</formula>
    </cfRule>
  </conditionalFormatting>
  <conditionalFormatting sqref="M746:R746">
    <cfRule type="cellIs" dxfId="407" priority="416" operator="greaterThan">
      <formula>0</formula>
    </cfRule>
  </conditionalFormatting>
  <conditionalFormatting sqref="M747:R747">
    <cfRule type="cellIs" dxfId="406" priority="414" operator="greaterThan">
      <formula>0</formula>
    </cfRule>
  </conditionalFormatting>
  <conditionalFormatting sqref="M747:R747">
    <cfRule type="cellIs" dxfId="405" priority="415" operator="greaterThan">
      <formula>0</formula>
    </cfRule>
  </conditionalFormatting>
  <conditionalFormatting sqref="M750:R751">
    <cfRule type="cellIs" dxfId="404" priority="412" operator="greaterThan">
      <formula>0</formula>
    </cfRule>
  </conditionalFormatting>
  <conditionalFormatting sqref="M748:R748">
    <cfRule type="cellIs" dxfId="403" priority="413" operator="greaterThan">
      <formula>0</formula>
    </cfRule>
  </conditionalFormatting>
  <conditionalFormatting sqref="M749:R749">
    <cfRule type="cellIs" dxfId="402" priority="411" operator="greaterThan">
      <formula>0</formula>
    </cfRule>
  </conditionalFormatting>
  <conditionalFormatting sqref="M752:R752">
    <cfRule type="cellIs" dxfId="401" priority="409" operator="greaterThan">
      <formula>0</formula>
    </cfRule>
  </conditionalFormatting>
  <conditionalFormatting sqref="M753:R753">
    <cfRule type="cellIs" dxfId="400" priority="410" operator="greaterThan">
      <formula>0</formula>
    </cfRule>
  </conditionalFormatting>
  <conditionalFormatting sqref="M748:R753">
    <cfRule type="cellIs" dxfId="399" priority="408" operator="greaterThan">
      <formula>0</formula>
    </cfRule>
  </conditionalFormatting>
  <conditionalFormatting sqref="M757:R758">
    <cfRule type="cellIs" dxfId="398" priority="407" operator="greaterThan">
      <formula>0</formula>
    </cfRule>
  </conditionalFormatting>
  <conditionalFormatting sqref="M757:R758">
    <cfRule type="cellIs" dxfId="397" priority="406" operator="greaterThan">
      <formula>0</formula>
    </cfRule>
  </conditionalFormatting>
  <conditionalFormatting sqref="O761:R762">
    <cfRule type="cellIs" dxfId="396" priority="405" operator="greaterThan">
      <formula>0</formula>
    </cfRule>
  </conditionalFormatting>
  <conditionalFormatting sqref="M763:R763 M765:R765">
    <cfRule type="cellIs" dxfId="395" priority="404" operator="greaterThan">
      <formula>0</formula>
    </cfRule>
  </conditionalFormatting>
  <conditionalFormatting sqref="M763:R763 M765:R765 O761:R762">
    <cfRule type="cellIs" dxfId="394" priority="403" operator="greaterThan">
      <formula>0</formula>
    </cfRule>
  </conditionalFormatting>
  <conditionalFormatting sqref="N761:N762">
    <cfRule type="cellIs" dxfId="393" priority="402" operator="greaterThan">
      <formula>0</formula>
    </cfRule>
  </conditionalFormatting>
  <conditionalFormatting sqref="N761:N762">
    <cfRule type="cellIs" dxfId="392" priority="401" operator="greaterThan">
      <formula>0</formula>
    </cfRule>
  </conditionalFormatting>
  <conditionalFormatting sqref="M761:M762">
    <cfRule type="cellIs" dxfId="391" priority="400" operator="greaterThan">
      <formula>0</formula>
    </cfRule>
  </conditionalFormatting>
  <conditionalFormatting sqref="M761:M762">
    <cfRule type="cellIs" dxfId="390" priority="399" operator="greaterThan">
      <formula>0</formula>
    </cfRule>
  </conditionalFormatting>
  <conditionalFormatting sqref="M764:R764">
    <cfRule type="cellIs" dxfId="389" priority="398" operator="greaterThan">
      <formula>0</formula>
    </cfRule>
  </conditionalFormatting>
  <conditionalFormatting sqref="M764:R764">
    <cfRule type="cellIs" dxfId="388" priority="397" operator="greaterThan">
      <formula>0</formula>
    </cfRule>
  </conditionalFormatting>
  <conditionalFormatting sqref="O768:R769">
    <cfRule type="cellIs" dxfId="387" priority="396" operator="greaterThan">
      <formula>0</formula>
    </cfRule>
  </conditionalFormatting>
  <conditionalFormatting sqref="M770:R770 M772:R772">
    <cfRule type="cellIs" dxfId="386" priority="395" operator="greaterThan">
      <formula>0</formula>
    </cfRule>
  </conditionalFormatting>
  <conditionalFormatting sqref="M770:R770 M772:R772 O768:R769">
    <cfRule type="cellIs" dxfId="385" priority="394" operator="greaterThan">
      <formula>0</formula>
    </cfRule>
  </conditionalFormatting>
  <conditionalFormatting sqref="N768:N769">
    <cfRule type="cellIs" dxfId="384" priority="393" operator="greaterThan">
      <formula>0</formula>
    </cfRule>
  </conditionalFormatting>
  <conditionalFormatting sqref="N768:N769">
    <cfRule type="cellIs" dxfId="383" priority="392" operator="greaterThan">
      <formula>0</formula>
    </cfRule>
  </conditionalFormatting>
  <conditionalFormatting sqref="M768:M769">
    <cfRule type="cellIs" dxfId="382" priority="391" operator="greaterThan">
      <formula>0</formula>
    </cfRule>
  </conditionalFormatting>
  <conditionalFormatting sqref="M768:M769">
    <cfRule type="cellIs" dxfId="381" priority="390" operator="greaterThan">
      <formula>0</formula>
    </cfRule>
  </conditionalFormatting>
  <conditionalFormatting sqref="M771:R771">
    <cfRule type="cellIs" dxfId="380" priority="389" operator="greaterThan">
      <formula>0</formula>
    </cfRule>
  </conditionalFormatting>
  <conditionalFormatting sqref="M771:R771">
    <cfRule type="cellIs" dxfId="379" priority="388" operator="greaterThan">
      <formula>0</formula>
    </cfRule>
  </conditionalFormatting>
  <conditionalFormatting sqref="M829:R831 M836:R843 M864:R864 M862:R862 M868:R868 M901:R901 M922:R924 M927:R927 M934:R934">
    <cfRule type="cellIs" dxfId="378" priority="387" operator="greaterThan">
      <formula>0</formula>
    </cfRule>
  </conditionalFormatting>
  <conditionalFormatting sqref="M818:R818">
    <cfRule type="cellIs" dxfId="377" priority="386" operator="greaterThan">
      <formula>0</formula>
    </cfRule>
  </conditionalFormatting>
  <conditionalFormatting sqref="M818:R818">
    <cfRule type="cellIs" dxfId="376" priority="385" operator="greaterThan">
      <formula>0</formula>
    </cfRule>
  </conditionalFormatting>
  <conditionalFormatting sqref="M835:R835">
    <cfRule type="cellIs" dxfId="375" priority="382" operator="greaterThan">
      <formula>0</formula>
    </cfRule>
  </conditionalFormatting>
  <conditionalFormatting sqref="M835:R835">
    <cfRule type="cellIs" dxfId="374" priority="381" operator="greaterThan">
      <formula>0</formula>
    </cfRule>
  </conditionalFormatting>
  <conditionalFormatting sqref="M819:R820">
    <cfRule type="cellIs" dxfId="373" priority="384" operator="greaterThan">
      <formula>0</formula>
    </cfRule>
  </conditionalFormatting>
  <conditionalFormatting sqref="M819:R820">
    <cfRule type="cellIs" dxfId="372" priority="383" operator="greaterThan">
      <formula>0</formula>
    </cfRule>
  </conditionalFormatting>
  <conditionalFormatting sqref="M847:R847">
    <cfRule type="cellIs" dxfId="371" priority="379" operator="greaterThan">
      <formula>0</formula>
    </cfRule>
  </conditionalFormatting>
  <conditionalFormatting sqref="M847:R847">
    <cfRule type="cellIs" dxfId="370" priority="380" operator="greaterThan">
      <formula>0</formula>
    </cfRule>
  </conditionalFormatting>
  <conditionalFormatting sqref="M880:R880">
    <cfRule type="cellIs" dxfId="369" priority="378" operator="greaterThan">
      <formula>0</formula>
    </cfRule>
  </conditionalFormatting>
  <conditionalFormatting sqref="M880:R880">
    <cfRule type="cellIs" dxfId="368" priority="377" operator="greaterThan">
      <formula>0</formula>
    </cfRule>
  </conditionalFormatting>
  <conditionalFormatting sqref="M876:R876">
    <cfRule type="cellIs" dxfId="367" priority="376" operator="greaterThan">
      <formula>0</formula>
    </cfRule>
  </conditionalFormatting>
  <conditionalFormatting sqref="M879:R879">
    <cfRule type="cellIs" dxfId="366" priority="375" operator="greaterThan">
      <formula>0</formula>
    </cfRule>
  </conditionalFormatting>
  <conditionalFormatting sqref="M877:R878">
    <cfRule type="cellIs" dxfId="365" priority="374" operator="greaterThan">
      <formula>0</formula>
    </cfRule>
  </conditionalFormatting>
  <conditionalFormatting sqref="M876:R879">
    <cfRule type="cellIs" dxfId="364" priority="373" operator="greaterThan">
      <formula>0</formula>
    </cfRule>
  </conditionalFormatting>
  <conditionalFormatting sqref="M884:R888">
    <cfRule type="cellIs" dxfId="363" priority="372" operator="greaterThan">
      <formula>0</formula>
    </cfRule>
  </conditionalFormatting>
  <conditionalFormatting sqref="M884:R888">
    <cfRule type="cellIs" dxfId="362" priority="371" operator="greaterThan">
      <formula>0</formula>
    </cfRule>
  </conditionalFormatting>
  <conditionalFormatting sqref="M883:R883">
    <cfRule type="cellIs" dxfId="361" priority="370" operator="greaterThan">
      <formula>0</formula>
    </cfRule>
  </conditionalFormatting>
  <conditionalFormatting sqref="M883:R883">
    <cfRule type="cellIs" dxfId="360" priority="369" operator="greaterThan">
      <formula>0</formula>
    </cfRule>
  </conditionalFormatting>
  <conditionalFormatting sqref="M889:R889">
    <cfRule type="cellIs" dxfId="359" priority="367" operator="greaterThan">
      <formula>0</formula>
    </cfRule>
  </conditionalFormatting>
  <conditionalFormatting sqref="M889:R889">
    <cfRule type="cellIs" dxfId="358" priority="368" operator="greaterThan">
      <formula>0</formula>
    </cfRule>
  </conditionalFormatting>
  <conditionalFormatting sqref="M902:R902">
    <cfRule type="cellIs" dxfId="357" priority="366" operator="greaterThan">
      <formula>0</formula>
    </cfRule>
  </conditionalFormatting>
  <conditionalFormatting sqref="M903:R904">
    <cfRule type="cellIs" dxfId="356" priority="365" operator="greaterThan">
      <formula>0</formula>
    </cfRule>
  </conditionalFormatting>
  <conditionalFormatting sqref="M902:R904">
    <cfRule type="cellIs" dxfId="355" priority="364" operator="greaterThan">
      <formula>0</formula>
    </cfRule>
  </conditionalFormatting>
  <conditionalFormatting sqref="M905:R905">
    <cfRule type="cellIs" dxfId="354" priority="363" operator="greaterThan">
      <formula>0</formula>
    </cfRule>
  </conditionalFormatting>
  <conditionalFormatting sqref="M905:R905">
    <cfRule type="cellIs" dxfId="353" priority="362" operator="greaterThan">
      <formula>0</formula>
    </cfRule>
  </conditionalFormatting>
  <conditionalFormatting sqref="M907:R908">
    <cfRule type="cellIs" dxfId="352" priority="361" operator="greaterThan">
      <formula>0</formula>
    </cfRule>
  </conditionalFormatting>
  <conditionalFormatting sqref="M907:R908">
    <cfRule type="cellIs" dxfId="351" priority="360" operator="greaterThan">
      <formula>0</formula>
    </cfRule>
  </conditionalFormatting>
  <conditionalFormatting sqref="M906:R906">
    <cfRule type="cellIs" dxfId="350" priority="359" operator="greaterThan">
      <formula>0</formula>
    </cfRule>
  </conditionalFormatting>
  <conditionalFormatting sqref="M906:R906">
    <cfRule type="cellIs" dxfId="349" priority="358" operator="greaterThan">
      <formula>0</formula>
    </cfRule>
  </conditionalFormatting>
  <conditionalFormatting sqref="M928:R928">
    <cfRule type="cellIs" dxfId="348" priority="357" operator="greaterThan">
      <formula>0</formula>
    </cfRule>
  </conditionalFormatting>
  <conditionalFormatting sqref="M928:R928">
    <cfRule type="cellIs" dxfId="347" priority="356" operator="greaterThan">
      <formula>0</formula>
    </cfRule>
  </conditionalFormatting>
  <conditionalFormatting sqref="M935:R935">
    <cfRule type="cellIs" dxfId="346" priority="355" operator="greaterThan">
      <formula>0</formula>
    </cfRule>
  </conditionalFormatting>
  <conditionalFormatting sqref="M935:R935">
    <cfRule type="cellIs" dxfId="345" priority="354" operator="greaterThan">
      <formula>0</formula>
    </cfRule>
  </conditionalFormatting>
  <conditionalFormatting sqref="M823:R824">
    <cfRule type="cellIs" dxfId="344" priority="352" operator="greaterThan">
      <formula>0</formula>
    </cfRule>
  </conditionalFormatting>
  <conditionalFormatting sqref="M821:R821">
    <cfRule type="cellIs" dxfId="343" priority="353" operator="greaterThan">
      <formula>0</formula>
    </cfRule>
  </conditionalFormatting>
  <conditionalFormatting sqref="M822:R822">
    <cfRule type="cellIs" dxfId="342" priority="351" operator="greaterThan">
      <formula>0</formula>
    </cfRule>
  </conditionalFormatting>
  <conditionalFormatting sqref="M825:R825">
    <cfRule type="cellIs" dxfId="341" priority="349" operator="greaterThan">
      <formula>0</formula>
    </cfRule>
  </conditionalFormatting>
  <conditionalFormatting sqref="M828:R828">
    <cfRule type="cellIs" dxfId="340" priority="350" operator="greaterThan">
      <formula>0</formula>
    </cfRule>
  </conditionalFormatting>
  <conditionalFormatting sqref="M821:R825 M828:R828">
    <cfRule type="cellIs" dxfId="339" priority="348" operator="greaterThan">
      <formula>0</formula>
    </cfRule>
  </conditionalFormatting>
  <conditionalFormatting sqref="M832:R834">
    <cfRule type="cellIs" dxfId="338" priority="347" operator="greaterThan">
      <formula>0</formula>
    </cfRule>
  </conditionalFormatting>
  <conditionalFormatting sqref="M832:R834">
    <cfRule type="cellIs" dxfId="337" priority="346" operator="greaterThan">
      <formula>0</formula>
    </cfRule>
  </conditionalFormatting>
  <conditionalFormatting sqref="M826:R826">
    <cfRule type="cellIs" dxfId="336" priority="345" operator="greaterThan">
      <formula>0</formula>
    </cfRule>
  </conditionalFormatting>
  <conditionalFormatting sqref="M827:R827">
    <cfRule type="cellIs" dxfId="335" priority="344" operator="greaterThan">
      <formula>0</formula>
    </cfRule>
  </conditionalFormatting>
  <conditionalFormatting sqref="M826:R827">
    <cfRule type="cellIs" dxfId="334" priority="343" operator="greaterThan">
      <formula>0</formula>
    </cfRule>
  </conditionalFormatting>
  <conditionalFormatting sqref="M838:R839">
    <cfRule type="cellIs" dxfId="333" priority="342" operator="greaterThan">
      <formula>0</formula>
    </cfRule>
  </conditionalFormatting>
  <conditionalFormatting sqref="M837:R837">
    <cfRule type="cellIs" dxfId="332" priority="341" operator="greaterThan">
      <formula>0</formula>
    </cfRule>
  </conditionalFormatting>
  <conditionalFormatting sqref="M840:R840">
    <cfRule type="cellIs" dxfId="331" priority="339" operator="greaterThan">
      <formula>0</formula>
    </cfRule>
  </conditionalFormatting>
  <conditionalFormatting sqref="M841:R841">
    <cfRule type="cellIs" dxfId="330" priority="340" operator="greaterThan">
      <formula>0</formula>
    </cfRule>
  </conditionalFormatting>
  <conditionalFormatting sqref="M844:R846">
    <cfRule type="cellIs" dxfId="329" priority="338" operator="greaterThan">
      <formula>0</formula>
    </cfRule>
  </conditionalFormatting>
  <conditionalFormatting sqref="M844:R846">
    <cfRule type="cellIs" dxfId="328" priority="337" operator="greaterThan">
      <formula>0</formula>
    </cfRule>
  </conditionalFormatting>
  <conditionalFormatting sqref="N863:R863">
    <cfRule type="cellIs" dxfId="327" priority="336" operator="greaterThan">
      <formula>0</formula>
    </cfRule>
  </conditionalFormatting>
  <conditionalFormatting sqref="N863:R863">
    <cfRule type="cellIs" dxfId="326" priority="335" operator="greaterThan">
      <formula>0</formula>
    </cfRule>
  </conditionalFormatting>
  <conditionalFormatting sqref="M857:R859">
    <cfRule type="cellIs" dxfId="325" priority="334" operator="greaterThan">
      <formula>0</formula>
    </cfRule>
  </conditionalFormatting>
  <conditionalFormatting sqref="M848:R849 M852:R856">
    <cfRule type="cellIs" dxfId="324" priority="333" operator="greaterThan">
      <formula>0</formula>
    </cfRule>
  </conditionalFormatting>
  <conditionalFormatting sqref="M867 M865:R866">
    <cfRule type="cellIs" dxfId="323" priority="327" operator="greaterThan">
      <formula>0</formula>
    </cfRule>
  </conditionalFormatting>
  <conditionalFormatting sqref="M864:R864">
    <cfRule type="cellIs" dxfId="322" priority="331" operator="greaterThan">
      <formula>0</formula>
    </cfRule>
  </conditionalFormatting>
  <conditionalFormatting sqref="M862:R862 M863">
    <cfRule type="cellIs" dxfId="321" priority="332" operator="greaterThan">
      <formula>0</formula>
    </cfRule>
  </conditionalFormatting>
  <conditionalFormatting sqref="N867:R867">
    <cfRule type="cellIs" dxfId="320" priority="329" operator="greaterThan">
      <formula>0</formula>
    </cfRule>
  </conditionalFormatting>
  <conditionalFormatting sqref="M863 M848:R849 M852:R859">
    <cfRule type="cellIs" dxfId="319" priority="330" operator="greaterThan">
      <formula>0</formula>
    </cfRule>
  </conditionalFormatting>
  <conditionalFormatting sqref="N867:R867">
    <cfRule type="cellIs" dxfId="318" priority="328" operator="greaterThan">
      <formula>0</formula>
    </cfRule>
  </conditionalFormatting>
  <conditionalFormatting sqref="M867 M865:R866">
    <cfRule type="cellIs" dxfId="317" priority="326" operator="greaterThan">
      <formula>0</formula>
    </cfRule>
  </conditionalFormatting>
  <conditionalFormatting sqref="N869:R869">
    <cfRule type="cellIs" dxfId="316" priority="324" operator="greaterThan">
      <formula>0</formula>
    </cfRule>
  </conditionalFormatting>
  <conditionalFormatting sqref="M869">
    <cfRule type="cellIs" dxfId="315" priority="323" operator="greaterThan">
      <formula>0</formula>
    </cfRule>
  </conditionalFormatting>
  <conditionalFormatting sqref="N869:R869">
    <cfRule type="cellIs" dxfId="314" priority="325" operator="greaterThan">
      <formula>0</formula>
    </cfRule>
  </conditionalFormatting>
  <conditionalFormatting sqref="M869">
    <cfRule type="cellIs" dxfId="313" priority="322" operator="greaterThan">
      <formula>0</formula>
    </cfRule>
  </conditionalFormatting>
  <conditionalFormatting sqref="M860:R861">
    <cfRule type="cellIs" dxfId="312" priority="321" operator="greaterThan">
      <formula>0</formula>
    </cfRule>
  </conditionalFormatting>
  <conditionalFormatting sqref="M860:R861">
    <cfRule type="cellIs" dxfId="311" priority="320" operator="greaterThan">
      <formula>0</formula>
    </cfRule>
  </conditionalFormatting>
  <conditionalFormatting sqref="M870:R870">
    <cfRule type="cellIs" dxfId="310" priority="318" operator="greaterThan">
      <formula>0</formula>
    </cfRule>
  </conditionalFormatting>
  <conditionalFormatting sqref="M870:R870">
    <cfRule type="cellIs" dxfId="309" priority="319" operator="greaterThan">
      <formula>0</formula>
    </cfRule>
  </conditionalFormatting>
  <conditionalFormatting sqref="N871:R875">
    <cfRule type="cellIs" dxfId="308" priority="316" operator="greaterThan">
      <formula>0</formula>
    </cfRule>
  </conditionalFormatting>
  <conditionalFormatting sqref="M871:M875">
    <cfRule type="cellIs" dxfId="307" priority="315" operator="greaterThan">
      <formula>0</formula>
    </cfRule>
  </conditionalFormatting>
  <conditionalFormatting sqref="N871:R875">
    <cfRule type="cellIs" dxfId="306" priority="317" operator="greaterThan">
      <formula>0</formula>
    </cfRule>
  </conditionalFormatting>
  <conditionalFormatting sqref="M871:M875">
    <cfRule type="cellIs" dxfId="305" priority="314" operator="greaterThan">
      <formula>0</formula>
    </cfRule>
  </conditionalFormatting>
  <conditionalFormatting sqref="M850:R851">
    <cfRule type="cellIs" dxfId="304" priority="313" operator="greaterThan">
      <formula>0</formula>
    </cfRule>
  </conditionalFormatting>
  <conditionalFormatting sqref="M850:R851">
    <cfRule type="cellIs" dxfId="303" priority="312" operator="greaterThan">
      <formula>0</formula>
    </cfRule>
  </conditionalFormatting>
  <conditionalFormatting sqref="M882:R882">
    <cfRule type="cellIs" dxfId="302" priority="311" operator="greaterThan">
      <formula>0</formula>
    </cfRule>
  </conditionalFormatting>
  <conditionalFormatting sqref="M882:R882">
    <cfRule type="cellIs" dxfId="301" priority="310" operator="greaterThan">
      <formula>0</formula>
    </cfRule>
  </conditionalFormatting>
  <conditionalFormatting sqref="M881:R881">
    <cfRule type="cellIs" dxfId="300" priority="309" operator="greaterThan">
      <formula>0</formula>
    </cfRule>
  </conditionalFormatting>
  <conditionalFormatting sqref="M881:R881">
    <cfRule type="cellIs" dxfId="299" priority="308" operator="greaterThan">
      <formula>0</formula>
    </cfRule>
  </conditionalFormatting>
  <conditionalFormatting sqref="M893:R893">
    <cfRule type="cellIs" dxfId="298" priority="307" operator="greaterThan">
      <formula>0</formula>
    </cfRule>
  </conditionalFormatting>
  <conditionalFormatting sqref="M893:R893">
    <cfRule type="cellIs" dxfId="297" priority="306" operator="greaterThan">
      <formula>0</formula>
    </cfRule>
  </conditionalFormatting>
  <conditionalFormatting sqref="M892:R892">
    <cfRule type="cellIs" dxfId="296" priority="305" operator="greaterThan">
      <formula>0</formula>
    </cfRule>
  </conditionalFormatting>
  <conditionalFormatting sqref="M890:R891">
    <cfRule type="cellIs" dxfId="295" priority="304" operator="greaterThan">
      <formula>0</formula>
    </cfRule>
  </conditionalFormatting>
  <conditionalFormatting sqref="M890:R892">
    <cfRule type="cellIs" dxfId="294" priority="303" operator="greaterThan">
      <formula>0</formula>
    </cfRule>
  </conditionalFormatting>
  <conditionalFormatting sqref="M895:R895">
    <cfRule type="cellIs" dxfId="293" priority="302" operator="greaterThan">
      <formula>0</formula>
    </cfRule>
  </conditionalFormatting>
  <conditionalFormatting sqref="M895:R895">
    <cfRule type="cellIs" dxfId="292" priority="301" operator="greaterThan">
      <formula>0</formula>
    </cfRule>
  </conditionalFormatting>
  <conditionalFormatting sqref="M894:R894">
    <cfRule type="cellIs" dxfId="291" priority="300" operator="greaterThan">
      <formula>0</formula>
    </cfRule>
  </conditionalFormatting>
  <conditionalFormatting sqref="M894:R894">
    <cfRule type="cellIs" dxfId="290" priority="299" operator="greaterThan">
      <formula>0</formula>
    </cfRule>
  </conditionalFormatting>
  <conditionalFormatting sqref="M897:R897">
    <cfRule type="cellIs" dxfId="289" priority="294" operator="greaterThan">
      <formula>0</formula>
    </cfRule>
  </conditionalFormatting>
  <conditionalFormatting sqref="M897:R897">
    <cfRule type="cellIs" dxfId="288" priority="293" operator="greaterThan">
      <formula>0</formula>
    </cfRule>
  </conditionalFormatting>
  <conditionalFormatting sqref="M896:R896">
    <cfRule type="cellIs" dxfId="287" priority="292" operator="greaterThan">
      <formula>0</formula>
    </cfRule>
  </conditionalFormatting>
  <conditionalFormatting sqref="M896:R896">
    <cfRule type="cellIs" dxfId="286" priority="291" operator="greaterThan">
      <formula>0</formula>
    </cfRule>
  </conditionalFormatting>
  <conditionalFormatting sqref="M898:R900">
    <cfRule type="cellIs" dxfId="285" priority="290" operator="greaterThan">
      <formula>0</formula>
    </cfRule>
  </conditionalFormatting>
  <conditionalFormatting sqref="M898:R900">
    <cfRule type="cellIs" dxfId="284" priority="289" operator="greaterThan">
      <formula>0</formula>
    </cfRule>
  </conditionalFormatting>
  <conditionalFormatting sqref="M910:R913">
    <cfRule type="cellIs" dxfId="283" priority="286" operator="greaterThan">
      <formula>0</formula>
    </cfRule>
  </conditionalFormatting>
  <conditionalFormatting sqref="M910:R913">
    <cfRule type="cellIs" dxfId="282" priority="285" operator="greaterThan">
      <formula>0</formula>
    </cfRule>
  </conditionalFormatting>
  <conditionalFormatting sqref="M914:R914">
    <cfRule type="cellIs" dxfId="281" priority="284" operator="greaterThan">
      <formula>0</formula>
    </cfRule>
  </conditionalFormatting>
  <conditionalFormatting sqref="M914:R914">
    <cfRule type="cellIs" dxfId="280" priority="283" operator="greaterThan">
      <formula>0</formula>
    </cfRule>
  </conditionalFormatting>
  <conditionalFormatting sqref="M915:R915">
    <cfRule type="cellIs" dxfId="279" priority="281" operator="greaterThan">
      <formula>0</formula>
    </cfRule>
  </conditionalFormatting>
  <conditionalFormatting sqref="M915:R915">
    <cfRule type="cellIs" dxfId="278" priority="282" operator="greaterThan">
      <formula>0</formula>
    </cfRule>
  </conditionalFormatting>
  <conditionalFormatting sqref="M918:R919">
    <cfRule type="cellIs" dxfId="277" priority="279" operator="greaterThan">
      <formula>0</formula>
    </cfRule>
  </conditionalFormatting>
  <conditionalFormatting sqref="M916:R916">
    <cfRule type="cellIs" dxfId="276" priority="280" operator="greaterThan">
      <formula>0</formula>
    </cfRule>
  </conditionalFormatting>
  <conditionalFormatting sqref="M917:R917">
    <cfRule type="cellIs" dxfId="275" priority="278" operator="greaterThan">
      <formula>0</formula>
    </cfRule>
  </conditionalFormatting>
  <conditionalFormatting sqref="M920:R920">
    <cfRule type="cellIs" dxfId="274" priority="276" operator="greaterThan">
      <formula>0</formula>
    </cfRule>
  </conditionalFormatting>
  <conditionalFormatting sqref="M921:R921">
    <cfRule type="cellIs" dxfId="273" priority="277" operator="greaterThan">
      <formula>0</formula>
    </cfRule>
  </conditionalFormatting>
  <conditionalFormatting sqref="M916:R921">
    <cfRule type="cellIs" dxfId="272" priority="275" operator="greaterThan">
      <formula>0</formula>
    </cfRule>
  </conditionalFormatting>
  <conditionalFormatting sqref="M925:R926">
    <cfRule type="cellIs" dxfId="271" priority="274" operator="greaterThan">
      <formula>0</formula>
    </cfRule>
  </conditionalFormatting>
  <conditionalFormatting sqref="M925:R926">
    <cfRule type="cellIs" dxfId="270" priority="273" operator="greaterThan">
      <formula>0</formula>
    </cfRule>
  </conditionalFormatting>
  <conditionalFormatting sqref="O929:R930">
    <cfRule type="cellIs" dxfId="269" priority="272" operator="greaterThan">
      <formula>0</formula>
    </cfRule>
  </conditionalFormatting>
  <conditionalFormatting sqref="M931:R931 M933:R933">
    <cfRule type="cellIs" dxfId="268" priority="271" operator="greaterThan">
      <formula>0</formula>
    </cfRule>
  </conditionalFormatting>
  <conditionalFormatting sqref="M931:R931 M933:R933 O929:R930">
    <cfRule type="cellIs" dxfId="267" priority="270" operator="greaterThan">
      <formula>0</formula>
    </cfRule>
  </conditionalFormatting>
  <conditionalFormatting sqref="N929:N930">
    <cfRule type="cellIs" dxfId="266" priority="269" operator="greaterThan">
      <formula>0</formula>
    </cfRule>
  </conditionalFormatting>
  <conditionalFormatting sqref="N929:N930">
    <cfRule type="cellIs" dxfId="265" priority="268" operator="greaterThan">
      <formula>0</formula>
    </cfRule>
  </conditionalFormatting>
  <conditionalFormatting sqref="M929:M930">
    <cfRule type="cellIs" dxfId="264" priority="267" operator="greaterThan">
      <formula>0</formula>
    </cfRule>
  </conditionalFormatting>
  <conditionalFormatting sqref="M929:M930">
    <cfRule type="cellIs" dxfId="263" priority="266" operator="greaterThan">
      <formula>0</formula>
    </cfRule>
  </conditionalFormatting>
  <conditionalFormatting sqref="M932:R932">
    <cfRule type="cellIs" dxfId="262" priority="265" operator="greaterThan">
      <formula>0</formula>
    </cfRule>
  </conditionalFormatting>
  <conditionalFormatting sqref="M932:R932">
    <cfRule type="cellIs" dxfId="261" priority="264" operator="greaterThan">
      <formula>0</formula>
    </cfRule>
  </conditionalFormatting>
  <conditionalFormatting sqref="O936:R937">
    <cfRule type="cellIs" dxfId="260" priority="263" operator="greaterThan">
      <formula>0</formula>
    </cfRule>
  </conditionalFormatting>
  <conditionalFormatting sqref="M938:R938 M940:R940">
    <cfRule type="cellIs" dxfId="259" priority="262" operator="greaterThan">
      <formula>0</formula>
    </cfRule>
  </conditionalFormatting>
  <conditionalFormatting sqref="M938:R938 M940:R940 O936:R937">
    <cfRule type="cellIs" dxfId="258" priority="261" operator="greaterThan">
      <formula>0</formula>
    </cfRule>
  </conditionalFormatting>
  <conditionalFormatting sqref="N936:N937">
    <cfRule type="cellIs" dxfId="257" priority="260" operator="greaterThan">
      <formula>0</formula>
    </cfRule>
  </conditionalFormatting>
  <conditionalFormatting sqref="N936:N937">
    <cfRule type="cellIs" dxfId="256" priority="259" operator="greaterThan">
      <formula>0</formula>
    </cfRule>
  </conditionalFormatting>
  <conditionalFormatting sqref="M936:M937">
    <cfRule type="cellIs" dxfId="255" priority="258" operator="greaterThan">
      <formula>0</formula>
    </cfRule>
  </conditionalFormatting>
  <conditionalFormatting sqref="M936:M937">
    <cfRule type="cellIs" dxfId="254" priority="257" operator="greaterThan">
      <formula>0</formula>
    </cfRule>
  </conditionalFormatting>
  <conditionalFormatting sqref="M939:R939">
    <cfRule type="cellIs" dxfId="253" priority="256" operator="greaterThan">
      <formula>0</formula>
    </cfRule>
  </conditionalFormatting>
  <conditionalFormatting sqref="M939:R939">
    <cfRule type="cellIs" dxfId="252" priority="255" operator="greaterThan">
      <formula>0</formula>
    </cfRule>
  </conditionalFormatting>
  <conditionalFormatting sqref="M782:R782">
    <cfRule type="cellIs" dxfId="251" priority="254" operator="greaterThan">
      <formula>0</formula>
    </cfRule>
  </conditionalFormatting>
  <conditionalFormatting sqref="M782:R782">
    <cfRule type="cellIs" dxfId="250" priority="253" operator="greaterThan">
      <formula>0</formula>
    </cfRule>
  </conditionalFormatting>
  <conditionalFormatting sqref="M781:R781">
    <cfRule type="cellIs" dxfId="249" priority="252" operator="greaterThan">
      <formula>0</formula>
    </cfRule>
  </conditionalFormatting>
  <conditionalFormatting sqref="M781:R781">
    <cfRule type="cellIs" dxfId="248" priority="251" operator="greaterThan">
      <formula>0</formula>
    </cfRule>
  </conditionalFormatting>
  <conditionalFormatting sqref="M783:R786">
    <cfRule type="cellIs" dxfId="247" priority="250" operator="greaterThan">
      <formula>0</formula>
    </cfRule>
  </conditionalFormatting>
  <conditionalFormatting sqref="M783:R786">
    <cfRule type="cellIs" dxfId="246" priority="249" operator="greaterThan">
      <formula>0</formula>
    </cfRule>
  </conditionalFormatting>
  <conditionalFormatting sqref="M799:R799">
    <cfRule type="cellIs" dxfId="245" priority="248" operator="greaterThan">
      <formula>0</formula>
    </cfRule>
  </conditionalFormatting>
  <conditionalFormatting sqref="M799:R799">
    <cfRule type="cellIs" dxfId="244" priority="247" operator="greaterThan">
      <formula>0</formula>
    </cfRule>
  </conditionalFormatting>
  <conditionalFormatting sqref="M800:R802">
    <cfRule type="cellIs" dxfId="243" priority="244" operator="greaterThan">
      <formula>0</formula>
    </cfRule>
  </conditionalFormatting>
  <conditionalFormatting sqref="M800:R800">
    <cfRule type="cellIs" dxfId="242" priority="246" operator="greaterThan">
      <formula>0</formula>
    </cfRule>
  </conditionalFormatting>
  <conditionalFormatting sqref="M801:R802">
    <cfRule type="cellIs" dxfId="241" priority="245" operator="greaterThan">
      <formula>0</formula>
    </cfRule>
  </conditionalFormatting>
  <conditionalFormatting sqref="M803:R803">
    <cfRule type="cellIs" dxfId="240" priority="243" operator="greaterThan">
      <formula>0</formula>
    </cfRule>
  </conditionalFormatting>
  <conditionalFormatting sqref="M803:R803">
    <cfRule type="cellIs" dxfId="239" priority="242" operator="greaterThan">
      <formula>0</formula>
    </cfRule>
  </conditionalFormatting>
  <conditionalFormatting sqref="M805:R810">
    <cfRule type="cellIs" dxfId="238" priority="241" operator="greaterThan">
      <formula>0</formula>
    </cfRule>
  </conditionalFormatting>
  <conditionalFormatting sqref="M805:R810">
    <cfRule type="cellIs" dxfId="237" priority="240" operator="greaterThan">
      <formula>0</formula>
    </cfRule>
  </conditionalFormatting>
  <conditionalFormatting sqref="M804:R804">
    <cfRule type="cellIs" dxfId="236" priority="239" operator="greaterThan">
      <formula>0</formula>
    </cfRule>
  </conditionalFormatting>
  <conditionalFormatting sqref="M804:R804">
    <cfRule type="cellIs" dxfId="235" priority="238" operator="greaterThan">
      <formula>0</formula>
    </cfRule>
  </conditionalFormatting>
  <conditionalFormatting sqref="O813:R814">
    <cfRule type="cellIs" dxfId="234" priority="237" operator="greaterThan">
      <formula>0</formula>
    </cfRule>
  </conditionalFormatting>
  <conditionalFormatting sqref="M815:R815 M817:R817">
    <cfRule type="cellIs" dxfId="233" priority="236" operator="greaterThan">
      <formula>0</formula>
    </cfRule>
  </conditionalFormatting>
  <conditionalFormatting sqref="M815:R815 M817:R817 O813:R814">
    <cfRule type="cellIs" dxfId="232" priority="235" operator="greaterThan">
      <formula>0</formula>
    </cfRule>
  </conditionalFormatting>
  <conditionalFormatting sqref="N813:N814">
    <cfRule type="cellIs" dxfId="231" priority="234" operator="greaterThan">
      <formula>0</formula>
    </cfRule>
  </conditionalFormatting>
  <conditionalFormatting sqref="N813:N814">
    <cfRule type="cellIs" dxfId="230" priority="233" operator="greaterThan">
      <formula>0</formula>
    </cfRule>
  </conditionalFormatting>
  <conditionalFormatting sqref="M813:M814">
    <cfRule type="cellIs" dxfId="229" priority="232" operator="greaterThan">
      <formula>0</formula>
    </cfRule>
  </conditionalFormatting>
  <conditionalFormatting sqref="M813:M814">
    <cfRule type="cellIs" dxfId="228" priority="231" operator="greaterThan">
      <formula>0</formula>
    </cfRule>
  </conditionalFormatting>
  <conditionalFormatting sqref="M816:R816">
    <cfRule type="cellIs" dxfId="227" priority="230" operator="greaterThan">
      <formula>0</formula>
    </cfRule>
  </conditionalFormatting>
  <conditionalFormatting sqref="M816:R816">
    <cfRule type="cellIs" dxfId="226" priority="229" operator="greaterThan">
      <formula>0</formula>
    </cfRule>
  </conditionalFormatting>
  <conditionalFormatting sqref="M965:R965">
    <cfRule type="cellIs" dxfId="225" priority="228" operator="greaterThan">
      <formula>0</formula>
    </cfRule>
  </conditionalFormatting>
  <conditionalFormatting sqref="M965:R965">
    <cfRule type="cellIs" dxfId="224" priority="227" operator="greaterThan">
      <formula>0</formula>
    </cfRule>
  </conditionalFormatting>
  <conditionalFormatting sqref="M959:R960">
    <cfRule type="cellIs" dxfId="223" priority="225" operator="greaterThan">
      <formula>0</formula>
    </cfRule>
  </conditionalFormatting>
  <conditionalFormatting sqref="M961:R964">
    <cfRule type="cellIs" dxfId="222" priority="226" operator="greaterThan">
      <formula>0</formula>
    </cfRule>
  </conditionalFormatting>
  <conditionalFormatting sqref="M967:R972">
    <cfRule type="cellIs" dxfId="221" priority="222" operator="greaterThan">
      <formula>0</formula>
    </cfRule>
  </conditionalFormatting>
  <conditionalFormatting sqref="M966:R966">
    <cfRule type="cellIs" dxfId="220" priority="221" operator="greaterThan">
      <formula>0</formula>
    </cfRule>
  </conditionalFormatting>
  <conditionalFormatting sqref="M959:R964">
    <cfRule type="cellIs" dxfId="219" priority="224" operator="greaterThan">
      <formula>0</formula>
    </cfRule>
  </conditionalFormatting>
  <conditionalFormatting sqref="M967:R972">
    <cfRule type="cellIs" dxfId="218" priority="223" operator="greaterThan">
      <formula>0</formula>
    </cfRule>
  </conditionalFormatting>
  <conditionalFormatting sqref="M966:R966">
    <cfRule type="cellIs" dxfId="217" priority="220" operator="greaterThan">
      <formula>0</formula>
    </cfRule>
  </conditionalFormatting>
  <conditionalFormatting sqref="M976:R977">
    <cfRule type="cellIs" dxfId="216" priority="218" operator="greaterThan">
      <formula>0</formula>
    </cfRule>
  </conditionalFormatting>
  <conditionalFormatting sqref="M974:R974">
    <cfRule type="cellIs" dxfId="215" priority="219" operator="greaterThan">
      <formula>0</formula>
    </cfRule>
  </conditionalFormatting>
  <conditionalFormatting sqref="M975:R975">
    <cfRule type="cellIs" dxfId="214" priority="217" operator="greaterThan">
      <formula>0</formula>
    </cfRule>
  </conditionalFormatting>
  <conditionalFormatting sqref="M978:R978">
    <cfRule type="cellIs" dxfId="213" priority="215" operator="greaterThan">
      <formula>0</formula>
    </cfRule>
  </conditionalFormatting>
  <conditionalFormatting sqref="M979:R979">
    <cfRule type="cellIs" dxfId="212" priority="216" operator="greaterThan">
      <formula>0</formula>
    </cfRule>
  </conditionalFormatting>
  <conditionalFormatting sqref="M974:R979">
    <cfRule type="cellIs" dxfId="211" priority="214" operator="greaterThan">
      <formula>0</formula>
    </cfRule>
  </conditionalFormatting>
  <conditionalFormatting sqref="M980:R984">
    <cfRule type="cellIs" dxfId="210" priority="212" operator="greaterThan">
      <formula>0</formula>
    </cfRule>
  </conditionalFormatting>
  <conditionalFormatting sqref="M980:R984">
    <cfRule type="cellIs" dxfId="209" priority="213" operator="greaterThan">
      <formula>0</formula>
    </cfRule>
  </conditionalFormatting>
  <conditionalFormatting sqref="M985:R986">
    <cfRule type="cellIs" dxfId="208" priority="211" operator="greaterThan">
      <formula>0</formula>
    </cfRule>
  </conditionalFormatting>
  <conditionalFormatting sqref="M985:R986">
    <cfRule type="cellIs" dxfId="207" priority="210" operator="greaterThan">
      <formula>0</formula>
    </cfRule>
  </conditionalFormatting>
  <conditionalFormatting sqref="M995:R998">
    <cfRule type="cellIs" dxfId="206" priority="209" operator="greaterThan">
      <formula>0</formula>
    </cfRule>
  </conditionalFormatting>
  <conditionalFormatting sqref="M994:R994">
    <cfRule type="cellIs" dxfId="205" priority="208" operator="greaterThan">
      <formula>0</formula>
    </cfRule>
  </conditionalFormatting>
  <conditionalFormatting sqref="M994:R994">
    <cfRule type="cellIs" dxfId="204" priority="207" operator="greaterThan">
      <formula>0</formula>
    </cfRule>
  </conditionalFormatting>
  <conditionalFormatting sqref="M999:R1000">
    <cfRule type="cellIs" dxfId="203" priority="206" operator="greaterThan">
      <formula>0</formula>
    </cfRule>
  </conditionalFormatting>
  <conditionalFormatting sqref="M999:R1000">
    <cfRule type="cellIs" dxfId="202" priority="205" operator="greaterThan">
      <formula>0</formula>
    </cfRule>
  </conditionalFormatting>
  <conditionalFormatting sqref="M1038:R1039">
    <cfRule type="cellIs" dxfId="201" priority="204" operator="greaterThan">
      <formula>0</formula>
    </cfRule>
  </conditionalFormatting>
  <conditionalFormatting sqref="M1038:R1039">
    <cfRule type="cellIs" dxfId="200" priority="203" operator="greaterThan">
      <formula>0</formula>
    </cfRule>
  </conditionalFormatting>
  <conditionalFormatting sqref="M1009:R1010">
    <cfRule type="cellIs" dxfId="199" priority="202" operator="greaterThan">
      <formula>0</formula>
    </cfRule>
  </conditionalFormatting>
  <conditionalFormatting sqref="M1009:R1010">
    <cfRule type="cellIs" dxfId="198" priority="201" operator="greaterThan">
      <formula>0</formula>
    </cfRule>
  </conditionalFormatting>
  <conditionalFormatting sqref="M1019:R1021">
    <cfRule type="cellIs" dxfId="197" priority="200" operator="greaterThan">
      <formula>0</formula>
    </cfRule>
  </conditionalFormatting>
  <conditionalFormatting sqref="M1019:R1021">
    <cfRule type="cellIs" dxfId="196" priority="199" operator="greaterThan">
      <formula>0</formula>
    </cfRule>
  </conditionalFormatting>
  <conditionalFormatting sqref="M1022:R1023">
    <cfRule type="cellIs" dxfId="195" priority="198" operator="greaterThan">
      <formula>0</formula>
    </cfRule>
  </conditionalFormatting>
  <conditionalFormatting sqref="M1022:R1023">
    <cfRule type="cellIs" dxfId="194" priority="197" operator="greaterThan">
      <formula>0</formula>
    </cfRule>
  </conditionalFormatting>
  <conditionalFormatting sqref="M1024:R1025">
    <cfRule type="cellIs" dxfId="193" priority="196" operator="greaterThan">
      <formula>0</formula>
    </cfRule>
  </conditionalFormatting>
  <conditionalFormatting sqref="M1026:R1027">
    <cfRule type="cellIs" dxfId="192" priority="195" operator="greaterThan">
      <formula>0</formula>
    </cfRule>
  </conditionalFormatting>
  <conditionalFormatting sqref="M1026:R1027">
    <cfRule type="cellIs" dxfId="191" priority="194" operator="greaterThan">
      <formula>0</formula>
    </cfRule>
  </conditionalFormatting>
  <conditionalFormatting sqref="M1041:R1041 O1042:R1043">
    <cfRule type="cellIs" dxfId="190" priority="193" operator="greaterThan">
      <formula>0</formula>
    </cfRule>
  </conditionalFormatting>
  <conditionalFormatting sqref="M1044:R1044 M1046:R1046 M1048:R1048">
    <cfRule type="cellIs" dxfId="189" priority="192" operator="greaterThan">
      <formula>0</formula>
    </cfRule>
  </conditionalFormatting>
  <conditionalFormatting sqref="M1041:R1041 M1044:R1044 M1046:R1046 O1042:R1043 M1048:R1048">
    <cfRule type="cellIs" dxfId="188" priority="191" operator="greaterThan">
      <formula>0</formula>
    </cfRule>
  </conditionalFormatting>
  <conditionalFormatting sqref="M1040:R1040">
    <cfRule type="cellIs" dxfId="187" priority="190" operator="greaterThan">
      <formula>0</formula>
    </cfRule>
  </conditionalFormatting>
  <conditionalFormatting sqref="M1045:R1045">
    <cfRule type="cellIs" dxfId="186" priority="185" operator="greaterThan">
      <formula>0</formula>
    </cfRule>
  </conditionalFormatting>
  <conditionalFormatting sqref="M1045:R1045">
    <cfRule type="cellIs" dxfId="185" priority="184" operator="greaterThan">
      <formula>0</formula>
    </cfRule>
  </conditionalFormatting>
  <conditionalFormatting sqref="M1049:R1049">
    <cfRule type="cellIs" dxfId="184" priority="183" operator="greaterThan">
      <formula>0</formula>
    </cfRule>
  </conditionalFormatting>
  <conditionalFormatting sqref="M1056:R1056">
    <cfRule type="cellIs" dxfId="183" priority="182" operator="greaterThan">
      <formula>0</formula>
    </cfRule>
  </conditionalFormatting>
  <conditionalFormatting sqref="M1042:M1043">
    <cfRule type="cellIs" dxfId="182" priority="186" operator="greaterThan">
      <formula>0</formula>
    </cfRule>
  </conditionalFormatting>
  <conditionalFormatting sqref="N1042:N1043">
    <cfRule type="cellIs" dxfId="181" priority="189" operator="greaterThan">
      <formula>0</formula>
    </cfRule>
  </conditionalFormatting>
  <conditionalFormatting sqref="N1042:N1043">
    <cfRule type="cellIs" dxfId="180" priority="188" operator="greaterThan">
      <formula>0</formula>
    </cfRule>
  </conditionalFormatting>
  <conditionalFormatting sqref="M1042:M1043">
    <cfRule type="cellIs" dxfId="179" priority="187" operator="greaterThan">
      <formula>0</formula>
    </cfRule>
  </conditionalFormatting>
  <conditionalFormatting sqref="M1049:R1049 M1056:R1056">
    <cfRule type="cellIs" dxfId="178" priority="181" operator="greaterThan">
      <formula>0</formula>
    </cfRule>
  </conditionalFormatting>
  <conditionalFormatting sqref="M1057:R1057">
    <cfRule type="cellIs" dxfId="177" priority="180" operator="greaterThan">
      <formula>0</formula>
    </cfRule>
  </conditionalFormatting>
  <conditionalFormatting sqref="M1057:R1057">
    <cfRule type="cellIs" dxfId="176" priority="179" operator="greaterThan">
      <formula>0</formula>
    </cfRule>
  </conditionalFormatting>
  <conditionalFormatting sqref="O1050:R1051">
    <cfRule type="cellIs" dxfId="175" priority="178" operator="greaterThan">
      <formula>0</formula>
    </cfRule>
  </conditionalFormatting>
  <conditionalFormatting sqref="M1052:R1052 M1054:R1054">
    <cfRule type="cellIs" dxfId="174" priority="177" operator="greaterThan">
      <formula>0</formula>
    </cfRule>
  </conditionalFormatting>
  <conditionalFormatting sqref="M1052:R1052 M1054:R1054 O1050:R1051">
    <cfRule type="cellIs" dxfId="173" priority="176" operator="greaterThan">
      <formula>0</formula>
    </cfRule>
  </conditionalFormatting>
  <conditionalFormatting sqref="N1050:N1051">
    <cfRule type="cellIs" dxfId="172" priority="175" operator="greaterThan">
      <formula>0</formula>
    </cfRule>
  </conditionalFormatting>
  <conditionalFormatting sqref="N1050:N1051">
    <cfRule type="cellIs" dxfId="171" priority="174" operator="greaterThan">
      <formula>0</formula>
    </cfRule>
  </conditionalFormatting>
  <conditionalFormatting sqref="M1050:M1051">
    <cfRule type="cellIs" dxfId="170" priority="173" operator="greaterThan">
      <formula>0</formula>
    </cfRule>
  </conditionalFormatting>
  <conditionalFormatting sqref="M1050:M1051">
    <cfRule type="cellIs" dxfId="169" priority="172" operator="greaterThan">
      <formula>0</formula>
    </cfRule>
  </conditionalFormatting>
  <conditionalFormatting sqref="M1053:R1053">
    <cfRule type="cellIs" dxfId="168" priority="171" operator="greaterThan">
      <formula>0</formula>
    </cfRule>
  </conditionalFormatting>
  <conditionalFormatting sqref="M1053:R1053">
    <cfRule type="cellIs" dxfId="167" priority="170" operator="greaterThan">
      <formula>0</formula>
    </cfRule>
  </conditionalFormatting>
  <conditionalFormatting sqref="O1058:R1059">
    <cfRule type="cellIs" dxfId="166" priority="169" operator="greaterThan">
      <formula>0</formula>
    </cfRule>
  </conditionalFormatting>
  <conditionalFormatting sqref="M1060:R1060 M1062:R1062">
    <cfRule type="cellIs" dxfId="165" priority="168" operator="greaterThan">
      <formula>0</formula>
    </cfRule>
  </conditionalFormatting>
  <conditionalFormatting sqref="M1060:R1060 M1062:R1062 O1058:R1059">
    <cfRule type="cellIs" dxfId="164" priority="167" operator="greaterThan">
      <formula>0</formula>
    </cfRule>
  </conditionalFormatting>
  <conditionalFormatting sqref="N1058:N1059">
    <cfRule type="cellIs" dxfId="163" priority="166" operator="greaterThan">
      <formula>0</formula>
    </cfRule>
  </conditionalFormatting>
  <conditionalFormatting sqref="N1058:N1059">
    <cfRule type="cellIs" dxfId="162" priority="165" operator="greaterThan">
      <formula>0</formula>
    </cfRule>
  </conditionalFormatting>
  <conditionalFormatting sqref="M1058:M1059">
    <cfRule type="cellIs" dxfId="161" priority="164" operator="greaterThan">
      <formula>0</formula>
    </cfRule>
  </conditionalFormatting>
  <conditionalFormatting sqref="M1058:M1059">
    <cfRule type="cellIs" dxfId="160" priority="163" operator="greaterThan">
      <formula>0</formula>
    </cfRule>
  </conditionalFormatting>
  <conditionalFormatting sqref="M1061:R1061">
    <cfRule type="cellIs" dxfId="159" priority="162" operator="greaterThan">
      <formula>0</formula>
    </cfRule>
  </conditionalFormatting>
  <conditionalFormatting sqref="M1061:R1061">
    <cfRule type="cellIs" dxfId="158" priority="161" operator="greaterThan">
      <formula>0</formula>
    </cfRule>
  </conditionalFormatting>
  <conditionalFormatting sqref="M1076:R1077">
    <cfRule type="cellIs" dxfId="157" priority="160" operator="greaterThan">
      <formula>0</formula>
    </cfRule>
  </conditionalFormatting>
  <conditionalFormatting sqref="M1078:R1079">
    <cfRule type="cellIs" dxfId="156" priority="159" operator="greaterThan">
      <formula>0</formula>
    </cfRule>
  </conditionalFormatting>
  <conditionalFormatting sqref="M1087:R1087">
    <cfRule type="cellIs" dxfId="155" priority="158" operator="greaterThan">
      <formula>0</formula>
    </cfRule>
  </conditionalFormatting>
  <conditionalFormatting sqref="M1088:R1089">
    <cfRule type="cellIs" dxfId="154" priority="156" operator="greaterThan">
      <formula>0</formula>
    </cfRule>
  </conditionalFormatting>
  <conditionalFormatting sqref="M1088:R1089">
    <cfRule type="cellIs" dxfId="153" priority="157" operator="greaterThan">
      <formula>0</formula>
    </cfRule>
  </conditionalFormatting>
  <conditionalFormatting sqref="M1090:R1090">
    <cfRule type="cellIs" dxfId="152" priority="155" operator="greaterThan">
      <formula>0</formula>
    </cfRule>
  </conditionalFormatting>
  <conditionalFormatting sqref="M1091:R1092">
    <cfRule type="cellIs" dxfId="151" priority="153" operator="greaterThan">
      <formula>0</formula>
    </cfRule>
  </conditionalFormatting>
  <conditionalFormatting sqref="M1091:R1092">
    <cfRule type="cellIs" dxfId="150" priority="154" operator="greaterThan">
      <formula>0</formula>
    </cfRule>
  </conditionalFormatting>
  <conditionalFormatting sqref="M1093:R1093">
    <cfRule type="cellIs" dxfId="149" priority="152" operator="greaterThan">
      <formula>0</formula>
    </cfRule>
  </conditionalFormatting>
  <conditionalFormatting sqref="M1102:R1102">
    <cfRule type="cellIs" dxfId="148" priority="150" operator="greaterThan">
      <formula>0</formula>
    </cfRule>
  </conditionalFormatting>
  <conditionalFormatting sqref="M1102:R1102">
    <cfRule type="cellIs" dxfId="147" priority="151" operator="greaterThan">
      <formula>0</formula>
    </cfRule>
  </conditionalFormatting>
  <conditionalFormatting sqref="M1106:R1106">
    <cfRule type="cellIs" dxfId="146" priority="148" operator="greaterThan">
      <formula>0</formula>
    </cfRule>
  </conditionalFormatting>
  <conditionalFormatting sqref="M1106:R1106">
    <cfRule type="cellIs" dxfId="145" priority="149" operator="greaterThan">
      <formula>0</formula>
    </cfRule>
  </conditionalFormatting>
  <conditionalFormatting sqref="M1107:R1108">
    <cfRule type="cellIs" dxfId="144" priority="146" operator="greaterThan">
      <formula>0</formula>
    </cfRule>
  </conditionalFormatting>
  <conditionalFormatting sqref="M1107:R1108">
    <cfRule type="cellIs" dxfId="143" priority="147" operator="greaterThan">
      <formula>0</formula>
    </cfRule>
  </conditionalFormatting>
  <conditionalFormatting sqref="M1109:R1109">
    <cfRule type="cellIs" dxfId="142" priority="144" operator="greaterThan">
      <formula>0</formula>
    </cfRule>
  </conditionalFormatting>
  <conditionalFormatting sqref="M1109:R1109">
    <cfRule type="cellIs" dxfId="141" priority="145" operator="greaterThan">
      <formula>0</formula>
    </cfRule>
  </conditionalFormatting>
  <conditionalFormatting sqref="M1117:R1117">
    <cfRule type="cellIs" dxfId="140" priority="142" operator="greaterThan">
      <formula>0</formula>
    </cfRule>
  </conditionalFormatting>
  <conditionalFormatting sqref="M1117:R1117">
    <cfRule type="cellIs" dxfId="139" priority="143" operator="greaterThan">
      <formula>0</formula>
    </cfRule>
  </conditionalFormatting>
  <conditionalFormatting sqref="M1118:R1121">
    <cfRule type="cellIs" dxfId="138" priority="140" operator="greaterThan">
      <formula>0</formula>
    </cfRule>
  </conditionalFormatting>
  <conditionalFormatting sqref="M1118:R1121">
    <cfRule type="cellIs" dxfId="137" priority="141" operator="greaterThan">
      <formula>0</formula>
    </cfRule>
  </conditionalFormatting>
  <conditionalFormatting sqref="M1122:R1122">
    <cfRule type="cellIs" dxfId="136" priority="138" operator="greaterThan">
      <formula>0</formula>
    </cfRule>
  </conditionalFormatting>
  <conditionalFormatting sqref="M1122:R1122">
    <cfRule type="cellIs" dxfId="135" priority="139" operator="greaterThan">
      <formula>0</formula>
    </cfRule>
  </conditionalFormatting>
  <conditionalFormatting sqref="M1123:R1124">
    <cfRule type="cellIs" dxfId="134" priority="136" operator="greaterThan">
      <formula>0</formula>
    </cfRule>
  </conditionalFormatting>
  <conditionalFormatting sqref="M1123:R1124">
    <cfRule type="cellIs" dxfId="133" priority="137" operator="greaterThan">
      <formula>0</formula>
    </cfRule>
  </conditionalFormatting>
  <conditionalFormatting sqref="M1125:R1125">
    <cfRule type="cellIs" dxfId="132" priority="134" operator="greaterThan">
      <formula>0</formula>
    </cfRule>
  </conditionalFormatting>
  <conditionalFormatting sqref="M1125:R1125">
    <cfRule type="cellIs" dxfId="131" priority="135" operator="greaterThan">
      <formula>0</formula>
    </cfRule>
  </conditionalFormatting>
  <conditionalFormatting sqref="M437:R437">
    <cfRule type="cellIs" dxfId="130" priority="132" operator="greaterThan">
      <formula>0</formula>
    </cfRule>
  </conditionalFormatting>
  <conditionalFormatting sqref="M443:R443">
    <cfRule type="cellIs" dxfId="129" priority="127" operator="greaterThan">
      <formula>0</formula>
    </cfRule>
  </conditionalFormatting>
  <conditionalFormatting sqref="M437:R437">
    <cfRule type="cellIs" dxfId="128" priority="133" operator="greaterThan">
      <formula>0</formula>
    </cfRule>
  </conditionalFormatting>
  <conditionalFormatting sqref="M443:R443">
    <cfRule type="cellIs" dxfId="127" priority="126" operator="greaterThan">
      <formula>0</formula>
    </cfRule>
  </conditionalFormatting>
  <conditionalFormatting sqref="M438:R438">
    <cfRule type="cellIs" dxfId="126" priority="128" operator="greaterThan">
      <formula>0</formula>
    </cfRule>
  </conditionalFormatting>
  <conditionalFormatting sqref="M442:R442">
    <cfRule type="cellIs" dxfId="125" priority="130" operator="greaterThan">
      <formula>0</formula>
    </cfRule>
  </conditionalFormatting>
  <conditionalFormatting sqref="M442:R442">
    <cfRule type="cellIs" dxfId="124" priority="131" operator="greaterThan">
      <formula>0</formula>
    </cfRule>
  </conditionalFormatting>
  <conditionalFormatting sqref="M441:R441">
    <cfRule type="cellIs" dxfId="123" priority="129" operator="greaterThan">
      <formula>0</formula>
    </cfRule>
  </conditionalFormatting>
  <conditionalFormatting sqref="M445:R448">
    <cfRule type="cellIs" dxfId="122" priority="125" operator="greaterThan">
      <formula>0</formula>
    </cfRule>
  </conditionalFormatting>
  <conditionalFormatting sqref="M444:R444">
    <cfRule type="cellIs" dxfId="121" priority="123" operator="greaterThan">
      <formula>0</formula>
    </cfRule>
  </conditionalFormatting>
  <conditionalFormatting sqref="M454:R454">
    <cfRule type="cellIs" dxfId="120" priority="113" operator="greaterThan">
      <formula>0</formula>
    </cfRule>
  </conditionalFormatting>
  <conditionalFormatting sqref="M444:R444">
    <cfRule type="cellIs" dxfId="119" priority="124" operator="greaterThan">
      <formula>0</formula>
    </cfRule>
  </conditionalFormatting>
  <conditionalFormatting sqref="M451:R451">
    <cfRule type="cellIs" dxfId="118" priority="112" operator="greaterThan">
      <formula>0</formula>
    </cfRule>
  </conditionalFormatting>
  <conditionalFormatting sqref="M445:R445">
    <cfRule type="cellIs" dxfId="117" priority="119" operator="greaterThan">
      <formula>0</formula>
    </cfRule>
  </conditionalFormatting>
  <conditionalFormatting sqref="M449:R449">
    <cfRule type="cellIs" dxfId="116" priority="121" operator="greaterThan">
      <formula>0</formula>
    </cfRule>
  </conditionalFormatting>
  <conditionalFormatting sqref="M449:R449">
    <cfRule type="cellIs" dxfId="115" priority="122" operator="greaterThan">
      <formula>0</formula>
    </cfRule>
  </conditionalFormatting>
  <conditionalFormatting sqref="M448:R448">
    <cfRule type="cellIs" dxfId="114" priority="120" operator="greaterThan">
      <formula>0</formula>
    </cfRule>
  </conditionalFormatting>
  <conditionalFormatting sqref="M451:R454">
    <cfRule type="cellIs" dxfId="113" priority="118" operator="greaterThan">
      <formula>0</formula>
    </cfRule>
  </conditionalFormatting>
  <conditionalFormatting sqref="M450:R450">
    <cfRule type="cellIs" dxfId="112" priority="116" operator="greaterThan">
      <formula>0</formula>
    </cfRule>
  </conditionalFormatting>
  <conditionalFormatting sqref="M450:R450">
    <cfRule type="cellIs" dxfId="111" priority="117" operator="greaterThan">
      <formula>0</formula>
    </cfRule>
  </conditionalFormatting>
  <conditionalFormatting sqref="M456:R456">
    <cfRule type="cellIs" dxfId="110" priority="110" operator="greaterThan">
      <formula>0</formula>
    </cfRule>
  </conditionalFormatting>
  <conditionalFormatting sqref="M455:R455">
    <cfRule type="cellIs" dxfId="109" priority="114" operator="greaterThan">
      <formula>0</formula>
    </cfRule>
  </conditionalFormatting>
  <conditionalFormatting sqref="M455:R455">
    <cfRule type="cellIs" dxfId="108" priority="115" operator="greaterThan">
      <formula>0</formula>
    </cfRule>
  </conditionalFormatting>
  <conditionalFormatting sqref="M456:R456">
    <cfRule type="cellIs" dxfId="107" priority="111" operator="greaterThan">
      <formula>0</formula>
    </cfRule>
  </conditionalFormatting>
  <conditionalFormatting sqref="M461:R461">
    <cfRule type="cellIs" dxfId="106" priority="105" operator="greaterThan">
      <formula>0</formula>
    </cfRule>
  </conditionalFormatting>
  <conditionalFormatting sqref="M459:R460">
    <cfRule type="cellIs" dxfId="105" priority="106" operator="greaterThan">
      <formula>0</formula>
    </cfRule>
  </conditionalFormatting>
  <conditionalFormatting sqref="M457:R461">
    <cfRule type="cellIs" dxfId="104" priority="109" operator="greaterThan">
      <formula>0</formula>
    </cfRule>
  </conditionalFormatting>
  <conditionalFormatting sqref="M458:R458">
    <cfRule type="cellIs" dxfId="103" priority="107" operator="greaterThan">
      <formula>0</formula>
    </cfRule>
  </conditionalFormatting>
  <conditionalFormatting sqref="M457:R457">
    <cfRule type="cellIs" dxfId="102" priority="108" operator="greaterThan">
      <formula>0</formula>
    </cfRule>
  </conditionalFormatting>
  <conditionalFormatting sqref="M466:R466">
    <cfRule type="cellIs" dxfId="101" priority="100" operator="greaterThan">
      <formula>0</formula>
    </cfRule>
  </conditionalFormatting>
  <conditionalFormatting sqref="M464:R465">
    <cfRule type="cellIs" dxfId="100" priority="101" operator="greaterThan">
      <formula>0</formula>
    </cfRule>
  </conditionalFormatting>
  <conditionalFormatting sqref="M471:R471">
    <cfRule type="cellIs" dxfId="99" priority="95" operator="greaterThan">
      <formula>0</formula>
    </cfRule>
  </conditionalFormatting>
  <conditionalFormatting sqref="M469:R470">
    <cfRule type="cellIs" dxfId="98" priority="96" operator="greaterThan">
      <formula>0</formula>
    </cfRule>
  </conditionalFormatting>
  <conditionalFormatting sqref="M462:R466">
    <cfRule type="cellIs" dxfId="97" priority="104" operator="greaterThan">
      <formula>0</formula>
    </cfRule>
  </conditionalFormatting>
  <conditionalFormatting sqref="M463:R463">
    <cfRule type="cellIs" dxfId="96" priority="102" operator="greaterThan">
      <formula>0</formula>
    </cfRule>
  </conditionalFormatting>
  <conditionalFormatting sqref="M462:R462">
    <cfRule type="cellIs" dxfId="95" priority="103" operator="greaterThan">
      <formula>0</formula>
    </cfRule>
  </conditionalFormatting>
  <conditionalFormatting sqref="M476:R476">
    <cfRule type="cellIs" dxfId="94" priority="90" operator="greaterThan">
      <formula>0</formula>
    </cfRule>
  </conditionalFormatting>
  <conditionalFormatting sqref="M474:R475">
    <cfRule type="cellIs" dxfId="93" priority="91" operator="greaterThan">
      <formula>0</formula>
    </cfRule>
  </conditionalFormatting>
  <conditionalFormatting sqref="M467:R471">
    <cfRule type="cellIs" dxfId="92" priority="99" operator="greaterThan">
      <formula>0</formula>
    </cfRule>
  </conditionalFormatting>
  <conditionalFormatting sqref="M468:R468">
    <cfRule type="cellIs" dxfId="91" priority="97" operator="greaterThan">
      <formula>0</formula>
    </cfRule>
  </conditionalFormatting>
  <conditionalFormatting sqref="M467:R467">
    <cfRule type="cellIs" dxfId="90" priority="98" operator="greaterThan">
      <formula>0</formula>
    </cfRule>
  </conditionalFormatting>
  <conditionalFormatting sqref="M481:R481">
    <cfRule type="cellIs" dxfId="89" priority="85" operator="greaterThan">
      <formula>0</formula>
    </cfRule>
  </conditionalFormatting>
  <conditionalFormatting sqref="M479:R480">
    <cfRule type="cellIs" dxfId="88" priority="86" operator="greaterThan">
      <formula>0</formula>
    </cfRule>
  </conditionalFormatting>
  <conditionalFormatting sqref="M472:R476">
    <cfRule type="cellIs" dxfId="87" priority="94" operator="greaterThan">
      <formula>0</formula>
    </cfRule>
  </conditionalFormatting>
  <conditionalFormatting sqref="M473:R473">
    <cfRule type="cellIs" dxfId="86" priority="92" operator="greaterThan">
      <formula>0</formula>
    </cfRule>
  </conditionalFormatting>
  <conditionalFormatting sqref="M472:R472">
    <cfRule type="cellIs" dxfId="85" priority="93" operator="greaterThan">
      <formula>0</formula>
    </cfRule>
  </conditionalFormatting>
  <conditionalFormatting sqref="M486:R486">
    <cfRule type="cellIs" dxfId="84" priority="80" operator="greaterThan">
      <formula>0</formula>
    </cfRule>
  </conditionalFormatting>
  <conditionalFormatting sqref="M484:R485">
    <cfRule type="cellIs" dxfId="83" priority="81" operator="greaterThan">
      <formula>0</formula>
    </cfRule>
  </conditionalFormatting>
  <conditionalFormatting sqref="M477:R481">
    <cfRule type="cellIs" dxfId="82" priority="89" operator="greaterThan">
      <formula>0</formula>
    </cfRule>
  </conditionalFormatting>
  <conditionalFormatting sqref="M478:R478">
    <cfRule type="cellIs" dxfId="81" priority="87" operator="greaterThan">
      <formula>0</formula>
    </cfRule>
  </conditionalFormatting>
  <conditionalFormatting sqref="M477:R477">
    <cfRule type="cellIs" dxfId="80" priority="88" operator="greaterThan">
      <formula>0</formula>
    </cfRule>
  </conditionalFormatting>
  <conditionalFormatting sqref="M482:R486">
    <cfRule type="cellIs" dxfId="79" priority="84" operator="greaterThan">
      <formula>0</formula>
    </cfRule>
  </conditionalFormatting>
  <conditionalFormatting sqref="M483:R483">
    <cfRule type="cellIs" dxfId="78" priority="82" operator="greaterThan">
      <formula>0</formula>
    </cfRule>
  </conditionalFormatting>
  <conditionalFormatting sqref="M482:R482">
    <cfRule type="cellIs" dxfId="77" priority="83" operator="greaterThan">
      <formula>0</formula>
    </cfRule>
  </conditionalFormatting>
  <conditionalFormatting sqref="M1128:M1130">
    <cfRule type="cellIs" dxfId="76" priority="70" operator="greaterThan">
      <formula>0</formula>
    </cfRule>
  </conditionalFormatting>
  <conditionalFormatting sqref="M1128:M1130">
    <cfRule type="cellIs" dxfId="75" priority="71" operator="greaterThan">
      <formula>0</formula>
    </cfRule>
  </conditionalFormatting>
  <conditionalFormatting sqref="M1126:R1126">
    <cfRule type="cellIs" dxfId="74" priority="78" operator="greaterThan">
      <formula>0</formula>
    </cfRule>
  </conditionalFormatting>
  <conditionalFormatting sqref="M1126:R1126">
    <cfRule type="cellIs" dxfId="73" priority="79" operator="greaterThan">
      <formula>0</formula>
    </cfRule>
  </conditionalFormatting>
  <conditionalFormatting sqref="M1127:R1127">
    <cfRule type="cellIs" dxfId="72" priority="77" operator="greaterThan">
      <formula>0</formula>
    </cfRule>
  </conditionalFormatting>
  <conditionalFormatting sqref="M1127:R1127">
    <cfRule type="cellIs" dxfId="71" priority="76" operator="greaterThan">
      <formula>0</formula>
    </cfRule>
  </conditionalFormatting>
  <conditionalFormatting sqref="N1130:R1130 O1128:R1129">
    <cfRule type="cellIs" dxfId="70" priority="75" operator="greaterThan">
      <formula>0</formula>
    </cfRule>
  </conditionalFormatting>
  <conditionalFormatting sqref="N1130:R1130 O1128:R1129">
    <cfRule type="cellIs" dxfId="69" priority="74" operator="greaterThan">
      <formula>0</formula>
    </cfRule>
  </conditionalFormatting>
  <conditionalFormatting sqref="N1128:N1129">
    <cfRule type="cellIs" dxfId="68" priority="73" operator="greaterThan">
      <formula>0</formula>
    </cfRule>
  </conditionalFormatting>
  <conditionalFormatting sqref="N1128:N1129">
    <cfRule type="cellIs" dxfId="67" priority="72" operator="greaterThan">
      <formula>0</formula>
    </cfRule>
  </conditionalFormatting>
  <conditionalFormatting sqref="M1181:R1182 M1176:R1176">
    <cfRule type="cellIs" dxfId="66" priority="69" operator="greaterThan">
      <formula>0</formula>
    </cfRule>
  </conditionalFormatting>
  <conditionalFormatting sqref="M1178:R1179">
    <cfRule type="cellIs" dxfId="65" priority="67" operator="greaterThan">
      <formula>0</formula>
    </cfRule>
  </conditionalFormatting>
  <conditionalFormatting sqref="M1183:R1195">
    <cfRule type="cellIs" dxfId="64" priority="64" operator="greaterThan">
      <formula>0</formula>
    </cfRule>
  </conditionalFormatting>
  <conditionalFormatting sqref="M1180:R1180">
    <cfRule type="cellIs" dxfId="63" priority="66" operator="greaterThan">
      <formula>0</formula>
    </cfRule>
  </conditionalFormatting>
  <conditionalFormatting sqref="M1177:R1177">
    <cfRule type="cellIs" dxfId="62" priority="68" operator="greaterThan">
      <formula>0</formula>
    </cfRule>
  </conditionalFormatting>
  <conditionalFormatting sqref="M1177:R1180">
    <cfRule type="cellIs" dxfId="61" priority="65" operator="greaterThan">
      <formula>0</formula>
    </cfRule>
  </conditionalFormatting>
  <conditionalFormatting sqref="M1183:R1195">
    <cfRule type="cellIs" dxfId="60" priority="63" operator="greaterThan">
      <formula>0</formula>
    </cfRule>
  </conditionalFormatting>
  <conditionalFormatting sqref="M1153:M1155">
    <cfRule type="cellIs" dxfId="59" priority="53" operator="greaterThan">
      <formula>0</formula>
    </cfRule>
  </conditionalFormatting>
  <conditionalFormatting sqref="M1153:M1155">
    <cfRule type="cellIs" dxfId="58" priority="54" operator="greaterThan">
      <formula>0</formula>
    </cfRule>
  </conditionalFormatting>
  <conditionalFormatting sqref="M1131:R1131 M1151:R1151">
    <cfRule type="cellIs" dxfId="57" priority="61" operator="greaterThan">
      <formula>0</formula>
    </cfRule>
  </conditionalFormatting>
  <conditionalFormatting sqref="M1131:R1131 M1151:R1151">
    <cfRule type="cellIs" dxfId="56" priority="62" operator="greaterThan">
      <formula>0</formula>
    </cfRule>
  </conditionalFormatting>
  <conditionalFormatting sqref="M1152:R1152">
    <cfRule type="cellIs" dxfId="55" priority="60" operator="greaterThan">
      <formula>0</formula>
    </cfRule>
  </conditionalFormatting>
  <conditionalFormatting sqref="M1152:R1152">
    <cfRule type="cellIs" dxfId="54" priority="59" operator="greaterThan">
      <formula>0</formula>
    </cfRule>
  </conditionalFormatting>
  <conditionalFormatting sqref="N1155:R1155 O1153:R1154">
    <cfRule type="cellIs" dxfId="53" priority="58" operator="greaterThan">
      <formula>0</formula>
    </cfRule>
  </conditionalFormatting>
  <conditionalFormatting sqref="N1155:R1155 O1153:R1154">
    <cfRule type="cellIs" dxfId="52" priority="57" operator="greaterThan">
      <formula>0</formula>
    </cfRule>
  </conditionalFormatting>
  <conditionalFormatting sqref="N1153:N1154">
    <cfRule type="cellIs" dxfId="51" priority="56" operator="greaterThan">
      <formula>0</formula>
    </cfRule>
  </conditionalFormatting>
  <conditionalFormatting sqref="N1153:N1154">
    <cfRule type="cellIs" dxfId="50" priority="55" operator="greaterThan">
      <formula>0</formula>
    </cfRule>
  </conditionalFormatting>
  <conditionalFormatting sqref="M1156:R1156">
    <cfRule type="cellIs" dxfId="49" priority="52" operator="greaterThan">
      <formula>0</formula>
    </cfRule>
  </conditionalFormatting>
  <conditionalFormatting sqref="M1156:R1156">
    <cfRule type="cellIs" dxfId="48" priority="51" operator="greaterThan">
      <formula>0</formula>
    </cfRule>
  </conditionalFormatting>
  <conditionalFormatting sqref="O1157:R1158">
    <cfRule type="cellIs" dxfId="47" priority="50" operator="greaterThan">
      <formula>0</formula>
    </cfRule>
  </conditionalFormatting>
  <conditionalFormatting sqref="O1157:R1158">
    <cfRule type="cellIs" dxfId="46" priority="49" operator="greaterThan">
      <formula>0</formula>
    </cfRule>
  </conditionalFormatting>
  <conditionalFormatting sqref="N1157:N1158">
    <cfRule type="cellIs" dxfId="45" priority="48" operator="greaterThan">
      <formula>0</formula>
    </cfRule>
  </conditionalFormatting>
  <conditionalFormatting sqref="N1157:N1158">
    <cfRule type="cellIs" dxfId="44" priority="47" operator="greaterThan">
      <formula>0</formula>
    </cfRule>
  </conditionalFormatting>
  <conditionalFormatting sqref="M1134:M1136">
    <cfRule type="cellIs" dxfId="43" priority="37" operator="greaterThan">
      <formula>0</formula>
    </cfRule>
  </conditionalFormatting>
  <conditionalFormatting sqref="M1134:M1136">
    <cfRule type="cellIs" dxfId="42" priority="38" operator="greaterThan">
      <formula>0</formula>
    </cfRule>
  </conditionalFormatting>
  <conditionalFormatting sqref="M1133:R1133">
    <cfRule type="cellIs" dxfId="41" priority="44" operator="greaterThan">
      <formula>0</formula>
    </cfRule>
  </conditionalFormatting>
  <conditionalFormatting sqref="M1133:R1133">
    <cfRule type="cellIs" dxfId="40" priority="43" operator="greaterThan">
      <formula>0</formula>
    </cfRule>
  </conditionalFormatting>
  <conditionalFormatting sqref="N1136:R1136 O1134:R1135">
    <cfRule type="cellIs" dxfId="39" priority="42" operator="greaterThan">
      <formula>0</formula>
    </cfRule>
  </conditionalFormatting>
  <conditionalFormatting sqref="N1136:R1136 O1134:R1135">
    <cfRule type="cellIs" dxfId="38" priority="41" operator="greaterThan">
      <formula>0</formula>
    </cfRule>
  </conditionalFormatting>
  <conditionalFormatting sqref="N1134:N1135">
    <cfRule type="cellIs" dxfId="37" priority="40" operator="greaterThan">
      <formula>0</formula>
    </cfRule>
  </conditionalFormatting>
  <conditionalFormatting sqref="N1134:N1135">
    <cfRule type="cellIs" dxfId="36" priority="39" operator="greaterThan">
      <formula>0</formula>
    </cfRule>
  </conditionalFormatting>
  <conditionalFormatting sqref="M1137">
    <cfRule type="cellIs" dxfId="35" priority="33" operator="greaterThan">
      <formula>0</formula>
    </cfRule>
  </conditionalFormatting>
  <conditionalFormatting sqref="M1137">
    <cfRule type="cellIs" dxfId="34" priority="34" operator="greaterThan">
      <formula>0</formula>
    </cfRule>
  </conditionalFormatting>
  <conditionalFormatting sqref="N1137:R1137">
    <cfRule type="cellIs" dxfId="33" priority="36" operator="greaterThan">
      <formula>0</formula>
    </cfRule>
  </conditionalFormatting>
  <conditionalFormatting sqref="N1137:R1137">
    <cfRule type="cellIs" dxfId="32" priority="35" operator="greaterThan">
      <formula>0</formula>
    </cfRule>
  </conditionalFormatting>
  <conditionalFormatting sqref="M1139:M1141">
    <cfRule type="cellIs" dxfId="31" priority="25" operator="greaterThan">
      <formula>0</formula>
    </cfRule>
  </conditionalFormatting>
  <conditionalFormatting sqref="M1139:M1141">
    <cfRule type="cellIs" dxfId="30" priority="26" operator="greaterThan">
      <formula>0</formula>
    </cfRule>
  </conditionalFormatting>
  <conditionalFormatting sqref="M1138:R1138">
    <cfRule type="cellIs" dxfId="29" priority="32" operator="greaterThan">
      <formula>0</formula>
    </cfRule>
  </conditionalFormatting>
  <conditionalFormatting sqref="M1138:R1138">
    <cfRule type="cellIs" dxfId="28" priority="31" operator="greaterThan">
      <formula>0</formula>
    </cfRule>
  </conditionalFormatting>
  <conditionalFormatting sqref="N1141:R1141 O1139:R1140">
    <cfRule type="cellIs" dxfId="27" priority="30" operator="greaterThan">
      <formula>0</formula>
    </cfRule>
  </conditionalFormatting>
  <conditionalFormatting sqref="N1141:R1141 O1139:R1140">
    <cfRule type="cellIs" dxfId="26" priority="29" operator="greaterThan">
      <formula>0</formula>
    </cfRule>
  </conditionalFormatting>
  <conditionalFormatting sqref="N1139:N1140">
    <cfRule type="cellIs" dxfId="25" priority="28" operator="greaterThan">
      <formula>0</formula>
    </cfRule>
  </conditionalFormatting>
  <conditionalFormatting sqref="N1139:N1140">
    <cfRule type="cellIs" dxfId="24" priority="27" operator="greaterThan">
      <formula>0</formula>
    </cfRule>
  </conditionalFormatting>
  <conditionalFormatting sqref="M1143:M1145">
    <cfRule type="cellIs" dxfId="23" priority="17" operator="greaterThan">
      <formula>0</formula>
    </cfRule>
  </conditionalFormatting>
  <conditionalFormatting sqref="M1143:M1145">
    <cfRule type="cellIs" dxfId="22" priority="18" operator="greaterThan">
      <formula>0</formula>
    </cfRule>
  </conditionalFormatting>
  <conditionalFormatting sqref="M1142:R1142">
    <cfRule type="cellIs" dxfId="21" priority="24" operator="greaterThan">
      <formula>0</formula>
    </cfRule>
  </conditionalFormatting>
  <conditionalFormatting sqref="M1142:R1142">
    <cfRule type="cellIs" dxfId="20" priority="23" operator="greaterThan">
      <formula>0</formula>
    </cfRule>
  </conditionalFormatting>
  <conditionalFormatting sqref="N1145:R1145 O1143:R1144">
    <cfRule type="cellIs" dxfId="19" priority="22" operator="greaterThan">
      <formula>0</formula>
    </cfRule>
  </conditionalFormatting>
  <conditionalFormatting sqref="N1145:R1145 O1143:R1144">
    <cfRule type="cellIs" dxfId="18" priority="21" operator="greaterThan">
      <formula>0</formula>
    </cfRule>
  </conditionalFormatting>
  <conditionalFormatting sqref="N1143:N1144">
    <cfRule type="cellIs" dxfId="17" priority="20" operator="greaterThan">
      <formula>0</formula>
    </cfRule>
  </conditionalFormatting>
  <conditionalFormatting sqref="N1143:N1144">
    <cfRule type="cellIs" dxfId="16" priority="19" operator="greaterThan">
      <formula>0</formula>
    </cfRule>
  </conditionalFormatting>
  <conditionalFormatting sqref="M1146">
    <cfRule type="cellIs" dxfId="15" priority="13" operator="greaterThan">
      <formula>0</formula>
    </cfRule>
  </conditionalFormatting>
  <conditionalFormatting sqref="M1146">
    <cfRule type="cellIs" dxfId="14" priority="14" operator="greaterThan">
      <formula>0</formula>
    </cfRule>
  </conditionalFormatting>
  <conditionalFormatting sqref="N1146:R1146">
    <cfRule type="cellIs" dxfId="13" priority="16" operator="greaterThan">
      <formula>0</formula>
    </cfRule>
  </conditionalFormatting>
  <conditionalFormatting sqref="N1146:R1146">
    <cfRule type="cellIs" dxfId="12" priority="15" operator="greaterThan">
      <formula>0</formula>
    </cfRule>
  </conditionalFormatting>
  <conditionalFormatting sqref="M1148:M1150">
    <cfRule type="cellIs" dxfId="11" priority="5" operator="greaterThan">
      <formula>0</formula>
    </cfRule>
  </conditionalFormatting>
  <conditionalFormatting sqref="M1148:M1150">
    <cfRule type="cellIs" dxfId="10" priority="6" operator="greaterThan">
      <formula>0</formula>
    </cfRule>
  </conditionalFormatting>
  <conditionalFormatting sqref="M1147:R1147">
    <cfRule type="cellIs" dxfId="9" priority="12" operator="greaterThan">
      <formula>0</formula>
    </cfRule>
  </conditionalFormatting>
  <conditionalFormatting sqref="M1147:R1147">
    <cfRule type="cellIs" dxfId="8" priority="11" operator="greaterThan">
      <formula>0</formula>
    </cfRule>
  </conditionalFormatting>
  <conditionalFormatting sqref="N1150:R1150 O1148:R1149">
    <cfRule type="cellIs" dxfId="7" priority="10" operator="greaterThan">
      <formula>0</formula>
    </cfRule>
  </conditionalFormatting>
  <conditionalFormatting sqref="N1150:R1150 O1148:R1149">
    <cfRule type="cellIs" dxfId="6" priority="9" operator="greaterThan">
      <formula>0</formula>
    </cfRule>
  </conditionalFormatting>
  <conditionalFormatting sqref="N1148:N1149">
    <cfRule type="cellIs" dxfId="5" priority="8" operator="greaterThan">
      <formula>0</formula>
    </cfRule>
  </conditionalFormatting>
  <conditionalFormatting sqref="N1148:N1149">
    <cfRule type="cellIs" dxfId="4" priority="7" operator="greaterThan">
      <formula>0</formula>
    </cfRule>
  </conditionalFormatting>
  <conditionalFormatting sqref="M773:R773">
    <cfRule type="cellIs" dxfId="3" priority="4" operator="greaterThan">
      <formula>0</formula>
    </cfRule>
  </conditionalFormatting>
  <conditionalFormatting sqref="M941:R941">
    <cfRule type="cellIs" dxfId="2" priority="3" operator="greaterThan">
      <formula>0</formula>
    </cfRule>
  </conditionalFormatting>
  <conditionalFormatting sqref="M1047:R1047">
    <cfRule type="cellIs" dxfId="1" priority="2" operator="greaterThan">
      <formula>0</formula>
    </cfRule>
  </conditionalFormatting>
  <conditionalFormatting sqref="M1055:R1055">
    <cfRule type="cellIs" dxfId="0" priority="1" operator="greaterThan">
      <formula>0</formula>
    </cfRule>
  </conditionalFormatting>
  <pageMargins left="0.24" right="0.2" top="0.2" bottom="0.51" header="0.17" footer="0.31496062992125984"/>
  <pageSetup scale="70" fitToHeight="0" orientation="landscape" r:id="rId1"/>
  <ignoredErrors>
    <ignoredError sqref="L1196 L1169:L1172 L1197:L1202 L1173:L1174 L1175"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vt:i4>
      </vt:variant>
    </vt:vector>
  </HeadingPairs>
  <TitlesOfParts>
    <vt:vector size="33" baseType="lpstr">
      <vt:lpstr>TOP SHEET</vt:lpstr>
      <vt:lpstr>ABSTRACT</vt:lpstr>
      <vt:lpstr>APP. BASIC RATE</vt:lpstr>
      <vt:lpstr>RMC BASIC RATE DIFF</vt:lpstr>
      <vt:lpstr>EARTH WORK MB</vt:lpstr>
      <vt:lpstr>CONCRETE SUMMARY</vt:lpstr>
      <vt:lpstr>CONCRETE RECO.</vt:lpstr>
      <vt:lpstr>PCC &amp; RCC REC.</vt:lpstr>
      <vt:lpstr>RMC RECEIVING</vt:lpstr>
      <vt:lpstr>CONCRETE WORK MB</vt:lpstr>
      <vt:lpstr>SHUTT. WORK SUMMARY</vt:lpstr>
      <vt:lpstr>SHUTTERING WORK MB</vt:lpstr>
      <vt:lpstr>BRICK WORK SUMMARY</vt:lpstr>
      <vt:lpstr>BRICK WORK MB</vt:lpstr>
      <vt:lpstr>TMT STEEL RECO.</vt:lpstr>
      <vt:lpstr>TMT STEEL REC.</vt:lpstr>
      <vt:lpstr>TMT SUMMARY</vt:lpstr>
      <vt:lpstr>RAFT BBS</vt:lpstr>
      <vt:lpstr>COL BBS</vt:lpstr>
      <vt:lpstr>PLINTH BEAM BBS</vt:lpstr>
      <vt:lpstr>TYP COL BBS</vt:lpstr>
      <vt:lpstr>1ST FLOOR LVL SLAB BBS</vt:lpstr>
      <vt:lpstr>ABSTRACT!Print_Area</vt:lpstr>
      <vt:lpstr>'CONCRETE WORK MB'!Print_Area</vt:lpstr>
      <vt:lpstr>'EARTH WORK MB'!Print_Area</vt:lpstr>
      <vt:lpstr>'RMC RECEIVING'!Print_Area</vt:lpstr>
      <vt:lpstr>'TOP SHEET'!Print_Area</vt:lpstr>
      <vt:lpstr>'1ST FLOOR LVL SLAB BBS'!Print_Titles</vt:lpstr>
      <vt:lpstr>ABSTRACT!Print_Titles</vt:lpstr>
      <vt:lpstr>'COL BBS'!Print_Titles</vt:lpstr>
      <vt:lpstr>'PCC &amp; RCC REC.'!Print_Titles</vt:lpstr>
      <vt:lpstr>'RAFT BBS'!Print_Titles</vt:lpstr>
      <vt:lpstr>'RMC RECEIVING'!Print_Titles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2026-03-08T05:28:43Z</dcterms:modified>
</cp:coreProperties>
</file>